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120" windowWidth="28800" windowHeight="14505" activeTab="1"/>
  </bookViews>
  <sheets>
    <sheet name="PoAs" sheetId="1" r:id="rId1"/>
    <sheet name="PoAanalysis" sheetId="8" r:id="rId2"/>
    <sheet name="Variables" sheetId="10" r:id="rId3"/>
  </sheets>
  <externalReferences>
    <externalReference r:id="rId4"/>
  </externalReferences>
  <definedNames>
    <definedName name="_xlnm._FilterDatabase" localSheetId="0" hidden="1">PoAs!$A$4:$DJ$4</definedName>
    <definedName name="AboveInvest">#REF!</definedName>
    <definedName name="AboveInvestHost">#REF!</definedName>
    <definedName name="AboveRes">#REF!</definedName>
    <definedName name="BelowRes">#REF!</definedName>
    <definedName name="CERstoend">#REF!</definedName>
    <definedName name="CP1CERsIssued">PoAs!$AF$4</definedName>
    <definedName name="CP2CERsIssued">PoAs!$AG$4</definedName>
    <definedName name="CPAs">PoAs!$T$4</definedName>
    <definedName name="PAboveHost" localSheetId="1">PoAanalysis!$B$199</definedName>
    <definedName name="PAboveRes" localSheetId="1">PoAanalysis!$B$26</definedName>
    <definedName name="PBelowHost" localSheetId="1">PoAanalysis!$B$322</definedName>
    <definedName name="PBelowRes" localSheetId="1">PoAanalysis!$B$184</definedName>
    <definedName name="PBuyer">PoAs!$AP$4</definedName>
    <definedName name="PCERsIssued">PoAs!$AH$4</definedName>
    <definedName name="PCreditstart">PoAs!$AB$4</definedName>
    <definedName name="PDOE">PoAs!$AE$4</definedName>
    <definedName name="PDOE2">PoAs!$AO$4</definedName>
    <definedName name="PFirstissuance">PoAs!$AJ$4</definedName>
    <definedName name="PHost">PoAs!$H$4</definedName>
    <definedName name="PID">PoAs!$B$4</definedName>
    <definedName name="PInv">PoAs!A1</definedName>
    <definedName name="PktCO22012">PoAs!$AC$4</definedName>
    <definedName name="PktCO22020">PoAs!$AD$4</definedName>
    <definedName name="PktCO2peryr">PoAs!$U$4</definedName>
    <definedName name="PLastline">PoAs!$E$1878</definedName>
    <definedName name="PLoA">PoAs!$AV$4</definedName>
    <definedName name="PMethod">PoAs!$S$4</definedName>
    <definedName name="PMW">PoAs!$BS$4</definedName>
    <definedName name="PPDDcon">PoAs!$AR$4</definedName>
    <definedName name="PRegDate">PoAs!$AY$4</definedName>
    <definedName name="PRegRequest">PoAs!$AW$4</definedName>
    <definedName name="PRevHist">PoAs!$BA$4</definedName>
    <definedName name="PSlope">PoAs!$AA$4</definedName>
    <definedName name="PStartcomment">PoAs!$AS$4</definedName>
    <definedName name="PStatus">PoAs!$N$4</definedName>
    <definedName name="PStatusnumber">PoAanalysis!$C$4</definedName>
    <definedName name="PSubtype">PoAs!$Q$4</definedName>
    <definedName name="PSuccess">PoAs!$AM$4</definedName>
    <definedName name="PType">PoAs!$P$4</definedName>
    <definedName name="PUntil">PoAs!$AK$4</definedName>
    <definedName name="Pyears">PoAs!$Y$4</definedName>
  </definedNames>
  <calcPr calcId="145621"/>
</workbook>
</file>

<file path=xl/calcChain.xml><?xml version="1.0" encoding="utf-8"?>
<calcChain xmlns="http://schemas.openxmlformats.org/spreadsheetml/2006/main">
  <c r="AG1098" i="1" l="1"/>
  <c r="AG1107" i="1"/>
  <c r="AG1106" i="1"/>
  <c r="AG1105" i="1"/>
  <c r="AG1104" i="1"/>
  <c r="AG1309" i="1"/>
  <c r="AG1308" i="1"/>
  <c r="AG1307" i="1"/>
  <c r="AG1549" i="1"/>
  <c r="AG761" i="1"/>
  <c r="AG760" i="1"/>
  <c r="AG759" i="1"/>
  <c r="AG1529" i="1"/>
  <c r="AG1528" i="1"/>
  <c r="AG1527" i="1"/>
  <c r="AN1103" i="1" l="1"/>
  <c r="AG641" i="1" l="1"/>
  <c r="AG640" i="1"/>
  <c r="AG1705" i="1"/>
  <c r="AG1704" i="1"/>
  <c r="AG1703" i="1"/>
  <c r="AG1702" i="1"/>
  <c r="AG1701" i="1"/>
  <c r="AG1700" i="1"/>
  <c r="AG1699" i="1"/>
  <c r="AG688" i="1"/>
  <c r="AG687" i="1"/>
  <c r="AG686" i="1"/>
  <c r="AG685" i="1"/>
  <c r="AC792" i="1"/>
  <c r="AC791" i="1"/>
  <c r="AC790" i="1"/>
  <c r="AC789" i="1"/>
  <c r="AC788" i="1"/>
  <c r="AC787" i="1"/>
  <c r="AC786" i="1"/>
  <c r="AC785" i="1"/>
  <c r="AC784" i="1"/>
  <c r="AC783" i="1"/>
  <c r="AC782" i="1"/>
  <c r="AC781" i="1"/>
  <c r="AC780" i="1"/>
  <c r="AG1073" i="1" l="1"/>
  <c r="AG1075" i="1"/>
  <c r="AG1074" i="1"/>
  <c r="AG1070" i="1"/>
  <c r="AG1068" i="1"/>
  <c r="AG1067" i="1"/>
  <c r="AG1066" i="1"/>
  <c r="AC779" i="1"/>
  <c r="AE153" i="8" l="1"/>
  <c r="AF153" i="8"/>
  <c r="AN1034" i="1" l="1"/>
  <c r="AG195" i="1" l="1"/>
  <c r="AG194" i="1"/>
  <c r="AE133" i="8"/>
  <c r="AF133" i="8"/>
  <c r="AF115" i="8"/>
  <c r="AE115" i="8"/>
  <c r="AF127" i="8"/>
  <c r="AE127" i="8"/>
  <c r="BT1751" i="1"/>
  <c r="AG474" i="1" l="1"/>
  <c r="AG473" i="1"/>
  <c r="AG472" i="1"/>
  <c r="AG471" i="1"/>
  <c r="AG1008" i="1"/>
  <c r="AG1007" i="1"/>
  <c r="AG1006" i="1"/>
  <c r="AG1004" i="1"/>
  <c r="AH1005" i="1"/>
  <c r="AH1009" i="1"/>
  <c r="AG1071" i="1" l="1"/>
  <c r="AG1069" i="1"/>
  <c r="AG1072" i="1"/>
  <c r="AG87" i="1"/>
  <c r="AG489" i="1"/>
  <c r="AG488" i="1"/>
  <c r="AG487" i="1"/>
  <c r="AG486" i="1"/>
  <c r="AE167" i="8"/>
  <c r="AF167" i="8"/>
  <c r="BT1750" i="1"/>
  <c r="BT1749" i="1"/>
  <c r="AE160" i="8"/>
  <c r="AF160" i="8"/>
  <c r="BT258" i="1" l="1"/>
  <c r="BT257" i="1"/>
  <c r="BT256" i="1"/>
  <c r="BT255" i="1"/>
  <c r="BT254" i="1"/>
  <c r="AG1518" i="1" l="1"/>
  <c r="AG1517" i="1"/>
  <c r="AH1519" i="1"/>
  <c r="AN508" i="1" l="1"/>
  <c r="AF172" i="8" l="1"/>
  <c r="AE172" i="8"/>
  <c r="AF171" i="8"/>
  <c r="AE171" i="8"/>
  <c r="AF170" i="8"/>
  <c r="AE170" i="8"/>
  <c r="AF168" i="8"/>
  <c r="AE168" i="8"/>
  <c r="AF166" i="8"/>
  <c r="AE166" i="8"/>
  <c r="AF165" i="8"/>
  <c r="AE165" i="8"/>
  <c r="AF164" i="8"/>
  <c r="AE164" i="8"/>
  <c r="AF163" i="8"/>
  <c r="AE163" i="8"/>
  <c r="AF162" i="8"/>
  <c r="AE162" i="8"/>
  <c r="AF161" i="8"/>
  <c r="AE161" i="8"/>
  <c r="AF159" i="8"/>
  <c r="AE159" i="8"/>
  <c r="AF158" i="8"/>
  <c r="AE158" i="8"/>
  <c r="AF157" i="8"/>
  <c r="AE157" i="8"/>
  <c r="AF156" i="8"/>
  <c r="AE156" i="8"/>
  <c r="AF155" i="8"/>
  <c r="AE155" i="8"/>
  <c r="AF154" i="8"/>
  <c r="AE154" i="8"/>
  <c r="AF152" i="8"/>
  <c r="AE152" i="8"/>
  <c r="AF151" i="8"/>
  <c r="AE151" i="8"/>
  <c r="AF150" i="8"/>
  <c r="AE150" i="8"/>
  <c r="AF149" i="8"/>
  <c r="AE149" i="8"/>
  <c r="AF148" i="8"/>
  <c r="AE148" i="8"/>
  <c r="AF147" i="8"/>
  <c r="AE147" i="8"/>
  <c r="AF146" i="8"/>
  <c r="AE146" i="8"/>
  <c r="AF145" i="8"/>
  <c r="AE145" i="8"/>
  <c r="AF144" i="8"/>
  <c r="AE144" i="8"/>
  <c r="AF143" i="8"/>
  <c r="AE143" i="8"/>
  <c r="AF142" i="8"/>
  <c r="AE142" i="8"/>
  <c r="AF141" i="8"/>
  <c r="AE141" i="8"/>
  <c r="AF140" i="8"/>
  <c r="AE140" i="8"/>
  <c r="AF139" i="8"/>
  <c r="AE139" i="8"/>
  <c r="AF138" i="8"/>
  <c r="AE138" i="8"/>
  <c r="AF137" i="8"/>
  <c r="AE137" i="8"/>
  <c r="AF136" i="8"/>
  <c r="AE136" i="8"/>
  <c r="AF135" i="8"/>
  <c r="AE135" i="8"/>
  <c r="AF134" i="8"/>
  <c r="AE134" i="8"/>
  <c r="AF132" i="8"/>
  <c r="AE132" i="8"/>
  <c r="AF131" i="8"/>
  <c r="AE131" i="8"/>
  <c r="AF130" i="8"/>
  <c r="AE130" i="8"/>
  <c r="AF129" i="8"/>
  <c r="AE129" i="8"/>
  <c r="AF128" i="8"/>
  <c r="AE128" i="8"/>
  <c r="AF126" i="8"/>
  <c r="AE126" i="8"/>
  <c r="AF125" i="8"/>
  <c r="AE125" i="8"/>
  <c r="AF124" i="8"/>
  <c r="AE124" i="8"/>
  <c r="AF123" i="8"/>
  <c r="AE123" i="8"/>
  <c r="AF122" i="8"/>
  <c r="AE122" i="8"/>
  <c r="AF121" i="8"/>
  <c r="AE121" i="8"/>
  <c r="AF120" i="8"/>
  <c r="AE120" i="8"/>
  <c r="AF119" i="8"/>
  <c r="AE119" i="8"/>
  <c r="AF118" i="8"/>
  <c r="AE118" i="8"/>
  <c r="AF117" i="8"/>
  <c r="AE117" i="8"/>
  <c r="AF116" i="8"/>
  <c r="AE116" i="8"/>
  <c r="AF114" i="8"/>
  <c r="AE114" i="8"/>
  <c r="AF113" i="8"/>
  <c r="AE113" i="8"/>
  <c r="AF112" i="8"/>
  <c r="AE112" i="8"/>
  <c r="AF111" i="8"/>
  <c r="AE111" i="8"/>
  <c r="AF110" i="8"/>
  <c r="AE110" i="8"/>
  <c r="AF109" i="8"/>
  <c r="AE109" i="8"/>
  <c r="AF108" i="8"/>
  <c r="AE108" i="8"/>
  <c r="AF107" i="8"/>
  <c r="AE107" i="8"/>
  <c r="AF106" i="8"/>
  <c r="AE106" i="8"/>
  <c r="AF105" i="8"/>
  <c r="AE105" i="8"/>
  <c r="AF104" i="8"/>
  <c r="AE104" i="8"/>
  <c r="AF103" i="8"/>
  <c r="AE103" i="8"/>
  <c r="AF102" i="8"/>
  <c r="AE102" i="8"/>
  <c r="AF101" i="8"/>
  <c r="AE101" i="8"/>
  <c r="AF100" i="8"/>
  <c r="AE100" i="8"/>
  <c r="AF99" i="8"/>
  <c r="AE99" i="8"/>
  <c r="AF98" i="8"/>
  <c r="AE98" i="8"/>
  <c r="AF97" i="8"/>
  <c r="AE97" i="8"/>
  <c r="AF96" i="8"/>
  <c r="AE96" i="8"/>
  <c r="AF95" i="8"/>
  <c r="AE95" i="8"/>
  <c r="AF94" i="8"/>
  <c r="AE94" i="8"/>
  <c r="AF93" i="8"/>
  <c r="AE93" i="8"/>
  <c r="AF92" i="8"/>
  <c r="AE92" i="8"/>
  <c r="AF91" i="8"/>
  <c r="AE91" i="8"/>
  <c r="AF90" i="8"/>
  <c r="AE90" i="8"/>
  <c r="AF89" i="8"/>
  <c r="AE89" i="8"/>
  <c r="AF88" i="8"/>
  <c r="AE88" i="8"/>
  <c r="AF87" i="8"/>
  <c r="AE87" i="8"/>
  <c r="AF86" i="8"/>
  <c r="AE86" i="8"/>
  <c r="AF85" i="8"/>
  <c r="AE85" i="8"/>
  <c r="AF84" i="8"/>
  <c r="AE84" i="8"/>
  <c r="AF83" i="8"/>
  <c r="AE83" i="8"/>
  <c r="AF82" i="8"/>
  <c r="AE82" i="8"/>
  <c r="AF81" i="8"/>
  <c r="AE81" i="8"/>
  <c r="AF80" i="8"/>
  <c r="AE80" i="8"/>
  <c r="AF79" i="8"/>
  <c r="AE79" i="8"/>
  <c r="AF78" i="8"/>
  <c r="AE78" i="8"/>
  <c r="AF77" i="8"/>
  <c r="AE77" i="8"/>
  <c r="AF76" i="8"/>
  <c r="AE76" i="8"/>
  <c r="AF75" i="8"/>
  <c r="AE75" i="8"/>
  <c r="AF74" i="8"/>
  <c r="AE74" i="8"/>
  <c r="AF73" i="8"/>
  <c r="AE73" i="8"/>
  <c r="AF72" i="8"/>
  <c r="AE72" i="8"/>
  <c r="AF71" i="8"/>
  <c r="AE71" i="8"/>
  <c r="AF70" i="8"/>
  <c r="AE70" i="8"/>
  <c r="AF69" i="8"/>
  <c r="AE69" i="8"/>
  <c r="AF68" i="8"/>
  <c r="AE68" i="8"/>
  <c r="AF67" i="8"/>
  <c r="AE67" i="8"/>
  <c r="AF66" i="8"/>
  <c r="AE66" i="8"/>
  <c r="AF65" i="8"/>
  <c r="AE65" i="8"/>
  <c r="AG819" i="1" l="1"/>
  <c r="AG818" i="1"/>
  <c r="BT253" i="1" l="1"/>
  <c r="BT252" i="1"/>
  <c r="BT251" i="1"/>
  <c r="BT250" i="1"/>
  <c r="BT249" i="1"/>
  <c r="AG456" i="1" l="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N1493" i="1" l="1"/>
  <c r="AG664" i="1" l="1"/>
  <c r="AG663" i="1"/>
  <c r="BT248" i="1"/>
  <c r="AG1683" i="1" l="1"/>
  <c r="BT247" i="1" l="1"/>
  <c r="BT246" i="1"/>
  <c r="AG222" i="1" l="1"/>
  <c r="AG221" i="1"/>
  <c r="AG220" i="1"/>
  <c r="AG219" i="1"/>
  <c r="AG218" i="1"/>
  <c r="AG217" i="1"/>
  <c r="AG216" i="1"/>
  <c r="AG1139" i="1"/>
  <c r="AG1557" i="1"/>
  <c r="AG1556" i="1"/>
  <c r="AG1553" i="1"/>
  <c r="AG1552" i="1"/>
  <c r="AG1497" i="1"/>
  <c r="AG1496" i="1"/>
  <c r="AG1495" i="1"/>
  <c r="AG1494" i="1"/>
  <c r="AG293" i="1"/>
  <c r="AG290" i="1"/>
  <c r="AG289" i="1"/>
  <c r="AG288" i="1"/>
  <c r="AG286" i="1"/>
  <c r="AG287" i="1"/>
  <c r="AG285" i="1"/>
  <c r="AG1756" i="1"/>
  <c r="AG1757" i="1"/>
  <c r="EJ173" i="8" l="1"/>
  <c r="EI173" i="8"/>
  <c r="EG173" i="8"/>
  <c r="EF173" i="8"/>
  <c r="EE173" i="8"/>
  <c r="ED173" i="8"/>
  <c r="EC173" i="8"/>
  <c r="EB173" i="8"/>
  <c r="EA173" i="8"/>
  <c r="DZ173" i="8"/>
  <c r="DY173" i="8"/>
  <c r="AG79" i="1" l="1"/>
  <c r="AG78" i="1"/>
  <c r="AG77" i="1"/>
  <c r="AG76" i="1"/>
  <c r="AG75" i="1"/>
  <c r="AG74" i="1"/>
  <c r="AG73" i="1"/>
  <c r="AG72" i="1"/>
  <c r="AF72" i="1"/>
  <c r="AG1625" i="1"/>
  <c r="AG1624" i="1"/>
  <c r="AG1623" i="1"/>
  <c r="AG1100" i="1"/>
  <c r="AG1099" i="1"/>
  <c r="BT245" i="1"/>
  <c r="BT244" i="1"/>
  <c r="BT243" i="1"/>
  <c r="AG136" i="1" l="1"/>
  <c r="AG135" i="1"/>
  <c r="AG134" i="1"/>
  <c r="AG133" i="1"/>
  <c r="AG132" i="1"/>
  <c r="AG131" i="1"/>
  <c r="AG130" i="1"/>
  <c r="AG129" i="1"/>
  <c r="AG127" i="1"/>
  <c r="AG125" i="1"/>
  <c r="AG124" i="1"/>
  <c r="AG123" i="1"/>
  <c r="AG122" i="1"/>
  <c r="AG118" i="1"/>
  <c r="AG117" i="1"/>
  <c r="AG115" i="1"/>
  <c r="AG1259" i="1" l="1"/>
  <c r="AG999" i="1"/>
  <c r="AG998" i="1"/>
  <c r="AG997" i="1"/>
  <c r="AG1304" i="1"/>
  <c r="AG1303" i="1"/>
  <c r="AG1302" i="1"/>
  <c r="AG1301" i="1"/>
  <c r="BS1792" i="1" l="1"/>
  <c r="BS1791" i="1"/>
  <c r="AG858" i="1" l="1"/>
  <c r="AG857" i="1"/>
  <c r="AN5" i="1" l="1"/>
  <c r="AN51" i="1" l="1"/>
  <c r="AG1113" i="1" l="1"/>
  <c r="AN1472" i="1" l="1"/>
  <c r="BT1571" i="1" l="1"/>
  <c r="AG359" i="1" l="1"/>
  <c r="BT847" i="1" l="1"/>
  <c r="AG1410" i="1" l="1"/>
  <c r="AG1409" i="1"/>
  <c r="DP173" i="8" l="1"/>
  <c r="DQ173" i="8"/>
  <c r="DR173" i="8"/>
  <c r="DS173" i="8"/>
  <c r="DT173" i="8"/>
  <c r="DU173" i="8"/>
  <c r="DV173" i="8"/>
  <c r="DW173" i="8"/>
  <c r="DX173" i="8"/>
  <c r="N200" i="8" l="1"/>
  <c r="O200" i="8"/>
  <c r="I184" i="8"/>
  <c r="W309" i="8"/>
  <c r="V309" i="8"/>
  <c r="U309" i="8"/>
  <c r="T309" i="8"/>
  <c r="S309" i="8"/>
  <c r="R309" i="8"/>
  <c r="Q309" i="8"/>
  <c r="O309" i="8"/>
  <c r="N309" i="8"/>
  <c r="W266" i="8"/>
  <c r="V266" i="8"/>
  <c r="U266" i="8"/>
  <c r="T266" i="8"/>
  <c r="S266" i="8"/>
  <c r="R266" i="8"/>
  <c r="Q266" i="8"/>
  <c r="O266" i="8"/>
  <c r="N266" i="8"/>
  <c r="W250" i="8"/>
  <c r="V250" i="8"/>
  <c r="U250" i="8"/>
  <c r="T250" i="8"/>
  <c r="S250" i="8"/>
  <c r="R250" i="8"/>
  <c r="Q250" i="8"/>
  <c r="W226" i="8"/>
  <c r="V226" i="8"/>
  <c r="U226" i="8"/>
  <c r="T226" i="8"/>
  <c r="S226" i="8"/>
  <c r="R226" i="8"/>
  <c r="Q226" i="8"/>
  <c r="O226" i="8"/>
  <c r="N226" i="8"/>
  <c r="W200" i="8"/>
  <c r="V200" i="8"/>
  <c r="U200" i="8"/>
  <c r="T200" i="8"/>
  <c r="S200" i="8"/>
  <c r="R200" i="8"/>
  <c r="Q200" i="8"/>
  <c r="W322" i="8" l="1"/>
  <c r="BC173" i="8" l="1"/>
  <c r="AJ173" i="8"/>
  <c r="AK173" i="8"/>
  <c r="AL173" i="8"/>
  <c r="AM173" i="8"/>
  <c r="AN173" i="8"/>
  <c r="AO173" i="8"/>
  <c r="AP173" i="8"/>
  <c r="AQ173" i="8"/>
  <c r="AR173" i="8"/>
  <c r="AS173" i="8"/>
  <c r="AT173" i="8"/>
  <c r="AU173" i="8"/>
  <c r="AV173" i="8"/>
  <c r="AW173" i="8"/>
  <c r="AX173" i="8"/>
  <c r="AY173" i="8"/>
  <c r="AZ173" i="8"/>
  <c r="BA173" i="8"/>
  <c r="BB173" i="8"/>
  <c r="BD173" i="8"/>
  <c r="BE173" i="8"/>
  <c r="BF173" i="8"/>
  <c r="BG173" i="8"/>
  <c r="BH173" i="8"/>
  <c r="BI173" i="8"/>
  <c r="BJ173" i="8"/>
  <c r="BK173" i="8"/>
  <c r="BL173" i="8"/>
  <c r="BM173" i="8"/>
  <c r="BN173" i="8"/>
  <c r="BO173" i="8"/>
  <c r="BP173" i="8"/>
  <c r="BQ173" i="8"/>
  <c r="BR173" i="8"/>
  <c r="BS173" i="8"/>
  <c r="BT173" i="8"/>
  <c r="BU173" i="8"/>
  <c r="BV173" i="8"/>
  <c r="BW173" i="8"/>
  <c r="BX173" i="8"/>
  <c r="BY173" i="8"/>
  <c r="BZ173" i="8"/>
  <c r="CA173" i="8"/>
  <c r="CB173" i="8"/>
  <c r="CC173" i="8"/>
  <c r="CD173" i="8"/>
  <c r="CE173" i="8"/>
  <c r="CF173" i="8"/>
  <c r="CG173" i="8"/>
  <c r="CH173" i="8"/>
  <c r="CI173" i="8"/>
  <c r="CJ173" i="8"/>
  <c r="CK173" i="8"/>
  <c r="CL173" i="8"/>
  <c r="CM173" i="8"/>
  <c r="CN173" i="8"/>
  <c r="CO173" i="8"/>
  <c r="CP173" i="8"/>
  <c r="CQ173" i="8"/>
  <c r="CR173" i="8"/>
  <c r="CS173" i="8"/>
  <c r="CT173" i="8"/>
  <c r="CU173" i="8"/>
  <c r="CV173" i="8"/>
  <c r="CW173" i="8"/>
  <c r="CX173" i="8"/>
  <c r="CY173" i="8"/>
  <c r="CZ173" i="8"/>
  <c r="DA173" i="8"/>
  <c r="DB173" i="8"/>
  <c r="DC173" i="8"/>
  <c r="DD173" i="8"/>
  <c r="DE173" i="8"/>
  <c r="DF173" i="8"/>
  <c r="DG173" i="8"/>
  <c r="DH173" i="8"/>
  <c r="DI173" i="8"/>
  <c r="DJ173" i="8"/>
  <c r="DK173" i="8"/>
  <c r="DL173" i="8"/>
  <c r="DM173" i="8"/>
  <c r="DN173" i="8"/>
  <c r="DO173" i="8"/>
  <c r="AI173" i="8"/>
  <c r="AE173" i="8"/>
  <c r="AF173" i="8"/>
  <c r="AC173" i="8"/>
  <c r="AG18" i="1" l="1"/>
  <c r="AG17" i="1"/>
  <c r="AG16" i="1"/>
  <c r="AG15" i="1"/>
  <c r="AG14" i="1"/>
  <c r="AG13" i="1"/>
  <c r="AG12" i="1"/>
  <c r="AG11" i="1"/>
  <c r="AG10" i="1"/>
  <c r="AG9" i="1"/>
  <c r="AG8" i="1"/>
  <c r="AG7" i="1"/>
  <c r="AG6" i="1"/>
  <c r="BT557" i="1" l="1"/>
  <c r="BS1789" i="1" l="1"/>
  <c r="AF873" i="1" l="1"/>
  <c r="AG875" i="1"/>
  <c r="AG873" i="1" s="1"/>
  <c r="L184" i="8" l="1"/>
  <c r="K184" i="8"/>
  <c r="J184" i="8"/>
  <c r="H184" i="8"/>
  <c r="G184" i="8"/>
  <c r="E184" i="8"/>
  <c r="D184" i="8"/>
  <c r="C184" i="8"/>
  <c r="F183" i="8"/>
  <c r="F158" i="8"/>
  <c r="F99" i="8"/>
  <c r="F30" i="8"/>
  <c r="AH642" i="1" l="1"/>
  <c r="AH643" i="1"/>
  <c r="AF1138" i="1" l="1"/>
  <c r="AG1138" i="1"/>
  <c r="BS924" i="1" l="1"/>
  <c r="AG684" i="1" l="1"/>
  <c r="AG1064" i="1" l="1"/>
  <c r="AF1064" i="1"/>
  <c r="AF230" i="1" l="1"/>
  <c r="AG230" i="1"/>
  <c r="AN1881" i="1" l="1"/>
  <c r="AG1526" i="1" l="1"/>
  <c r="CS1770" i="1" l="1"/>
  <c r="CL1770" i="1"/>
  <c r="BU520" i="1" l="1"/>
  <c r="BT520" i="1"/>
  <c r="AG1479" i="1" l="1"/>
  <c r="AG1478" i="1"/>
  <c r="AG1477" i="1"/>
  <c r="AG1476" i="1"/>
  <c r="AG1475" i="1"/>
  <c r="AG1474" i="1"/>
  <c r="AG1473" i="1"/>
  <c r="BT1344" i="1" l="1"/>
  <c r="AG1493" i="1" l="1"/>
  <c r="AF1097" i="1"/>
  <c r="AG1097" i="1"/>
  <c r="AG1622" i="1" l="1"/>
  <c r="BU832" i="1" l="1"/>
  <c r="BU831" i="1"/>
  <c r="BU830" i="1"/>
  <c r="I323" i="8" l="1"/>
  <c r="BS919" i="1" l="1"/>
  <c r="AG1472" i="1" l="1"/>
  <c r="AF1472" i="1"/>
  <c r="AH996" i="1"/>
  <c r="AG1408" i="1"/>
  <c r="AF1408" i="1"/>
  <c r="AG1003" i="1"/>
  <c r="AF1003" i="1"/>
  <c r="AF995" i="1" l="1"/>
  <c r="AG995" i="1"/>
  <c r="AG508" i="1" s="1"/>
  <c r="AH1555" i="1"/>
  <c r="AH1554" i="1"/>
  <c r="AH292" i="1"/>
  <c r="AH291" i="1"/>
  <c r="AG278" i="1"/>
  <c r="AF278" i="1"/>
  <c r="AF508" i="1"/>
  <c r="AF856" i="1"/>
  <c r="AG856" i="1"/>
  <c r="AG476" i="1" l="1"/>
  <c r="AF476" i="1"/>
  <c r="AH128" i="1"/>
  <c r="AH126" i="1"/>
  <c r="AH121" i="1"/>
  <c r="AH120" i="1"/>
  <c r="AH119" i="1"/>
  <c r="AH116" i="1"/>
  <c r="AG320" i="1"/>
  <c r="AG319" i="1"/>
  <c r="AF320" i="1"/>
  <c r="AF319" i="1"/>
  <c r="AF486" i="1"/>
  <c r="AF487" i="1"/>
  <c r="AF488" i="1"/>
  <c r="AF152" i="1"/>
  <c r="AF150" i="1"/>
  <c r="AF149" i="1"/>
  <c r="AF147" i="1"/>
  <c r="AF142" i="1"/>
  <c r="AF144" i="1"/>
  <c r="AF143" i="1"/>
  <c r="AF141" i="1"/>
  <c r="AF148" i="1"/>
  <c r="AF139" i="1"/>
  <c r="AF138" i="1"/>
  <c r="AG202" i="1"/>
  <c r="AG201" i="1"/>
  <c r="AG200" i="1"/>
  <c r="AG199" i="1"/>
  <c r="AF200" i="1"/>
  <c r="AF199" i="1"/>
  <c r="AG485" i="1" l="1"/>
  <c r="AG475" i="1" s="1"/>
  <c r="AF485" i="1"/>
  <c r="AF475" i="1" s="1"/>
  <c r="AF1306" i="1" l="1"/>
  <c r="AF470" i="1"/>
  <c r="AF758" i="1" s="1"/>
  <c r="AF1551" i="1" s="1"/>
  <c r="AG1306" i="1"/>
  <c r="AG470" i="1"/>
  <c r="AG758" i="1" s="1"/>
  <c r="AG1551" i="1" s="1"/>
  <c r="AG639" i="1" s="1"/>
  <c r="F61" i="8"/>
  <c r="R138" i="8" l="1"/>
  <c r="R141" i="8"/>
  <c r="R142" i="8"/>
  <c r="R140" i="8"/>
  <c r="R139" i="8"/>
  <c r="R137" i="8"/>
  <c r="R136" i="8"/>
  <c r="R134" i="8"/>
  <c r="R135" i="8"/>
  <c r="R132" i="8"/>
  <c r="R151" i="8" l="1"/>
  <c r="R155" i="8"/>
  <c r="R152" i="8"/>
  <c r="R150" i="8"/>
  <c r="R153" i="8"/>
  <c r="R154" i="8"/>
  <c r="R149" i="8"/>
  <c r="R148" i="8"/>
  <c r="R147" i="8"/>
  <c r="R146" i="8"/>
  <c r="R188" i="8"/>
  <c r="R187" i="8"/>
  <c r="R185" i="8"/>
  <c r="R184" i="8"/>
  <c r="R186" i="8"/>
  <c r="R180" i="8"/>
  <c r="R181" i="8"/>
  <c r="R182" i="8"/>
  <c r="R183" i="8"/>
  <c r="R179" i="8"/>
  <c r="W323" i="8" l="1"/>
  <c r="W324" i="8" l="1"/>
  <c r="C16" i="8"/>
  <c r="F159" i="8" l="1"/>
  <c r="F157" i="8"/>
  <c r="F156" i="8"/>
  <c r="F155" i="8"/>
  <c r="A158" i="8" l="1"/>
  <c r="P86" i="8" s="1"/>
  <c r="S323" i="8"/>
  <c r="L309" i="8" l="1"/>
  <c r="AG174" i="8" l="1"/>
  <c r="C358" i="8" l="1"/>
  <c r="F112" i="8" l="1"/>
  <c r="C15" i="8" l="1"/>
  <c r="C10" i="8"/>
  <c r="C18" i="8" s="1"/>
  <c r="C20" i="8" l="1"/>
  <c r="K226" i="8"/>
  <c r="J226" i="8"/>
  <c r="K250" i="8"/>
  <c r="J250" i="8"/>
  <c r="L266" i="8"/>
  <c r="L226" i="8"/>
  <c r="L323" i="8"/>
  <c r="L200" i="8"/>
  <c r="C200" i="8"/>
  <c r="F200" i="8"/>
  <c r="I200" i="8"/>
  <c r="V323" i="8" l="1"/>
  <c r="U323" i="8"/>
  <c r="T323" i="8"/>
  <c r="R323" i="8"/>
  <c r="Q323" i="8"/>
  <c r="O323" i="8"/>
  <c r="N323" i="8"/>
  <c r="E336" i="8"/>
  <c r="K323" i="8"/>
  <c r="J323" i="8"/>
  <c r="H323" i="8"/>
  <c r="G323" i="8"/>
  <c r="F323" i="8"/>
  <c r="E323" i="8"/>
  <c r="D323" i="8"/>
  <c r="C323" i="8"/>
  <c r="C1" i="8" l="1"/>
  <c r="E335" i="8"/>
  <c r="K309" i="8"/>
  <c r="J309" i="8"/>
  <c r="I309" i="8"/>
  <c r="H309" i="8"/>
  <c r="G309" i="8"/>
  <c r="F309" i="8"/>
  <c r="E309" i="8"/>
  <c r="D309" i="8"/>
  <c r="C309" i="8"/>
  <c r="E334" i="8"/>
  <c r="K266" i="8"/>
  <c r="J266" i="8"/>
  <c r="I266" i="8"/>
  <c r="H266" i="8"/>
  <c r="G266" i="8"/>
  <c r="F266" i="8"/>
  <c r="E266" i="8"/>
  <c r="D266" i="8"/>
  <c r="C266" i="8"/>
  <c r="O265" i="8"/>
  <c r="N265" i="8"/>
  <c r="N250" i="8" s="1"/>
  <c r="L265" i="8"/>
  <c r="O263" i="8"/>
  <c r="L263" i="8"/>
  <c r="O262" i="8"/>
  <c r="L262" i="8"/>
  <c r="O260" i="8"/>
  <c r="O256" i="8"/>
  <c r="O255" i="8"/>
  <c r="I250" i="8"/>
  <c r="H250" i="8"/>
  <c r="G250" i="8"/>
  <c r="F250" i="8"/>
  <c r="E250" i="8"/>
  <c r="D250" i="8"/>
  <c r="C250" i="8"/>
  <c r="E332" i="8"/>
  <c r="I226" i="8"/>
  <c r="H226" i="8"/>
  <c r="G226" i="8"/>
  <c r="F226" i="8"/>
  <c r="E226" i="8"/>
  <c r="D226" i="8"/>
  <c r="C226" i="8"/>
  <c r="E331" i="8"/>
  <c r="K200" i="8"/>
  <c r="J200" i="8"/>
  <c r="H200" i="8"/>
  <c r="G200" i="8"/>
  <c r="E200" i="8"/>
  <c r="D200" i="8"/>
  <c r="F182" i="8"/>
  <c r="R171" i="8" s="1"/>
  <c r="F181" i="8"/>
  <c r="F180" i="8"/>
  <c r="F179" i="8"/>
  <c r="F178" i="8"/>
  <c r="F177" i="8"/>
  <c r="F176" i="8"/>
  <c r="F175" i="8"/>
  <c r="F174" i="8"/>
  <c r="F173" i="8"/>
  <c r="F172" i="8"/>
  <c r="F171" i="8"/>
  <c r="F170" i="8"/>
  <c r="F169" i="8"/>
  <c r="R174" i="8" s="1"/>
  <c r="F168" i="8"/>
  <c r="F167" i="8"/>
  <c r="F166" i="8"/>
  <c r="F165" i="8"/>
  <c r="R168" i="8" s="1"/>
  <c r="F164" i="8"/>
  <c r="F163" i="8"/>
  <c r="F162" i="8"/>
  <c r="F161" i="8"/>
  <c r="F160" i="8"/>
  <c r="F154" i="8"/>
  <c r="F153" i="8"/>
  <c r="F152" i="8"/>
  <c r="R176" i="8" s="1"/>
  <c r="F151" i="8"/>
  <c r="F150" i="8"/>
  <c r="R175" i="8" s="1"/>
  <c r="F149" i="8"/>
  <c r="R173" i="8" s="1"/>
  <c r="F148" i="8"/>
  <c r="R172" i="8" s="1"/>
  <c r="F147" i="8"/>
  <c r="F146" i="8"/>
  <c r="F145" i="8"/>
  <c r="F144" i="8"/>
  <c r="F143" i="8"/>
  <c r="F142" i="8"/>
  <c r="F141" i="8"/>
  <c r="F140" i="8"/>
  <c r="F139" i="8"/>
  <c r="F138" i="8"/>
  <c r="F137" i="8"/>
  <c r="F136" i="8"/>
  <c r="F135" i="8"/>
  <c r="R169" i="8" s="1"/>
  <c r="F134" i="8"/>
  <c r="F132" i="8"/>
  <c r="F131" i="8"/>
  <c r="F130" i="8"/>
  <c r="F129" i="8"/>
  <c r="F128" i="8"/>
  <c r="F126" i="8"/>
  <c r="F125" i="8"/>
  <c r="F124" i="8"/>
  <c r="F123" i="8"/>
  <c r="F122" i="8"/>
  <c r="F121" i="8"/>
  <c r="F120" i="8"/>
  <c r="F119" i="8"/>
  <c r="F118" i="8"/>
  <c r="F117" i="8"/>
  <c r="F116" i="8"/>
  <c r="F114" i="8"/>
  <c r="F113" i="8"/>
  <c r="F111" i="8"/>
  <c r="F110" i="8"/>
  <c r="F109" i="8"/>
  <c r="F108" i="8"/>
  <c r="F107" i="8"/>
  <c r="F106" i="8"/>
  <c r="F105" i="8"/>
  <c r="F104" i="8"/>
  <c r="F103" i="8"/>
  <c r="F102" i="8"/>
  <c r="F101" i="8"/>
  <c r="F100"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R167" i="8" s="1"/>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29" i="8"/>
  <c r="F28" i="8"/>
  <c r="F27" i="8"/>
  <c r="O250" i="8" l="1"/>
  <c r="O322" i="8" s="1"/>
  <c r="P203" i="8" s="1"/>
  <c r="F184" i="8"/>
  <c r="A87" i="8"/>
  <c r="A36" i="8"/>
  <c r="P78" i="8" s="1"/>
  <c r="A55" i="8"/>
  <c r="P81" i="8" s="1"/>
  <c r="R170" i="8"/>
  <c r="A63" i="8"/>
  <c r="A69" i="8"/>
  <c r="A108" i="8"/>
  <c r="A111" i="8"/>
  <c r="A96" i="8"/>
  <c r="R322" i="8"/>
  <c r="P77" i="8"/>
  <c r="T322" i="8"/>
  <c r="C322" i="8"/>
  <c r="U322" i="8"/>
  <c r="A175" i="8"/>
  <c r="P80" i="8" s="1"/>
  <c r="A168" i="8"/>
  <c r="P75" i="8" s="1"/>
  <c r="A164" i="8"/>
  <c r="A162" i="8"/>
  <c r="A152" i="8"/>
  <c r="A142" i="8"/>
  <c r="A138" i="8"/>
  <c r="P76" i="8" s="1"/>
  <c r="A134" i="8"/>
  <c r="A131" i="8"/>
  <c r="P85" i="8" s="1"/>
  <c r="A126" i="8"/>
  <c r="P84" i="8" s="1"/>
  <c r="A119" i="8"/>
  <c r="P82" i="8" s="1"/>
  <c r="A59" i="8"/>
  <c r="A51" i="8"/>
  <c r="A29" i="8"/>
  <c r="L250" i="8"/>
  <c r="L322" i="8" s="1"/>
  <c r="M203" i="8" s="1"/>
  <c r="K322" i="8"/>
  <c r="J322" i="8"/>
  <c r="F322" i="8"/>
  <c r="S322" i="8"/>
  <c r="G322" i="8"/>
  <c r="V322" i="8"/>
  <c r="N322" i="8"/>
  <c r="Q322" i="8"/>
  <c r="H322" i="8"/>
  <c r="I322" i="8"/>
  <c r="D322" i="8"/>
  <c r="E322" i="8"/>
  <c r="P299" i="8" l="1"/>
  <c r="P276" i="8"/>
  <c r="M299" i="8"/>
  <c r="M276" i="8"/>
  <c r="P248" i="8"/>
  <c r="P247" i="8"/>
  <c r="M248" i="8"/>
  <c r="M247" i="8"/>
  <c r="P204" i="8"/>
  <c r="P281" i="8"/>
  <c r="M204" i="8"/>
  <c r="M281" i="8"/>
  <c r="M252" i="8"/>
  <c r="M258" i="8"/>
  <c r="M257" i="8"/>
  <c r="M251" i="8"/>
  <c r="M253" i="8"/>
  <c r="M259" i="8"/>
  <c r="E333" i="8"/>
  <c r="E337" i="8" s="1"/>
  <c r="C331" i="8" s="1"/>
  <c r="M260" i="8"/>
  <c r="M255" i="8"/>
  <c r="M254" i="8"/>
  <c r="M256" i="8"/>
  <c r="P83" i="8"/>
  <c r="P79" i="8"/>
  <c r="P73" i="8"/>
  <c r="P224" i="8"/>
  <c r="P314" i="8"/>
  <c r="P269" i="8"/>
  <c r="M314" i="8"/>
  <c r="M269" i="8"/>
  <c r="P308" i="8"/>
  <c r="P216" i="8"/>
  <c r="P262" i="8"/>
  <c r="P264" i="8"/>
  <c r="P315" i="8"/>
  <c r="P319" i="8"/>
  <c r="P256" i="8"/>
  <c r="P258" i="8"/>
  <c r="P312" i="8"/>
  <c r="P317" i="8"/>
  <c r="P321" i="8"/>
  <c r="P205" i="8"/>
  <c r="P209" i="8"/>
  <c r="P201" i="8"/>
  <c r="P207" i="8"/>
  <c r="P211" i="8"/>
  <c r="P213" i="8"/>
  <c r="P215" i="8"/>
  <c r="P218" i="8"/>
  <c r="P220" i="8"/>
  <c r="P225" i="8"/>
  <c r="P230" i="8"/>
  <c r="P222" i="8"/>
  <c r="P228" i="8"/>
  <c r="P232" i="8"/>
  <c r="P234" i="8"/>
  <c r="P238" i="8"/>
  <c r="P236" i="8"/>
  <c r="P242" i="8"/>
  <c r="P240" i="8"/>
  <c r="P244" i="8"/>
  <c r="P249" i="8"/>
  <c r="P265" i="8"/>
  <c r="P259" i="8"/>
  <c r="P253" i="8"/>
  <c r="P251" i="8"/>
  <c r="P261" i="8"/>
  <c r="P311" i="8"/>
  <c r="P313" i="8"/>
  <c r="P316" i="8"/>
  <c r="P318" i="8"/>
  <c r="P320" i="8"/>
  <c r="P322" i="8"/>
  <c r="P202" i="8"/>
  <c r="P206" i="8"/>
  <c r="P208" i="8"/>
  <c r="P210" i="8"/>
  <c r="P212" i="8"/>
  <c r="P214" i="8"/>
  <c r="P217" i="8"/>
  <c r="P219" i="8"/>
  <c r="P221" i="8"/>
  <c r="P223" i="8"/>
  <c r="P227" i="8"/>
  <c r="P229" i="8"/>
  <c r="P231" i="8"/>
  <c r="P233" i="8"/>
  <c r="P235" i="8"/>
  <c r="P237" i="8"/>
  <c r="P239" i="8"/>
  <c r="P241" i="8"/>
  <c r="P243" i="8"/>
  <c r="P245" i="8"/>
  <c r="P257" i="8"/>
  <c r="P271" i="8"/>
  <c r="P246" i="8"/>
  <c r="P254" i="8"/>
  <c r="P268" i="8"/>
  <c r="P274" i="8"/>
  <c r="P277" i="8"/>
  <c r="P279" i="8"/>
  <c r="P267" i="8"/>
  <c r="P270" i="8"/>
  <c r="P272" i="8"/>
  <c r="P275" i="8"/>
  <c r="P278" i="8"/>
  <c r="P280" i="8"/>
  <c r="P282" i="8"/>
  <c r="P283" i="8"/>
  <c r="P287" i="8"/>
  <c r="P285" i="8"/>
  <c r="P289" i="8"/>
  <c r="P293" i="8"/>
  <c r="P291" i="8"/>
  <c r="P297" i="8"/>
  <c r="P284" i="8"/>
  <c r="P286" i="8"/>
  <c r="P288" i="8"/>
  <c r="P290" i="8"/>
  <c r="P292" i="8"/>
  <c r="P295" i="8"/>
  <c r="P300" i="8"/>
  <c r="P302" i="8"/>
  <c r="P304" i="8"/>
  <c r="P294" i="8"/>
  <c r="P296" i="8"/>
  <c r="P298" i="8"/>
  <c r="P301" i="8"/>
  <c r="P303" i="8"/>
  <c r="P305" i="8"/>
  <c r="P306" i="8"/>
  <c r="P307" i="8"/>
  <c r="P310" i="8"/>
  <c r="P263" i="8"/>
  <c r="P260" i="8"/>
  <c r="P252" i="8"/>
  <c r="P255" i="8"/>
  <c r="P273" i="8"/>
  <c r="M273" i="8"/>
  <c r="M224" i="8"/>
  <c r="M263" i="8"/>
  <c r="M216" i="8"/>
  <c r="P87" i="8"/>
  <c r="P74" i="8"/>
  <c r="M250" i="8"/>
  <c r="M200" i="8"/>
  <c r="M265" i="8"/>
  <c r="M266" i="8"/>
  <c r="M226" i="8"/>
  <c r="M322" i="8"/>
  <c r="M321" i="8"/>
  <c r="M320" i="8"/>
  <c r="M319" i="8"/>
  <c r="M318" i="8"/>
  <c r="M317" i="8"/>
  <c r="M316" i="8"/>
  <c r="M315" i="8"/>
  <c r="M313" i="8"/>
  <c r="M312" i="8"/>
  <c r="M311" i="8"/>
  <c r="M310" i="8"/>
  <c r="M264" i="8"/>
  <c r="M261" i="8"/>
  <c r="M308" i="8"/>
  <c r="M307" i="8"/>
  <c r="M306" i="8"/>
  <c r="M305" i="8"/>
  <c r="M304" i="8"/>
  <c r="M303" i="8"/>
  <c r="M302" i="8"/>
  <c r="M301" i="8"/>
  <c r="M300" i="8"/>
  <c r="M298" i="8"/>
  <c r="M297" i="8"/>
  <c r="M296" i="8"/>
  <c r="M295" i="8"/>
  <c r="M294" i="8"/>
  <c r="M293" i="8"/>
  <c r="M292" i="8"/>
  <c r="M291" i="8"/>
  <c r="M290" i="8"/>
  <c r="M289" i="8"/>
  <c r="M288" i="8"/>
  <c r="M287" i="8"/>
  <c r="M286" i="8"/>
  <c r="M285" i="8"/>
  <c r="M284" i="8"/>
  <c r="M283" i="8"/>
  <c r="M282" i="8"/>
  <c r="M280" i="8"/>
  <c r="M279" i="8"/>
  <c r="M278" i="8"/>
  <c r="M277" i="8"/>
  <c r="M275" i="8"/>
  <c r="M274" i="8"/>
  <c r="M272" i="8"/>
  <c r="M271" i="8"/>
  <c r="M270" i="8"/>
  <c r="M268" i="8"/>
  <c r="M267" i="8"/>
  <c r="M249" i="8"/>
  <c r="M246" i="8"/>
  <c r="M245" i="8"/>
  <c r="M244" i="8"/>
  <c r="M243" i="8"/>
  <c r="M242" i="8"/>
  <c r="M241" i="8"/>
  <c r="M240" i="8"/>
  <c r="M239" i="8"/>
  <c r="M238" i="8"/>
  <c r="M237" i="8"/>
  <c r="M236" i="8"/>
  <c r="M235" i="8"/>
  <c r="M234" i="8"/>
  <c r="M233" i="8"/>
  <c r="M232" i="8"/>
  <c r="M231" i="8"/>
  <c r="M230" i="8"/>
  <c r="M229" i="8"/>
  <c r="M228" i="8"/>
  <c r="M227" i="8"/>
  <c r="M225" i="8"/>
  <c r="M223" i="8"/>
  <c r="M222" i="8"/>
  <c r="M221" i="8"/>
  <c r="M220" i="8"/>
  <c r="M219" i="8"/>
  <c r="M218" i="8"/>
  <c r="M217" i="8"/>
  <c r="M215" i="8"/>
  <c r="M214" i="8"/>
  <c r="M213" i="8"/>
  <c r="M212" i="8"/>
  <c r="M211" i="8"/>
  <c r="M210" i="8"/>
  <c r="M209" i="8"/>
  <c r="M208" i="8"/>
  <c r="M207" i="8"/>
  <c r="M206" i="8"/>
  <c r="M205" i="8"/>
  <c r="M202" i="8"/>
  <c r="M201" i="8"/>
  <c r="M262" i="8"/>
  <c r="P309" i="8" l="1"/>
  <c r="P266" i="8"/>
  <c r="P250" i="8"/>
  <c r="P226" i="8"/>
  <c r="P200" i="8"/>
  <c r="P88" i="8"/>
  <c r="Q86" i="8" s="1"/>
  <c r="C336" i="8"/>
  <c r="C334" i="8"/>
  <c r="C335" i="8"/>
  <c r="C333" i="8"/>
  <c r="C332" i="8"/>
  <c r="P323" i="8"/>
  <c r="M323" i="8"/>
  <c r="M309" i="8"/>
  <c r="C337" i="8" l="1"/>
  <c r="Q80" i="8"/>
  <c r="Q84" i="8"/>
  <c r="Q85" i="8"/>
  <c r="Q75" i="8"/>
  <c r="Q74" i="8"/>
  <c r="Q77" i="8"/>
  <c r="Q83" i="8"/>
  <c r="Q82" i="8"/>
  <c r="Q78" i="8"/>
  <c r="Q79" i="8"/>
  <c r="Q76" i="8"/>
  <c r="Q73" i="8"/>
  <c r="Q81" i="8"/>
  <c r="Q88" i="8" l="1"/>
  <c r="AF284" i="1" l="1"/>
  <c r="AF215" i="1"/>
  <c r="AF1300" i="1"/>
  <c r="AG284" i="1" l="1"/>
  <c r="AG215" i="1"/>
  <c r="AG207" i="1" s="1"/>
  <c r="AG1300" i="1"/>
  <c r="AG170" i="1" l="1"/>
  <c r="AG137" i="1" l="1"/>
  <c r="AG86" i="1" s="1"/>
  <c r="AG51" i="1" s="1"/>
  <c r="AG318" i="1"/>
  <c r="AG380" i="1" l="1"/>
  <c r="AG192" i="1"/>
  <c r="AG198" i="1" s="1"/>
  <c r="AG5" i="1" s="1"/>
  <c r="AG25" i="1" s="1"/>
  <c r="AF170" i="1"/>
  <c r="AF318" i="1" s="1"/>
  <c r="AF137" i="1" s="1"/>
  <c r="AF86" i="1" s="1"/>
  <c r="AF51" i="1" s="1"/>
  <c r="AF380" i="1" s="1"/>
  <c r="AF198" i="1" s="1"/>
  <c r="AF5" i="1" s="1"/>
  <c r="AF25" i="1" s="1"/>
  <c r="F334" i="8" l="1"/>
  <c r="F336" i="8" l="1"/>
  <c r="F335" i="8" l="1"/>
  <c r="F331" i="8"/>
  <c r="F332" i="8"/>
  <c r="F333" i="8"/>
  <c r="F337" i="8" l="1"/>
  <c r="D331" i="8" s="1"/>
  <c r="D335" i="8" l="1"/>
  <c r="D333" i="8"/>
  <c r="D332" i="8"/>
  <c r="D336" i="8"/>
  <c r="D334" i="8"/>
  <c r="R81" i="8"/>
  <c r="R80" i="8"/>
  <c r="R86" i="8"/>
  <c r="R76" i="8"/>
  <c r="R87" i="8"/>
  <c r="R79" i="8"/>
  <c r="R77" i="8"/>
  <c r="R78" i="8"/>
  <c r="R82" i="8"/>
  <c r="R85" i="8"/>
  <c r="D337" i="8" l="1"/>
  <c r="R83" i="8"/>
  <c r="R74" i="8"/>
  <c r="R73" i="8"/>
  <c r="R84" i="8"/>
  <c r="R75" i="8"/>
  <c r="R88" i="8" l="1"/>
</calcChain>
</file>

<file path=xl/comments1.xml><?xml version="1.0" encoding="utf-8"?>
<comments xmlns="http://schemas.openxmlformats.org/spreadsheetml/2006/main">
  <authors>
    <author>Jørgen Fenhann</author>
    <author>J. Fenhann, UNEP Risoe Centre</author>
    <author xml:space="preserve"> </author>
    <author>Marco Christian Schletz</author>
    <author>Jørgen Villy Fenhann</author>
  </authors>
  <commentList>
    <comment ref="Q4" authorId="0">
      <text>
        <r>
          <rPr>
            <b/>
            <sz val="8"/>
            <color indexed="81"/>
            <rFont val="Tahoma"/>
            <family val="2"/>
          </rPr>
          <t>This column subdivide the type into Resources, technology or
subsectors</t>
        </r>
      </text>
    </comment>
    <comment ref="U4" authorId="1">
      <text>
        <r>
          <rPr>
            <b/>
            <sz val="10"/>
            <color indexed="81"/>
            <rFont val="Tahoma"/>
            <family val="2"/>
          </rPr>
          <t>Average over 7/10 years or 20/30 years.</t>
        </r>
      </text>
    </comment>
    <comment ref="V4" authorId="1">
      <text>
        <r>
          <rPr>
            <b/>
            <sz val="10"/>
            <color indexed="81"/>
            <rFont val="Tahoma"/>
            <family val="2"/>
          </rPr>
          <t>Average over 2 nd 7 years or 2nd 20 years.</t>
        </r>
      </text>
    </comment>
    <comment ref="AA4" authorId="0">
      <text>
        <r>
          <rPr>
            <b/>
            <sz val="9"/>
            <color indexed="81"/>
            <rFont val="Tahoma"/>
            <family val="2"/>
          </rPr>
          <t>If the expected GHG reductions change over the first 7 or 10 years, the increase is approximated with a line with the slope in this collumn (Unit ktCO2/yr). If negative reductions decrease over time.</t>
        </r>
        <r>
          <rPr>
            <sz val="8"/>
            <color indexed="81"/>
            <rFont val="Tahoma"/>
            <family val="2"/>
          </rPr>
          <t xml:space="preserve">
</t>
        </r>
      </text>
    </comment>
    <comment ref="AL4" authorId="2">
      <text>
        <r>
          <rPr>
            <b/>
            <sz val="8"/>
            <color indexed="81"/>
            <rFont val="Tahoma"/>
            <family val="2"/>
          </rPr>
          <t xml:space="preserve"> This is defined as the CERs issued devided by the number of CERs expected in the PDD for the same period
</t>
        </r>
      </text>
    </comment>
    <comment ref="BA4" authorId="0">
      <text>
        <r>
          <rPr>
            <b/>
            <sz val="10"/>
            <color indexed="81"/>
            <rFont val="Tahoma"/>
            <family val="2"/>
          </rPr>
          <t xml:space="preserve">Correction 1: The project had a request for corrections after a request fro review.
</t>
        </r>
        <r>
          <rPr>
            <b/>
            <sz val="10"/>
            <color indexed="81"/>
            <rFont val="Tahoma"/>
            <family val="2"/>
          </rPr>
          <t>Correction 2: 
The project had a Request for correction after a review</t>
        </r>
      </text>
    </comment>
    <comment ref="BF4" authorId="3">
      <text>
        <r>
          <rPr>
            <b/>
            <sz val="9"/>
            <color indexed="81"/>
            <rFont val="Tahoma"/>
            <family val="2"/>
          </rPr>
          <t>Marco Christian Schletz:</t>
        </r>
        <r>
          <rPr>
            <sz val="9"/>
            <color indexed="81"/>
            <rFont val="Tahoma"/>
            <family val="2"/>
          </rPr>
          <t xml:space="preserve">
1 -Air
2 - Land
3 - Water
4- Natural resources
5 - Jobs
6 - Heatlth and safety
7 - Education
8 - Welfare
9 - Growth
10 - Energy
11 - Tchnology Transfer
12 - Balance of Payments</t>
        </r>
      </text>
    </comment>
    <comment ref="BS4" authorId="0">
      <text>
        <r>
          <rPr>
            <b/>
            <sz val="8"/>
            <color indexed="81"/>
            <rFont val="Tahoma"/>
            <family val="2"/>
          </rPr>
          <t>The total MW installed at the end of 2012</t>
        </r>
      </text>
    </comment>
    <comment ref="BU4" authorId="4">
      <text>
        <r>
          <rPr>
            <b/>
            <sz val="8"/>
            <color indexed="81"/>
            <rFont val="Tahoma"/>
            <family val="2"/>
          </rPr>
          <t>=Wom*OM+Wbm*BM</t>
        </r>
      </text>
    </comment>
    <comment ref="BY4" authorId="4">
      <text>
        <r>
          <rPr>
            <b/>
            <sz val="10"/>
            <color indexed="81"/>
            <rFont val="Tahoma"/>
            <family val="2"/>
          </rPr>
          <t>Foik = First of its kind
Plist= Positive List
MSC = Micro Scale
SUZ=Special Underdeveloped Zone
DNA = Recommended by a DNA and approved by EB</t>
        </r>
      </text>
    </comment>
    <comment ref="N1040" authorId="4">
      <text>
        <r>
          <rPr>
            <b/>
            <sz val="9"/>
            <color indexed="81"/>
            <rFont val="Tahoma"/>
            <family val="2"/>
          </rPr>
          <t>Withdrawn before publication</t>
        </r>
      </text>
    </comment>
    <comment ref="D1821" authorId="4">
      <text>
        <r>
          <rPr>
            <b/>
            <sz val="9"/>
            <color indexed="81"/>
            <rFont val="Tahoma"/>
            <family val="2"/>
          </rPr>
          <t>No 10411-1 exist</t>
        </r>
      </text>
    </comment>
  </commentList>
</comments>
</file>

<file path=xl/comments2.xml><?xml version="1.0" encoding="utf-8"?>
<comments xmlns="http://schemas.openxmlformats.org/spreadsheetml/2006/main">
  <authors>
    <author>Jørgen Fenhann</author>
    <author xml:space="preserve"> </author>
  </authors>
  <commentList>
    <comment ref="B141" authorId="0">
      <text>
        <r>
          <rPr>
            <b/>
            <sz val="10"/>
            <color indexed="81"/>
            <rFont val="Tahoma"/>
            <family val="2"/>
          </rPr>
          <t>Including incineration</t>
        </r>
        <r>
          <rPr>
            <sz val="10"/>
            <color indexed="81"/>
            <rFont val="Tahoma"/>
            <family val="2"/>
          </rPr>
          <t xml:space="preserve">
</t>
        </r>
      </text>
    </comment>
    <comment ref="D199" authorId="1">
      <text>
        <r>
          <rPr>
            <b/>
            <sz val="8"/>
            <color indexed="81"/>
            <rFont val="Tahoma"/>
            <family val="2"/>
          </rPr>
          <t>1 kCER = 1000 CER</t>
        </r>
      </text>
    </comment>
    <comment ref="E199" authorId="1">
      <text>
        <r>
          <rPr>
            <b/>
            <sz val="8"/>
            <color indexed="81"/>
            <rFont val="Tahoma"/>
            <family val="2"/>
          </rPr>
          <t>1 kCER = 1000 CER</t>
        </r>
      </text>
    </comment>
    <comment ref="N199" authorId="1">
      <text>
        <r>
          <rPr>
            <b/>
            <sz val="8"/>
            <color indexed="81"/>
            <rFont val="Tahoma"/>
            <family val="2"/>
          </rPr>
          <t>1 kCER = 1000 CER</t>
        </r>
      </text>
    </comment>
    <comment ref="S199" authorId="1">
      <text>
        <r>
          <rPr>
            <b/>
            <sz val="8"/>
            <color indexed="81"/>
            <rFont val="Tahoma"/>
            <family val="2"/>
          </rPr>
          <t>1 kCER = 1000 CER</t>
        </r>
      </text>
    </comment>
  </commentList>
</comments>
</file>

<file path=xl/sharedStrings.xml><?xml version="1.0" encoding="utf-8"?>
<sst xmlns="http://schemas.openxmlformats.org/spreadsheetml/2006/main" count="40211" uniqueCount="9841">
  <si>
    <t>CERs issued</t>
  </si>
  <si>
    <t>Line</t>
  </si>
  <si>
    <t>ID</t>
  </si>
  <si>
    <t>Ref.</t>
  </si>
  <si>
    <t>Title</t>
  </si>
  <si>
    <t>Host country</t>
  </si>
  <si>
    <t>Coordinating Entity</t>
  </si>
  <si>
    <t>Status</t>
  </si>
  <si>
    <t>Type</t>
  </si>
  <si>
    <t>Sub-type</t>
  </si>
  <si>
    <t>Number of CPAs</t>
  </si>
  <si>
    <t>yrs.</t>
  </si>
  <si>
    <t>Slo-pe</t>
  </si>
  <si>
    <t>2012 ktCO2</t>
  </si>
  <si>
    <t>2020 ktCO2</t>
  </si>
  <si>
    <t>Validator</t>
  </si>
  <si>
    <t>kCERs</t>
  </si>
  <si>
    <t>First issuance</t>
  </si>
  <si>
    <t>Until</t>
  </si>
  <si>
    <t>Expected kCERs</t>
  </si>
  <si>
    <t>Issuance success</t>
  </si>
  <si>
    <t>Verifier</t>
  </si>
  <si>
    <t>Credit buyer</t>
  </si>
  <si>
    <t>PoA/CPA Consultant</t>
  </si>
  <si>
    <t>Start comment</t>
  </si>
  <si>
    <t>Submitted again later</t>
  </si>
  <si>
    <t>Host LoA</t>
  </si>
  <si>
    <t>Reg. Request</t>
  </si>
  <si>
    <t>Review history</t>
  </si>
  <si>
    <t>MW</t>
  </si>
  <si>
    <t>Grid emission factor tCO2e/MWh</t>
  </si>
  <si>
    <t>PoA0103</t>
  </si>
  <si>
    <t>Philippines – Chiller Energy Efficiency Programme (PCEEP)</t>
  </si>
  <si>
    <t>At Validation</t>
  </si>
  <si>
    <t>EE service</t>
  </si>
  <si>
    <t>Air conditioning</t>
  </si>
  <si>
    <t>AM60</t>
  </si>
  <si>
    <t>TÜV-SÜD</t>
  </si>
  <si>
    <t>Environmental Management Bureau (EMB-DENR)</t>
  </si>
  <si>
    <t>Philippines –Chiller Energy Efficiency Program: CPA 1 Manila Peninsula Hotel</t>
  </si>
  <si>
    <t>PoA0013</t>
  </si>
  <si>
    <t>Promotion of Biomass Based Heat Generation Systems in India</t>
  </si>
  <si>
    <t>India</t>
  </si>
  <si>
    <t>Thermax Sustainable Energy Solutions</t>
  </si>
  <si>
    <t>Registered</t>
  </si>
  <si>
    <t>Biomass energy</t>
  </si>
  <si>
    <t>AMS-I.C.</t>
  </si>
  <si>
    <t>TÜV-Nord</t>
  </si>
  <si>
    <t>Asia Carbon</t>
  </si>
  <si>
    <t>MicroEnergy Credits  POA – Grameen Koota Indoor Air Pollution Campaign</t>
  </si>
  <si>
    <t>MicroEnergy Credits</t>
  </si>
  <si>
    <t>EE households</t>
  </si>
  <si>
    <t>Appliances</t>
  </si>
  <si>
    <t>AMS-II.G.+AMS-III.AV.+AMS-I.A.</t>
  </si>
  <si>
    <t>DNV</t>
  </si>
  <si>
    <t>n.a.</t>
  </si>
  <si>
    <t>PoA0226</t>
  </si>
  <si>
    <t>Mexico Water, Energy, &amp; Emissions Efficiency Residential Program</t>
  </si>
  <si>
    <t>Mexico</t>
  </si>
  <si>
    <t>Camino Azul</t>
  </si>
  <si>
    <t>AMS-II.M.</t>
  </si>
  <si>
    <t>Mexico Water, Energy, &amp; Emissions Efficiency Residential Program – CPA.DF.1</t>
  </si>
  <si>
    <t>MicroEnergy Credits  – Microfinance for Clean Energy Product Lines  - Mongolia –CPA No.001: XacBank</t>
  </si>
  <si>
    <t>Mongolia</t>
  </si>
  <si>
    <t>AMS-II.E.</t>
  </si>
  <si>
    <t>PoA0076</t>
  </si>
  <si>
    <t>Biogas Utility Programme to Households by Grameen Shakti in Municipalities of Bangladesh</t>
  </si>
  <si>
    <t>Bangladesh</t>
  </si>
  <si>
    <t>Grameen Shakti</t>
  </si>
  <si>
    <t>Methane avoidance</t>
  </si>
  <si>
    <t>Biogas from MSW</t>
  </si>
  <si>
    <t>AMS-III.AO.+AMS-I.E.</t>
  </si>
  <si>
    <t>BV Cert</t>
  </si>
  <si>
    <t>PEAR Carbon Offset Initiative</t>
  </si>
  <si>
    <t>Biogas Utility Programme to Households by Grameen Shakti in Faridpur of Bangladesh- CPA-[Far]-[01]</t>
  </si>
  <si>
    <t>Faridpur</t>
  </si>
  <si>
    <t>PoA0187</t>
  </si>
  <si>
    <t>BWC Sustainable Landfill Gas Recovery Programme of Activities in Indonesia</t>
  </si>
  <si>
    <t>Indonesia</t>
  </si>
  <si>
    <t>PT Blue World Indonesia</t>
  </si>
  <si>
    <t>Landfill gas</t>
  </si>
  <si>
    <t>ACM1</t>
  </si>
  <si>
    <t>KBS</t>
  </si>
  <si>
    <t>CPA B11001- Bagendung Landfill Gas Recovery</t>
  </si>
  <si>
    <t>4041-0001</t>
  </si>
  <si>
    <t>Maharashtra</t>
  </si>
  <si>
    <t>Biomass briquettes</t>
  </si>
  <si>
    <t>PoA0143</t>
  </si>
  <si>
    <t>Biomass Heat Generation Development Programme of Activities Managed by INTRACO</t>
  </si>
  <si>
    <t>Vietnam</t>
  </si>
  <si>
    <t>Investment and Trade Consultancy Company (INTRACO)</t>
  </si>
  <si>
    <t>Golden Hope Biomass Boiler Project</t>
  </si>
  <si>
    <t>PoA0066</t>
  </si>
  <si>
    <t>EE industry</t>
  </si>
  <si>
    <t>Building materials</t>
  </si>
  <si>
    <t>AMS-III.Z.</t>
  </si>
  <si>
    <t>TÜV-Rhein</t>
  </si>
  <si>
    <t>INTRACO</t>
  </si>
  <si>
    <t>Khang Minh Brick Project</t>
  </si>
  <si>
    <t>Ha Nam</t>
  </si>
  <si>
    <t>PoA0019</t>
  </si>
  <si>
    <t>Chemicals</t>
  </si>
  <si>
    <t>AMS-II.D.</t>
  </si>
  <si>
    <t>RINA</t>
  </si>
  <si>
    <t>Energy Efficiency Measures Utilising Waste Heat in Vapour Absorption Machine (VAM) CPA Number 001</t>
  </si>
  <si>
    <t>PoA0049</t>
  </si>
  <si>
    <t>The composition of waste heat network for environmentally friendly industrial complex</t>
  </si>
  <si>
    <t>South Korea</t>
  </si>
  <si>
    <t>Korea Industrial Complex Corporation (KICOX)</t>
  </si>
  <si>
    <t>Chemicals heat</t>
  </si>
  <si>
    <t>ACM12</t>
  </si>
  <si>
    <t>KSA</t>
  </si>
  <si>
    <t>Ecoeye</t>
  </si>
  <si>
    <t>The construction of renewable energy supply network using waste heat from dyeing complexes wastes</t>
  </si>
  <si>
    <t>Gyeonggi</t>
  </si>
  <si>
    <t>PoA0074</t>
  </si>
  <si>
    <t>China Coal Mine Ventilation Air Methane Oxidization Programme</t>
  </si>
  <si>
    <t>China</t>
  </si>
  <si>
    <t>Shaanxi Binchang New Energy Co.</t>
  </si>
  <si>
    <t>Coal bed/mine methane</t>
  </si>
  <si>
    <t>CMM &amp; Ventilation Air Methane</t>
  </si>
  <si>
    <t>ACM8</t>
  </si>
  <si>
    <t>Dafosi Coal Mine Ventilation Air Methane Power Generation Project (CPA-CVAM-1)</t>
  </si>
  <si>
    <t>Shaanxi</t>
  </si>
  <si>
    <t>PoA0218</t>
  </si>
  <si>
    <t>Grid-connected Coal Mine Methane Power Generation Programme</t>
  </si>
  <si>
    <t>Union Power Carbon Asset Management</t>
  </si>
  <si>
    <t>Coal Mine Methane</t>
  </si>
  <si>
    <t>Shanxi Dubao Clean Energy Investment Co., Ltd. Hongxiang Coal Mine Methane Power Generation Project</t>
  </si>
  <si>
    <t>PoA0155</t>
  </si>
  <si>
    <t>Coal Mine Methane Utilisation and Destruction Programme in DPR Korea</t>
  </si>
  <si>
    <t>North Korea</t>
  </si>
  <si>
    <t>Carbon Development and Trading</t>
  </si>
  <si>
    <t>Carbon Check</t>
  </si>
  <si>
    <t>Kogonwon Coal Mine (CMM-DPRK-1)</t>
  </si>
  <si>
    <t>PoA0102</t>
  </si>
  <si>
    <t>Cogeneration and/or trigeneration at commercial sites.</t>
  </si>
  <si>
    <t>South Africa</t>
  </si>
  <si>
    <t>Promethium Carbon</t>
  </si>
  <si>
    <t>EE supply side</t>
  </si>
  <si>
    <t>Cogeneration</t>
  </si>
  <si>
    <t>AMS-II.K.</t>
  </si>
  <si>
    <t>Cogeneration and/or trigeneration at commercial sites, number 001, Centurion.</t>
  </si>
  <si>
    <t>PoA0214</t>
  </si>
  <si>
    <t>MSW Incineration for Power Generation Programme</t>
  </si>
  <si>
    <t>Combustion of MSW</t>
  </si>
  <si>
    <t>AM25</t>
  </si>
  <si>
    <t>CEPREI</t>
  </si>
  <si>
    <t>Pujiangling MSW Incineration for Power Generation Project in Fujian Province</t>
  </si>
  <si>
    <t>PoA0050</t>
  </si>
  <si>
    <t>AWMS Composting Project</t>
  </si>
  <si>
    <t>Brazil</t>
  </si>
  <si>
    <t>Composting</t>
  </si>
  <si>
    <t>AMS-III.F.</t>
  </si>
  <si>
    <t>BR_MT – Estância Bahia_AMB001 integrated of PoA “AWMS Composting Project”</t>
  </si>
  <si>
    <t>Mato Grosso</t>
  </si>
  <si>
    <t>PoA0025</t>
  </si>
  <si>
    <t>BORDA/atmosfair Germany</t>
  </si>
  <si>
    <t>2010 project activity KIPRAH Community-based Integrated Solid Waste Management</t>
  </si>
  <si>
    <t>Many</t>
  </si>
  <si>
    <t>PoA0098</t>
  </si>
  <si>
    <t>Carbon Conservation</t>
  </si>
  <si>
    <t>Socfindo EFB plus POME Co-composting Project</t>
  </si>
  <si>
    <t>PoA0183</t>
  </si>
  <si>
    <t>Programme for Promotion of Access to Domestic Biogas in Rural Bangladesh</t>
  </si>
  <si>
    <t>Infrastructure Development Company Limited</t>
  </si>
  <si>
    <t>AMS-I.E.</t>
  </si>
  <si>
    <t>JQA</t>
  </si>
  <si>
    <t>Domestic Biogas CPA-1.12.2011 in Rural Bangladesh (13/12/2011–31/01/2012)</t>
  </si>
  <si>
    <t>PoA0017</t>
  </si>
  <si>
    <t>Hunan</t>
  </si>
  <si>
    <t>Beijing Hebaiyi Ecological Energy Development Co.</t>
  </si>
  <si>
    <t>Domestic manure</t>
  </si>
  <si>
    <t>Gaia Consulting</t>
  </si>
  <si>
    <t>The 1st Northern CPA of Hunan Household Biogas Digester Programme</t>
  </si>
  <si>
    <t>PoA0034</t>
  </si>
  <si>
    <t>Henan Province Zhoukou City Rural Household Biogas Development Programme (2007-2010)</t>
  </si>
  <si>
    <t>Zhoukou city, Henan</t>
  </si>
  <si>
    <t>Zhoukou New Energy Development Co.</t>
  </si>
  <si>
    <t>The 1st CPA of Henan Province Zhoukou City Rural Household Biogas Development Programme</t>
  </si>
  <si>
    <t>Wangdian Town, Huaiyang County</t>
  </si>
  <si>
    <t>PoA0037</t>
  </si>
  <si>
    <t>Shangqiu City, Henan</t>
  </si>
  <si>
    <t>Shangqiu Fengji Biogas Technology Service Co.</t>
  </si>
  <si>
    <t>Henan Province Shangqiu City Yongcheng County Mangshan Town Rural Household Biogas Development Programme activity in 2008---CPA1</t>
  </si>
  <si>
    <t>Shangqiu City Yongcheng County Mangshan Town</t>
  </si>
  <si>
    <t>PoA0040</t>
  </si>
  <si>
    <t>Biogas Micro-digester Promoting Program for Rural Farmer Households in Chongqing</t>
  </si>
  <si>
    <t>Chongqing</t>
  </si>
  <si>
    <t>Beijing Chizi Hengyuan Huanbao Keji</t>
  </si>
  <si>
    <t>AMS-III.R.</t>
  </si>
  <si>
    <t>Climate Experts</t>
  </si>
  <si>
    <t>Biogas Micro-digester Introductions to Rural Households in Kaixian of Chongqing, China (CPA-KX-1)</t>
  </si>
  <si>
    <t>Kai County</t>
  </si>
  <si>
    <t>PoA0059</t>
  </si>
  <si>
    <t>Sichuan Rural Poor-Household Biogas Development Programme</t>
  </si>
  <si>
    <t>Sichuan</t>
  </si>
  <si>
    <t>Chengdu Oasis Science and Technology Co.</t>
  </si>
  <si>
    <t>AMS-III.R.+AMS-I.C.</t>
  </si>
  <si>
    <t>Oasis Science and Technology Development Beijing</t>
  </si>
  <si>
    <t>Sichuan Rural Poor-Household Biogas Development Programme, CPA Nb. SCHHBG-2010-001</t>
  </si>
  <si>
    <t>Yibin in Sichuan</t>
  </si>
  <si>
    <t>PoA0131</t>
  </si>
  <si>
    <t>Biogas Development Programme at household/ small farm level in Gansu Province</t>
  </si>
  <si>
    <t>Lanzhou Hualong Poultry Breeding Co.</t>
  </si>
  <si>
    <t>AMS-III.R.+AMS-I.I.</t>
  </si>
  <si>
    <t>A&amp;T Carbon Asset Co.</t>
  </si>
  <si>
    <t>Biogas Development Programme at household/ small farm level in Gansu Province—CPA-0001</t>
  </si>
  <si>
    <t>PoA0162</t>
  </si>
  <si>
    <t>Household Biogas Development Programme in Hubei Province</t>
  </si>
  <si>
    <t>Wuhan Tianying Environmental Engineering</t>
  </si>
  <si>
    <t>Household Biogas Development Programme in Hubei Province—CPA -0001</t>
  </si>
  <si>
    <t>Zhuxi County</t>
  </si>
  <si>
    <t>PoA0057</t>
  </si>
  <si>
    <t>Methane abatement and household biogas utilization programme in India</t>
  </si>
  <si>
    <t>Managing Emissions</t>
  </si>
  <si>
    <t>AMS-III.R.+AMS-I.E.+AMS-I.C.</t>
  </si>
  <si>
    <t>CPA Latur - Methane abatement and household biogas utilization programme in India</t>
  </si>
  <si>
    <t>Kenya</t>
  </si>
  <si>
    <t>African Clean Energy Switch - Biogas (ACES-Biogas)</t>
  </si>
  <si>
    <t>Uganda Carbon Bureau</t>
  </si>
  <si>
    <t>PoA0199</t>
  </si>
  <si>
    <t>SimGas Biogas Programme of Activities</t>
  </si>
  <si>
    <t>SimGas BV</t>
  </si>
  <si>
    <t>AMS-III.R.+AMS-I.E.+AMS-I.I.</t>
  </si>
  <si>
    <t>AENOR</t>
  </si>
  <si>
    <t>SimGas Biogas Programme of Activities, Kenya (CPA KE1)</t>
  </si>
  <si>
    <t>PoA0024</t>
  </si>
  <si>
    <t>Nepal</t>
  </si>
  <si>
    <t>Alternative Energy Promotion Centre (AEPC)</t>
  </si>
  <si>
    <t>Nepal Biogas Support Program - CPA 1: 20,000 digesters.</t>
  </si>
  <si>
    <t>PoA0200</t>
  </si>
  <si>
    <t>Biogas Programme Nicaragua (PBN)</t>
  </si>
  <si>
    <t>Nicaragua</t>
  </si>
  <si>
    <t>ProBioGas Nicaragua S.C.P.</t>
  </si>
  <si>
    <t>AMS-III.R.+AMS-I.E.</t>
  </si>
  <si>
    <t>Climate Focus</t>
  </si>
  <si>
    <t>CPA 1: Biogas Programme Nicaragua (PBN)</t>
  </si>
  <si>
    <t>PoA0067</t>
  </si>
  <si>
    <t>Pakistan</t>
  </si>
  <si>
    <t>Rural Support Programmes Network</t>
  </si>
  <si>
    <t>Pakistan Domestic Biogas Programme (PDBP), Central Punjab CDM Programme Activity (CPA-1)</t>
  </si>
  <si>
    <t>Punjab</t>
  </si>
  <si>
    <t>PoA0168</t>
  </si>
  <si>
    <t>African Clean Energy Switch – Biogas (ACES-Biogas)</t>
  </si>
  <si>
    <t>Uganda</t>
  </si>
  <si>
    <t>Burundi, Ethiopia, Kenya, Rwanda, Tanzania, Uganda</t>
  </si>
  <si>
    <t>PoA0039</t>
  </si>
  <si>
    <t>Ministry of Agriculture and Rural Development (MARD)</t>
  </si>
  <si>
    <t>ADB CDM Facility</t>
  </si>
  <si>
    <t>Vietnam National Biogas Program (PoA) – North-East zone (CPA1)</t>
  </si>
  <si>
    <t>MARD</t>
  </si>
  <si>
    <t>PoA0095</t>
  </si>
  <si>
    <t>Colombia</t>
  </si>
  <si>
    <t>GenPower Carbon Solutions</t>
  </si>
  <si>
    <t>EE commercial buildings</t>
  </si>
  <si>
    <t>AMS-II.C.</t>
  </si>
  <si>
    <t>Optim Consult</t>
  </si>
  <si>
    <t>Demand-side energy efficiency through the adoption of specific energy efficient technologies at AVIANCA, in Colombia</t>
  </si>
  <si>
    <t>PoA0188</t>
  </si>
  <si>
    <t>Climate Action Response Enterprise (CARE) for Energy Efficiency in Chiller Plants.</t>
  </si>
  <si>
    <t>Singapore</t>
  </si>
  <si>
    <t>Climate Resources Exchange</t>
  </si>
  <si>
    <t>Energy Efficiency in Chiller Plant at the CAPRICORN Building located at 1 Science Park Road, The Capricorn, Singapore Science Park II, Singapore 117528 (CAPRICORN CPA)</t>
  </si>
  <si>
    <t>PoA0151</t>
  </si>
  <si>
    <t>Refrigeration Plant Efficiency Programme of Activities</t>
  </si>
  <si>
    <t>Standard Bank</t>
  </si>
  <si>
    <t>Refrigeration Plant Efficiency Programme of Activities SSC-CPA 0001 – PicknPay South Africa</t>
  </si>
  <si>
    <t>PoA0018</t>
  </si>
  <si>
    <t>SGCC In-advance Distribution Transformer Replacement CDM Programme</t>
  </si>
  <si>
    <t>State Grid Corporation of China</t>
  </si>
  <si>
    <t>Energy distribution</t>
  </si>
  <si>
    <t>Efficient electricity distribution</t>
  </si>
  <si>
    <t>AMS-II.A.</t>
  </si>
  <si>
    <t>WB-CF</t>
  </si>
  <si>
    <t>2896-0001</t>
  </si>
  <si>
    <t>SGCC In-advance Distribution Transformer Replacement CDM Programme CPA-001</t>
  </si>
  <si>
    <t>PoA0029</t>
  </si>
  <si>
    <t>Punjab State Electricity Board: High Voltage Distribution System for Agricultural Consumers in the Rural Areas of the Punjab</t>
  </si>
  <si>
    <t>Punjab State Electricity Board (PSEB)</t>
  </si>
  <si>
    <t>Punjab State Electricity Board: High Voltage Distribution System for Agricultural consumers in the Rural Areas of Punjab, CPA – 1</t>
  </si>
  <si>
    <t>Dhuri</t>
  </si>
  <si>
    <t>PoA0020</t>
  </si>
  <si>
    <t>Yemen Electricity Distribution Loss Reduction Programme</t>
  </si>
  <si>
    <t>Yemen</t>
  </si>
  <si>
    <t>Yemen Electricity Distribution Loss Reduction Program: Yarim and Ibb</t>
  </si>
  <si>
    <t>Comales, Small Hydro Power Project</t>
  </si>
  <si>
    <t>Tamaulipas</t>
  </si>
  <si>
    <t>Abengoa Mexico</t>
  </si>
  <si>
    <t>Hydro</t>
  </si>
  <si>
    <t>Existing dam</t>
  </si>
  <si>
    <t>AMS-I.D.</t>
  </si>
  <si>
    <t>Zero Emissions Technologies</t>
  </si>
  <si>
    <t>PoA0009</t>
  </si>
  <si>
    <t>Energy Saving Renovation Programme at Instant Coffee Production Factories of Dongsuh Foods Corporation in Korea</t>
  </si>
  <si>
    <t>Dongsuh Foods Corporation</t>
  </si>
  <si>
    <t>Food</t>
  </si>
  <si>
    <t>Climate experts</t>
  </si>
  <si>
    <t>Energy Saving Renovation Activity 1 at Bupyung Instant Coffee Production Factory Freeze Dry Line of Dongsuh Foods Corporation in Korea (CPA-1)</t>
  </si>
  <si>
    <t>Incheon</t>
  </si>
  <si>
    <t>Biomass Power Development Programme in Thailand CPA 1</t>
  </si>
  <si>
    <t>Thailand</t>
  </si>
  <si>
    <t>Advance Carbon Securities Ventures (ACSV)</t>
  </si>
  <si>
    <t>Forest residues: other</t>
  </si>
  <si>
    <t>PoA0202</t>
  </si>
  <si>
    <t>Biomass Energy Generation through Gasification or Direct Combustion in South Africa</t>
  </si>
  <si>
    <t>Farmsecure Carbon</t>
  </si>
  <si>
    <t>Gasification of biomass</t>
  </si>
  <si>
    <t>AMS-I.C.+AMS-I.D.+AMS-I.F.</t>
  </si>
  <si>
    <t>SGS</t>
  </si>
  <si>
    <t>FSCGC001 – Under the PoA “Biomass Energy Generation through Gasification or Direct Combustion in South Africa”.</t>
  </si>
  <si>
    <t>PoA0075</t>
  </si>
  <si>
    <t>Programmatic CDM of Industrial Thermal Energy Generation by Indigenous Renewable Fuel Wood in Sri Lanka</t>
  </si>
  <si>
    <t>Sri Lanka</t>
  </si>
  <si>
    <t>Bio Energy Association of Sri Lanka (BEASL)</t>
  </si>
  <si>
    <t>Programmatic CDM of Industrial Thermal Energy Generation by Indigenous Renewable Fuel Wood for the Lion Brewery Ceylon Limited. in Sri Lanka</t>
  </si>
  <si>
    <t>PoA0093</t>
  </si>
  <si>
    <t>PEA ENCOM</t>
  </si>
  <si>
    <t>Thailand small scale biomass power generation at Mae Lee Forest Plantation</t>
  </si>
  <si>
    <t>PoA0082</t>
  </si>
  <si>
    <t>Renewable energy utilization in the new and exiting buildings in Henan Province</t>
  </si>
  <si>
    <t>Henan</t>
  </si>
  <si>
    <t>Henan Provincial Academy of Building Research</t>
  </si>
  <si>
    <t>Geothermal</t>
  </si>
  <si>
    <t>Geothermal heating</t>
  </si>
  <si>
    <t>AMS-II.C.+AMS-I.C.</t>
  </si>
  <si>
    <t>Environomist</t>
  </si>
  <si>
    <t>Renewable energy utilization in Tianyuanjiacheng Phase I (CPA identification number:2011_F_CDM_0001)</t>
  </si>
  <si>
    <t>Hebi City</t>
  </si>
  <si>
    <t>PoA0190</t>
  </si>
  <si>
    <t>ZEG coal-fired power plant's low-efficiency steam turbine retrofit CDM programme</t>
  </si>
  <si>
    <t>Zhejiang energy group</t>
  </si>
  <si>
    <t>Higher efficiency coal power</t>
  </si>
  <si>
    <t>AM62</t>
  </si>
  <si>
    <t>China Carbon Technology</t>
  </si>
  <si>
    <t>CPA-01 of ZEG coal-fired power plant’s low-efficiency steam turbine retrofit CDM programme</t>
  </si>
  <si>
    <t>PoA0030</t>
  </si>
  <si>
    <t>Demand Side Management (DSM) for accelerationg the diffusion of energy-efficient chiller technology</t>
  </si>
  <si>
    <t>HVAC &amp; lighting</t>
  </si>
  <si>
    <t>CPA 1 - Demand Side Management (DSM) for accelerationg the diffusion of energy-efficient chiller technology</t>
  </si>
  <si>
    <t>PoA0043</t>
  </si>
  <si>
    <t>Climate Action Response Enterprise (CARE) for Energy Efficiency in Chiller Plants</t>
  </si>
  <si>
    <t>Energy Efficiency in Chiller Plant at the Galen Building in Singapore Science Park II (The Galen CPA)</t>
  </si>
  <si>
    <t>PoA0048</t>
  </si>
  <si>
    <t>Demand-side energy efficiency measures for cooling systems</t>
  </si>
  <si>
    <t>Energy efficiency measures in cooling systems at New Tech Park, 151 Lorong Chuan, Singapore</t>
  </si>
  <si>
    <t>PoA0127</t>
  </si>
  <si>
    <t>Small hydropower programme in Mexico</t>
  </si>
  <si>
    <t>PoA0182</t>
  </si>
  <si>
    <t>Tanzania Renewable Energy Programme</t>
  </si>
  <si>
    <t>Tanzania</t>
  </si>
  <si>
    <t>Rural Energy Agency</t>
  </si>
  <si>
    <t>AMS-I.F.+AMS-I.D.</t>
  </si>
  <si>
    <t>PoA0216</t>
  </si>
  <si>
    <t>East Africa Renewable Energy Programme (EA-REP)</t>
  </si>
  <si>
    <t>JCI</t>
  </si>
  <si>
    <t>Carbon Africa</t>
  </si>
  <si>
    <t>PoA0107</t>
  </si>
  <si>
    <t>Waste to Energy projects through anaerobic treatment of biodegradable waste in Korea</t>
  </si>
  <si>
    <t>Korea Environment Corporation</t>
  </si>
  <si>
    <t>Industrial solid waste</t>
  </si>
  <si>
    <t>Ulsan City Waste to Energy project through anaerobic treatment of biodegradable waste [CPA 01]</t>
  </si>
  <si>
    <t>Ulsan</t>
  </si>
  <si>
    <t>PoA0114</t>
  </si>
  <si>
    <t>Energy Efficiency Improvements in Furnaces used in SME Steel industry clusters in India</t>
  </si>
  <si>
    <t>Small Industries Development Bank of India (SIDBI)
Industries Development Bank of India (SIDBI)</t>
  </si>
  <si>
    <t>EE Industry</t>
  </si>
  <si>
    <t xml:space="preserve">Iron &amp; steel </t>
  </si>
  <si>
    <t>South Pole Carbon Asset Management</t>
  </si>
  <si>
    <t>Energy Efficiency Improvements in Furnaces used in SME Steel industry clusters in India – CPA 01-
Jodhpur</t>
  </si>
  <si>
    <t>Rajasthan</t>
  </si>
  <si>
    <t>Small Industries Development Bank of India (SIDBI)</t>
  </si>
  <si>
    <t>PoA0011</t>
  </si>
  <si>
    <t>Hydraulic rams for irrigation and domestic water supply in Zhejiang, China</t>
  </si>
  <si>
    <t>Agriculture</t>
  </si>
  <si>
    <t>Irrigation</t>
  </si>
  <si>
    <t>AMS-I.B.</t>
  </si>
  <si>
    <t>Hydraulic rams dissemination in Songyang and Kaihua, Zhejiang province, China in 2008</t>
  </si>
  <si>
    <t>PoA0038</t>
  </si>
  <si>
    <t>Local Self Government
Department, Rajasthan</t>
  </si>
  <si>
    <t>Landfill composting</t>
  </si>
  <si>
    <t>Urban Solid Waste Composting Project in Alwar city under the Rajasthan urban solid waste composting Programme of Activity</t>
  </si>
  <si>
    <t>Alwar city</t>
  </si>
  <si>
    <t>PoA0085</t>
  </si>
  <si>
    <t>Municipal Waste Compost Programme in Sri Lanka</t>
  </si>
  <si>
    <t>Karadeyana Municipal Waste Compost Project in Sri Lanka</t>
  </si>
  <si>
    <t>PoA0005</t>
  </si>
  <si>
    <t>Uganda Municipal Waste Compost Programme</t>
  </si>
  <si>
    <t>National Environmental Management Authority (NEMA)</t>
  </si>
  <si>
    <t>2956-0001</t>
  </si>
  <si>
    <t>Municipal waste composting Project for Jinja Municipality</t>
  </si>
  <si>
    <t>2956-0002</t>
  </si>
  <si>
    <t>PoA0177</t>
  </si>
  <si>
    <t>Programme for the Capture and Destruction or Utilization of Landfill Gas in Colombia</t>
  </si>
  <si>
    <t>CarbonBW Colombia</t>
  </si>
  <si>
    <t>Landfill flaring</t>
  </si>
  <si>
    <t>AMS-III.G.</t>
  </si>
  <si>
    <t>SQS</t>
  </si>
  <si>
    <t>GFA Consulting Group</t>
  </si>
  <si>
    <t>CPA-1: Navarro Landfill, Cali</t>
  </si>
  <si>
    <t>PoA0163</t>
  </si>
  <si>
    <t>Caixa Econômica Federal Solid Waste Management and Carbon Finance Project</t>
  </si>
  <si>
    <t>Caixa Econômica Federal</t>
  </si>
  <si>
    <t>Landfill power</t>
  </si>
  <si>
    <t>CPA-1: Landfill gas recovery, energy generation and biogas distribution from CTR Santa Rosa</t>
  </si>
  <si>
    <t>Rio de Janeiro state</t>
  </si>
  <si>
    <t>PoA0221</t>
  </si>
  <si>
    <t>LFG recovery to power Programme of Activities in China</t>
  </si>
  <si>
    <t>Henan BCCY New Power Industry</t>
  </si>
  <si>
    <t>First Climate</t>
  </si>
  <si>
    <t>CPA-01: Shangrao MSW landfill site LFG recovery to power project</t>
  </si>
  <si>
    <t>PoA0054</t>
  </si>
  <si>
    <t>Morocco</t>
  </si>
  <si>
    <t>Fonds d’Equipement Communal (FEC)</t>
  </si>
  <si>
    <t>ADS Maroc</t>
  </si>
  <si>
    <t>Landfill’s gas (LFG) capture, flaring and use at the Oum Azza landfill.</t>
  </si>
  <si>
    <t>Rabat-Salé-Zemmour-Zaer</t>
  </si>
  <si>
    <t>PoA0047</t>
  </si>
  <si>
    <t>Land Bank of the Philippines</t>
  </si>
  <si>
    <t>CPA-1: Landfill gas recovery and combustion with renewable energy generation from Bulacan Sanitary landfill site under Land Bank of the Philippines Carbon Finance Support Facility</t>
  </si>
  <si>
    <t>CPA01 “Landfill gas capture and utilisation project at Shongweni Landfill”</t>
  </si>
  <si>
    <t>Durban</t>
  </si>
  <si>
    <t>Landfill Carbon (PTY)</t>
  </si>
  <si>
    <t>PoA0174</t>
  </si>
  <si>
    <t>PoA0031</t>
  </si>
  <si>
    <t>Infrastructure Development Company</t>
  </si>
  <si>
    <t>Lighting</t>
  </si>
  <si>
    <t>AMS-II.J.</t>
  </si>
  <si>
    <t>4793-0001</t>
  </si>
  <si>
    <t>Efficient Lighting Initiative of Bangladesh (ELIB): DHAKA- DESCO - CPA # 1</t>
  </si>
  <si>
    <t>Dhaka</t>
  </si>
  <si>
    <t>PoA0072</t>
  </si>
  <si>
    <t>Programme of Activities for adoption of self-ballasted compact fluorescent lamps (CFLs) to replace incandescent lamps (ICLs) in Jiangxi Province, China</t>
  </si>
  <si>
    <t>Jiangxi</t>
  </si>
  <si>
    <t>LRQA</t>
  </si>
  <si>
    <t>Programme of Activities for adoption of self-ballasted compact fluorescent lamps (CFLs) to replace incandescent lamps (ICLs) in Jiangxi Province, China  CPA -001</t>
  </si>
  <si>
    <t>Nanchang City</t>
  </si>
  <si>
    <t>PoA0073</t>
  </si>
  <si>
    <t>CFL Distribution Programme in Jiangsu Province</t>
  </si>
  <si>
    <t>Jiangsu</t>
  </si>
  <si>
    <t>Zhenjiang Qiangling Energy-saving Light Source Co., Ltd. (QL)</t>
  </si>
  <si>
    <t>CFL Distribution Programme in Jiangsu Province” in Chuzhou District, Huaian City, Jiangsu Province, China</t>
  </si>
  <si>
    <t>PoA0105</t>
  </si>
  <si>
    <t>CFL Distribution Programme in Anhui Province</t>
  </si>
  <si>
    <t>Anhui</t>
  </si>
  <si>
    <t>Zhenjiang Qiangling Energy-saving Light Source Co.</t>
  </si>
  <si>
    <t>CEC</t>
  </si>
  <si>
    <t>“CFL Distribution Programme in Anhui Province” CPA 001</t>
  </si>
  <si>
    <t>Chuzhou City in Lai’an County</t>
  </si>
  <si>
    <t>PoA0108</t>
  </si>
  <si>
    <t>CFL Distribution Programme in Sichuan Province</t>
  </si>
  <si>
    <t>“CFL Distribution Programme in Sichuan Province” CPA 001</t>
  </si>
  <si>
    <t>PoA0165</t>
  </si>
  <si>
    <t>CFL Distribution Programme in Hebei Province</t>
  </si>
  <si>
    <t>“CFL Distribution Programme in Hebei Province” CPA-001</t>
  </si>
  <si>
    <t>Wei County</t>
  </si>
  <si>
    <t>PoA0012</t>
  </si>
  <si>
    <t>CFL lighting scheme – “Bachat Lamp Yojana”</t>
  </si>
  <si>
    <t>Bureau of Energy Efficiency</t>
  </si>
  <si>
    <t>3223-0001</t>
  </si>
  <si>
    <t>Andhra Pradesh</t>
  </si>
  <si>
    <t>3223-0002</t>
  </si>
  <si>
    <t>Kerala</t>
  </si>
  <si>
    <t>3223-0029</t>
  </si>
  <si>
    <t>Delhi</t>
  </si>
  <si>
    <t>3223-0030</t>
  </si>
  <si>
    <t>3223-0031</t>
  </si>
  <si>
    <t>3223-0032</t>
  </si>
  <si>
    <t>3223-0033</t>
  </si>
  <si>
    <t>3223-0036</t>
  </si>
  <si>
    <t>CFL lighting scheme – “Bachat Lamp Yojana” in Punjab, India</t>
  </si>
  <si>
    <t>3223-0037</t>
  </si>
  <si>
    <t>3223-0038</t>
  </si>
  <si>
    <t>3223-0039</t>
  </si>
  <si>
    <t>3223-0040</t>
  </si>
  <si>
    <t>3223-0041</t>
  </si>
  <si>
    <t>3223-0042</t>
  </si>
  <si>
    <t>PoA0044</t>
  </si>
  <si>
    <t>Manufacture and distribution of CFLs in India</t>
  </si>
  <si>
    <t>Balaji Greentech Products</t>
  </si>
  <si>
    <t>Manufacture and distribution of CFLs in Golloguda hamlet of Andra Pradesh in India</t>
  </si>
  <si>
    <t>PoA0197</t>
  </si>
  <si>
    <t>CarbonSoft Open Source PoA, LED Lighting Distribution: Emerging Markets</t>
  </si>
  <si>
    <t>AMS-III.AR.</t>
  </si>
  <si>
    <t>CarbonSoft Emerging Markets CPA01</t>
  </si>
  <si>
    <t>PoA0196</t>
  </si>
  <si>
    <t>CarbonSoft Open Source PoA, LED Lighting Distribution: Oceania</t>
  </si>
  <si>
    <t>Antigua and Barbuda, Barbados, Bahamas, Cuba, Dominican Republic, Fiji, Grenada, Haiti, Indonesia, Jamaica, Saint Lucia, Maldives, Malaysia, Panama, Papua New Guinea, Philippines, Solomon Islands, Singapore, Trinidad and Tobago, Samoa</t>
  </si>
  <si>
    <t>PT Indonesia Nusantara Makur (Indonesia)</t>
  </si>
  <si>
    <t>CarbonSoft Oceania CPA01</t>
  </si>
  <si>
    <t>Sumatra</t>
  </si>
  <si>
    <t>PoA0156</t>
  </si>
  <si>
    <t>Green Light for Africa</t>
  </si>
  <si>
    <t>Green Light for Africa – SSC-CPA No. 1 – Kenya</t>
  </si>
  <si>
    <t>PoA0166</t>
  </si>
  <si>
    <t>Project to replace fossil fuel based lighting with Solar LED lamps in East Africa</t>
  </si>
  <si>
    <t>Tough Stuff International</t>
  </si>
  <si>
    <t>Viability Africa</t>
  </si>
  <si>
    <t>Solar LED Lamp Project: Keny</t>
  </si>
  <si>
    <t>PoA0230</t>
  </si>
  <si>
    <t>Nuru Lighting Programme</t>
  </si>
  <si>
    <t>Nuru East Africa</t>
  </si>
  <si>
    <t>Nuru Lighting Programme NEAL-KEN-01</t>
  </si>
  <si>
    <t>PoA0145</t>
  </si>
  <si>
    <t>Malawi</t>
  </si>
  <si>
    <t>Ethiopia, Uganda, Rwanda, Kenya, Zambia, Malawi, Mozambique, Madagascar and Zimbabwe</t>
  </si>
  <si>
    <t>CarbonSoft East Africa CPA [01], [Light After Dark in Malawi]</t>
  </si>
  <si>
    <t>PoA0004</t>
  </si>
  <si>
    <t>CUIDEMOS Mexico (Campana De Uso Intelegente De Energia Mexico) – Smart Use of Energy Mexico</t>
  </si>
  <si>
    <t>Cool nrg Carbon Investments</t>
  </si>
  <si>
    <t>2535-0001</t>
  </si>
  <si>
    <t>CUIDEMOS Mexico (Campana De Uso Intelegente De Energia Mexico) – Puebla</t>
  </si>
  <si>
    <t>State of Puebla</t>
  </si>
  <si>
    <t>PoA0088</t>
  </si>
  <si>
    <t>The National CFL Project, Pakistan</t>
  </si>
  <si>
    <t>Pakistan Electric Power Company</t>
  </si>
  <si>
    <t>National CFL Project, Pakistan-IESCO- Islamabad - 1-4-1-0-0</t>
  </si>
  <si>
    <t>Islamabad</t>
  </si>
  <si>
    <t>PoA0046</t>
  </si>
  <si>
    <t>Philippine CFL Distribution Project</t>
  </si>
  <si>
    <t>Department of Energy, Republic of Philippines</t>
  </si>
  <si>
    <t>Philippine CFL Distribution Project – Luzon ECs in Region 1-3</t>
  </si>
  <si>
    <t>PoA0006</t>
  </si>
  <si>
    <t>Senegal</t>
  </si>
  <si>
    <t>Agence Senegalaise d’Electrification Rurale</t>
  </si>
  <si>
    <t>Promotion of Energy-Efficient lighting using Compact Fluorescent Light Bulbs in the concession of Saint-Louis-Dagana-Podor as part of the Senegalese rural electrification plan.</t>
  </si>
  <si>
    <t>PoA0056</t>
  </si>
  <si>
    <t>Demand side energy efficiency measures in building lighting systems.</t>
  </si>
  <si>
    <t>Replacement of existing luminaires with LED lighting luminaires in several buildings across Jurong Town, Singapore.</t>
  </si>
  <si>
    <t>Jurong</t>
  </si>
  <si>
    <t>PoA0113</t>
  </si>
  <si>
    <t>Eskom</t>
  </si>
  <si>
    <t>RAMP Carbon, Eskom, BNP Paribas</t>
  </si>
  <si>
    <t>CLF Replacement Project Western Cape - CPA-01</t>
  </si>
  <si>
    <t>Western Cape</t>
  </si>
  <si>
    <t>PoA0220</t>
  </si>
  <si>
    <t>Southern African Solar LED Programme</t>
  </si>
  <si>
    <t>ToughStuff International</t>
  </si>
  <si>
    <t>EcoMetrix Africa</t>
  </si>
  <si>
    <t>Southern African Solar LED Programme – South Africa CPA</t>
  </si>
  <si>
    <t>PoA0053</t>
  </si>
  <si>
    <t>KEMCO</t>
  </si>
  <si>
    <t>5019-0001</t>
  </si>
  <si>
    <t>The programme to promote efficient lightings in local areas – CPA(2009-01, Gwangju city)</t>
  </si>
  <si>
    <t>Gwanju</t>
  </si>
  <si>
    <t>PoA0068</t>
  </si>
  <si>
    <t>Mexican Housing Commission Sustainable Housing Program of Activities</t>
  </si>
  <si>
    <t>Mexican National Housing Commission (Conavi)</t>
  </si>
  <si>
    <t>Lighting &amp; Insulation &amp; Solar</t>
  </si>
  <si>
    <t>AMS-III.AE.+AMS-I.C.</t>
  </si>
  <si>
    <t>Sigea Carbon</t>
  </si>
  <si>
    <t>Mexican Housing Commission Sustainable Housing Program of Activities – 10.10-11.03.dry temperate</t>
  </si>
  <si>
    <t>PoA0099</t>
  </si>
  <si>
    <t>Mabanaft Carbon India</t>
  </si>
  <si>
    <t>Lighting in service</t>
  </si>
  <si>
    <t>Do-inc.</t>
  </si>
  <si>
    <t>LED‘s save energy – CPA-001</t>
  </si>
  <si>
    <t>PoA0192</t>
  </si>
  <si>
    <t>LED’s save energy – CPA-001</t>
  </si>
  <si>
    <t>PoA0069</t>
  </si>
  <si>
    <t>Lemnis Lighting</t>
  </si>
  <si>
    <t>CPA0001 “Mining retrofit”</t>
  </si>
  <si>
    <t>PoA0106</t>
  </si>
  <si>
    <t>South Africa, Botswana, Rwanda</t>
  </si>
  <si>
    <t>Standard Bank of South Africa</t>
  </si>
  <si>
    <t>RAMP Carbon, Standard Bank of South Africa</t>
  </si>
  <si>
    <t>Standard Bank of South Africa – Head Office lighting refurbishment (SBSA-EECL-CPA-0001)</t>
  </si>
  <si>
    <t>PoA0213</t>
  </si>
  <si>
    <t>MicroEnergy Credits – Microfinance for Clean Energy Product Lines – India</t>
  </si>
  <si>
    <t>PoA0002</t>
  </si>
  <si>
    <t>Rio Grande do Sul &amp; Santa Catarina &amp; Paraná &amp; Minas Gerais &amp; Mato Grosso</t>
  </si>
  <si>
    <t>Sadia</t>
  </si>
  <si>
    <t>Manure</t>
  </si>
  <si>
    <t>AMS-III.D.</t>
  </si>
  <si>
    <t>2767-0001</t>
  </si>
  <si>
    <t>BRA/SC – 8150354S01/ 3SP</t>
  </si>
  <si>
    <t>2767-0002-0962</t>
  </si>
  <si>
    <t>BRA/SC – CPA Group 2</t>
  </si>
  <si>
    <t>2767-0963-1050</t>
  </si>
  <si>
    <t>BRA/SC - CPA Group 3</t>
  </si>
  <si>
    <t>PoA0052</t>
  </si>
  <si>
    <t>SWAMPA–Brazil (Sustainable Swine Waste Management Programme of Latin America – Brazil)</t>
  </si>
  <si>
    <t>Nemorus Securities</t>
  </si>
  <si>
    <t>SWAMPA-PA.I – Under the PoA “SWAMPA-Brazil”.</t>
  </si>
  <si>
    <t>Mato Grosso do Sul</t>
  </si>
  <si>
    <t>PoA0089</t>
  </si>
  <si>
    <t>Hebei Animal Manure Management System (AMMS) GHG Mitigation Programme</t>
  </si>
  <si>
    <t>Hebei</t>
  </si>
  <si>
    <t>Hebei Green Agriculture Co.</t>
  </si>
  <si>
    <t>AMS-III.D.+AMS-I.C.+AMS-I.F.</t>
  </si>
  <si>
    <t>WB-CF, Chinese Academy of Agricultural Sciences</t>
  </si>
  <si>
    <t>Hebei Animal Manure Management System (AMMS) GHG Mitigation Programme (CPA No.001)</t>
  </si>
  <si>
    <t>PoA0123</t>
  </si>
  <si>
    <t>Animal Manure Treatment Programme in Hubei Province</t>
  </si>
  <si>
    <t>AMS-I.C.+AMS-III.D.</t>
  </si>
  <si>
    <t>Animal Manure Treatment Programme in Hubei Province--CPA - 0001</t>
  </si>
  <si>
    <t>PoA0128</t>
  </si>
  <si>
    <t>Rural Household Biogas Digester Programme in Seven Regions of Sichuan Province</t>
  </si>
  <si>
    <t>Sichuan Wuhai Environmental Protection &amp; Bioengineering CO.</t>
  </si>
  <si>
    <t>AMS-I.I.+AMS-III.R.</t>
  </si>
  <si>
    <t>Carbonium</t>
  </si>
  <si>
    <t>Rural Household Biogas Digester Project Activity in Nanjiang County, CPA-01_ Nanjiang</t>
  </si>
  <si>
    <t>Nanjiang</t>
  </si>
  <si>
    <t>PoA0132</t>
  </si>
  <si>
    <t>Animal Manure Treatment Programme in Gansu Province</t>
  </si>
  <si>
    <t>Animal Manure Treatment Programme in Gansu Province--CPA - 0001</t>
  </si>
  <si>
    <t>PoA0135</t>
  </si>
  <si>
    <t>Animal Manure Treatment Programme in Shanxi Province</t>
  </si>
  <si>
    <t>Beijing Jinhaihuitong Investment Consulting Co.</t>
  </si>
  <si>
    <t>Animal Manure Treatment Programme in Shanxi Province--CPA - 0001</t>
  </si>
  <si>
    <t>PoA0175</t>
  </si>
  <si>
    <t>Animal Manure Treatment Programme in Henan Province and Shaanxi Province</t>
  </si>
  <si>
    <t>Zhongruihe International New Energy Science and Technology (Beijing)</t>
  </si>
  <si>
    <t>AMS-III.D.+AMS-I.C.+AMS-I.D.+AMS-I.F.</t>
  </si>
  <si>
    <t>Animal Manure Treatment Programme in Henan Province and Shaanxi Province--CPA-0001</t>
  </si>
  <si>
    <t>Chengguan Town</t>
  </si>
  <si>
    <t>PoA0203</t>
  </si>
  <si>
    <t>Animal Manure Treatment Programme in Shanxi Province, Guizhou Province and Inner Mongolia Autonomous Region</t>
  </si>
  <si>
    <t>Beijing Jinhaihuitong Investment Consulting</t>
  </si>
  <si>
    <t>Animal Manure Treatment Programme in Shanxi Province, Guizhou Province and Inner Mongolia Autonomous Region--CPA - 0001</t>
  </si>
  <si>
    <t>PoA0208</t>
  </si>
  <si>
    <t>Livestock Farms Methane Engineering Programme in Jiangxi Province</t>
  </si>
  <si>
    <t>CETOP International Environmental Consulting</t>
  </si>
  <si>
    <t>AMS-III.D.+AMS-I.C.</t>
  </si>
  <si>
    <t>CETOP International Environmental Consulting (Beijing) Co.</t>
  </si>
  <si>
    <t>Livestock Farms Methane Engineering Programme in Jiangxi Province--CPA-TP</t>
  </si>
  <si>
    <t>PoA0120</t>
  </si>
  <si>
    <t>Methane Capture, Combustion and Possible Electricity Generation from AWMS in Mexico</t>
  </si>
  <si>
    <t>Financiera Rural</t>
  </si>
  <si>
    <t>AMS-III.D.+AMS-III.F.+AMS-I.D.</t>
  </si>
  <si>
    <t>Methane Capture, Combustion and Possible Electricity Generation from AWMS in Mexico – CPA 001</t>
  </si>
  <si>
    <t>PoA0028</t>
  </si>
  <si>
    <t>Philippines</t>
  </si>
  <si>
    <t>Land Bank of the Philippines (LBP)</t>
  </si>
  <si>
    <t>CPA-1: Methane recovery and combustion with renewable energy generation from anaerobic animal manure management systems under Land Bank of the Philippines‘ (LBP) Carbon Finance Support Facility</t>
  </si>
  <si>
    <t>LBP</t>
  </si>
  <si>
    <t>PoA0144</t>
  </si>
  <si>
    <t>Philippine Backyard Piggeries Biogas Programme</t>
  </si>
  <si>
    <t>Philippine Backyard Piggeries Biogas Corporation</t>
  </si>
  <si>
    <t>Food From Thin Air</t>
  </si>
  <si>
    <t>Panay, Capiz Backyard Piggeries Biogas Program (CPA #1)</t>
  </si>
  <si>
    <t>CPA FSCAD001 – Under the PoA "Anaerobic Digestion and Renewable Energy in South Africa"</t>
  </si>
  <si>
    <t>Gauteng</t>
  </si>
  <si>
    <t>AMS-III.AO.+AMS-III.D.+AMS-I.C.</t>
  </si>
  <si>
    <t>PoA0021</t>
  </si>
  <si>
    <t>Energy Research and Development Institute of Chiang Mai University (ERDI)</t>
  </si>
  <si>
    <t>Thailand Small Scale Livestock Waste Management Program CPA 01</t>
  </si>
  <si>
    <t>PoA0153</t>
  </si>
  <si>
    <t>TUCANO CDM Programme of Activities for the Promotion of Small Hydropower Plants in Brazil</t>
  </si>
  <si>
    <t>New dam</t>
  </si>
  <si>
    <t>ACM2</t>
  </si>
  <si>
    <t>“JAMBO small hydropower plant – CDM Programme Activity”</t>
  </si>
  <si>
    <t>PoA0157</t>
  </si>
  <si>
    <t>Omega Energia CDM Programme of Activities for the Promotion of Small Hydropower Plants in Brazil</t>
  </si>
  <si>
    <t>Omega Energia Renovável</t>
  </si>
  <si>
    <t>“SANTA CRUZ small hydropower plant – CDM Programme Activity”</t>
  </si>
  <si>
    <t>PoA0176</t>
  </si>
  <si>
    <t>Promotion Programme for Small Hydropower Development in Rural Areas in China</t>
  </si>
  <si>
    <t>many</t>
  </si>
  <si>
    <t>Hangzhou Nannan Hydropower Development Co.</t>
  </si>
  <si>
    <t>GLC</t>
  </si>
  <si>
    <t>Jiangxi Suichuan Xianghong Small Hydropower Project</t>
  </si>
  <si>
    <t>Song Mien Hydropower Project</t>
  </si>
  <si>
    <t>Ha Giang</t>
  </si>
  <si>
    <t>Vietnam PoA JSC</t>
  </si>
  <si>
    <t>PoA0051</t>
  </si>
  <si>
    <t>Programme of activities to switch from residual fuel oil to LPG in Peru</t>
  </si>
  <si>
    <t>Peru</t>
  </si>
  <si>
    <t>Repsol YPF Comercial del Perú</t>
  </si>
  <si>
    <t>Fossil fuel switch</t>
  </si>
  <si>
    <t>Oil to LPG</t>
  </si>
  <si>
    <t>AMS-III.B.</t>
  </si>
  <si>
    <t>Garrigues Medio Ambiente</t>
  </si>
  <si>
    <t>“Project activity to switch from residual fuel oil to LPG at a PRODUMAR SAC fish processing plant in Peru”.</t>
  </si>
  <si>
    <t>Piura</t>
  </si>
  <si>
    <t>PoA0060</t>
  </si>
  <si>
    <t>Programme of activities to switch from residual fuel oil to LPG in manufacturing industries in Peru</t>
  </si>
  <si>
    <t>Project activity to switch from residual fuel oil to LPG at a Agroindustrias AIB food processing plant in Peru</t>
  </si>
  <si>
    <t>City of Ica</t>
  </si>
  <si>
    <t>PoA0231</t>
  </si>
  <si>
    <t>Cogeneration/trigeneration for commercial buildings</t>
  </si>
  <si>
    <t>Oil to natural gas</t>
  </si>
  <si>
    <t>Cogeneration/trigeneration for commercial buildings – CPA-001</t>
  </si>
  <si>
    <t>Bera 10MW Biomass Power Plant, Bera, Pahang (3.2750;102.5508 – PoA1)</t>
  </si>
  <si>
    <t>Malaysia</t>
  </si>
  <si>
    <t>Palm oil solid waste</t>
  </si>
  <si>
    <t>ACM18</t>
  </si>
  <si>
    <t>PoA0228</t>
  </si>
  <si>
    <t>CDM Programme for Biogas Recovery and Use from Wastewater and Sludge Treatment</t>
  </si>
  <si>
    <t>Carbon BW Colombia</t>
  </si>
  <si>
    <t>Palm oil waste</t>
  </si>
  <si>
    <t>AMS-III.H.</t>
  </si>
  <si>
    <t>CPA-1: Abagó Biogas Project</t>
  </si>
  <si>
    <t>PoA0191</t>
  </si>
  <si>
    <t>Promotion of POME and EFB Co-Composting in Colombia and Ecuador</t>
  </si>
  <si>
    <t>Ecuador</t>
  </si>
  <si>
    <t>Ecuador, Colombia</t>
  </si>
  <si>
    <t>Gestora de Programa Marco Palma</t>
  </si>
  <si>
    <t>AMS-III.F.+AMS-III.H.</t>
  </si>
  <si>
    <t>Promotion of POME and EFB Co/Composting in Colombia and Ecuador San Patricio POME and EFB Co/Composting Project (CPA Number 001)</t>
  </si>
  <si>
    <t>PoA0022</t>
  </si>
  <si>
    <t>Composting Program International (PT.CPI)</t>
  </si>
  <si>
    <t>Request</t>
  </si>
  <si>
    <t>5104-0001</t>
  </si>
  <si>
    <t>Fetty Mina Jaya Co-composting – Under PoA Composting and Co-composting Programme of Activities (PoA) in Indonesia</t>
  </si>
  <si>
    <t>Methane recovery from wastewater treatment in a palm oil mill located at Desa Terungtung, Mukomuko, Bengkulu, Indonesia.</t>
  </si>
  <si>
    <t>Bengkulu</t>
  </si>
  <si>
    <t>PoA0229</t>
  </si>
  <si>
    <t>Biogas recovery projects from wastewater generated in agriculture product based industries - CPA-01</t>
  </si>
  <si>
    <t>PoA0027</t>
  </si>
  <si>
    <t>Futuro Forestal Nicaragua Reforestation Program</t>
  </si>
  <si>
    <t>Pacific lowlands of western Nicaragua</t>
  </si>
  <si>
    <t>Opera</t>
  </si>
  <si>
    <t>Reforestation</t>
  </si>
  <si>
    <t>WB-CF, Opera</t>
  </si>
  <si>
    <t>Futuro Forestal Nicaragua; Cosigüina, Nandaime and Sauce Reforestation Project</t>
  </si>
  <si>
    <t>PoA0116</t>
  </si>
  <si>
    <t>Chilean Small Hydroelectric Power Plants Programme of Activities</t>
  </si>
  <si>
    <t>Chile</t>
  </si>
  <si>
    <t>Chile (Central Interconnected System)</t>
  </si>
  <si>
    <t>Association of Small and Medium Scale Hydroelectric Power Plants (APEMEC)</t>
  </si>
  <si>
    <t>Run of river</t>
  </si>
  <si>
    <t>Bridge Builders</t>
  </si>
  <si>
    <t>Las Flores Hydroelectric Project</t>
  </si>
  <si>
    <t>Asociación Gremial de Pequeñas y Medianas Centrales Hidroeléctricas</t>
  </si>
  <si>
    <t>PoA0219</t>
  </si>
  <si>
    <t>Run of River Hydro Power Plants in Chile</t>
  </si>
  <si>
    <t>All regions</t>
  </si>
  <si>
    <t>Besalco Construcciones</t>
  </si>
  <si>
    <t>"Tunel Melado Run of River Hydro Power Plant, Chile"</t>
  </si>
  <si>
    <t>PoA0092</t>
  </si>
  <si>
    <t>Micro Hydro Power Plant Promotion Programme in Regions on the Upper Reaches of the Yangtze River,
China</t>
  </si>
  <si>
    <t>Sichuan, Qinghai, Yunnan, Shanxi, Chongqing, Xizang Tibet</t>
  </si>
  <si>
    <t>Sichuan Kangmei Community Development and Market Company</t>
  </si>
  <si>
    <t>Micro Hydro Power Plant Promotion Programme in Yuexi County, Sichuan Province on the Upper Reaches of the Yangtze River, China (CPA-01)</t>
  </si>
  <si>
    <t>Santa Inés Small Hydropower Project</t>
  </si>
  <si>
    <t>Pacific Power Generation Corp.</t>
  </si>
  <si>
    <t>El Ixtalito Hydroelectric Project, San Marcos, Guatemala (SSC-CPA El Ixtalito)</t>
  </si>
  <si>
    <t>Negocios Energeticos de Occidente</t>
  </si>
  <si>
    <t>PoA0007</t>
  </si>
  <si>
    <t>Masca Small Hydro Programme</t>
  </si>
  <si>
    <t>Honduras</t>
  </si>
  <si>
    <t>Hidromasca</t>
  </si>
  <si>
    <t>3562-0001</t>
  </si>
  <si>
    <t>Matarras I</t>
  </si>
  <si>
    <t>PoA0083</t>
  </si>
  <si>
    <t>Guacamaya Small Scale Hydropower Programme of Activities</t>
  </si>
  <si>
    <t>Anaconda Carbon</t>
  </si>
  <si>
    <t>Rio Quilio Hydroelectric Project</t>
  </si>
  <si>
    <t>PoA0152</t>
  </si>
  <si>
    <t>San Alejo Hydroelectric Project</t>
  </si>
  <si>
    <t>Comayagua</t>
  </si>
  <si>
    <t>PoA0023</t>
  </si>
  <si>
    <t>Hydro Program International (PT. HPI)</t>
  </si>
  <si>
    <t>1.1 MW Manggani Mini Hydroelectric Project, West Sumatra, Indonesia</t>
  </si>
  <si>
    <t>West Sumatra</t>
  </si>
  <si>
    <t>CPA 1.1 – Karai 12  Hydroelectric power plant</t>
  </si>
  <si>
    <t>PoA0118</t>
  </si>
  <si>
    <t>Kenya Tea Development Agency</t>
  </si>
  <si>
    <t>Gura small hydro power project</t>
  </si>
  <si>
    <t>EAREP - Njega 5MW Small Hydro Project</t>
  </si>
  <si>
    <t>PoA0142</t>
  </si>
  <si>
    <t>PoA for Promotion of the Improved Water Mills (IWM) in Nepal</t>
  </si>
  <si>
    <t>Promotion of the Improved Water Mills (IWM) in Nepal – CPA # 1</t>
  </si>
  <si>
    <t>PoA0104</t>
  </si>
  <si>
    <t>Programme of Activities (PoA) for Sustainable Renewable Energy Power Generation in Papua New Guinea (PNG)</t>
  </si>
  <si>
    <t>Papua New Guinea</t>
  </si>
  <si>
    <t>PNG Power</t>
  </si>
  <si>
    <t>AMS-I.F.+AMS-I.D.+AMS-I.A.</t>
  </si>
  <si>
    <t>Divune Hydropower Project, Oro Province, Papua New Guniea</t>
  </si>
  <si>
    <t>PoA0100</t>
  </si>
  <si>
    <t>Tunki Small Scale Hydropower Program of Activities</t>
  </si>
  <si>
    <t>EcoRessources</t>
  </si>
  <si>
    <t>Coelvihidro 1, Quipico Hydro Power Plant – Tunki PoA CPA # 1</t>
  </si>
  <si>
    <t>Energia Limpia S.A.C.</t>
  </si>
  <si>
    <t>El Carmen Hydropower Project</t>
  </si>
  <si>
    <t>Carbon BW Peru S.A.C</t>
  </si>
  <si>
    <t>PoA0138</t>
  </si>
  <si>
    <t>Philippines Mini-Hydro PoA</t>
  </si>
  <si>
    <t>CPA-1: Carit-an Mini-Hydropower Plant under Philippines Mini-Hydro PoA</t>
  </si>
  <si>
    <t>PoA0139</t>
  </si>
  <si>
    <t>Philippine Small-scale Hydropower PoA</t>
  </si>
  <si>
    <t>Carbonergy Business Consultancy Services</t>
  </si>
  <si>
    <t>Philippine Small-scale Hydropower PoA: CPA #1 Upper Siffu</t>
  </si>
  <si>
    <t>PoA0158</t>
  </si>
  <si>
    <t>CDM Africa Small Scale Hydro PoA for Southern Africa</t>
  </si>
  <si>
    <t>PoA Africa Hydro</t>
  </si>
  <si>
    <t>ERM CVS</t>
  </si>
  <si>
    <t>CDM Africa Climate Solutions</t>
  </si>
  <si>
    <t>Middle Kruisvallei small scale hydro-electric project in Southern Africa</t>
  </si>
  <si>
    <t>Mapembasi Hydro Power Project, Njombe District</t>
  </si>
  <si>
    <t>The Maziba Small Hydroelectric Power Project (SHPP), Kabale, Uganda (CPA Maziba)</t>
  </si>
  <si>
    <t>Vietnam Renewable Energy Development Program: REDP1 - Sung Vui Hydropower Project</t>
  </si>
  <si>
    <t>Lao Cai</t>
  </si>
  <si>
    <t>Nam Tien Construction Investment and Commercial Joint Stock Company</t>
  </si>
  <si>
    <t>PoA0055</t>
  </si>
  <si>
    <t>Than Thien Small Hydropower Programme of Activities Managed by INTRACO</t>
  </si>
  <si>
    <t>Nhan Co Hydropower Project</t>
  </si>
  <si>
    <t>Dak Nong</t>
  </si>
  <si>
    <t>PoA0130</t>
  </si>
  <si>
    <t>Sustainable Small Hydropower Programme of Activities (PoA) in Viet Nam</t>
  </si>
  <si>
    <t>Energy and Environment Consultancy Joint Stock Company</t>
  </si>
  <si>
    <t>Thoong Cot 2 Hydropower Project</t>
  </si>
  <si>
    <t>Cao Bang</t>
  </si>
  <si>
    <t>PoA0194</t>
  </si>
  <si>
    <t>BWC Sustainable Mini Hydropower Programme of Activities in Indonesia</t>
  </si>
  <si>
    <t>PoA0195</t>
  </si>
  <si>
    <t>Inti Renewable Energy Program of Activities</t>
  </si>
  <si>
    <t>PoA0189</t>
  </si>
  <si>
    <t>Regions II to X, Region XIV and the Metropolitan Region</t>
  </si>
  <si>
    <t>PoA0212</t>
  </si>
  <si>
    <t>Small Hydropower Programme in Colombia</t>
  </si>
  <si>
    <t>PoA0204</t>
  </si>
  <si>
    <t>EN BADEN Large-Scale Hydro PoA in Peru</t>
  </si>
  <si>
    <t>PoA0205</t>
  </si>
  <si>
    <t>Sustainable Promotion of East African Renewables (SPEAR)</t>
  </si>
  <si>
    <t>Burundi, Kenya, Sudan, Tanzania, Uganda</t>
  </si>
  <si>
    <t>PoA0016</t>
  </si>
  <si>
    <t>Egypt</t>
  </si>
  <si>
    <t>Ministry of Finance</t>
  </si>
  <si>
    <t>Transport</t>
  </si>
  <si>
    <t>Scrapping old vehicles</t>
  </si>
  <si>
    <t>AMS-III.C.</t>
  </si>
  <si>
    <t>2897-0001</t>
  </si>
  <si>
    <t>Greater Cairo Region Taxi Scrapping and Recycling Project</t>
  </si>
  <si>
    <t>Cairo</t>
  </si>
  <si>
    <t>PoA0078</t>
  </si>
  <si>
    <t>Solar</t>
  </si>
  <si>
    <t>Solar lamps</t>
  </si>
  <si>
    <t>Illumination</t>
  </si>
  <si>
    <t>Solar Lamp Project: East Tanzania</t>
  </si>
  <si>
    <t>Arusha &amp; Manyara &amp; Kilimanjaro &amp; Tanga</t>
  </si>
  <si>
    <t>PoA0207</t>
  </si>
  <si>
    <t>ENERCAP SunLighting™ Africa – Programme to replace kerosene lamps with micro PV LED systems in the Sub-Sahara region</t>
  </si>
  <si>
    <t>Angola, Burkina Faso, Benin, Democratic Republic of the Congo, Côte d`Ivoire, Cameroon, Ethiopia, Gabon, Ghana, Guinea, Kenya, Mauritania, Niger, Nigeria, Senegal, Chad, Togo</t>
  </si>
  <si>
    <t>ENERCAP SAS</t>
  </si>
  <si>
    <t>Solar PV</t>
  </si>
  <si>
    <t>Enercap</t>
  </si>
  <si>
    <t>PoA0001</t>
  </si>
  <si>
    <t>AMS-I.A.</t>
  </si>
  <si>
    <t>ENERCAP SunLighting™ Africa – Gabon</t>
  </si>
  <si>
    <t>Gabon</t>
  </si>
  <si>
    <t>PoA0071</t>
  </si>
  <si>
    <t>First Solar PoA in India by SENES Consultants</t>
  </si>
  <si>
    <t>SENES Consultants</t>
  </si>
  <si>
    <t>SENES Consultants, KYOTOenergy</t>
  </si>
  <si>
    <t>15122010 First Bundled CPA on Grid Connected Solar Power Project in India by SENES consultants</t>
  </si>
  <si>
    <t>2.00 MWp Grid Interactive Solar Photovoltaic Power Project at Jhansi</t>
  </si>
  <si>
    <t>Emission Reduction Services</t>
  </si>
  <si>
    <t>“5 MW Solar PV power project, Patan District, Gujarat, India"</t>
  </si>
  <si>
    <t>PoA0147</t>
  </si>
  <si>
    <t>Greenlight Solar PV Lighting India</t>
  </si>
  <si>
    <t>JPMVEC</t>
  </si>
  <si>
    <t>EcoSecurities</t>
  </si>
  <si>
    <t>Greenlight Solar PV Lighting India “CPA 1”</t>
  </si>
  <si>
    <t>PoA0209</t>
  </si>
  <si>
    <t>India Small Scale Solar PV Programme of Activities</t>
  </si>
  <si>
    <t>Mabanaft Carbon India Private Limited</t>
  </si>
  <si>
    <t>Mabanaft 1MW Solar PV Project</t>
  </si>
  <si>
    <t>PoA0126</t>
  </si>
  <si>
    <t>Barefoot Power Lighting Programme</t>
  </si>
  <si>
    <t>Kenya, Uganda</t>
  </si>
  <si>
    <t>Barefoot Power Pty Limited</t>
  </si>
  <si>
    <t>Barefoot Power Lighting Programme SSK-KE-01</t>
  </si>
  <si>
    <t>PoA0136</t>
  </si>
  <si>
    <t>Mexican Renewable Energy Alliance Programme of Activities (PoA)</t>
  </si>
  <si>
    <t>Tonalli Renewable Energy Programme S. de R.L. de C.V.</t>
  </si>
  <si>
    <t>Queretaro 1 Solar Project in Queretaro, Mexico (CPA Queretaro 1)</t>
  </si>
  <si>
    <t>PoA0111</t>
  </si>
  <si>
    <t>Southern African Solar Electrical Energy Programme (SASEE)</t>
  </si>
  <si>
    <t>Botswana, Lesotho, Mozambique, Namibia, South Africa, Swaziland, Zambia, Zimbabwe</t>
  </si>
  <si>
    <t>AMS-I.F.</t>
  </si>
  <si>
    <t>Southern Africa Solar Electrical Energy (SASEE) Programme – Ellies Gauteng SSC-CPA</t>
  </si>
  <si>
    <t>PoA0134</t>
  </si>
  <si>
    <t>Southern African Renewable Energy (SARE) Programme</t>
  </si>
  <si>
    <t>Botswana, Lesotho, Mozambique, Namibia, Swaziland, South Africa, Zambia, Zimbabwe</t>
  </si>
  <si>
    <t>Southern African Renewable Energy (SARE) Programme – African Rainbow Energy PV CPA</t>
  </si>
  <si>
    <t>PoA0137</t>
  </si>
  <si>
    <t>Microscale solar electrical programme, South Africa</t>
  </si>
  <si>
    <t>Blue World Carbon Asset Management</t>
  </si>
  <si>
    <t>Microscale solar electrical programme, South Africa – CPA-001</t>
  </si>
  <si>
    <t>Scatec Solar Linde CPA-001 (“SSL CPA-001”).</t>
  </si>
  <si>
    <t>International Carbon</t>
  </si>
  <si>
    <t>PoA0180</t>
  </si>
  <si>
    <t>Small Scale Grid-connected Solar Power Programme</t>
  </si>
  <si>
    <t>Camco Carbon Africa</t>
  </si>
  <si>
    <t>CPA RSA0001 - Merino Photovoltaic Power Station, Republic of South Africa</t>
  </si>
  <si>
    <t>PoA0198</t>
  </si>
  <si>
    <t>Small-scale solar electrical programme, South Africa</t>
  </si>
  <si>
    <t>AMS-I.D.+AMS-I.F.</t>
  </si>
  <si>
    <t>Small-scale solar electrical programme, South Africa – CPA-001</t>
  </si>
  <si>
    <t>The programme to introduce renewable energy system into Jeju Island – SSC-CPA (2011, JGP)</t>
  </si>
  <si>
    <t>Jeju</t>
  </si>
  <si>
    <t>Jeju Special Self-Governing Province</t>
  </si>
  <si>
    <t>Keco</t>
  </si>
  <si>
    <t>Programme of Activities to introduce renewable energy system into collective housing, Republic of Korea – &lt;CPA No.001&gt;</t>
  </si>
  <si>
    <t>LH Corporation</t>
  </si>
  <si>
    <t>PoA0133</t>
  </si>
  <si>
    <t>Small-Scale Renewable Energy PoA in Thailand</t>
  </si>
  <si>
    <t>Carbon Coordination and Managing Entity Ltd</t>
  </si>
  <si>
    <t>CPA No. 1: IFEC Solar PV</t>
  </si>
  <si>
    <t>Kanchanaburi</t>
  </si>
  <si>
    <t>PoA0223</t>
  </si>
  <si>
    <t>GRT Energy Small Scale Solar PV (PoA)</t>
  </si>
  <si>
    <t>GRT Energy Co</t>
  </si>
  <si>
    <t>GRT Energy Small Scale Solar PV (PoA)- CPA- 001</t>
  </si>
  <si>
    <t>Dubai  3 MW Photovoltaic Power Plant</t>
  </si>
  <si>
    <t>City of Dubai</t>
  </si>
  <si>
    <t>Dubai Electricity and Water Authority</t>
  </si>
  <si>
    <t>PoA0094</t>
  </si>
  <si>
    <t>Tricorona Carbon Asset Management Sweden</t>
  </si>
  <si>
    <t>Solar PV water disinfection</t>
  </si>
  <si>
    <t>AMS-III.AV.</t>
  </si>
  <si>
    <t>Solarwave water purification CPA 1</t>
  </si>
  <si>
    <t>PoA0124</t>
  </si>
  <si>
    <t>National Solar Power Development Programme, India</t>
  </si>
  <si>
    <t>PoA0167</t>
  </si>
  <si>
    <t>Dubai Solar Farm Programme of Activities</t>
  </si>
  <si>
    <t>United Arab Emirates</t>
  </si>
  <si>
    <t>PoA0122</t>
  </si>
  <si>
    <t>Programme of Activities to introduce renewable energy system into collective housing, Republic of Korea</t>
  </si>
  <si>
    <t>PoA0032</t>
  </si>
  <si>
    <t>Neutech Solar Systems</t>
  </si>
  <si>
    <t>Solar water heating</t>
  </si>
  <si>
    <t>Solar Water Heater Program in India- “CPA 1”</t>
  </si>
  <si>
    <t>PoA0003</t>
  </si>
  <si>
    <t>Prostart Traders 40 - New Energies</t>
  </si>
  <si>
    <t>PwC</t>
  </si>
  <si>
    <t>PoA0041</t>
  </si>
  <si>
    <t>Unlimited Energy Resources</t>
  </si>
  <si>
    <t>South African Solar Water Heater (SWH) Programme SSC-CPA – Number One</t>
  </si>
  <si>
    <t>PoA0045</t>
  </si>
  <si>
    <t>SASSA Low Pressure Solar Water Heater Programme</t>
  </si>
  <si>
    <t>Solar Academy of Sub Saharan Africa</t>
  </si>
  <si>
    <t>4302-0001</t>
  </si>
  <si>
    <t>SASSA Low Pressure Solar Water Heater Programme – CPA- 001</t>
  </si>
  <si>
    <t>PoA0077</t>
  </si>
  <si>
    <t>Standard Bank Low Pressure Solar water heater Programme for South Africa</t>
  </si>
  <si>
    <t>Standard Bank Low Pressure Solar Water Heater Programme for South Africa – CPA-001</t>
  </si>
  <si>
    <t>PoA0081</t>
  </si>
  <si>
    <t>CME</t>
  </si>
  <si>
    <t>Green Steam Low Pressure Solar Water Heater Programme for South Africa CPA001</t>
  </si>
  <si>
    <t>Johannesburg Cosmo City</t>
  </si>
  <si>
    <t>PoA0101</t>
  </si>
  <si>
    <t>ETA Solar Water Heater Programme in South Africa</t>
  </si>
  <si>
    <t>ETA Energy</t>
  </si>
  <si>
    <t>AMS-I.J.</t>
  </si>
  <si>
    <t>CarbonStream Africa</t>
  </si>
  <si>
    <t>Nelson Mandela Bay Municipality Solar Water Heating Project – NMBM CPA - 001</t>
  </si>
  <si>
    <t>PoA0112</t>
  </si>
  <si>
    <t>Southern Africa Solar Thermal Energy (SASTE) Programme</t>
  </si>
  <si>
    <t>Southern Africa Solar Thermal Energy (SASTE) Programme – Ellies Gauteng SSC-CPA</t>
  </si>
  <si>
    <t>PoA0079</t>
  </si>
  <si>
    <t>The programme to introduce renewable energy system into Seoul</t>
  </si>
  <si>
    <t>Seoul Metropolitan Government</t>
  </si>
  <si>
    <t>AMS-I.F.+AMS-I.C.</t>
  </si>
  <si>
    <t>The programme to introduce renewable energy system into Seoul – CPA (2011, Seoul)</t>
  </si>
  <si>
    <t>Seoul</t>
  </si>
  <si>
    <t>PoA0008</t>
  </si>
  <si>
    <t>Tunisia</t>
  </si>
  <si>
    <t>Agence Nationale pour la Maîtrise de l'Energie (ANME)</t>
  </si>
  <si>
    <t>4659-0001</t>
  </si>
  <si>
    <t>Solar Water Heater Programme in Tunisia – CPA 1</t>
  </si>
  <si>
    <t>PoA0010</t>
  </si>
  <si>
    <t>Installing Solar Water Heating Systems in the South of Viet Nam</t>
  </si>
  <si>
    <t>Energy Conservation Center</t>
  </si>
  <si>
    <t>Mitsubishi UFJ Securities</t>
  </si>
  <si>
    <t>Installing Solar Water Heating Systems in the South of Viet Nam - 01</t>
  </si>
  <si>
    <t>PoA0150</t>
  </si>
  <si>
    <t>Energy Conservation Center, Ho Chi Minh City</t>
  </si>
  <si>
    <t>Installing Solar Water Heating Systems in the South of Viet Nam - 1</t>
  </si>
  <si>
    <t>PoA0170</t>
  </si>
  <si>
    <t>Green Power for South Africa</t>
  </si>
  <si>
    <t>PoA0014</t>
  </si>
  <si>
    <t>Improved Cooking Stoves in Bangladesh</t>
  </si>
  <si>
    <t>JPMorgan Ventures Energy Corporation</t>
  </si>
  <si>
    <t>Stoves</t>
  </si>
  <si>
    <t>AMS-II.G.</t>
  </si>
  <si>
    <t>HED Consulting, JP Morgan</t>
  </si>
  <si>
    <t>4791-0001</t>
  </si>
  <si>
    <t>Improved Cooking Stoves in Bangladesh – CPA No.01 Grameen Shakti</t>
  </si>
  <si>
    <t>PoA0181</t>
  </si>
  <si>
    <t>Congo (DRC) Improved Cook Stoves program</t>
  </si>
  <si>
    <t>Congo DR</t>
  </si>
  <si>
    <t>WESD Capital</t>
  </si>
  <si>
    <t>Ecosur afrique</t>
  </si>
  <si>
    <t>Congo (DRC) Improved Cook Stoves CPA001 - Kimbanseke 1</t>
  </si>
  <si>
    <t>PoA0210</t>
  </si>
  <si>
    <t>Ecosur Afrique</t>
  </si>
  <si>
    <t>PoA0179</t>
  </si>
  <si>
    <t>Côte d’Ivoire and Cameroon Efficient Cookstoves Program</t>
  </si>
  <si>
    <t>Côte d'Ivoire</t>
  </si>
  <si>
    <t>Envirofit International</t>
  </si>
  <si>
    <t>Côte d’Ivoire and Cameroon Efficient Cookstoves Program CPA001 - Abobo 1</t>
  </si>
  <si>
    <t>Abidjan</t>
  </si>
  <si>
    <t>PoA0211</t>
  </si>
  <si>
    <t>PoA0062</t>
  </si>
  <si>
    <t>Improved Cook Stoves for East Africa (ICSEA)</t>
  </si>
  <si>
    <t>East Africa</t>
  </si>
  <si>
    <t>International Lifeline Fund Uganda CPA 1 (ILFUg1)</t>
  </si>
  <si>
    <t>PoA0042</t>
  </si>
  <si>
    <t>“Turbococinas”, rural cooking stove substitution program in El Salvador</t>
  </si>
  <si>
    <t>El Salvador</t>
  </si>
  <si>
    <t>Tecnologías Ecológicas Centroamericanas (TECSA)</t>
  </si>
  <si>
    <t>5092-0001</t>
  </si>
  <si>
    <t>“Turbococinas”, rural cooking stove substitution program in El Salvador - CPA 1</t>
  </si>
  <si>
    <t>PoA0186</t>
  </si>
  <si>
    <t>African Improved Cooking Stoves Programme of Activities</t>
  </si>
  <si>
    <t>Ghana</t>
  </si>
  <si>
    <t>African Improved Cooking Stoves Programme of Activities – CPA No. 00001 (Ghana)</t>
  </si>
  <si>
    <t>PoA0036</t>
  </si>
  <si>
    <t>Helps International</t>
  </si>
  <si>
    <t>EnergetixClimate</t>
  </si>
  <si>
    <t>ONIL Stoves —Guatemala - Uspantán</t>
  </si>
  <si>
    <t>PoA0227</t>
  </si>
  <si>
    <t>Improved Cookstoves Program in Honduras “Vida Mejor con Ecofogones de Alto Rendimiento”</t>
  </si>
  <si>
    <t>Improved Cookstoves Project Activity in Honduras “Vida Mejor con Ecofogones de Alto Rendimiento” – CPA No 001.</t>
  </si>
  <si>
    <t>PoA0121</t>
  </si>
  <si>
    <t>Programme for replacement of traditional cookstoves with modern cookstoves in India</t>
  </si>
  <si>
    <t>CPA # 001 Replacement of traditional cookstoves with modern cookstoves in selected area of Pali District.</t>
  </si>
  <si>
    <t>PoA0171</t>
  </si>
  <si>
    <t>Improved Cook stoves Programme – India</t>
  </si>
  <si>
    <t>General Carbon Advisory Services</t>
  </si>
  <si>
    <t>CPA 001   – Improved Cook stoves Programme-India</t>
  </si>
  <si>
    <t>PoA0070</t>
  </si>
  <si>
    <t>Efficient Cook Stove Programme: Kenya</t>
  </si>
  <si>
    <t>co2balance UK</t>
  </si>
  <si>
    <t>CPA 1: Eldoret East and Keiyo Districts (Efficient Cook Stove Programme: Kenya)</t>
  </si>
  <si>
    <t>PoA0154</t>
  </si>
  <si>
    <t>Kenya Improved woodstoves project</t>
  </si>
  <si>
    <t>Climate Pal</t>
  </si>
  <si>
    <t>EcoAct</t>
  </si>
  <si>
    <t>Kenya Improved woodstoves project Mbeere01 CPA01</t>
  </si>
  <si>
    <t>PoA0185</t>
  </si>
  <si>
    <t>Improved Cooking Stoves Programme of Activities in Africa</t>
  </si>
  <si>
    <t>Improved Cooking Stoves Programme of Activities in Africa – CPA No. 00001 (Kenya)</t>
  </si>
  <si>
    <t>PoA0184</t>
  </si>
  <si>
    <t>PoA for the Reduction of emission from non-renewable fuel from cooking at household level</t>
  </si>
  <si>
    <t>Madagascar</t>
  </si>
  <si>
    <t>Green Development AS</t>
  </si>
  <si>
    <t>Green Development</t>
  </si>
  <si>
    <t>PoA0033</t>
  </si>
  <si>
    <t>Distribution of ONIL Stoves —Mexico, San Felipe Usila 1</t>
  </si>
  <si>
    <t>PoA0141</t>
  </si>
  <si>
    <t>Promotion of the Improved Cooking Stove (ICS) – Nepal</t>
  </si>
  <si>
    <t>Promotion of the Improved Cooking Stove (ICS) – Nepal – CPA 1</t>
  </si>
  <si>
    <t>PoA0061</t>
  </si>
  <si>
    <t>Distribution of fuel-efficient improved cooking stoves in Nigeria</t>
  </si>
  <si>
    <t>Nigeria</t>
  </si>
  <si>
    <t>C-Quest Capital</t>
  </si>
  <si>
    <t>C Quest Capital, HED Consulting</t>
  </si>
  <si>
    <t>Distribution of fuel-efficient improved cooking stoves in Nigeria - CPA 001</t>
  </si>
  <si>
    <t>PoA0063</t>
  </si>
  <si>
    <t>Improved Cooking Stoves for Nigeria Programme of Activities</t>
  </si>
  <si>
    <t>Developmental Association for Renewable Energies</t>
  </si>
  <si>
    <t>atmosfair, Lernen-Helfen-Leben</t>
  </si>
  <si>
    <t>5067-0001</t>
  </si>
  <si>
    <t>CPA # 1 Improved Cooking Stoves for Nigeria</t>
  </si>
  <si>
    <t>PoA0090</t>
  </si>
  <si>
    <t>Rwanda</t>
  </si>
  <si>
    <t>PoA0146</t>
  </si>
  <si>
    <t>Efficient Cook Stove Programme: Rwanda</t>
  </si>
  <si>
    <t>CPA 1: Rubavu Improved Cook Stove Project</t>
  </si>
  <si>
    <t>PoA0015</t>
  </si>
  <si>
    <t>Heat Retention Cooking in South Africa</t>
  </si>
  <si>
    <t>JP Morgan, Molora Consulting</t>
  </si>
  <si>
    <t>Heat Retention Cooking in South-West Gauteng</t>
  </si>
  <si>
    <t>PoA0080</t>
  </si>
  <si>
    <t>Promoting Efficient Stove Dissemination and Use in West Africa</t>
  </si>
  <si>
    <t>Togo</t>
  </si>
  <si>
    <t>Senegal, Gambia, Burkina Faso, Togo</t>
  </si>
  <si>
    <t>E+Carbon</t>
  </si>
  <si>
    <t>Promoting Efficient Stove Dissemination and Use in West Africa – CPA 001 Togo</t>
  </si>
  <si>
    <t>PoA0225</t>
  </si>
  <si>
    <t>Togo, Burkina Faso, Senegal, Mali</t>
  </si>
  <si>
    <t>PoA0096</t>
  </si>
  <si>
    <t>Efficient Cook Stove Programme: Uganda</t>
  </si>
  <si>
    <t>CZUGA</t>
  </si>
  <si>
    <t>CO2Balance</t>
  </si>
  <si>
    <t>CPA 1: Kanungu Improved Cook Stove Projects</t>
  </si>
  <si>
    <t>PoA0110</t>
  </si>
  <si>
    <t>Up Energy Group USA</t>
  </si>
  <si>
    <t>CIRCODU</t>
  </si>
  <si>
    <t>Wood Improved Cookstoves Carbon Project Activity 1</t>
  </si>
  <si>
    <t>PoA0065</t>
  </si>
  <si>
    <t>Zambia</t>
  </si>
  <si>
    <t>Fuel Efficient Stoves in Zambia (3RL CPA No.01)</t>
  </si>
  <si>
    <t>PoA0224</t>
  </si>
  <si>
    <t>Improved Cookstoves Program for Zambia</t>
  </si>
  <si>
    <t>C-Quest Capital Malaysia Global Stoves Limited</t>
  </si>
  <si>
    <t>Improved Cookstoves Program for Zambia (SVA-CPA-001)</t>
  </si>
  <si>
    <t>Eastern Province</t>
  </si>
  <si>
    <t>PoA0222</t>
  </si>
  <si>
    <t>MicroEnergy Credits – Microfinance for Clean Energy Product Lines - Mongolia</t>
  </si>
  <si>
    <t>PoA0097</t>
  </si>
  <si>
    <t>Thailand energy efficiency improvement for street lightings</t>
  </si>
  <si>
    <t>Street lighting</t>
  </si>
  <si>
    <t>AMS-II.L.</t>
  </si>
  <si>
    <t>Thailand energy efficiency improvement for street lightings in central region (sub region 1: Ayuttaya, Chonburi, and Nakhon Pathom provinces)</t>
  </si>
  <si>
    <t>PoA0058</t>
  </si>
  <si>
    <t>Caixa</t>
  </si>
  <si>
    <t>Switch from fossil fuel to piped landfill gas</t>
  </si>
  <si>
    <t>AM53+ACM1</t>
  </si>
  <si>
    <t>PoA0173</t>
  </si>
  <si>
    <t>Ventilation Air Methane Oxidation Programme in coal mines</t>
  </si>
  <si>
    <t>Junenghuili Carbon Asset Management</t>
  </si>
  <si>
    <t>Ventilation Air Methane</t>
  </si>
  <si>
    <t>Yongcheng Xuehu Coal Mine Ventilation Air Methane Recovery and Utilization Project</t>
  </si>
  <si>
    <t>PoA0115</t>
  </si>
  <si>
    <t>South East Asia Biogas Programme of Activities</t>
  </si>
  <si>
    <t>PT Biogas Program International</t>
  </si>
  <si>
    <t>Waste water</t>
  </si>
  <si>
    <t>Bahari Biogas to Electricity Project</t>
  </si>
  <si>
    <t>PoA0119</t>
  </si>
  <si>
    <t>Indonesia Biogas Projects</t>
  </si>
  <si>
    <t>Negeri Lama I &amp; II Biogas Project (NL 22110002-1).</t>
  </si>
  <si>
    <t>PoA0140</t>
  </si>
  <si>
    <t>PT. GP Carbon Solutions Services Indonesia</t>
  </si>
  <si>
    <t>Negeri Lama I &amp; II Biogas Project</t>
  </si>
  <si>
    <t>AMS-III.H.+AMS.I.F.</t>
  </si>
  <si>
    <t>PoA0148</t>
  </si>
  <si>
    <t>Recovery and Avoidance of Methane from Industrial Wastewater Treatment Projects</t>
  </si>
  <si>
    <t>PoA0064</t>
  </si>
  <si>
    <t>Sri Senggora Biogas Project (SS 33610255-1)</t>
  </si>
  <si>
    <t>PoA0172</t>
  </si>
  <si>
    <t>Ometepe Biogas Programme</t>
  </si>
  <si>
    <t>Dominican Republic, Guatemala, Nicaragua</t>
  </si>
  <si>
    <t>PROTENA Biogas Project - Ometepe Biogas PoA CPA # 1</t>
  </si>
  <si>
    <t>Managua</t>
  </si>
  <si>
    <t>PoA0217</t>
  </si>
  <si>
    <t>Methane Utilisation and Destruction Programme from Industrial Wastewater in DPR Korea</t>
  </si>
  <si>
    <t>Pulp Wastewater Treatment at Sinuiju Chemical Fibre Factory (IWW-DPRK-1)</t>
  </si>
  <si>
    <t>PoA0169</t>
  </si>
  <si>
    <t>The program to improve energy independence of public sewerage system through biogas increased efficiency in Korea</t>
  </si>
  <si>
    <t>PoA0193</t>
  </si>
  <si>
    <t>TBEC Biogas Programme for South East Asia</t>
  </si>
  <si>
    <t>Thai Biogas Energy Company</t>
  </si>
  <si>
    <t>ACM14</t>
  </si>
  <si>
    <t>Carbon Bridge</t>
  </si>
  <si>
    <t>TBEC Biogas Programme for South East Asia CPA#0001 BSW</t>
  </si>
  <si>
    <t>PoA0129</t>
  </si>
  <si>
    <t>Anaerobic Digestion and Renewable Energy Generation in South Africa</t>
  </si>
  <si>
    <t>PoA0125</t>
  </si>
  <si>
    <t>Sustainable Deployment of the LifeStraw® Family in rural Indonesia</t>
  </si>
  <si>
    <t>Vestergaard Frandsen Group</t>
  </si>
  <si>
    <t>Water purification</t>
  </si>
  <si>
    <t>Sustainable Deployment of the LifeStraw® Family in Lampung Timur district in Lampung province, Indonesia</t>
  </si>
  <si>
    <t>PoA0109</t>
  </si>
  <si>
    <t>International water purification programme</t>
  </si>
  <si>
    <t>All</t>
  </si>
  <si>
    <t>Swiss Federal Institute of Aquatic Science and Technology</t>
  </si>
  <si>
    <t>PoA0215</t>
  </si>
  <si>
    <t>Argentinean Wind Power Programme (AWPP)</t>
  </si>
  <si>
    <t>Argentina</t>
  </si>
  <si>
    <t>wpd Argentina</t>
  </si>
  <si>
    <t>Wind</t>
  </si>
  <si>
    <t>PoA0160</t>
  </si>
  <si>
    <t>Muritiba Wind Power Plant CPA</t>
  </si>
  <si>
    <t>PoA0161</t>
  </si>
  <si>
    <t>Wind Power Programme of Activities in Brazil</t>
  </si>
  <si>
    <t>Deutsche Bank AG, London Branch</t>
  </si>
  <si>
    <t>PoA0206</t>
  </si>
  <si>
    <t>Wind Programme of Activities in Chile</t>
  </si>
  <si>
    <t>Ingeniería Seawind Sudamérica Ltda</t>
  </si>
  <si>
    <t>Trie Projects</t>
  </si>
  <si>
    <t>Chome Wind Farm CPA #1</t>
  </si>
  <si>
    <t>PoA0164</t>
  </si>
  <si>
    <t>India Wind Energy Programme of Activities</t>
  </si>
  <si>
    <t>Mabanaft Carbon India Pvt.</t>
  </si>
  <si>
    <t>CPA001 - Amarapur Wind Park</t>
  </si>
  <si>
    <t>Alba Rivas, Wind Power Plant – Tepeu PoA CPA # 1</t>
  </si>
  <si>
    <t>Rivas, Pacific South Region</t>
  </si>
  <si>
    <t>PoA0201</t>
  </si>
  <si>
    <t>Nicaragua and Peru</t>
  </si>
  <si>
    <t>PoA0149</t>
  </si>
  <si>
    <t>South African Grid Connected Wind Farm Programme</t>
  </si>
  <si>
    <t>CPA 001 under PoA ‘South African Grid Connected Wind Farm Programme’</t>
  </si>
  <si>
    <t>PoA0159</t>
  </si>
  <si>
    <t>CDM Africa Wind and Solar Programme of Activities for South Africa</t>
  </si>
  <si>
    <t>CDM Africa Wind/ Solar</t>
  </si>
  <si>
    <t>Jeffrey’s Bay Wind Energy Project in South Africa</t>
  </si>
  <si>
    <t>PoA0178</t>
  </si>
  <si>
    <t>South Africa Wind Energy</t>
  </si>
  <si>
    <t>Mabanaft Carbon B.V.</t>
  </si>
  <si>
    <t>Copperton Wind Farm</t>
  </si>
  <si>
    <t>PoA0087</t>
  </si>
  <si>
    <t>Hydro Alliance Programme of Activities</t>
  </si>
  <si>
    <t>PoA0117</t>
  </si>
  <si>
    <t>PoA0091</t>
  </si>
  <si>
    <t>Malaysia Biomass Power Plant Project</t>
  </si>
  <si>
    <t>PoA0084</t>
  </si>
  <si>
    <t>The programme to introduce renewable energy system into Jeju Island</t>
  </si>
  <si>
    <t>PoA0086</t>
  </si>
  <si>
    <t>Biomass Power Development programme in Thailand</t>
  </si>
  <si>
    <t>PoA0026</t>
  </si>
  <si>
    <t>Vietnam PoA Carbon Management Joint Stock Company (Vietnam PoA JSC)</t>
  </si>
  <si>
    <t>PoA0035</t>
  </si>
  <si>
    <t>Vietnams Ministry of Industry and Trade</t>
  </si>
  <si>
    <t>Table 1</t>
  </si>
  <si>
    <t>Number of PoAs</t>
  </si>
  <si>
    <t>Sub-types used in CDM projects</t>
  </si>
  <si>
    <t>At</t>
  </si>
  <si>
    <t>Total</t>
  </si>
  <si>
    <t>validation</t>
  </si>
  <si>
    <t>total:</t>
  </si>
  <si>
    <t>Alternative fertilisers</t>
  </si>
  <si>
    <t>Rice crops</t>
  </si>
  <si>
    <t>Bagasse power</t>
  </si>
  <si>
    <t>Biomass</t>
  </si>
  <si>
    <t>Energy</t>
  </si>
  <si>
    <t>Agricultural residues: other kinds</t>
  </si>
  <si>
    <t>Chart 1:</t>
  </si>
  <si>
    <t>Agricultural residues: rice husk</t>
  </si>
  <si>
    <t>Agricultural residues: mustard crop</t>
  </si>
  <si>
    <t>Agricultural residues: poultry litter</t>
  </si>
  <si>
    <t>Black liquor</t>
  </si>
  <si>
    <t>Forest residues: sawmill waste</t>
  </si>
  <si>
    <t>Forest biomass</t>
  </si>
  <si>
    <t>Industrial waste</t>
  </si>
  <si>
    <t>Switch from fossil fuel to piped biogas</t>
  </si>
  <si>
    <t xml:space="preserve">Biodiesel </t>
  </si>
  <si>
    <t>Biodiesel from waste oil</t>
  </si>
  <si>
    <t>Ethanol</t>
  </si>
  <si>
    <t>Cement</t>
  </si>
  <si>
    <t>Clinker replacement</t>
  </si>
  <si>
    <t>CO2 usage</t>
  </si>
  <si>
    <t>CO2 recycling</t>
  </si>
  <si>
    <t>CO2 replacement</t>
  </si>
  <si>
    <t>Coal Mine/</t>
  </si>
  <si>
    <t>Coal Bed Methane</t>
  </si>
  <si>
    <t>bed CH4</t>
  </si>
  <si>
    <t>District heating</t>
  </si>
  <si>
    <t>Replacement of district heating boilers</t>
  </si>
  <si>
    <t>distribution</t>
  </si>
  <si>
    <t>Connection of Isolated grid</t>
  </si>
  <si>
    <t xml:space="preserve">EE </t>
  </si>
  <si>
    <t>Households:</t>
  </si>
  <si>
    <t>PoAs</t>
  </si>
  <si>
    <t>PoAs%</t>
  </si>
  <si>
    <t>Normal %</t>
  </si>
  <si>
    <t>Table 4:</t>
  </si>
  <si>
    <t>EE</t>
  </si>
  <si>
    <t>Petrochemicals</t>
  </si>
  <si>
    <t>EE demand side</t>
  </si>
  <si>
    <t>industry</t>
  </si>
  <si>
    <t>Paper</t>
  </si>
  <si>
    <t>Waste</t>
  </si>
  <si>
    <t>Methane avoidance, Brazil</t>
  </si>
  <si>
    <t>Machinery</t>
  </si>
  <si>
    <t>Textiles</t>
  </si>
  <si>
    <t>Electronics</t>
  </si>
  <si>
    <t>Forestry &amp; Agriculture</t>
  </si>
  <si>
    <t xml:space="preserve">Glass </t>
  </si>
  <si>
    <t xml:space="preserve">Non-ferrous metals </t>
  </si>
  <si>
    <t>Coke oven</t>
  </si>
  <si>
    <t xml:space="preserve">Mining </t>
  </si>
  <si>
    <t>Industrial gases</t>
  </si>
  <si>
    <t>Construction</t>
  </si>
  <si>
    <t>Total PoAs</t>
  </si>
  <si>
    <t>Metal products</t>
  </si>
  <si>
    <t xml:space="preserve">Wood </t>
  </si>
  <si>
    <t>Recycling</t>
  </si>
  <si>
    <t>Petrochemicals heat</t>
  </si>
  <si>
    <t>Own generation</t>
  </si>
  <si>
    <t>Carbon black gas</t>
  </si>
  <si>
    <t>Cement heat</t>
  </si>
  <si>
    <t>Iron &amp; steel heat</t>
  </si>
  <si>
    <t>Building materials heat</t>
  </si>
  <si>
    <t>Glass heat</t>
  </si>
  <si>
    <t>Non-ferrous metals heat</t>
  </si>
  <si>
    <t>Coke oven gas</t>
  </si>
  <si>
    <t>service</t>
  </si>
  <si>
    <t>EE new buildings</t>
  </si>
  <si>
    <t>Chart 3:</t>
  </si>
  <si>
    <t>Water pumping</t>
  </si>
  <si>
    <t>EE public buildings</t>
  </si>
  <si>
    <t>Single cycle to combined cycle</t>
  </si>
  <si>
    <t>supply side</t>
  </si>
  <si>
    <t>Higher efficiency oil power</t>
  </si>
  <si>
    <t>Higher efficiency using waste heat</t>
  </si>
  <si>
    <t>Power plant rehabilitation</t>
  </si>
  <si>
    <t>Higher efficiency steam boiler</t>
  </si>
  <si>
    <t>Forests</t>
  </si>
  <si>
    <t>Afforestation</t>
  </si>
  <si>
    <t>Mangroves</t>
  </si>
  <si>
    <t>Coal to natural gas</t>
  </si>
  <si>
    <t>Fossil</t>
  </si>
  <si>
    <t>Coal to oil</t>
  </si>
  <si>
    <t>fuel switch</t>
  </si>
  <si>
    <t>Lignite to natural gas</t>
  </si>
  <si>
    <t>New natural gas plant</t>
  </si>
  <si>
    <t>New natural gas plant using LNG</t>
  </si>
  <si>
    <t>Oil to electricity</t>
  </si>
  <si>
    <t>Oil field flaring reduction</t>
  </si>
  <si>
    <t>Fugitive</t>
  </si>
  <si>
    <t>Oil and gas processing flaring</t>
  </si>
  <si>
    <t>Natural gas pipelines</t>
  </si>
  <si>
    <t>Non-hydrocarbon mining</t>
  </si>
  <si>
    <t>Spontaneously ignition of coal piles</t>
  </si>
  <si>
    <t>Charcoal production</t>
  </si>
  <si>
    <t>Geothermal electricity</t>
  </si>
  <si>
    <t>HFCs</t>
  </si>
  <si>
    <t>HFC23</t>
  </si>
  <si>
    <t>HFC134a</t>
  </si>
  <si>
    <t>Gasification of MSW</t>
  </si>
  <si>
    <t>Landfill aeration</t>
  </si>
  <si>
    <t>Integrated solid waste management</t>
  </si>
  <si>
    <t>Methane</t>
  </si>
  <si>
    <t>avoidance</t>
  </si>
  <si>
    <t>Aerobic treatment of waste water</t>
  </si>
  <si>
    <t>N2O</t>
  </si>
  <si>
    <t>Adipic acid</t>
  </si>
  <si>
    <t>Nitric acid</t>
  </si>
  <si>
    <t>Caprolactam</t>
  </si>
  <si>
    <t>PFCs+SF6</t>
  </si>
  <si>
    <t>PFCs</t>
  </si>
  <si>
    <t>SF6</t>
  </si>
  <si>
    <t>Solar thermal power</t>
  </si>
  <si>
    <t>Solar thermal</t>
  </si>
  <si>
    <t>Solar cooking</t>
  </si>
  <si>
    <t>Tidal</t>
  </si>
  <si>
    <t>Bus Rapid Transit</t>
  </si>
  <si>
    <t>Motorbikes</t>
  </si>
  <si>
    <t>Mode shift: Road to rail</t>
  </si>
  <si>
    <t>More efficient train system</t>
  </si>
  <si>
    <t>Rail: regenerative braking</t>
  </si>
  <si>
    <t>Metro: efficient operation</t>
  </si>
  <si>
    <t>Biodiesel for transport</t>
  </si>
  <si>
    <t>Cable cars</t>
  </si>
  <si>
    <t xml:space="preserve">Total </t>
  </si>
  <si>
    <t>At validation</t>
  </si>
  <si>
    <t>Request registration</t>
  </si>
  <si>
    <t>Issued</t>
  </si>
  <si>
    <t>Rejected</t>
  </si>
  <si>
    <t>Number</t>
  </si>
  <si>
    <t>2012 kCERs</t>
  </si>
  <si>
    <t>2020 kCERs</t>
  </si>
  <si>
    <t>by DOEs</t>
  </si>
  <si>
    <t>drawn</t>
  </si>
  <si>
    <t>by EB</t>
  </si>
  <si>
    <t>Latin America</t>
  </si>
  <si>
    <t>Bahamas</t>
  </si>
  <si>
    <t>Bolivia</t>
  </si>
  <si>
    <t>Costa Rica</t>
  </si>
  <si>
    <t>Cuba</t>
  </si>
  <si>
    <t>Dominican Republic</t>
  </si>
  <si>
    <t>Guatemala</t>
  </si>
  <si>
    <t>Guyana</t>
  </si>
  <si>
    <t>Jamaica</t>
  </si>
  <si>
    <t>Panama</t>
  </si>
  <si>
    <t>Paraguay</t>
  </si>
  <si>
    <t>Uruguay</t>
  </si>
  <si>
    <t>Asia &amp; Pacific</t>
  </si>
  <si>
    <t>Bhutan</t>
  </si>
  <si>
    <t>Cambodia</t>
  </si>
  <si>
    <t>Fiji</t>
  </si>
  <si>
    <t>Lao PDR</t>
  </si>
  <si>
    <t>Myanmar</t>
  </si>
  <si>
    <t>Europe &amp; Central Asia</t>
  </si>
  <si>
    <t>Central America</t>
  </si>
  <si>
    <t>Albania</t>
  </si>
  <si>
    <t>Southern Africa</t>
  </si>
  <si>
    <t>Armenia</t>
  </si>
  <si>
    <t>Azerbaijan</t>
  </si>
  <si>
    <t>Bosnia and Herzegovina</t>
  </si>
  <si>
    <t>Cyprus</t>
  </si>
  <si>
    <t>Georgia</t>
  </si>
  <si>
    <t>Kyrgyzstan</t>
  </si>
  <si>
    <t>Macedonia</t>
  </si>
  <si>
    <t>Malta</t>
  </si>
  <si>
    <t>Moldova</t>
  </si>
  <si>
    <t>Montenegro</t>
  </si>
  <si>
    <t>Serbia</t>
  </si>
  <si>
    <t>Tajikistan</t>
  </si>
  <si>
    <t>Uzbekistan</t>
  </si>
  <si>
    <t>Africa</t>
  </si>
  <si>
    <t>Algeria</t>
  </si>
  <si>
    <t>Angola</t>
  </si>
  <si>
    <t>Cameroon</t>
  </si>
  <si>
    <t>Cape Verde</t>
  </si>
  <si>
    <t>Equatorial Guinea</t>
  </si>
  <si>
    <t>Ethiopia</t>
  </si>
  <si>
    <t>Lesotho</t>
  </si>
  <si>
    <t>Liberia</t>
  </si>
  <si>
    <t>Libya</t>
  </si>
  <si>
    <t>Mali</t>
  </si>
  <si>
    <t>Mauritius</t>
  </si>
  <si>
    <t>Mozambique</t>
  </si>
  <si>
    <t>Niger</t>
  </si>
  <si>
    <t>Sierra Leone</t>
  </si>
  <si>
    <t>Sudan</t>
  </si>
  <si>
    <t>Swaziland</t>
  </si>
  <si>
    <t>Zimbabwe</t>
  </si>
  <si>
    <t>Middle-East</t>
  </si>
  <si>
    <t>Iran</t>
  </si>
  <si>
    <t>Israel</t>
  </si>
  <si>
    <t>Jordan</t>
  </si>
  <si>
    <t>Lebanon</t>
  </si>
  <si>
    <t>Oman</t>
  </si>
  <si>
    <t>Qatar</t>
  </si>
  <si>
    <t>Syria</t>
  </si>
  <si>
    <t>LDC countries</t>
  </si>
  <si>
    <t>% comparison of regional distribucion of pCDM vs CDM</t>
  </si>
  <si>
    <t>Region</t>
  </si>
  <si>
    <t>pCDM</t>
  </si>
  <si>
    <t>CDM</t>
  </si>
  <si>
    <t>Of these</t>
  </si>
  <si>
    <t>Europe</t>
  </si>
  <si>
    <t>*</t>
  </si>
  <si>
    <t>Co-firing with biomass</t>
  </si>
  <si>
    <t>Higher efficiency hydro power</t>
  </si>
  <si>
    <t>EE own generation</t>
  </si>
  <si>
    <t>Saudi Arabia</t>
  </si>
  <si>
    <t>PJRCES</t>
  </si>
  <si>
    <t>Sales</t>
  </si>
  <si>
    <t>Savings</t>
  </si>
  <si>
    <t>Heat</t>
  </si>
  <si>
    <t>Electricity</t>
  </si>
  <si>
    <t>Steam</t>
  </si>
  <si>
    <t>Ash</t>
  </si>
  <si>
    <t>Biogas</t>
  </si>
  <si>
    <t>CFLs</t>
  </si>
  <si>
    <t>Compost</t>
  </si>
  <si>
    <t>Timber</t>
  </si>
  <si>
    <t>AUD</t>
  </si>
  <si>
    <t>BRL</t>
  </si>
  <si>
    <t>CLP</t>
  </si>
  <si>
    <t>CNY</t>
  </si>
  <si>
    <t>COP</t>
  </si>
  <si>
    <t>EGP</t>
  </si>
  <si>
    <t>EUR</t>
  </si>
  <si>
    <t>IDR</t>
  </si>
  <si>
    <t>INR</t>
  </si>
  <si>
    <t>KES</t>
  </si>
  <si>
    <t>KRW</t>
  </si>
  <si>
    <t>LKR</t>
  </si>
  <si>
    <t>MAD</t>
  </si>
  <si>
    <t>MXN</t>
  </si>
  <si>
    <t>MYR</t>
  </si>
  <si>
    <t>PHP</t>
  </si>
  <si>
    <t>PKR</t>
  </si>
  <si>
    <t>SAR</t>
  </si>
  <si>
    <t>THB</t>
  </si>
  <si>
    <t>USD</t>
  </si>
  <si>
    <t>VND</t>
  </si>
  <si>
    <t>ZAR</t>
  </si>
  <si>
    <t>Replacing</t>
  </si>
  <si>
    <t>Investment</t>
  </si>
  <si>
    <t>Technological</t>
  </si>
  <si>
    <t>Prevailing practice</t>
  </si>
  <si>
    <t>Financial</t>
  </si>
  <si>
    <t>1</t>
  </si>
  <si>
    <t>PoA0232</t>
  </si>
  <si>
    <t>PoA0233</t>
  </si>
  <si>
    <t>PoA0234</t>
  </si>
  <si>
    <t>PoA0235</t>
  </si>
  <si>
    <t>PoA0236</t>
  </si>
  <si>
    <t>PoA0237</t>
  </si>
  <si>
    <t>PoA0238</t>
  </si>
  <si>
    <t>PoA0239</t>
  </si>
  <si>
    <t>PoA0240</t>
  </si>
  <si>
    <t>PoA0241</t>
  </si>
  <si>
    <t>PoA0242</t>
  </si>
  <si>
    <t>PoA0243</t>
  </si>
  <si>
    <t>Foxx Energy CDM Programme of Activities</t>
  </si>
  <si>
    <t>Foxx Soluções Ambientais Ltda..</t>
  </si>
  <si>
    <t>“Osasco Energy Project – CDM Programme Activity”.</t>
  </si>
  <si>
    <t>SH Corporation Solar photovoltaic housing complex programme in Republic of Korea</t>
  </si>
  <si>
    <t>SH Corporation</t>
  </si>
  <si>
    <t>SH Corporation Solar photovoltaic housing complex programme in Republic of Korea – CPA1</t>
  </si>
  <si>
    <t>LEE RCC Co.</t>
  </si>
  <si>
    <t>Uniufa-3F Program— Methane recovery through controlled anaerobic digestion</t>
  </si>
  <si>
    <t>Beijing Uniufa Energy Technology</t>
  </si>
  <si>
    <t>Xinzheng Biological Organic Waste Treatment Project (CPA 001)</t>
  </si>
  <si>
    <t>Hot Water Heating Programme for South Africa</t>
  </si>
  <si>
    <t>AMS-I.C.+AMS-II.C.</t>
  </si>
  <si>
    <t>Hot Water Heating Programme for South Africa – CPA-001</t>
  </si>
  <si>
    <t>SKG Sangha Biodigester PoA</t>
  </si>
  <si>
    <t>SKG Sangha</t>
  </si>
  <si>
    <t>AMS-I.C.+AMS-III.R.+AMS-I.E.</t>
  </si>
  <si>
    <t>UpEnergy Open Access Improved Cookstoves Program in Latin America</t>
  </si>
  <si>
    <t>UpEnergy</t>
  </si>
  <si>
    <t>UpEnergy Open Access Improved Cookstoves Program in Latin America – CPA No 001.</t>
  </si>
  <si>
    <t>Universidad Centroamericana "J. S. Cañas"</t>
  </si>
  <si>
    <t>PT Xoma Power Nusantara</t>
  </si>
  <si>
    <t>Promotion of Biomass Power in Indonesia</t>
  </si>
  <si>
    <t>Agricultural residues: rice husk+Bagasse</t>
  </si>
  <si>
    <t>Serdang Bedagai Biomass Power Project CPA#0001.</t>
  </si>
  <si>
    <t>Sindicatum Carbon Capital</t>
  </si>
  <si>
    <t>Methane Utilization and Destruction Programme from Animal Waste Management System (AWMS) in DPR Korea.</t>
  </si>
  <si>
    <t>ET biogas</t>
  </si>
  <si>
    <t>Sokjong/SSCPA-AWMS 01/DPR Korea</t>
  </si>
  <si>
    <t>Energy efficiency programme for ceramic kilns in Liaoning Faku Economic Development Zone</t>
  </si>
  <si>
    <t>CPA-001 Energy efficiency project for Shenyang Xinkai Ceramic Co., Ltd</t>
  </si>
  <si>
    <t>CFL Lighting Scheme in Democratic People’s Republic of Korea (DPRK)</t>
  </si>
  <si>
    <t>Nort Korea</t>
  </si>
  <si>
    <t>South Hamgyong Province</t>
  </si>
  <si>
    <t>Top Energo Invest</t>
  </si>
  <si>
    <t>Enlightened Solar PoA</t>
  </si>
  <si>
    <t>Tricorona Carbon Assessment Management</t>
  </si>
  <si>
    <t>Enlightened Solar PoA- CPA- 001</t>
  </si>
  <si>
    <t>Biosphere Capital</t>
  </si>
  <si>
    <t>PoA0244</t>
  </si>
  <si>
    <t>PoA0245</t>
  </si>
  <si>
    <t>PoA0246</t>
  </si>
  <si>
    <t>Wind and solar PoA in South Africa</t>
  </si>
  <si>
    <t>CDC Climat Asset Management</t>
  </si>
  <si>
    <t>Wind and solar PoA in South  Africa – Solar – Kakama</t>
  </si>
  <si>
    <t>Ably Carbon</t>
  </si>
  <si>
    <t>5034-0001</t>
  </si>
  <si>
    <t>Heat Retention Cooking in Less Developed Countries</t>
  </si>
  <si>
    <t>ABHAssociates</t>
  </si>
  <si>
    <t>36 LDC countries</t>
  </si>
  <si>
    <t>Heat Retention Cooking in Less Developed Countries, CPA01</t>
  </si>
  <si>
    <t>Natural Balance International</t>
  </si>
  <si>
    <t>Vertical Shaft Brick Kiln (VSBK) Programme of Activities for South Africa</t>
  </si>
  <si>
    <t>Swisscontact</t>
  </si>
  <si>
    <t>Vertical Shaft Brick Kiln Programme of Activities in South Africa, Langkloof Bricks ,Phase 2</t>
  </si>
  <si>
    <t>Eastern Cape</t>
  </si>
  <si>
    <t>Energy efficiency</t>
  </si>
  <si>
    <t>Other</t>
  </si>
  <si>
    <t>PoA0247</t>
  </si>
  <si>
    <t>PoA0248</t>
  </si>
  <si>
    <t>PoA0249</t>
  </si>
  <si>
    <t>PoA0250</t>
  </si>
  <si>
    <t>PoA0251</t>
  </si>
  <si>
    <t>PoA0252</t>
  </si>
  <si>
    <t>PoA0253</t>
  </si>
  <si>
    <t>PoA0254</t>
  </si>
  <si>
    <t>PoA0255</t>
  </si>
  <si>
    <t>PoA0256</t>
  </si>
  <si>
    <t>PoA0257</t>
  </si>
  <si>
    <t>PoA0258</t>
  </si>
  <si>
    <t>PoA0259</t>
  </si>
  <si>
    <t>PoA0260</t>
  </si>
  <si>
    <t>PoA0261</t>
  </si>
  <si>
    <t>PoA0262</t>
  </si>
  <si>
    <t>Sichuan Animal Farms GHG Mitigation Programme</t>
  </si>
  <si>
    <t>Sichuan province</t>
  </si>
  <si>
    <t>Chengdu Oasis Science &amp; Technology</t>
  </si>
  <si>
    <t>Sichuan Animal Farms GHG Mitigation Programme, CPA Nb. SCAFBG-2011-01</t>
  </si>
  <si>
    <t>Shuanghe Town, Zizhong County</t>
  </si>
  <si>
    <t>South Africa, Zimbabwe</t>
  </si>
  <si>
    <t>Fuel switch for Thermal Energy Production Programme</t>
  </si>
  <si>
    <t>Fuel Switch for Thermal Energy Production Programme CPA number 001: Impala Platinum Rustenburg SSC CPA</t>
  </si>
  <si>
    <t>UAE Solar Programme of Activities</t>
  </si>
  <si>
    <t>Solar PV+Solar thermal power</t>
  </si>
  <si>
    <t>Dubai 3 MW Photovoltaic Power Plant</t>
  </si>
  <si>
    <t>Dubai</t>
  </si>
  <si>
    <t>Advanced Energy Solutions for Buildings. Programme of Activities (PoA)</t>
  </si>
  <si>
    <t>Saudi Arabia, Qatar, United Arab Emirates, Oman, Egypt</t>
  </si>
  <si>
    <t>CES Carbon Services</t>
  </si>
  <si>
    <t>Installation of a Tri Generation system supplying energy to the Serafi Mega City</t>
  </si>
  <si>
    <t>Jeddah</t>
  </si>
  <si>
    <t>Total Energy Solutions</t>
  </si>
  <si>
    <t>CES Energy, South Pole Carbon Asset Management</t>
  </si>
  <si>
    <t>Thermal Solutions</t>
  </si>
  <si>
    <t>CONSTANT COMMISSIONING – CPA-001</t>
  </si>
  <si>
    <t>Phillippines</t>
  </si>
  <si>
    <t>CPA: MAC0001 – Jablanica</t>
  </si>
  <si>
    <t>Demand-side energy efficiency PoA in Malaysia CPA1</t>
  </si>
  <si>
    <t>EnBW Kraftwerke AG</t>
  </si>
  <si>
    <t>Grid Connected Wind Power Plant in Vipingo, Kenya</t>
  </si>
  <si>
    <t>Grid-Connected Wind Power Programme in South Africa</t>
  </si>
  <si>
    <t>Grid Connected Wind Power Plant in Roggeveld, South Africa</t>
  </si>
  <si>
    <t>South Africa Renewable Energy Programme (SA-REP)</t>
  </si>
  <si>
    <t>SAREP – Greefspan 10MW Solar PV Project</t>
  </si>
  <si>
    <t>Programme for Grid Connected Renewable Energy in the Mediterranean Region</t>
  </si>
  <si>
    <t>Renewable Energy for the Mediterranean (REM)</t>
  </si>
  <si>
    <t>Power station 25MWc in Er Rachidia Town in Morocco</t>
  </si>
  <si>
    <t>Meknès-Tafilalet</t>
  </si>
  <si>
    <t>Programme for the Avoidance of Methane Emissions through Composting</t>
  </si>
  <si>
    <t>Composting Plant GEO - Cajicá</t>
  </si>
  <si>
    <t>BWC Sustainable Small Hydropower Programme of Activities in Viet Nam</t>
  </si>
  <si>
    <t>CPA B12001 - Suoi Lum 3 Hydroelectric Power Plant</t>
  </si>
  <si>
    <t>Son La</t>
  </si>
  <si>
    <t>Development of Programmatic CDM Project for SWH installation under MNRE, UNDP/GEF Global Solar Water Heating Market Transformation and Strengthening Initiatives: India Country Programme</t>
  </si>
  <si>
    <t>Development of Programmatic CDM Project for SWH installation under MNRE, UNDP/GEF Global
Solar Water Heating Market Transformation and Strengthening Initiatives: India Country Programme –
0001</t>
  </si>
  <si>
    <t>Regional Biogas PoA</t>
  </si>
  <si>
    <t>Malaysia, Papua New Guinea, Solomon Islands</t>
  </si>
  <si>
    <t>Felda Triang Regional Biogas PoA – CPA 1</t>
  </si>
  <si>
    <t>AMS-III.H.+AMS-I.C.+AMS-I.F.+AMS-I.D.+AMS-I.A.</t>
  </si>
  <si>
    <t>PoA0263</t>
  </si>
  <si>
    <t>PoA0264</t>
  </si>
  <si>
    <t>PoA0265</t>
  </si>
  <si>
    <t>Shinsung Solar Energy Grid Connected Photovoltaic Power Generation PoA</t>
  </si>
  <si>
    <t>Shinsung Solar Energy</t>
  </si>
  <si>
    <t>Jeungpyeong Photovoltaic Power Generation Project</t>
  </si>
  <si>
    <t>Promotion of Energy Efficient Cook Stoves within Southern African Development Community (SADC)</t>
  </si>
  <si>
    <t>Southern African Regional Carbon Facility</t>
  </si>
  <si>
    <t>Promotion of Efficient Cook Stoves in Malawi</t>
  </si>
  <si>
    <t>Ecoener Small Hydro Programme of Activities</t>
  </si>
  <si>
    <t>Ecoener Ingeniería</t>
  </si>
  <si>
    <t>Landfill gas programme in Vietnam</t>
  </si>
  <si>
    <t>PJI-LFGC</t>
  </si>
  <si>
    <t>CPA-1:  Landfill Gas Project in Trang Cat 2 Landfill</t>
  </si>
  <si>
    <t>Namibia</t>
  </si>
  <si>
    <t>PoA0266</t>
  </si>
  <si>
    <t>PoA0267</t>
  </si>
  <si>
    <t>PoA0268</t>
  </si>
  <si>
    <t>PoA0269</t>
  </si>
  <si>
    <t>Solar LED Lamp Project in Developing Asia</t>
  </si>
  <si>
    <t>Bangladesh, Bhutan, Indonesia, India, Cambodia, Laos, Sri Lanka, Myanmar, Pakistan, Vietnam</t>
  </si>
  <si>
    <t>Macedonian Microscale Grid-connected Hydroelectricity Programme</t>
  </si>
  <si>
    <t>Solar LED Lamp Project in Odisha, India</t>
  </si>
  <si>
    <t>AMS-III.H.+AMS-I.C.+AMS-I.F.</t>
  </si>
  <si>
    <t>Deloitte-TECO</t>
  </si>
  <si>
    <t>5033-0001</t>
  </si>
  <si>
    <t>5336-0001</t>
  </si>
  <si>
    <t>Ref</t>
  </si>
  <si>
    <t>4302</t>
  </si>
  <si>
    <t>CFL lighting scheme, India</t>
  </si>
  <si>
    <t>SASSA Low Pressure Solar Water Heater Programme, South Africa</t>
  </si>
  <si>
    <t>3223</t>
  </si>
  <si>
    <t>Municipal waste composting Project, Uganda</t>
  </si>
  <si>
    <t>2767</t>
  </si>
  <si>
    <t>4041</t>
  </si>
  <si>
    <t>CAMCO</t>
  </si>
  <si>
    <t>Ningxia Chint Taiyangshan Phase I 10MWp Grid Connect Solar PV Power Plant Project</t>
  </si>
  <si>
    <t>Union Power Carbon Asset 
Management</t>
  </si>
  <si>
    <t>Project activity to switch from residual fuel oil to LPG at Agroindustrias AIB food processing plant in Peru</t>
  </si>
  <si>
    <t>PoA0270</t>
  </si>
  <si>
    <t>PoA0271</t>
  </si>
  <si>
    <t>PoA0272</t>
  </si>
  <si>
    <t>PoA0273</t>
  </si>
  <si>
    <t>PoA0274</t>
  </si>
  <si>
    <t>PoA0275</t>
  </si>
  <si>
    <t>PoA0276</t>
  </si>
  <si>
    <t>PoA0277</t>
  </si>
  <si>
    <t>Programme for the promotion and development of grid-connected solar PV projects in Latin America</t>
  </si>
  <si>
    <t>Calama Solar 1: 9MW Solar Photovoltaic Power Plant</t>
  </si>
  <si>
    <t>Sichuan Province Rural Efficient Biomass Cooking Stoves Programme Project</t>
  </si>
  <si>
    <t>Sichuan Wuhai Environmental Protection &amp; Bioengineering</t>
  </si>
  <si>
    <t>Yuexi County Rural Efficient Biomass Cooking Stoves Project-CPA No.01(yuexi)</t>
  </si>
  <si>
    <t>Yuexi county</t>
  </si>
  <si>
    <t>Sichuan Clean Development Mechanism Center</t>
  </si>
  <si>
    <t>CONAVI</t>
  </si>
  <si>
    <t>AMS-III.AE.+AMS-I.J.+AMS-II.C.</t>
  </si>
  <si>
    <t>Sustainable Housing CPA in Mexico – N.1.11122010</t>
  </si>
  <si>
    <t>Aguascalientes, Guanajuato, Jalisco, Querétaro</t>
  </si>
  <si>
    <t>Renewable Power Advancement Programme</t>
  </si>
  <si>
    <t>United Arab Emirates, Albania, Bahrain, Cyprus, Egypt, Jordan, Kuwait, Lebanon, Libya, Morocco, Oman, Pakistan, Qatar, Saudi Arabia, Tunisia</t>
  </si>
  <si>
    <t>Balderrie Energies</t>
  </si>
  <si>
    <t>40 MW solar PV power plant in Prince Abdul Aziz bin Mousaed Economic City</t>
  </si>
  <si>
    <t>Hail</t>
  </si>
  <si>
    <t>NuPlanet Small Scale Hydropower PoA</t>
  </si>
  <si>
    <t>NuPlanet</t>
  </si>
  <si>
    <t>NuPlanet Small Scale Hydropower PoA - CPA1Stortemelk</t>
  </si>
  <si>
    <t>South African Large Scale Grid Connected Solar Park Programme</t>
  </si>
  <si>
    <t>Lylaserve</t>
  </si>
  <si>
    <t>The programme to introduce renewable energy system into Seoul – SSC-CPA (2011-1)</t>
  </si>
  <si>
    <t>Top Third Ventures Stove Programme</t>
  </si>
  <si>
    <t>Top Third Ventures</t>
  </si>
  <si>
    <t>Top Third Ventures Stove Programme CPA KE001</t>
  </si>
  <si>
    <t>Bionersis, ecosur afrique</t>
  </si>
  <si>
    <t>Methodology</t>
  </si>
  <si>
    <t>CPA Credit start</t>
  </si>
  <si>
    <t xml:space="preserve">PoA lifetime start </t>
  </si>
  <si>
    <t>Date of inclusion</t>
  </si>
  <si>
    <t>Date of registration</t>
  </si>
  <si>
    <t>Sub-region</t>
  </si>
  <si>
    <t>Number of issu-ances</t>
  </si>
  <si>
    <t>Benchmark analysis</t>
  </si>
  <si>
    <t>Investment comparison analysis</t>
  </si>
  <si>
    <t>Simple cost analysis</t>
  </si>
  <si>
    <t>Other host countries</t>
  </si>
  <si>
    <t xml:space="preserve"> PoA Boundary</t>
  </si>
  <si>
    <t>Province/State/Region</t>
  </si>
  <si>
    <t>Central Africa</t>
  </si>
  <si>
    <t>North Africa</t>
  </si>
  <si>
    <t>West Africa</t>
  </si>
  <si>
    <t>East Asia</t>
  </si>
  <si>
    <t>Southeast Asia</t>
  </si>
  <si>
    <t>Southern Asia</t>
  </si>
  <si>
    <t>Central Asia</t>
  </si>
  <si>
    <t>Caribbean</t>
  </si>
  <si>
    <t>North America</t>
  </si>
  <si>
    <t>South America</t>
  </si>
  <si>
    <t>Arabian Peninsula</t>
  </si>
  <si>
    <t>PoA0278</t>
  </si>
  <si>
    <t>Chilean Small Scale Renewable Energy Programme of Activities (PoA)</t>
  </si>
  <si>
    <t>Carbon Capital Inc. y Cia.</t>
  </si>
  <si>
    <t>Carbon Capital inc. y Cia. Limitada</t>
  </si>
  <si>
    <t>Sol del Norte Photovoltaic Power Plant Project (Proyecto Huerta Solar Fotovoltáica Sol del Norte)</t>
  </si>
  <si>
    <t>PoA0279</t>
  </si>
  <si>
    <t>Grid Connect Solar PV Power Generation Plant Programme</t>
  </si>
  <si>
    <t>Union Power Carbon Asset Management (Beijing)</t>
  </si>
  <si>
    <t>Inner Mongolia GD Power Alxazuoqi 10MW Grid Connect Solar PV Phase I Project</t>
  </si>
  <si>
    <t>Inner Mongolia</t>
  </si>
  <si>
    <t>PoA0280</t>
  </si>
  <si>
    <t>Installation of Energy Efficient Transformers (IEET)</t>
  </si>
  <si>
    <t>AM67</t>
  </si>
  <si>
    <t>Kenya Power and Lighting Company</t>
  </si>
  <si>
    <t>IEET/CPA-001/KENYA/KPLC</t>
  </si>
  <si>
    <t>PoA0281</t>
  </si>
  <si>
    <t>City of Cape Town Landfill Gas Extraction and Utilisation Programme</t>
  </si>
  <si>
    <t>Cape Town</t>
  </si>
  <si>
    <t>City of Cape Town</t>
  </si>
  <si>
    <t>Landfill Gas Extraction and Utilisation at Coastal Park Landfill</t>
  </si>
  <si>
    <t>Benin</t>
  </si>
  <si>
    <t>Chad</t>
  </si>
  <si>
    <t>Belize</t>
  </si>
  <si>
    <t>Burkina Faso</t>
  </si>
  <si>
    <t>Burundi</t>
  </si>
  <si>
    <t>Djibouti</t>
  </si>
  <si>
    <t>Gambia</t>
  </si>
  <si>
    <t>Timor-Leste</t>
  </si>
  <si>
    <t>Trinidad and Tobago</t>
  </si>
  <si>
    <t>Fertile Crescent</t>
  </si>
  <si>
    <t>PoA0282</t>
  </si>
  <si>
    <t>PoA0283</t>
  </si>
  <si>
    <t>PoA0284</t>
  </si>
  <si>
    <t>PoA0285</t>
  </si>
  <si>
    <t>PoA0286</t>
  </si>
  <si>
    <t>PoA0287</t>
  </si>
  <si>
    <t>AeroPod Composting and Co-composting Programme in Malaysia.</t>
  </si>
  <si>
    <t>AeroPod Co-composting Programme for Silimpopon Mill in Sabah</t>
  </si>
  <si>
    <t>Sabah</t>
  </si>
  <si>
    <t>Natural Objective Sdn Bhd</t>
  </si>
  <si>
    <t>Carbon Partners Asiatica</t>
  </si>
  <si>
    <t>Distribution of Improved Cook Stoves in Sub-Saharan Africa</t>
  </si>
  <si>
    <t>Ghana, Nigeria, Senegal, Zambia</t>
  </si>
  <si>
    <t>HED Consulting</t>
  </si>
  <si>
    <t>Distribution of Improved Cook Stoves in Sub-Saharan Africa in Senegal – CPA-001</t>
  </si>
  <si>
    <t>Organic waste composting programme of activities</t>
  </si>
  <si>
    <t>EL TUME Compost Plant</t>
  </si>
  <si>
    <t>Region IX</t>
  </si>
  <si>
    <t>Grid connected electricity generation from wind source under Programme of Activities in Brazil</t>
  </si>
  <si>
    <t>Marco dos Ventos I Wind Power Plant</t>
  </si>
  <si>
    <t>Maranhão</t>
  </si>
  <si>
    <t>2nd period  ktCO2/yr</t>
  </si>
  <si>
    <t>PV Project Development in Chile</t>
  </si>
  <si>
    <t>PV Project in La Tirana, Chile</t>
  </si>
  <si>
    <t>Region I</t>
  </si>
  <si>
    <t>Standard Bank Renewable Energy Programme</t>
  </si>
  <si>
    <t>Standard Bank Renewable Energy Programme –Solar Bundled CPA in SADA zone</t>
  </si>
  <si>
    <t>Upper West</t>
  </si>
  <si>
    <t>ecosur afrique</t>
  </si>
  <si>
    <t>PoA0288</t>
  </si>
  <si>
    <t>PoA0289</t>
  </si>
  <si>
    <t>PoA0290</t>
  </si>
  <si>
    <t>PoA0291</t>
  </si>
  <si>
    <t>Small Scale Biomass Power Plants in Thailand</t>
  </si>
  <si>
    <t>CarbonBW (Thailand) Limited</t>
  </si>
  <si>
    <t>B2En Sukhothai Biomass-fired Power Plant project</t>
  </si>
  <si>
    <t>Sukothai</t>
  </si>
  <si>
    <t>Renewable biomass fired improved cookstoves programme for households in Burundi by BQS</t>
  </si>
  <si>
    <t>Burundi Quality Stoves</t>
  </si>
  <si>
    <t>Renewable biomass fired improved cookstoves programme for households in Burundi by
BQS – CPA_BUJM01</t>
  </si>
  <si>
    <t>Bujumbura Mairie</t>
  </si>
  <si>
    <t>Small-Scale Renewable Electricity Advancement Programme</t>
  </si>
  <si>
    <t>Interregional</t>
  </si>
  <si>
    <t>United Arab Emirates, Albania, Bahrain, Egypt, Jordan, Kuwait, Lebanon, Libya, Morocco, Mauritius, Oman, Pakistan, Qatar, Saudi Arabia, Tunisia</t>
  </si>
  <si>
    <t>10 MW Wind Power Project near Zalm</t>
  </si>
  <si>
    <t>Mekkah</t>
  </si>
  <si>
    <t>PoA0292</t>
  </si>
  <si>
    <t>PoA0293</t>
  </si>
  <si>
    <t>PoA0294</t>
  </si>
  <si>
    <t>Renewable Energy Programme of Activities in Middle East and North Africa</t>
  </si>
  <si>
    <t>United Arab Emirates, Egypt, Oman, Qatar, Saudi Arabia</t>
  </si>
  <si>
    <t>re-consult</t>
  </si>
  <si>
    <t>1 MW Solar Project at Bahrah, Saudi Arabia (CPA Saudi Arabia 1)</t>
  </si>
  <si>
    <t>Bahrah</t>
  </si>
  <si>
    <t>Standard Bank MSW Composting Programme</t>
  </si>
  <si>
    <t>CPA001 Kumasi Composting Plant at Adagya</t>
  </si>
  <si>
    <t>Ashanti</t>
  </si>
  <si>
    <t>Chilean Programme of Activities for Integrated Non Conventional Renewable Energies</t>
  </si>
  <si>
    <t>Carbon Capital Inc. &amp; Cia. Ltda.</t>
  </si>
  <si>
    <t>Geothermal electricity+Wind+Tidal+Solar PV+Solar thermal power</t>
  </si>
  <si>
    <t>Carbon Capital Inc. y Cia. Limitada</t>
  </si>
  <si>
    <t>Region II</t>
  </si>
  <si>
    <t>Biomass Renewable Energy Programme of Activities</t>
  </si>
  <si>
    <t>BIOENERGIAS FORESTALES</t>
  </si>
  <si>
    <t>ACM6</t>
  </si>
  <si>
    <t>Bioenergías Forestales</t>
  </si>
  <si>
    <t>PoA0295</t>
  </si>
  <si>
    <t>PoA0296</t>
  </si>
  <si>
    <t>PoA0297</t>
  </si>
  <si>
    <t>Biomass fired heat and power plant at Papeles Cordillera S.A</t>
  </si>
  <si>
    <t>Metropolitan Region</t>
  </si>
  <si>
    <t>Energy efficiency in new buildings in the P. R. of China</t>
  </si>
  <si>
    <t>Beijing Huayi Leye Energy Saving Service Company</t>
  </si>
  <si>
    <t>CPA-1 Guankou County Citizen Center under the PoA: Energy efficiency in new buildings in the P. R. of China</t>
  </si>
  <si>
    <t>Fujian, Xiamen</t>
  </si>
  <si>
    <t>AMS-III.G.+AMS-I.D.</t>
  </si>
  <si>
    <t>Zhongying Changjiang Small-scale Hydropower Programme of Activities</t>
  </si>
  <si>
    <t>Zhongying Changjiang International New Energy Investment</t>
  </si>
  <si>
    <t>Run of river+New dam</t>
  </si>
  <si>
    <t>Innovative Carbon Investment</t>
  </si>
  <si>
    <t>Zhongying Changjiang Small-scale Hydropower Programme of Activities-CPA-001</t>
  </si>
  <si>
    <t>Yunnan</t>
  </si>
  <si>
    <t>PoA0298</t>
  </si>
  <si>
    <t>PoA0299</t>
  </si>
  <si>
    <t>PoA0300</t>
  </si>
  <si>
    <t>PoA0301</t>
  </si>
  <si>
    <t>Renewable Energy PoA in the Philippines</t>
  </si>
  <si>
    <t>5 MW Rice Husk Fired Power Plant in Aurora, Isabela, Philippines</t>
  </si>
  <si>
    <t>Isabela, Central Luzon</t>
  </si>
  <si>
    <t>Landfill gas capture, flaring and utilization program in Africa</t>
  </si>
  <si>
    <t>Puresphere Limited</t>
  </si>
  <si>
    <t>ClimaLoop</t>
  </si>
  <si>
    <t>CPA-1: Oti Landfill gas capture, flaring and utilization at Kumasi (Ghana)</t>
  </si>
  <si>
    <t>Ashanti, Ghana</t>
  </si>
  <si>
    <t>HuaQi Livestock Farms Methane Engineering Programme of Activities</t>
  </si>
  <si>
    <t>Hunan, Henan, Guangxi</t>
  </si>
  <si>
    <t>HuaQi Environmental Clean Technologies</t>
  </si>
  <si>
    <t>HuaQi Livestock Farms Methane Engineering Programme of Activities---CPA-001</t>
  </si>
  <si>
    <t>PoA0302</t>
  </si>
  <si>
    <t>Installation of energy efficient ventilation fans</t>
  </si>
  <si>
    <t>Nedbank Limited</t>
  </si>
  <si>
    <t>Mining</t>
  </si>
  <si>
    <t>CPA 001 under the registered PoA ‘Installation of energy efficient ventilation fans’</t>
  </si>
  <si>
    <t>North-Eastern</t>
  </si>
  <si>
    <t>ALUPAR Renewable Energy Programme</t>
  </si>
  <si>
    <t>ALUPAR - Água Limpa SHP</t>
  </si>
  <si>
    <t>Minas Gerais</t>
  </si>
  <si>
    <t>Methane avoidance in closed landfill and/or individual cells Programme of Activity</t>
  </si>
  <si>
    <t>AMS-III.AX.</t>
  </si>
  <si>
    <t>Los Olivos individual cells MOL Project</t>
  </si>
  <si>
    <t>Los Lagos</t>
  </si>
  <si>
    <t>Capture and combustion of Methane in coal mines</t>
  </si>
  <si>
    <t>Environmental Intermediaries &amp; Trading Group</t>
  </si>
  <si>
    <t>Makahado Coal Mine Methane Gas Flaring Project</t>
  </si>
  <si>
    <t>Limpopo</t>
  </si>
  <si>
    <t>Energy Efficiency of Nigeria’s Residential Lighting Stock by Distributing up to 40 Million Compact Fluorescent Lamps (CFLs) to Residential Households Connected to the National Grid</t>
  </si>
  <si>
    <t>Icimi</t>
  </si>
  <si>
    <t>ICIMI</t>
  </si>
  <si>
    <t>PoA0303</t>
  </si>
  <si>
    <t>PoA0304</t>
  </si>
  <si>
    <t>PoA0305</t>
  </si>
  <si>
    <t>Middle East</t>
  </si>
  <si>
    <t>Solar &amp; wind</t>
  </si>
  <si>
    <t>renewables</t>
  </si>
  <si>
    <t>More efficient vehicles</t>
  </si>
  <si>
    <t>Solar &amp; wind &amp; other</t>
  </si>
  <si>
    <t>Solar &amp; wind &amp; hydro</t>
  </si>
  <si>
    <t>Installation of Solar Home Systems in Bangladesh</t>
  </si>
  <si>
    <t>New Energies Commercial Solar Water Heating Programme in South Africa</t>
  </si>
  <si>
    <t>New Energies Commercial Solar Water Heating Programme in South Africa. CPA Nr 1</t>
  </si>
  <si>
    <t>MUNICIPAL WASTE COMPOSTING PROJECT FOR FORT PORTAL MUNICIPALITY</t>
  </si>
  <si>
    <t>2956-0003</t>
  </si>
  <si>
    <t>MUNICIPAL WASTE COMPOSTING PROJECT FOR KABALE MUNICIPALITY</t>
  </si>
  <si>
    <t>2956-0004</t>
  </si>
  <si>
    <t>MUNICIPAL WASTE COMPOSTING PROJECT FOR KASESE MUNICIPALITY</t>
  </si>
  <si>
    <t>2956-0005</t>
  </si>
  <si>
    <t>MUNICIPAL WASTE COMPOSTING PROJECT FOR LIRA MUNICIPALITY</t>
  </si>
  <si>
    <t>2956-0006</t>
  </si>
  <si>
    <t>MUNICIPAL WASTE COMPOSTING PROJECT FOR MBALE MUNICIPALITY</t>
  </si>
  <si>
    <t>2956-0007</t>
  </si>
  <si>
    <t>MUNICIPAL WASTE COMPOSTING PROJECT FOR MUKONO MUNICIPALITY</t>
  </si>
  <si>
    <t>2956-0008</t>
  </si>
  <si>
    <t>MUNICIPAL WASTE COMPOSTING PROJECT FOR SOROTI</t>
  </si>
  <si>
    <t>Promotion of Energy-Efficient lighting using Compact Fluorescent Light Bulbs in rural areas in Senegal</t>
  </si>
  <si>
    <t>Solar Water Heater Programme in Tunisia</t>
  </si>
  <si>
    <t>Songyang and Kaihua, Zhejiang</t>
  </si>
  <si>
    <t>CFL lighting scheme – “Bachat Lamp Yojana” in Ranga Reddy District, Ranga Reddy North Circle, Habsiguda Division, Central Power Distribution Company of Andhra Pradesh Limited, Andhra Pradesh, India</t>
  </si>
  <si>
    <t>CFL lighting scheme – “Bachat Lamp Yojana” in Thiruvananthapuram Urban Circle of Kerala State Electricity Board, Kerala, India</t>
  </si>
  <si>
    <t>3223-0003</t>
  </si>
  <si>
    <t>CFL lighting scheme – “Bachat Lamp Yojana” in Thiruvananthapuram Rural Circle of Kerala State Electricity Board, Kerala, India</t>
  </si>
  <si>
    <t>3223-0004</t>
  </si>
  <si>
    <t>CFL lighting scheme – “Bachat Lamp Yojana” in Pathanamthitta Circle of Kerala State Electricity Board, Kerala, India</t>
  </si>
  <si>
    <t>3223-0005</t>
  </si>
  <si>
    <t>CFL lighting scheme – “Bachat Lamp Yojana” in Kottayam Circle of Kerala State Electricity Board, Kerala, India</t>
  </si>
  <si>
    <t>3223-0006</t>
  </si>
  <si>
    <t>CFL lighting scheme – “Bachat Lamp Yojana” in Kottarakkara Circle of Kerala State Electricity Board, Kerala, India</t>
  </si>
  <si>
    <t>3223-0007</t>
  </si>
  <si>
    <t>CFL lighting scheme – “Bachat Lamp Yojana” in Kollam Circle of Kerala State Electricity Board, Kerala, India</t>
  </si>
  <si>
    <t>3223-0008</t>
  </si>
  <si>
    <t>CFL lighting scheme – “Bachat Lamp Yojana” in Palakkad Circle of Kerala State Electricity Board, Kerala, India</t>
  </si>
  <si>
    <t>3223-0009</t>
  </si>
  <si>
    <t>CFL lighting scheme – “Bachat Lamp Yojana” in Shornur Circle of Kerala State Electricity Board, Kerala, India</t>
  </si>
  <si>
    <t>3223-0010</t>
  </si>
  <si>
    <t>CFL lighting scheme – “Bachat Lamp Yojana” in Tirur Circle of Kerala State Electricity Board, Kerala, India</t>
  </si>
  <si>
    <t>3223-0011</t>
  </si>
  <si>
    <t>CFL lighting scheme – “Bachat Lamp Yojana” in Manjeri Circle of Kerala State Electricity Board, Kerala, India</t>
  </si>
  <si>
    <t>3223-0012</t>
  </si>
  <si>
    <t>CFL lighting scheme – “Bachat Lamp Yojana” in Kannur and Kalpetta Circles of Kerala State Electricity Board, Kerala, India</t>
  </si>
  <si>
    <t>3223-0013</t>
  </si>
  <si>
    <t>CFL lighting scheme – “Bachat Lamp Yojana” in Kozhikode Circle of Kerala State Electricity Board, Kerala, India</t>
  </si>
  <si>
    <t>3223-0014</t>
  </si>
  <si>
    <t>CFL lighting scheme – “Bachat Lamp Yojana” in Vadakara Circle of Kerala State Electricity Board, Kerala, India</t>
  </si>
  <si>
    <t>3223-0015</t>
  </si>
  <si>
    <t>CFL lighting scheme – “Bachat Lamp Yojana” in Kasargod and Sreekandpuram Circles of Kerala State Electricity Board, Kerala, India</t>
  </si>
  <si>
    <t>3223-0016</t>
  </si>
  <si>
    <t>CFL lighting scheme – “Bachat Lamp Yojana” in Thrissur Circle of Kerala State Electricity Board, Kerala, India</t>
  </si>
  <si>
    <t>3223-0017</t>
  </si>
  <si>
    <t>CFL lighting scheme – “Bachat Lamp Yojana” in Ernakulam Circle of Kerala State Electricity Board, Kerala, India</t>
  </si>
  <si>
    <t>3223-0018</t>
  </si>
  <si>
    <t>CFL lighting scheme – “Bachat Lamp Yojana” in Irinjalakkuda Circle of Kerala State Electricity Board, Kerala, India</t>
  </si>
  <si>
    <t>3223-0019</t>
  </si>
  <si>
    <t>CFL lighting scheme – “Bachat Lamp Yojana” in Pala &amp; Thodupuzha Circles of Kerala State Electricity Board, Kerala, India</t>
  </si>
  <si>
    <t>3223-0020</t>
  </si>
  <si>
    <t>CFL lighting scheme – “Bachat Lamp Yojana” in Perumbavoor Circle of Kerala State Electricity Board, Kerala, India</t>
  </si>
  <si>
    <t>3223-0021</t>
  </si>
  <si>
    <t>CFL lighting scheme – “Bachat Lamp Yojana” in Allappuzha Circle of Kerala State Electricity Board, Kerala, India</t>
  </si>
  <si>
    <t>3223-0022</t>
  </si>
  <si>
    <t>CFL lighting scheme – “Bachat Lamp Yojana” in KOLAR DISTRICT, ELECTRICAL DIVISION OF KOLAR CIRCLE, KGF DIVISION, BESCOM, KARNATAKA, INDIA</t>
  </si>
  <si>
    <t>3223-0023</t>
  </si>
  <si>
    <t>CFL lighting scheme – “Bachat Lamp Yojana” in CHIKKABALLAPURA DISTRICT, ELECTRICAL DIVISION OF KOLAR CIRCLE, CHIKKABALLAPURA (CB PURA) DIVISION, BESCOM, KARNATAKA, INDIA</t>
  </si>
  <si>
    <t>3223-0024</t>
  </si>
  <si>
    <t>CFL lighting scheme – “Bachat Lamp Yojana” in BANGALORE RURAL DISTRICT, ELECTRICAL DIVISION OF BANGALORE RURAL CIRCLE, CHANDAPURA DIVISION, BESCOM, KARNATAKA, INDIA</t>
  </si>
  <si>
    <t>3223-0025</t>
  </si>
  <si>
    <t>CFL lighting scheme – “Bachat Lamp Yojana” in KOLAR DISTRICT, ELECTRICAL DIVISION OF KOLAR CIRCLE, KOLAR DIVISION, BESCOM, KARNATAKA, INDIA</t>
  </si>
  <si>
    <t>3223-0026</t>
  </si>
  <si>
    <t>CFL lighting scheme – “Bachat Lamp Yojana” in BANGALORE RURAL DISTRICT, ELECTRICAL DIVISION OF BANGALORE RURAL CIRCLE, NELAMANGALA DIVISION, BESCOM, KARNATAKA, INDIA</t>
  </si>
  <si>
    <t>3223-0027</t>
  </si>
  <si>
    <t>CFL lighting scheme – “Bachat Lamp Yojana” in RAMANAGARA DISTRICT, ELECTRICAL DIVISION OF BANGALORE RURAL CIRCLE, RAMANAGARA DIVISION, BESCOM, KARNATAKA, INDIA</t>
  </si>
  <si>
    <t>3223-0028</t>
  </si>
  <si>
    <t>CFL lighting scheme – “Bachat Lamp Yojana” in BANGALORE RURAL DISTRICT, ELECTRICAL DIVISION OF BANGALORE RURAL CIRCLE, YELAHANKA DIVISION, BESCOM, KARNATAKA, INDIA</t>
  </si>
  <si>
    <t>CFL lighting scheme – “Bachat Lamp Yojana” in Shalimar Bagh District of North West Circle and Model Town District of North Circle, North Delhi Power Limited, Delhi, India</t>
  </si>
  <si>
    <t>CFL lighting scheme – “Bachat Lamp Yojana” in Keshav Puram, Civil Lines and Shakti Nagar Districts of North Circle, North Delhi Power Limited, Delhi, India</t>
  </si>
  <si>
    <t>CFL lighting scheme – “Bachat Lamp Yojana” in Pitampura District of North Circle, Rohini District of Northwest Circle, North Delhi Power Limited, Delhi, India</t>
  </si>
  <si>
    <t>Bachat Lamp Yojana” in Moti Nagar District of North Circle, Mangol Puri District of Northwest Circle, North Delhi Power Limited, Delhi, India</t>
  </si>
  <si>
    <t>CFL lighting scheme – “Bachat Lamp Yojana” in Bawana District, Badli District and Narela District of North West Circle, North Delhi Power Limited, Delhi, India</t>
  </si>
  <si>
    <t>3223-0034</t>
  </si>
  <si>
    <t>CFL lighting scheme – “Bachat Lamp Yojana” in NORTH GOA, ADMINISTRATIVE DIVISIONS OF BLOCK-II, GOA ELECTRICITY DEPARTMENT, GOA, INDIA</t>
  </si>
  <si>
    <t>3223-0035</t>
  </si>
  <si>
    <t>CFL lighting scheme – “Bachat Lamp Yojana” in South Goa, Administrative Divisions of Block- I, Goa Electricity Department, Goa , India</t>
  </si>
  <si>
    <t>3223-0046</t>
  </si>
  <si>
    <t>3223-0047</t>
  </si>
  <si>
    <t>3223-0048</t>
  </si>
  <si>
    <t>3223-0049</t>
  </si>
  <si>
    <t>3223-0050</t>
  </si>
  <si>
    <t>Promotion of Biomass Based Heat Generation Systems in India CPA Number 001</t>
  </si>
  <si>
    <t>Egypt Vehicle Scrapping and Recycling Program</t>
  </si>
  <si>
    <t>Hunan Household Biogas Digester Programme</t>
  </si>
  <si>
    <t>2896</t>
  </si>
  <si>
    <t>2896-0002</t>
  </si>
  <si>
    <t>SGCC In-advance Distribution Transformer Replacement CDM Programme CPA-002</t>
  </si>
  <si>
    <t>2896-0003</t>
  </si>
  <si>
    <t>SGCC In-advance Distribution Transformer Replacement CDM Programme CPA-003</t>
  </si>
  <si>
    <t>2896-0004</t>
  </si>
  <si>
    <t>SGCC In-advance Distribution Transformer Replacement CDM Programme CPA-004</t>
  </si>
  <si>
    <t>Energy Efficiency Measures Utilising Waste Heat in Vapour Absorption Machine (VAM)</t>
  </si>
  <si>
    <t>Thailand Small Scale Livestock Waste Management Program</t>
  </si>
  <si>
    <t>Composting and Co-composting Programme of Activities (PoA) in Indonesia</t>
  </si>
  <si>
    <t>Sustainable Small Hydropower Programme of Activities (PoA) in Indonesia</t>
  </si>
  <si>
    <t>Nepal Biogas Support Program-PoA</t>
  </si>
  <si>
    <t>Terai, Hill and Mountain regions</t>
  </si>
  <si>
    <t>KIPRAH community based integrated waste management project, Indonesia</t>
  </si>
  <si>
    <t>AR-AM4</t>
  </si>
  <si>
    <t>Methane recovery and combustion with renewable energy generation from anaerobic animal manure management systems under Land Bank of the Philippines Carbon Finance Support Facility</t>
  </si>
  <si>
    <t>Efficient Lighting Initiative of Bangladesh (ELIB)</t>
  </si>
  <si>
    <t>Solar Water Heater Program in India</t>
  </si>
  <si>
    <t>Distribution of ONIL Stoves—Mexico</t>
  </si>
  <si>
    <t>Vietnam Renewable Energy Development Program (REDP)</t>
  </si>
  <si>
    <t>Distribution of ONIL Stoves—Guatemala</t>
  </si>
  <si>
    <t>Henan Province Shangqiu City Rural Household Biogas Development Programme (2008-2012)</t>
  </si>
  <si>
    <t>Rajasthan Urban Solid Waste Composting Program, India</t>
  </si>
  <si>
    <t>Vietnam National Biogas Programme</t>
  </si>
  <si>
    <t>South African Solar Water Heater (SWH) Programme</t>
  </si>
  <si>
    <t>Singapore (The CAPRICORN  building)</t>
  </si>
  <si>
    <t>Landfill gas recovery and combustion with renewable energy generation from sanitary landfill sites under Land Bank of the Philippines Carbon Finance Support Facility</t>
  </si>
  <si>
    <t>Singapore (Lorong Chuan)</t>
  </si>
  <si>
    <t>The programme to promote efficient lightings in local areas</t>
  </si>
  <si>
    <t>Landfills’ gas capture, flaring and use program in Morocco</t>
  </si>
  <si>
    <t>Malaysia Biogas Projects</t>
  </si>
  <si>
    <t>SYNN Biogas Project (SYNN 45110043-2)</t>
  </si>
  <si>
    <t>Taiping, Perak</t>
  </si>
  <si>
    <t>Yee Lee Biogas Project (YL 451016-6)</t>
  </si>
  <si>
    <t>Bidor, Perak</t>
  </si>
  <si>
    <t>Wealth Houses Biogas Project (WH 22311121-5)</t>
  </si>
  <si>
    <t>Bruit, Sarawak</t>
  </si>
  <si>
    <t>Ayer Item Biogas Project (Ayer Item 15110312-4)</t>
  </si>
  <si>
    <t>Ayer Hitam, Johor</t>
  </si>
  <si>
    <t>Pontian Fico Biogas Project (PF 52511808-3)</t>
  </si>
  <si>
    <t>Kinabatangan, Sabah</t>
  </si>
  <si>
    <t>(Pahang) Sri Senggora 
Palm Oil Mill</t>
  </si>
  <si>
    <t>Fuel Efficient Stoves in Zambia</t>
  </si>
  <si>
    <t>Green Brick Development Programme of Activities Managed by INTRACO</t>
  </si>
  <si>
    <t>LED’s kick-off</t>
  </si>
  <si>
    <t>Western (Gampala district)</t>
  </si>
  <si>
    <t>Lift-off! The Illumination Project to Replace Kerosene lamps with Solar LED Lamps</t>
  </si>
  <si>
    <t>Green Steam Low Pressure Solar Water Heater Programme for South Africa</t>
  </si>
  <si>
    <t>Honduras, Costa Risca, Guatamala</t>
  </si>
  <si>
    <t>Thailand small scale biomass power generation</t>
  </si>
  <si>
    <t>Solarwave water purification</t>
  </si>
  <si>
    <t>Demand-side energy efficiency through the adoption of energy-efficient technologies in Colombia</t>
  </si>
  <si>
    <t>Thailand (North &amp; North East &amp; Central &amp; South Regions)</t>
  </si>
  <si>
    <t>LED‘s save energy</t>
  </si>
  <si>
    <t>Up Energy Improved Cookstove Programme, Uganda</t>
  </si>
  <si>
    <t>EcoMetrix Solar Ventures</t>
  </si>
  <si>
    <t>Iron &amp; steel</t>
  </si>
  <si>
    <t>ASEAN countries (Indonesia)</t>
  </si>
  <si>
    <t>Renewable Energy PoA in India</t>
  </si>
  <si>
    <t>KTDA Small Hydro Programme of Activities</t>
  </si>
  <si>
    <t>Asiapac Green Renewable Energy Co.</t>
  </si>
  <si>
    <t>“Lajeado Grande I Wind Power Plant"</t>
  </si>
  <si>
    <t>Landfill Gas Utilisation Programme of South Africa</t>
  </si>
  <si>
    <t>Vilcanota II Hydropower Plant - Inti PoA CPA# 1</t>
  </si>
  <si>
    <t>Tepeu Wind Programme of Activities</t>
  </si>
  <si>
    <t>Biogas recovery projects from wastewater generated in agriculture product based industries</t>
  </si>
  <si>
    <t>SKG Sangha Biodigester PoA - Gulbarga Biodigester Project CPA1</t>
  </si>
  <si>
    <t>CFL Lighting Scheme in DPRK: EDCSHP - CPA # 1</t>
  </si>
  <si>
    <t>CONSTANT COMMISSIONING</t>
  </si>
  <si>
    <t>Demand-side energy efficiency PoA in Malaysia</t>
  </si>
  <si>
    <t>Grid-Connected Wind Power Programme in Kenya</t>
  </si>
  <si>
    <t>Las Fuentes II Hydroelectric Project</t>
  </si>
  <si>
    <t>Grid Connect SSC Solar PV Power Generation Plant Programme</t>
  </si>
  <si>
    <t>Angola, Burkina Faso, Benin, Côte d`Ivoire, Cameroon, Ethiopia, Ghana, Kenya, Liberia, Nigeria, Sierra Leone, Senegal, Togo</t>
  </si>
  <si>
    <t>PoA0306</t>
  </si>
  <si>
    <t>Grid Connected Photovoltaic (PV) Renewable Electricity Generating Facilities PoA</t>
  </si>
  <si>
    <t>The Carbon Protocol of SA</t>
  </si>
  <si>
    <t>Grid Connected Photovoltaic (PV) Renewable Electricity Generating Facilities Programme CPA 1 (One)</t>
  </si>
  <si>
    <t>NorthWest Province</t>
  </si>
  <si>
    <t>PoA0307</t>
  </si>
  <si>
    <t>Improved Cookstoves Program for Malawi and cross-border regions of Mozambique</t>
  </si>
  <si>
    <t>Tete and Zambezia</t>
  </si>
  <si>
    <t>Improved Cookstoves Program for Malawi and cross-border regions of Mozambique – CPA – MAL - 001</t>
  </si>
  <si>
    <t>PoA0308</t>
  </si>
  <si>
    <t>PoA0309</t>
  </si>
  <si>
    <t>CDM Africa Sustainable Energy Programme</t>
  </si>
  <si>
    <t>Senegal, Zambia, Malawi</t>
  </si>
  <si>
    <t>CDM Africa Sustainable Energy Programme in Dakar, Senegal CPA-001</t>
  </si>
  <si>
    <t>Dakar</t>
  </si>
  <si>
    <t>PoA0310</t>
  </si>
  <si>
    <t>Compressed Air Energy Efficiency PoA</t>
  </si>
  <si>
    <t>CPA 1 under PoA ‘Compressed Air Energy Efficiency PoA’</t>
  </si>
  <si>
    <t>Free State, Gauteng</t>
  </si>
  <si>
    <t>PoA0311</t>
  </si>
  <si>
    <t>Green Power for East Africa Programme</t>
  </si>
  <si>
    <t>Isiolo Wind CPA-001 (“IW CPA-001”).</t>
  </si>
  <si>
    <t>Eastern region</t>
  </si>
  <si>
    <t>PoA0312</t>
  </si>
  <si>
    <t>Energy Efficient Cook stoves in South Africa</t>
  </si>
  <si>
    <t>PoA0313</t>
  </si>
  <si>
    <t>National Programme for Improved Cookstoves in India</t>
  </si>
  <si>
    <t>CPA No. 001, “SAMUHA”</t>
  </si>
  <si>
    <t>PoA0314</t>
  </si>
  <si>
    <t>National CDM Programme for Solar Energy Lebanon</t>
  </si>
  <si>
    <t>Green Future Lebanon Holding Sal</t>
  </si>
  <si>
    <t>Green Pact Sal</t>
  </si>
  <si>
    <t>National CDM project for Solar Energy Lebanon- Residential CPA 1</t>
  </si>
  <si>
    <t>PoA0315</t>
  </si>
  <si>
    <t>Welspun Renewable Energy Program</t>
  </si>
  <si>
    <t>Welspun Renewables Energy Limited (WREL)</t>
  </si>
  <si>
    <t>Solar &amp; Wind</t>
  </si>
  <si>
    <t>Grid Connected Solar PV Power Project in Neemuch, Madhya Pradesh</t>
  </si>
  <si>
    <t>PoA0316</t>
  </si>
  <si>
    <t>Small Hydropower Programme of Activities in Albania and Serbia</t>
  </si>
  <si>
    <t>Albania, Serbia</t>
  </si>
  <si>
    <t>Run of river+new dam</t>
  </si>
  <si>
    <t>Small Hydropower PoA in Albania and Serbia- Lengarica Hydropower Project</t>
  </si>
  <si>
    <t>PoA0317</t>
  </si>
  <si>
    <t>Southern African Fuel Switch Programme</t>
  </si>
  <si>
    <t>African Sustainability Initiative (ASI)</t>
  </si>
  <si>
    <t>CPA number 001: Impala Platinum Rustenburg SSC CPA</t>
  </si>
  <si>
    <t>PoA0318</t>
  </si>
  <si>
    <t>South African Wind Power Projects</t>
  </si>
  <si>
    <t>Carbon Protocol of South Africa</t>
  </si>
  <si>
    <t>Cennergi</t>
  </si>
  <si>
    <t>CPA1 under PoA ‘South African Wind Power Projects’</t>
  </si>
  <si>
    <t>PoA0319</t>
  </si>
  <si>
    <t>Qinghai Province Solar PV Power Generation Programme</t>
  </si>
  <si>
    <t>Qinghai</t>
  </si>
  <si>
    <t>Qinghai Chaidamu Energy Investment &amp; Development Co.</t>
  </si>
  <si>
    <t>Qinghai Province Solar PV Power Generation Programme-CPA1</t>
  </si>
  <si>
    <t>PoA0320</t>
  </si>
  <si>
    <t>Promotion of renewable energy generation in India- Programme of Activities</t>
  </si>
  <si>
    <t>General Carbon Advisory Services Pvt. Ltd. Mumbai</t>
  </si>
  <si>
    <t>Wind Power Project at Bakhrani, Rajasthan</t>
  </si>
  <si>
    <t>PoA0321</t>
  </si>
  <si>
    <t>FIRA Wastewater Treatment System, Methane Capture and Utilisation Programme in Mexico</t>
  </si>
  <si>
    <t>Fideicomisos Instituidos en Relación con la Agricultura, FIRA</t>
  </si>
  <si>
    <t>LGAI</t>
  </si>
  <si>
    <t>Advanced wastewater treatment system at Casa San Matias</t>
  </si>
  <si>
    <t>PoA0322</t>
  </si>
  <si>
    <t>TATS Solar Lantern Programme of Activities</t>
  </si>
  <si>
    <t>Total Access to Solar (TATS)</t>
  </si>
  <si>
    <t>TATS Solar Lantern Programme of Activities Kenya – CPA-01</t>
  </si>
  <si>
    <t>TOTAL Kenya</t>
  </si>
  <si>
    <t>PoA0323</t>
  </si>
  <si>
    <t>Sustainable Development Programme of Rural Electrification by Husk Power Systems</t>
  </si>
  <si>
    <t>Husk Power Systems</t>
  </si>
  <si>
    <t>AMS-I.L.</t>
  </si>
  <si>
    <t>Sustainable Development Programme of Rural Electrification by Husk Power Systems CPA-001</t>
  </si>
  <si>
    <t>Husk Power System</t>
  </si>
  <si>
    <t>PoA0324</t>
  </si>
  <si>
    <t>Implementation of Grid connected Wind Farm Projects in Chile</t>
  </si>
  <si>
    <t>Andes Mainstream SpA.</t>
  </si>
  <si>
    <t>Laguna Verde Wind Farm Project</t>
  </si>
  <si>
    <t>PoA0325</t>
  </si>
  <si>
    <t>BWC Sustainable Biogas Recovery Programme of Activities in Indonesia</t>
  </si>
  <si>
    <t>CPA 1.1 – Maris – PTPN VII Biogas Project</t>
  </si>
  <si>
    <t>PoA0326</t>
  </si>
  <si>
    <t>Oando Low Cost LPG Cook Stove Initiative Nigeria</t>
  </si>
  <si>
    <t>Oando Marketing PLC</t>
  </si>
  <si>
    <t>Oando Low Cost LPG Cook Stove Initiative in Lagos State Nigeria</t>
  </si>
  <si>
    <t>Lagos</t>
  </si>
  <si>
    <t>PoA0327</t>
  </si>
  <si>
    <t>Power generation using biogas from state-owned palm oil mills in the Republic of Indonesia</t>
  </si>
  <si>
    <t>PT. Riset Perkebunan Nusantara</t>
  </si>
  <si>
    <t>PTPN VI Pinang Tinggi Mill POME Biogas Project in Jambi Province, Sumatera in Indonesia</t>
  </si>
  <si>
    <t>Jambi</t>
  </si>
  <si>
    <t>PoA0328</t>
  </si>
  <si>
    <t>Solar PV Power Development Programme in Shandong Province</t>
  </si>
  <si>
    <t>SinoCarbon Innovation &amp; Investment Co.</t>
  </si>
  <si>
    <t>“Datang Qingyun Solar PV Power Project” CPA-001</t>
  </si>
  <si>
    <t>Datang Shandong Electricity Generation Co.</t>
  </si>
  <si>
    <t>PoA0329</t>
  </si>
  <si>
    <t>Biomass Based Thermal Energy Projects</t>
  </si>
  <si>
    <t>Integra Carbon Sdn Bhd</t>
  </si>
  <si>
    <t>Biomass based thermal energy generation at Tanjung Langsat Steam Plant (12710359-1)</t>
  </si>
  <si>
    <t>Johor Bahru</t>
  </si>
  <si>
    <t>5034-0002</t>
  </si>
  <si>
    <t>5034-0006</t>
  </si>
  <si>
    <t>5034-0005</t>
  </si>
  <si>
    <t>5034-0004</t>
  </si>
  <si>
    <t>5034-0003</t>
  </si>
  <si>
    <t>5588-0001</t>
  </si>
  <si>
    <t>5034</t>
  </si>
  <si>
    <t>3223-0043</t>
  </si>
  <si>
    <t>3223-0044</t>
  </si>
  <si>
    <t>3223-0045</t>
  </si>
  <si>
    <t>CFL lighting scheme – “Bachat Lamp Yojana” in Ranga Reddy District, Ranga Reddy North Circle, Gachibowli Division, Central Power Distribution Company of Andhra Pradesh Limited, Andhra Pradesh, India</t>
  </si>
  <si>
    <t>CFL lighting scheme – “Bachat Lamp Yojana” in Ranga Reddy District, Ranga Reddy North Circle, Kukatpally Division, Central Power Distribution Company of Andhra Pradesh Limited, Andhra Pradesh, India</t>
  </si>
  <si>
    <t>Karnataka</t>
  </si>
  <si>
    <t>Goa</t>
  </si>
  <si>
    <t>CFL lighting scheme – “Bachat Lamp Yojana” in Ranga Reddy District, Ranga Reddy South Circle and Ranga Reddy East Circle with underlying Champapet and Saroornagar Divisions respectively, Andhra Pradesh, India</t>
  </si>
  <si>
    <t>CFL lighting scheme – “Bachat Lamp Yojana” in Hyderabad District, Hyderabad North Circle,Bowenpally and Paradise Divisions, Central Power Distribution Company of Andhra Pradesh Limited, Andhra Pradesh, India</t>
  </si>
  <si>
    <t>1st period ktCO2/yr</t>
  </si>
  <si>
    <t>Santa Catarina</t>
  </si>
  <si>
    <t>Saint-Louis</t>
  </si>
  <si>
    <t>Atlántida</t>
  </si>
  <si>
    <t>South Korea (Incheon, Gyeungsangnam)</t>
  </si>
  <si>
    <t>Southern Viet Nam</t>
  </si>
  <si>
    <t>Zhejiang</t>
  </si>
  <si>
    <t>Yueyang, Changde and Zhangjiajie municipalities in Hunan</t>
  </si>
  <si>
    <t>Liaoning</t>
  </si>
  <si>
    <t>Ibb</t>
  </si>
  <si>
    <t>Bangkok</t>
  </si>
  <si>
    <t>Riau</t>
  </si>
  <si>
    <t>Java, Bali</t>
  </si>
  <si>
    <t>Chinandega, León, Granada, Carazo</t>
  </si>
  <si>
    <t>Central Visayas</t>
  </si>
  <si>
    <t>Oaxaca</t>
  </si>
  <si>
    <t>Quiché</t>
  </si>
  <si>
    <t>Viet Nam</t>
  </si>
  <si>
    <t>11 North-East Provinces</t>
  </si>
  <si>
    <t>La Libertad</t>
  </si>
  <si>
    <t>Andra Pradesh</t>
  </si>
  <si>
    <t>Nelson Mandela Bay, Ekurhuleni Municipalities</t>
  </si>
  <si>
    <t>Luzon, Cagayan Valley, Central Luzon</t>
  </si>
  <si>
    <t>Cagayan Valey</t>
  </si>
  <si>
    <t>Rio de Janeiro</t>
  </si>
  <si>
    <t>Rift Valley</t>
  </si>
  <si>
    <t>Huaian City in Jiangsu Province</t>
  </si>
  <si>
    <t>KwaZulu-Natal</t>
  </si>
  <si>
    <t>Lomé</t>
  </si>
  <si>
    <t>Ocotepeque</t>
  </si>
  <si>
    <t>Western</t>
  </si>
  <si>
    <t>Roi Et</t>
  </si>
  <si>
    <t>San Marcos</t>
  </si>
  <si>
    <t>Baoding</t>
  </si>
  <si>
    <t>Pahang</t>
  </si>
  <si>
    <t>Lamphun</t>
  </si>
  <si>
    <t>Bogota</t>
  </si>
  <si>
    <t>Ayuttaya, Chonburi,Nakhon Pathom</t>
  </si>
  <si>
    <t>North Sumatra</t>
  </si>
  <si>
    <t>Lima</t>
  </si>
  <si>
    <t>Kwazulu-Natal</t>
  </si>
  <si>
    <t>Pretoria</t>
  </si>
  <si>
    <t>Manila</t>
  </si>
  <si>
    <t>Oro</t>
  </si>
  <si>
    <t>Johannesburg</t>
  </si>
  <si>
    <t>Jiange County</t>
  </si>
  <si>
    <t>Central</t>
  </si>
  <si>
    <t>Aceh</t>
  </si>
  <si>
    <t>Uttar Pradesh</t>
  </si>
  <si>
    <t>Region X</t>
  </si>
  <si>
    <t>Guanajuato</t>
  </si>
  <si>
    <t>Hubei</t>
  </si>
  <si>
    <t>Gujarat</t>
  </si>
  <si>
    <t>Lampung</t>
  </si>
  <si>
    <t>Gansu</t>
  </si>
  <si>
    <t>Shanxi</t>
  </si>
  <si>
    <t>Querétaro</t>
  </si>
  <si>
    <t>Western Visayas</t>
  </si>
  <si>
    <t>Blantyre, Chikwawa, Chiradzulu, Mulanje, Nsanje, Phalombe, Thyolo</t>
  </si>
  <si>
    <t>Central (Mbeere North District)</t>
  </si>
  <si>
    <t>North Hamgyong</t>
  </si>
  <si>
    <t>Kenya, Tanzania, Uganda, Zimbabwe</t>
  </si>
  <si>
    <t>Guatemala, Honduras, Costa Rica, Nicaragua</t>
  </si>
  <si>
    <t>Angola, Botswana, DR Congo, Lesotho, Madagascar, Mauritius, Malawi, Mozambique, Namibia, Seychelles, Swaziland, Tanzania, South Africa, Zambia and Zimbabwe</t>
  </si>
  <si>
    <t>Free State</t>
  </si>
  <si>
    <t>Rio Grande do Sul</t>
  </si>
  <si>
    <t>Central, Rift Valley</t>
  </si>
  <si>
    <t>Gyeongsangnam</t>
  </si>
  <si>
    <t>Northern Cape</t>
  </si>
  <si>
    <t>Henan, Shaanxi</t>
  </si>
  <si>
    <t>Valle del Cauca</t>
  </si>
  <si>
    <t>Côte d’Ivoire, Cameroon</t>
  </si>
  <si>
    <t>Kinshasa</t>
  </si>
  <si>
    <t>Iringa</t>
  </si>
  <si>
    <t>Kenya, South Africa</t>
  </si>
  <si>
    <t>Ghana, Nigeria</t>
  </si>
  <si>
    <t>Banten</t>
  </si>
  <si>
    <t>The CAPRICORN at  1 Science Park Road Science Park II</t>
  </si>
  <si>
    <t>Region XIV</t>
  </si>
  <si>
    <t>Jiangsu, Zhejiang, Anhui, Fujian, Shanghai</t>
  </si>
  <si>
    <t>Esmeraldas</t>
  </si>
  <si>
    <t>Cusco</t>
  </si>
  <si>
    <t>Karnataka, Kerala, Andhra Pradesh, Tamil Nadu</t>
  </si>
  <si>
    <t>United Arab Emirates, Albania, Armenia, Argentina, Azerbaijan, Bosnia and Herzegovina, Bangladesh, Bahrain, Bolivia, Brazil, Bhutan, Belize, Chile, China, Costa Rica, Cyprus, Ecuador, Georgia, Guatemala, Guyana, Hunduras, Israel, India, Iran, Jordan</t>
  </si>
  <si>
    <t>Leon, Matagalpa, Boaco, Chontales, Rio San Juan</t>
  </si>
  <si>
    <t>Mpumalanga</t>
  </si>
  <si>
    <t>Shanxi, Guizhou, Inner Mongolia</t>
  </si>
  <si>
    <t>Huanuco</t>
  </si>
  <si>
    <t>Region VIII</t>
  </si>
  <si>
    <t>Yingtan City</t>
  </si>
  <si>
    <t>Tamil Nadu</t>
  </si>
  <si>
    <t>Côte d`Ivoire, Cameroon</t>
  </si>
  <si>
    <t>Abidjan City</t>
  </si>
  <si>
    <t>Antioquia department</t>
  </si>
  <si>
    <t>Maharashtra, Karnataka</t>
  </si>
  <si>
    <t>Yulin Village, Bangshan Town, Longhai City</t>
  </si>
  <si>
    <t>Santa Cruz</t>
  </si>
  <si>
    <t>Kenya, Rwanda, Uganda</t>
  </si>
  <si>
    <t>North Pyongan</t>
  </si>
  <si>
    <t>Region VI</t>
  </si>
  <si>
    <t>South Africa, Mozambique, Zimbabwe, Botswana, Namibia, Zambia, Malawi, Angola</t>
  </si>
  <si>
    <t>Lop Buri</t>
  </si>
  <si>
    <t>Eastern</t>
  </si>
  <si>
    <t>Mexico City</t>
  </si>
  <si>
    <t>Meta</t>
  </si>
  <si>
    <t>São Paulo</t>
  </si>
  <si>
    <t>Seoul (Magok and Naegok districts)</t>
  </si>
  <si>
    <t>Guatemala, Honduras, Mexico, Nicaragua, El Salvador</t>
  </si>
  <si>
    <t>North Sumatera</t>
  </si>
  <si>
    <t>Pyongyang</t>
  </si>
  <si>
    <t>Liaoning Faku Economic Development Zone</t>
  </si>
  <si>
    <t>Southwestern</t>
  </si>
  <si>
    <t>Putrajaya</t>
  </si>
  <si>
    <t>Coast</t>
  </si>
  <si>
    <t>Western Cape, Northern Cape</t>
  </si>
  <si>
    <t>Kuala Lumpur</t>
  </si>
  <si>
    <t>Chungcheongbuk</t>
  </si>
  <si>
    <t>Angola, Botswana, DRCongo, Lesotho, Madagascar, Mauritius, Malawi, Mozambique, Namibia, Seychelles, Swaziland, United Republic of Tanzania, South Africa, Zambia, Zimbabwe</t>
  </si>
  <si>
    <t>RetalhuleuQuetzaltenango</t>
  </si>
  <si>
    <t>Hai An</t>
  </si>
  <si>
    <t>Orissa</t>
  </si>
  <si>
    <t>Ningxia</t>
  </si>
  <si>
    <t>Ica</t>
  </si>
  <si>
    <t>Angola, DR Congo, Lesotho, Mozambique, Namibia, Swaziland, South Africa, Zambia, Zimbabwe</t>
  </si>
  <si>
    <t>Shandong</t>
  </si>
  <si>
    <t>Qingyun County</t>
  </si>
  <si>
    <t>Region V</t>
  </si>
  <si>
    <t>Bihar</t>
  </si>
  <si>
    <t>Jalisco</t>
  </si>
  <si>
    <t>Wulan County</t>
  </si>
  <si>
    <t>South Africa, Zimbabwe, Botswana</t>
  </si>
  <si>
    <t>Gjirokaster</t>
  </si>
  <si>
    <t>Madhya Pradesh</t>
  </si>
  <si>
    <t>Iraq</t>
  </si>
  <si>
    <t>Turkmenistan</t>
  </si>
  <si>
    <t>PoA0330</t>
  </si>
  <si>
    <t>PoA0331</t>
  </si>
  <si>
    <t>PoA0332</t>
  </si>
  <si>
    <t>PoA0333</t>
  </si>
  <si>
    <t>PoA0334</t>
  </si>
  <si>
    <t>PoA0335</t>
  </si>
  <si>
    <t>PoA0336</t>
  </si>
  <si>
    <t>PoA0337</t>
  </si>
  <si>
    <t>PoA0338</t>
  </si>
  <si>
    <t>PoA0339</t>
  </si>
  <si>
    <t>PoA0340</t>
  </si>
  <si>
    <t>PoA0341</t>
  </si>
  <si>
    <t>PoA0342</t>
  </si>
  <si>
    <t>PoA0343</t>
  </si>
  <si>
    <t>PoA0345</t>
  </si>
  <si>
    <t>PoA0346</t>
  </si>
  <si>
    <t>PoA0347</t>
  </si>
  <si>
    <t>PoA0348</t>
  </si>
  <si>
    <t>PoA0349</t>
  </si>
  <si>
    <t>PoA0350</t>
  </si>
  <si>
    <t>PoA0351</t>
  </si>
  <si>
    <t>PoA0352</t>
  </si>
  <si>
    <t>PoA0353</t>
  </si>
  <si>
    <t>PoA0354</t>
  </si>
  <si>
    <t>4302-0002</t>
  </si>
  <si>
    <t>Northern</t>
  </si>
  <si>
    <t>CFL lighting scheme – “Bachat Lamp Yojana” in Ranga Reddy District, Ranga Reddy North Circle, Medchal Division, Central Power Distribution Company of Andhra Pradesh Limited, Andhra Pradesh, India</t>
  </si>
  <si>
    <t>CFL lighting scheme – “Bachat Lamp Yojana” in Hyderabad District, Hyderabad Central Circle and Hyderabad North Circle with underlying Azamabad and Green Lands Divisions respectively , Andhra Pradesh, India</t>
  </si>
  <si>
    <t>CFL lighting scheme – “Bachat Lamp Yojana” in Ranga Reddy District, Ranga Reddy South Circle,_x000D_
Vikarabad and Rajendra Nagar Divisions, Central Power Distribution Company of Andhra Pradesh_x000D_
Limited, Andhra Pradesh, India</t>
  </si>
  <si>
    <t>4041-0002</t>
  </si>
  <si>
    <t>Promotion of Biomass Based Heat Generation Systems in India CPA Number 002</t>
  </si>
  <si>
    <t>4041-0003</t>
  </si>
  <si>
    <t>Promotion of Biomass Based Heat Generation Systems in India CPA Number 011</t>
  </si>
  <si>
    <t>4041-0004</t>
  </si>
  <si>
    <t>Promotion of Biomass Based Heat Generation Systems in India CPA Number 003</t>
  </si>
  <si>
    <t>4041-0005</t>
  </si>
  <si>
    <t>Promotion of Biomass Based Heat Generation Systems in India CPA Number 004</t>
  </si>
  <si>
    <t>4041-0006</t>
  </si>
  <si>
    <t>Promotion of Biomass Based Heat Generation Systems in India CPA Number 006</t>
  </si>
  <si>
    <t>4041-0007</t>
  </si>
  <si>
    <t>Promotion of Biomass Based Heat Generation Systems in India CPA Number 007</t>
  </si>
  <si>
    <t>4041-0008</t>
  </si>
  <si>
    <t>Promotion of Biomass Based Heat Generation Systems in India CPA Number 008</t>
  </si>
  <si>
    <t>4041-0009</t>
  </si>
  <si>
    <t>Promotion of Biomass Based Heat Generation Systems in India CPA Number 005</t>
  </si>
  <si>
    <t>4041-0010</t>
  </si>
  <si>
    <t>Promotion of Biomass Based Heat Generation Systems in India CPA Number 009</t>
  </si>
  <si>
    <t>4041-0011</t>
  </si>
  <si>
    <t>Promotion of Biomass Based Heat Generation Systems in India CPA Number 010</t>
  </si>
  <si>
    <t>4041-0012</t>
  </si>
  <si>
    <t>Promotion of Biomass Based Heat Generation Systems in India CPA Number 012</t>
  </si>
  <si>
    <t>4041-0013</t>
  </si>
  <si>
    <t>Promotion of Biomass Based Heat Generation Systems in India CPA Number 013</t>
  </si>
  <si>
    <t>Chhattisgarh</t>
  </si>
  <si>
    <t>4041-0014</t>
  </si>
  <si>
    <t>Promotion of Biomass Based Heat Generation Systems in India CPA Number 014</t>
  </si>
  <si>
    <t>4041-0015</t>
  </si>
  <si>
    <t>Promotion of Biomass Based Heat Generation Systems in India CPA Number 015</t>
  </si>
  <si>
    <t>5616-0001</t>
  </si>
  <si>
    <t>5979-0001</t>
  </si>
  <si>
    <t>SASSA Low Pressure Solar Water Heater Programme – CPA- 002</t>
  </si>
  <si>
    <t>5324-0001</t>
  </si>
  <si>
    <t>2898-0001</t>
  </si>
  <si>
    <t>5272-0001</t>
  </si>
  <si>
    <t>5997-0001</t>
  </si>
  <si>
    <t>2900-0001</t>
  </si>
  <si>
    <t>Almonte Solar PV Project</t>
  </si>
  <si>
    <t>Tamarugal province</t>
  </si>
  <si>
    <t>Andes Mainstream SpA</t>
  </si>
  <si>
    <t>Haverfontein 82.5 MW Wind Power Project (CPA-001)</t>
  </si>
  <si>
    <t>Carbon Africa Limited</t>
  </si>
  <si>
    <t>Quezon City Electric Tricycle Project</t>
  </si>
  <si>
    <t>Quezon City</t>
  </si>
  <si>
    <t>Department of Energy, Government of Philippines</t>
  </si>
  <si>
    <t>AMS-III.S.</t>
  </si>
  <si>
    <t>Green Vessel Project (2OSV 4331142-1)</t>
  </si>
  <si>
    <t>East Malaysia</t>
  </si>
  <si>
    <t>Thermal Energy Production Based on Solar Energy and Waste Heat Recovery CPA-0001</t>
  </si>
  <si>
    <t>Marukyu Shanghai Environment</t>
  </si>
  <si>
    <t>AMS-III.Q.+AMS-I.J.</t>
  </si>
  <si>
    <t>Solar Energy Programme for South Africa CPA 1</t>
  </si>
  <si>
    <t>Bionersis Santiago Cerros La Leona Energy Landfill Gas Program in Chile CPA1</t>
  </si>
  <si>
    <t>Bionersis SA</t>
  </si>
  <si>
    <t>Railway Project West Aconcagua River to Quilicura</t>
  </si>
  <si>
    <t>Cementos Bicentenario</t>
  </si>
  <si>
    <t>AM9</t>
  </si>
  <si>
    <t>Bionersis Rosario La Gallega Energy Landfill Gas Program in Argentina CPA1</t>
  </si>
  <si>
    <t>Santa Fe</t>
  </si>
  <si>
    <t>Wind Energy Project in Jaisalmer District of Rajasthan under Wind Power Programme of Activities in_x000D_
India</t>
  </si>
  <si>
    <t>Inox Renewables Limited (IRL)</t>
  </si>
  <si>
    <t>AMS-I.D.+ACM2</t>
  </si>
  <si>
    <t>Programme for SSC Hydropower Plants in rural areas, CPA # 1</t>
  </si>
  <si>
    <t>Zhongtannengtou Technology (Beijing) Co.</t>
  </si>
  <si>
    <t>Programme for GHG Reduction Promotion of Grid Connected SSC Hydropower Plants, CPA # 1</t>
  </si>
  <si>
    <t>Ruifeng Huating International Consulting (Beijing) Co.</t>
  </si>
  <si>
    <t>Toitdale Concentrated Photovoltaic Project (CPA-001)</t>
  </si>
  <si>
    <t>CPA 001 – Water Purifiers programme in India</t>
  </si>
  <si>
    <t>General Carbon Advisory Services Pvt</t>
  </si>
  <si>
    <t>The Ol Ndanyat wind project, Kajiado County, Kenya (CPA Ol Ndanyat)</t>
  </si>
  <si>
    <t>Nairobi</t>
  </si>
  <si>
    <t>CPA B12001 – Phuong Mai 1 Wind Farm</t>
  </si>
  <si>
    <t>Binh Dinh</t>
  </si>
  <si>
    <t>Blue World Vietnam</t>
  </si>
  <si>
    <t>10 MW wind CPA in Theni: CPA001</t>
  </si>
  <si>
    <t>Chennai</t>
  </si>
  <si>
    <t>Core CarbonX Solutions</t>
  </si>
  <si>
    <t>Beijing Huayu Xinda Consultation</t>
  </si>
  <si>
    <t>AMS-III.D.+AMS-I.C.+AMS-I.F.+AMS-I.D.</t>
  </si>
  <si>
    <t>CPA 1.1 – Korat 6 Solar Power Project</t>
  </si>
  <si>
    <t>Nakhon Ratchasima</t>
  </si>
  <si>
    <t>EDF South East Asia Limited</t>
  </si>
  <si>
    <t>CookClean Ghana Limited —CPA01</t>
  </si>
  <si>
    <t>ClimateCare Limited</t>
  </si>
  <si>
    <t>Biogas Programme in Central Mexico 01</t>
  </si>
  <si>
    <t>Mexico City, Mexico State, Puebla,_x000D_
Tlaxcala and Hidalgo</t>
  </si>
  <si>
    <t>Islan Group</t>
  </si>
  <si>
    <t>AMS-III.D.+AMS-III.R.+AMS-I.E.+AMS-I.I.</t>
  </si>
  <si>
    <t>Fuel switching at two bakeries in EL-Zawya El-Hamra</t>
  </si>
  <si>
    <t>CDM-APU/EEAA</t>
  </si>
  <si>
    <t>AMS-III.B.+AMS-III.Z.</t>
  </si>
  <si>
    <t>Eng Hong Palm Oil Mill Effluent Methane Recovery and Utilisation System in Malaysia</t>
  </si>
  <si>
    <t>Selangor</t>
  </si>
  <si>
    <t>QL Carbon</t>
  </si>
  <si>
    <t>AMS-III.H.+AMS-I.C.+AMS-I.F.+AMS-I.D.</t>
  </si>
  <si>
    <t>eThekwini Municipality Residential Hot Water Efficiency Programme – CPA1</t>
  </si>
  <si>
    <t>eThekwini Municipality</t>
  </si>
  <si>
    <t>Angola, Bangladesh, Congo, Ethiopia, Guinea-Bissau, Kenya, Cambodia, Lao, Liberia, Madagascar, Mali, Myanmar, Malawi, Mozambique, Niger, Nigeria, Nepal, Sudan, Sierra Leone, Senegal, Chad, Togo, Tanzania, Uganda, Zambia, Zimbabwe</t>
  </si>
  <si>
    <t>Implementation of Grid connected Solar Photovoltaic Power Projects in Chile</t>
  </si>
  <si>
    <t>Renewable Energy Carbon Programme for Africa (RECPA)</t>
  </si>
  <si>
    <t>Philippine Electric Vehicle Project</t>
  </si>
  <si>
    <t>Green Commercial Vehicles Projects</t>
  </si>
  <si>
    <t>Thermal Energy Production Based on Solar Energy and Waste Heat Recovery</t>
  </si>
  <si>
    <t>Solar Energy Programme for South Africa</t>
  </si>
  <si>
    <t>Bionersis Landfill Gas Flare &amp; Energy Program in Chile</t>
  </si>
  <si>
    <t>Transport Programme of Activities in the Cement Industry, Chile</t>
  </si>
  <si>
    <t>Bionersis Landfill Gas Flare &amp; Energy Program in Argentina</t>
  </si>
  <si>
    <t>Wind Power Programme of Activities in India</t>
  </si>
  <si>
    <t>Programme for SSC Hydropower Plants in rural areas</t>
  </si>
  <si>
    <t>Programme for GHG Reduction Promotion of Grid Connected SSC Hydropower Plants</t>
  </si>
  <si>
    <t>Small Scale Renewable Energy Carbon Programme (SRECP)</t>
  </si>
  <si>
    <t>Water Purifiers Programme in India</t>
  </si>
  <si>
    <t>Burundi, Kenya, Rwanda, Uganda</t>
  </si>
  <si>
    <t>BWC Wind Farm Power Programme of Activities in Viet Nam</t>
  </si>
  <si>
    <t>Wind Energy Project PoA</t>
  </si>
  <si>
    <t>Anhui, Jiangsu, Yunan</t>
  </si>
  <si>
    <t>Solar Power Programme of Activities</t>
  </si>
  <si>
    <t>Clean Cook Stoves in Sub-Saharan Africa by ClimateCare Limited</t>
  </si>
  <si>
    <t>Angola, Burkina Faso, Burundi, Benin, Botswana, Democratic Republic of the Congo, Central African Republic, Congo, Côte d`Ivoire, Cameroon, Djibouti, Ethiopia, Gabon, Ghana, Gambia, Guinea, Equatorial Guinea, Guinea-Bissau, Kenya, Liberia, Lesotho, Madagascar, Mali, Mauritius,  Malawi, Mozambique, Namibia, Niger, Nigeria, Rwanda, Seychelles, Sudan, Sierra Leone, Senegal, Swaziland, Chad, Togo, Tanzania, Uganda, South Africa, Zambia, Zimbabwe</t>
  </si>
  <si>
    <t>Waste and Renewable Energy Technologies Programme</t>
  </si>
  <si>
    <t>PoA for fuel switching at micro and small-sized enterprises in Egypt</t>
  </si>
  <si>
    <t>Palm Oil Mill Effluent Methane Recovery &amp; Utilisation System in Malaysia. [POA-QL-01-MSIA]</t>
  </si>
  <si>
    <t>Residential Hot Water Efficiency Programme in South Africa</t>
  </si>
  <si>
    <t>AMS-III.H.+AMS-I.C.</t>
  </si>
  <si>
    <t>AMS-III.H.+AMS-I.D.</t>
  </si>
  <si>
    <t>AMS-I.C.+AMS-III.E.</t>
  </si>
  <si>
    <t>LDCs</t>
  </si>
  <si>
    <t>6337-0001</t>
  </si>
  <si>
    <t>Replaced At Validation</t>
  </si>
  <si>
    <t>6328-0001</t>
  </si>
  <si>
    <t>5931-0001</t>
  </si>
  <si>
    <t>6222-0001</t>
  </si>
  <si>
    <t>CPA0080-0001</t>
  </si>
  <si>
    <t>PoA0355</t>
  </si>
  <si>
    <t>Energy Efficiency Improvement Programme for Motor System</t>
  </si>
  <si>
    <t>Marukyu Shanghai Environment Co.</t>
  </si>
  <si>
    <t>CPA-0001: Fan System Transformation Utilizing High Voltage Frequency Converters in Shanghai Coking &amp; Chemical Corporation</t>
  </si>
  <si>
    <t>Shanghai</t>
  </si>
  <si>
    <t>PoA0356</t>
  </si>
  <si>
    <t>Natural Balance Pty</t>
  </si>
  <si>
    <t>Heat Retention Cooking in South Africa CPA1 (SWGauteng)</t>
  </si>
  <si>
    <t>PoA0357</t>
  </si>
  <si>
    <t>Energy Optimization Solutions for Industries in Pakistan, UAE and Egypt – Program of Activities</t>
  </si>
  <si>
    <t>Egypt, Pakistan</t>
  </si>
  <si>
    <t>United Arab Emirates, Egypt, Pakistan</t>
  </si>
  <si>
    <t>Avanceon</t>
  </si>
  <si>
    <t>Energy Optimization Solutions for Industries in Pakistan – CPA-01</t>
  </si>
  <si>
    <t>PoA0358</t>
  </si>
  <si>
    <t>PoA for small scale renewable energy development in Egypt</t>
  </si>
  <si>
    <t>CDM Awareness &amp; Promotion Unit</t>
  </si>
  <si>
    <t>Installing PV panels at the New Basaisa Village Guest House</t>
  </si>
  <si>
    <t>South Sinai</t>
  </si>
  <si>
    <t>PoA0359</t>
  </si>
  <si>
    <t>CPA 1.1 – Parmonangan Hydroelectric Power Plant</t>
  </si>
  <si>
    <t>PoA0360</t>
  </si>
  <si>
    <t>Replacement of traditional charcoal stoves with efficient EcoRecho stoves in Haiti</t>
  </si>
  <si>
    <t>Haiti</t>
  </si>
  <si>
    <t>D&amp;E Green Enterprises Inc.</t>
  </si>
  <si>
    <t>Replacement of traditional stoves with efficient EcoRecho stoves – CPA No. 01</t>
  </si>
  <si>
    <t>PoA0361</t>
  </si>
  <si>
    <t>AANE Biogas for Indonesia Programme</t>
  </si>
  <si>
    <t>PT. Austindo Aufwind New Energy</t>
  </si>
  <si>
    <t>AMS-III.H.+AMS-III.AO.+AMS-I.D.</t>
  </si>
  <si>
    <t>CPA 1.2 - AANE Binanga Biogas Project</t>
  </si>
  <si>
    <t>PoA0362</t>
  </si>
  <si>
    <t>Biomass residues power generation Programme</t>
  </si>
  <si>
    <t>Standard Bank Plc</t>
  </si>
  <si>
    <t>Amatikulu CPA - Renewable Energy Generation Facility</t>
  </si>
  <si>
    <t>PoA0363</t>
  </si>
  <si>
    <t>RE2Grid PoA</t>
  </si>
  <si>
    <t>CPA #1 Bulalacao Wind Farm</t>
  </si>
  <si>
    <t>Central Luzon</t>
  </si>
  <si>
    <t>PoA0364</t>
  </si>
  <si>
    <t>ONE Wind Program of Activity, Morocco</t>
  </si>
  <si>
    <t>Office National de l'Electricité</t>
  </si>
  <si>
    <t>Tarfaya Wind Farm Project (300 MW) - ONE/MAROC/WIND/TARFAYA 300</t>
  </si>
  <si>
    <t>Laâyoune</t>
  </si>
  <si>
    <t>PoA0365</t>
  </si>
  <si>
    <t>FIRA AWMS1 Programme Mexico</t>
  </si>
  <si>
    <t>Fideicomisos Instituidos en Relación con la Agricultura FIRA</t>
  </si>
  <si>
    <t>FIRA, AWMS Programme Mexico - CPA Granja GAMA</t>
  </si>
  <si>
    <t>Sonora</t>
  </si>
  <si>
    <t>PoA0366</t>
  </si>
  <si>
    <t>Burkina Faso, Benin, Democratic Republic of the Congo, Côte d`Ivoire, Cameroon, Ethiopia, Gabon, Ghana, Guinea, Kenya, Mauritania, Niger, Nigeria, Senegal, Chad, Togo</t>
  </si>
  <si>
    <t>ENERCAP SunLighting™ Africa – Programme to replace kerosene lamps with micro PV LED systems in the Sub-Sahara region - Chad</t>
  </si>
  <si>
    <t>PoA0367</t>
  </si>
  <si>
    <t>CFLs Distribution Programme in Guizhou Province</t>
  </si>
  <si>
    <t>Guizhou</t>
  </si>
  <si>
    <t>Carbon Gold Beijing Technology Co., Ltd.</t>
  </si>
  <si>
    <t>“CFLs Distribution Programme in Guizhou Province” CPA 1</t>
  </si>
  <si>
    <t>Tongren City and Anshun City</t>
  </si>
  <si>
    <t>PoA0368</t>
  </si>
  <si>
    <t>CFL Distribution Programme in Heilongjiang Province</t>
  </si>
  <si>
    <t>Heilongjiang</t>
  </si>
  <si>
    <t>“CFLs Distribution Programme in Heilongjiang Province” CPA 1</t>
  </si>
  <si>
    <t>Yichun City</t>
  </si>
  <si>
    <t>PoA0369</t>
  </si>
  <si>
    <t>CFL Distribution Programme in Hunan Province</t>
  </si>
  <si>
    <t>“CFLs Distribution Programme in Hunan Province” CPA 1</t>
  </si>
  <si>
    <t>Xiangxi Autonomous Prefecture and Chenzhou City</t>
  </si>
  <si>
    <t>PoA0370</t>
  </si>
  <si>
    <t>“CFLs Distribution Programme in Jiangxi Province” CPA 1</t>
  </si>
  <si>
    <t>Ji’an City</t>
  </si>
  <si>
    <t>PoA0371</t>
  </si>
  <si>
    <t>Guangxi</t>
  </si>
  <si>
    <t>“CFLs Distribution Programme in the Guangxi Zhuang Autonomous Region” CPA 1</t>
  </si>
  <si>
    <t>Hechi City</t>
  </si>
  <si>
    <t>PoA0372</t>
  </si>
  <si>
    <t>CFL Distribution Programme in Liaoning Province</t>
  </si>
  <si>
    <t>“CFLs Distribution Programme in Liaoning Province” CPA 1</t>
  </si>
  <si>
    <t>Chaoyang City</t>
  </si>
  <si>
    <t>PoA0373</t>
  </si>
  <si>
    <t>CFLs Distribution Programme in Henan Province</t>
  </si>
  <si>
    <t>“CFLs Distribution Programme in Henan Province” CPA 1</t>
  </si>
  <si>
    <t>Zhoukou City</t>
  </si>
  <si>
    <t>PoA0374</t>
  </si>
  <si>
    <t>CFL Distribution Programme in Inner Mongolia Autonomous Region</t>
  </si>
  <si>
    <t>Hinggan League</t>
  </si>
  <si>
    <t>PoA0375</t>
  </si>
  <si>
    <t>CFL Distribution Programme in Shaanxi Province</t>
  </si>
  <si>
    <t>“CFLs Distribution Programme in Shaanxi Province” CPA 1</t>
  </si>
  <si>
    <t>Weinan City</t>
  </si>
  <si>
    <t>PoA0376</t>
  </si>
  <si>
    <t>CFL Distribution Programme in Shanxi Province</t>
  </si>
  <si>
    <t>“CFLs Distribution Programme in Shanxi Province” CPA 1</t>
  </si>
  <si>
    <t>Lvliang</t>
  </si>
  <si>
    <t>PoA0377</t>
  </si>
  <si>
    <t>Start date for 4 weeks request review period</t>
  </si>
  <si>
    <t>CPA0001.01</t>
  </si>
  <si>
    <t>CPA0002.01</t>
  </si>
  <si>
    <t>CPA0002.02</t>
  </si>
  <si>
    <t>CPA0002.03</t>
  </si>
  <si>
    <t>CPA0003.01</t>
  </si>
  <si>
    <t>CPA0004.01</t>
  </si>
  <si>
    <t>CPA0005.01</t>
  </si>
  <si>
    <t>CPA0005.02</t>
  </si>
  <si>
    <t>CPA0005.03</t>
  </si>
  <si>
    <t>CPA0005.04</t>
  </si>
  <si>
    <t>CPA0005.05</t>
  </si>
  <si>
    <t>CPA0005.06</t>
  </si>
  <si>
    <t>CPA0005.07</t>
  </si>
  <si>
    <t>CPA0005.08</t>
  </si>
  <si>
    <t>CPA0006.01</t>
  </si>
  <si>
    <t>CPA0007.01</t>
  </si>
  <si>
    <t>CPA0008.01</t>
  </si>
  <si>
    <t>CPA0009.01</t>
  </si>
  <si>
    <t>CPA0010.01</t>
  </si>
  <si>
    <t>CPA0011.01</t>
  </si>
  <si>
    <t>CPA0012.01</t>
  </si>
  <si>
    <t>CPA0012.02</t>
  </si>
  <si>
    <t>CPA0012.03</t>
  </si>
  <si>
    <t>CPA0012.04</t>
  </si>
  <si>
    <t>CPA0012.05</t>
  </si>
  <si>
    <t>CPA0012.06</t>
  </si>
  <si>
    <t>CPA0012.07</t>
  </si>
  <si>
    <t>CPA0012.08</t>
  </si>
  <si>
    <t>CPA0012.09</t>
  </si>
  <si>
    <t>CPA0012.10</t>
  </si>
  <si>
    <t>CPA0012.11</t>
  </si>
  <si>
    <t>CPA0012.12</t>
  </si>
  <si>
    <t>CPA0012.13</t>
  </si>
  <si>
    <t>CPA0012.14</t>
  </si>
  <si>
    <t>CPA0012.15</t>
  </si>
  <si>
    <t>CPA0012.16</t>
  </si>
  <si>
    <t>CPA0012.17</t>
  </si>
  <si>
    <t>CPA0012.18</t>
  </si>
  <si>
    <t>CPA0012.19</t>
  </si>
  <si>
    <t>CPA0012.20</t>
  </si>
  <si>
    <t>CPA0012.21</t>
  </si>
  <si>
    <t>CPA0012.22</t>
  </si>
  <si>
    <t>CPA0012.23</t>
  </si>
  <si>
    <t>CPA0012.24</t>
  </si>
  <si>
    <t>CPA0012.25</t>
  </si>
  <si>
    <t>CPA0012.26</t>
  </si>
  <si>
    <t>CPA0012.27</t>
  </si>
  <si>
    <t>CPA0012.28</t>
  </si>
  <si>
    <t>CPA0012.29</t>
  </si>
  <si>
    <t>CPA0012.30</t>
  </si>
  <si>
    <t>CPA0012.31</t>
  </si>
  <si>
    <t>CPA0012.32</t>
  </si>
  <si>
    <t>CPA0012.33</t>
  </si>
  <si>
    <t>CPA0012.34</t>
  </si>
  <si>
    <t>CPA0012.35</t>
  </si>
  <si>
    <t>CPA0012.36</t>
  </si>
  <si>
    <t>CPA0012.37</t>
  </si>
  <si>
    <t>CPA0012.38</t>
  </si>
  <si>
    <t>CPA0012.39</t>
  </si>
  <si>
    <t>CPA0012.40</t>
  </si>
  <si>
    <t>CPA0012.41</t>
  </si>
  <si>
    <t>CPA0012.42</t>
  </si>
  <si>
    <t>CPA0012.43</t>
  </si>
  <si>
    <t>CPA0012.44</t>
  </si>
  <si>
    <t>CPA0012.45</t>
  </si>
  <si>
    <t>CPA0012.46</t>
  </si>
  <si>
    <t>CPA0012.47</t>
  </si>
  <si>
    <t>CPA0012.48</t>
  </si>
  <si>
    <t>CPA0012.49</t>
  </si>
  <si>
    <t>CPA0012.50</t>
  </si>
  <si>
    <t>CPA0013.01</t>
  </si>
  <si>
    <t>CPA0013.02</t>
  </si>
  <si>
    <t>CPA0013.03</t>
  </si>
  <si>
    <t>CPA0013.04</t>
  </si>
  <si>
    <t>CPA0013.05</t>
  </si>
  <si>
    <t>CPA0013.06</t>
  </si>
  <si>
    <t>CPA0013.07</t>
  </si>
  <si>
    <t>CPA0013.08</t>
  </si>
  <si>
    <t>CPA0013.09</t>
  </si>
  <si>
    <t>CPA0013.10</t>
  </si>
  <si>
    <t>CPA0013.11</t>
  </si>
  <si>
    <t>CPA0013.12</t>
  </si>
  <si>
    <t>CPA0013.13</t>
  </si>
  <si>
    <t>CPA0013.14</t>
  </si>
  <si>
    <t>CPA0013.15</t>
  </si>
  <si>
    <t>CPA0014.01</t>
  </si>
  <si>
    <t>CPA0015.01</t>
  </si>
  <si>
    <t>CPA0016.01</t>
  </si>
  <si>
    <t>CPA0017.01</t>
  </si>
  <si>
    <t>CPA0018.01</t>
  </si>
  <si>
    <t>CPA0018.02</t>
  </si>
  <si>
    <t>CPA0018.03</t>
  </si>
  <si>
    <t>CPA0018.04</t>
  </si>
  <si>
    <t>CPA0019.01</t>
  </si>
  <si>
    <t>CPA0020.01</t>
  </si>
  <si>
    <t>CPA0021.01</t>
  </si>
  <si>
    <t>CPA0022.01</t>
  </si>
  <si>
    <t>CPA0023.01</t>
  </si>
  <si>
    <t>CPA0024.01</t>
  </si>
  <si>
    <t>CPA0025.01</t>
  </si>
  <si>
    <t>CPA0026.01</t>
  </si>
  <si>
    <t>CPA0027.01</t>
  </si>
  <si>
    <t>CPA0028.01</t>
  </si>
  <si>
    <t>CPA0029.01</t>
  </si>
  <si>
    <t>CPA0030.01</t>
  </si>
  <si>
    <t>CPA0031.01</t>
  </si>
  <si>
    <t>CPA0032.01</t>
  </si>
  <si>
    <t>CPA0033.01</t>
  </si>
  <si>
    <t>CPA0034.01</t>
  </si>
  <si>
    <t>CPA0035.01</t>
  </si>
  <si>
    <t>CPA0036.01</t>
  </si>
  <si>
    <t>CPA0037.01</t>
  </si>
  <si>
    <t>CPA0038.01</t>
  </si>
  <si>
    <t>CPA0039.01</t>
  </si>
  <si>
    <t>CPA0040.01</t>
  </si>
  <si>
    <t>CPA0041.01</t>
  </si>
  <si>
    <t>CPA0042.01</t>
  </si>
  <si>
    <t>CPA0043.01</t>
  </si>
  <si>
    <t>CPA0044.01</t>
  </si>
  <si>
    <t>CPA0045.01</t>
  </si>
  <si>
    <t>CPA0045.02</t>
  </si>
  <si>
    <t>CPA0046.01</t>
  </si>
  <si>
    <t>CPA0047.01</t>
  </si>
  <si>
    <t>CPA0048.01</t>
  </si>
  <si>
    <t>CPA0049.01</t>
  </si>
  <si>
    <t>CPA0050.01</t>
  </si>
  <si>
    <t>CPA0051.01</t>
  </si>
  <si>
    <t>CPA0052.01</t>
  </si>
  <si>
    <t>CPA0053.01</t>
  </si>
  <si>
    <t>CPA0054.01</t>
  </si>
  <si>
    <t>CPA0055.01</t>
  </si>
  <si>
    <t>CPA0056.01</t>
  </si>
  <si>
    <t>CPA0057.01</t>
  </si>
  <si>
    <t>CPA0058.01</t>
  </si>
  <si>
    <t>CPA0059.01</t>
  </si>
  <si>
    <t>CPA0060.01</t>
  </si>
  <si>
    <t>CPA0061.01</t>
  </si>
  <si>
    <t>CPA0062.01</t>
  </si>
  <si>
    <t>CPA0063.01</t>
  </si>
  <si>
    <t>CPA0064.01</t>
  </si>
  <si>
    <t>CPA0064.02</t>
  </si>
  <si>
    <t>CPA0064.03</t>
  </si>
  <si>
    <t>CPA0064.04</t>
  </si>
  <si>
    <t>CPA0064.05</t>
  </si>
  <si>
    <t>CPA0064.06</t>
  </si>
  <si>
    <t>CPA0065.01</t>
  </si>
  <si>
    <t>CPA0066.01</t>
  </si>
  <si>
    <t>CPA0067.01</t>
  </si>
  <si>
    <t>CPA0068.01</t>
  </si>
  <si>
    <t>CPA0069.01</t>
  </si>
  <si>
    <t>CPA0070.01</t>
  </si>
  <si>
    <t>CPA0071.01</t>
  </si>
  <si>
    <t>CPA0072.01</t>
  </si>
  <si>
    <t>CPA0073.01</t>
  </si>
  <si>
    <t>CPA0074.01</t>
  </si>
  <si>
    <t>CPA0075.01</t>
  </si>
  <si>
    <t>CPA0076.01</t>
  </si>
  <si>
    <t>CPA0077.01</t>
  </si>
  <si>
    <t>CPA0078.01</t>
  </si>
  <si>
    <t>CPA0079.01</t>
  </si>
  <si>
    <t>CPA0080.01</t>
  </si>
  <si>
    <t>CPA0081.01</t>
  </si>
  <si>
    <t>CPA0082.01</t>
  </si>
  <si>
    <t>CPA0083.01</t>
  </si>
  <si>
    <t>CPA0084.01</t>
  </si>
  <si>
    <t>CPA0085.01</t>
  </si>
  <si>
    <t>CPA0086.01</t>
  </si>
  <si>
    <t>CPA0087.01</t>
  </si>
  <si>
    <t>CPA0088.01</t>
  </si>
  <si>
    <t>CPA0089.01</t>
  </si>
  <si>
    <t>CPA0090.01</t>
  </si>
  <si>
    <t>CPA0091.01</t>
  </si>
  <si>
    <t>CPA0092.01</t>
  </si>
  <si>
    <t>CPA0093.01</t>
  </si>
  <si>
    <t>CPA0094.01</t>
  </si>
  <si>
    <t>CPA0095.01</t>
  </si>
  <si>
    <t>CPA0096.01</t>
  </si>
  <si>
    <t>CPA0097.01</t>
  </si>
  <si>
    <t>CPA0098.01</t>
  </si>
  <si>
    <t>CPA0099.01</t>
  </si>
  <si>
    <t>CPA0100.01</t>
  </si>
  <si>
    <t>CPA0101.01</t>
  </si>
  <si>
    <t>CPA0102.01</t>
  </si>
  <si>
    <t>CPA0103.01</t>
  </si>
  <si>
    <t>CPA0104.01</t>
  </si>
  <si>
    <t>CPA0105.01</t>
  </si>
  <si>
    <t>CPA0106.01</t>
  </si>
  <si>
    <t>CPA0107.01</t>
  </si>
  <si>
    <t>CPA0108.01</t>
  </si>
  <si>
    <t>CPA0109.01</t>
  </si>
  <si>
    <t>CPA0110.01</t>
  </si>
  <si>
    <t>CPA0111.01</t>
  </si>
  <si>
    <t>CPA0112.01</t>
  </si>
  <si>
    <t>CPA0113.01</t>
  </si>
  <si>
    <t>CPA0114.01</t>
  </si>
  <si>
    <t>CPA0115.01</t>
  </si>
  <si>
    <t>CPA0116.01</t>
  </si>
  <si>
    <t>CPA0117.01</t>
  </si>
  <si>
    <t>CPA0118.01</t>
  </si>
  <si>
    <t>CPA0119.01</t>
  </si>
  <si>
    <t>CPA0120.01</t>
  </si>
  <si>
    <t>CPA0121.01</t>
  </si>
  <si>
    <t>CPA0122.01</t>
  </si>
  <si>
    <t>CPA0123.01</t>
  </si>
  <si>
    <t>CPA0124.01</t>
  </si>
  <si>
    <t>CPA0125.01</t>
  </si>
  <si>
    <t>CPA0126.01</t>
  </si>
  <si>
    <t>CPA0127.01</t>
  </si>
  <si>
    <t>CPA0128.01</t>
  </si>
  <si>
    <t>CPA0129.01</t>
  </si>
  <si>
    <t>CPA0130.01</t>
  </si>
  <si>
    <t>CPA0131.01</t>
  </si>
  <si>
    <t>CPA0132.01</t>
  </si>
  <si>
    <t>CPA0133.01</t>
  </si>
  <si>
    <t>CPA0134.01</t>
  </si>
  <si>
    <t>CPA0135.01</t>
  </si>
  <si>
    <t>CPA0136.01</t>
  </si>
  <si>
    <t>CPA0137.01</t>
  </si>
  <si>
    <t>CPA0138.01</t>
  </si>
  <si>
    <t>CPA0139.01</t>
  </si>
  <si>
    <t>CPA0140.01</t>
  </si>
  <si>
    <t>CPA0141.01</t>
  </si>
  <si>
    <t>CPA0142.01</t>
  </si>
  <si>
    <t>CPA0143.01</t>
  </si>
  <si>
    <t>CPA0144.01</t>
  </si>
  <si>
    <t>CPA0145.01</t>
  </si>
  <si>
    <t>CPA0146.01</t>
  </si>
  <si>
    <t>CPA0147.01</t>
  </si>
  <si>
    <t>CPA0148.01</t>
  </si>
  <si>
    <t>CPA0149.01</t>
  </si>
  <si>
    <t>CPA0150.01</t>
  </si>
  <si>
    <t>CPA0151.01</t>
  </si>
  <si>
    <t>CPA0152.01</t>
  </si>
  <si>
    <t>CPA0153.01</t>
  </si>
  <si>
    <t>CPA0154.01</t>
  </si>
  <si>
    <t>CPA0155.01</t>
  </si>
  <si>
    <t>CPA0156.01</t>
  </si>
  <si>
    <t>CPA0157.01</t>
  </si>
  <si>
    <t>CPA0158.01</t>
  </si>
  <si>
    <t>CPA0159.01</t>
  </si>
  <si>
    <t>CPA0160.01</t>
  </si>
  <si>
    <t>CPA0161.01</t>
  </si>
  <si>
    <t>CPA0162.01</t>
  </si>
  <si>
    <t>CPA0163.01</t>
  </si>
  <si>
    <t>CPA0164.01</t>
  </si>
  <si>
    <t>CPA0165.01</t>
  </si>
  <si>
    <t>CPA0166.01</t>
  </si>
  <si>
    <t>CPA0167.01</t>
  </si>
  <si>
    <t>CPA0168.01</t>
  </si>
  <si>
    <t>CPA0169.01</t>
  </si>
  <si>
    <t>CPA0170.01</t>
  </si>
  <si>
    <t>CPA0171.01</t>
  </si>
  <si>
    <t>CPA0172.01</t>
  </si>
  <si>
    <t>CPA0173.01</t>
  </si>
  <si>
    <t>CPA0174.01</t>
  </si>
  <si>
    <t>CPA0175.01</t>
  </si>
  <si>
    <t>CPA0176.01</t>
  </si>
  <si>
    <t>CPA0177.01</t>
  </si>
  <si>
    <t>CPA0178.01</t>
  </si>
  <si>
    <t>CPA0179.01</t>
  </si>
  <si>
    <t>CPA0180.01</t>
  </si>
  <si>
    <t>CPA0181.01</t>
  </si>
  <si>
    <t>CPA0182.01</t>
  </si>
  <si>
    <t>CPA0183.01</t>
  </si>
  <si>
    <t>CPA0184.01</t>
  </si>
  <si>
    <t>CPA0185.01</t>
  </si>
  <si>
    <t>CPA0186.01</t>
  </si>
  <si>
    <t>CPA0187.01</t>
  </si>
  <si>
    <t>CPA0188.01</t>
  </si>
  <si>
    <t>CPA0189.01</t>
  </si>
  <si>
    <t>CPA0190.01</t>
  </si>
  <si>
    <t>CPA0191.01</t>
  </si>
  <si>
    <t>CPA0192.01</t>
  </si>
  <si>
    <t>CPA0193.01</t>
  </si>
  <si>
    <t>CPA0194.01</t>
  </si>
  <si>
    <t>CPA0195.01</t>
  </si>
  <si>
    <t>CPA0196.01</t>
  </si>
  <si>
    <t>CPA0197.01</t>
  </si>
  <si>
    <t>CPA0198.01</t>
  </si>
  <si>
    <t>CPA0199.01</t>
  </si>
  <si>
    <t>CPA0200.01</t>
  </si>
  <si>
    <t>CPA0201.01</t>
  </si>
  <si>
    <t>CPA0202.01</t>
  </si>
  <si>
    <t>CPA0203.01</t>
  </si>
  <si>
    <t>CPA0204.01</t>
  </si>
  <si>
    <t>CPA0205.01</t>
  </si>
  <si>
    <t>CPA0206.01</t>
  </si>
  <si>
    <t>CPA0207.01</t>
  </si>
  <si>
    <t>CPA0208.01</t>
  </si>
  <si>
    <t>CPA0209.01</t>
  </si>
  <si>
    <t>CPA0210.01</t>
  </si>
  <si>
    <t>CPA0211.01</t>
  </si>
  <si>
    <t>CPA0212.01</t>
  </si>
  <si>
    <t>CPA0213.01</t>
  </si>
  <si>
    <t>CPA0214.01</t>
  </si>
  <si>
    <t>CPA0215.01</t>
  </si>
  <si>
    <t>CPA0216.01</t>
  </si>
  <si>
    <t>CPA0217.01</t>
  </si>
  <si>
    <t>CPA0218.01</t>
  </si>
  <si>
    <t>CPA0219.01</t>
  </si>
  <si>
    <t>CPA0220.01</t>
  </si>
  <si>
    <t>CPA0221.01</t>
  </si>
  <si>
    <t>CPA0222.01</t>
  </si>
  <si>
    <t>CPA0223.01</t>
  </si>
  <si>
    <t>CPA0224.01</t>
  </si>
  <si>
    <t>CPA0225.01</t>
  </si>
  <si>
    <t>CPA0226.01</t>
  </si>
  <si>
    <t>CPA0227.01</t>
  </si>
  <si>
    <t>CPA0228.01</t>
  </si>
  <si>
    <t>CPA0229.01</t>
  </si>
  <si>
    <t>CPA0230.01</t>
  </si>
  <si>
    <t>CPA0231.01</t>
  </si>
  <si>
    <t>CPA0232.01</t>
  </si>
  <si>
    <t>CPA0233.01</t>
  </si>
  <si>
    <t>CPA0234.01</t>
  </si>
  <si>
    <t>CPA0235.01</t>
  </si>
  <si>
    <t>CPA0236.01</t>
  </si>
  <si>
    <t>CPA0237.01</t>
  </si>
  <si>
    <t>CPA0238.01</t>
  </si>
  <si>
    <t>CPA0239.01</t>
  </si>
  <si>
    <t>CPA0240.01</t>
  </si>
  <si>
    <t>CPA0241.01</t>
  </si>
  <si>
    <t>CPA0242.01</t>
  </si>
  <si>
    <t>CPA0243.01</t>
  </si>
  <si>
    <t>CPA0244.01</t>
  </si>
  <si>
    <t>CPA0245.01</t>
  </si>
  <si>
    <t>CPA0246.01</t>
  </si>
  <si>
    <t>CPA0247.01</t>
  </si>
  <si>
    <t>CPA0248.01</t>
  </si>
  <si>
    <t>CPA0249.01</t>
  </si>
  <si>
    <t>CPA0250.01</t>
  </si>
  <si>
    <t>CPA0251.01</t>
  </si>
  <si>
    <t>CPA0252.01</t>
  </si>
  <si>
    <t>CPA0253.01</t>
  </si>
  <si>
    <t>CPA0254.01</t>
  </si>
  <si>
    <t>CPA0255.01</t>
  </si>
  <si>
    <t>CPA0256.01</t>
  </si>
  <si>
    <t>CPA0257.01</t>
  </si>
  <si>
    <t>CPA0258.01</t>
  </si>
  <si>
    <t>CPA0259.01</t>
  </si>
  <si>
    <t>CPA0260.01</t>
  </si>
  <si>
    <t>CPA0261.01</t>
  </si>
  <si>
    <t>CPA0262.01</t>
  </si>
  <si>
    <t>CPA0263.01</t>
  </si>
  <si>
    <t>CPA0264.01</t>
  </si>
  <si>
    <t>CPA0265.01</t>
  </si>
  <si>
    <t>CPA0266.01</t>
  </si>
  <si>
    <t>CPA0267.01</t>
  </si>
  <si>
    <t>CPA0268.01</t>
  </si>
  <si>
    <t>CPA0269.01</t>
  </si>
  <si>
    <t>CPA0270.01</t>
  </si>
  <si>
    <t>CPA0271.01</t>
  </si>
  <si>
    <t>CPA0272.01</t>
  </si>
  <si>
    <t>CPA0273.01</t>
  </si>
  <si>
    <t>CPA0274.01</t>
  </si>
  <si>
    <t>CPA0275.01</t>
  </si>
  <si>
    <t>CPA0276.01</t>
  </si>
  <si>
    <t>CPA0277.01</t>
  </si>
  <si>
    <t>CPA0278.01</t>
  </si>
  <si>
    <t>CPA0279.01</t>
  </si>
  <si>
    <t>CPA0280.01</t>
  </si>
  <si>
    <t>CPA0281.01</t>
  </si>
  <si>
    <t>CPA0282.01</t>
  </si>
  <si>
    <t>CPA0283.01</t>
  </si>
  <si>
    <t>CPA0284.01</t>
  </si>
  <si>
    <t>CPA0285.01</t>
  </si>
  <si>
    <t>CPA0286.01</t>
  </si>
  <si>
    <t>CPA0287.01</t>
  </si>
  <si>
    <t>CPA0288.01</t>
  </si>
  <si>
    <t>CPA0289.01</t>
  </si>
  <si>
    <t>CPA0290.01</t>
  </si>
  <si>
    <t>CPA0291.01</t>
  </si>
  <si>
    <t>CPA0292.01</t>
  </si>
  <si>
    <t>CPA0293.01</t>
  </si>
  <si>
    <t>CPA0294.01</t>
  </si>
  <si>
    <t>CPA0295.01</t>
  </si>
  <si>
    <t>CPA0296.01</t>
  </si>
  <si>
    <t>CPA0297.01</t>
  </si>
  <si>
    <t>CPA0298.01</t>
  </si>
  <si>
    <t>CPA0299.01</t>
  </si>
  <si>
    <t>CPA0300.01</t>
  </si>
  <si>
    <t>CPA0301.01</t>
  </si>
  <si>
    <t>CPA0302.01</t>
  </si>
  <si>
    <t>CPA0303.01</t>
  </si>
  <si>
    <t>CPA0304.01</t>
  </si>
  <si>
    <t>CPA0305.01</t>
  </si>
  <si>
    <t>CPA0306.01</t>
  </si>
  <si>
    <t>CPA0307.01</t>
  </si>
  <si>
    <t>CPA0308.01</t>
  </si>
  <si>
    <t>CPA0309.01</t>
  </si>
  <si>
    <t>CPA0310.01</t>
  </si>
  <si>
    <t>CPA0311.01</t>
  </si>
  <si>
    <t>CPA0312.01</t>
  </si>
  <si>
    <t>CPA0313.01</t>
  </si>
  <si>
    <t>CPA0314.01</t>
  </si>
  <si>
    <t>CPA0315.01</t>
  </si>
  <si>
    <t>CPA0316.01</t>
  </si>
  <si>
    <t>CPA0317.01</t>
  </si>
  <si>
    <t>CPA0318.01</t>
  </si>
  <si>
    <t>CPA0319.01</t>
  </si>
  <si>
    <t>CPA0320.01</t>
  </si>
  <si>
    <t>CPA0321.01</t>
  </si>
  <si>
    <t>CPA0322.01</t>
  </si>
  <si>
    <t>CPA0323.01</t>
  </si>
  <si>
    <t>CPA0324.01</t>
  </si>
  <si>
    <t>CPA0325.01</t>
  </si>
  <si>
    <t>CPA0326.01</t>
  </si>
  <si>
    <t>CPA0327.01</t>
  </si>
  <si>
    <t>CPA0328.01</t>
  </si>
  <si>
    <t>CPA0329.01</t>
  </si>
  <si>
    <t>CPA0330.01</t>
  </si>
  <si>
    <t>CPA0331.01</t>
  </si>
  <si>
    <t>CPA0332.01</t>
  </si>
  <si>
    <t>CPA0333.01</t>
  </si>
  <si>
    <t>CPA0334.01</t>
  </si>
  <si>
    <t>CPA0335.01</t>
  </si>
  <si>
    <t>CPA0336.01</t>
  </si>
  <si>
    <t>CPA0337.01</t>
  </si>
  <si>
    <t>CPA0338.01</t>
  </si>
  <si>
    <t>CPA0339.01</t>
  </si>
  <si>
    <t>CPA0340.01</t>
  </si>
  <si>
    <t>CPA0341.01</t>
  </si>
  <si>
    <t>CPA0342.01</t>
  </si>
  <si>
    <t>CPA0343.01</t>
  </si>
  <si>
    <t>CPA0345.01</t>
  </si>
  <si>
    <t>CPA0346.01</t>
  </si>
  <si>
    <t>CPA0347.01</t>
  </si>
  <si>
    <t>CPA0348.01</t>
  </si>
  <si>
    <t>CPA0349.01</t>
  </si>
  <si>
    <t>CPA0350.01</t>
  </si>
  <si>
    <t>CPA0351.01</t>
  </si>
  <si>
    <t>CPA0352.01</t>
  </si>
  <si>
    <t>CPA0353.01</t>
  </si>
  <si>
    <t>CPA0354.01</t>
  </si>
  <si>
    <t>CPA0355.01</t>
  </si>
  <si>
    <t>CPA0356.01</t>
  </si>
  <si>
    <t>CPA0357.01</t>
  </si>
  <si>
    <t>CPA0358.01</t>
  </si>
  <si>
    <t>CPA0359.01</t>
  </si>
  <si>
    <t>CPA0360.01</t>
  </si>
  <si>
    <t>CPA0361.01</t>
  </si>
  <si>
    <t>CPA0362.01</t>
  </si>
  <si>
    <t>CPA0363.01</t>
  </si>
  <si>
    <t>CPA0364.01</t>
  </si>
  <si>
    <t>CPA0365.01</t>
  </si>
  <si>
    <t>CPA0366.01</t>
  </si>
  <si>
    <t>CPA0367.01</t>
  </si>
  <si>
    <t>CPA0368.01</t>
  </si>
  <si>
    <t>CPA0369.01</t>
  </si>
  <si>
    <t>CPA0370.01</t>
  </si>
  <si>
    <t>CPA0371.01</t>
  </si>
  <si>
    <t>CPA0372.01</t>
  </si>
  <si>
    <t>CPA0373.01</t>
  </si>
  <si>
    <t>CPA0374.01</t>
  </si>
  <si>
    <t>CPA0375.01</t>
  </si>
  <si>
    <t>CPA0376.01</t>
  </si>
  <si>
    <t>CPA0377.01</t>
  </si>
  <si>
    <t>Chart 4:</t>
  </si>
  <si>
    <t>2765-0001</t>
  </si>
  <si>
    <t>CPA0013.16</t>
  </si>
  <si>
    <t>4041-0016</t>
  </si>
  <si>
    <t>Promotion of Biomass Based Heat Generation Systems in India CPA Number 016</t>
  </si>
  <si>
    <t>CPA0063.02</t>
  </si>
  <si>
    <t>5067-0002</t>
  </si>
  <si>
    <t>CPA # 2 Improved Cooking Stoves for Nigeria</t>
  </si>
  <si>
    <t>CPA0063.03</t>
  </si>
  <si>
    <t>5067-0003</t>
  </si>
  <si>
    <t>CPA # 3 Improved Cooking Stoves for Nigeria</t>
  </si>
  <si>
    <t>6299-0001</t>
  </si>
  <si>
    <t>6584-0001</t>
  </si>
  <si>
    <t>Co-composting and Composting Program of Activities for Palm Oil Mills in Indonesia</t>
  </si>
  <si>
    <t>PT.Carbon Agro Indo</t>
  </si>
  <si>
    <t>6511-0001</t>
  </si>
  <si>
    <t>6198-0001</t>
  </si>
  <si>
    <t>6434-0001</t>
  </si>
  <si>
    <t>PoA0378</t>
  </si>
  <si>
    <t>PoA Solar PV in Pakistan</t>
  </si>
  <si>
    <t>DACC Power Generation Company</t>
  </si>
  <si>
    <t>Think Carbon</t>
  </si>
  <si>
    <t>CPA0378.01</t>
  </si>
  <si>
    <t>50MW Photovoltaic Power Project in Cholistan, Islamic Republic of Pakistan</t>
  </si>
  <si>
    <t>PoA0379</t>
  </si>
  <si>
    <t>The Andean Center for Economics in the Environment (CAEMA)</t>
  </si>
  <si>
    <t>CPA0379.01</t>
  </si>
  <si>
    <t>CPA-DD for the recovery of associated gas at the Corralles oil field</t>
  </si>
  <si>
    <t>Boyacá</t>
  </si>
  <si>
    <t>PoA0380</t>
  </si>
  <si>
    <t>DelAgua Public Health Program in Eastern Africa</t>
  </si>
  <si>
    <t>DelAgua Health and Development Programs</t>
  </si>
  <si>
    <t>CPA0380.01</t>
  </si>
  <si>
    <t>PoA0381</t>
  </si>
  <si>
    <t>Petrotrin Oil Fields Associated Gas Recovery and Utilization PoA</t>
  </si>
  <si>
    <t>Petroleum Company of Trinidad and Tobago Limited (PETROTRIN)</t>
  </si>
  <si>
    <t>CPA0381.01</t>
  </si>
  <si>
    <t>Victoria nd St. Patrick</t>
  </si>
  <si>
    <t>PoA0382</t>
  </si>
  <si>
    <t>Small Hydropower Programme of Activities in Armenia</t>
  </si>
  <si>
    <t>Energy Changes Projektentwicklung GmbH</t>
  </si>
  <si>
    <t>CPA0382.01</t>
  </si>
  <si>
    <t>Small Hydropower Programme of Activities in Armenia – Sedvi 1 + 2 Hydropower Project”</t>
  </si>
  <si>
    <t>Lori</t>
  </si>
  <si>
    <t>PoA0383</t>
  </si>
  <si>
    <t>CPA0383.01</t>
  </si>
  <si>
    <t>PoA0384</t>
  </si>
  <si>
    <t>CPA0384.01</t>
  </si>
  <si>
    <t>PoA0385</t>
  </si>
  <si>
    <t>PoA for Water Pumping Efficiency Improvement and Rehabilitation for Egyptian Pumping Stations</t>
  </si>
  <si>
    <t>CDM Awareness and Promotion Unit</t>
  </si>
  <si>
    <t>Integral Consult</t>
  </si>
  <si>
    <t>CPA0385.01</t>
  </si>
  <si>
    <t>Nassr 5 Irrigation Station</t>
  </si>
  <si>
    <t>Qaryah</t>
  </si>
  <si>
    <t>PoA0386</t>
  </si>
  <si>
    <t>Implementation of efficient lighting LED PoA scheme in India</t>
  </si>
  <si>
    <t>Energetic Lighting India</t>
  </si>
  <si>
    <t>CPA0386.01</t>
  </si>
  <si>
    <t>EnergeticPOA (CPA 001): Implementation of efficient lighting LED PoA scheme in India</t>
  </si>
  <si>
    <t>PoA0387</t>
  </si>
  <si>
    <t>Impact Carbon Safe Water Access Program</t>
  </si>
  <si>
    <t>Impact Carbon</t>
  </si>
  <si>
    <t>CPA0387.01</t>
  </si>
  <si>
    <t>Impact Carbon Safe Water Access Program: CPA 1</t>
  </si>
  <si>
    <t>Eastern Districts</t>
  </si>
  <si>
    <t>PoA0388</t>
  </si>
  <si>
    <t>Implementation of efficient lighting CFL PoA scheme in India</t>
  </si>
  <si>
    <t>CPA0388.01</t>
  </si>
  <si>
    <t>CFLP-CPA-001: First CPA for CFL distribution</t>
  </si>
  <si>
    <t>Haryana</t>
  </si>
  <si>
    <t>PoA0389</t>
  </si>
  <si>
    <t>City of Cape Town Treatment of Organic Waste Streams CDM Projects</t>
  </si>
  <si>
    <t>CPA0389.01</t>
  </si>
  <si>
    <t>Cape Flats Anaerobic Digestion Facility (CPA01)</t>
  </si>
  <si>
    <t>PoA0390</t>
  </si>
  <si>
    <t>Energy Efficiency Program in Rural Bangladesh</t>
  </si>
  <si>
    <t>BRAC Impact_x000D_
Investment Limited (BIVL)</t>
  </si>
  <si>
    <t>CPA0390.01</t>
  </si>
  <si>
    <t>Energy Efficiency Program in Rural Bangladesh CPA001 Matlab Uttar, Chandpur</t>
  </si>
  <si>
    <t>Chandpur</t>
  </si>
  <si>
    <t>PoA0391</t>
  </si>
  <si>
    <t>Ghana, Mali, Senegal, Togo</t>
  </si>
  <si>
    <t>Burkina Faso, Mali, Senegal, Togo and Ghana</t>
  </si>
  <si>
    <t>CPA0391.01</t>
  </si>
  <si>
    <t>PoA0392</t>
  </si>
  <si>
    <t>Tunisian cogeneration development programme (PoA)</t>
  </si>
  <si>
    <t>Tunisian National Agency for Energy Conservation</t>
  </si>
  <si>
    <t>AMS-II.H.</t>
  </si>
  <si>
    <t>CPA0392.01</t>
  </si>
  <si>
    <t>Cartonnerie Tunisienne cogeneration project</t>
  </si>
  <si>
    <t>Enfidha</t>
  </si>
  <si>
    <t>PoA0393</t>
  </si>
  <si>
    <t>Program of Activities for Electricity Generation using Associated Gas Normally Flared in Petroleum Production Fields</t>
  </si>
  <si>
    <t>Andean Center for Economics in the Environment (CAEMA)</t>
  </si>
  <si>
    <t>AM29</t>
  </si>
  <si>
    <t>CPA0393.01</t>
  </si>
  <si>
    <t>Electricity generation from natural gas normally flared at the Corrales oil field.</t>
  </si>
  <si>
    <t>5067</t>
  </si>
  <si>
    <t>Policy</t>
  </si>
  <si>
    <t>Techmeasure</t>
  </si>
  <si>
    <t>SD1</t>
  </si>
  <si>
    <t>SD2</t>
  </si>
  <si>
    <t>SD3</t>
  </si>
  <si>
    <t>SD4</t>
  </si>
  <si>
    <t>SD5</t>
  </si>
  <si>
    <t>SD6</t>
  </si>
  <si>
    <t>Tech Transfer code</t>
  </si>
  <si>
    <t>Equipment supplier country 1</t>
  </si>
  <si>
    <t>Equipment supplier country 2</t>
  </si>
  <si>
    <t>Know-how Provider</t>
  </si>
  <si>
    <t>Know-how country</t>
  </si>
  <si>
    <t>EE GWh reduced</t>
  </si>
  <si>
    <t>CER2007</t>
  </si>
  <si>
    <t>CER2008</t>
  </si>
  <si>
    <t>CER2009</t>
  </si>
  <si>
    <t>CER2010</t>
  </si>
  <si>
    <t>CER2011</t>
  </si>
  <si>
    <t>CER2012</t>
  </si>
  <si>
    <t>CER2013</t>
  </si>
  <si>
    <t>CER2014</t>
  </si>
  <si>
    <t>CER2015</t>
  </si>
  <si>
    <t>CER2016</t>
  </si>
  <si>
    <t>CER2017</t>
  </si>
  <si>
    <t>CER2018</t>
  </si>
  <si>
    <t>CER2019</t>
  </si>
  <si>
    <t>CER2020</t>
  </si>
  <si>
    <t>CER2021</t>
  </si>
  <si>
    <t>CER2022</t>
  </si>
  <si>
    <t>CER2023</t>
  </si>
  <si>
    <t>CER2024</t>
  </si>
  <si>
    <t>CER2025</t>
  </si>
  <si>
    <t>CER2026</t>
  </si>
  <si>
    <t>CER2027</t>
  </si>
  <si>
    <t>CER2028</t>
  </si>
  <si>
    <t>CER2029</t>
  </si>
  <si>
    <t>CER2030</t>
  </si>
  <si>
    <t>CER2031</t>
  </si>
  <si>
    <t>CER2032</t>
  </si>
  <si>
    <t>CER2033</t>
  </si>
  <si>
    <t>CER2034</t>
  </si>
  <si>
    <t>CER2035</t>
  </si>
  <si>
    <t>CER2036</t>
  </si>
  <si>
    <t>CER2037</t>
  </si>
  <si>
    <t>CER2038</t>
  </si>
  <si>
    <t>CER2039</t>
  </si>
  <si>
    <t>CER2040</t>
  </si>
  <si>
    <t>PoA</t>
  </si>
  <si>
    <t>No</t>
  </si>
  <si>
    <t>CPA0008.02</t>
  </si>
  <si>
    <t>4659-0002</t>
  </si>
  <si>
    <t>Solar Water Heater Programme in Tunisia – CPA 2</t>
  </si>
  <si>
    <t>CPA0008.03</t>
  </si>
  <si>
    <t>4659-0003</t>
  </si>
  <si>
    <t>Solar Water Heater Programme in Tunisia – CPA 3</t>
  </si>
  <si>
    <t>CPA0008.04</t>
  </si>
  <si>
    <t>4659-0004</t>
  </si>
  <si>
    <t>Solar Water Heater Programme in Tunisia – CPA 4</t>
  </si>
  <si>
    <t>CPA0008.05</t>
  </si>
  <si>
    <t>4659-0005</t>
  </si>
  <si>
    <t>Solar Water Heater Programme in Tunisia – CPA 5</t>
  </si>
  <si>
    <t>CPA0008.06</t>
  </si>
  <si>
    <t>4659-0006</t>
  </si>
  <si>
    <t>Solar Water Heater Programme in Tunisia – CPA 6</t>
  </si>
  <si>
    <t>CPA0013.17</t>
  </si>
  <si>
    <t>4041-0017</t>
  </si>
  <si>
    <t>Promotion of Biomass Based Heat Generation Systems in India CPA Number 017</t>
  </si>
  <si>
    <t>CPA0013.18</t>
  </si>
  <si>
    <t>4041-0018</t>
  </si>
  <si>
    <t>Promotion of Biomass Based Heat Generation Systems in India CPA Number 018</t>
  </si>
  <si>
    <t>CPA0013.19</t>
  </si>
  <si>
    <t>4041-0019</t>
  </si>
  <si>
    <t>Promotion of Biomass Based Heat Generation Systems in India CPA Number 019</t>
  </si>
  <si>
    <t>Validation Terminated</t>
  </si>
  <si>
    <t>5787-0001</t>
  </si>
  <si>
    <t>6707-0001</t>
  </si>
  <si>
    <t>High Efficiency Wastewater Fermentation System</t>
  </si>
  <si>
    <t>To help achieve Energy Efficiency and reduce consumption of electricity in_x000D_
Singapore</t>
  </si>
  <si>
    <t>CPA</t>
  </si>
  <si>
    <t>Upgrading the existing air-cooled chiller plant and enhancing its efficiency_x000D_
to a energy efficient coefficient of 0.59KW/TR</t>
  </si>
  <si>
    <t>Other;Prevailing practice</t>
  </si>
  <si>
    <t>To facilitate commercial crude palm mill and plantation owners and managers to adopt and implement more sustainable practices at their Crude Palm Oil Mills</t>
  </si>
  <si>
    <t>Aerated Bunker Co-composting (ABC) plant</t>
  </si>
  <si>
    <t>Creating a platform for supporting the usage increase of high quality LED lighting equipment</t>
  </si>
  <si>
    <t>Installation of LED lighting equipment</t>
  </si>
  <si>
    <t>Investment;Technological</t>
  </si>
  <si>
    <t>To develop a platform for overcoming institutional, financial and structural hurdles for the construction of a series of small hydroelectric power plants projects</t>
  </si>
  <si>
    <t>1.68 MW run of river hydropower plant</t>
  </si>
  <si>
    <t>Increasing the use of solar water heaters (SWH) in_x000D_
residential and commercial applications throughout the Republic of South Africa</t>
  </si>
  <si>
    <t>6159-0001</t>
  </si>
  <si>
    <t>Solar water heaters (SWH) systems for hot water production_x000D_
in residential households</t>
  </si>
  <si>
    <t>Investment;Other;Prevailing practice;Technological</t>
  </si>
  <si>
    <t>To improve the energy efficiency of commercial sites across South Africa and in other developing countries.</t>
  </si>
  <si>
    <t>On site trigeneration facility with production of electricity and cooling and heating from methane-rich natural gas</t>
  </si>
  <si>
    <t>To reduce greenhouse gas (GHG) emissions while simultaneously supporting the completion of the phase-out of consumption of CFCs</t>
  </si>
  <si>
    <t>Replacement of energy-inefficient, large-size chillers</t>
  </si>
  <si>
    <t>Yes</t>
  </si>
  <si>
    <t>To support development and implementation of small renewable energy_x000D_
projects in PNG</t>
  </si>
  <si>
    <t>3 MW run of river plant</t>
  </si>
  <si>
    <t>To distribute around 50 million CFLs, replacing low efficient ICLs</t>
  </si>
  <si>
    <t>Distribution of CFLs</t>
  </si>
  <si>
    <t>Scaling up the installation of energy efficient lighting technologies and_x000D_
systems in non-residential, commercial and public buildings across South Africa, Botswana and Rwanda</t>
  </si>
  <si>
    <t>Lighting systems upgrades with replacement of over 30,000 lamps</t>
  </si>
  <si>
    <t>Financial;Technological</t>
  </si>
  <si>
    <t>To facilitate the transition away from inefficient traditional biomass fired stoves, by providing high-efficiency and clean burning ICS that reduce wood and charcoal consumption</t>
  </si>
  <si>
    <t>Efficient biomass cook stoves for household, commercial, and institutional use</t>
  </si>
  <si>
    <t>To reduce reliance on fossil fuel based electricity and thus to reduce the associated CO2 emissions in Southern Africa</t>
  </si>
  <si>
    <t>Solar photovoltaic electrical systems</t>
  </si>
  <si>
    <t>Investment;Prevailing practice</t>
  </si>
  <si>
    <t>To to reduce reliance on fossil fuel based electricity and thus reduce the associated CO2 emissions in Southern Africa through the use of solar thermal energy</t>
  </si>
  <si>
    <t>A group of solar water heaters</t>
  </si>
  <si>
    <t>Maintaining the energy efficiency of South Africa’s residential lighting_x000D_
stock achieved by previous Eskon CFL projects, by distributing CFLs free of charge to households across_x000D_
South Africa</t>
  </si>
  <si>
    <t>Between 800,000 to 1,000,000 CFLs to household</t>
  </si>
  <si>
    <t>Financial;Investment;Other;Prevailing practice</t>
  </si>
  <si>
    <t>Implementing energy efficiency_x000D_
improvements in existing furnaces used in Small and Medium Enterprises (SME) steel industry clusters_x000D_
across India.</t>
  </si>
  <si>
    <t>EE measures in furnaces in SME steel rerolling industrial facilities</t>
  </si>
  <si>
    <t>Prevailing practice;Technological</t>
  </si>
  <si>
    <t>To introduce measures and technologies that recover biogas from biogenic organic matter in waste water and use this gas as a fuel to generate Renewable Electricity for export to a grid</t>
  </si>
  <si>
    <t>AMS-III.H.+AMS.I.D.</t>
  </si>
  <si>
    <t>6749-0001</t>
  </si>
  <si>
    <t>Anaerobic Digester (AD) pond for POME treatment, with energy generation</t>
  </si>
  <si>
    <t>To promote Non-Conventional Renewable Energy (NCRE) generation in Chile in_x000D_
the form of small hydro plants</t>
  </si>
  <si>
    <t>1.5 MW run of river hydropower plant</t>
  </si>
  <si>
    <t>To facilitate  the  development  of  small  scale  renewable  energy projects  in _x000D_
India</t>
  </si>
  <si>
    <t>2 MW grid connected solar photovoltaic plant</t>
  </si>
  <si>
    <t>Financial;Other;Technological</t>
  </si>
  <si>
    <t>Generation of electricity by utilizing the hydro power potential_x000D_
in the region</t>
  </si>
  <si>
    <t>5 MW run of river hydropower plant</t>
  </si>
  <si>
    <t>To reduce a significant amount of GHG emissions from the wastewater treatment systems of the agro-industry processing facilities</t>
  </si>
  <si>
    <t>Recovering the biogas from biogenic organic matter in the POME</t>
  </si>
  <si>
    <t>Investment;Prevailing practice;Technological</t>
  </si>
  <si>
    <t>To promote sustainable development of livestock_x000D_
management system by improvements on their wastewater treatment systems</t>
  </si>
  <si>
    <t>Closed anaerobic digester with biogas capture and power generation</t>
  </si>
  <si>
    <t>Financial;Prevailing practice</t>
  </si>
  <si>
    <t>To make modern cookstoves available at affordable prices in households of rural_x000D_
India</t>
  </si>
  <si>
    <t>20,000 energy efficient cook stoves</t>
  </si>
  <si>
    <t>Investment;Other</t>
  </si>
  <si>
    <t>To reduce the thermal or electric energy based on coal and other carbon intensive fossil fuels</t>
  </si>
  <si>
    <t>PV power plant and solar water heating system</t>
  </si>
  <si>
    <t>To establish a sustainable livestock waste management model that_x000D_
would significantly improve rural environment and reduce greenhouse gas emissions</t>
  </si>
  <si>
    <t>Biogas digesters withmethane  utilization for energy generation</t>
  </si>
  <si>
    <t>To develop a platform for overcoming the hurdles to the implementation of a series of solar power projects (SPV and CSP)</t>
  </si>
  <si>
    <t>5 MW grid connected solar PV power project</t>
  </si>
  <si>
    <t>To distribute over 3 million LifeStraw® Family units, serving over 12 million_x000D_
people, in Indonesia</t>
  </si>
  <si>
    <t>49,600 LifeStraw® Family units</t>
  </si>
  <si>
    <t>Switzerland</t>
  </si>
  <si>
    <t>To make modern LED based lighting technologies available to poor_x000D_
households in developing countries and to expedite the phasing out of fossil fuel based lamps.</t>
  </si>
  <si>
    <t>6110-0001</t>
  </si>
  <si>
    <t>Renewable energy based LED lighting systems</t>
  </si>
  <si>
    <t>To help small hydropower projects_x000D_
promoters to overcome the financial and structural barriers faced on the implementation of small_x000D_
hydropower plants in Mexico</t>
  </si>
  <si>
    <t>Hydropower plant with 5 MW capacity</t>
  </si>
  <si>
    <t>To enable the rural population of the seven regions in Sichuan to_x000D_
participate in the biogas development programme.</t>
  </si>
  <si>
    <t>Energy generation through anaerobic digestion and biogas-based_x000D_
energy generation.</t>
  </si>
  <si>
    <t>Anaerobic digester and a biogas cogeneration plant</t>
  </si>
  <si>
    <t>Investment;Other;Technological</t>
  </si>
  <si>
    <t>To develop a platform for supporting the development of small hydropower projects in Viet Nam</t>
  </si>
  <si>
    <t>3.5 MW hydro power plant</t>
  </si>
  <si>
    <t>To enable the population of the rural areas in Gansu Province to participate in the programme and therefore to improve local environment and living conditions</t>
  </si>
  <si>
    <t>Biogas digesters for 3,500 individual households with biogas use for cooking</t>
  </si>
  <si>
    <t>Biogas digester with energy generation</t>
  </si>
  <si>
    <t>To increase the amount of renewable energy in the Thai electricity grid, thereby_x000D_
reducing CO2 emissions</t>
  </si>
  <si>
    <t>Solar PV of 2 X 5.51 MW</t>
  </si>
  <si>
    <t>DuPont Apollo</t>
  </si>
  <si>
    <t>To incentivise broad scale investment in renewable energy technology and reduce dependence on fossil fuels electricity</t>
  </si>
  <si>
    <t>Grid connected solar photovoltaic panels of approximately 25MW</t>
  </si>
  <si>
    <t>To establish a sustainable livestock waste management model that_x000D_
would significantly improve rural environment and reduce greenhouse gas emissions, through the use of_x000D_
a programmatic approach for biogas digester activities</t>
  </si>
  <si>
    <t>Biogas digester with utilization of biogas for energy production</t>
  </si>
  <si>
    <t>To develop a platform that can support the development of_x000D_
sustainable, renewable energy projects in Mexico</t>
  </si>
  <si>
    <t>A grid connected 20 MW solar plant</t>
  </si>
  <si>
    <t>To boost the use of renewable energy by domestic consumers of the RSA</t>
  </si>
  <si>
    <t>Solar pv for electricity production</t>
  </si>
  <si>
    <t>To implement small scale hydropower plants in the_x000D_
Philippines and displace fossil-fuel based electricity generation</t>
  </si>
  <si>
    <t>840 kw run of river hydro power plant</t>
  </si>
  <si>
    <t>To facilitate implementation of small scale hydro in Philippines</t>
  </si>
  <si>
    <t>Run of river hydro plant with capacity of 2.75 MW</t>
  </si>
  <si>
    <t>Recovering the biogas from biogenic organic matter in the POME and production of electricity</t>
  </si>
  <si>
    <t>To promote dissemination of Improved Cooking Stove (ICS) with replacement of existing Traditional Cooking Stoves (TCS)</t>
  </si>
  <si>
    <t>Installation of 5,6453 Improved Cooking Stoves (ICS)</t>
  </si>
  <si>
    <t>To promote dissemination_x000D_
of Improved Water Mills  with replacement of existing low powered, low efficiency Traditional Water Mills</t>
  </si>
  <si>
    <t>To displace fossil fuel utilization for thermal energy generation by the Biomass_x000D_
Based Heat Producing Programme</t>
  </si>
  <si>
    <t>6731-0001</t>
  </si>
  <si>
    <t>Installation of 12 MWth biomass heat generation system of biomass boiler</t>
  </si>
  <si>
    <t>To Improve environmental conditions by the effective capture and clean-burn of biogas_x000D_
produced from the anaerobic digestion of pig manure</t>
  </si>
  <si>
    <t>Floating drum digester with use of biogas for cooking</t>
  </si>
  <si>
    <t>Financial;Prevailing practice;Technological</t>
  </si>
  <si>
    <t>To replace kerosene-based lighting with approved Project Lamps in East Africa</t>
  </si>
  <si>
    <t>Replacing kerosene lamps with solar LED lamps</t>
  </si>
  <si>
    <t>To construct and distribute approximately 300,000 efficient cook stoves</t>
  </si>
  <si>
    <t>Fuel efficient cook stoves</t>
  </si>
  <si>
    <t>United K.</t>
  </si>
  <si>
    <t>Financial;Investment;Prevailing practice;Technological</t>
  </si>
  <si>
    <t>Sales and dissemination of solar LED lamps in India</t>
  </si>
  <si>
    <t>Solar chargeable LED lamps</t>
  </si>
  <si>
    <t>To recover the methane generated from industrial wastewater and thus avoid GHG emissions</t>
  </si>
  <si>
    <t>Anaerobic digesters with methane recovery system for treatment of wastewater generated in the palm oil mill</t>
  </si>
  <si>
    <t>To establish a CDM framework to which wind power projects</t>
  </si>
  <si>
    <t>To promote energy saving in the southern region of Viet Nam</t>
  </si>
  <si>
    <t>Solar Water Heating systems</t>
  </si>
  <si>
    <t>To facilitate the installation of energy_x000D_
efficiency technologies in commercial refrigeration plants</t>
  </si>
  <si>
    <t>Installation of technologies that improve_x000D_
the energy efficiency of commercial refrigeration plants</t>
  </si>
  <si>
    <t>To develop a platform for overcoming institutional, financial and structural_x000D_
hurdles for the construction of a series of small hydro projects</t>
  </si>
  <si>
    <t>2.28 MW run of river hydro power plant</t>
  </si>
  <si>
    <t>To help meet Brazil’s rising demand for energy due to economic growth and to improve the supply of electricity</t>
  </si>
  <si>
    <t>13 MW hydro power plant</t>
  </si>
  <si>
    <t>To make efficient cookstoves affordable and available to low income rural households across Kenya</t>
  </si>
  <si>
    <t>Wood efficient KONSAVA cooking stoves</t>
  </si>
  <si>
    <t>Financial;Other;Prevailing practice;Technological</t>
  </si>
  <si>
    <t>To identify as many sites as possible and to implement methane capture and utilisation and/or destruction</t>
  </si>
  <si>
    <t>2 flares at the site when fully operational and will destroy an estimated 12m m3 /year of CMM</t>
  </si>
  <si>
    <t>To replace ICLs amongst residential users in Kenya, Tanzania,_x000D_
Uganda and Zimbabwe with high quality CFLs1</t>
  </si>
  <si>
    <t>Replacing 900,000 ICLs with high quality CFLs</t>
  </si>
  <si>
    <t>16 MW hydro power plant</t>
  </si>
  <si>
    <t>To develop a multi-track platform for overcoming regulatory, institutional, financial and structural hurdles for the roll-out of hydro power by providing access to carbon finance</t>
  </si>
  <si>
    <t>2.1. MW run of river power plant</t>
  </si>
  <si>
    <t>Mecamidi</t>
  </si>
  <si>
    <t>France</t>
  </si>
  <si>
    <t>Installation of wind and solar projects generating electricity into the national grid across South Africa.</t>
  </si>
  <si>
    <t>60 wind turbines of 2.3 MW capacity</t>
  </si>
  <si>
    <t>Siemens</t>
  </si>
  <si>
    <t>Germany</t>
  </si>
  <si>
    <t>9 MW wind power plant</t>
  </si>
  <si>
    <t>Biogas digesters for 3000 households</t>
  </si>
  <si>
    <t>To promote the implementation of LFG capture and_x000D_
combustion/energy generation/distribution systems through the CDM to mitigate the GHG emissions</t>
  </si>
  <si>
    <t>LFG collection system and electricity generation</t>
  </si>
  <si>
    <t>To increase the supply of renewable energy to the Indian_x000D_
national/sub-national grid from renewable wind energy resources on a commercially sustainable basis</t>
  </si>
  <si>
    <t>30 wind generation turbines (WTG) of type_x000D_
G58/850 KW WTGs</t>
  </si>
  <si>
    <t>Gamesa Wind Turbines</t>
  </si>
  <si>
    <t>To distribute CFLs replacing low efficient ICLs, mainly covering the rural area of Hebei Province and to reduce the electricity consumed by local residents</t>
  </si>
  <si>
    <t>High quality CFLs</t>
  </si>
  <si>
    <t>To increase dissemination of solar charged, LED based lighting applications at the domestic level.</t>
  </si>
  <si>
    <t>Solar charged LED lamps</t>
  </si>
  <si>
    <t>Generation of electricity through the utilization of the solar_x000D_
power potential in Dubai.</t>
  </si>
  <si>
    <t>Thin-film solar panels in a modular fashion in 1 MW sub-plant_x000D_
blocks</t>
  </si>
  <si>
    <t>First Solar</t>
  </si>
  <si>
    <t>USA</t>
  </si>
  <si>
    <t>To make biogas systems affordable and available to households and institutions across East Africa</t>
  </si>
  <si>
    <t>Domestic biogas systems</t>
  </si>
  <si>
    <t>Introducing biogas recovery system and biogas power generation system to local sewage treatment plant in Korea.</t>
  </si>
  <si>
    <t>Biogas recovery from sewage &amp; renewable energy generation process</t>
  </si>
  <si>
    <t>75 MW (Linde) solar PV plant</t>
  </si>
  <si>
    <t>To deploy appropriate financial mechanisms using carbon revenues_x000D_
and other incentives to subsidise the capital cost of efficient cook stoves and make these_x000D_
accessible to rural households for sustainable use</t>
  </si>
  <si>
    <t>Both</t>
  </si>
  <si>
    <t>Distribution of domestic fuel efficient cook stoves to 5000_x000D_
households</t>
  </si>
  <si>
    <t>To more performing and sustainable_x000D_
wastewater treatment systems for industries in Latin America and the Caribbean</t>
  </si>
  <si>
    <t>Biodigestion wastewater treatment system with methane recovery and combustion</t>
  </si>
  <si>
    <t>AquaLimpia Consultores7</t>
  </si>
  <si>
    <t>To reduce GHG emission by destroying methane contained in Ventilation Air Methane_x000D_
(VAM) emitted from coal mines in China</t>
  </si>
  <si>
    <t>Destruction of methane by oxidation in the VAM oxidizers and replacement of electricity from the CCPG</t>
  </si>
  <si>
    <t>To contribute to the sustainable development of South Africa, to reduce Greenhouse Gas (GHG) emissions and adverse environmental effects of landfill gas and to increase the use of renewable energy sources in South Africa</t>
  </si>
  <si>
    <t>Capture &amp; flaring of landfill gas, in phase two electricity production</t>
  </si>
  <si>
    <t>To establish a sustainable livestock waste management model that would significantly improve rural environment and reduce greenhouse gas emissions</t>
  </si>
  <si>
    <t>Biogas digester with utilization of methane for electricity production</t>
  </si>
  <si>
    <t>To apply carbon finance for small hydropower projects in rural areas</t>
  </si>
  <si>
    <t>3.2 MW run of river hydro power plant</t>
  </si>
  <si>
    <t>To decrease methane emissions to the atmosphere and to contribute to sustainable development through utilization of landfill gas</t>
  </si>
  <si>
    <t>LFG capture and flaring</t>
  </si>
  <si>
    <t>To increase the supply of renewable energy to the South African national grid from renewable wind energy resources on a commercially sustainable basis</t>
  </si>
  <si>
    <t>20 wind turbines of 2.5 MW</t>
  </si>
  <si>
    <t>Nordex</t>
  </si>
  <si>
    <t>To reduce CO2 emissions by disseminating efficient cook_x000D_
stoves throughout Côte d’Ivoire and Cameroon</t>
  </si>
  <si>
    <t>Dissemination of 10,143 energy efficient cook stoves</t>
  </si>
  <si>
    <t>Envirofit</t>
  </si>
  <si>
    <t>To encourage development of small scale grid-connected solar photovoltaic and solar thermal electricity technologies</t>
  </si>
  <si>
    <t>5.94 MW Solar PV power plant with 220 W modules</t>
  </si>
  <si>
    <t>To reduce CO2 emissions by disseminating efficient cook_x000D_
stoves throughout Democratic Republic of the Congo (DRC)</t>
  </si>
  <si>
    <t>12,749 affordable improved cook stoves</t>
  </si>
  <si>
    <t>To increase access to modern energy services in Tanzania</t>
  </si>
  <si>
    <t>A 10.71 MW run-of-the-river hydroelectric power plant</t>
  </si>
  <si>
    <t>To accelerate dissemination of biogas application in rural Bangladesh using micro-credit_x000D_
scheme</t>
  </si>
  <si>
    <t>Micro-type biogas digesters (typically, biogas generation_x000D_
capacity of 2.4–4.8 m3/day) and supply biogas for households in rural Bangladesh</t>
  </si>
  <si>
    <t>Ethanol stoves with a rated thermal capacity of 1.5 Kw, biogas stoves with a rated thermal capacity of 2.8 Kw, household water purifying kits, community water purification system</t>
  </si>
  <si>
    <t>To enable the large-scale distribution of high efficiency biomass cook stoves in several Sub-Saharan African countries</t>
  </si>
  <si>
    <t>CH2200 efficient stoves with average thermal efficiency of 38.2%</t>
  </si>
  <si>
    <t>To enable the large-scale distribution of high efficiency biomass cook stoves in several Sub-Saharan African countries.</t>
  </si>
  <si>
    <t>4000-5000 ICS</t>
  </si>
  <si>
    <t>To intensify investment in the MSW management sector by promoting sustainable landfill gas recovery practices for new or existing landfills</t>
  </si>
  <si>
    <t>A landfill gas recovery project with 600 kW installed electricity generation capacity</t>
  </si>
  <si>
    <t>To promote Energy Efficiency in Singapore’s building sector by_x000D_
replacing inefficient Chiller Plants with those of a more efficient design and technology</t>
  </si>
  <si>
    <t>Upgrading the existing air-cooled chiller plant and enhance its efficiency_x000D_
to a energy efficient coefficient of 0.59KW/TR</t>
  </si>
  <si>
    <t>6285-0001</t>
  </si>
  <si>
    <t>Run of river hydroplant of 2 MW, one Pelton turbine</t>
  </si>
  <si>
    <t>To retrofit the baseline steam turbines by using the current advanced steam_x000D_
turbine retrofit technology in the existing ZEG coal-fired power plants</t>
  </si>
  <si>
    <t>300MW sub-critical coal-fired power unit’s low-efficiency steam turbine retrofit</t>
  </si>
  <si>
    <t>To reduce the pollution potential of EFB and POME by implementing an aerobic_x000D_
composting process of these two palm oil mill waste streams</t>
  </si>
  <si>
    <t>Aerobic composting process of EFB and POME</t>
  </si>
  <si>
    <t>To abate greenhouse gas emissions through the avoided use of electricity_x000D_
and corresponding fossil fuel combustion</t>
  </si>
  <si>
    <t>Distribution and installation of LED lighting equipment</t>
  </si>
  <si>
    <t>To reduce greenhouse gas emissions from industrial wastewater treatment_x000D_
and promote the consumption of renewable energy by using biogas generated from wastewater treatment</t>
  </si>
  <si>
    <t>An anaerobic wastewater treatment system including methane_x000D_
recovery, flaring system and methane utilization for electricity generation</t>
  </si>
  <si>
    <t>To develop a platform for overcoming institutional, financial and structural hurdles for the construction of small hydropower projects</t>
  </si>
  <si>
    <t>2 x 3 MW run of river hydro plant</t>
  </si>
  <si>
    <t>To encourage the wide scale adoption of small hydro power plants, grid-connected_x000D_
renewable energy projects.</t>
  </si>
  <si>
    <t>6622-0001</t>
  </si>
  <si>
    <t>Newly built 19.8 MW hydro power plant</t>
  </si>
  <si>
    <t>To develop and coordinate project developers to replace kerosene-based lighting_x000D_
with approved Project Lamps</t>
  </si>
  <si>
    <t>LED lamps</t>
  </si>
  <si>
    <t>To develop and coordinate project developers to replace kerosene-based lighting with approved Project Lamps</t>
  </si>
  <si>
    <t>Replacement of kerosene used for lighting purposes with LED lamps</t>
  </si>
  <si>
    <t>Nokero</t>
  </si>
  <si>
    <t>To boost the use of renewable energy by domestic consumers and private companies of the RSA</t>
  </si>
  <si>
    <t>Installation of a solar electrical system, no larger than 0.15 MW</t>
  </si>
  <si>
    <t>Implementing biogas systems in developing_x000D_
countries</t>
  </si>
  <si>
    <t>2,752  manure-fed biogas systems and 4,128 organic waste-fed systems</t>
  </si>
  <si>
    <t>To install biogas systems in households, small and medium dairy farms (SMEs)</t>
  </si>
  <si>
    <t>6813-0001</t>
  </si>
  <si>
    <t>Biogas systems in small diary farms</t>
  </si>
  <si>
    <t>To develop a platform for overcoming institutional, financial and structural_x000D_
hurdles for the construction of a series of wind power projects</t>
  </si>
  <si>
    <t>22 1,800 kW wind turbines</t>
  </si>
  <si>
    <t>Vestas</t>
  </si>
  <si>
    <t>Denmark</t>
  </si>
  <si>
    <t>To ensure that all potential renewable energy projects from renewable_x000D_
biomass will be able to take part in the CDM</t>
  </si>
  <si>
    <t>10.5 MW biomass co-generation project conventional steam Rankine cycle.</t>
  </si>
  <si>
    <t>To develop a platform for overcoming institutional, financial and structural_x000D_
hurdles for the construction of a series of small hydroelectric power plants projects or increase the_x000D_
generation capacity of exiting power plants.</t>
  </si>
  <si>
    <t>8.4 MW run-of river hydropower project</t>
  </si>
  <si>
    <t>To increase renewable energy generation across East Africa</t>
  </si>
  <si>
    <t>1.18 MW run of river hydro plant</t>
  </si>
  <si>
    <t>To contribute to the development and promotion of grid connected wind_x000D_
farms</t>
  </si>
  <si>
    <t>5 wind turbines of 1.8 MW</t>
  </si>
  <si>
    <t>To replace kerosene-based lighting with specially designed PV LED systems to households without access to electricity</t>
  </si>
  <si>
    <t>PV LED systems</t>
  </si>
  <si>
    <t>Installing animal manure treatment systems with biogas recovery system and then to utilize the generated biogas as fuel to generate energy across Jiangxi Province</t>
  </si>
  <si>
    <t>Animal manure treatment systems with biogas recovery</t>
  </si>
  <si>
    <t>To encourage the development of grid connected solar PV power projects and increase the supply of renewable energy into the country’s electricity grid</t>
  </si>
  <si>
    <t>1 MW, poly crystalline or thin film PV solar panels</t>
  </si>
  <si>
    <t>Dissemination of 12749 affordable cookstoves</t>
  </si>
  <si>
    <t>Dissemination of 10143 affordable cookstoves</t>
  </si>
  <si>
    <t>To constitute a determinant incentive for_x000D_
private project promoters to implement small hydropower projects in Colombia</t>
  </si>
  <si>
    <t>9.1 MW run of river hydro plant</t>
  </si>
  <si>
    <t>To use microfinance to expand access to clean energy to millions of low income microentrepreneurs and households</t>
  </si>
  <si>
    <t>20,000 water purifiers, 60,435 solar laterns, 20,000 improved cook stoves</t>
  </si>
  <si>
    <t>Disposal of the MSW (Municipal solid waste) through incineration, and simultaneously recovering the thermal heat for power generation</t>
  </si>
  <si>
    <t>MSW Incineration for Power Generation</t>
  </si>
  <si>
    <t>To initiate at least 500 MW of wind power plant capacity by 2020</t>
  </si>
  <si>
    <t>19 wind turbines with an individual capacity of 900 kW each</t>
  </si>
  <si>
    <t>ENERCON</t>
  </si>
  <si>
    <t>To displace grid-connected, fossil fuel based electricity generation through the promotion of renewable energy based electricity generation in East Africa</t>
  </si>
  <si>
    <t>5MW run of river plant</t>
  </si>
  <si>
    <t>To identify as many sites as possible and to implement methane capture and utilisation and/or destruction to reduce the maximum amount of GHGs</t>
  </si>
  <si>
    <t>Enclosed flare for the combustion of methane from industrial wastewater</t>
  </si>
  <si>
    <t>To reduce GHG emission by destroying methane contained in Coal Mine Methane using CMM power generation units</t>
  </si>
  <si>
    <t>CMM power generation unit</t>
  </si>
  <si>
    <t>To support the development of renewable energy projects, specifically new grid connected run of river power plants</t>
  </si>
  <si>
    <t>3 mw run of river plant</t>
  </si>
  <si>
    <t>To increase dissemination of solar charged, LED based lighting applications at the domestic level, replacing the use of fossil fuels and associated lighting applications.</t>
  </si>
  <si>
    <t>Solar LED lamps</t>
  </si>
  <si>
    <t>To promote the implementation of LFG capture and usage_x000D_
projects in China by offering integrated financial, engineering and CDM services.</t>
  </si>
  <si>
    <t>LFG collection, transmission and pre-treatment system with subsequent electricity generation</t>
  </si>
  <si>
    <t>Efficient stoves, home insulation: ger blankets, vestibules</t>
  </si>
  <si>
    <t>To develop a platform which will assist the development of small-scale grid_x000D_
connected solar PV power plants in Thailand</t>
  </si>
  <si>
    <t>Sungen Thinfilm solar modules</t>
  </si>
  <si>
    <t>To make cleaner, more efficient improved cooking stoves more affordable and available to peri-urban and rural households across Zambia</t>
  </si>
  <si>
    <t>5300 domestic fuel efficient cooking stoves</t>
  </si>
  <si>
    <t>Reducing greenhouse gases emissions by disseminating fuelefficient_x000D_
charcoal and wood stoves throughout West Africa</t>
  </si>
  <si>
    <t>"Toyola Asuto" charcoal stoves</t>
  </si>
  <si>
    <t>Distribution and direct installation of water saving devices in lowincome_x000D_
urban households where water is heated via fossil fuel-fired and/or electric water heaters.</t>
  </si>
  <si>
    <t>Low-flow showerheads and faucet regulators</t>
  </si>
  <si>
    <t>To facilitate the transition away from inefficient conventional firewood stoves by providing high-efficiency and clean burning improved firewood cooking stoves</t>
  </si>
  <si>
    <t>Replacement of firewood stoves with ICS</t>
  </si>
  <si>
    <t>Envirovit</t>
  </si>
  <si>
    <t>To recover the methane generated from wastewater or sludge</t>
  </si>
  <si>
    <t>Coverage of the baseline open lagoon system and the potential utilization of the captured biogas</t>
  </si>
  <si>
    <t>To recover this biogas with or without of the option of putting the recovered biogas to productive use</t>
  </si>
  <si>
    <t>Anaerobic digesters with biogas recovery system</t>
  </si>
  <si>
    <t>To make modern LED based lighting technologies available to poor_x000D_
households in Africa and to expedite the phasing out of fossil fuel based lamps</t>
  </si>
  <si>
    <t>RE based LED systems, charged using Nuru PowerCycle</t>
  </si>
  <si>
    <t>To displace electricity consumption from the electricity grid, and/or from existing captive power plants, and/or fossil_x000D_
fuels directly consumed</t>
  </si>
  <si>
    <t>Cogeneration/trigeneration system</t>
  </si>
  <si>
    <t>To help meet Brazil’s rising demand for energy due (to economic_x000D_
growth) improving the supply of electricity and contributing to environmental, social and economic_x000D_
sustainability.</t>
  </si>
  <si>
    <t>Incineration plant</t>
  </si>
  <si>
    <t>Reducing energy consumption of building sector, Seoul becomes eco-friendly city by 2030, Reduce electricity based on coal, growing and strengthening the solar industry in Republic of Korea</t>
  </si>
  <si>
    <t>PV and BIPV system at 12 complexes</t>
  </si>
  <si>
    <t>To promote the program of centralized system of digesting organic wastes_x000D_
with methane recovery for energy use</t>
  </si>
  <si>
    <t>Anaerobic digestion and biogas recovery system</t>
  </si>
  <si>
    <t>To install HPs and SWHs in households and industry, thereby displacing carbon_x000D_
intensive electricity from the grid currently used to provide hot water.</t>
  </si>
  <si>
    <t>2250 heat pumps, 2250 solar water heaters, 500 hybrid solutions</t>
  </si>
  <si>
    <t>Installation of domestic biodigesters as a clean, sustainable energy_x000D_
source throughout India.</t>
  </si>
  <si>
    <t>Family-size biodigester together with a biogas-based cooking stove unit</t>
  </si>
  <si>
    <t>To facilitate the transition away from inefficient conventional woodfuel stoves by providing high-efficiency and clean burning improved woodfuel cooking stoves to local households.</t>
  </si>
  <si>
    <t>Replacement of conventional firewood stoves with higher efficiency ICS model Ecocina</t>
  </si>
  <si>
    <t>To reduce intensive fossil fuels</t>
  </si>
  <si>
    <t>15 PV power plant and 4 SWH systems</t>
  </si>
  <si>
    <t>To develop a platform for supporting the development of sustainable biomass_x000D_
power projects in Indonesia</t>
  </si>
  <si>
    <t>Circulating fluidized bed technology</t>
  </si>
  <si>
    <t>To displace electricity from the grid and/or fossil fuel utilization by the promotion_x000D_
of biogas based electricity and/or thermal energy generation systems and chemical fertilizer with organic_x000D_
fertilizer in DPR Korea,</t>
  </si>
  <si>
    <t>Biodigestion system to treat swine waste and the enclosed_x000D_
flaring/combustion system to destruct captured biogas</t>
  </si>
  <si>
    <t>To motivate existing ceramic plants and those to be built to adopt “BRST” measures to improve kiln energy efficiency by replacing, modifying or retrofitting existing kilns or purchasing new kilns</t>
  </si>
  <si>
    <t>Use of “Blackbody Radiation Strengthen Technology” (BRST) to modify ceramic kilns</t>
  </si>
  <si>
    <t>CFL distribution to households and emissions reductions</t>
  </si>
  <si>
    <t>Estimated collection and destruction of 549,500 ICLs with the replacement of the</t>
  </si>
  <si>
    <t>To develop a platform which will assist the development of small-scale grid_x000D_
connected solar PV power plants in Israel</t>
  </si>
  <si>
    <t>Silicon photovoltaic cells, installed in a_x000D_
modular fashion</t>
  </si>
  <si>
    <t>Developing wind and solar power plants to provide renewable energy to the South_x000D_
African grid and to reduce greenhouse gas emissions</t>
  </si>
  <si>
    <t>PV panels</t>
  </si>
  <si>
    <t>Large-scale adoption of heat retention cooking to domestic and nondomestic_x000D_
kitchens in specific Less Developed Countries</t>
  </si>
  <si>
    <t>Heat Retention Cooking device</t>
  </si>
  <si>
    <t>To promote and support the uptake of vertical shaft technology in the small and_x000D_
medium sized (SME) brick manufacturing industry in South Africa</t>
  </si>
  <si>
    <t>Vertical Shaft Brick Kilns</t>
  </si>
  <si>
    <t>To to enable livestock farmers in Sichuan to install anaerobic digesters on_x000D_
their farms in order to avoid methane emissions and utilize the captured_x000D_
biogas to replace electricity and thermal energy</t>
  </si>
  <si>
    <t>Biogas digester</t>
  </si>
  <si>
    <t>To reduce the use of fossil fuels in thermal energy production equipment and thus to reduce the CO2 emissions associated with the use of the thermal energy generation</t>
  </si>
  <si>
    <t>Fuel switch to biomass</t>
  </si>
  <si>
    <t>The generation of electricity through the utilization of the solar_x000D_
power potential in the UAE</t>
  </si>
  <si>
    <t>Thin-film panels in a modular fashion in 1 MW sub-plant blocks</t>
  </si>
  <si>
    <t>To provide electricity and meet the cooling and heat requirements of non industrial buildings in a more efficient and less carbon intensive way.</t>
  </si>
  <si>
    <t>Installation of a trigeneration system</t>
  </si>
  <si>
    <t>To improve the total energy efficiency of buildings by implementing a_x000D_
package of ECMs tailor-made to fit each building’s needs.</t>
  </si>
  <si>
    <t>Energy conservation measures for pumps, cooling towers, boilers, air handling units, chillers,_x000D_
lighting and heat recovery</t>
  </si>
  <si>
    <t>To assist the development of small hydro power plants (SHPPs) in the most economically vulnerable areas in Macedonia: rural, undeveloped areas with high rate of unemployment.</t>
  </si>
  <si>
    <t>3.023 MW run-of-the river plant</t>
  </si>
  <si>
    <t>To achieve energy efficiency and develop a platform for overcoming_x000D_
regulatory, institutional, financial and structural hurdles for the roll-out of energy efficient projects</t>
  </si>
  <si>
    <t>Lighting replacement/ redesign (layout), change to high efficiency motor (AHU motor and</t>
  </si>
  <si>
    <t>To reduce greenhouse gas emissions through the installation of gridconnected_x000D_
wind power plants in Kenya</t>
  </si>
  <si>
    <t>Wind turbines</t>
  </si>
  <si>
    <t>To reduce greenhouse gas emissions through the installation of gridconnected_x000D_
wind power plants in South Africa</t>
  </si>
  <si>
    <t>To displace grid-connected, fossil fuel based electricity generation through the promotion of renewable energy based electricity generation in South Africa,</t>
  </si>
  <si>
    <t>1998 trackers, each of them with 23 PV modules with a nominal power of  240 Wp each, total a 45,954 PV modules</t>
  </si>
  <si>
    <t>Promote and support RE</t>
  </si>
  <si>
    <t>135.000 PV panels 185 W each</t>
  </si>
  <si>
    <t>Decrease methane emissions from anaerobic decay, Reduction of waste quantities, Generation of high quality compost as valuable material for different activities…</t>
  </si>
  <si>
    <t>Windrow composting</t>
  </si>
  <si>
    <t>To develop a platform for overcoming institutional, financial and structural hurdles for the construction of small hydropower projects.</t>
  </si>
  <si>
    <t>Enhancing the outreach and increasing penetration as well as usage of Solar water heating technology as a clean and sustainable energy solution to meet the low temperature hot water requirement</t>
  </si>
  <si>
    <t>Solar Water Heaters</t>
  </si>
  <si>
    <t>To reduce the greenhouse gas (GHG) emissions from palm oil mills by the installation of biogas recovery system and destroying the biogas generated</t>
  </si>
  <si>
    <t>Collection system with biogas flaring system</t>
  </si>
  <si>
    <t>To encourage photovoltaic (PV) power generation activities in the Republic of_x000D_
Korea and produce the renewable energy-based electricity that will be provided to the national grid.</t>
  </si>
  <si>
    <t>Polycrystal 260 W solar panels</t>
  </si>
  <si>
    <t>To support the large scale commercialization of energy efficient_x000D_
cooking devices in the SADC region</t>
  </si>
  <si>
    <t>24000 Energy Efficient Cook Stoves (EECS)</t>
  </si>
  <si>
    <t>To develop a platform for overcoming institutional, financial and structural hurdles for the construction of a series of small hydro projects.</t>
  </si>
  <si>
    <t>A small-scale run-of river (ROR) hydroelectric power station with an installed capacity of 12 MW</t>
  </si>
  <si>
    <t>To reduce the greenhouse gas (GHG) emissions from solid waste landfills by_x000D_
capturing and destroying the LFG produced</t>
  </si>
  <si>
    <t>A landfill gas collection and flaring system on the Trang Cat 2 Landfill.</t>
  </si>
  <si>
    <t>To increase dissemination of solar charged LED lamps for lighting applications at the domestic level.</t>
  </si>
  <si>
    <t>A ToughStuff kit, consisting of the solar panel and the LED lamp</t>
  </si>
  <si>
    <t>To assist the development of small hydro power plants (SHPPs) in the most economically vulnerable areas in Macedonia</t>
  </si>
  <si>
    <t>3.0233 MW run-of-the river plant</t>
  </si>
  <si>
    <t>To develop a platform for overcoming institutional and financial_x000D_
barriers for the construction of a series of small-scale solar PV projects by searching for financial support.</t>
  </si>
  <si>
    <t>180 MWp monocrystalline silicon solar cells</t>
  </si>
  <si>
    <t>To provide the necessary incentives to industrial consumers of residual fuel oil to undertake a fuel switch to a low-carbon fuel: liquefied petroleum gas (LPG)</t>
  </si>
  <si>
    <t>Replacing residual fuel oil with liquefied petroleum gas (LPG).</t>
  </si>
  <si>
    <t>Baltur</t>
  </si>
  <si>
    <t>Italy</t>
  </si>
  <si>
    <t>Ransome</t>
  </si>
  <si>
    <t>To transfer technology and know-how for the_x000D_
conversion of a widely available renewable energy source, solar energy, into clean, sustainable electricity.</t>
  </si>
  <si>
    <t>133,056 solar panels with a total installed capacity of around 9MW</t>
  </si>
  <si>
    <t>Tibet stoves</t>
  </si>
  <si>
    <t>Solar water heating systems+CFLs</t>
  </si>
  <si>
    <t>10 MW PV panels, inverters and transformers</t>
  </si>
  <si>
    <t>New hydroelectric power plant in an existing reservoir</t>
  </si>
  <si>
    <t>Several arrays of photovoltaic panels</t>
  </si>
  <si>
    <t>Jinko Solar</t>
  </si>
  <si>
    <t>Baker technology</t>
  </si>
  <si>
    <t>34,816 solar panels (240Wp each) grouped in 64 sun-following devices</t>
  </si>
  <si>
    <t>Polycrystalline silicon solar cells</t>
  </si>
  <si>
    <t>EE transformers</t>
  </si>
  <si>
    <t>Landfill gas collection and combustion</t>
  </si>
  <si>
    <t>Co-composting of palm oil waste</t>
  </si>
  <si>
    <t>Eco-Zoom</t>
  </si>
  <si>
    <t>Composting of organic waste</t>
  </si>
  <si>
    <t>General Electrics</t>
  </si>
  <si>
    <t>Cadmium telluride (CdTe) thin-film solar modules</t>
  </si>
  <si>
    <t>Promotion of RE</t>
  </si>
  <si>
    <t>4 PV units</t>
  </si>
  <si>
    <t>Electricity generation from rE</t>
  </si>
  <si>
    <t>Steam turbine</t>
  </si>
  <si>
    <t>Reduction of CO2 emissions</t>
  </si>
  <si>
    <t>Improved cook stoves</t>
  </si>
  <si>
    <t>Sabah Enamel &amp; Stove Industry</t>
  </si>
  <si>
    <t>Turkey</t>
  </si>
  <si>
    <t>Increasing share of RE</t>
  </si>
  <si>
    <t>Six 1,65 MW wind turbines</t>
  </si>
  <si>
    <t>Development of RE projects</t>
  </si>
  <si>
    <t>Polycrystalline photovoltaic panels</t>
  </si>
  <si>
    <t>Reduction of methane emissions</t>
  </si>
  <si>
    <t>Sorting and aerobic-design composting</t>
  </si>
  <si>
    <t>Promote development of RE projects</t>
  </si>
  <si>
    <t>445,500 solar modules</t>
  </si>
  <si>
    <t>SMA</t>
  </si>
  <si>
    <t>Increased use of RE+displace fossil fuels</t>
  </si>
  <si>
    <t>Co-generation plant</t>
  </si>
  <si>
    <t>Babcock &amp; Wilcox</t>
  </si>
  <si>
    <t>Energent</t>
  </si>
  <si>
    <t>Supporting the development ofsustainable management of SWDSs and spread MOL technology in Chile</t>
  </si>
  <si>
    <t>Methane oxidation layer</t>
  </si>
  <si>
    <t>Contribution to local environment and sustainable development</t>
  </si>
  <si>
    <t>Coalbed methane well, flaring, combustioon and pipeline distribution</t>
  </si>
  <si>
    <t>Nationwide change to energy efficient lighting and provide cheaper energy</t>
  </si>
  <si>
    <t>Icimi Ltd</t>
  </si>
  <si>
    <t>Reduced EE consumption through EE in buildings</t>
  </si>
  <si>
    <t>Improved insulation and efficient cooling systems</t>
  </si>
  <si>
    <t>Promote implementation of LFG captura and usage</t>
  </si>
  <si>
    <t>LFG collection, transmission and pre-treatment system, with subsequent electricity generation</t>
  </si>
  <si>
    <t>Promote the development of rural hydropower resources</t>
  </si>
  <si>
    <t>A dam, division tunnel, penstock, powerhouse and substation</t>
  </si>
  <si>
    <t>Facilotate development of small scale RE projects</t>
  </si>
  <si>
    <t>Rice husk fired power plant</t>
  </si>
  <si>
    <t>Avoiding methane emissions from Municipal Waste landfills</t>
  </si>
  <si>
    <t>Landfill gas collection and flaring/use system</t>
  </si>
  <si>
    <t>Installing animal manure treatment systems with biogas recovery system</t>
  </si>
  <si>
    <t>Manure treatment systems with biogas recovery system and electricity generation</t>
  </si>
  <si>
    <t>Reducing greenhouse gas emissions through the installation of energy efficiency ventilation fans</t>
  </si>
  <si>
    <t>EE ventilation fans</t>
  </si>
  <si>
    <t>Promote the investment on Small Hydro Plants (SHPs)</t>
  </si>
  <si>
    <t>Run of river plant</t>
  </si>
  <si>
    <t>to support the development and implementation of PV renewable electricity generation facilities in South Africa</t>
  </si>
  <si>
    <t>Solar panels</t>
  </si>
  <si>
    <t>to make cleaner, more efficient improved cook stoves more affordable and available to peri-urban and rural households,</t>
  </si>
  <si>
    <t>Ecozoom Dura ICS</t>
  </si>
  <si>
    <t>To install fuel efficient cooking stoves throughout Zambia</t>
  </si>
  <si>
    <t>ICS</t>
  </si>
  <si>
    <t>To make cleaner, more efficient improved cooking stoves using renewable biomass affordable and available to households</t>
  </si>
  <si>
    <t>EcoZoom Dura ICS</t>
  </si>
  <si>
    <t>To reduce greenhouse gas emissions through the implementation of energy efficiency measures in the compressed air system</t>
  </si>
  <si>
    <t>To provide renewable energy into the respective East African grid systems and reduce greenhouse gas_x000D_
(“GHG”) emissions</t>
  </si>
  <si>
    <t>1.5 MW wind turbines</t>
  </si>
  <si>
    <t>improve the indoor air pollution and reduce harmful GHG emission evolved into the atmosphere</t>
  </si>
  <si>
    <t>ICS in 11242 households</t>
  </si>
  <si>
    <t>To promote the widespread use of improved biomass cookstoves in India by making them available to the households and community institutions across India</t>
  </si>
  <si>
    <t>CHULIKA ICS in 21500 households</t>
  </si>
  <si>
    <t>Increasing the use of solar water heaters (SWH) in residential and commercial facilities throughout Lebanon</t>
  </si>
  <si>
    <t>1000 SWH of a typical aperture are of 2.8 m2</t>
  </si>
  <si>
    <t>GFL</t>
  </si>
  <si>
    <t>To support the development of new grid-connected renewable energy power plants in India</t>
  </si>
  <si>
    <t>To promote the development of_x000D_
renewable energy and facilitate the abatement of greenhouse gas emissions through replacement of fossil_x000D_
fuel based electricity in Albania and Serbia</t>
  </si>
  <si>
    <t>2 hydro power units in the run-of-river hydro power plant</t>
  </si>
  <si>
    <t>To reduce the use of fossil fuels in thermal energy production equipment</t>
  </si>
  <si>
    <t>Switch from coal to biomass briquettes</t>
  </si>
  <si>
    <t>26 wind turbines</t>
  </si>
  <si>
    <t>To promote the total capacity of solar power in Qinghai province to 4000MW at the end of 2015 and reach 10GW in 2020</t>
  </si>
  <si>
    <t>To develop a platform for overcoming hurdles for establishment of new RE plants or increasing generation capacity for the existing ones</t>
  </si>
  <si>
    <t>Enercon</t>
  </si>
  <si>
    <t>To promote advanced wastewater treatment for FIRA's clients, and all_x000D_
participants in agro-industrial sectors that generate methane emissions</t>
  </si>
  <si>
    <t>scaling up the deployment of solar lanterns</t>
  </si>
  <si>
    <t>Solar laterns</t>
  </si>
  <si>
    <t>to provide electricity primarily in the off-grid villages of India for_x000D_
lighting purpose, by producing power from a surplus renewable source rice husk</t>
  </si>
  <si>
    <t>to promote the development of grid-connected electricity generation_x000D_
from wind energy in Chile</t>
  </si>
  <si>
    <t>13 wind turbines of 1.5 MW</t>
  </si>
  <si>
    <t>Goldwind</t>
  </si>
  <si>
    <t>to reduce greenhouse gas emissions from wastewater treatment and promote the consumption of renewable energy by using biogas</t>
  </si>
  <si>
    <t>to help low-income households in_x000D_
Nigeria switch from the use of less efficient fuels such as kerosene, charcoal and firewood to_x000D_
LPG</t>
  </si>
  <si>
    <t>Liquefied Petroleum Gas (LPG) cook stoves</t>
  </si>
  <si>
    <t>To collect biogas which is currenty discharged into the atmosphere and using for power generation</t>
  </si>
  <si>
    <t>Wastewater treatment, biogas collection and utilization</t>
  </si>
  <si>
    <t>Promote RE development in Shandong</t>
  </si>
  <si>
    <t>to generate thermal and/or electricity generation by_x000D_
utilizing renewable biomass</t>
  </si>
  <si>
    <t>45 TPH (design specification) biomass boiler,</t>
  </si>
  <si>
    <t>To promote the development of grid-connected electricity generation_x000D_
from solar energy source in Chile</t>
  </si>
  <si>
    <t>To support the development and implementation of large-scale renewable energy projects in South Africa</t>
  </si>
  <si>
    <t>33 Goldwind GW100/2500 turbines, capacity of 2.5 MW each</t>
  </si>
  <si>
    <t>To reduce greenhouse gas (GHG) emissions from fossil fuel and to impact the health and quality of life of residents</t>
  </si>
  <si>
    <t>Electric tricycles</t>
  </si>
  <si>
    <t>To promote, encourage and expand more green vehicles to be used in the host country as an alternative to the current conventional vehicles.</t>
  </si>
  <si>
    <t>2 new LNG powered offshore support vessels (OSV)</t>
  </si>
  <si>
    <t>Wartsila</t>
  </si>
  <si>
    <t>Finland</t>
  </si>
  <si>
    <t>To replace fossil fuel fired equipment or energy supply source and to encourage the use of renewable energy and waste energy by implementation</t>
  </si>
  <si>
    <t>Vacuum collector tube solar water heaters with the total installed collection area of 1,033.2 m2</t>
  </si>
  <si>
    <t>To develop grid connected CSP and PV power generation facilities in South Africa.</t>
  </si>
  <si>
    <t>To reduce the greenhouse gas (GHG) emissions from solid waste landfills by_x000D_
capturing and destroying the landfill gas (LFG) produced</t>
  </si>
  <si>
    <t>LFG collection system and flaring system</t>
  </si>
  <si>
    <t>To develop a platform for overcoming institutional, financial and structural_x000D_
hurdles for the implementation of freight transport based on rail systems</t>
  </si>
  <si>
    <t>Shift from road transportation using trucks to rail_x000D_
transportation</t>
  </si>
  <si>
    <t>To reduce the greenhouse gas (GHG) emissions from solid waste landfills by_x000D_
capturing and destroying the landfill gas (LFG)</t>
  </si>
  <si>
    <t>A a gas collection network, an extraction and flaring station including high temperature enclosed flare and_x000D_
monitoring and control systems</t>
  </si>
  <si>
    <t>To develop an organised framework for_x000D_
developing its Wind energy projects in India</t>
  </si>
  <si>
    <t>25 number of Wind turbine generators of Inox make of 2 MW</t>
  </si>
  <si>
    <t>Inox</t>
  </si>
  <si>
    <t>To promote the development of renewable energy and facilitate the abatement of_x000D_
greenhouse gas (GHG) emissions</t>
  </si>
  <si>
    <t>6 MW run-of river hydro plant</t>
  </si>
  <si>
    <t>To promote the development of renewable energy and facilitate the abatement of greenhouse gas (GHG) emissions</t>
  </si>
  <si>
    <t>5.7 MW run-of river hydro plant</t>
  </si>
  <si>
    <t>To support the development and implementation of small-scale renewable energy projects in_x000D_
South Africa</t>
  </si>
  <si>
    <t>Amonix</t>
  </si>
  <si>
    <t>To reduce the carbon emission by allowing the families to purify the water avoiding dependency on biomass or fossil fuel</t>
  </si>
  <si>
    <t>Low/zero greenhouse gas emitting water purifications system</t>
  </si>
  <si>
    <t>To contribute to the development and promotion of grid connected wind farms</t>
  </si>
  <si>
    <t>12 2500 kW wind turbines</t>
  </si>
  <si>
    <t>Avantis</t>
  </si>
  <si>
    <t>To facilitate the installation of Wind Turbine Generators to generate electricity from renewable wind energy source by providing access to carbon revenu</t>
  </si>
  <si>
    <t>5 numbers of 2000 kW each Kenersys make Wind Turbine Genertors</t>
  </si>
  <si>
    <t>Kenersys</t>
  </si>
  <si>
    <t>To enable livestock farmers in Anhui Province, Jiangsu Province and Yunan Province to install animal manure treatment systems with recovery of biogas and the utilization of the generated biogas as fuel for energy generation</t>
  </si>
  <si>
    <t>Manure treatment system, biogas recovery system and biogas utilization system</t>
  </si>
  <si>
    <t>To increase renewable energy generation across East Africa by providing_x000D_
access to the carbon market to project implementers.</t>
  </si>
  <si>
    <t>Kyocera modules, with a power rating of 240 Wp</t>
  </si>
  <si>
    <t>Kyocera</t>
  </si>
  <si>
    <t>Japan</t>
  </si>
  <si>
    <t>SME</t>
  </si>
  <si>
    <t>Introducing wide-scale adoption of efficient charcoal cooking to kitchens in Sub-Saharan Africa through the design or adoption of a design, manufacture, distribution, sale and after-sale support of efficient charcoal stoves</t>
  </si>
  <si>
    <t>Pulamusa1 stoves developed by ProBEC in Zambia</t>
  </si>
  <si>
    <t>CookClean Ghana Limited</t>
  </si>
  <si>
    <t>Integrating interrelated technologies that focus in reducing the impacts of the land use, forestry, agriculture and_x000D_
energy consumption sectors</t>
  </si>
  <si>
    <t>Encouraging the use of natural gas in place of fuel oils and M/SMEs development and capacity building, and Encouraging sustainability practices in M/SMEs operation, and Mobilization of investments in the environmental sector</t>
  </si>
  <si>
    <t>To reduce the amount of greenhouse gas (GHG)</t>
  </si>
  <si>
    <t>Use of enclosed anaerobic digester tanks based on UASB type digesters with floating gas holders with no external water seal</t>
  </si>
  <si>
    <t>To reduce greenhouse gas emissions through the roll out of energy efficient water heating technologies in South Africa which displace the consumption of fossil fuels or electricity</t>
  </si>
  <si>
    <t>Solar water heating_x000D_
systems and heat pumps</t>
  </si>
  <si>
    <t>To reduce electricity consumption and GHG emissions by installing appropriate Variable-frequency Drives on pumps, fans and other motor equipments in plants</t>
  </si>
  <si>
    <t>Installation of Variable-frequency Drives</t>
  </si>
  <si>
    <t>Dongfang Hitachi</t>
  </si>
  <si>
    <t>To heat retention cooking in kitchens throughout South Africa</t>
  </si>
  <si>
    <t>Installation of the heat retention cooker (HRC) in up to 70 000 kitchens</t>
  </si>
  <si>
    <t>Natural Balance</t>
  </si>
  <si>
    <t>To improve energy efficiency and reduce carbon foot print of manufacturing_x000D_
industries in Pakistan, UAE and Egypt by implementing energy optimization solutions</t>
  </si>
  <si>
    <t>Optimized steam and water usage solutions through use of iWater and iBoiler solutions</t>
  </si>
  <si>
    <t>To encourage small scale renewable energy power generation.</t>
  </si>
  <si>
    <t>5 kW PV panels</t>
  </si>
  <si>
    <t>Small-scale run-of-river hydropower plant</t>
  </si>
  <si>
    <t>Replacement of inefficient traditional charcoal stoves in the Republic of Haiti (Haiti) with efficient EcoRecho stoves</t>
  </si>
  <si>
    <t>EcoRecho cook stoves</t>
  </si>
  <si>
    <t>D&amp;E</t>
  </si>
  <si>
    <t>To develop CPAs involving implementation of covered lagoons or biogesters and capture and combust methane</t>
  </si>
  <si>
    <t>Controlled anaerobic treatment of POME in a biogas plant for recovery of_x000D_
methane and power generator sets of 1.8 MW</t>
  </si>
  <si>
    <t>The promotion and support the implementation, replacement or retrofit of_x000D_
power-and-heat plants, utilizing biomass residues as primary fuel</t>
  </si>
  <si>
    <t>Two new high-pressure boilers at_x000D_
110 bar and two turbo-alternators for the generation of 91 MW of electricity</t>
  </si>
  <si>
    <t>To facilitate the implementation of renewable energy projects</t>
  </si>
  <si>
    <t>33.4MW wind farm</t>
  </si>
  <si>
    <t>To increase the supply of renewable energy to the Moroccan national grid from renewable wind energy</t>
  </si>
  <si>
    <t>131 WTGs with a capacity of 2.3 MW each.</t>
  </si>
  <si>
    <t>Siemens Wind Power</t>
  </si>
  <si>
    <t>To promote sustainable development_x000D_
of livestock management system by implementing new animal waste management systems technologies_x000D_
(AWMS) for the reduction of GHG emissions.</t>
  </si>
  <si>
    <t>Closed anaerobic digester with biogas capture and electricity generation</t>
  </si>
  <si>
    <t>The photovoltaic (PV) light emitting diode (LED) system</t>
  </si>
  <si>
    <t>Estimated collection and destruction of 1,000,000 incandescent lamps (ICLs) with the replacement of the same number of CFLs.</t>
  </si>
  <si>
    <t>To replace approximately 65 million household incandescent lamps (ICLs) with equal number of energy efficient, self-ballasted, compact fluorescent lamps (CFLs)</t>
  </si>
  <si>
    <t>Estimated collection and destruction of 1,000,000 incandescent lamps (ICLs) with the replacement of the same number of CFLs</t>
  </si>
  <si>
    <t>To replace approximately 60 million household incandescent lamps (ICLs) with equal number of energy efficient, self-ballasted, compact fluorescent lamps (CFLs)</t>
  </si>
  <si>
    <t>To replace approximately 150 million household incandescent lamps (ICLs) with equal number of energy efficient, self-ballasted, compact fluorescent lamps (CFLs)</t>
  </si>
  <si>
    <t>To replace approximately 35 million household incandescent lamps (ICLs) with equal number of energy efficient, self-ballasted, compact fluorescent lamps (CFLs)</t>
  </si>
  <si>
    <t>To replace approximately 55 million household incandescent lamps (ICLs) with equal number of energy efficient, self-ballasted, compact fluorescent lamps (CFLs)</t>
  </si>
  <si>
    <t>To replace approximately 50 million household incandescent lamps (ICLs) with equal number of energy efficient, self-ballasted, compact fluorescent lamps (CFLs)</t>
  </si>
  <si>
    <t>To supply renewable energy to the Pakistani National Electric Grid</t>
  </si>
  <si>
    <t>208350 solar modules of 240Wp</t>
  </si>
  <si>
    <t>The recovery and use of the gas being combusted in flares in oil fields</t>
  </si>
  <si>
    <t>Gas collection, pre-treatment, cleaning and compression for its further distribution</t>
  </si>
  <si>
    <t>Improving public health in Eastern Africa</t>
  </si>
  <si>
    <t>EcoZoom high-efficiency, family-sized cook stoves and life straw</t>
  </si>
  <si>
    <t>Vestergaard Frandsen</t>
  </si>
  <si>
    <t>To avoid greenhouse-gas emissions resulting from venting and flaring_x000D_
of associated gases from producing oil fields</t>
  </si>
  <si>
    <t>Gas compression facility and gas gathering infrastructure_x000D_
installed in the company.</t>
  </si>
  <si>
    <t>To use carbon finance for small hydropower projects in Armenia</t>
  </si>
  <si>
    <t>install a SWH in residential as well as commercial buildings throughout India.</t>
  </si>
  <si>
    <t>SWH systems with a total surface area of 52,685 m2</t>
  </si>
  <si>
    <t>Nuetech</t>
  </si>
  <si>
    <t>Investment;Other;Prevailing practice</t>
  </si>
  <si>
    <t>To enhance energy efficiency in the public pumping and irrigation sector throughout Egypt via rehabilitation and maintenance of old stations.</t>
  </si>
  <si>
    <t>Rehabilitation of water pumping station</t>
  </si>
  <si>
    <t>To abate greenhouse gas emissions through the avoided use of electricity and corresponding fossil fuel combustion</t>
  </si>
  <si>
    <t>5000 LED streetlights</t>
  </si>
  <si>
    <t>A widespread dissemination and use of low-carbon water purification technologies.</t>
  </si>
  <si>
    <t>Ultra Filtration Systems, Silver-treated Ceramic Filters, Solar Powered UV Treatment</t>
  </si>
  <si>
    <t>Promote installation of CFL and removal of ICL bulbs in domestic sector, Reduce power demand and peak load on power grid and Abate greenhouse gas emissions</t>
  </si>
  <si>
    <t>Installation of CFLs to 5000 households</t>
  </si>
  <si>
    <t>Expand the use of renewable energy technologies, reduce ghg emissions, Reduce the disposal of organic waste to landfill, Optimise the recovery of materials from organic waste for beneficial use</t>
  </si>
  <si>
    <t>Treatment of municipal sewage sludge by way of anaerobic digestion (AD)</t>
  </si>
  <si>
    <t>To distribute over 1 million low emission water purification units</t>
  </si>
  <si>
    <t>To reduce greenhouse gases emissions by disseminating fuelefficient_x000D_
charcoal and wood stoves throughout West Africa</t>
  </si>
  <si>
    <t>“Toyola Asuto” charcoal stoves for households</t>
  </si>
  <si>
    <t>Toyola Energy</t>
  </si>
  <si>
    <t>Natural gas cogeneration system with an installed capacity of 1.98_x000D_
MW and an overall efficiency of 86.8 %</t>
  </si>
  <si>
    <t>Gas transport system and combustion through 14 power generators of 750kW</t>
  </si>
  <si>
    <t>PoA0394</t>
  </si>
  <si>
    <t>Ambio Participações Ltda.</t>
  </si>
  <si>
    <t>To use the CDM incentives to promote the investment on Small_x000D_
Hydro Plants (SHPs)</t>
  </si>
  <si>
    <t>CPA0394.01</t>
  </si>
  <si>
    <t>ALUPAR Renewable Energy Programme Version 01</t>
  </si>
  <si>
    <t>A new run-of-river hydro power plant of 23 MW</t>
  </si>
  <si>
    <t>PoA0395</t>
  </si>
  <si>
    <t>Energy Efficient Stoves Program (EESP)</t>
  </si>
  <si>
    <t>To distribute and install fuel efficient cook stoves at a subsidised price to rural_x000D_
households cooking with firewood.</t>
  </si>
  <si>
    <t>CPA0395.01</t>
  </si>
  <si>
    <t>Energy Efficient Stoves Program CPA 1</t>
  </si>
  <si>
    <t>Oromia</t>
  </si>
  <si>
    <t>30,000 energy efficient cooking stoves_x000D_
to households</t>
  </si>
  <si>
    <t>PoA0396</t>
  </si>
  <si>
    <t>Solar Energy and Energy Efficiency in Africa</t>
  </si>
  <si>
    <t>Environmental Intermediaries_x000D_
&amp; Trading Group Limited</t>
  </si>
  <si>
    <t>To provide households with a range of initiatives that either_x000D_
displace existing electricity use with solar sources and/or introduce energy efficient technology</t>
  </si>
  <si>
    <t>AMS-I.J.+AMS-II.C.+AMS-I.D.</t>
  </si>
  <si>
    <t>CPA0396.01</t>
  </si>
  <si>
    <t>Solridge Solar Water Heating System</t>
  </si>
  <si>
    <t>Four Calpak model 150/300 solar water hearing units</t>
  </si>
  <si>
    <t>PoA0397</t>
  </si>
  <si>
    <t>For Stoves Programme of Activities</t>
  </si>
  <si>
    <t>For Stoves Ltd</t>
  </si>
  <si>
    <t>To utilize the financial mechanism such as carbon finance so that the efficient cook stoves are accessible to the communities</t>
  </si>
  <si>
    <t>CPA0397.01</t>
  </si>
  <si>
    <t>CPA 001 – Efficient Maasai stoves in Monduli district of Tanzania</t>
  </si>
  <si>
    <t>18,700 efficient Maasai stoves</t>
  </si>
  <si>
    <t>PoA0398</t>
  </si>
  <si>
    <t>Mangrove Restoration Program in Senegal</t>
  </si>
  <si>
    <t>Livelihoods Fund</t>
  </si>
  <si>
    <t>To restore degraded wetlands</t>
  </si>
  <si>
    <t>AR-AMS3+AR-AM14</t>
  </si>
  <si>
    <t>Ernst &amp; Young</t>
  </si>
  <si>
    <t>CPA0398.01</t>
  </si>
  <si>
    <t>Oceanium Mangrove Restoration campaign 2010; ID: Mangrove Restoration Program in Senegal-CPA/001</t>
  </si>
  <si>
    <t>Sine Saloum and Casamance deltas</t>
  </si>
  <si>
    <t>Establishment of 4,267 ha of mangrove plantations in 2010 on currently degraded wetlands in the Sine Saloum and Casamance deltas</t>
  </si>
  <si>
    <t>Kuwait</t>
  </si>
  <si>
    <t>Atmosfair, BORDA, Zhejiang University</t>
  </si>
  <si>
    <t>RCEE, Vietnams Ministry of Industry and Trade</t>
  </si>
  <si>
    <t>United Premas</t>
  </si>
  <si>
    <t>AMBIO</t>
  </si>
  <si>
    <t>3 Rocks Ltd.</t>
  </si>
  <si>
    <t>Jiangxi Gaoxin Clean Energy development Co.</t>
  </si>
  <si>
    <t>EX Corporation</t>
  </si>
  <si>
    <t>Frontier Carbon, Illumination Headquarters</t>
  </si>
  <si>
    <t>SinoCarbon Innovation &amp; Investment</t>
  </si>
  <si>
    <t>Emergent Ventures</t>
  </si>
  <si>
    <t>Alternative Energy Promotion Center</t>
  </si>
  <si>
    <t>CarbonSoft</t>
  </si>
  <si>
    <t>KIS Group</t>
  </si>
  <si>
    <t>State Academy of Science in Pyongyang</t>
  </si>
  <si>
    <t>Perspectives</t>
  </si>
  <si>
    <t>EcoRessources Carbono</t>
  </si>
  <si>
    <t>KOE Environmental Consultancy</t>
  </si>
  <si>
    <t>Blue World Carbon</t>
  </si>
  <si>
    <t>Endesa</t>
  </si>
  <si>
    <t>Fichtner</t>
  </si>
  <si>
    <t>Besalco</t>
  </si>
  <si>
    <t>Shared Value Africa</t>
  </si>
  <si>
    <t>ECLAC</t>
  </si>
  <si>
    <t>Wilmar International</t>
  </si>
  <si>
    <t>Do-Inc.</t>
  </si>
  <si>
    <t>Deloitte &amp; Touche</t>
  </si>
  <si>
    <t>GFA Consulting Group, Carbon BW Colombia</t>
  </si>
  <si>
    <t>Energy Marketers</t>
  </si>
  <si>
    <t>Ecoener</t>
  </si>
  <si>
    <t>ToughStuff</t>
  </si>
  <si>
    <t>Repsol</t>
  </si>
  <si>
    <t>Solarpack</t>
  </si>
  <si>
    <t>Carbonding Climate Community</t>
  </si>
  <si>
    <t>Balderrie</t>
  </si>
  <si>
    <t>Green World Campaign</t>
  </si>
  <si>
    <t>SLR Consulting</t>
  </si>
  <si>
    <t>Carbon United</t>
  </si>
  <si>
    <t>WayCarbon</t>
  </si>
  <si>
    <t>SolarChile</t>
  </si>
  <si>
    <t>Full Advantage</t>
  </si>
  <si>
    <t>Ministry of Water and Electricity Saudi Arabia</t>
  </si>
  <si>
    <t>American Orient Capital Partners</t>
  </si>
  <si>
    <t>Nedbank</t>
  </si>
  <si>
    <t>Sardar Swaran Singh National Institute of Renewable Energy</t>
  </si>
  <si>
    <t>enso hydro</t>
  </si>
  <si>
    <t>ReNew Wind Energy</t>
  </si>
  <si>
    <t>AM Eolica Laguna Verde</t>
  </si>
  <si>
    <t>Public Electricity Corporation of Yemen</t>
  </si>
  <si>
    <t>WB-CF, Public Electricity Corporation of Yemen</t>
  </si>
  <si>
    <t>Johnsons Controls</t>
  </si>
  <si>
    <t>Chinese Academy of Social Sciences, Beijing Oriental Carbon Credits Environmental Technologies</t>
  </si>
  <si>
    <t>Winrock</t>
  </si>
  <si>
    <t>Swiss Carbon Asset</t>
  </si>
  <si>
    <t>HED Consulting, C Quest Capital</t>
  </si>
  <si>
    <t>To provide households with electricity which have no access to the_x000D_
power grid by implementing Solar Home Systems (SHS)</t>
  </si>
  <si>
    <t>Bundle of estimated4 205,000 units of Solar Home Systems (SHS)</t>
  </si>
  <si>
    <t>Promoting sustainable_x000D_
development among swine producers</t>
  </si>
  <si>
    <t>Biodigesters with biogas combustion</t>
  </si>
  <si>
    <t>Promotion of renewable energy technologies across commercial and public oriented buildings, or residential buildings, with large scale hot water consumption</t>
  </si>
  <si>
    <t>To transform the energy efficiency of Mexico’s residential lighting stock by_x000D_
distributing up to 30 million compact fluorescent lamps (CFLs) to households</t>
  </si>
  <si>
    <t>Distribution of free Compact Fluorescent Lamps (CFLs)</t>
  </si>
  <si>
    <t>Financial;Other</t>
  </si>
  <si>
    <t>To avoid methane emissions from Municipal waste landfills by undertaking composting of the wastes and using the organic matter in wastes as humus for soil conditioning and plant growth</t>
  </si>
  <si>
    <t>Aerobic composting facility</t>
  </si>
  <si>
    <t>To promote energy efficient lighting in newly electrified households in rural_x000D_
areas of Senegal</t>
  </si>
  <si>
    <t>Energy-Efficient lighting using Compact Fluorescent Light Bulbs</t>
  </si>
  <si>
    <t>To develop a platform for overcoming_x000D_
institutional, financial and structural hurdles for the construction of a series of small hydroprojects in Honduras</t>
  </si>
  <si>
    <t>1.15 MW run of river plant</t>
  </si>
  <si>
    <t>To install around 30,000 SWH per year in households, thereby_x000D_
displacing carbon intensive electricity from the grid and fossil fuels currently used to provide hot water in_x000D_
the households</t>
  </si>
  <si>
    <t>14,690 solar water heaters (SWH)</t>
  </si>
  <si>
    <t>11,706 solar water heaters (SWH)</t>
  </si>
  <si>
    <t>13,729 solar water heaters (SWH)</t>
  </si>
  <si>
    <t>14,669 solar water heaters (SWH)</t>
  </si>
  <si>
    <t>15,604 solar water heaters (SWH)</t>
  </si>
  <si>
    <t>14,103 solar water heaters (SWH)</t>
  </si>
  <si>
    <t>To promote energy saving through replacements of existing systems with high energy_x000D_
efficiency systems at production processes within instant coffee production</t>
  </si>
  <si>
    <t>Replacing absorption refrigerators with a mechanical refrigerator</t>
  </si>
  <si>
    <t>Solar water heating (SWH) systems</t>
  </si>
  <si>
    <t>Reduction of green house gases by providing renewable mechanical_x000D_
energy for irrigation to rural farmers which would otherwise be supplied by diesel pumps</t>
  </si>
  <si>
    <t>Dissemination of 65 hydraulic ram pumps (“hydrams”)</t>
  </si>
  <si>
    <t>To replace ICLs amongst residential users in India with quality long-life CFLs</t>
  </si>
  <si>
    <t>548,300 CFLs</t>
  </si>
  <si>
    <t>701,502 CFLs</t>
  </si>
  <si>
    <t>695,766 CFLs</t>
  </si>
  <si>
    <t>500,792 CFLs</t>
  </si>
  <si>
    <t>499,920 CFLs</t>
  </si>
  <si>
    <t>531,908 CFLs</t>
  </si>
  <si>
    <t>598,590 CFLs</t>
  </si>
  <si>
    <t>600,836 CFLs</t>
  </si>
  <si>
    <t>442,758 CFLs</t>
  </si>
  <si>
    <t>552,260 CFLS</t>
  </si>
  <si>
    <t>708,540 CFLs</t>
  </si>
  <si>
    <t>788,320 CFLs</t>
  </si>
  <si>
    <t>631,216 CFLs</t>
  </si>
  <si>
    <t>477,668 CFLs</t>
  </si>
  <si>
    <t>812,378 CFLs</t>
  </si>
  <si>
    <t>675,534 CFLs</t>
  </si>
  <si>
    <t>453,620 CFLs</t>
  </si>
  <si>
    <t>581,460 CFLs</t>
  </si>
  <si>
    <t>726,656 CFLs</t>
  </si>
  <si>
    <t>784,704 CFLs</t>
  </si>
  <si>
    <t>849,592 CFLs</t>
  </si>
  <si>
    <t>635,000 CFLs</t>
  </si>
  <si>
    <t>620,000 CFLs</t>
  </si>
  <si>
    <t>582,784 CFLs</t>
  </si>
  <si>
    <t>625,000 CFLs</t>
  </si>
  <si>
    <t>444,239 CFLs</t>
  </si>
  <si>
    <t>379,819 CFLs</t>
  </si>
  <si>
    <t>408,675 CFLs</t>
  </si>
  <si>
    <t>487,962 CFLs</t>
  </si>
  <si>
    <t>472,894 CFLs</t>
  </si>
  <si>
    <t>530,700 CFLs</t>
  </si>
  <si>
    <t>525,200 CFLs</t>
  </si>
  <si>
    <t>512,59 CFLs</t>
  </si>
  <si>
    <t>471,182 CFLs</t>
  </si>
  <si>
    <t>548,786 CFLs</t>
  </si>
  <si>
    <t>452,006 CFLs</t>
  </si>
  <si>
    <t>530,762 CFLs</t>
  </si>
  <si>
    <t>480,411 CFLs</t>
  </si>
  <si>
    <t>473,604 CFLs</t>
  </si>
  <si>
    <t>371,667 CFLs</t>
  </si>
  <si>
    <t>434,765 CFLs</t>
  </si>
  <si>
    <t>536,722 CFLs</t>
  </si>
  <si>
    <t>473,082 11 and 18 W CFLs</t>
  </si>
  <si>
    <t>423,190 11 and 18 W CFLs</t>
  </si>
  <si>
    <t>500,885 11 and 18 W CFLs</t>
  </si>
  <si>
    <t>546,854 11 and 18 W CFLs</t>
  </si>
  <si>
    <t>439,827 11 and 18 W CFLs</t>
  </si>
  <si>
    <t>To displace fossil fuel utilization for thermal energy generation by the Promotion of_x000D_
Biomass Based Heat Generation Systems in India, thereby reducing GHG emissions</t>
  </si>
  <si>
    <t>Biomass boiler using biomass briquettes</t>
  </si>
  <si>
    <t>Thermax</t>
  </si>
  <si>
    <t>Biomass boiler using rice husk</t>
  </si>
  <si>
    <t>Biomass boiler using rice and mustard husk</t>
  </si>
  <si>
    <t>Biomass boiler using rice husk and bagasse</t>
  </si>
  <si>
    <t>Dissemination of efficient_x000D_
cooking stoves in Bangladesh</t>
  </si>
  <si>
    <t>Dissemination of 38167 improved cooking stoves</t>
  </si>
  <si>
    <t>Introducing large-scale adoption of heat retention cooking to_x000D_
predominantly domestic and kitchens in South Africa</t>
  </si>
  <si>
    <t>5174-0001</t>
  </si>
  <si>
    <t>Wonderbag Heat Retention Cookers</t>
  </si>
  <si>
    <t>To support the enforcement of Traffic Law #121 (2008),4 thereby improving air quality, reducing greenhouse gas emissions, and improving overall road safety in Egypt</t>
  </si>
  <si>
    <t>Monitored scrapping and recycling of old vehicles in exchange for financial incentives</t>
  </si>
  <si>
    <t>To to reduce CO2 emissions from coal used in cooking and methane emissions from swine manure management by_x000D_
installing small-scale biogas digesters in approximately 210,000 households in Hunan Province</t>
  </si>
  <si>
    <t>Small-scale biogas digesters in 30,000_x000D_
households</t>
  </si>
  <si>
    <t>To improve the supply side energy efficiency of the grid by replacing in advance the baseline transformers with over 150,000 project transformers and to reduce the electricity losses</t>
  </si>
  <si>
    <t>In-advance replacements of 1,100 transformers</t>
  </si>
  <si>
    <t>In-advance replacements of 8,662 transformers</t>
  </si>
  <si>
    <t>In-advance replacements of 9,289 transformers</t>
  </si>
  <si>
    <t>In-advance replacements of 9,570 transformers</t>
  </si>
  <si>
    <t>To reduce GHG emissions by installing waste heat fired vapour_x000D_
absorption machine for the process requirement</t>
  </si>
  <si>
    <t>Utilising Waste Heat in Vapour Absorption Machine</t>
  </si>
  <si>
    <t>To improve the quality of supply and technical efficiency of the electricity sector of Yemen</t>
  </si>
  <si>
    <t>Replacing transmission lines and upgrading of distribution feeder cables</t>
  </si>
  <si>
    <t>To improve the livestock waste management practice, reduce GHG emissions, and take advantage of the captured renewable energy of livestock farms in different areas of Thailand.</t>
  </si>
  <si>
    <t>Flow closed anaerobic treatment digesters with biogas capture and power generation</t>
  </si>
  <si>
    <t>To develop a platform for supporting the development_x000D_
of composting and co-composting plants in Indonesia in order to reduce organic waste and associated_x000D_
pollution generated by palm oil mills</t>
  </si>
  <si>
    <t>Diverting the EFBs and POME to a controlled aerobic composting plant</t>
  </si>
  <si>
    <t>N0</t>
  </si>
  <si>
    <t>To develop a platform for supporting the_x000D_
development of sustainable small hydropower projects in Indonesia</t>
  </si>
  <si>
    <t>1.1 MW run of river hydropower plant</t>
  </si>
  <si>
    <t>Implementing household biogas applications</t>
  </si>
  <si>
    <t>20,000 biogas digesters</t>
  </si>
  <si>
    <t>To reduce greenhouse gases that are released to the atmosphere by dumping of organic waste</t>
  </si>
  <si>
    <t>Atmosfair, BORDA</t>
  </si>
  <si>
    <t>15 Material Recovery Facilities (MRFs)</t>
  </si>
  <si>
    <t>To develop a platform for supporting the development_x000D_
of small hydropower projects in Viet Nam.</t>
  </si>
  <si>
    <t>6 MW run of river hydropower plant</t>
  </si>
  <si>
    <t>To plant 15,000 hectares of multi-species tropical forest plantations in Nicaragua over the next five years</t>
  </si>
  <si>
    <t>Reforestation with teak and native species for sustainable commercial forestry</t>
  </si>
  <si>
    <t>To introduce wastewater methane recovery systems in piggeries that are using open anaerobic systems to treat their wastewater</t>
  </si>
  <si>
    <t>Anaerobic digestion system with methane recovery and combustion</t>
  </si>
  <si>
    <t>To reduce energy loss in the electricity distribution system for the agriculture sector and hence to increase the amount of available energy in the State</t>
  </si>
  <si>
    <t>Upgrading the existing 3-phase 400V Low Voltage Distribution System (LVDS) with an 11kV HVDS</t>
  </si>
  <si>
    <t>Financial;Investment</t>
  </si>
  <si>
    <t>To accelarate the diffusion of EE chiller technology in India</t>
  </si>
  <si>
    <t>Installation of 33 EE chillers</t>
  </si>
  <si>
    <t>To remove barriers to the large scale use of CFLs by distributing 28 million CFLs and collecting equivalent amount of ICLs from about 12 million households in Bangladesh, urban and rural</t>
  </si>
  <si>
    <t>Exchange of 810,000 incandescent lamps (ICLs) with compact fluorescent lamps (CFLs)</t>
  </si>
  <si>
    <t>To install SWH in residential as well as commercial buildings throughout India</t>
  </si>
  <si>
    <t>Solar Water Heataers</t>
  </si>
  <si>
    <t>To transform fuel-efficiency of Mexico’s traditional residential cooking_x000D_
systems by distributing up to 50,000 stoves to households each year</t>
  </si>
  <si>
    <t>Financial;Investment;Other</t>
  </si>
  <si>
    <t>To set up 600,000 biogas plants (digesters) and their_x000D_
auxiliary facilities for gas collection and gas use</t>
  </si>
  <si>
    <t>1021 biogas digesters and their auxiliary facilities for gas collection and gas use</t>
  </si>
  <si>
    <t>To increase the supply of electricity to the Vietnam national grid from renewable energy resources primarily hydro on a commercially sustainable basis</t>
  </si>
  <si>
    <t>18 MW run of river hydropower plant</t>
  </si>
  <si>
    <t>To transform the fuel-efficiency of Guatemala’s traditional home cooking_x000D_
systems by distributing up to 470,000 efficient stoves to households</t>
  </si>
  <si>
    <t>Installation of 751 ONIL Stoves</t>
  </si>
  <si>
    <t>To set up 225,000 biogas digesters and_x000D_
their auxiliary facilities for gas collection and gas use</t>
  </si>
  <si>
    <t>2,600 biogas digesters and their auxiliary facilities_x000D_
for gas collection and gas use</t>
  </si>
  <si>
    <t>Implementing Solid Waste_x000D_
composting in towns and urban local bodies in state of Rajasthan of India</t>
  </si>
  <si>
    <t>Facility for treatment of MSW through composting technology</t>
  </si>
  <si>
    <t>To reduce GHG emissions from fossil fuels used by installing biogas digesters in households in_x000D_
Vietnam</t>
  </si>
  <si>
    <t>Domestic biogas digesters</t>
  </si>
  <si>
    <t>To disseminate domestic biogas micro-digesters in the Chongqing rural area through demonstrating well-established_x000D_
technical approaches and innovative business model utilizing a carbon benefit from CDM</t>
  </si>
  <si>
    <t>Installations of 756 Biogas Micro-digesters and related equipments</t>
  </si>
  <si>
    <t>To reduce CO2 emissions in SA through the avoidance of electricity generated for the purposes of heating water for domestic use</t>
  </si>
  <si>
    <t>To transform the energy efficiency of El Salvador‟s residential and scholar cooking stoves</t>
  </si>
  <si>
    <t>Efficient sooking stoves</t>
  </si>
  <si>
    <t>Spain</t>
  </si>
  <si>
    <t>To help achieve Energy Efficiency and reduce consumption of electricity in_x000D_
Singapore in turn leading to a reduction in GHG emissions from burning of fossil fuels from_x000D_
power generation</t>
  </si>
  <si>
    <t>Achieving an energy efficiency coefficient of 0.65kw/TR_x000D_
or better in chiller plants of buildings</t>
  </si>
  <si>
    <t>To manufacture and distribute energy efficient CFLs to replace or avoid usage of ILs</t>
  </si>
  <si>
    <t>To supply, install, and finance solar water heaters to provide hot water services for low income households in South Africa</t>
  </si>
  <si>
    <t>To improve the energy efficiency of residential lighting stock by distributing up to_x000D_
13 million CFLs to households</t>
  </si>
  <si>
    <t>2.228 million high quality Compact Fluorescent Lamps (CFLs)</t>
  </si>
  <si>
    <t>Other;Prevailing practice;Technological</t>
  </si>
  <si>
    <t>To address waste regulations in the Philippines, by encouraging its compliance through participation of implementers in the program</t>
  </si>
  <si>
    <t>Collection of landfill gas (LFG) and its flare and use for energy generation</t>
  </si>
  <si>
    <t>To significantly contribute towards energy efficiency measures by reducing the_x000D_
consumption of electricity in building cooling systems</t>
  </si>
  <si>
    <t>To make an Eco-Industrial Park targeting five regional industrial sites</t>
  </si>
  <si>
    <t>Re-cycling waste heat water from dyeing complex and installations the heat pump</t>
  </si>
  <si>
    <t>Significant reduction of GHG emissions_x000D_
compared with what would occur in the absence of the project and to promote sustainability in the cattle_x000D_
livestock industry, generating social, environmental and economic benefits</t>
  </si>
  <si>
    <t>Composting plant and the use of wastewater for co-composting</t>
  </si>
  <si>
    <t>To provide the necessary incentives to small and medium-sized_x000D_
industrial consumers of residual fuel oil to undertake a fuel switch to a low-carbon fuel: liquefied_x000D_
petroleum gas (LPG)</t>
  </si>
  <si>
    <t>Replacing residual fuel oilwith LPG</t>
  </si>
  <si>
    <t>Algas</t>
  </si>
  <si>
    <t>Baltas</t>
  </si>
  <si>
    <t>To help Brazil to fulfill its goals of promoting sustainable development</t>
  </si>
  <si>
    <t>Biodigester and flare technology</t>
  </si>
  <si>
    <t>To enhance the energy efficiency of public streetlight in Korea through application of efficient LED lighting</t>
  </si>
  <si>
    <t>LED (Light Emitting Diode) lamp in streetlight</t>
  </si>
  <si>
    <t>To avoid methane emissions from Municipal waste landfills in Morocco by promoting landfill gas (LFG) capture and flaring or utilization projects</t>
  </si>
  <si>
    <t>LFG collection use and flaring</t>
  </si>
  <si>
    <t>To develop a platform for overcoming institutional, financial and structural hurdles for the construction of a series of small hydro projects</t>
  </si>
  <si>
    <t>To significantly contribute towards energy efficiency measures by reducing the_x000D_
consumption of electricity in building lighting systems</t>
  </si>
  <si>
    <t>Replacement of existing luminaires with more_x000D_
energy efficient “Light Emitting Diodes”</t>
  </si>
  <si>
    <t>To implement the rural household biogas digester programme taking on board the_x000D_
financial institutions, farmers and local NGOs</t>
  </si>
  <si>
    <t>Biogas digester units at the_x000D_
household level</t>
  </si>
  <si>
    <t>To promote the implementation of LFG capture and combustion/energy generation/distribution systems through the CDM to mitigate the GHG emissions</t>
  </si>
  <si>
    <t>LFG collection system with capture of biogas to generate electricity</t>
  </si>
  <si>
    <t>To reduce a large amount of greenhouse gases (GHG) by facilitating the installation_x000D_
of a large number of household biogas digesters</t>
  </si>
  <si>
    <t>1,000 household biogas systems</t>
  </si>
  <si>
    <t>Fuel switch from residual fuel oil to low-carbon fuel: liquefied petroleum gas_x000D_
(LPG).</t>
  </si>
  <si>
    <t>To introduce cleaner, more efficient improved cooking stoves (ICS) to many_x000D_
peri-urban and rural households across Nigeria</t>
  </si>
  <si>
    <t>Financial;Investment;Prevailing practice</t>
  </si>
  <si>
    <t>To make improved cook stoves (ICS) affordable and available to low and medium income households across East Africa</t>
  </si>
  <si>
    <t>7014-0001</t>
  </si>
  <si>
    <t>―Okelo Kuc‖ brand of charcoal improved cook stoves (ICS)</t>
  </si>
  <si>
    <t>To enhance the penetration of efficient cookstoves by offering cost-effective efficient stoves</t>
  </si>
  <si>
    <t>“SAVE80” efficient cooking stoves</t>
  </si>
  <si>
    <t>Envirofit G3300 and possibly_x000D_
also the M5000 cooking stoves</t>
  </si>
  <si>
    <t>To reduce a significant amount of GHG emissions from the palm oil_x000D_
mills in Malaysia</t>
  </si>
  <si>
    <t>High Efficiency Wastewater Fermentation System with biogas recovery</t>
  </si>
  <si>
    <t>15,939 domestic fuel-efficient stoves by 3 Rocks Ltd</t>
  </si>
  <si>
    <t>3 Rocks Ltd</t>
  </si>
  <si>
    <t>To develop a platform to overcome institutional, financial and structural_x000D_
hurdles for the construction of a series of new unburnt brick plants</t>
  </si>
  <si>
    <t>Unburnt brick production</t>
  </si>
  <si>
    <t>To improve the quality of life of rural farmers, particularly women, and their livelihoods in Pakistan_x000D_
through exploiting the market and non-market benefits of domestic biogas</t>
  </si>
  <si>
    <t>Digesters with energy production</t>
  </si>
  <si>
    <t>Promoting sustainable development by reducing GHG emissions through_x000D_
the implementation of technologies and design measures which will improve the energy_x000D_
performance and reduce electricity and/or gas use in new residences</t>
  </si>
  <si>
    <t>EE and RE generation for residence buildings</t>
  </si>
  <si>
    <t>To contribute to the sustainable development of South Africa and to transform the_x000D_
energy efficiency of South Africa’s installed base of lighting applications.</t>
  </si>
  <si>
    <t>Light Emitting Diode (LED) lighting devices in mining and petrochemical plant activities</t>
  </si>
  <si>
    <t>Netherlands</t>
  </si>
  <si>
    <t>To construct and distribute approximately 300,000 efficient cooking stoves free-of-charge_x000D_
to rural households cooking with firewood in Kenya</t>
  </si>
  <si>
    <t>Fuel-efficient cooking stoves</t>
  </si>
  <si>
    <t>To develop a platform for overcoming institutional, financial and structural hurdles for the construction of a series of small scale grid connected solar power projects in India</t>
  </si>
  <si>
    <t>PV power of 15 MW - through grid connected solar PV based energy generation units of 1 MW</t>
  </si>
  <si>
    <t>Efficient use of electricity through adoption of CFLs in residential applications</t>
  </si>
  <si>
    <t>Distrubution of 1,100,000CFLs</t>
  </si>
  <si>
    <t>To distribute around 30 million CFLs mainly covering the rural area of Jiangsu Province.</t>
  </si>
  <si>
    <t>Distribution of 1039545 CFLs</t>
  </si>
  <si>
    <t>To reduce GHG emission by destroying methane contained in Ventilation Air Methane (VAM) emitted from coal mines in China</t>
  </si>
  <si>
    <t>VAM oxidizers for destruction of VAM</t>
  </si>
  <si>
    <t>To “co-benefit” both the global environmental aim to reduce greenhouse gas_x000D_
(hereafter, “GHG”) emissions, as well as the local socio-economic needs through implementation of_x000D_
renewable biomass thermal energy generation</t>
  </si>
  <si>
    <t>Utilization of Gliricidia that has not been_x000D_
utilized and has been left to decay in fields for thermal power generation</t>
  </si>
  <si>
    <t>To contribute to lessen deforestation and improve environment of target rural_x000D_
municipaalities and households through consuming municipal wastes and improving household indoor air_x000D_
quality</t>
  </si>
  <si>
    <t>Commercial biogas digesters to supply biogas for thermal usage</t>
  </si>
  <si>
    <t>To supply, install, and finance solar water heaters to provide hot_x000D_
water services for low income households in South Africa</t>
  </si>
  <si>
    <t>Solar water heaters</t>
  </si>
  <si>
    <t>To replace kerosene-based lighting with purpose designed solar lamps in_x000D_
Tanzania</t>
  </si>
  <si>
    <t>Series of LEDs (“Light Emitting Diode”), with a rechargeable battery and a photovoltaic panel</t>
  </si>
  <si>
    <t>Supplying natural renewable energy system to public sector.</t>
  </si>
  <si>
    <t>Photovoltaic systems and solar water heating systems to public buildings</t>
  </si>
  <si>
    <t>Investment;Methodological;Prevailing practice;Technological</t>
  </si>
  <si>
    <t>26,979 EE “Toyola Asuto” charcoal stove to households</t>
  </si>
  <si>
    <t>To transform the energy efficiency of South Africa’s low income residential households by distributing low pressure gravity feed solar water heaters to the households</t>
  </si>
  <si>
    <t>Installation of low pressure vacuum tube solar water heaters in 7000 households</t>
  </si>
  <si>
    <t>To abate a significant amount of GHG emission from the new and existing buildings by_x000D_
employing geothermal technology based space heating and/or cooling system_x000D_
buildings by employing renewable energy technologies</t>
  </si>
  <si>
    <t>Water source geothermal pump based space heating and/or cooling system</t>
  </si>
  <si>
    <t>1.34 MW run of rover hudropower plant</t>
  </si>
  <si>
    <t>Financial;Other;Prevailing practice</t>
  </si>
  <si>
    <t>Supplying renewable energy system to Jeju Island</t>
  </si>
  <si>
    <t>Photovoltaic systems, wind_x000D_
power plants and small hydro power plants</t>
  </si>
  <si>
    <t>To construct MSW(Municipal Solid Waste)-based compost production facilities mainly in Western Province and produce bio-compost to be applied in the agricultural farms</t>
  </si>
  <si>
    <t>To develop at least 100 MW of biomass power in Thailand during its_x000D_
28 years of lifetime</t>
  </si>
  <si>
    <t>9.9MW biomass power plant</t>
  </si>
  <si>
    <t>To develop a platform that can support the development of sustainable, small hydropower projects in the region</t>
  </si>
  <si>
    <t>1.473 MW run of river plant</t>
  </si>
  <si>
    <t>Financial;Investment;Other;Prevailing practice;Technological</t>
  </si>
  <si>
    <t>Deployment of energy efficient lighting systems in the households and planned market transformation leading to climate mitigation in a sustainable manner</t>
  </si>
  <si>
    <t>Distribution of 388,616 CFLs</t>
  </si>
  <si>
    <t>Biogas digester utilizing biogas to generate electricity and heat energy</t>
  </si>
  <si>
    <t>To increase renewable energy generation in the energy mix in Malaysia by promoting_x000D_
biomass residue (co-)fired power-only plants, either for power utilization or grid connection</t>
  </si>
  <si>
    <t>Biomass-residue-fuelled power-only plant of 13 MW</t>
  </si>
  <si>
    <t>To reduce de-forestation, as the renewable energy will be used to replace nonrenewable_x000D_
biomasses consumed in the households and also to improve indoor air quality</t>
  </si>
  <si>
    <t>120 micro hydro power generators (capacity of each is 3kW)</t>
  </si>
  <si>
    <t>To develop small-scale biomass power plants in communities by using wood residues from FIO‟s plantations and available agricultural residues in the project area as fuel</t>
  </si>
  <si>
    <t>Gasification based power project with an installed capacity of 1 MW</t>
  </si>
  <si>
    <t>Providing purified water to people</t>
  </si>
  <si>
    <t>Solarwave solar water purification equipment</t>
  </si>
  <si>
    <t>To achieve energy efficiency through the replacement of equipment at commercial,_x000D_
industrial and public buildings and infrastructure in Colombia</t>
  </si>
  <si>
    <t>Energy efficient lamps and voltage regulators</t>
  </si>
  <si>
    <t>To construct and distribute approximately 300,000 efficient cooking stoves free-ofcharge_x000D_
to rural households cooking with firewood in Uganda</t>
  </si>
  <si>
    <t>Fule efficient stoves</t>
  </si>
  <si>
    <t>Installation of Light Emitting Diode (LED) lamps</t>
  </si>
  <si>
    <t>Mabanaft</t>
  </si>
  <si>
    <t>Foreign-Assisted and Special Projects Office of the Department of Environment and Natural Resources (DENR-FASPO)</t>
  </si>
  <si>
    <t>6119-0001</t>
  </si>
  <si>
    <t>Steam generation through anaerobic treatment of biodegradable waste</t>
  </si>
  <si>
    <t>To distribute around 50 million CFLs, replacing low efficient ICLs, mainly covering the rural area of Sichuan Province and to reduce the electricity consumed by local residents</t>
  </si>
  <si>
    <t>To further the access of households and communities to clean and safe drinking water,_x000D_
by promoting low greenhouse gas emitting water purification technologies</t>
  </si>
  <si>
    <t>Gravity-Driven ultrafiltration Membranes (GDM)</t>
  </si>
  <si>
    <t>6095-0001</t>
  </si>
  <si>
    <t>Botswana, Lesotho, Mozambique, Namibia, Swaziland, Zambia, Zimbabwe</t>
  </si>
  <si>
    <t>Ethiopia, Uganda, Rwanda, Kenya, Zambia, Mozambique, Madagascar, Zimbabwe</t>
  </si>
  <si>
    <t>Guatemala, Costa Rica, Nicaragua</t>
  </si>
  <si>
    <t>Tanzania, Uganda, Zimbabwe</t>
  </si>
  <si>
    <t>Angola, Botswana, DR Congo, Lesotho, Madagascar, Mauritius, Malawi, Mozambique, Namibia, Seychelles, Swaziland, Tanzania, Zambia, Zimbabwe</t>
  </si>
  <si>
    <t>Burundi, Ethiopia, Rwanda, Tanzania, Uganda</t>
  </si>
  <si>
    <t>Dominican Republic, Guatemala</t>
  </si>
  <si>
    <t>Antigua and Barbuda, Barbados, Bahamas, Cuba, Dominican Republic, Fiji, Grenada, Haiti, Jamaica, Saint Lucia, Maldives, Malaysia, Panama, Papua New Guinea, Philippines, Solomon Islands, Singapore, Trinidad and Tobago, Samoa</t>
  </si>
  <si>
    <t>United Arab Emirates, Albania, Armenia, Argentina, Azerbaijan, Bosnia and Herzegovina, Bangladesh, Bahrain, Bolivia, Brazil, Bhutan, Belize, Chile, China, Costa Rica, Cyprus, Ecuador, Georgia, Guatemala, Guyana, Hunduras, Israel, Iran, Jordan</t>
  </si>
  <si>
    <t>A&amp;T Carbon Asset CO.</t>
  </si>
  <si>
    <t>Biogas digesters with utilization of methane for energy production</t>
  </si>
  <si>
    <t>Burundi, Kenya, Sudan, Tanzania</t>
  </si>
  <si>
    <t>Angola, Burkina Faso, Benin, Democratic Republic of the Congo, Côte d`Ivoire, Cameroon, Ethiopia, Ghana, Guinea, Kenya, Mauritania, Niger, Nigeria, Senegal, Chad, Togo</t>
  </si>
  <si>
    <t>Rwanda, Uganda</t>
  </si>
  <si>
    <t>Mozambique, Zimbabwe, Botswana, Namibia, Zambia, Malawi, Angola</t>
  </si>
  <si>
    <t>Burkina Faso, Senegal, Mali</t>
  </si>
  <si>
    <t>6913-0001</t>
  </si>
  <si>
    <t>7191-0001</t>
  </si>
  <si>
    <t>Qatar, United Arab Emirates, Oman, Egypt</t>
  </si>
  <si>
    <t>14 MW Run of river plant</t>
  </si>
  <si>
    <t>Angola, Botswana, Congo DR, Lesotho, Madagascar, Mauritius, Mozambique, Namibia, Seychelles, Swaziland, United Republic of Tanzania, South Africa, Zambia, Zimbabwe</t>
  </si>
  <si>
    <t>Bangladesh, Bhutan, Indonesia, Cambodia, Laos, Sri Lanka, Myanmar, Pakistan, Vietnam</t>
  </si>
  <si>
    <t>To install the efficient cooking stoves or_x000D_
retrofit traditional stoves in rural households of Sichuan Province</t>
  </si>
  <si>
    <t>To promote sustainable development and, in particular, a sustainable use of energy in the housing sector in Mexico</t>
  </si>
  <si>
    <t>Albania, Bahrain, Cyprus, Egypt, Jordan, Kuwait, Lebanon, Libya, Morocco, Oman, Pakistan, Qatar, Saudi Arabia, Tunisia</t>
  </si>
  <si>
    <t>To facilitate the development of renewable energy projects in the_x000D_
host countries</t>
  </si>
  <si>
    <t>Angola, DR Congo, Lesotho, Mozambique, Namibia, Swaziland, Zambia, Zimbabwe</t>
  </si>
  <si>
    <t>To support the development of hydroelectricity renewable energy generation units in the countries that form part of the Southern African Power Pool (SAPP)</t>
  </si>
  <si>
    <t>To establish a CDM framework to which solar power projects can be added as CPAs thus overcoming some political and financial barriers that solar park developers face in the RSA</t>
  </si>
  <si>
    <t>To supply natural renewable energy system to public sector</t>
  </si>
  <si>
    <t>PV systems to buildings</t>
  </si>
  <si>
    <t>To achieve widespread distribution and effective use of efficient cooking_x000D_
technologies in low-income rural and urban households as well as institutions</t>
  </si>
  <si>
    <t>To incentivize the development of small scale renewable energy projects</t>
  </si>
  <si>
    <t>To develop a platform for overcoming institutional and financial_x000D_
barriers for the construction of a series of solar PV projects by searching for financial support</t>
  </si>
  <si>
    <t>To install high energy efficient transformers across national_x000D_
electricity distribution grids</t>
  </si>
  <si>
    <t>To contribute to sustainable development within Cape Town Municipality</t>
  </si>
  <si>
    <t>To introduce a zero-waste concept to palm oil mills by introducing an advanced technology for co-composting</t>
  </si>
  <si>
    <t>Ghana, Nigeria, Zambia</t>
  </si>
  <si>
    <t>To make cleaner, more efficient improved cook stoves more affordable and_x000D_
available to urban, peri-urban and rural households, across the African continent</t>
  </si>
  <si>
    <t>To develop a platform for supporting the development of composting plants in_x000D_
Chile in order to reduce organic waste and associated pollution generated by the MSW and/or OIW</t>
  </si>
  <si>
    <t>To deliver renewable electricity to the National Interconnected System (Sistema Interligado Nacional - SIN) by means of the implementation of_x000D_
Greenfield plants</t>
  </si>
  <si>
    <t>28.8 MW Wind power plant</t>
  </si>
  <si>
    <t>To bring a vital clean energy resource to Chile that currently has little PV development</t>
  </si>
  <si>
    <t>United Arab Emirates, Albania, Bahrain, Egypt, Jordan, Kuwait, Lebanon, Libya, Morocco, Mauritius, Oman, Pakistan, Qatar, Tunisia</t>
  </si>
  <si>
    <t>United Arab Emirates, Egypt, Oman, Qatar</t>
  </si>
  <si>
    <t>Angola, Burkina Faso, Benin, Côte d`Ivoire, Cameroon, Ethiopia, Kenya, Liberia, Nigeria, Sierra Leone, Senegal, Togo</t>
  </si>
  <si>
    <t>Zambia, Malawi</t>
  </si>
  <si>
    <t>Compressed air energy efficiency</t>
  </si>
  <si>
    <t>Installation of Energy Efficient Cookstoves in Umtata, Butterworth, King Williams town and Mqanduli_x000D_
in Eastern Cape, South Africa: CPA 001</t>
  </si>
  <si>
    <t>Crystalline technology based solar photo voltaic modules</t>
  </si>
  <si>
    <t>Zimbabwe, Botswana</t>
  </si>
  <si>
    <t>Polycrystalline silicon solar cells of total capacity of 20 MW</t>
  </si>
  <si>
    <t>32 wind turbine generators (WTG) with individual capacity of 800 kW</t>
  </si>
  <si>
    <t>Enclosed anaerobic reactors with biogas recovery</t>
  </si>
  <si>
    <t>Gas based generators, 30 units of 32-100 kW, total capacity 960 kw</t>
  </si>
  <si>
    <t>Covered bio digester with methane collection point</t>
  </si>
  <si>
    <t>Seven modules of polycrystalline silicon solar cells with total capacity of 7.084 MW</t>
  </si>
  <si>
    <t>Photovoltaic panels made of polycrystalline, total capacity 75 MW_x000D_
cells</t>
  </si>
  <si>
    <t>CSP parabolic trough technology, total capacity 100 MW</t>
  </si>
  <si>
    <t>19.52 MW csp plant with 40 units, each with an AC capacity of (+/-5%) of 68 KW at PTC</t>
  </si>
  <si>
    <t>Burundi, Rwanda, Uganda</t>
  </si>
  <si>
    <t>Five wind turbine generators (WTG) to a total installed capacity of 10MW</t>
  </si>
  <si>
    <t>Small-scale biodigesters coupled with an end-use thermal application</t>
  </si>
  <si>
    <t>LFO to NG: Bakery oven, fuel oil storage tanks, fuel oil supply lines and fuel oil burners</t>
  </si>
  <si>
    <t>Diffusion of renewable energy use in Seoul</t>
  </si>
  <si>
    <t>24 kw solar pv system</t>
  </si>
  <si>
    <t>Run of river hydropower plant of 1.183 MW</t>
  </si>
  <si>
    <t>To supply, install, and finance solar water heaters to provide hot_x000D_
water services for low income households in South Africa and to reduce GHG emissions</t>
  </si>
  <si>
    <t>Distribution of 21,000 LifeStraw® Family units</t>
  </si>
  <si>
    <t>Burundi, Bolivia, Botswana, Belize, Colombia, Costa Rica, Algeria, Ecuador, Egypt, Ethiopia, Micronesia (Federated States of), Ghana, Guatemala, Honduras, Indonesia, India, Jamaica, Kenya, Sri Lanka, Lesotho, Morocco,  Madagascar+_x000D_
Malawi, Mexico, Namibia</t>
  </si>
  <si>
    <t>PoA0399</t>
  </si>
  <si>
    <t>EcoProfitableTM Lighting Africa by ENERCAP SAS</t>
  </si>
  <si>
    <t>Angola, Burkina Faso, Benin, Côte d`Ivoire, Cameroon, Cape Verde, Algeria, Egypt, Gabon, Guinea, Guinea-Bissau, Liberia, Libya, Morocco, Madagascar, Mali, Mauritania, Malawi, Mozambique, Namibia, Niger, Nigeria_x000D_
Sierra Leone, Senegal, Tunisia</t>
  </si>
  <si>
    <t>Chad, Angola, Burkina Faso, Benin, Côte d`Ivoire, Cameroon, Cape Verde, Algeria, Egypt, Gabon, Guinea, Guinea-Bissau, Liberia, Libya, Morocco, Madagascar, Mali, Mauritania, Malawi, Mozambique, Namibia, Niger, Nigeria</t>
  </si>
  <si>
    <t>ENERCAP</t>
  </si>
  <si>
    <t>To replace ICLs with self ballasted CFLs for usage among households</t>
  </si>
  <si>
    <t>CPA0399.01</t>
  </si>
  <si>
    <t>EcoProfitableTM Lighting in Chad by ENERCAP SAS EL-CPA-001-CH</t>
  </si>
  <si>
    <t>1,000,000 self-ballasted Compact Fluorescent Lamps (CFL)</t>
  </si>
  <si>
    <t>PoA0400</t>
  </si>
  <si>
    <t>SoWiTec Wind PoA in the Caribbean, Central and South America (“SoWiTec-PoA”)</t>
  </si>
  <si>
    <t>SoWiTec trading GmbH</t>
  </si>
  <si>
    <t>To facilitate the utilization of renewable energy by supporting the implementation of wind energy projects in the Caribbean, Central and South America</t>
  </si>
  <si>
    <t>CPA0400.01</t>
  </si>
  <si>
    <t>Castillos Norte</t>
  </si>
  <si>
    <t>Rocha</t>
  </si>
  <si>
    <t>27 wind turbines with capacity 3 MW</t>
  </si>
  <si>
    <t>PoA0401</t>
  </si>
  <si>
    <t>Demand side energy efficiency measures in building lighting systems</t>
  </si>
  <si>
    <t>UGL Services Premas Operations</t>
  </si>
  <si>
    <t>CPA0401.01</t>
  </si>
  <si>
    <t>Replacement of existing luminaires with LED lighting luminaires in several buildings across 6 Town_x000D_
Councils in Singapore</t>
  </si>
  <si>
    <t>Installing LEDs in residential buildings</t>
  </si>
  <si>
    <t>PoA0402</t>
  </si>
  <si>
    <t>Rural Household Biogas Development Programme in Guangxi Zhuang Autonomous Region and Hebei Provinces</t>
  </si>
  <si>
    <t>Beijing Rural Well-off Economy &amp; Technology Development Center</t>
  </si>
  <si>
    <t>To enable livestock peasants in Guangxi Zhuang Autonomous Region and Hebei Province to install animal manure treatment systems with recovery and utilization of biogas</t>
  </si>
  <si>
    <t>CPA0402.01</t>
  </si>
  <si>
    <t>CPA-0001 Rural Household Biogas Digester Development Programme –Zhongshan County 2012</t>
  </si>
  <si>
    <t>Zhuang Autonomous Region and Hebei provinces</t>
  </si>
  <si>
    <t>Biogas digester systems</t>
  </si>
  <si>
    <t>PoA0403</t>
  </si>
  <si>
    <t>Energy Efficiency through Micro irrigation system - India</t>
  </si>
  <si>
    <t>Mahindra &amp; Mahindra Ltd, Farm Equipment Sector</t>
  </si>
  <si>
    <t>To reduce the GHG emissions due to the excess use of electricity in irrigation_x000D_
systems by introducing Micro irrigation system (MIS) such as Drip and Sprinkler irrigation system</t>
  </si>
  <si>
    <t>AMS-II.F.</t>
  </si>
  <si>
    <t>CPA0403.01</t>
  </si>
  <si>
    <t>CPA 001 - Installation of drip irrigation system in 9 taluks of Maharashtra</t>
  </si>
  <si>
    <t>Drip irrigation systems</t>
  </si>
  <si>
    <t>EPC Industrie Ltd</t>
  </si>
  <si>
    <t>PoA0404</t>
  </si>
  <si>
    <t>LNG Bus Promoting Programme in Guangdong Province</t>
  </si>
  <si>
    <t>Guangdong</t>
  </si>
  <si>
    <t>CNOOC Gas &amp; Power Group</t>
  </si>
  <si>
    <t>To introduce LNG buses to existing and planned new bus routes in Guangdong Province and to reduce CO2 emissions by replacing liquid fuels</t>
  </si>
  <si>
    <t>AMS-III.AY.</t>
  </si>
  <si>
    <t>CPA0404.01</t>
  </si>
  <si>
    <t>“LNG Bus Promoting Programme in Guangdong Province”-CPA1</t>
  </si>
  <si>
    <t>Introduction of LNG busses</t>
  </si>
  <si>
    <t>PoA0405</t>
  </si>
  <si>
    <t>Paradigm Sub Saharan Africa Cook Stove Programme</t>
  </si>
  <si>
    <t>Ethiopia, Rwanda</t>
  </si>
  <si>
    <t>The Paradigm Project (TPP)</t>
  </si>
  <si>
    <t>To abate GHG emissions; reduce non-renewable woody biomass consumption and indoor air pollution</t>
  </si>
  <si>
    <t>CPA0405.01</t>
  </si>
  <si>
    <t>Paradigm Cook Stove Programme: Ethiopia 01 (TPP-CPA-01-ETH)</t>
  </si>
  <si>
    <t>Improved Cook Stoves: Ezy Stove model</t>
  </si>
  <si>
    <t>Climate Focus, Alternative Energy Promotion Center</t>
  </si>
  <si>
    <t>Punjab State Electricity Board</t>
  </si>
  <si>
    <t>Beijing Oriental Carbon Credits Environmental Technologies</t>
  </si>
  <si>
    <t>Clean Air Renewable Energy, Core CarbonX Solutions</t>
  </si>
  <si>
    <t>CPA0013.20</t>
  </si>
  <si>
    <t>4041-0020</t>
  </si>
  <si>
    <t>Himachal Pradesh</t>
  </si>
  <si>
    <t>CPA0013.21</t>
  </si>
  <si>
    <t>4041-0021</t>
  </si>
  <si>
    <t>Promotion of Biomass Based Heat Generation Systems in India” (CPA Number 021)</t>
  </si>
  <si>
    <t>CPA0013.22</t>
  </si>
  <si>
    <t>4041-0022</t>
  </si>
  <si>
    <t>Promotion of Biomass Based Heat Generation Systems in India” (CPA Number 022)</t>
  </si>
  <si>
    <t>Biomass boiler using rice husk at two separate sites</t>
  </si>
  <si>
    <t>CPA0013.23</t>
  </si>
  <si>
    <t>4041-0023</t>
  </si>
  <si>
    <t>Promotion of Biomass Based Heat Generation Systems in India” (CPA Number 023)</t>
  </si>
  <si>
    <t>Uttarakhand</t>
  </si>
  <si>
    <t>CPA0013.24</t>
  </si>
  <si>
    <t>4041-0024</t>
  </si>
  <si>
    <t>Promotion of Biomass Based Heat Generation Systems in India” (CPA Number 025)</t>
  </si>
  <si>
    <t>CPA0013.25</t>
  </si>
  <si>
    <t>4041-0025</t>
  </si>
  <si>
    <t>Promotion of Biomass Based Heat Generation Systems in India” (CPA Number 024)</t>
  </si>
  <si>
    <t>Biomass boiler using rice husk, cotton talk and mustard stalk</t>
  </si>
  <si>
    <t>CPA0013.26</t>
  </si>
  <si>
    <t>4041-0026</t>
  </si>
  <si>
    <t>Promotion of Biomass Based Heat Generation Systems in India” (CPA Number 026)</t>
  </si>
  <si>
    <t>Biomass boiler using  biomass briquettes</t>
  </si>
  <si>
    <t>7237-0001</t>
  </si>
  <si>
    <t>6161-0001</t>
  </si>
  <si>
    <t>6606-0001</t>
  </si>
  <si>
    <t>6209-0001</t>
  </si>
  <si>
    <t>7211-0001</t>
  </si>
  <si>
    <t>Omega Wind Power Plants Programme of Activities</t>
  </si>
  <si>
    <t>7156-0001</t>
  </si>
  <si>
    <t>7271-0001</t>
  </si>
  <si>
    <t>To set up biogas digesters and their auxiliary facilities for gas collection and gas use</t>
  </si>
  <si>
    <t>6573-0001</t>
  </si>
  <si>
    <t>6734-0001</t>
  </si>
  <si>
    <t>6600-0001</t>
  </si>
  <si>
    <t>7470-0001</t>
  </si>
  <si>
    <t>7570-0001</t>
  </si>
  <si>
    <t>7522-0001</t>
  </si>
  <si>
    <t>Clean Air Renewable Energy</t>
  </si>
  <si>
    <t>Middle East_x000D_
Middle-East</t>
  </si>
  <si>
    <t>CPA0305.001</t>
  </si>
  <si>
    <t>CPA0056.0001</t>
  </si>
  <si>
    <t>PoA0406</t>
  </si>
  <si>
    <t>Improved Cook Stoves programme for Rwanda</t>
  </si>
  <si>
    <t>atmosfair gGmbH</t>
  </si>
  <si>
    <t>To distribute ICS to reduce carbon emissions, reduce health problems related to smoke, reduce deforestation and erosion due to extensive firewood sourcing and to increase spending power of rural households</t>
  </si>
  <si>
    <t>atmosfair</t>
  </si>
  <si>
    <t>CPA0406.01</t>
  </si>
  <si>
    <t>6207-0001</t>
  </si>
  <si>
    <t>CPA # 1 Improved Cook Stoves programme for Rwanda</t>
  </si>
  <si>
    <t>Improved Cook Stoves - SAVE80 cookstove</t>
  </si>
  <si>
    <t>PoA0407</t>
  </si>
  <si>
    <t>The MRTS PoA</t>
  </si>
  <si>
    <t>Delhi Metro Rail Corporation</t>
  </si>
  <si>
    <t>To reduce GHG emissions from transport sector by promoting implementation_x000D_
of MRTS.</t>
  </si>
  <si>
    <t>ACM16</t>
  </si>
  <si>
    <t>CPA0407.01</t>
  </si>
  <si>
    <t>CPA001: Delhi Metro under MRTS PoA</t>
  </si>
  <si>
    <t>103.5 km of a metro line</t>
  </si>
  <si>
    <t>PoA0408</t>
  </si>
  <si>
    <t>PoA on RE</t>
  </si>
  <si>
    <t>To facilitate the installation of renewable technologies</t>
  </si>
  <si>
    <t>CPA0408.01</t>
  </si>
  <si>
    <t>5 MW Solar PV power project in Punjab by EBSPL</t>
  </si>
  <si>
    <t>5 MW Solar PV power projects</t>
  </si>
  <si>
    <t>PoA0409</t>
  </si>
  <si>
    <t>Programmatic CDM for Promotion of Solar Power Generation in India</t>
  </si>
  <si>
    <t>AGEPL</t>
  </si>
  <si>
    <t>To develop a platform for overcoming institutional, financial and structural hurdles for the construction of small-scale grid connected solar power projects in India</t>
  </si>
  <si>
    <t>CPA0409.01</t>
  </si>
  <si>
    <t>“Solar PV power project in Odisha, India” CPA-001</t>
  </si>
  <si>
    <t>Odisha</t>
  </si>
  <si>
    <t>5 MW grid connected solar photovoltaic (PV) power plant</t>
  </si>
  <si>
    <t>PoA0410</t>
  </si>
  <si>
    <t>Renewable Energy based PoA in Pakistan</t>
  </si>
  <si>
    <t>Horae Energy</t>
  </si>
  <si>
    <t>To facilitate the installation of Wind Turbine Generators, Solar power and hydro power to generate electricity from renewable wind energy source</t>
  </si>
  <si>
    <t>CPA0410.01</t>
  </si>
  <si>
    <t>50 MW Wind Project by HAE: CPA 001</t>
  </si>
  <si>
    <t>Sindh</t>
  </si>
  <si>
    <t>50 MW wind farm: 34 WTGs each of capacity 1.5 MW</t>
  </si>
  <si>
    <t>PoA0411</t>
  </si>
  <si>
    <t>Biomass based power plants for electricity generation in India</t>
  </si>
  <si>
    <t>IL&amp;FS Environmental Infrastructure and_x000D_
Services</t>
  </si>
  <si>
    <t>To displace fossil fuel utilization for electricity generation by the Promotion of_x000D_
Biomass based power plants for Electricity Generation in India</t>
  </si>
  <si>
    <t>CPA0411.01</t>
  </si>
  <si>
    <t>CPA#1: Biomass based power project in Rupnagar, Punjab</t>
  </si>
  <si>
    <t>12 MW power plant</t>
  </si>
  <si>
    <t>PoA0412</t>
  </si>
  <si>
    <t>Methane avoidance in rice cultivation</t>
  </si>
  <si>
    <t>To reduce CH4 emissions through adjusted water management system in rice cultivation</t>
  </si>
  <si>
    <t>AMS-III.AU.</t>
  </si>
  <si>
    <t>CPA0412.01</t>
  </si>
  <si>
    <t>Methane avoidance in rice cultivation in SJB: 001</t>
  </si>
  <si>
    <t>Adjusted water management system in rice cultivation</t>
  </si>
  <si>
    <t>PoA0413</t>
  </si>
  <si>
    <t>RE PoA in Pakistan</t>
  </si>
  <si>
    <t>To facilitate the installation of solar, offshore wind, hydro, biomass and wind energy power projects</t>
  </si>
  <si>
    <t>CPA0413.01</t>
  </si>
  <si>
    <t>10 MW solar power project by TechAccess</t>
  </si>
  <si>
    <t>10 MW solar PV plant with polycrystalline silicon (C-Si) PV glass-foil modules</t>
  </si>
  <si>
    <t>Schott</t>
  </si>
  <si>
    <t>PoA0414</t>
  </si>
  <si>
    <t>Republic of Korea</t>
  </si>
  <si>
    <t>Korea Land &amp; Housing Corporation</t>
  </si>
  <si>
    <t>To reduce electricity based on coal or other carbon-intensive fossil fuels and_x000D_
thus to reduce the associated CO2 emissions in Republic of Korea</t>
  </si>
  <si>
    <t>CPA0414.01</t>
  </si>
  <si>
    <t>PV power plants project on collective housing of 2011– &lt;2011-LH- 001-01457&gt;</t>
  </si>
  <si>
    <t>15 solar PV systems on roofs of collective housing (total 1.457 kw)</t>
  </si>
  <si>
    <t>PoA0415</t>
  </si>
  <si>
    <t>CPA0415.01</t>
  </si>
  <si>
    <t>Animal Manure Treatment Programme in Hubei Province—CPA-0001</t>
  </si>
  <si>
    <t>Biogas digesters with itilization of biogas for energy</t>
  </si>
  <si>
    <t>PoA0416</t>
  </si>
  <si>
    <t>Lanzhou Hualong Poultry Breeding</t>
  </si>
  <si>
    <t>To support the installation of animal manure treatment systems with recovery of biogas and the utilization of the generated biogas as fuel</t>
  </si>
  <si>
    <t>CPA0416.01</t>
  </si>
  <si>
    <t>Animal Manure Treatment Programme in Gansu Province--CPA-0001</t>
  </si>
  <si>
    <t>EE public stoves</t>
  </si>
  <si>
    <t>CPA-Type</t>
  </si>
  <si>
    <t>Standard Bank Low Pressure Solar Water Heater Programme for South Africa</t>
  </si>
  <si>
    <t>CPA0005.09</t>
  </si>
  <si>
    <t>2956-0009</t>
  </si>
  <si>
    <t>Municipal Waste Composting Project for Mbarara</t>
  </si>
  <si>
    <t>CPA0008.07</t>
  </si>
  <si>
    <t>4659-0007</t>
  </si>
  <si>
    <t>SOLAR WATER HEATER PROGRAMME IN TUNISIA – CPA7</t>
  </si>
  <si>
    <t>12,553 solar water heaters (SWH)</t>
  </si>
  <si>
    <t>CPA0013.27</t>
  </si>
  <si>
    <t>4041-0027</t>
  </si>
  <si>
    <t>Promotion of Biomass Based Heat Generation Systems in India” (CPA Number 027)</t>
  </si>
  <si>
    <t>Puducherry</t>
  </si>
  <si>
    <t>CPA0013.28</t>
  </si>
  <si>
    <t>4041-0028</t>
  </si>
  <si>
    <t>Promotion of Biomass Based Heat Generation Systems in India” (CPA Number 028)</t>
  </si>
  <si>
    <t>CPA0013.29</t>
  </si>
  <si>
    <t>4041-0029</t>
  </si>
  <si>
    <t>Promotion of Biomass Based Heat Generation Systems in India” (CPA Number 032)</t>
  </si>
  <si>
    <t>Biomass boiler using briquettes from agricultural residues</t>
  </si>
  <si>
    <t>CPA0013.30</t>
  </si>
  <si>
    <t>4041-0030</t>
  </si>
  <si>
    <t>Promotion of Biomass Based Heat Generation Systems in India” (CPA Number 034)</t>
  </si>
  <si>
    <t>8027-0001</t>
  </si>
  <si>
    <t>6694-0001</t>
  </si>
  <si>
    <t>CPA0045.03</t>
  </si>
  <si>
    <t>4302-0003</t>
  </si>
  <si>
    <t>SASSA Low Pressure Solar Water Heater Programme – CPA- 003</t>
  </si>
  <si>
    <t>N/A</t>
  </si>
  <si>
    <t>Modification/replacement of one or morecomponents in the existing cooling system with more efficient components</t>
  </si>
  <si>
    <t>7760-0001</t>
  </si>
  <si>
    <t>Investment;N/A</t>
  </si>
  <si>
    <t>CPA0053.02</t>
  </si>
  <si>
    <t>5019-0002</t>
  </si>
  <si>
    <t>The programme to promote efficient lightings in local areas – &lt;2012-01, Gwangju&gt;</t>
  </si>
  <si>
    <t>Gwangju</t>
  </si>
  <si>
    <t>LED (Light Emitting Diode) lamps in streetlights</t>
  </si>
  <si>
    <t>CPA0053.03</t>
  </si>
  <si>
    <t>5019-0003</t>
  </si>
  <si>
    <t>The programme to promote efficient lightings in local areas – &lt;2012-01, Seoul&gt;</t>
  </si>
  <si>
    <t>CPA0053.04</t>
  </si>
  <si>
    <t>5019-0004</t>
  </si>
  <si>
    <t>The programme to promote efficient lightings in local areas – &lt;2012-01, Suncheon City Hall&gt;</t>
  </si>
  <si>
    <t>Jeollanam-do</t>
  </si>
  <si>
    <t>CPA0053.05</t>
  </si>
  <si>
    <t>5019-0005</t>
  </si>
  <si>
    <t>The programme to promote efficient lightings in local areas – &lt;2012-01, Incheon&gt;</t>
  </si>
  <si>
    <t>CPA0053.06</t>
  </si>
  <si>
    <t>5019-0006</t>
  </si>
  <si>
    <t>The programme to promote efficient lightings in local areas – &lt;2012-01, Incheon International Airport Corporation&gt;</t>
  </si>
  <si>
    <t>CPA0071.02</t>
  </si>
  <si>
    <t>5588-0002</t>
  </si>
  <si>
    <t>28082012 Fourth CPA on Grid Connected Solar Power Project in India</t>
  </si>
  <si>
    <t>7883-0001</t>
  </si>
  <si>
    <t>To promote energy efficient street lighting in Thailand</t>
  </si>
  <si>
    <t>8055-0001</t>
  </si>
  <si>
    <t>5962-0001</t>
  </si>
  <si>
    <t>7864-0001</t>
  </si>
  <si>
    <t>7460-0001</t>
  </si>
  <si>
    <t>6819-0001</t>
  </si>
  <si>
    <t>7959-0001</t>
  </si>
  <si>
    <t>7763-0001</t>
  </si>
  <si>
    <t>7847-0001</t>
  </si>
  <si>
    <t>8232-0001</t>
  </si>
  <si>
    <t>ACM2+AMS-I.D.</t>
  </si>
  <si>
    <t>8261-0001</t>
  </si>
  <si>
    <t>7636-0001</t>
  </si>
  <si>
    <t>CPA0384.02</t>
  </si>
  <si>
    <t>5997-0002</t>
  </si>
  <si>
    <t>Standard Bank Low Pressure Solar Water Heater Programme for South Africa - CPA-002</t>
  </si>
  <si>
    <t>CPA0384.03</t>
  </si>
  <si>
    <t>5997-0003</t>
  </si>
  <si>
    <t>Standard Bank Low Pressure Solar Water Hearter Programme for South Africa - CPA-003</t>
  </si>
  <si>
    <t>PoA0417</t>
  </si>
  <si>
    <t>Energy and Water Saving Promotion Programme for Textile Dyeing Process of Bangladesh Textile and Garment Industries</t>
  </si>
  <si>
    <t>Green Project Water Saving Technology</t>
  </si>
  <si>
    <t>The purpose is to promote energy and water saving through optimizing the process from yarn to fabric on textile dyeing process that is the most water and energy consuming process in a textile and_x000D_
garment factory</t>
  </si>
  <si>
    <t>CPA0417.01</t>
  </si>
  <si>
    <t>Energy and Water Saving Promotion Programme for Textile Dyeing Process of Bangladesh Textile and_x000D_
Garment Industries</t>
  </si>
  <si>
    <t>Savar, Dhaka</t>
  </si>
  <si>
    <t>Dyeing process optimization from yarn to fabric by targeting dyeing machines and other machines</t>
  </si>
  <si>
    <t>5927-0001</t>
  </si>
  <si>
    <t>CPA0008.08</t>
  </si>
  <si>
    <t>Solar Water Heater Programme in Tunisia – CPA 8</t>
  </si>
  <si>
    <t>14232 solar water heaters (SWH)</t>
  </si>
  <si>
    <t>no</t>
  </si>
  <si>
    <t>8521-0001</t>
  </si>
  <si>
    <t>59000 Low pressure vacuum tube Solar water heaters</t>
  </si>
  <si>
    <t>31500 Low pressure vacuum tube Solar water heaters</t>
  </si>
  <si>
    <t>CPA0045.04</t>
  </si>
  <si>
    <t>SASSA Low Pressure Solar Water Heater Programme – CPA-004</t>
  </si>
  <si>
    <t>CPA0045.05</t>
  </si>
  <si>
    <t>SASSA Low Pressure Solar Water Heater Programme – CPA-005</t>
  </si>
  <si>
    <t>CPA0045.06</t>
  </si>
  <si>
    <t>SASSA Low Pressure Solar Water Heater Programme – CPA-006</t>
  </si>
  <si>
    <t>CPA0045.07</t>
  </si>
  <si>
    <t>SASSA Low Pressure Solar Water Heater Programme – CPA-007</t>
  </si>
  <si>
    <t>6826-0001</t>
  </si>
  <si>
    <t>EcoZoom</t>
  </si>
  <si>
    <t>6283-0001</t>
  </si>
  <si>
    <t>13,925 StoveTec improved cooking stoves (ICS)</t>
  </si>
  <si>
    <t>Pakistan Domestic Biogas Programme, CDM Programme of Activities</t>
  </si>
  <si>
    <t>8024-0001</t>
  </si>
  <si>
    <t>7078-0001</t>
  </si>
  <si>
    <t>A grid connected solar PV based energy generation unit of 5MW capacity</t>
  </si>
  <si>
    <t>CPA0071.03</t>
  </si>
  <si>
    <t>5588-0003</t>
  </si>
  <si>
    <t>06062012 Second Bundled CPA on Grid Connected Solar Power Project in India</t>
  </si>
  <si>
    <t>2 grid connected solar PV based energy generation units each of 5MW capacity</t>
  </si>
  <si>
    <t>CPA0071.04</t>
  </si>
  <si>
    <t>5588-0004</t>
  </si>
  <si>
    <t>11062012 Third Bundled CPA on Grid Connected Solar Power Project in India by SENES consultants</t>
  </si>
  <si>
    <t>2 grid connected solar PV based energy generation units each of 12MW and 2 MW capacity</t>
  </si>
  <si>
    <t>CPA0071.05</t>
  </si>
  <si>
    <t>5588-0005</t>
  </si>
  <si>
    <t>24092012 Fifth CPA on Grid Connected Solar Power Project in India</t>
  </si>
  <si>
    <t>Jharkhand</t>
  </si>
  <si>
    <t>A grid connected solar PV based energy generation unit of 14MW capacity</t>
  </si>
  <si>
    <t>CPA0071.06</t>
  </si>
  <si>
    <t>5588-0006</t>
  </si>
  <si>
    <t>31082012 Sixth CPA on Grid Connected Solar Power Project in India</t>
  </si>
  <si>
    <t>A grid connected solar PV based energy generation unit of 15MW capacity</t>
  </si>
  <si>
    <t>8526-0001</t>
  </si>
  <si>
    <t>8088-0001</t>
  </si>
  <si>
    <t>Guatemala, El Salvador</t>
  </si>
  <si>
    <t>7811-0001</t>
  </si>
  <si>
    <t>5758-0001</t>
  </si>
  <si>
    <t>8383-0001</t>
  </si>
  <si>
    <t>To encourage methane recovery from biodegradable waste to install new anaerobic treatment system.</t>
  </si>
  <si>
    <t>8301-0001</t>
  </si>
  <si>
    <t>8674-0001</t>
  </si>
  <si>
    <t>7849-0001</t>
  </si>
  <si>
    <t>25 MW wind farm</t>
  </si>
  <si>
    <t>7062-0001</t>
  </si>
  <si>
    <t>8260-0001</t>
  </si>
  <si>
    <t>8734-0001</t>
  </si>
  <si>
    <t>7489-0001</t>
  </si>
  <si>
    <t>7167-0001</t>
  </si>
  <si>
    <t>7359-0001</t>
  </si>
  <si>
    <t>5341-0001</t>
  </si>
  <si>
    <t>5342-0001</t>
  </si>
  <si>
    <t>7897-0001</t>
  </si>
  <si>
    <t>3143-0001</t>
  </si>
  <si>
    <t>8426-0001</t>
  </si>
  <si>
    <t>8457-0001</t>
  </si>
  <si>
    <t>8060-0001</t>
  </si>
  <si>
    <t>7699-0001</t>
  </si>
  <si>
    <t>8733-0001</t>
  </si>
  <si>
    <t>Egypt, Lebanon, Morocco, Tunisia</t>
  </si>
  <si>
    <t>8627-0001</t>
  </si>
  <si>
    <t>7892-0001</t>
  </si>
  <si>
    <t>8188-0001</t>
  </si>
  <si>
    <t>Shinsung CS</t>
  </si>
  <si>
    <t>7596-0001</t>
  </si>
  <si>
    <t>8432-0001</t>
  </si>
  <si>
    <t>8259-0001</t>
  </si>
  <si>
    <t>8058-0001</t>
  </si>
  <si>
    <t>8640-0001</t>
  </si>
  <si>
    <t>8331-0001</t>
  </si>
  <si>
    <t>8438-0001</t>
  </si>
  <si>
    <t>Building a framework for overcoming the current barriers hindering the development of cogeneration projects in Tunisia</t>
  </si>
  <si>
    <t>To use of associated gas normally burned in flares in off-grid area oilfields or regions</t>
  </si>
  <si>
    <t>PoA0418</t>
  </si>
  <si>
    <t>CPA0418.01</t>
  </si>
  <si>
    <t>Energy Efficiency measures in cooling system at Republic Plaza, 9 Raffles Place, Singapore</t>
  </si>
  <si>
    <t>Replacement of existing cooling systems (chillers)</t>
  </si>
  <si>
    <t>PoA0419</t>
  </si>
  <si>
    <t>Programme of Activities for the development of solar water heating systems in the tertiary sector in Tunisia - PROSOL tertiary</t>
  </si>
  <si>
    <t>To install around 10,000 square meters of SWH systems per year, thereby displacing fossil fuels and eventually carbon intensive electricity from the grid and, currently used to provide hot water in the tertiary sector</t>
  </si>
  <si>
    <t>CPA0419.01</t>
  </si>
  <si>
    <t>Programme of Activities for the development of solar water heating systems in the tertiary sector in Tunisia - PROSOL tertiary-CPA-001</t>
  </si>
  <si>
    <t>Tunis</t>
  </si>
  <si>
    <t>Installation of solar water heaters</t>
  </si>
  <si>
    <t>PoA-Type</t>
  </si>
  <si>
    <t>CPA0070.02</t>
  </si>
  <si>
    <t>5336-0002</t>
  </si>
  <si>
    <t>CPA No. 2 Mathira East District co2balance UK Ltd</t>
  </si>
  <si>
    <t>Mathira East</t>
  </si>
  <si>
    <t>CPA0124.02</t>
  </si>
  <si>
    <t>6328-0002</t>
  </si>
  <si>
    <t>CPA - 002: 5 MW Solar PV power project, Sabarkantha District, Gujarat, India</t>
  </si>
  <si>
    <t>CPA0170.02</t>
  </si>
  <si>
    <t>7167-0002</t>
  </si>
  <si>
    <t>Scatec Solar Kalkbult CPA-002 (“SSK CPA-002”)</t>
  </si>
  <si>
    <t>75 MW (Kalkbult) solar PV plant</t>
  </si>
  <si>
    <t>CPA0170.03</t>
  </si>
  <si>
    <t>7167-0003</t>
  </si>
  <si>
    <t>AE-AMD Herbert CPA-003 (“AEH CPA-003”)</t>
  </si>
  <si>
    <t>20 MW (Herbert) solar PV plant</t>
  </si>
  <si>
    <t>CPA0256.02</t>
  </si>
  <si>
    <t>7570-0002</t>
  </si>
  <si>
    <t>SA-REP – Aries 10 MW Solar PV Project</t>
  </si>
  <si>
    <t>43,008 BYD250 photovoltaic (“PV”) modules totalling an installed capacity of 10,752kWp</t>
  </si>
  <si>
    <t>CPA0256.03</t>
  </si>
  <si>
    <t>7570-0003</t>
  </si>
  <si>
    <t>SA-REP – Konkoonsies 10 MW Solar PV Project</t>
  </si>
  <si>
    <t>43,008 BYD250 photovoltaic (“PV”) modules totalling an installed capacity of 10752kWp</t>
  </si>
  <si>
    <t>NO</t>
  </si>
  <si>
    <t>PoA0420</t>
  </si>
  <si>
    <t>Efficient Cook Stove Programme: Malawi</t>
  </si>
  <si>
    <t>Alchemy Carbon</t>
  </si>
  <si>
    <t>To construct and distribute efficient cook stoves free of charge with a highly subsidised installation charge to rural households cooking with firewood in Malawi</t>
  </si>
  <si>
    <t>CPA0420.01</t>
  </si>
  <si>
    <t>CPA 1: Balaka Improved Cook Stove Project</t>
  </si>
  <si>
    <t>Balaka</t>
  </si>
  <si>
    <t>Improved Cook Stoves</t>
  </si>
  <si>
    <t>PoA0421</t>
  </si>
  <si>
    <t>Small-scale Hydropower Programme of Activities in Guizhou Province</t>
  </si>
  <si>
    <t>Beijing YuanDa Carbon Assets Investment Management</t>
  </si>
  <si>
    <t>to develop a platform for a series of small scale hydropower plants in Guizhou Province to overcome financial hurdles, and to solve the electricity shortage problem in these areas, strengthen the rural infrastructure construction.</t>
  </si>
  <si>
    <t>CPA0421.01</t>
  </si>
  <si>
    <t>CPA-001-Moshigou Hydropower Project in Zheng’an County, Guizhou Province</t>
  </si>
  <si>
    <t>1.5 MW small scale hydro dam project</t>
  </si>
  <si>
    <t>PoA0422</t>
  </si>
  <si>
    <t>Programme of Activities for Small Scale Hydropower CDM in Sri Lanka</t>
  </si>
  <si>
    <t>Sri Lanka Carbon Fun</t>
  </si>
  <si>
    <t>To promote small hydropower generation in Sri Lanka</t>
  </si>
  <si>
    <t>CPA0422.01</t>
  </si>
  <si>
    <t>Ganthuna Small Hydropower Project &lt;2013-PPB-001-1.3MW&gt;</t>
  </si>
  <si>
    <t>Aranayaka</t>
  </si>
  <si>
    <t>Two Horizontal shaft Francis turbines with power generated at 690 V, and stepped up to 33 000 V using a step-up transformer</t>
  </si>
  <si>
    <t>PoA0423</t>
  </si>
  <si>
    <t>Programme to Reduce Non-Renewable Biomass Consumptions through Introduction of High-Efficiency Cook Stoves</t>
  </si>
  <si>
    <t>Shubhalakshya Developer</t>
  </si>
  <si>
    <t>To reduce the nonrenewable biomass consumption by introducing the highly efficient cooking appliance</t>
  </si>
  <si>
    <t>CPA0423.01</t>
  </si>
  <si>
    <t>CPA-1_HCS programme in Nepal</t>
  </si>
  <si>
    <t>Kavrepalanchouk</t>
  </si>
  <si>
    <t>High-efficiency cook stove made of insulating bricks</t>
  </si>
  <si>
    <t>PoA0424</t>
  </si>
  <si>
    <t>Coal Water Slurry CDM Programme of Activity for A&amp;A Energy</t>
  </si>
  <si>
    <t>Beijing YuanDa carbon Assets</t>
  </si>
  <si>
    <t>Aim at popularizing coal water slurry and related equipment in Guizhou province, increasing the efficiency of boilers in the province.</t>
  </si>
  <si>
    <t>CPA0424.01</t>
  </si>
  <si>
    <t>CPA-0001 Medical Park concentrate Steam supply station project in Qinzhen City Guizhou</t>
  </si>
  <si>
    <t>Qingzhen</t>
  </si>
  <si>
    <t>Coal Water Slurry boilers</t>
  </si>
  <si>
    <t>PoA0425</t>
  </si>
  <si>
    <t>C-Quest Capital Malaysia Global Stoves</t>
  </si>
  <si>
    <t>To reduce greenhouse gas emissions from cook-stoves using wood-fuel (charcoal and firewood) derived from non-renewable sources, in domestic kitchens,</t>
  </si>
  <si>
    <t>CPA0425.01</t>
  </si>
  <si>
    <t>CDM Africa Sustainable Energy Programme in Lilongwe, Malawi CPA-001</t>
  </si>
  <si>
    <t>African Clean Energy Company, Philips Smokeless stove (ACE)</t>
  </si>
  <si>
    <t>PoA0426</t>
  </si>
  <si>
    <t>DVC Solar Programme PoA</t>
  </si>
  <si>
    <t>West Bengal and Jharkhand</t>
  </si>
  <si>
    <t>Damodar Valley Corporation</t>
  </si>
  <si>
    <t>to install 1000 MW capacity of Solar Photo Voltaic (PV) in the next 15 years across the DVC canals and the barren land by the side of the canals in the district of West Bengal and Jharkhand.</t>
  </si>
  <si>
    <t>URS</t>
  </si>
  <si>
    <t>CPA0426.01</t>
  </si>
  <si>
    <t>CPA 1- Right Bank Main Canal- 1</t>
  </si>
  <si>
    <t>West Bengal</t>
  </si>
  <si>
    <t>Crystalline modules in the range 200 wp – 320 wp</t>
  </si>
  <si>
    <t>5336</t>
  </si>
  <si>
    <t>5997</t>
  </si>
  <si>
    <t>6328</t>
  </si>
  <si>
    <t>7570</t>
  </si>
  <si>
    <t>7167</t>
  </si>
  <si>
    <t>Mixed</t>
  </si>
  <si>
    <t>8480-0001</t>
  </si>
  <si>
    <t>6568-0001</t>
  </si>
  <si>
    <t>7654-0001</t>
  </si>
  <si>
    <t>9020-0001</t>
  </si>
  <si>
    <t>9169-0001</t>
  </si>
  <si>
    <t>2982 biogas digesters</t>
  </si>
  <si>
    <t>8950-0001</t>
  </si>
  <si>
    <t>8637-0001</t>
  </si>
  <si>
    <t>2901-0001</t>
  </si>
  <si>
    <t>CPA0170.04</t>
  </si>
  <si>
    <t>7167-0004</t>
  </si>
  <si>
    <t>Erika Energy Soutpan CPA-004 (“EES CPA-004”).</t>
  </si>
  <si>
    <t>28 MW (Soutpan) solar PV plant</t>
  </si>
  <si>
    <t>CPA0170.05</t>
  </si>
  <si>
    <t>7167-0005</t>
  </si>
  <si>
    <t>Core Energy Witkop CPA-005 (“CEW CPA-005”).</t>
  </si>
  <si>
    <t>30 MW (Witkop) solar PV plant</t>
  </si>
  <si>
    <t>8856-0001</t>
  </si>
  <si>
    <t>9126-0001</t>
  </si>
  <si>
    <t>7889-0001</t>
  </si>
  <si>
    <t>7484-0001</t>
  </si>
  <si>
    <t>7734-0001</t>
  </si>
  <si>
    <t>7274-0001</t>
  </si>
  <si>
    <t>8696-0001</t>
  </si>
  <si>
    <t>8777-0001</t>
  </si>
  <si>
    <t>8990-0001</t>
  </si>
  <si>
    <t>7767-0001</t>
  </si>
  <si>
    <t>8919-0001</t>
  </si>
  <si>
    <t>7887-0001</t>
  </si>
  <si>
    <t>8868-0001</t>
  </si>
  <si>
    <t>7893-0001</t>
  </si>
  <si>
    <t>8630-0001</t>
  </si>
  <si>
    <t>8742-0001</t>
  </si>
  <si>
    <t>8864-0001</t>
  </si>
  <si>
    <t>9096-0001</t>
  </si>
  <si>
    <t>8535-0001</t>
  </si>
  <si>
    <t>8824-0001</t>
  </si>
  <si>
    <t>8963-0001</t>
  </si>
  <si>
    <t>Animal Manure Treatment Programme in Anhui Province, Jiangsu Province and Yunnan Province</t>
  </si>
  <si>
    <t>9103-0001</t>
  </si>
  <si>
    <t>Animal Manure Treatment Programme in Anhui Province, Jiangsu Province and Yunnan Province--CPA0001</t>
  </si>
  <si>
    <t>9094-0001</t>
  </si>
  <si>
    <t>8855-0001</t>
  </si>
  <si>
    <t>PoA0427</t>
  </si>
  <si>
    <t>Man &amp; Man Enterprise</t>
  </si>
  <si>
    <t>To reducing wood fuel consumption of Togolese by improved stoves</t>
  </si>
  <si>
    <t>CPA0427.01</t>
  </si>
  <si>
    <t>Man and Man Enterprise Improved Cooking Stoves Programme in Togo</t>
  </si>
  <si>
    <t>Maritime Region</t>
  </si>
  <si>
    <t>Improved Kenyan Jiko-type stoves</t>
  </si>
  <si>
    <t>Man and Man Enterprise</t>
  </si>
  <si>
    <t>PoA0428</t>
  </si>
  <si>
    <t>Improved Cookstoves for Haiti</t>
  </si>
  <si>
    <t>Promotion, distribution and sale of thermally-efficient Improved Cookingstoves in Haiti</t>
  </si>
  <si>
    <t>CPA0428.01</t>
  </si>
  <si>
    <t>Distribution of Improved Cookstoves for Haiti – CPA 001</t>
  </si>
  <si>
    <t>Eco-Zoom Jet Lightweight ceramic portable stoves</t>
  </si>
  <si>
    <t>MWh produced</t>
  </si>
  <si>
    <t xml:space="preserve">At validation </t>
  </si>
  <si>
    <t xml:space="preserve">Request for registration </t>
  </si>
  <si>
    <t>Request for review</t>
  </si>
  <si>
    <t>Correction requested</t>
  </si>
  <si>
    <t xml:space="preserve">Under review </t>
  </si>
  <si>
    <t>Total in the process of registration</t>
  </si>
  <si>
    <t>Withdrawn</t>
  </si>
  <si>
    <t>Rejected by EB</t>
  </si>
  <si>
    <t>Validation negative by DOE</t>
  </si>
  <si>
    <t>Validation terminated by DOE</t>
  </si>
  <si>
    <t>Registered, no issuance of CERs</t>
  </si>
  <si>
    <t>Registered, CER issued</t>
  </si>
  <si>
    <t>Total registered</t>
  </si>
  <si>
    <t>Status of PoAs</t>
  </si>
  <si>
    <t>Replaced PDDs</t>
  </si>
  <si>
    <t>Total number of PoA-DDs submitted</t>
  </si>
  <si>
    <t>Total number of different PoA-DDs</t>
  </si>
  <si>
    <t>2898</t>
  </si>
  <si>
    <t>2897</t>
  </si>
  <si>
    <t>CPA0016.02</t>
  </si>
  <si>
    <t>2897-0002</t>
  </si>
  <si>
    <t>Greater Cairo Region Taxi Scrapping and Recycling Project (22 April 2009 to 30 November 2010)</t>
  </si>
  <si>
    <t>Greater Cairo</t>
  </si>
  <si>
    <t>5324-0002</t>
  </si>
  <si>
    <t>Dak Pone 2AB Hydropower Project</t>
  </si>
  <si>
    <t>Kon Tum</t>
  </si>
  <si>
    <t>5324-0003</t>
  </si>
  <si>
    <t>Dak Pia Hydropower Project</t>
  </si>
  <si>
    <t>5324-0004</t>
  </si>
  <si>
    <t>Ea M’Doal 2 Hydropower Project</t>
  </si>
  <si>
    <t>2898-0002</t>
  </si>
  <si>
    <t>CPA Nb. SCHHBG-2012-002</t>
  </si>
  <si>
    <t>4,601 household biogas systems</t>
  </si>
  <si>
    <t>2898-0003</t>
  </si>
  <si>
    <t>CPA Nb. SCHHBG-2012-003</t>
  </si>
  <si>
    <t>2898-0004</t>
  </si>
  <si>
    <t>CPA Nb. SCHHBG-2012-004</t>
  </si>
  <si>
    <t>2898-0005</t>
  </si>
  <si>
    <t>CPA Nb. SCHHBG-2012-005</t>
  </si>
  <si>
    <t>2898-0006</t>
  </si>
  <si>
    <t>CPA Nb. SCHHBG-2012-006</t>
  </si>
  <si>
    <t>2898-0007</t>
  </si>
  <si>
    <t>CPA Nb. SCHHBG-2012-007</t>
  </si>
  <si>
    <t>2898-0008</t>
  </si>
  <si>
    <t>CPA Nb. SCHHBG-2012-008</t>
  </si>
  <si>
    <t>2898-0009</t>
  </si>
  <si>
    <t>CPA Nb. SCHHBG-2012-009</t>
  </si>
  <si>
    <t>2898-0010</t>
  </si>
  <si>
    <t>CPA Nb. SCHHBG-2012-010</t>
  </si>
  <si>
    <t>2898-0011</t>
  </si>
  <si>
    <t>CPA Nb. SCHHBG-2012-011</t>
  </si>
  <si>
    <t>Mianyang in Sichuan</t>
  </si>
  <si>
    <t>2898-0012</t>
  </si>
  <si>
    <t>CPA Nb. SCHHBG-2012-012</t>
  </si>
  <si>
    <t>2898-0013</t>
  </si>
  <si>
    <t>CPA Nb. SCHHBG-2012-013</t>
  </si>
  <si>
    <t>2898-0014</t>
  </si>
  <si>
    <t>CPA Nb. SCHHBG-2012-014</t>
  </si>
  <si>
    <t>2898-0015</t>
  </si>
  <si>
    <t>CPA Nb. SCHHBG-2012-015</t>
  </si>
  <si>
    <t>2898-0016</t>
  </si>
  <si>
    <t>CPA Nb. SCHHBG-2012-016</t>
  </si>
  <si>
    <t>2898-0017</t>
  </si>
  <si>
    <t>CPA Nb. SCHHBG-2012-017</t>
  </si>
  <si>
    <t>2898-0018</t>
  </si>
  <si>
    <t>CPA Nb. SCHHBG-2012-018</t>
  </si>
  <si>
    <t>2898-0019</t>
  </si>
  <si>
    <t>CPA Nb. SCHHBG-2012-019</t>
  </si>
  <si>
    <t>2898-0020</t>
  </si>
  <si>
    <t>CPA Nb. SCHHBG-2012-020</t>
  </si>
  <si>
    <t>2898-0021</t>
  </si>
  <si>
    <t>CPA Nb. SCHHBG-2012-021</t>
  </si>
  <si>
    <t>2898-0022</t>
  </si>
  <si>
    <t>CPA Nb. SCHHBG-2012-022</t>
  </si>
  <si>
    <t>2898-0023</t>
  </si>
  <si>
    <t>CPA Nb. SCHHBG-2012-023</t>
  </si>
  <si>
    <t>2898-0024</t>
  </si>
  <si>
    <t>CPA Nb. SCHHBG-2012-024</t>
  </si>
  <si>
    <t>2898-0025</t>
  </si>
  <si>
    <t>CPA Nb. SCHHBG-2012-025</t>
  </si>
  <si>
    <t>2898-0026</t>
  </si>
  <si>
    <t>CPA Nb. SCHHBG-2012-026</t>
  </si>
  <si>
    <t>2898-0027</t>
  </si>
  <si>
    <t>CPA Nb. SCHHBG-2012-027</t>
  </si>
  <si>
    <t>2898-0028</t>
  </si>
  <si>
    <t>CPA Nb. SCHHBG-2012-028</t>
  </si>
  <si>
    <t>Guang’an in Sichuan</t>
  </si>
  <si>
    <t>2898-0029</t>
  </si>
  <si>
    <t>CPA Nb. SCHHBG-2012-029</t>
  </si>
  <si>
    <t>2898-0030</t>
  </si>
  <si>
    <t>CPA Nb. SCHHBG-2012-030</t>
  </si>
  <si>
    <t>2898-0031</t>
  </si>
  <si>
    <t>CPA Nb. SCHHBG-2012-031</t>
  </si>
  <si>
    <t>2898-0032</t>
  </si>
  <si>
    <t>CPA Nb. SCHHBG-2012-032</t>
  </si>
  <si>
    <t>Suining in Sichuan</t>
  </si>
  <si>
    <t>2898-0033</t>
  </si>
  <si>
    <t>CPA Nb. SCHHBG-2012-033</t>
  </si>
  <si>
    <t>2898-0034</t>
  </si>
  <si>
    <t>CPA Nb. SCHHBG-2012-034</t>
  </si>
  <si>
    <t>2898-0035</t>
  </si>
  <si>
    <t>CPA Nb. SCHHBG-2012-035</t>
  </si>
  <si>
    <t>Dazhou in Sichuan</t>
  </si>
  <si>
    <t>2898-0036</t>
  </si>
  <si>
    <t>CPA Nb. SCHHBG-2012-036</t>
  </si>
  <si>
    <t>Ziyang in Sichuan</t>
  </si>
  <si>
    <t>2898-0037</t>
  </si>
  <si>
    <t>CPA Nb. SCHHBG-2012-037</t>
  </si>
  <si>
    <t>2898-0038</t>
  </si>
  <si>
    <t>CPA Nb. SCHHBG-2012-038</t>
  </si>
  <si>
    <t>2898-0039</t>
  </si>
  <si>
    <t>CPA Nb. SCHHBG-2012-039</t>
  </si>
  <si>
    <t>2898-0040</t>
  </si>
  <si>
    <t>CPA Nb. SCHHBG-2012-040</t>
  </si>
  <si>
    <t>2898-0041</t>
  </si>
  <si>
    <t>CPA Nb. SCHHBG-2012-041</t>
  </si>
  <si>
    <t>2898-0042</t>
  </si>
  <si>
    <t>CPA Nb. SCHHBG-2012-042</t>
  </si>
  <si>
    <t>Meishan in Sichuan</t>
  </si>
  <si>
    <t>2898-0043</t>
  </si>
  <si>
    <t>CPA Nb. SCHHBG-2012-043</t>
  </si>
  <si>
    <t>2898-0044</t>
  </si>
  <si>
    <t>CPA Nb. SCHHBG-2012-044</t>
  </si>
  <si>
    <t>2898-0045</t>
  </si>
  <si>
    <t>CPA Nb. SCHHBG-2012-045</t>
  </si>
  <si>
    <t>2898-0046</t>
  </si>
  <si>
    <t>CPA Nb. SCHHBG-2012-046</t>
  </si>
  <si>
    <t>Neijiang in Sichuan</t>
  </si>
  <si>
    <t>2898-0047</t>
  </si>
  <si>
    <t>CPA Nb. SCHHBG-2012-047</t>
  </si>
  <si>
    <t>Leshan in Sichuan</t>
  </si>
  <si>
    <t>2898-0048</t>
  </si>
  <si>
    <t>CPA Nb. SCHHBG-2012-048</t>
  </si>
  <si>
    <t>2898-0049</t>
  </si>
  <si>
    <t>CPA Nb. SCHHBG-2012-049</t>
  </si>
  <si>
    <t>Zigong in Sichuan</t>
  </si>
  <si>
    <t>2898-0050</t>
  </si>
  <si>
    <t>CPA Nb. SCHHBG-2012-050</t>
  </si>
  <si>
    <t>Luzhou in Sichuan</t>
  </si>
  <si>
    <t>2898-0051</t>
  </si>
  <si>
    <t>CPA Nb. SCHHBG-2012-051</t>
  </si>
  <si>
    <t>2898-0052</t>
  </si>
  <si>
    <t>CPA Nb. SCHHBG-2012-052</t>
  </si>
  <si>
    <t>2898-0053</t>
  </si>
  <si>
    <t>CPA Nb. SCHHBG-2012-053</t>
  </si>
  <si>
    <t>Guangan, Dazhou and Leshan in Sichuan</t>
  </si>
  <si>
    <t>8142-0001</t>
  </si>
  <si>
    <t>CFL Distribution Programme in the Guangxi Zhuang Autonomous Region</t>
  </si>
  <si>
    <t>8029-0001</t>
  </si>
  <si>
    <t>Agroforestry</t>
  </si>
  <si>
    <t>CUIDEMOS Mexico (Campana De Uso Intelegente De Energia Mexico) - Smart Use of Energy Mexico</t>
  </si>
  <si>
    <t>8147-0001</t>
  </si>
  <si>
    <t>PoA0429</t>
  </si>
  <si>
    <t>Malawi and Zambia</t>
  </si>
  <si>
    <t>To distribute more efficient improved cooking systems _x000D_
(ICS) using renewable biomass affordable and available to users in the host countries</t>
  </si>
  <si>
    <t>Lilongwe</t>
  </si>
  <si>
    <t>Philips Smokeless stove</t>
  </si>
  <si>
    <t>CPA0425.0001</t>
  </si>
  <si>
    <t>PoA0430</t>
  </si>
  <si>
    <t>Improved Cook Stove Programme with Carbon Finance (ICF), Nepal</t>
  </si>
  <si>
    <t>Far Western Development Region</t>
  </si>
  <si>
    <t>SNV Netherlands Development Organisation</t>
  </si>
  <si>
    <t>To disseminate 150,000 improved cookstoves (ICS) to households in the Far Western _x000D_
Development Region (FWDR) of Nepal</t>
  </si>
  <si>
    <t>CPA # 01</t>
  </si>
  <si>
    <t>Doti, Dadeldhura, Baitadi, Achham, Darchula, Bajhang &amp; Bajura</t>
  </si>
  <si>
    <t>Locally made stoves</t>
  </si>
  <si>
    <t>PoA0431</t>
  </si>
  <si>
    <t>To reduce the amount of greenhouse gas (GHG) generated by the management of _x000D_
municipal wastewater and biomass waste within the Cape Town area</t>
  </si>
  <si>
    <t>City of Cape Town and the Cape Flats</t>
  </si>
  <si>
    <t>Repair the anaerobic digesters and the Thermal Drying Plant</t>
  </si>
  <si>
    <t>CPA0004.02</t>
  </si>
  <si>
    <t>2535-0002</t>
  </si>
  <si>
    <t>CUIDEMOS Mexico (Campana De Uso Intelegente De Energia Mexico) – CPA-02</t>
  </si>
  <si>
    <t>CPA0004.03</t>
  </si>
  <si>
    <t>2535-0003</t>
  </si>
  <si>
    <t>CUIDEMOS Mexico (Campana De Uso Intelegente De Energia Mexico) – CPA-03</t>
  </si>
  <si>
    <t>CPA0004.04</t>
  </si>
  <si>
    <t>2535-0004</t>
  </si>
  <si>
    <t>CUIDEMOS Mexico (Campana De Uso Intelegente De Energia Mexico) – CPA-04</t>
  </si>
  <si>
    <t>CPA0004.05</t>
  </si>
  <si>
    <t>2535-0005</t>
  </si>
  <si>
    <t>CUIDEMOS Mexico (Campana De Uso Intelegente De Energia Mexico) – CPA-05</t>
  </si>
  <si>
    <t>CPA0004.06</t>
  </si>
  <si>
    <t>2535-0006</t>
  </si>
  <si>
    <t>CUIDEMOS Mexico (Campana De Uso Intelegente De Energia Mexico) – CPA-06</t>
  </si>
  <si>
    <t>CPA0004.07</t>
  </si>
  <si>
    <t>2535-0007</t>
  </si>
  <si>
    <t>CUIDEMOS Mexico (Campana De Uso Intelegente De Energia Mexico) – CPA-07</t>
  </si>
  <si>
    <t>CPA0004.08</t>
  </si>
  <si>
    <t>2535-0008</t>
  </si>
  <si>
    <t>CUIDEMOS Mexico (Campana De Uso Intelegente De Energia Mexico) – CPA-08</t>
  </si>
  <si>
    <t>CPA0004.09</t>
  </si>
  <si>
    <t>2535-0009</t>
  </si>
  <si>
    <t>CUIDEMOS Mexico (Campana De Uso Intelegente De Energia Mexico) – CPA-09</t>
  </si>
  <si>
    <t>CPA0004.10</t>
  </si>
  <si>
    <t>2535-0010</t>
  </si>
  <si>
    <t>CUIDEMOS Mexico (Campana De Uso Intelegente De Energia Mexico) – CPA-10</t>
  </si>
  <si>
    <t>CPA0004.11</t>
  </si>
  <si>
    <t>2535-0011</t>
  </si>
  <si>
    <t>CUIDEMOS Mexico (Campana De Uso Intelegente De Energia Mexico) – CPA-11</t>
  </si>
  <si>
    <t>CPA0004.12</t>
  </si>
  <si>
    <t>2535-0012</t>
  </si>
  <si>
    <t>CUIDEMOS Mexico (Campana De Uso Intelegente De Energia Mexico) – CPA-12</t>
  </si>
  <si>
    <t>CPA0004.13</t>
  </si>
  <si>
    <t>2535-0013</t>
  </si>
  <si>
    <t>CUIDEMOS Mexico (Campana De Uso Intelegente De Energia Mexico) – CPA-13</t>
  </si>
  <si>
    <t>CPA0004.14</t>
  </si>
  <si>
    <t>2535-0014</t>
  </si>
  <si>
    <t>CUIDEMOS Mexico (Campana De Uso Intelegente De Energia Mexico) – CPA-14</t>
  </si>
  <si>
    <t>CPA0004.15</t>
  </si>
  <si>
    <t>2535-0015</t>
  </si>
  <si>
    <t>CUIDEMOS Mexico (Campana De Uso Intelegente De Energia Mexico) – CPA-15</t>
  </si>
  <si>
    <t>CPA0004.16</t>
  </si>
  <si>
    <t>2535-0016</t>
  </si>
  <si>
    <t>CUIDEMOS Mexico (Campana De Uso Intelegente De Energia Mexico) – CPA-16</t>
  </si>
  <si>
    <t>CPA0004.17</t>
  </si>
  <si>
    <t>2535-0017</t>
  </si>
  <si>
    <t>CUIDEMOS Mexico (Campana De Uso Intelegente De Energia Mexico) – CPA-17</t>
  </si>
  <si>
    <t>CPA0004.18</t>
  </si>
  <si>
    <t>2535-0018</t>
  </si>
  <si>
    <t>CUIDEMOS Mexico (Campana De Uso Intelegente De Energia Mexico) – CPA-18</t>
  </si>
  <si>
    <t>CPA0004.19</t>
  </si>
  <si>
    <t>2535-0019</t>
  </si>
  <si>
    <t>CUIDEMOS Mexico (Campana De Uso Intelegente De Energia Mexico) – CPA-19</t>
  </si>
  <si>
    <t>CPA0004.20</t>
  </si>
  <si>
    <t>2535-0020</t>
  </si>
  <si>
    <t>CUIDEMOS Mexico (Campana De Uso Intelegente De Energia Mexico) – CPA-20</t>
  </si>
  <si>
    <t>CPA0004.21</t>
  </si>
  <si>
    <t>2535-0021</t>
  </si>
  <si>
    <t>CUIDEMOS Mexico (Campana De Uso Intelegente De Energia Mexico) – CPA-21</t>
  </si>
  <si>
    <t>CPA0004.22</t>
  </si>
  <si>
    <t>2535-0022</t>
  </si>
  <si>
    <t>CUIDEMOS Mexico (Campana De Uso Intelegente De Energia Mexico) – CPA-22</t>
  </si>
  <si>
    <t>CPA0004.23</t>
  </si>
  <si>
    <t>2535-0023</t>
  </si>
  <si>
    <t>CUIDEMOS Mexico (Campana De Uso Intelegente De Energia Mexico) – CPA-23</t>
  </si>
  <si>
    <t>CPA0004.24</t>
  </si>
  <si>
    <t>2535-0024</t>
  </si>
  <si>
    <t>CUIDEMOS Mexico (Campana De Uso Intelegente De Energia Mexico) – CPA-24</t>
  </si>
  <si>
    <t>CPA0004.25</t>
  </si>
  <si>
    <t>2535-0025</t>
  </si>
  <si>
    <t>CUIDEMOS Mexico (Campana De Uso Intelegente De Energia Mexico) – CPA-25</t>
  </si>
  <si>
    <t>CPA0007.02</t>
  </si>
  <si>
    <t>3562-0002</t>
  </si>
  <si>
    <t>Mangungo I Hydroelectric Project</t>
  </si>
  <si>
    <t>1.5 MW run of river plant</t>
  </si>
  <si>
    <t>CPA0007.03</t>
  </si>
  <si>
    <t>3562-0003</t>
  </si>
  <si>
    <t>Morjá Hydroelectric Project</t>
  </si>
  <si>
    <t>El Paraiso</t>
  </si>
  <si>
    <t>8.6 MW run of river plant</t>
  </si>
  <si>
    <t>CPA0007.04</t>
  </si>
  <si>
    <t>3562-0004</t>
  </si>
  <si>
    <t>Peña Blanca I Hydroelectric Project</t>
  </si>
  <si>
    <t>Cortes</t>
  </si>
  <si>
    <t>0.908 MW run of river plant</t>
  </si>
  <si>
    <t>CPA0016.03</t>
  </si>
  <si>
    <t>2897-0003</t>
  </si>
  <si>
    <t>Greater Cairo Region Taxi Scrapping and Recycling Project (01 December 2010 to 29 November 2012)</t>
  </si>
  <si>
    <t>6810-0001</t>
  </si>
  <si>
    <t>CPA0063.04</t>
  </si>
  <si>
    <t>5067-0004</t>
  </si>
  <si>
    <t>CPA # 4 Improved Cooking Stoves for Nigeria</t>
  </si>
  <si>
    <t>CPA0063.05</t>
  </si>
  <si>
    <t>5067-0005</t>
  </si>
  <si>
    <t>CPA # 5 Improved Cooking Stoves for Nigeria</t>
  </si>
  <si>
    <t>Sustainability CFL Replacement Programme of Activities in South Africa</t>
  </si>
  <si>
    <t>7479-0001</t>
  </si>
  <si>
    <t>CPA0124.03</t>
  </si>
  <si>
    <t>6328-0003</t>
  </si>
  <si>
    <t>CPA - 003: 5 MW Solar PV power project, Jodhpur District, Rajasthan, India</t>
  </si>
  <si>
    <t>CPA0124.04</t>
  </si>
  <si>
    <t>6328-0004</t>
  </si>
  <si>
    <t>CPA 6328-0004 : CPA - 003: 5 MW Solar PV power project, Jodhpur District, Rajasthan, India</t>
  </si>
  <si>
    <t>8139-0001</t>
  </si>
  <si>
    <t>7730-0001</t>
  </si>
  <si>
    <t>Ethiopia, Rwanda, Uganda</t>
  </si>
  <si>
    <t>Ethiopia, Kenya, Rwanda, Uganda</t>
  </si>
  <si>
    <t>8239-0001</t>
  </si>
  <si>
    <t>ACES-Biogas – KENFAP – Kenya – CPA001</t>
  </si>
  <si>
    <t>CPA0170.06</t>
  </si>
  <si>
    <t>7167-0006</t>
  </si>
  <si>
    <t>Solar Capital De Aar 1 CPA-006 ("SCDA1 CPA-006")</t>
  </si>
  <si>
    <t>75 MW (Witkop) solar PV plant</t>
  </si>
  <si>
    <t>CPA0170.07</t>
  </si>
  <si>
    <t>7167-0007</t>
  </si>
  <si>
    <t>Solar Capital De Aar 3 CPA-007 ("SCDA3 CPA-007")</t>
  </si>
  <si>
    <t>CPA0170.08</t>
  </si>
  <si>
    <t>7167-0008</t>
  </si>
  <si>
    <t>Lesedi 74.96 MW Solar PV Project CPA-008</t>
  </si>
  <si>
    <t>76.96 MW (Witkop) solar PV plant</t>
  </si>
  <si>
    <t>CPA0170.09</t>
  </si>
  <si>
    <t>7167-0009</t>
  </si>
  <si>
    <t>Letsatsi 74.96 MW Solar PV Project CPA-009</t>
  </si>
  <si>
    <t>74.96 MW (Witkop) solar PV plant</t>
  </si>
  <si>
    <t>CPA0170.10</t>
  </si>
  <si>
    <t>7167-0010</t>
  </si>
  <si>
    <t>Scatec Solar Dreunberg CPA-010</t>
  </si>
  <si>
    <t>Eastern Cape Province</t>
  </si>
  <si>
    <t>9181-0001</t>
  </si>
  <si>
    <t>Mexico, Nicaragua</t>
  </si>
  <si>
    <t>9218-0001</t>
  </si>
  <si>
    <t>9247-0001</t>
  </si>
  <si>
    <t>PV power plants project on collective housing of 2011-&lt;2011-LH-001-01457&gt;</t>
  </si>
  <si>
    <t>9174-0001</t>
  </si>
  <si>
    <t>7467-0001</t>
  </si>
  <si>
    <t>8655-0001</t>
  </si>
  <si>
    <t>9191-0001</t>
  </si>
  <si>
    <t>9265-0001</t>
  </si>
  <si>
    <t>9217-0001</t>
  </si>
  <si>
    <t>9251-0001</t>
  </si>
  <si>
    <t>9315-0001</t>
  </si>
  <si>
    <t>9160-0001</t>
  </si>
  <si>
    <t>6386-0001</t>
  </si>
  <si>
    <t>9059-0001</t>
  </si>
  <si>
    <t>9206-0001</t>
  </si>
  <si>
    <t>6422-0001</t>
  </si>
  <si>
    <t>8497-0001</t>
  </si>
  <si>
    <t>8463-0001</t>
  </si>
  <si>
    <t>CFL Distribution Programme in Jiangxi Province</t>
  </si>
  <si>
    <t>6424-0001</t>
  </si>
  <si>
    <t>8387-0001</t>
  </si>
  <si>
    <t>8384-0001</t>
  </si>
  <si>
    <t>8462-0001</t>
  </si>
  <si>
    <t>9260-0001</t>
  </si>
  <si>
    <t>8964-0001</t>
  </si>
  <si>
    <t>CP1      kCERs</t>
  </si>
  <si>
    <t>2765</t>
  </si>
  <si>
    <t>Installation of Solar Home Systems in Bangladesh (22/06/2007 to 31/12/2010) by IDCOL</t>
  </si>
  <si>
    <t>CPA0001.02</t>
  </si>
  <si>
    <t>2765-0002</t>
  </si>
  <si>
    <t>Installation of Solar Home Systems in Bangladesh (01/01/2011 to 31/12/2011) by IDCOL</t>
  </si>
  <si>
    <t>Bundle of estimated4 225,205 units of Solar Home Systems (SHS)</t>
  </si>
  <si>
    <t>CPA0001.03</t>
  </si>
  <si>
    <t>2765-0003</t>
  </si>
  <si>
    <t>Installation of Solar Home Systems in Bangladesh (01/01/2010 to 31/12/2010) by Grameen Shakti</t>
  </si>
  <si>
    <t>Bundle of estimated4 175,079 units of Solar Home Systems (SHS)</t>
  </si>
  <si>
    <t>CPA0001.04</t>
  </si>
  <si>
    <t>2765-0004</t>
  </si>
  <si>
    <t>Installation of Solar Home Systems in Bangladesh (01/01/2012 to 30/06/2012) by IDCOL</t>
  </si>
  <si>
    <t>Bundle of estimated4 177,851 units of Solar Home Systems (SHS)</t>
  </si>
  <si>
    <t>CPA0001.05</t>
  </si>
  <si>
    <t>2765-0005</t>
  </si>
  <si>
    <t>Installation of Solar Home Systems in Bangladesh (01/01/2011 to 31/12/2011) by Grameen Shakti</t>
  </si>
  <si>
    <t>Bundle of estimated4 211,284 units of Solar Home Systems (SHS)</t>
  </si>
  <si>
    <t>CPA0001.06</t>
  </si>
  <si>
    <t>2765-0006</t>
  </si>
  <si>
    <t>Installation of Solar Home Systems in Bangladesh (01/01/2012 to 31/12/2012) by Grameen Shakti</t>
  </si>
  <si>
    <t>Bundle of estimated4 245,009 units of Solar Home Systems (SHS)</t>
  </si>
  <si>
    <t>CPA0001.07</t>
  </si>
  <si>
    <t>2765-0007</t>
  </si>
  <si>
    <t>Installation of Solar Home Systems in Bangladesh (01/07/2012 to 31/12/2012) by IDCOL</t>
  </si>
  <si>
    <t>Bundle of estimated4 194,802 units of Solar Home Systems (SHS)</t>
  </si>
  <si>
    <t>CPA0001.08</t>
  </si>
  <si>
    <t>2765-0008</t>
  </si>
  <si>
    <t>Installation of Solar Home Systems in Bangladesh (22/06/2007 to 31/12/2009) by Grameen Shakti</t>
  </si>
  <si>
    <t>Bundle of estimated4 151,895 units of Solar Home Systems (SHS)</t>
  </si>
  <si>
    <t>2535</t>
  </si>
  <si>
    <t>2956</t>
  </si>
  <si>
    <t>5927</t>
  </si>
  <si>
    <t>3562</t>
  </si>
  <si>
    <t>4659</t>
  </si>
  <si>
    <t>CPA0013.31</t>
  </si>
  <si>
    <t>4041-0031</t>
  </si>
  <si>
    <t>Promotion of Biomass Based Heat Generation Systems in India” (CPA Number 029)</t>
  </si>
  <si>
    <t>4791</t>
  </si>
  <si>
    <t>5174</t>
  </si>
  <si>
    <t>8027</t>
  </si>
  <si>
    <t>5104</t>
  </si>
  <si>
    <t>5616</t>
  </si>
  <si>
    <t>5979</t>
  </si>
  <si>
    <t>5787</t>
  </si>
  <si>
    <t>4793</t>
  </si>
  <si>
    <t>8521</t>
  </si>
  <si>
    <t>8390</t>
  </si>
  <si>
    <t>8390-0001</t>
  </si>
  <si>
    <t>6810</t>
  </si>
  <si>
    <t>Hybrid renewables</t>
  </si>
  <si>
    <t>8480</t>
  </si>
  <si>
    <t>5092</t>
  </si>
  <si>
    <t>6694</t>
  </si>
  <si>
    <t>6707</t>
  </si>
  <si>
    <t>7760</t>
  </si>
  <si>
    <t>5019</t>
  </si>
  <si>
    <t>6568</t>
  </si>
  <si>
    <t>5324</t>
  </si>
  <si>
    <t>5324-0005</t>
  </si>
  <si>
    <t>Ta Nung Hydropower Project</t>
  </si>
  <si>
    <t>Lam Dong</t>
  </si>
  <si>
    <t>2 MW run of river hydropower plant</t>
  </si>
  <si>
    <t>5324-0006</t>
  </si>
  <si>
    <t>Tu Tren Hydropower Project</t>
  </si>
  <si>
    <t>2.8 MW run of river hydropower plant</t>
  </si>
  <si>
    <t>5324-0007</t>
  </si>
  <si>
    <t>Ta Vi Hydropower Project</t>
  </si>
  <si>
    <t>Quang Nam</t>
  </si>
  <si>
    <t>3 MW run of river hydropower plant</t>
  </si>
  <si>
    <t>5324-0008</t>
  </si>
  <si>
    <t>Dak Pone2 Hydropower Project</t>
  </si>
  <si>
    <t>3.6 MW run of river hydropower plant</t>
  </si>
  <si>
    <t>5324-0009</t>
  </si>
  <si>
    <t>Da Kai Hydropower Project</t>
  </si>
  <si>
    <t>8 MW run of river hydropower plant</t>
  </si>
  <si>
    <t>5324-0010</t>
  </si>
  <si>
    <t>Dak Glun 2 Hydropower Project</t>
  </si>
  <si>
    <t>Binh Phuoc</t>
  </si>
  <si>
    <t>10 MW run of river hydropower plant</t>
  </si>
  <si>
    <t>5324-0011</t>
  </si>
  <si>
    <t>Dray H’Linh 3 Hydropower Project</t>
  </si>
  <si>
    <t>Dak Lak</t>
  </si>
  <si>
    <t>6826</t>
  </si>
  <si>
    <t>6283</t>
  </si>
  <si>
    <t>7014</t>
  </si>
  <si>
    <t>5033</t>
  </si>
  <si>
    <t>6299</t>
  </si>
  <si>
    <t>8024</t>
  </si>
  <si>
    <t>7078</t>
  </si>
  <si>
    <t>5588</t>
  </si>
  <si>
    <t>5272</t>
  </si>
  <si>
    <t>7654</t>
  </si>
  <si>
    <t>8526</t>
  </si>
  <si>
    <t>6584</t>
  </si>
  <si>
    <t>7237</t>
  </si>
  <si>
    <t>8088</t>
  </si>
  <si>
    <t>7883</t>
  </si>
  <si>
    <t>7811</t>
  </si>
  <si>
    <t>5758</t>
  </si>
  <si>
    <t>2900</t>
  </si>
  <si>
    <t>8055</t>
  </si>
  <si>
    <t>6511</t>
  </si>
  <si>
    <t>6198</t>
  </si>
  <si>
    <t>6159</t>
  </si>
  <si>
    <t>8383</t>
  </si>
  <si>
    <t>6119</t>
  </si>
  <si>
    <t>7398</t>
  </si>
  <si>
    <t>Standard Bank Energy Efficient Commercial Lighting Programme of Activities</t>
  </si>
  <si>
    <t>7398-0001</t>
  </si>
  <si>
    <t>9020</t>
  </si>
  <si>
    <t>5962</t>
  </si>
  <si>
    <t>7479</t>
  </si>
  <si>
    <t>9387</t>
  </si>
  <si>
    <t>9387-0001</t>
  </si>
  <si>
    <t>6749</t>
  </si>
  <si>
    <t>6161</t>
  </si>
  <si>
    <t>6606</t>
  </si>
  <si>
    <t>6209</t>
  </si>
  <si>
    <t>6142</t>
  </si>
  <si>
    <t>6142-0001</t>
  </si>
  <si>
    <t>CPA0124.05</t>
  </si>
  <si>
    <t>6328-0005</t>
  </si>
  <si>
    <t>CPA - 005: 5 MW Solar PV power project, Kutch, Gujarat, India</t>
  </si>
  <si>
    <t>6110</t>
  </si>
  <si>
    <t>5931</t>
  </si>
  <si>
    <t>9169</t>
  </si>
  <si>
    <t>6095</t>
  </si>
  <si>
    <t>8301</t>
  </si>
  <si>
    <t>8139</t>
  </si>
  <si>
    <t>6222</t>
  </si>
  <si>
    <t>6434</t>
  </si>
  <si>
    <t>8674</t>
  </si>
  <si>
    <t>6731</t>
  </si>
  <si>
    <t>7864</t>
  </si>
  <si>
    <t>7849</t>
  </si>
  <si>
    <t>6337</t>
  </si>
  <si>
    <t>8950</t>
  </si>
  <si>
    <t>7211</t>
  </si>
  <si>
    <t>8637</t>
  </si>
  <si>
    <t>7062</t>
  </si>
  <si>
    <t>8260</t>
  </si>
  <si>
    <t>7156</t>
  </si>
  <si>
    <t>7271</t>
  </si>
  <si>
    <t>2901</t>
  </si>
  <si>
    <t>6573</t>
  </si>
  <si>
    <t>8734</t>
  </si>
  <si>
    <t>7730</t>
  </si>
  <si>
    <t>7489</t>
  </si>
  <si>
    <t>8239</t>
  </si>
  <si>
    <t>7997</t>
  </si>
  <si>
    <t>7997-0001</t>
  </si>
  <si>
    <t>7460</t>
  </si>
  <si>
    <t>8856</t>
  </si>
  <si>
    <t>6734</t>
  </si>
  <si>
    <t>9126</t>
  </si>
  <si>
    <t>7359</t>
  </si>
  <si>
    <t>5341</t>
  </si>
  <si>
    <t>5342</t>
  </si>
  <si>
    <t>8866</t>
  </si>
  <si>
    <t>8866-0001</t>
  </si>
  <si>
    <t>6600</t>
  </si>
  <si>
    <t>6285</t>
  </si>
  <si>
    <t>7897</t>
  </si>
  <si>
    <t>6819</t>
  </si>
  <si>
    <t>6622</t>
  </si>
  <si>
    <t>7889</t>
  </si>
  <si>
    <t>7484</t>
  </si>
  <si>
    <t>7734</t>
  </si>
  <si>
    <t>6813</t>
  </si>
  <si>
    <t>7274</t>
  </si>
  <si>
    <t>7959</t>
  </si>
  <si>
    <t>7763</t>
  </si>
  <si>
    <t>3143</t>
  </si>
  <si>
    <t>8426</t>
  </si>
  <si>
    <t>8696</t>
  </si>
  <si>
    <t>9181</t>
  </si>
  <si>
    <t>8777</t>
  </si>
  <si>
    <t>8990</t>
  </si>
  <si>
    <t>8142</t>
  </si>
  <si>
    <t>8457</t>
  </si>
  <si>
    <t>8060</t>
  </si>
  <si>
    <t>7767</t>
  </si>
  <si>
    <t>7470</t>
  </si>
  <si>
    <t>6913</t>
  </si>
  <si>
    <t>7699</t>
  </si>
  <si>
    <t>9218</t>
  </si>
  <si>
    <t>9247</t>
  </si>
  <si>
    <t>9174</t>
  </si>
  <si>
    <t>7191</t>
  </si>
  <si>
    <t>7467</t>
  </si>
  <si>
    <t>8733</t>
  </si>
  <si>
    <t>7847</t>
  </si>
  <si>
    <t>8627</t>
  </si>
  <si>
    <t>8919</t>
  </si>
  <si>
    <t>7892</t>
  </si>
  <si>
    <t>8188</t>
  </si>
  <si>
    <t>8655</t>
  </si>
  <si>
    <t>8232</t>
  </si>
  <si>
    <t>7596</t>
  </si>
  <si>
    <t>9191</t>
  </si>
  <si>
    <t>7887</t>
  </si>
  <si>
    <t>9265</t>
  </si>
  <si>
    <t>8868</t>
  </si>
  <si>
    <t>9217</t>
  </si>
  <si>
    <t>8432</t>
  </si>
  <si>
    <t>9251</t>
  </si>
  <si>
    <t>7522</t>
  </si>
  <si>
    <t>9299</t>
  </si>
  <si>
    <t>9299-0001</t>
  </si>
  <si>
    <t>7893</t>
  </si>
  <si>
    <t>9315</t>
  </si>
  <si>
    <t>8259</t>
  </si>
  <si>
    <t>8058</t>
  </si>
  <si>
    <t>8630</t>
  </si>
  <si>
    <t>8640</t>
  </si>
  <si>
    <t>8949-0001</t>
  </si>
  <si>
    <t>8261</t>
  </si>
  <si>
    <t>6825</t>
  </si>
  <si>
    <t>6825-0001</t>
  </si>
  <si>
    <t>8742</t>
  </si>
  <si>
    <t>9188</t>
  </si>
  <si>
    <t>8132</t>
  </si>
  <si>
    <t>8132-0001</t>
  </si>
  <si>
    <t>9071</t>
  </si>
  <si>
    <t>9071-0001</t>
  </si>
  <si>
    <t>8864</t>
  </si>
  <si>
    <t>8331</t>
  </si>
  <si>
    <t>9096</t>
  </si>
  <si>
    <t>9160</t>
  </si>
  <si>
    <t>6386</t>
  </si>
  <si>
    <t>8535</t>
  </si>
  <si>
    <t>8824</t>
  </si>
  <si>
    <t>9059</t>
  </si>
  <si>
    <t>9432</t>
  </si>
  <si>
    <t>9432-0001</t>
  </si>
  <si>
    <t>8963</t>
  </si>
  <si>
    <t>9292</t>
  </si>
  <si>
    <t>9292-0001</t>
  </si>
  <si>
    <t>9103</t>
  </si>
  <si>
    <t>7636</t>
  </si>
  <si>
    <t>8438</t>
  </si>
  <si>
    <t>9339</t>
  </si>
  <si>
    <t>9339-0001</t>
  </si>
  <si>
    <t>9146</t>
  </si>
  <si>
    <t>AMS-I.J.+AMS-II.C.</t>
  </si>
  <si>
    <t>9146-0001</t>
  </si>
  <si>
    <t>9206</t>
  </si>
  <si>
    <t>6422</t>
  </si>
  <si>
    <t>8497</t>
  </si>
  <si>
    <t>8463</t>
  </si>
  <si>
    <t>6424</t>
  </si>
  <si>
    <t>8029</t>
  </si>
  <si>
    <t>8387</t>
  </si>
  <si>
    <t>8498</t>
  </si>
  <si>
    <t>8498-0001</t>
  </si>
  <si>
    <t>8384</t>
  </si>
  <si>
    <t>8462</t>
  </si>
  <si>
    <t>9260</t>
  </si>
  <si>
    <t>9094</t>
  </si>
  <si>
    <t>8855</t>
  </si>
  <si>
    <t>8964</t>
  </si>
  <si>
    <t>9399</t>
  </si>
  <si>
    <t>9399-0001</t>
  </si>
  <si>
    <t>6207</t>
  </si>
  <si>
    <t>8147</t>
  </si>
  <si>
    <t>PoA0432</t>
  </si>
  <si>
    <t>Production of biogas from animal manure for rural household</t>
  </si>
  <si>
    <t>Agricultural Technological Transfer Society</t>
  </si>
  <si>
    <t>To replace the current usage of fuel wood in rural _x000D_
households of Sudan and to help in making the rural _x000D_
households self-sufficient in the most basic necessity in daily life i.e. fuel for cooking, heating, etc.</t>
  </si>
  <si>
    <t>Production of Biogas in North Kordofan, Sudan</t>
  </si>
  <si>
    <t>North _x000D_
Kordofan</t>
  </si>
  <si>
    <t>Bio digesters to be installed at household level</t>
  </si>
  <si>
    <t>7247-0001</t>
  </si>
  <si>
    <t>Supported by CDM Loan Scheme</t>
  </si>
  <si>
    <t>5324-0012</t>
  </si>
  <si>
    <t>Dak U Hydropower Project</t>
  </si>
  <si>
    <t>5324-0013</t>
  </si>
  <si>
    <t>Ia Krel 2 Hydropower Project</t>
  </si>
  <si>
    <t>9437</t>
  </si>
  <si>
    <t>9437-0001</t>
  </si>
  <si>
    <t>CPA0124.06</t>
  </si>
  <si>
    <t>6328-0006</t>
  </si>
  <si>
    <t>CPA - 006: 5 MW Solar PV power project, Surendranagar, Gujarat, India</t>
  </si>
  <si>
    <t>7067</t>
  </si>
  <si>
    <t>7067-0001</t>
  </si>
  <si>
    <t>7247</t>
  </si>
  <si>
    <t>9488</t>
  </si>
  <si>
    <t>9488-0001</t>
  </si>
  <si>
    <t>To reduce emissions from household cooking stoves.</t>
  </si>
  <si>
    <t>CPA-MA-001-Ambhohidratrimo</t>
  </si>
  <si>
    <t>Ambohidratrimo</t>
  </si>
  <si>
    <t>CPA0184.02</t>
  </si>
  <si>
    <t>7359-0002</t>
  </si>
  <si>
    <t>CPA-MA 002 Atsinanana 1</t>
  </si>
  <si>
    <t>Toamasina1</t>
  </si>
  <si>
    <t>CPA0184.03</t>
  </si>
  <si>
    <t>7359-0003</t>
  </si>
  <si>
    <t>CPA-MA-003 Antananarivo Renivohitra 4</t>
  </si>
  <si>
    <t>Antananarivo Renivohitra</t>
  </si>
  <si>
    <t>CPA0184.04</t>
  </si>
  <si>
    <t>7359-0004</t>
  </si>
  <si>
    <t>CPA-MA- 004 Vakinankaratra 1</t>
  </si>
  <si>
    <t>Antsirabe 1</t>
  </si>
  <si>
    <t>CPA0184.05</t>
  </si>
  <si>
    <t>7359-0005</t>
  </si>
  <si>
    <t>CPA-MA-005 Vakinankaratra 2</t>
  </si>
  <si>
    <t>Antsirabe 2</t>
  </si>
  <si>
    <t>CPA0184.06</t>
  </si>
  <si>
    <t>7359-0006</t>
  </si>
  <si>
    <t>CPA-MA- 006 Vakinankaratra 3</t>
  </si>
  <si>
    <t>Betafo</t>
  </si>
  <si>
    <t>CPA0184.07</t>
  </si>
  <si>
    <t>7359-0007</t>
  </si>
  <si>
    <t>CPA-MA- 007 Vakinankaratra 4</t>
  </si>
  <si>
    <t>Antanifotsy, Ambatolampy</t>
  </si>
  <si>
    <t>CPA0184.08</t>
  </si>
  <si>
    <t>7359-0008</t>
  </si>
  <si>
    <t>CPA-MA-008 Atsinanana 2</t>
  </si>
  <si>
    <t>Toamasina 2, Brickaville, Vatomandry, Mahanoro</t>
  </si>
  <si>
    <t>CPA0184.09</t>
  </si>
  <si>
    <t>7359-0009</t>
  </si>
  <si>
    <t>CPA-MA-009 Alaotra Mangoro</t>
  </si>
  <si>
    <t>Moramanga, Anosibe Anala</t>
  </si>
  <si>
    <t>CPA0184.10</t>
  </si>
  <si>
    <t>7359-0010</t>
  </si>
  <si>
    <t>CPA-MA-010 Haute Matsiatra 1</t>
  </si>
  <si>
    <t>Fianarantsoa</t>
  </si>
  <si>
    <t>CPA0184.11</t>
  </si>
  <si>
    <t>7359-0011</t>
  </si>
  <si>
    <t>CPA-MA-011 Haute Matsiatra 2</t>
  </si>
  <si>
    <t>Ambohimahasoa</t>
  </si>
  <si>
    <t>CPA0184.12</t>
  </si>
  <si>
    <t>7359-0012</t>
  </si>
  <si>
    <t>CPA-MA-012 Haute Matsiatra 3</t>
  </si>
  <si>
    <t>Lalangina, Isandra, Vohibato, Ikalamavony</t>
  </si>
  <si>
    <t>CPA0184.13</t>
  </si>
  <si>
    <t>7359-0013</t>
  </si>
  <si>
    <t>CPA-MA-013 Antananarivo Avaradrano</t>
  </si>
  <si>
    <t>Antananarivo Avaradrano</t>
  </si>
  <si>
    <t>CPA0184.14</t>
  </si>
  <si>
    <t>7359-0014</t>
  </si>
  <si>
    <t>CPA-MA-014 Bongolava</t>
  </si>
  <si>
    <t>Tsiroanomandidy</t>
  </si>
  <si>
    <t>CPA0184.15</t>
  </si>
  <si>
    <t>7359-0015</t>
  </si>
  <si>
    <t>CPA-MA-015 Itasy</t>
  </si>
  <si>
    <t>Miarinarivo</t>
  </si>
  <si>
    <t>CPA0184.16</t>
  </si>
  <si>
    <t>7359-0016</t>
  </si>
  <si>
    <t>CPA-MA-016 Analamanga 1</t>
  </si>
  <si>
    <t>Manjakandriana</t>
  </si>
  <si>
    <t>CPA0184.17</t>
  </si>
  <si>
    <t>7359-0017</t>
  </si>
  <si>
    <t>CPA-MA-017 Analamanga 2</t>
  </si>
  <si>
    <t>Anjozorobe</t>
  </si>
  <si>
    <t>CPA0184.18</t>
  </si>
  <si>
    <t>7359-0018</t>
  </si>
  <si>
    <t>CPA-MA-018 Analamanga 3</t>
  </si>
  <si>
    <t>Antananarivo Atsimondrano</t>
  </si>
  <si>
    <t>CPA0184.19</t>
  </si>
  <si>
    <t>7359-0019</t>
  </si>
  <si>
    <t>CPA-MA-019 Antananarivo Renivohitra 1</t>
  </si>
  <si>
    <t>CPA0184.20</t>
  </si>
  <si>
    <t>7359-0020</t>
  </si>
  <si>
    <t>CPA-MA-020 Antananarivo Renivohitra 2</t>
  </si>
  <si>
    <t>CPA0184.21</t>
  </si>
  <si>
    <t>7359-0021</t>
  </si>
  <si>
    <t>CPA-MA-021 Antananarivo Renivohitra 3</t>
  </si>
  <si>
    <t>CPA0184.22</t>
  </si>
  <si>
    <t>7359-0022</t>
  </si>
  <si>
    <t>CPA-MA-022 Antananarivo Renivohitra 5</t>
  </si>
  <si>
    <t>CPA0184.23</t>
  </si>
  <si>
    <t>7359-0023</t>
  </si>
  <si>
    <t>CPA-MA 023 Antananarivo Renivohitra 6</t>
  </si>
  <si>
    <t>CPA0184.24</t>
  </si>
  <si>
    <t>7359-0024</t>
  </si>
  <si>
    <t>CPA-ET-001 LIBEN ZONE</t>
  </si>
  <si>
    <t>Liben</t>
  </si>
  <si>
    <t>CPA0184.25</t>
  </si>
  <si>
    <t>7359-0025</t>
  </si>
  <si>
    <t>CPA-ET-002 GULELE</t>
  </si>
  <si>
    <t>Gulele</t>
  </si>
  <si>
    <t>CPA0184.26</t>
  </si>
  <si>
    <t>7359-0026</t>
  </si>
  <si>
    <t>CPA-ET-003 KOLFE KERANYO</t>
  </si>
  <si>
    <t>Kolfe Keranyo</t>
  </si>
  <si>
    <t>CPA0184.27</t>
  </si>
  <si>
    <t>7359-0027</t>
  </si>
  <si>
    <t>CPA-KE-001 KIBERA</t>
  </si>
  <si>
    <t>Langata</t>
  </si>
  <si>
    <t>CPA0184.28</t>
  </si>
  <si>
    <t>7359-0028</t>
  </si>
  <si>
    <t>CPA-KE-002 NAIVASHA</t>
  </si>
  <si>
    <t>Naivasha</t>
  </si>
  <si>
    <t>CPA0184.29</t>
  </si>
  <si>
    <t>7359-0029</t>
  </si>
  <si>
    <t>CPA-KE-003 KILIFI A</t>
  </si>
  <si>
    <t>Ganze, Bahari, Kaloleni ,Rabai</t>
  </si>
  <si>
    <t>CPA0184.30</t>
  </si>
  <si>
    <t>7359-0030</t>
  </si>
  <si>
    <t>CPA-KE-004 KILIFI B</t>
  </si>
  <si>
    <t>Magarini , Malindi</t>
  </si>
  <si>
    <t>CPA0184.31</t>
  </si>
  <si>
    <t>7359-0031</t>
  </si>
  <si>
    <t>CPA-KE-005 MOMBASA</t>
  </si>
  <si>
    <t>Mvita, Likoni, Kisauni, Changamwe</t>
  </si>
  <si>
    <t>CPA0184.32</t>
  </si>
  <si>
    <t>7359-0032</t>
  </si>
  <si>
    <t>CPA-KE-006 KWALE</t>
  </si>
  <si>
    <t>Matuga, Kinango, Msabweni</t>
  </si>
  <si>
    <t>CPA0184.33</t>
  </si>
  <si>
    <t>7359-0033</t>
  </si>
  <si>
    <t>CPA-KE-007 LAMU</t>
  </si>
  <si>
    <t>Lamu, Tana River, Taita Taveta</t>
  </si>
  <si>
    <t>CPA0184.34</t>
  </si>
  <si>
    <t>7359-0034</t>
  </si>
  <si>
    <t>CPA-KE-008 KISUMU</t>
  </si>
  <si>
    <t>Kisumu West, Kisumu Central, Kisumu East, Seme, Nyando, Muhoroni, Nyakach</t>
  </si>
  <si>
    <t>CPA0184.35</t>
  </si>
  <si>
    <t>7359-0035</t>
  </si>
  <si>
    <t>CPA-ML-001 LILONGWE</t>
  </si>
  <si>
    <t>CPA0184.36</t>
  </si>
  <si>
    <t>7359-0036</t>
  </si>
  <si>
    <t>CPA-MO-001 MAPUTO CITY</t>
  </si>
  <si>
    <t>Maputo city</t>
  </si>
  <si>
    <t>CPA0184.37</t>
  </si>
  <si>
    <t>7359-0037</t>
  </si>
  <si>
    <t>CPA-MO-002 MAPUTO PROVINCE</t>
  </si>
  <si>
    <t>Boane, Magude, Manhiça, Marracuene, Moamba, Namaacha, Matutuine</t>
  </si>
  <si>
    <t>CPA0184.38</t>
  </si>
  <si>
    <t>7359-0038</t>
  </si>
  <si>
    <t>CPA-NI-001 OYO STATE</t>
  </si>
  <si>
    <t>Oyo state</t>
  </si>
  <si>
    <t>CPA0184.39</t>
  </si>
  <si>
    <t>7359-0039</t>
  </si>
  <si>
    <t>CPA-NI-002 DELTA STATE</t>
  </si>
  <si>
    <t>Delta state</t>
  </si>
  <si>
    <t>CPA0184.40</t>
  </si>
  <si>
    <t>7359-0040</t>
  </si>
  <si>
    <t>CPA-UG-001 KIRA TOWN</t>
  </si>
  <si>
    <t>Wakiso</t>
  </si>
  <si>
    <t>CPA0184.41</t>
  </si>
  <si>
    <t>7359-0041</t>
  </si>
  <si>
    <t>CPA-ZA-001 LUSAKA</t>
  </si>
  <si>
    <t>Lusaka</t>
  </si>
  <si>
    <t>9393</t>
  </si>
  <si>
    <t>9393-0001</t>
  </si>
  <si>
    <t>San Juan - Parque Eólico</t>
  </si>
  <si>
    <t>9497</t>
  </si>
  <si>
    <t>9497-0001</t>
  </si>
  <si>
    <t>9477</t>
  </si>
  <si>
    <t>9477-0001</t>
  </si>
  <si>
    <t>9296</t>
  </si>
  <si>
    <t>9296-0001</t>
  </si>
  <si>
    <t>CPA 001 under PoA ‘South African Large Scale Grid Connected Solar Park Programme</t>
  </si>
  <si>
    <t>9411</t>
  </si>
  <si>
    <t>9411-0001</t>
  </si>
  <si>
    <t>9431</t>
  </si>
  <si>
    <t>9431-0001</t>
  </si>
  <si>
    <t>Sol del Loa Photovoltaic Power Plant Project (Proyecto Central Fotovoltáica Sol del Loa) CPA Serial Number 001</t>
  </si>
  <si>
    <t>9441</t>
  </si>
  <si>
    <t>9441-0001</t>
  </si>
  <si>
    <t>Nigeria Energy Efficiency CFL Lighting Scheme - ICIMI-PoA – CPA 1 – Ikorodu-Ijede</t>
  </si>
  <si>
    <t>9416</t>
  </si>
  <si>
    <t>9416-0001</t>
  </si>
  <si>
    <t>9491</t>
  </si>
  <si>
    <t>9491-0001</t>
  </si>
  <si>
    <t>7068</t>
  </si>
  <si>
    <t>7068-0001</t>
  </si>
  <si>
    <t>8659</t>
  </si>
  <si>
    <t>Programme of activities for the recovery and use of associated petroleum gas, normally combusted in flare stacks in oil-producing fields</t>
  </si>
  <si>
    <t>8659-0001</t>
  </si>
  <si>
    <t>9358</t>
  </si>
  <si>
    <t>9358-0001</t>
  </si>
  <si>
    <t>Petrotrin Oilfield Associated Gas Recovery and Utilization Project – CPA1</t>
  </si>
  <si>
    <t>9421</t>
  </si>
  <si>
    <t>9421-0001</t>
  </si>
  <si>
    <t>9502</t>
  </si>
  <si>
    <t>9502-0001</t>
  </si>
  <si>
    <t>9442</t>
  </si>
  <si>
    <t>9442-0001</t>
  </si>
  <si>
    <t>CPA0429.01</t>
  </si>
  <si>
    <t>CPA0430.01</t>
  </si>
  <si>
    <t>CPA0431.01</t>
  </si>
  <si>
    <t>CPA0432.01</t>
  </si>
  <si>
    <t>PoA0433</t>
  </si>
  <si>
    <t>CDM Sustainable Energy Programme</t>
  </si>
  <si>
    <t>SEM Fund</t>
  </si>
  <si>
    <t>The proposed PoA will deliver a long-term, secure and simple contribution to sustainable development that, without carbon finance, would not exist.</t>
  </si>
  <si>
    <t>CPA0433.01</t>
  </si>
  <si>
    <t>CDM Sustainable Energy Project Dakar 1, Version 01.</t>
  </si>
  <si>
    <t>15,330 highly efficient and durable cooking systems</t>
  </si>
  <si>
    <t>CP2      kCERs</t>
  </si>
  <si>
    <t>Global</t>
  </si>
  <si>
    <t>PoAs with new CPA's included (the first CPA is not counted here)</t>
  </si>
  <si>
    <t>All Africa</t>
  </si>
  <si>
    <t>21 countires in Asia and Latin America</t>
  </si>
  <si>
    <t>All LDC countries</t>
  </si>
  <si>
    <t xml:space="preserve"> 3-5 Middle East countries</t>
  </si>
  <si>
    <t>2-3 African countries</t>
  </si>
  <si>
    <t xml:space="preserve"> 4-8 African countries</t>
  </si>
  <si>
    <t>&gt;10 African countries</t>
  </si>
  <si>
    <t xml:space="preserve"> 2-3 countrins in Latin America</t>
  </si>
  <si>
    <t xml:space="preserve"> 3-10 countries in Asia</t>
  </si>
  <si>
    <t>All ASEAN countries</t>
  </si>
  <si>
    <t>All Southern Africa</t>
  </si>
  <si>
    <t>Multi country PoAs covering</t>
  </si>
  <si>
    <t>Total multicountry PoAs</t>
  </si>
  <si>
    <t>All Middle East countries</t>
  </si>
  <si>
    <t xml:space="preserve">All Latin America and Africa </t>
  </si>
  <si>
    <t>Mixed renewables</t>
  </si>
  <si>
    <t>CPA0001.09</t>
  </si>
  <si>
    <t>2765-0009</t>
  </si>
  <si>
    <t>Installation of Solar Home Systems in Bangladesh (01/01/2013 to 31/08/2013) by Grameen Shakti</t>
  </si>
  <si>
    <t>Bundle of estimated 213,333 units of Solar Home Systems (SHS)</t>
  </si>
  <si>
    <t>CPA0001.10</t>
  </si>
  <si>
    <t>2765-0010</t>
  </si>
  <si>
    <t>Installation of Solar Home Systems in Bangladesh (01/09/2013 to 30/04/2014) by Grameen Shakti</t>
  </si>
  <si>
    <t>Bundle of estimated 226,667 units of Solar Home Systems (SHS)</t>
  </si>
  <si>
    <t>CPA0001.11</t>
  </si>
  <si>
    <t>2765-0011</t>
  </si>
  <si>
    <t>Installation of Solar Home Systems in Bangladesh (01/05/2014 to 31/12/2014) by Grameen Shakti</t>
  </si>
  <si>
    <t>Bundle of estimated 240,000 units of Solar Home Systems (SHS)</t>
  </si>
  <si>
    <t>CPA0001.12</t>
  </si>
  <si>
    <t>2765-0012</t>
  </si>
  <si>
    <t>Installation of Solar Home Systemsin Bangladesh (01/01/2013 to 31/08/2013) by IDCOL2</t>
  </si>
  <si>
    <t>Bundle of estimated 266,667 units of Solar Home Systems (SHS)</t>
  </si>
  <si>
    <t>CPA0001.13</t>
  </si>
  <si>
    <t>2765-0013</t>
  </si>
  <si>
    <t>Installation of Solar Home Systemsin Bangladesh (01/09/2013 to 30/04/2014) by IDCOL2</t>
  </si>
  <si>
    <t>Bundle of estimated 273,333 units of Solar Home Systems (SHS)</t>
  </si>
  <si>
    <t>9572</t>
  </si>
  <si>
    <t>9572-0001</t>
  </si>
  <si>
    <t>CPA0029.02</t>
  </si>
  <si>
    <t>5787-0002</t>
  </si>
  <si>
    <t>Punjab State Electricity Board: High Voltage Distribution System for Agricultural consumers in the Rural Areas of the Punjab, CPA – 02</t>
  </si>
  <si>
    <t>CPA0029.03</t>
  </si>
  <si>
    <t>5787-0003</t>
  </si>
  <si>
    <t>Punjab State Electricity Board: High Voltage Distribution System for Agricultural consumers in the Rural Areas of the Punjab, CPA – 03</t>
  </si>
  <si>
    <t>CPA0029.04</t>
  </si>
  <si>
    <t>5787-0004</t>
  </si>
  <si>
    <t>Punjab State Electricity Board: High Voltage Distribution System for Agricultural consumers in the Rural Areas of the Punjab, CPA – 04</t>
  </si>
  <si>
    <t>5816</t>
  </si>
  <si>
    <t>5816-0001</t>
  </si>
  <si>
    <t>8019</t>
  </si>
  <si>
    <t>8019-0001</t>
  </si>
  <si>
    <t>7821</t>
  </si>
  <si>
    <t>CarbonSoft Open Source PoA, LED Lighting Distribution: Pan Africa</t>
  </si>
  <si>
    <t>7821-0001</t>
  </si>
  <si>
    <t>9384</t>
  </si>
  <si>
    <t>9384-0001</t>
  </si>
  <si>
    <t>To supply, install and finance wind and solar CPAs to provide_x000D_
renewable energy into the South African grid</t>
  </si>
  <si>
    <t>Angola, Bangladesh, Congo, Ethiopia, Guinea-Bissau, Kenya, Cambodia, Lao, Liberia, Mali, Myanmar, Malawi, Mozambique, Niger, Nigeria, Nepal, Sudan, Sierra Leone, Senegal, Chad, Togo, Tanzania, Uganda, Zambia, Zimbabwe</t>
  </si>
  <si>
    <t>9507</t>
  </si>
  <si>
    <t>9507-0001</t>
  </si>
  <si>
    <t>Ghana, Kenya, mauritius</t>
  </si>
  <si>
    <t>9495</t>
  </si>
  <si>
    <t>Henan BCCY New Power Industry Co., Ltd. LFG recovery to power Programme of Activities</t>
  </si>
  <si>
    <t>9495-0001</t>
  </si>
  <si>
    <t>6864</t>
  </si>
  <si>
    <t>6864-0001</t>
  </si>
  <si>
    <t>8949</t>
  </si>
  <si>
    <t>Malawi and Zambi</t>
  </si>
  <si>
    <t>Senagal, Zambia</t>
  </si>
  <si>
    <t>PoA0434</t>
  </si>
  <si>
    <t>Programme of Activities for Local Improved Cookstoves in West Afria</t>
  </si>
  <si>
    <t>Mali, Benin</t>
  </si>
  <si>
    <t>GERES Association</t>
  </si>
  <si>
    <t>The overall goal of the PoA is to increase market penetration of local Improved Cookstoves (ICS) in West Africa</t>
  </si>
  <si>
    <t>CPA0434.01</t>
  </si>
  <si>
    <t>Project Activity for Local Improved Cookstoves in Bamako</t>
  </si>
  <si>
    <t>Bamako</t>
  </si>
  <si>
    <t>This CPA will distribute up to 30.000 locally produced improved charcoal cookstoves.</t>
  </si>
  <si>
    <t>PoA0435</t>
  </si>
  <si>
    <t>Impact Carbon Global Safe Water Programme of Activities (PoA)</t>
  </si>
  <si>
    <t>The proposed PoA will, through carbon financing, engage local partners in production, distribution, sale and support of various water purification technologies</t>
  </si>
  <si>
    <t>CPA0435.01</t>
  </si>
  <si>
    <t>Gatsibo, Kayonza, Kirehe</t>
  </si>
  <si>
    <t>This CPA will distribute low carbon water purifiers.</t>
  </si>
  <si>
    <t>PoA0436</t>
  </si>
  <si>
    <t>Sihor Steel Re-rolling Mills Association</t>
  </si>
  <si>
    <t>The goal of the proposed PoA is to implement energy efficiency measures in existing furnaces used in SME steel re-rolling mill cluster in Bhavnagar district of Gujarat.</t>
  </si>
  <si>
    <t>CPA0436.01</t>
  </si>
  <si>
    <t>This CPA  will implement energy efficiency measures in small and medium enterprises (SME) in the steel re-rolling industry.</t>
  </si>
  <si>
    <t>Chart 5:</t>
  </si>
  <si>
    <t>Chart 6:</t>
  </si>
  <si>
    <t>Table 3:</t>
  </si>
  <si>
    <t>Table 6:</t>
  </si>
  <si>
    <t>Table 7:</t>
  </si>
  <si>
    <t>Methane recovery and combustion with renewable energy generation from anaerobic animal manure management systems under the Land Bank of the Philippines's (LBP) Carbon Finance Support Facility</t>
  </si>
  <si>
    <t>9557</t>
  </si>
  <si>
    <t>9557-0001</t>
  </si>
  <si>
    <t>CPA0028.02</t>
  </si>
  <si>
    <t>5979-0002</t>
  </si>
  <si>
    <t>CPA-2: Methane recovery and combustion with renewable energy generation from anaerobic animal manure management systems under the Land Bank of the Philippines’ (LBP) Carbon Finance Support Facility</t>
  </si>
  <si>
    <t>South Cotabato</t>
  </si>
  <si>
    <t>Replaces anaerobic manure management system with anaerobic digestion system with methane recovery and combustion.</t>
  </si>
  <si>
    <t>7676</t>
  </si>
  <si>
    <t>7676-0001</t>
  </si>
  <si>
    <t>7881</t>
  </si>
  <si>
    <t>7881-0001</t>
  </si>
  <si>
    <t>9354</t>
  </si>
  <si>
    <t>9354-0001</t>
  </si>
  <si>
    <t>9596</t>
  </si>
  <si>
    <t>9596-0001</t>
  </si>
  <si>
    <t>9007</t>
  </si>
  <si>
    <t>9007-0001</t>
  </si>
  <si>
    <t>8389</t>
  </si>
  <si>
    <t>8389-0001</t>
  </si>
  <si>
    <t>PoA0437</t>
  </si>
  <si>
    <t>Decentralised Community Water Purification Program (DCWPP)</t>
  </si>
  <si>
    <t>India, Bangladesh, Ghana, Liberia, Nigeria</t>
  </si>
  <si>
    <t>Water Health India Pvt</t>
  </si>
  <si>
    <t>The goal of the proposed PoA is to install low/zero GHG emitting water purifiers at community level. The water purification system will reduce GHG emission by allowing families to access purified water without the usage of fossil fuels and biomass.</t>
  </si>
  <si>
    <t>CPA0437.01</t>
  </si>
  <si>
    <t>Decentralised Community Water Purification System installations in Ghana, Africa</t>
  </si>
  <si>
    <t>Volta, G. Accra, Eastern, Northeren, Ashanti, Brongahafo</t>
  </si>
  <si>
    <t>Under this CPA 35 WaterHealth units will be installed in the region of type WHC 65 which has the rated capacity of purifying 2700 liters of water per hour.</t>
  </si>
  <si>
    <t>PoA0438</t>
  </si>
  <si>
    <t>Renewable Energy CDM Programme of Rwanda (RECPR)</t>
  </si>
  <si>
    <t>The purpose of this PoA is to support the development and implementation of renewable energy projects in Rwanda. (hydropower, solar photovoltaic power, geothermal power)</t>
  </si>
  <si>
    <t>CPA0438.01</t>
  </si>
  <si>
    <t>Base II Hydropower Project</t>
  </si>
  <si>
    <t>Gakenke District</t>
  </si>
  <si>
    <t>The purpose of this CPA is to construct a micro scale hydropower plant with a capacity of 2.9 MW</t>
  </si>
  <si>
    <t>PoA0439</t>
  </si>
  <si>
    <t>World Food Programme</t>
  </si>
  <si>
    <t>The objective of the PoA is to distribute over 200,000 fuel efficient cooking stoves to rural households in Ethiopia</t>
  </si>
  <si>
    <t>CPA0439.01</t>
  </si>
  <si>
    <t>Ethiopia Improved Cookstoves Initiative CPA 1</t>
  </si>
  <si>
    <t>Amhara region</t>
  </si>
  <si>
    <t>This CPA will distribute two different types of fuel efficienct cook-stoves. Mirt stoves for injera baking and Tikikil rocket stoves for other cooking tasks.</t>
  </si>
  <si>
    <t>CTI</t>
  </si>
  <si>
    <t>7885</t>
  </si>
  <si>
    <t>7885-0001</t>
  </si>
  <si>
    <t>9219</t>
  </si>
  <si>
    <t>9219-0001</t>
  </si>
  <si>
    <t>6095-0002</t>
  </si>
  <si>
    <t>Ea Sup 3 Hydropower Project - CPA002</t>
  </si>
  <si>
    <t>6.4 MW Hydro power plant</t>
  </si>
  <si>
    <t>CPA0185.02</t>
  </si>
  <si>
    <t>5341-0002</t>
  </si>
  <si>
    <t>Improved Cooking Stoves Programme of Activities in Africa – CPA No. 00002 (Kenya)</t>
  </si>
  <si>
    <t>6000 Improved Cooking Stoves dispersed throughout the country</t>
  </si>
  <si>
    <t>5342-0002</t>
  </si>
  <si>
    <t>African Improved Cooking Stoves Programme of Activities – CPA No. 00002 (Ghana)</t>
  </si>
  <si>
    <t>Entire country</t>
  </si>
  <si>
    <t>Distribution of 17292 improved cook stoves (ICS)</t>
  </si>
  <si>
    <t>6035</t>
  </si>
  <si>
    <t>6035-0001</t>
  </si>
  <si>
    <t>9634</t>
  </si>
  <si>
    <t>9634-0001</t>
  </si>
  <si>
    <t>CPA0308.02</t>
  </si>
  <si>
    <t>Fuel Efficient Stoves in Zambia (3RL CPA No.02)</t>
  </si>
  <si>
    <t>CPA0308.03</t>
  </si>
  <si>
    <t>Fuel Efficient Stoves in Zambia (3RL CPA No.03)</t>
  </si>
  <si>
    <t>8678</t>
  </si>
  <si>
    <t>8678-0001</t>
  </si>
  <si>
    <t>9698</t>
  </si>
  <si>
    <t>9698-0001</t>
  </si>
  <si>
    <t>9276</t>
  </si>
  <si>
    <t>9276-0001</t>
  </si>
  <si>
    <t>9666</t>
  </si>
  <si>
    <t>9666-0001</t>
  </si>
  <si>
    <t>CPA0225.0001</t>
  </si>
  <si>
    <t>9731</t>
  </si>
  <si>
    <t>9672</t>
  </si>
  <si>
    <t>9672-0001</t>
  </si>
  <si>
    <t>9706</t>
  </si>
  <si>
    <t>9706-0001</t>
  </si>
  <si>
    <t>9617</t>
  </si>
  <si>
    <t>9617-0001</t>
  </si>
  <si>
    <t>9705</t>
  </si>
  <si>
    <t>9705-0001</t>
  </si>
  <si>
    <t>PoA0440</t>
  </si>
  <si>
    <t>Cable Propelled Mass Transit Projects in Nigeria</t>
  </si>
  <si>
    <t>Ropeway Transport Limited, Nigeria</t>
  </si>
  <si>
    <t>The objective of the PoA is to promote efficient and less carbon intensive transportation in highly populated areas of Nigeria, using cable cars.</t>
  </si>
  <si>
    <t>AMS-III.U.</t>
  </si>
  <si>
    <t>CPA0440.01</t>
  </si>
  <si>
    <t>Lagos Cable Propelled Transit Project</t>
  </si>
  <si>
    <t>This CPA will entail the construction of a Cable Propelled Transit (CPT), based on a cable technology moving cabins on aerial towers from one location to another.</t>
  </si>
  <si>
    <t>ORBEO</t>
  </si>
  <si>
    <t>Eqao</t>
  </si>
  <si>
    <t>Installation of Energy Efficient Cookstoves in Myanmar</t>
  </si>
  <si>
    <t>Yangon</t>
  </si>
  <si>
    <t>Core CarbonX Sols Pvt Ltd</t>
  </si>
  <si>
    <t>This CPA will distribute 11,000 ICS throughout the Yangon region of Myanmar</t>
  </si>
  <si>
    <t>Installation of Energy Efficient Cookstoves in Yangon in Myanmar: CPA 001</t>
  </si>
  <si>
    <t>The objective of the PoA is to distribute ICS to reduce GHG emissions and improve indoor air quality</t>
  </si>
  <si>
    <t>PoA0441</t>
  </si>
  <si>
    <t>CPA0441.01</t>
  </si>
  <si>
    <t>Vanuatu</t>
  </si>
  <si>
    <t xml:space="preserve">Efficient Lighting Initiative of Bangladesh (ELIB) </t>
  </si>
  <si>
    <t>CPA0031.02</t>
  </si>
  <si>
    <t>4793-0002</t>
  </si>
  <si>
    <t>Efficient Lighting Initiative of Bangladesh (ELIB): Rangpur- REB- CPA # 2</t>
  </si>
  <si>
    <t>Rangpur</t>
  </si>
  <si>
    <t>Collection and destruction of 906,250 incandescent lamps (ICLs) and subsequent replacement of equal amount of compact flourescent lamps (CFLs)</t>
  </si>
  <si>
    <t>CPA0031.03</t>
  </si>
  <si>
    <t>4793-0003</t>
  </si>
  <si>
    <t>Efficient Lighting Initiative of Bangladesh (ELIB): Sylhet- REB- CPA # 3</t>
  </si>
  <si>
    <t>Sylhet</t>
  </si>
  <si>
    <t>CPA0031.04</t>
  </si>
  <si>
    <t>4793-0004</t>
  </si>
  <si>
    <t>Efficient Lighting Initiative of Bangladesh (ELIB): Rajshahi- REB- CPA # 4</t>
  </si>
  <si>
    <t>Rajshahi</t>
  </si>
  <si>
    <t>CPA0031.05</t>
  </si>
  <si>
    <t>4793-0005</t>
  </si>
  <si>
    <t>Efficient Lighting Initiative of Bangladesh (ELIB): Khulna- REB- CPA # 5</t>
  </si>
  <si>
    <t>Khulna</t>
  </si>
  <si>
    <t>CPA0031.06</t>
  </si>
  <si>
    <t>4793-0006</t>
  </si>
  <si>
    <t>Efficient Lighting Initiative of Bangladesh (ELIB): Norsingdi- REB- CPA # 6</t>
  </si>
  <si>
    <t>Norsingdi</t>
  </si>
  <si>
    <t>CPA0031.07</t>
  </si>
  <si>
    <t>4793-0007</t>
  </si>
  <si>
    <t>Efficient Lighting Initiative of Bangladesh (ELIB): Chandpur - REB- CPA # 7</t>
  </si>
  <si>
    <t>CPA0031.08</t>
  </si>
  <si>
    <t>4793-0008</t>
  </si>
  <si>
    <t>Efficient Lighting Initiative of Bangladesh (ELIB): Barisal - REB- CPA # 8</t>
  </si>
  <si>
    <t>Barisal</t>
  </si>
  <si>
    <t>CPA0031.09</t>
  </si>
  <si>
    <t>4793-0009</t>
  </si>
  <si>
    <t>Efficient Lighting Initiative of Bangladesh (ELIB): Chittagong - REB- CPA # 9</t>
  </si>
  <si>
    <t>Chittagong</t>
  </si>
  <si>
    <t>CPA0071.07</t>
  </si>
  <si>
    <t>5588-0007</t>
  </si>
  <si>
    <t>16012013 Seventh CPA on Grid Connected Solar Power Project in India</t>
  </si>
  <si>
    <t>Install Solar PV at 13 locations, with at total capacity of 14.10MW</t>
  </si>
  <si>
    <t>CPA0126.02</t>
  </si>
  <si>
    <t>6110-0002</t>
  </si>
  <si>
    <t>Barefoot Power Lighting Programme BFPU-UG-01</t>
  </si>
  <si>
    <t>Distribute renewable energy based LED lamps to households and SMEs in Uganda. The lamps will be based on Solar PV.</t>
  </si>
  <si>
    <t>CPA0185.03</t>
  </si>
  <si>
    <t>5341-0003</t>
  </si>
  <si>
    <t>Improved Cooking Stoves Programme of Activities in Africa – CPA No. 00003 (Kenya)</t>
  </si>
  <si>
    <t>Distributing 16000 Improved cook stoves (ICS)</t>
  </si>
  <si>
    <t>CPA0186.03</t>
  </si>
  <si>
    <t>5342-0003</t>
  </si>
  <si>
    <t>African Improved Cooking Stoves Programme of Activities CPA 00003 (Ghana)</t>
  </si>
  <si>
    <t>Distribution of 14607 ICS</t>
  </si>
  <si>
    <t>CPA0243.02</t>
  </si>
  <si>
    <t>7191-0002</t>
  </si>
  <si>
    <t>Enlightened Solar PoA- CPA- 002</t>
  </si>
  <si>
    <t>Installation of 19 photovoltaic (PV) solar power plants throughout the state of Israel.</t>
  </si>
  <si>
    <t>9337</t>
  </si>
  <si>
    <t>9337-0001</t>
  </si>
  <si>
    <t>CPA0384.04</t>
  </si>
  <si>
    <t>5997-0004</t>
  </si>
  <si>
    <t>Standard Bank Low Pressure Solar Water Heater Programme for South Africa – CPA-004</t>
  </si>
  <si>
    <t>CPA0384.05</t>
  </si>
  <si>
    <t>5997-0005</t>
  </si>
  <si>
    <t>Standard Bank Low Pressure Solar Water Heater Programme for South Africa – CPA-005</t>
  </si>
  <si>
    <t>9731-0001</t>
  </si>
  <si>
    <t>CPA0405.02</t>
  </si>
  <si>
    <t>9672-0002</t>
  </si>
  <si>
    <t>Paradigm Cook Stove Programme: Rwanda 01 (TPP-CPA-01-RWN)</t>
  </si>
  <si>
    <t>PoA0442</t>
  </si>
  <si>
    <t>Disseminating Efficient Cookstoves in Vanuatu</t>
  </si>
  <si>
    <t>Green Power</t>
  </si>
  <si>
    <t>The objective of this PoA is to distribute ICS across Vanuatu, to provide clean and energy efficient technology for cooking in various communities in the country</t>
  </si>
  <si>
    <t>CPA0442.01</t>
  </si>
  <si>
    <t>Disseminating Efficient Cookstoves in Vanuatu CPA-No. 1</t>
  </si>
  <si>
    <t>The purpose of this CPA is to distribute 3000 ICS in households in various communities.</t>
  </si>
  <si>
    <t>PoA0443</t>
  </si>
  <si>
    <t>West African Biodigester Programme of Activities</t>
  </si>
  <si>
    <t>Cameroon, Benin</t>
  </si>
  <si>
    <t>The objective of this PoA is to stimulate dissemination of biodigester systems in West Africa to replace traditional thermal energy generation methods at household level.</t>
  </si>
  <si>
    <t>CPA0443.01</t>
  </si>
  <si>
    <t>National Biodigester Programme Burkina Faso – CPA01 (PNB-BF-CPA01)</t>
  </si>
  <si>
    <t>The purpose of this CPA is to disseminate biogas digester systems in Burkina Faso</t>
  </si>
  <si>
    <t>CPA0186.02</t>
  </si>
  <si>
    <t>CPA0104.02</t>
  </si>
  <si>
    <t>8383-0002</t>
  </si>
  <si>
    <t>Ramazon Hydropower Project, Autonomous Region of Bougainville, Papua New Guinea</t>
  </si>
  <si>
    <t>Bougainville</t>
  </si>
  <si>
    <t>CPA0243.03</t>
  </si>
  <si>
    <t>7191-0003</t>
  </si>
  <si>
    <t>Enlightened Solar PoA- CPA- 003</t>
  </si>
  <si>
    <t>Installation of 5 Solar PV installations for at total of 14.255 MW</t>
  </si>
  <si>
    <t>CPA0243.04</t>
  </si>
  <si>
    <t>7191-0004</t>
  </si>
  <si>
    <t>Enlightened Solar PoA- CPA- 004</t>
  </si>
  <si>
    <t>Installation of 5 Solar PV installations for at total of 11.26 MW</t>
  </si>
  <si>
    <t>9769</t>
  </si>
  <si>
    <t>9769-0001</t>
  </si>
  <si>
    <t>PoA0444</t>
  </si>
  <si>
    <t>The objective of this PoA is to implement energy efficiency measures in furnaces of the small and medium enterprise steel re-rolling mill cluster in Bhavnagar district of Gujarat</t>
  </si>
  <si>
    <t>CPA0444.01</t>
  </si>
  <si>
    <t>Efficiency Improvements at Sachdeva Steel Products: CPA 001</t>
  </si>
  <si>
    <t>The purpose of this CPA is to increase the usefull length of the reheating furnace, modify the zone of the reheating furnace and change the roof to a flat suspended one from an arc type, all in order to increase energy efficiency in the mill</t>
  </si>
  <si>
    <t>CPA0436.0001</t>
  </si>
  <si>
    <t>PoA0445</t>
  </si>
  <si>
    <t>Queiroz Galvão Energias Renováveis Wind Power Programme</t>
  </si>
  <si>
    <t>Ambio Participacoes Ltda.</t>
  </si>
  <si>
    <t>The objective of this PoA is to create incentives and promote wind energy in Brazil.</t>
  </si>
  <si>
    <t>CPA0445.01</t>
  </si>
  <si>
    <t>Ilha Grande Wind Farm project</t>
  </si>
  <si>
    <t>Ceará</t>
  </si>
  <si>
    <t>Install wind turbines in the state of Ceará with a total capacity of 29.7MW</t>
  </si>
  <si>
    <t>PoA0446</t>
  </si>
  <si>
    <t>Benin, Cameroon</t>
  </si>
  <si>
    <t>CPA0446.01</t>
  </si>
  <si>
    <t>CPA0443.0001</t>
  </si>
  <si>
    <t>With-</t>
  </si>
  <si>
    <t>Host region/Host country of first CPA</t>
  </si>
  <si>
    <t>CPA0130.02</t>
  </si>
  <si>
    <t>Neither</t>
  </si>
  <si>
    <t xml:space="preserve"> </t>
  </si>
  <si>
    <t>8025</t>
  </si>
  <si>
    <t>8025-0001</t>
  </si>
  <si>
    <t>9683</t>
  </si>
  <si>
    <t>9683-0001</t>
  </si>
  <si>
    <t>PoA0447</t>
  </si>
  <si>
    <t>Secure Safe Water in Developing Countries</t>
  </si>
  <si>
    <t>Whave Solutions Limited</t>
  </si>
  <si>
    <t>The objective of the PoA is to increase access to secure drinking water through promoting zero greenhouse gas (GHG) emitting water purification technologies/measures</t>
  </si>
  <si>
    <t>CPA0447.01</t>
  </si>
  <si>
    <t>Ground Water Extraction Filtration Systems in Uganda - CPA 001</t>
  </si>
  <si>
    <t>The purpose of this CPA is to install ground water pumps throughout rural Uganda.</t>
  </si>
  <si>
    <t>CPA0170.11</t>
  </si>
  <si>
    <t>7167-0011</t>
  </si>
  <si>
    <t>Boshof Solar Park CPA-011</t>
  </si>
  <si>
    <t>65.95MW Solar PV Park</t>
  </si>
  <si>
    <t>CPA0211.02</t>
  </si>
  <si>
    <t>8696-0002</t>
  </si>
  <si>
    <t>Côte d’Ivoire and Cameroon Efficient Cookstoves Program CPA002 – Abidjan</t>
  </si>
  <si>
    <t>Dissemination of 8258 affordable cookstoves</t>
  </si>
  <si>
    <t>PoA0448</t>
  </si>
  <si>
    <t>Business &amp; Environment Sustainable Nepal Pvt. Ltc.</t>
  </si>
  <si>
    <t>The proposed PoA aims to abate greenhouse gas emissions and reduce consumption of non-renewable fuel wood used for cooking applications by replacing inefficiente traditional cook stoves with energy efficient rocket type LIFE Rocket Stoves (LRS)</t>
  </si>
  <si>
    <t>CPA0448.01</t>
  </si>
  <si>
    <t>Rolpa District</t>
  </si>
  <si>
    <t>The proposed CPA involves the installation of 13,000 l-pot hole LRS in households located in Rolpa District of Nepal.</t>
  </si>
  <si>
    <t>PoA0449</t>
  </si>
  <si>
    <t>Domestic Cooking Stoves substitution programme in Mozambique</t>
  </si>
  <si>
    <t>Fondazione AVSI</t>
  </si>
  <si>
    <t>The aim of this PoA is to improve energy efficiency by substituting inefficient tradtional cooking stoves with more effective ones imporving the conditions of the local population in Mozambique</t>
  </si>
  <si>
    <t>CPA0449.01</t>
  </si>
  <si>
    <t>Maputo</t>
  </si>
  <si>
    <t>CPA0406.02</t>
  </si>
  <si>
    <t>6207-0002</t>
  </si>
  <si>
    <t>CPA 2 Improved Cook Stoves programme for Rwanda</t>
  </si>
  <si>
    <t>CPA0377.02</t>
  </si>
  <si>
    <t>9260-0002</t>
  </si>
  <si>
    <t>The project to introduce photovoltaic systems in 64 public buildings of Seoul (CPA-ID: 2013-_x000D_
SMG-001-2042 kW)1</t>
  </si>
  <si>
    <t>2042 kW Solar PV System</t>
  </si>
  <si>
    <t>CPA0050.02</t>
  </si>
  <si>
    <t>7760-0002</t>
  </si>
  <si>
    <t>BR_MT – São Marcelo_AMB002 integrated of PoA “AWMS Composting Project</t>
  </si>
  <si>
    <t>CPA0059.02</t>
  </si>
  <si>
    <t>CPA0059.03</t>
  </si>
  <si>
    <t>CPA0059.04</t>
  </si>
  <si>
    <t>CPA0059.05</t>
  </si>
  <si>
    <t>CPA0059.06</t>
  </si>
  <si>
    <t>CPA0059.07</t>
  </si>
  <si>
    <t>CPA0059.08</t>
  </si>
  <si>
    <t>CPA0059.09</t>
  </si>
  <si>
    <t>CPA0059.10</t>
  </si>
  <si>
    <t>CPA0059.11</t>
  </si>
  <si>
    <t>CPA0059.12</t>
  </si>
  <si>
    <t>CPA0059.13</t>
  </si>
  <si>
    <t>CPA0059.14</t>
  </si>
  <si>
    <t>CPA0059.15</t>
  </si>
  <si>
    <t>CPA0059.16</t>
  </si>
  <si>
    <t>CPA0059.17</t>
  </si>
  <si>
    <t>CPA0059.18</t>
  </si>
  <si>
    <t>CPA0059.19</t>
  </si>
  <si>
    <t>CPA0059.20</t>
  </si>
  <si>
    <t>CPA0059.21</t>
  </si>
  <si>
    <t>CPA0059.22</t>
  </si>
  <si>
    <t>CPA0059.23</t>
  </si>
  <si>
    <t>CPA0059.24</t>
  </si>
  <si>
    <t>CPA0059.25</t>
  </si>
  <si>
    <t>CPA0059.26</t>
  </si>
  <si>
    <t>CPA0059.27</t>
  </si>
  <si>
    <t>CPA0059.28</t>
  </si>
  <si>
    <t>CPA0059.29</t>
  </si>
  <si>
    <t>CPA0059.30</t>
  </si>
  <si>
    <t>CPA0059.31</t>
  </si>
  <si>
    <t>CPA0059.32</t>
  </si>
  <si>
    <t>CPA0059.33</t>
  </si>
  <si>
    <t>CPA0059.34</t>
  </si>
  <si>
    <t>CPA0059.35</t>
  </si>
  <si>
    <t>CPA0059.36</t>
  </si>
  <si>
    <t>CPA0059.37</t>
  </si>
  <si>
    <t>CPA0059.38</t>
  </si>
  <si>
    <t>CPA0059.39</t>
  </si>
  <si>
    <t>CPA0059.40</t>
  </si>
  <si>
    <t>CPA0059.41</t>
  </si>
  <si>
    <t>CPA0059.42</t>
  </si>
  <si>
    <t>CPA0059.43</t>
  </si>
  <si>
    <t>CPA0059.44</t>
  </si>
  <si>
    <t>CPA0059.45</t>
  </si>
  <si>
    <t>CPA0059.46</t>
  </si>
  <si>
    <t>CPA0059.47</t>
  </si>
  <si>
    <t>CPA0059.48</t>
  </si>
  <si>
    <t>CPA0059.49</t>
  </si>
  <si>
    <t>CPA0059.50</t>
  </si>
  <si>
    <t>CPA0059.51</t>
  </si>
  <si>
    <t>CPA0059.52</t>
  </si>
  <si>
    <t>CPA0059.53</t>
  </si>
  <si>
    <t>CPA0055.02</t>
  </si>
  <si>
    <t>CPA0055.03</t>
  </si>
  <si>
    <t>CPA0055.04</t>
  </si>
  <si>
    <t>CPA0055.05</t>
  </si>
  <si>
    <t>CPA0055.06</t>
  </si>
  <si>
    <t>CPA0055.07</t>
  </si>
  <si>
    <t>CPA0055.08</t>
  </si>
  <si>
    <t>CPA0055.09</t>
  </si>
  <si>
    <t>CPA0055.10</t>
  </si>
  <si>
    <t>CPA0055.11</t>
  </si>
  <si>
    <t>CPA0055.12</t>
  </si>
  <si>
    <t>CPA0055.13</t>
  </si>
  <si>
    <t>Total issuance (kCERs)</t>
  </si>
  <si>
    <t>Total number of PoAs:</t>
  </si>
  <si>
    <t>CPA0071.08</t>
  </si>
  <si>
    <t>5588-0008</t>
  </si>
  <si>
    <t>22052013 Eighth CPA on Grid Connected Solar Power Project in India</t>
  </si>
  <si>
    <t>Several states in India</t>
  </si>
  <si>
    <t>Install Solar PV at 11 locations, with a total capacity of 14.5MW</t>
  </si>
  <si>
    <t>CPA0124.07</t>
  </si>
  <si>
    <t>6328-0007</t>
  </si>
  <si>
    <t>CPA - 007: 5 MW Solar PV power project, Bikaner, Rajasthan, India</t>
  </si>
  <si>
    <t>9626</t>
  </si>
  <si>
    <t>9626-0001</t>
  </si>
  <si>
    <t>PoA0450</t>
  </si>
  <si>
    <t>Off-grid renewable energy for rural electrification in Mozambique managed by FUNAE</t>
  </si>
  <si>
    <t>Fundo de Energia (FUNAE)</t>
  </si>
  <si>
    <t>The objective of this PoA is to provide renewable energy for rural villages in Mozambique through installation of off-grid electricity technologies such as micro hydropower plants and stand-alone Solar PV installations.</t>
  </si>
  <si>
    <t>Solar &amp; Hydro</t>
  </si>
  <si>
    <t>CPA0450.01</t>
  </si>
  <si>
    <t>In this CPA a range of solar pv installations will be made as well as one micro hydropower plant with a capacity of 631KW</t>
  </si>
  <si>
    <t>PoA0451</t>
  </si>
  <si>
    <t>Empowering DRC communities through the use of Improved Cook Stoves</t>
  </si>
  <si>
    <t>Climate Corporation Emissions Trading</t>
  </si>
  <si>
    <t>The purpose of this PoA is to disseminate improved biomass cookstoves tu urban, peri-urban and rural users, while replacing old stoves thus increasing efficiency and reducing wood and charcoal consumption</t>
  </si>
  <si>
    <t>CPA0451.01</t>
  </si>
  <si>
    <t>Empowering DRC communities through the use of Improved Cook Stoves – CPA 001</t>
  </si>
  <si>
    <t>Democratic Republic of Congo</t>
  </si>
  <si>
    <t>South Kivu</t>
  </si>
  <si>
    <t>This CPA will facilitate the dissemination of Improved Cook Stoves (ICS) in the Democratic Republic of Congo</t>
  </si>
  <si>
    <t>PoA0452</t>
  </si>
  <si>
    <t>Biomass Energy Conservation Programme</t>
  </si>
  <si>
    <t>Hestian Ltd.</t>
  </si>
  <si>
    <t>The purpose of this PoA is to promote reduction of greenhouse gas emissions from non-renewable biomass fuel, through dissemination of improved household cookstoves in Malawi and Rwanda</t>
  </si>
  <si>
    <t>CPA0452.01</t>
  </si>
  <si>
    <t>Malawi Biomass Energy Conservation Programme CPA 1</t>
  </si>
  <si>
    <t>The CPA aims to disseminate between 12500 and 14000 improved cookstoves throughout Malawi.</t>
  </si>
  <si>
    <t>PoA0453</t>
  </si>
  <si>
    <t>Programme of Activities for Small Scale Biomass Power CDM in Sri Lanka</t>
  </si>
  <si>
    <t>Sri Lanka Carbon Fund (SLCF)</t>
  </si>
  <si>
    <t>This PoA involves installation of small biomass power generation projects throughout Sri Lanka in an effort to reduce GHG emissions and provide electricity to the people.</t>
  </si>
  <si>
    <t>CPA0453.01</t>
  </si>
  <si>
    <t>Programme of Activities for Small Scale Biomass Power CDM in Sri Lanka - CPA-0001 - Buttala _x000D_
Small Biomass Power Project</t>
  </si>
  <si>
    <t>Monaragala District</t>
  </si>
  <si>
    <t>This CPA entail the installation of a 5MW biomass based power plant, generating approximately 35.05GWh/year which will be fed to the Sri Lanka national grid.</t>
  </si>
  <si>
    <t>Solar &amp; hydro</t>
  </si>
  <si>
    <t>with issuance</t>
  </si>
  <si>
    <t>CPA0013.32</t>
  </si>
  <si>
    <t>4041-0032</t>
  </si>
  <si>
    <t>“Promotion of Biomass Based Heat Generation Systems in India” (CPA Number 030)</t>
  </si>
  <si>
    <t>CPA0059.54</t>
  </si>
  <si>
    <t>2898-0054</t>
  </si>
  <si>
    <t>CPA Nb. SCHHBG-2012-054</t>
  </si>
  <si>
    <t>CPA0059.55</t>
  </si>
  <si>
    <t>2898-0055</t>
  </si>
  <si>
    <t>CPA Nb. SCHHBG-2012-055</t>
  </si>
  <si>
    <t>CPA0059.56</t>
  </si>
  <si>
    <t>2898-0056</t>
  </si>
  <si>
    <t>CPA Nb. SCHHBG-2012-056</t>
  </si>
  <si>
    <t>CPA0059.57</t>
  </si>
  <si>
    <t>2898-0057</t>
  </si>
  <si>
    <t>CPA Nb. SCHHBG-2012-057</t>
  </si>
  <si>
    <t>CPA0059.58</t>
  </si>
  <si>
    <t>2898-0058</t>
  </si>
  <si>
    <t>CPA Nb. SCHHBG-2012-058</t>
  </si>
  <si>
    <t>CPA0059.59</t>
  </si>
  <si>
    <t>2898-0059</t>
  </si>
  <si>
    <t>CPA Nb. SCHHBG-2012-059</t>
  </si>
  <si>
    <t>CPA0059.60</t>
  </si>
  <si>
    <t>2898-0060</t>
  </si>
  <si>
    <t>CPA Nb. SCHHBG-2012-060</t>
  </si>
  <si>
    <t>CPA0059.61</t>
  </si>
  <si>
    <t>2898-0061</t>
  </si>
  <si>
    <t>CPA Nb. SCHHBG-2012-061</t>
  </si>
  <si>
    <t>CPA0059.62</t>
  </si>
  <si>
    <t>2898-0062</t>
  </si>
  <si>
    <t>CPA Nb. SCHHBG-2012-062</t>
  </si>
  <si>
    <t>CPA0059.63</t>
  </si>
  <si>
    <t>2898-0063</t>
  </si>
  <si>
    <t>CPA Nb. SCHHBG-2012-063</t>
  </si>
  <si>
    <t>CPA0059.64</t>
  </si>
  <si>
    <t>2898-0064</t>
  </si>
  <si>
    <t>CPA Nb. SCHHBG-2012-064</t>
  </si>
  <si>
    <t>Neijang in Sichuan</t>
  </si>
  <si>
    <t>CPA0059.65</t>
  </si>
  <si>
    <t>2898-0065</t>
  </si>
  <si>
    <t>CPA Nb. SCHHBG-2012-065</t>
  </si>
  <si>
    <t>CPA0059.66</t>
  </si>
  <si>
    <t>2898-0066</t>
  </si>
  <si>
    <t>CPA Nb. SCHHBG-2012-066</t>
  </si>
  <si>
    <t>CPA0059.67</t>
  </si>
  <si>
    <t>2898-0067</t>
  </si>
  <si>
    <t>CPA Nb. SCHHBG-2012-067</t>
  </si>
  <si>
    <t>Guang'an in Sichuan</t>
  </si>
  <si>
    <t>CPA0059.68</t>
  </si>
  <si>
    <t>2898-0068</t>
  </si>
  <si>
    <t>CPA Nb. SCHHBG-2012-068</t>
  </si>
  <si>
    <t>Guang'an, Dazhou, Meishan, Leshan, Luzhou, Aba and Ganzi in Sichuan</t>
  </si>
  <si>
    <t>CPA0059.69</t>
  </si>
  <si>
    <t>2898-0069</t>
  </si>
  <si>
    <t>CPA Nb. SCHHBG-2012-069</t>
  </si>
  <si>
    <t>Mianyang and Meishan in Sichuan</t>
  </si>
  <si>
    <t>CPA0059.70</t>
  </si>
  <si>
    <t>2898-0070</t>
  </si>
  <si>
    <t>CPA Nb. SCHHBG-2012-070</t>
  </si>
  <si>
    <t>Mianyang and Neijiang in Sichuan</t>
  </si>
  <si>
    <t>CPA0059.71</t>
  </si>
  <si>
    <t>2898-0071</t>
  </si>
  <si>
    <t>CPA Nb. SCHHBG-2012-071</t>
  </si>
  <si>
    <t>Yibin, Suining and Neijiang in Sichuan</t>
  </si>
  <si>
    <t>CPA0059.72</t>
  </si>
  <si>
    <t>2898-0072</t>
  </si>
  <si>
    <t>CPA Nb. SCHHBG-2012-072</t>
  </si>
  <si>
    <t>Yibin and Ziyang in Sichuan</t>
  </si>
  <si>
    <t>CPA0059.73</t>
  </si>
  <si>
    <t>2898-0073</t>
  </si>
  <si>
    <t>CPA Nb. SCHHBG-2012-073</t>
  </si>
  <si>
    <t>Ziyang and Zigong in Sichuan</t>
  </si>
  <si>
    <t>9423</t>
  </si>
  <si>
    <t>9423-0001</t>
  </si>
  <si>
    <t>CPA0133.02</t>
  </si>
  <si>
    <t>6222-0002</t>
  </si>
  <si>
    <t>CPA No. 3: Pho Thong Solar PV Power Project</t>
  </si>
  <si>
    <t>Ang Thong</t>
  </si>
  <si>
    <t>Solar PV of 9.66 MW</t>
  </si>
  <si>
    <t>Solar Frontier, Hyundai, Sharp</t>
  </si>
  <si>
    <t>CPA0159.02</t>
  </si>
  <si>
    <t>8260-0002</t>
  </si>
  <si>
    <t>Droogfontein Solar PV Project</t>
  </si>
  <si>
    <t>168,720 Photovoltaic panels mounted over approx. 200 hectares. Total installed capacity of 45.6 MW</t>
  </si>
  <si>
    <t>CPA0159.03</t>
  </si>
  <si>
    <t>8260-0003</t>
  </si>
  <si>
    <t>De Aar Solar PV Project</t>
  </si>
  <si>
    <t>167,580 Photovoltaic panels mounted over approx. 100 hectares. Total installed capacity of 45.6 MW</t>
  </si>
  <si>
    <t>9870</t>
  </si>
  <si>
    <t>9870-0001</t>
  </si>
  <si>
    <t>CPA0185.04</t>
  </si>
  <si>
    <t>5341-0004</t>
  </si>
  <si>
    <t>Improved Cooking Stoves Programme of Activities in Africa – CPA No. 00004 (Kenya)</t>
  </si>
  <si>
    <t>Distributing 17500 Improved cook stoves (ICS)</t>
  </si>
  <si>
    <t>CPA0211.03</t>
  </si>
  <si>
    <t>8696-0003</t>
  </si>
  <si>
    <t>Côte d’Ivoire and Cameroon Efficient Cook stoves Program CPA003 – Cameroon 001</t>
  </si>
  <si>
    <t>Dissemination of 15776 affordable cookstoves</t>
  </si>
  <si>
    <t>9780</t>
  </si>
  <si>
    <t>9780-0001</t>
  </si>
  <si>
    <t>9558</t>
  </si>
  <si>
    <t>9558-0001</t>
  </si>
  <si>
    <t>9811</t>
  </si>
  <si>
    <t>9811-0001</t>
  </si>
  <si>
    <t>PoA0454</t>
  </si>
  <si>
    <t>Programmatic CDM project using Municipal Organic Waste of 64 Districts of Bangladesh</t>
  </si>
  <si>
    <t>Department of Environment of the Government of Bangladesh</t>
  </si>
  <si>
    <t>This PoA involves collection and composting of municipal solid waste</t>
  </si>
  <si>
    <t>CPA0454.01</t>
  </si>
  <si>
    <t>Composting of Municipal Solid Waste of Mymensingh Pourashava Area, CPA No. 01</t>
  </si>
  <si>
    <t>District of Mymensingh</t>
  </si>
  <si>
    <t>9769-0002</t>
  </si>
  <si>
    <t>SDStandard:SD Tool, Gold Standard, CCB</t>
  </si>
  <si>
    <t>SD Tool</t>
  </si>
  <si>
    <t>CPA0130.03</t>
  </si>
  <si>
    <t>6095-0003</t>
  </si>
  <si>
    <t>Song Mien 5A Hydropower Project</t>
  </si>
  <si>
    <t>9 MW Hydro power plant</t>
  </si>
  <si>
    <t>CPA0130.04</t>
  </si>
  <si>
    <t>6095-0004</t>
  </si>
  <si>
    <t>Nam Chim 1A Hydropower Project</t>
  </si>
  <si>
    <t>10 MW Hydro power plant</t>
  </si>
  <si>
    <t>CPA0130.05</t>
  </si>
  <si>
    <t>6095-0005</t>
  </si>
  <si>
    <t>Krong No 3 Hydropower Project</t>
  </si>
  <si>
    <t>Lac Duong</t>
  </si>
  <si>
    <t>16 MW Hydro power plant</t>
  </si>
  <si>
    <t>6864-0002</t>
  </si>
  <si>
    <t>6864-0003</t>
  </si>
  <si>
    <t>CPA0395.02</t>
  </si>
  <si>
    <t>Energy Efficient Stoves Program CPA 2</t>
  </si>
  <si>
    <t>9593</t>
  </si>
  <si>
    <t>9593-0001</t>
  </si>
  <si>
    <t>Impact carbon</t>
  </si>
  <si>
    <t>This CPA entail the installation of a plant for composting Municipal Solid Waste to avoid methane emissions.</t>
  </si>
  <si>
    <t>PoA0455</t>
  </si>
  <si>
    <t>Programme of Activities for Small Scale Biomass Based Thermal Energy Generation CDM in Sri Lanka</t>
  </si>
  <si>
    <t>SLCF</t>
  </si>
  <si>
    <t>This PoA involves implementation of small scale biomass based thermal energy generation projects _x000D_
(CPAs) to reduce emissions of GHG</t>
  </si>
  <si>
    <t>CPA0455.01</t>
  </si>
  <si>
    <t>Milco Small Scale Biomass Based Thermal Energy Generation Project &lt;2014-SLCF-001-4MWth&gt;</t>
  </si>
  <si>
    <t>Nuwara Eliya District</t>
  </si>
  <si>
    <t>This CPA entails installation of a 6 THP biomass boiler running on sustainably grown Gliricidia.</t>
  </si>
  <si>
    <t>CPA0024.02</t>
  </si>
  <si>
    <t>9572-0002</t>
  </si>
  <si>
    <t>19,927 biogas digesters</t>
  </si>
  <si>
    <t>CPA0024.03</t>
  </si>
  <si>
    <t>9572-0003</t>
  </si>
  <si>
    <t>19,959 biogas digesters</t>
  </si>
  <si>
    <t>CPA0024.04</t>
  </si>
  <si>
    <t>9572-0004</t>
  </si>
  <si>
    <t>19,970 biogas digesters</t>
  </si>
  <si>
    <t>CPA0130.06</t>
  </si>
  <si>
    <t>6095-0006</t>
  </si>
  <si>
    <t>Krong No 2 Hydropower Project</t>
  </si>
  <si>
    <t>30 MW Hydro power plant</t>
  </si>
  <si>
    <t>CPA0130.07</t>
  </si>
  <si>
    <t>6095-0007</t>
  </si>
  <si>
    <t>Ta Trach Hydropower Project</t>
  </si>
  <si>
    <t>Thua Thien-Hue</t>
  </si>
  <si>
    <t>21 MW Hydro power plant</t>
  </si>
  <si>
    <t>9797</t>
  </si>
  <si>
    <t>9797-0001</t>
  </si>
  <si>
    <t>9153</t>
  </si>
  <si>
    <t>9153-0001</t>
  </si>
  <si>
    <t>9908</t>
  </si>
  <si>
    <t>9908-0001</t>
  </si>
  <si>
    <t>PoA0456</t>
  </si>
  <si>
    <t>China low-energy commercial buildings programme</t>
  </si>
  <si>
    <t>Beijing Sus Energy Sci. &amp; Tech. Co.</t>
  </si>
  <si>
    <t>Design and implementation of green commercial buildings</t>
  </si>
  <si>
    <t>AMS-I.D.+AMS-II.Q.</t>
  </si>
  <si>
    <t>CPA0456.01</t>
  </si>
  <si>
    <t>China low-energy commercial buildings programme- CPA #1</t>
  </si>
  <si>
    <t>Beijing</t>
  </si>
  <si>
    <t>New low-energy conference center: Beijing Yanqi Convention and Exhibition Center</t>
  </si>
  <si>
    <t>PoA0457</t>
  </si>
  <si>
    <t>Household energy appliance programme</t>
  </si>
  <si>
    <t>Differ Cookstoves AS</t>
  </si>
  <si>
    <t>Solar lighting, water filters and improved cook stoves to households</t>
  </si>
  <si>
    <t>AMS-I.A.+AMS-II.G.+AMS-III.AV.</t>
  </si>
  <si>
    <t>CPA0457.01</t>
  </si>
  <si>
    <t>Household appliance distribution in Timor-Leste Differ-CPA-001</t>
  </si>
  <si>
    <t>18,500  stoves, 100,000 solar lighting appliances and 100,000 solar home systems</t>
  </si>
  <si>
    <t>CPA0097.02</t>
  </si>
  <si>
    <t>8055-0002</t>
  </si>
  <si>
    <t>CPA-02: Thailand energy efficiency improvement for street lightings in North region (sub region: Chiang Mai, Nakhon Sawan and Lampang provinces) phase 1</t>
  </si>
  <si>
    <t>Chiang Mai, Nakhon Sawan, Lampang</t>
  </si>
  <si>
    <t>CPA0161.02</t>
  </si>
  <si>
    <t>7271-0002</t>
  </si>
  <si>
    <t>Areia Branca Wind Power Plant Complex”</t>
  </si>
  <si>
    <t>Rio Grande do Norte</t>
  </si>
  <si>
    <t>9940</t>
  </si>
  <si>
    <t>9940-0001</t>
  </si>
  <si>
    <t>9948</t>
  </si>
  <si>
    <t>9948-0001</t>
  </si>
  <si>
    <t>Impact Carbon Global Safe Water Programme of Activities (PoA): CPA 1</t>
  </si>
  <si>
    <t>CPA0435.02</t>
  </si>
  <si>
    <t>9948-0002</t>
  </si>
  <si>
    <t>Impact Carbon Global Safe Water Programme of Activities (PoA): CPA 2</t>
  </si>
  <si>
    <t>Central, Western</t>
  </si>
  <si>
    <t>CPA0389.0001</t>
  </si>
  <si>
    <t>CPA0109.02</t>
  </si>
  <si>
    <t>5962-0002</t>
  </si>
  <si>
    <t>Chlorine Dispensers in Uganda – CPA 2</t>
  </si>
  <si>
    <t>Eastern Uganda</t>
  </si>
  <si>
    <t>Distribution and installation of chlorine dispensers</t>
  </si>
  <si>
    <t>CPA0133.03</t>
  </si>
  <si>
    <t>6222-0003</t>
  </si>
  <si>
    <t>CPA No. 2 : Songkhla Biomass Power Plant</t>
  </si>
  <si>
    <t>Songkhla</t>
  </si>
  <si>
    <t>Biomass plant of 9.9 MW</t>
  </si>
  <si>
    <t>9136</t>
  </si>
  <si>
    <t>9136-0001</t>
  </si>
  <si>
    <t>CPA0346.02</t>
  </si>
  <si>
    <t>9292-0002</t>
  </si>
  <si>
    <t>7.2 MW wind CPA in Rajasthan: CPA002</t>
  </si>
  <si>
    <t>6 wind turbines of 850kW capacity and 1 wind turbine of 2.1MW capacity</t>
  </si>
  <si>
    <t>Gamesa &amp; Suzlon</t>
  </si>
  <si>
    <t>CPA0408.02</t>
  </si>
  <si>
    <t>9502-0002</t>
  </si>
  <si>
    <t>10 MW Solar Power Project in Kemwadi, Maharashtra: CPA S002</t>
  </si>
  <si>
    <t>10MW Solar PV</t>
  </si>
  <si>
    <t>9934</t>
  </si>
  <si>
    <t>9934-0001</t>
  </si>
  <si>
    <t>9941</t>
  </si>
  <si>
    <t>9941-0001</t>
  </si>
  <si>
    <t>PoA0459</t>
  </si>
  <si>
    <t>MPG Geothermal Energy PoA</t>
  </si>
  <si>
    <t>Marine Power Generation Company (MPG)</t>
  </si>
  <si>
    <t>Support the development and implementation of geothermal energy projects in the Rift Vally Region of Kenya.</t>
  </si>
  <si>
    <t>CPA0459.01</t>
  </si>
  <si>
    <t>Akiira I 35 MW Geothermal Project (CPA 001)</t>
  </si>
  <si>
    <t>Rift Valley Province</t>
  </si>
  <si>
    <t>Installation of 35MW geothermal power plant to supply electricity to the grid.</t>
  </si>
  <si>
    <t>CPA0035.02</t>
  </si>
  <si>
    <t>6810-0002</t>
  </si>
  <si>
    <t>CPAs</t>
  </si>
  <si>
    <t>Number of</t>
  </si>
  <si>
    <t>No. of</t>
  </si>
  <si>
    <t>PoA Host</t>
  </si>
  <si>
    <t>Table 2 (this table do not include PoAs that are rejected, terminated or resubmitted)</t>
  </si>
  <si>
    <t>Table 5  (this table do not include PoAs that are rejected, terminated or resubmitted)</t>
  </si>
  <si>
    <t>Methane avoidance: manure</t>
  </si>
  <si>
    <t>Methane avoidance: domestic manure</t>
  </si>
  <si>
    <t>EE households: lighting</t>
  </si>
  <si>
    <t>EE households: stoves</t>
  </si>
  <si>
    <t>Hydro: run of river</t>
  </si>
  <si>
    <t>Methane avoidance: palm oil waste</t>
  </si>
  <si>
    <t>Top 10 sub-types of submitted CPAs</t>
  </si>
  <si>
    <t>Top 10 host countires for submitted CPAs</t>
  </si>
  <si>
    <t>Timor-Leste, Myanmar</t>
  </si>
  <si>
    <t>Top 10 host countires for submitted PoAs</t>
  </si>
  <si>
    <t>Top 10 sub-types of submitted PoAs</t>
  </si>
  <si>
    <t>Most popular sub-types:</t>
  </si>
  <si>
    <t>Most active host countries:</t>
  </si>
  <si>
    <t>Methane avoidance: waste water</t>
  </si>
  <si>
    <t xml:space="preserve">Promotion of renewable energy generation in India- Programme of Activities </t>
  </si>
  <si>
    <t xml:space="preserve">Tanzania Renewable Energy Programme </t>
  </si>
  <si>
    <t>9572-0005</t>
  </si>
  <si>
    <t>Nepal Biogas Support Program - CPA 5: 19,842 digesters</t>
  </si>
  <si>
    <t>19,842 biogas digesters</t>
  </si>
  <si>
    <t>CPA3_Pa Chien Hydropower Project.</t>
  </si>
  <si>
    <t>22MW run of river hydropower plant</t>
  </si>
  <si>
    <t>9904</t>
  </si>
  <si>
    <t>9904-0002</t>
  </si>
  <si>
    <t>NextGen Solar Project, Kigoma Region</t>
  </si>
  <si>
    <t>Kigoma</t>
  </si>
  <si>
    <t>Installation of a 3MW Solar PV power plant</t>
  </si>
  <si>
    <t>9904-0001</t>
  </si>
  <si>
    <t>9164</t>
  </si>
  <si>
    <t>9164-0001</t>
  </si>
  <si>
    <t>9416-0002</t>
  </si>
  <si>
    <t>Jamb Wind Power Project, Maharashtra</t>
  </si>
  <si>
    <t>14 wind turbines with an individual capacity of 2MW</t>
  </si>
  <si>
    <t>9416-0003</t>
  </si>
  <si>
    <t>Vaspet-II and Vaspet III Wind Power Project, Maharashtra</t>
  </si>
  <si>
    <t>33 wind turbines with an individual capacity of 1.5MW</t>
  </si>
  <si>
    <t>8486</t>
  </si>
  <si>
    <t>8486-0001</t>
  </si>
  <si>
    <t>9502-0003</t>
  </si>
  <si>
    <t>9.13 MW Solar Power Project by KRBL Limited: CPA S003</t>
  </si>
  <si>
    <t>9.13 MW Solar PV</t>
  </si>
  <si>
    <t>9502-0004</t>
  </si>
  <si>
    <t>10 MW Solar Power Project by Ushodaya Enterprises Private Limited in Mahabubnagar, Andhra _x000D_
Pradesh</t>
  </si>
  <si>
    <t>10 MW Solar PV</t>
  </si>
  <si>
    <t>9815</t>
  </si>
  <si>
    <t>9815-0001</t>
  </si>
  <si>
    <t>9977</t>
  </si>
  <si>
    <t>9977-0001</t>
  </si>
  <si>
    <t>PoA0460</t>
  </si>
  <si>
    <t>Rural Electrification Agency Uganda (REA)</t>
  </si>
  <si>
    <t>The PoA will expand energy access to electricity in Uganda through extensions of existing grids, off-grid electrification and solar powered lighting systems.</t>
  </si>
  <si>
    <t>AMS-III.AR.+AMS-I.L.+AMS-III.BB.</t>
  </si>
  <si>
    <t>CPA0460.01</t>
  </si>
  <si>
    <t>Western Service Territory</t>
  </si>
  <si>
    <t>Increases access to energy through grid extension and distribution of solar powered LED lighting systems</t>
  </si>
  <si>
    <t>PoA0461</t>
  </si>
  <si>
    <t>Ecometano Empreendimentos</t>
  </si>
  <si>
    <t>This PoA will facilitate a fossil-fuel switch through the production of biogas from anaerobic digesters decomposing residues from the agricultural industry.</t>
  </si>
  <si>
    <t>ACM24</t>
  </si>
  <si>
    <t>EQAO</t>
  </si>
  <si>
    <t>UTER RS1</t>
  </si>
  <si>
    <t>Installation of a biogas reactor decomposing biomass material with a capacity of producing 12,600,000Nm^3/year</t>
  </si>
  <si>
    <t>Rural Electrification Agency Uganda</t>
  </si>
  <si>
    <t>Gold Standard</t>
  </si>
  <si>
    <t>SD Tool, Gold Standard</t>
  </si>
  <si>
    <t>7811-0002</t>
  </si>
  <si>
    <t>National CFL Project, Pakistan - FESCO - Faisalabad I - 2-3-1-0-0</t>
  </si>
  <si>
    <t>Faisalabad</t>
  </si>
  <si>
    <t>Distribution of 875,000 CFLs</t>
  </si>
  <si>
    <t>7811-0003</t>
  </si>
  <si>
    <t>National CFL Project, Pakistan - FESCO - Faisalabad II - 2-3-2-0-0</t>
  </si>
  <si>
    <t>7811-0004</t>
  </si>
  <si>
    <t>National CFL Project, Pakistan - FESCO - Jhang I - 2-3-3-1-0</t>
  </si>
  <si>
    <t>Jhang</t>
  </si>
  <si>
    <t>Distribution of 899,408 CFLs</t>
  </si>
  <si>
    <t>7811-0005</t>
  </si>
  <si>
    <t>National CFL Project, Pakistan - FESCO - Jhang II - 2-3-3-2-0</t>
  </si>
  <si>
    <t>Distribution of 650,592 CFLs</t>
  </si>
  <si>
    <t>7811-0006</t>
  </si>
  <si>
    <t>National CFL Project, Pakistan - FESCO - Sargodha - 2-3-4-0-0</t>
  </si>
  <si>
    <t>Sargodha</t>
  </si>
  <si>
    <t>Distribution of 900,000 CFLs</t>
  </si>
  <si>
    <t>7811-0007</t>
  </si>
  <si>
    <t>National CFL Project, Pakistan - GEPCO - Gujranwala City - 3-2-1-0-0</t>
  </si>
  <si>
    <t>Gujranwala</t>
  </si>
  <si>
    <t>Distribution of 615,000 CFLs</t>
  </si>
  <si>
    <t>7811-0008</t>
  </si>
  <si>
    <t>National CFL Project, Pakistan - GEPCO - Gujranwala Cantt - 3-2-2-0-0</t>
  </si>
  <si>
    <t>Distribution of 759,000 CFLs</t>
  </si>
  <si>
    <t>7811-0009</t>
  </si>
  <si>
    <t>National CFL Project, Pakistan - GEPCO - Sialkot I - 3-2-3-1-0</t>
  </si>
  <si>
    <t>Sialkot</t>
  </si>
  <si>
    <t>Distribution of 515,400 CFLs</t>
  </si>
  <si>
    <t>7811-0010</t>
  </si>
  <si>
    <t>National CFL Project, Pakistan - GEPCO - Sialkot II - 3-2-3-2-0</t>
  </si>
  <si>
    <t>Distribution of 630,600 CFLs</t>
  </si>
  <si>
    <t>7811-0011</t>
  </si>
  <si>
    <t>National CFL Project, Pakistan - GEPCO - Gujrat I - 3-2-4-1-0</t>
  </si>
  <si>
    <t>Gujrat</t>
  </si>
  <si>
    <t>Distribution of 474,000 CFLs</t>
  </si>
  <si>
    <t>7811-0012</t>
  </si>
  <si>
    <t>National CFL Project, Pakistan - GEPCO - Gujrat II - 3-2-4-2-0</t>
  </si>
  <si>
    <t>Distribution of 606,000 CFLs</t>
  </si>
  <si>
    <t>7811-0013</t>
  </si>
  <si>
    <t>National CFL Project, Pakistan - IESCO - Attock - 1-4-2-0-0</t>
  </si>
  <si>
    <t>Attock</t>
  </si>
  <si>
    <t>Distribution of 600,000 CFLs</t>
  </si>
  <si>
    <t>7811-0014</t>
  </si>
  <si>
    <t>National CFL Project, Pakistan - IESCO - Rawalpindi - 1-4-3-0-0</t>
  </si>
  <si>
    <t>Rawalpindi</t>
  </si>
  <si>
    <t>Distribution of 1,029,904 CFLs</t>
  </si>
  <si>
    <t>7811-0015</t>
  </si>
  <si>
    <t>National CFL Project, Pakistan - IESCO - Jehlum - 1-4-4-0-0</t>
  </si>
  <si>
    <t>Jehlum</t>
  </si>
  <si>
    <t>Distribution of 360,000 CFLs</t>
  </si>
  <si>
    <t>7811-0016</t>
  </si>
  <si>
    <t>National CFL Project, Pakistan - IESCO - Chakwal - 1-4-5-0-0</t>
  </si>
  <si>
    <t>Chakwal</t>
  </si>
  <si>
    <t>7811-0017</t>
  </si>
  <si>
    <t>National CFL Project, Pakistan - MEPCO - Multan-I - 7-5-1-1-0</t>
  </si>
  <si>
    <t>Multan</t>
  </si>
  <si>
    <t>Distribution of 662,718 CFLs</t>
  </si>
  <si>
    <t>7811-0018</t>
  </si>
  <si>
    <t>National CFL Project, Pakistan - MEPCO - Multan-II - 7-5-1-2-0</t>
  </si>
  <si>
    <t>Distribution of 637,282 CFLs</t>
  </si>
  <si>
    <t>7811-0019</t>
  </si>
  <si>
    <t>National CFL Project, Pakistan - MEPCO - Dera Ghazi Khan - 7-5-2-0-0</t>
  </si>
  <si>
    <t>Dera Ghazi Khan</t>
  </si>
  <si>
    <t>Distribution of 459,758 CFLs</t>
  </si>
  <si>
    <t>7811-0020</t>
  </si>
  <si>
    <t>National CFL Project, Pakistan - MEPCO - Vehari - 7-5-3-0-0</t>
  </si>
  <si>
    <t>Vehari</t>
  </si>
  <si>
    <t>Distribution of 650,000 CFLs</t>
  </si>
  <si>
    <t>7811-0021</t>
  </si>
  <si>
    <t>National CFL Project, Pakistan - MEPCO - Bahawalpur - 7-5-4-0-0</t>
  </si>
  <si>
    <t>Bahawalpur</t>
  </si>
  <si>
    <t>Distribution of 675,000 CFLs</t>
  </si>
  <si>
    <t>7811-0022</t>
  </si>
  <si>
    <t>National CFL Project, Pakistan - MEPCO - Sahiwal - 7-5-5-0-0</t>
  </si>
  <si>
    <t>Sahiwal</t>
  </si>
  <si>
    <t>Distribution of 640,242 CLFs</t>
  </si>
  <si>
    <t>7811-0023</t>
  </si>
  <si>
    <t>National CFL Project, Pakistan - MEPCO - Rahim Yar Khan - 7-5-6-0-0</t>
  </si>
  <si>
    <t>Rahim Yar Khan</t>
  </si>
  <si>
    <t>7811-0024</t>
  </si>
  <si>
    <t>National CFL Project, Pakistan - MEPCO - Muzzafargarh - 7-5-7-0-0</t>
  </si>
  <si>
    <t>Muzzafargarh</t>
  </si>
  <si>
    <t>7811-0025</t>
  </si>
  <si>
    <t>National CFL Project, Pakistan - MEPCO - Bahawalnagar - 7-5-8-0-0</t>
  </si>
  <si>
    <t>Bahawalnagar</t>
  </si>
  <si>
    <t>7811-0026</t>
  </si>
  <si>
    <t>National CFL Project, Pakistan - PESCO - Peshawar - 8-6-1-0-0</t>
  </si>
  <si>
    <t>Peshawar</t>
  </si>
  <si>
    <t>Distribution of 543,998 CFLs</t>
  </si>
  <si>
    <t>7811-0027</t>
  </si>
  <si>
    <t>National CFL Project, Pakistan - PESCO - Khyber - 8-6-2-0-0</t>
  </si>
  <si>
    <t>Khyber</t>
  </si>
  <si>
    <t>Distribution of 527,780 CFLs</t>
  </si>
  <si>
    <t>7811-0028</t>
  </si>
  <si>
    <t>National CFL Project, Pakistan - PESCO - Mardan - 8-6-3-0-0</t>
  </si>
  <si>
    <t>Mardan</t>
  </si>
  <si>
    <t>Distribution of 552,058 CFLs</t>
  </si>
  <si>
    <t>7811-0029</t>
  </si>
  <si>
    <t>National CFL Project, Pakistan - PESCO - Hazara-I - 8-6-4-1-0</t>
  </si>
  <si>
    <t>Hazara</t>
  </si>
  <si>
    <t>Distribution of 221,328 CFLs</t>
  </si>
  <si>
    <t>7811-0030</t>
  </si>
  <si>
    <t>National CFL Project, Pakistan - PESCO - Hazara-II - 8-6-4-2-0</t>
  </si>
  <si>
    <t>Distribution of 465,380 CFLs</t>
  </si>
  <si>
    <t>7811-0031</t>
  </si>
  <si>
    <t>National CFL Project, Pakistan - PESCO - Hazara-III - 8-6-4-3-0</t>
  </si>
  <si>
    <t>Distribution of 319,412 CFLs</t>
  </si>
  <si>
    <t>7811-0032</t>
  </si>
  <si>
    <t>National CFL Project, Pakistan - PESCO - Swat-I - 8-6-5-1-0</t>
  </si>
  <si>
    <t>Swat</t>
  </si>
  <si>
    <t>Distribution of 549,494 CFLs</t>
  </si>
  <si>
    <t>7811-0033</t>
  </si>
  <si>
    <t>National CFL Project, Pakistan - PESCO - Swat-II - 8-6-5-2-0</t>
  </si>
  <si>
    <t>Distribution of 255,286 CFLs</t>
  </si>
  <si>
    <t>7811-0034</t>
  </si>
  <si>
    <t>National CFL Project, Pakistan - PESCO - Bannu - 8-6-6-0-0</t>
  </si>
  <si>
    <t>Bannu</t>
  </si>
  <si>
    <t>Distribution of 465,264 CFLs</t>
  </si>
  <si>
    <t>7811-0035</t>
  </si>
  <si>
    <t>National CFL Project, Pakistan - LESCO - Northern - 6-1-1-0-0</t>
  </si>
  <si>
    <t>7811-0036</t>
  </si>
  <si>
    <t>National CFL Project, Pakistan - LESCO - Central - 6-1-2-0-0</t>
  </si>
  <si>
    <t>7811-0037</t>
  </si>
  <si>
    <t>National CFL Project, Pakistan - LESCO - Eastern - 6-1-3-0-0</t>
  </si>
  <si>
    <t>Distribution of 500,000 CFLs</t>
  </si>
  <si>
    <t>7811-0038</t>
  </si>
  <si>
    <t>National CFL Project, Pakistan - LESCO - Okara - 6-1-4-0-0</t>
  </si>
  <si>
    <t>Okara</t>
  </si>
  <si>
    <t>7811-0039</t>
  </si>
  <si>
    <t>National CFL Project, Pakistan - LESCO - Southern - 6-1-5-0-0</t>
  </si>
  <si>
    <t>Southern</t>
  </si>
  <si>
    <t>7811-0040</t>
  </si>
  <si>
    <t>National CFL Project, Pakistan - LESCO - Sheikhupura - 6-1-6-0-0</t>
  </si>
  <si>
    <t>Sheikhupura</t>
  </si>
  <si>
    <t>Distribution of 700,000 CFLs</t>
  </si>
  <si>
    <t>7811-0041</t>
  </si>
  <si>
    <t>National CFL Project, Pakistan - LESCO - Kasoor - 6-1-7-0-0</t>
  </si>
  <si>
    <t>Kasoor</t>
  </si>
  <si>
    <t>7811-0042</t>
  </si>
  <si>
    <t>National CFL Project, Pakistan-HESCO- Hyderabad I - 4-7-1-0-0</t>
  </si>
  <si>
    <t>Hyderabad</t>
  </si>
  <si>
    <t>Distribution of 573,000 CFLs</t>
  </si>
  <si>
    <t>7811-0043</t>
  </si>
  <si>
    <t>National CFL Project, Pakistan-HESCO- Hyderabad II - 4-7-2-0-0</t>
  </si>
  <si>
    <t>Distribution of 222,000 CFLs</t>
  </si>
  <si>
    <t>7811-0044</t>
  </si>
  <si>
    <t>National CFL Project, Pakistan-HESCO- Nawabshah - 4-7-3-0-0</t>
  </si>
  <si>
    <t>Nawabshah</t>
  </si>
  <si>
    <t>Distribution of 390,000 CFLs</t>
  </si>
  <si>
    <t>7811-0045</t>
  </si>
  <si>
    <t>National CFL Project, Pakistan - KESC - Region-I - 0-9-1-0-0</t>
  </si>
  <si>
    <t>Distribution of 551,368 CFLs</t>
  </si>
  <si>
    <t>7811-0046</t>
  </si>
  <si>
    <t>National CFL Project, Pakistan - KESC - Region-II - 0-9-2-0-0</t>
  </si>
  <si>
    <t>Distribution of 638,774 CFLs</t>
  </si>
  <si>
    <t>7811-0047</t>
  </si>
  <si>
    <t>National CFL Project, Pakistan - KESC - Region-III - 0-9-3-0-0</t>
  </si>
  <si>
    <t>Region III</t>
  </si>
  <si>
    <t>Distribution of 713,312 CFLs</t>
  </si>
  <si>
    <t>7811-0048</t>
  </si>
  <si>
    <t>National CFL Project, Pakistan - KESC - Region-IV (A) - 0-9-4-1-0</t>
  </si>
  <si>
    <t>Region IV</t>
  </si>
  <si>
    <t>Distribution of 398,274 CFLs</t>
  </si>
  <si>
    <t>7811-0049</t>
  </si>
  <si>
    <t>National CFL Project, Pakistan - KESC - Region-IV (B) - 0-9-4-2-0</t>
  </si>
  <si>
    <t>Distribution of 398,272 CFLs</t>
  </si>
  <si>
    <t>7811-0050</t>
  </si>
  <si>
    <t>National CFL Project, Pakistan - QESCO - Central - 9-8-1-0-0</t>
  </si>
  <si>
    <t>Distribution of 348,586 CFLs</t>
  </si>
  <si>
    <t>7811-0051</t>
  </si>
  <si>
    <t>National CFL Project, Pakistan - QESCO - Loralai - 9-8-2-0-0</t>
  </si>
  <si>
    <t>Loralai</t>
  </si>
  <si>
    <t>Distribution of 60,000 CFLs</t>
  </si>
  <si>
    <t>7811-0052</t>
  </si>
  <si>
    <t>National CFL Project, Pakistan - QESCO - Khuzdar - 9-8-3-0-0</t>
  </si>
  <si>
    <t>Khuzdar</t>
  </si>
  <si>
    <t>Distribution of 135,414 CFLs</t>
  </si>
  <si>
    <t>7811-0053</t>
  </si>
  <si>
    <t>National CFL Project, Pakistan - QESCO - Sibbi - 9-8-4-0-0</t>
  </si>
  <si>
    <t>Sibbi</t>
  </si>
  <si>
    <t>Distribution of 56,000 CFLs</t>
  </si>
  <si>
    <t>5342-0004</t>
  </si>
  <si>
    <t>African Improved Cooking Stoves Programme of Activities CPA 00004 (Nigeria)</t>
  </si>
  <si>
    <t>Distribution of 13,658 stoves</t>
  </si>
  <si>
    <t>5342-0005</t>
  </si>
  <si>
    <t>African Improved Cooking Stoves Programme of Activities CPA 00005 (Nigeria)</t>
  </si>
  <si>
    <t>Distribution of 14,268 stoves</t>
  </si>
  <si>
    <t>9416-0004</t>
  </si>
  <si>
    <t>Wind power project at Chikodi, Karnataka</t>
  </si>
  <si>
    <t>9 wind turbines with an individual capacity of 2MW</t>
  </si>
  <si>
    <t>9626-0002</t>
  </si>
  <si>
    <t>Western Province</t>
  </si>
  <si>
    <t>9626-0003</t>
  </si>
  <si>
    <t>9626-0004</t>
  </si>
  <si>
    <t>9626-0005</t>
  </si>
  <si>
    <t>9626-0006</t>
  </si>
  <si>
    <t>9626-0007</t>
  </si>
  <si>
    <t>DelAgua Rwanda Public Health Program: Rubavu District, Western Province, Republic of Rwanda.</t>
  </si>
  <si>
    <t>PoA0462</t>
  </si>
  <si>
    <t>Dissemination of improved cook stoves and generation of charcoal</t>
  </si>
  <si>
    <t>Atmosfair GmbH</t>
  </si>
  <si>
    <t>This PoA will disseminate improved cookstoves</t>
  </si>
  <si>
    <t>AMS-III.BG.+AMS-II.G.+AMS-I.E.</t>
  </si>
  <si>
    <t>CPA0462.01</t>
  </si>
  <si>
    <t>Dissemination of TLUD gasifier stoves and generation of charcoal in West Bengal, first CPA</t>
  </si>
  <si>
    <t>Dissemination of TLUD cook stoves in West Bengal at subsidized prices</t>
  </si>
  <si>
    <t>PoA0463</t>
  </si>
  <si>
    <t>Dubai Electricity and Water Authority (DEWA)</t>
  </si>
  <si>
    <t>This PoA involves the installation of small-scale Solar PV</t>
  </si>
  <si>
    <t>Dubai Emirate</t>
  </si>
  <si>
    <t>Installation of Solar PV plant with capacity of 3.878MW</t>
  </si>
  <si>
    <t>PoA0464</t>
  </si>
  <si>
    <t>9992</t>
  </si>
  <si>
    <t>9992-0001</t>
  </si>
  <si>
    <t>CPA0183-0001</t>
  </si>
  <si>
    <t>Barrier Analysis Type</t>
  </si>
  <si>
    <t>CPA0380.02</t>
  </si>
  <si>
    <t>CPA0380.03</t>
  </si>
  <si>
    <t>CPA0380.04</t>
  </si>
  <si>
    <t>CPA0380.05</t>
  </si>
  <si>
    <t>CPA0380.06</t>
  </si>
  <si>
    <t>CPA0380.07</t>
  </si>
  <si>
    <t>DelAgua Health Rwanda</t>
  </si>
  <si>
    <t>CPA0461.01</t>
  </si>
  <si>
    <t>CPA0463.01</t>
  </si>
  <si>
    <t>CPA0464.01</t>
  </si>
  <si>
    <t>CPA0408.03</t>
  </si>
  <si>
    <t>CPA0408.04</t>
  </si>
  <si>
    <t>CPA0024.05</t>
  </si>
  <si>
    <t>CPA0088.02</t>
  </si>
  <si>
    <t>CPA0088.03</t>
  </si>
  <si>
    <t>CPA0088.04</t>
  </si>
  <si>
    <t>CPA0088.05</t>
  </si>
  <si>
    <t>CPA0088.06</t>
  </si>
  <si>
    <t>CPA0088.07</t>
  </si>
  <si>
    <t>CPA0088.08</t>
  </si>
  <si>
    <t>CPA0088.09</t>
  </si>
  <si>
    <t>CPA0088.10</t>
  </si>
  <si>
    <t>CPA0088.11</t>
  </si>
  <si>
    <t>CPA0088.12</t>
  </si>
  <si>
    <t>CPA0088.13</t>
  </si>
  <si>
    <t>CPA0088.14</t>
  </si>
  <si>
    <t>CPA0088.15</t>
  </si>
  <si>
    <t>CPA0088.16</t>
  </si>
  <si>
    <t>CPA0088.17</t>
  </si>
  <si>
    <t>CPA0088.18</t>
  </si>
  <si>
    <t>CPA0088.19</t>
  </si>
  <si>
    <t>CPA0088.20</t>
  </si>
  <si>
    <t>CPA0088.21</t>
  </si>
  <si>
    <t>CPA0088.22</t>
  </si>
  <si>
    <t>CPA0088.23</t>
  </si>
  <si>
    <t>CPA0088.24</t>
  </si>
  <si>
    <t>CPA0088.25</t>
  </si>
  <si>
    <t>CPA0088.26</t>
  </si>
  <si>
    <t>CPA0088.27</t>
  </si>
  <si>
    <t>CPA0088.28</t>
  </si>
  <si>
    <t>CPA0088.29</t>
  </si>
  <si>
    <t>CPA0088.30</t>
  </si>
  <si>
    <t>CPA0088.31</t>
  </si>
  <si>
    <t>CPA0088.32</t>
  </si>
  <si>
    <t>CPA0088.33</t>
  </si>
  <si>
    <t>CPA0088.34</t>
  </si>
  <si>
    <t>CPA0088.35</t>
  </si>
  <si>
    <t>CPA0088.36</t>
  </si>
  <si>
    <t>CPA0088.37</t>
  </si>
  <si>
    <t>CPA0088.38</t>
  </si>
  <si>
    <t>CPA0088.39</t>
  </si>
  <si>
    <t>CPA0088.40</t>
  </si>
  <si>
    <t>CPA0088.41</t>
  </si>
  <si>
    <t>CPA0088.42</t>
  </si>
  <si>
    <t>CPA0088.43</t>
  </si>
  <si>
    <t>CPA0088.44</t>
  </si>
  <si>
    <t>CPA0088.45</t>
  </si>
  <si>
    <t>CPA0088.46</t>
  </si>
  <si>
    <t>CPA0088.47</t>
  </si>
  <si>
    <t>CPA0088.48</t>
  </si>
  <si>
    <t>CPA0088.49</t>
  </si>
  <si>
    <t>CPA0088.50</t>
  </si>
  <si>
    <t>CPA0088.51</t>
  </si>
  <si>
    <t>CPA0088.52</t>
  </si>
  <si>
    <t>CPA0088.53</t>
  </si>
  <si>
    <t>CPA0182.02</t>
  </si>
  <si>
    <t>CPA0186.04</t>
  </si>
  <si>
    <t>CPA0186.05</t>
  </si>
  <si>
    <t>CPA0320.02</t>
  </si>
  <si>
    <t>CPA0320.03</t>
  </si>
  <si>
    <t>CPA0320.04</t>
  </si>
  <si>
    <t>9956</t>
  </si>
  <si>
    <t>9956-0001</t>
  </si>
  <si>
    <t>10004</t>
  </si>
  <si>
    <t>10004-0001</t>
  </si>
  <si>
    <t>CPA0320.05</t>
  </si>
  <si>
    <t>9416-0005</t>
  </si>
  <si>
    <t>Welturi I wind power project in Maharashtra</t>
  </si>
  <si>
    <t>24 wind turbines with an individual capacity of 2.1 MW</t>
  </si>
  <si>
    <t>9801</t>
  </si>
  <si>
    <t>9801-0001</t>
  </si>
  <si>
    <t>10018</t>
  </si>
  <si>
    <t>10018-0001</t>
  </si>
  <si>
    <t>9974</t>
  </si>
  <si>
    <t>9974-0001</t>
  </si>
  <si>
    <t>PoA0465</t>
  </si>
  <si>
    <t>Ecometano Empreendimentos Ltda.</t>
  </si>
  <si>
    <t>Fossil fuel switch through the production and utilization of biogas through anaerobic decomposition of vinasse (by product of sugarcane mills)</t>
  </si>
  <si>
    <t>CPA0465.01</t>
  </si>
  <si>
    <t>RNG production at Ester sugarcane mill</t>
  </si>
  <si>
    <t>Southeast Region</t>
  </si>
  <si>
    <t>Biogas production in an anaerobic digester on the basis of vinasse from sugar mills</t>
  </si>
  <si>
    <t>PoA0466</t>
  </si>
  <si>
    <t>Gigawatt Global Programme of Activities</t>
  </si>
  <si>
    <t>Gigawatt Global</t>
  </si>
  <si>
    <t>Support development and implementation of utility scale solar photovoltaic (Solar PV) projects in Rwanda</t>
  </si>
  <si>
    <t>CPA0466.01</t>
  </si>
  <si>
    <t>ASYV 8.5MW Solar PV Project (CPA-001)</t>
  </si>
  <si>
    <t>Rwamagana District</t>
  </si>
  <si>
    <t>This CPA will install a 8.5MW Solar PV plant in the Rwamagana District of Rwanda</t>
  </si>
  <si>
    <t xml:space="preserve">Thailand Small Scale Livestock Waste Management Program </t>
  </si>
  <si>
    <t>CPA0014.02</t>
  </si>
  <si>
    <t>4791-0002</t>
  </si>
  <si>
    <t>Improved Cooking Stoves in Bangladesh – CPA No.02 “Grameen Shakti”</t>
  </si>
  <si>
    <t>Dissemination of 62504 ICS</t>
  </si>
  <si>
    <t>Climate-Secure Services</t>
  </si>
  <si>
    <t>CPA0014.03</t>
  </si>
  <si>
    <t>4791-0003</t>
  </si>
  <si>
    <t>Improved Cooking Stoves in Bangladesh – CPA No.03 “Grameen Shakti”</t>
  </si>
  <si>
    <t>Disssemination of 57822 ICS</t>
  </si>
  <si>
    <t>CPA0014.04</t>
  </si>
  <si>
    <t>4791-0004</t>
  </si>
  <si>
    <t>Improved Cooking Stoves in Bangladesh – CPA No.04 “Grameen Shakti”</t>
  </si>
  <si>
    <t>Dissemination of 61253 ICS</t>
  </si>
  <si>
    <t>CPA0014.05</t>
  </si>
  <si>
    <t>4791-0005</t>
  </si>
  <si>
    <t>Improved Cooking Stoves in Bangladesh – CPA No.05 “Grameen Shakti”</t>
  </si>
  <si>
    <t>Dissemination of 59673 ICS</t>
  </si>
  <si>
    <t>CPA0014.06</t>
  </si>
  <si>
    <t>4791-0006</t>
  </si>
  <si>
    <t>Improved Cooking Stoves in Bangladesh – CPA No.06 “Grameen Shakti”</t>
  </si>
  <si>
    <t>Dissemination of 60158 ICS</t>
  </si>
  <si>
    <t>CPA0014.07</t>
  </si>
  <si>
    <t>4791-0007</t>
  </si>
  <si>
    <t>Improved Cooking Stoves in Bangladesh – CPA No.07 “Grameen Shakti”</t>
  </si>
  <si>
    <t>Dissemination of 57743 ICS</t>
  </si>
  <si>
    <t>CPA0014.08</t>
  </si>
  <si>
    <t>4791-0008</t>
  </si>
  <si>
    <t>Improved Cooking Stoves in Bangladesh – CPA No.08 “Grameen Shakti”</t>
  </si>
  <si>
    <t>Dissemination of 57972 ICS</t>
  </si>
  <si>
    <t>CPA0014.09</t>
  </si>
  <si>
    <t>4791-0009</t>
  </si>
  <si>
    <t>Improved Cooking Stoves in Bangladesh – CPA No.09 “Grameen Shakti”</t>
  </si>
  <si>
    <t>Dissemination of 59831 ICS</t>
  </si>
  <si>
    <t>CPA0014.10</t>
  </si>
  <si>
    <t>4791-0010</t>
  </si>
  <si>
    <t>Improved Cooking Stoves in Bangladesh – CPA No.10 “Grameen Shakti”</t>
  </si>
  <si>
    <t>Dissemination of 53979 ICS</t>
  </si>
  <si>
    <t>CPA0014.11</t>
  </si>
  <si>
    <t>4791-0011</t>
  </si>
  <si>
    <t>Improved Cooking Stoves in Bangladesh – CPA No.11 “Grameen Shakti”</t>
  </si>
  <si>
    <t>Dissemination of 51107 ICS</t>
  </si>
  <si>
    <t>CPA0021.02</t>
  </si>
  <si>
    <t>8027-0002</t>
  </si>
  <si>
    <t>Thailand Small Scale Livestock Waste Management Program CPA 02</t>
  </si>
  <si>
    <t>CPA0021.03</t>
  </si>
  <si>
    <t>8027-0003</t>
  </si>
  <si>
    <t>Thailand Small Scale Livestock Waste Management Program CPA 03</t>
  </si>
  <si>
    <t>CPA0035.03</t>
  </si>
  <si>
    <t>6810-0003</t>
  </si>
  <si>
    <t>CPA2_Nam Tha 4 Hydropower Project</t>
  </si>
  <si>
    <t>11.5MW run of river hydropower plant</t>
  </si>
  <si>
    <t>CPA0035.04</t>
  </si>
  <si>
    <t>6810-0004</t>
  </si>
  <si>
    <t>CPA4_Song Rieng Hydropower Project.</t>
  </si>
  <si>
    <t>Quang Ngai</t>
  </si>
  <si>
    <t>3.75MW run of river hydropower plant</t>
  </si>
  <si>
    <t>CPA0035.05</t>
  </si>
  <si>
    <t>6810-0005</t>
  </si>
  <si>
    <t>CPA5_ Hoa Phu Hydropower Project.</t>
  </si>
  <si>
    <t>29MW run of river hydropower plant</t>
  </si>
  <si>
    <t>CPA0097.03</t>
  </si>
  <si>
    <t>8055-0003</t>
  </si>
  <si>
    <t>CPA-03: Thailand energy efficiency improvement for street lightings in North-East region (sub_x000D_
region: Nakhon Ratchasima province) phase 1</t>
  </si>
  <si>
    <t>Nakhon Ratchasima Province</t>
  </si>
  <si>
    <t>CPA0097.04</t>
  </si>
  <si>
    <t>8055-0004</t>
  </si>
  <si>
    <t>CPA-04: Thailand energy efficiency improvement for street lightings in Central region (sub region:</t>
  </si>
  <si>
    <t>pathum Thani Province</t>
  </si>
  <si>
    <t>CPA0097.05</t>
  </si>
  <si>
    <t>8055-0005</t>
  </si>
  <si>
    <t>Thailand energy efficiency improvement for street lightings in South region (sub region: Phuket,_x000D_
Surat Thani provinces) phase 1</t>
  </si>
  <si>
    <t>Phuket and Surat Thani Provinces</t>
  </si>
  <si>
    <t>CPA0153.02</t>
  </si>
  <si>
    <t>7211-0002</t>
  </si>
  <si>
    <t>Tamboril small hydropower plant – CDM Programme Activity</t>
  </si>
  <si>
    <t>Goias state</t>
  </si>
  <si>
    <t>29.3 MW Hydro power plant</t>
  </si>
  <si>
    <t>9638</t>
  </si>
  <si>
    <t>9638-0001</t>
  </si>
  <si>
    <t>9863</t>
  </si>
  <si>
    <t>9863-0001</t>
  </si>
  <si>
    <t>10045</t>
  </si>
  <si>
    <t>Fuel Efficient Stoves for Ethiopia Programme of Activity</t>
  </si>
  <si>
    <t>10045-0001</t>
  </si>
  <si>
    <t>10053</t>
  </si>
  <si>
    <t>10053-0001</t>
  </si>
  <si>
    <t>CPA0053.07</t>
  </si>
  <si>
    <t>5019-0007</t>
  </si>
  <si>
    <t>The first CPA of Korea Expressway Corporation</t>
  </si>
  <si>
    <t>Central Region</t>
  </si>
  <si>
    <t>CPA0053.08</t>
  </si>
  <si>
    <t>5019-0008</t>
  </si>
  <si>
    <t>The first CPA of Daegu Metropolitan City Facilities Management Corporation</t>
  </si>
  <si>
    <t>Daegu Metropolitan City</t>
  </si>
  <si>
    <t>CPA0053.09</t>
  </si>
  <si>
    <t>5019-0009</t>
  </si>
  <si>
    <t>The first CPA of Busan Metropolitan City</t>
  </si>
  <si>
    <t>Busan Metropolitan City</t>
  </si>
  <si>
    <t>CPA0053.10</t>
  </si>
  <si>
    <t>5019-0010</t>
  </si>
  <si>
    <t>The first CPA of Yeosu Gwangyang Port Authority</t>
  </si>
  <si>
    <t>Keonbudu-ro</t>
  </si>
  <si>
    <t>CPA0053.11</t>
  </si>
  <si>
    <t>5019-0011</t>
  </si>
  <si>
    <t>The second CPA of Incheon International Airport Corporation</t>
  </si>
  <si>
    <t>Incheon International Airport</t>
  </si>
  <si>
    <t>CPA0100.02</t>
  </si>
  <si>
    <t>6198-0002</t>
  </si>
  <si>
    <t>Canchayllo Hydro Power Plant, Pachacayo – Tunki PoA CPA #2</t>
  </si>
  <si>
    <t>Junin Province</t>
  </si>
  <si>
    <t>5.264 MW Run of river hydropower plant</t>
  </si>
  <si>
    <t>CPA0100.03</t>
  </si>
  <si>
    <t>6198-0003</t>
  </si>
  <si>
    <t>Langui II Hydro Power Plant, Hercca - Tunki PoA CPA #4_x000D_
– Tunki PoA CPA #4</t>
  </si>
  <si>
    <t>Canas Province</t>
  </si>
  <si>
    <t>3.39 MW Run of river hydropower plant</t>
  </si>
  <si>
    <t>CPA0153.03</t>
  </si>
  <si>
    <t>7211-0003</t>
  </si>
  <si>
    <t>Renic small hydropower plant – CDM Programme Activity</t>
  </si>
  <si>
    <t>16MW Hydro power plant</t>
  </si>
  <si>
    <t>CPA0184.42</t>
  </si>
  <si>
    <t>7359-0042</t>
  </si>
  <si>
    <t>CPA- MA-024 MADAGASCAR</t>
  </si>
  <si>
    <t>CPA0184.43</t>
  </si>
  <si>
    <t>7359-0043</t>
  </si>
  <si>
    <t>CPA- CA-001-Chad</t>
  </si>
  <si>
    <t>CPA0184.44</t>
  </si>
  <si>
    <t>7359-0044</t>
  </si>
  <si>
    <t>CPA- ET-004-Ethiopia</t>
  </si>
  <si>
    <t>CPA0184.45</t>
  </si>
  <si>
    <t>7359-0045</t>
  </si>
  <si>
    <t>CPA- GA-001-Ghana</t>
  </si>
  <si>
    <t>CPA0184.46</t>
  </si>
  <si>
    <t>7359-0046</t>
  </si>
  <si>
    <t>CPA- IC-001-Ivory Coast</t>
  </si>
  <si>
    <t>Ivory Coast</t>
  </si>
  <si>
    <t>CPA0184.47</t>
  </si>
  <si>
    <t>7359-0047</t>
  </si>
  <si>
    <t>CPA- KE-009 KENYA</t>
  </si>
  <si>
    <t>CPA0184.48</t>
  </si>
  <si>
    <t>7359-0048</t>
  </si>
  <si>
    <t>CPA- LI-001-Liberia</t>
  </si>
  <si>
    <t>CPA0184.49</t>
  </si>
  <si>
    <t>7359-0049</t>
  </si>
  <si>
    <t>CPA- ML-002-Malawi</t>
  </si>
  <si>
    <t>CPA0184.50</t>
  </si>
  <si>
    <t>7359-0050</t>
  </si>
  <si>
    <t>CPA- MO-003-Mozambique</t>
  </si>
  <si>
    <t>CPA0184.51</t>
  </si>
  <si>
    <t>7359-0051</t>
  </si>
  <si>
    <t>CPA- NA-001-Namibia</t>
  </si>
  <si>
    <t>CPA0184.52</t>
  </si>
  <si>
    <t>7359-0052</t>
  </si>
  <si>
    <t>CPA- NI-003-Nigeria</t>
  </si>
  <si>
    <t>CPA0184.53</t>
  </si>
  <si>
    <t>7359-0053</t>
  </si>
  <si>
    <t>CPA- RW-001-Rwanda</t>
  </si>
  <si>
    <t>CPA0184.54</t>
  </si>
  <si>
    <t>7359-0054</t>
  </si>
  <si>
    <t>CPA- SL-001-Sierra Leone</t>
  </si>
  <si>
    <t>CPA0184.55</t>
  </si>
  <si>
    <t>7359-0055</t>
  </si>
  <si>
    <t>CPA- UG-002-Uganda</t>
  </si>
  <si>
    <t>CPA0184.56</t>
  </si>
  <si>
    <t>7359-0056</t>
  </si>
  <si>
    <t>CPA- ZA-002-Zambia</t>
  </si>
  <si>
    <t>CPA0184.57</t>
  </si>
  <si>
    <t>7359-0057</t>
  </si>
  <si>
    <t>CPA- ZB-001-Zimbabwe</t>
  </si>
  <si>
    <t>CPA0184.58</t>
  </si>
  <si>
    <t>7359-0058</t>
  </si>
  <si>
    <t>CPA- SO-001-Somalia</t>
  </si>
  <si>
    <t>Somalia</t>
  </si>
  <si>
    <t>CPA0184.59</t>
  </si>
  <si>
    <t>7359-0059</t>
  </si>
  <si>
    <t>CPA- SA-001-South Africa</t>
  </si>
  <si>
    <t>CPA0186.06</t>
  </si>
  <si>
    <t>5342-0006</t>
  </si>
  <si>
    <t>African Improved Cooking Stoves Programme of Activities – CPA 00006 (Liberia)</t>
  </si>
  <si>
    <t>Distribution of 15,000 stoves</t>
  </si>
  <si>
    <t>CPA0307.02</t>
  </si>
  <si>
    <t>9558-0002</t>
  </si>
  <si>
    <t>Improved Cookstoves Program for Malawi and cross-border regions of Mozambique – CPA – MAL - 002</t>
  </si>
  <si>
    <t>TLC Rocket Stove</t>
  </si>
  <si>
    <t>CPA0307.03</t>
  </si>
  <si>
    <t>9558-0003</t>
  </si>
  <si>
    <t>Improved Cookstoves Program for Malawi and cross-border regions of Mozambique – CPA – MAL - 003</t>
  </si>
  <si>
    <t>CPA0320.06</t>
  </si>
  <si>
    <t>9416-0006</t>
  </si>
  <si>
    <t>Bhud wind power project, Maharashtra</t>
  </si>
  <si>
    <t>33 wind turbines with an individual capacity of 1.5 MW</t>
  </si>
  <si>
    <t>CPA0320.07</t>
  </si>
  <si>
    <t>9416-0007</t>
  </si>
  <si>
    <t>Welturi II wind power project in Maharashtra</t>
  </si>
  <si>
    <t>12 wind turbines with an individual capacity of 2.1 MW</t>
  </si>
  <si>
    <t>CPA0430.02</t>
  </si>
  <si>
    <t>9811-0002</t>
  </si>
  <si>
    <t>CPA # 02</t>
  </si>
  <si>
    <t>Doti, Dadeldhura, Baitadi, Achham, Darchula, Bajhang, Bajura</t>
  </si>
  <si>
    <t>Dissemination of improved cooking stoves</t>
  </si>
  <si>
    <t>CPA0430.03</t>
  </si>
  <si>
    <t>9811-0003</t>
  </si>
  <si>
    <t>CPA # 03</t>
  </si>
  <si>
    <t>9981</t>
  </si>
  <si>
    <t>9981-0001</t>
  </si>
  <si>
    <t>PoA0467</t>
  </si>
  <si>
    <t>Scaling-Up Solar Photovoltaic Power Generation across Africa and the Levant Region</t>
  </si>
  <si>
    <t>Burkina Faso, Cote d'Ivorie, Egypt, Ghana, Jordan, Kenya, Mali, Namibia, Nigeria, Senegal, Chad, Togo, Uganda, South Africa</t>
  </si>
  <si>
    <t>Scatec Solar AS</t>
  </si>
  <si>
    <t>The operating and implementation framework of this PoA is to develop and implement a range of_x000D_
utility scale Solar PV power generation projects, in a range of different African countries.</t>
  </si>
  <si>
    <t>PoA0468</t>
  </si>
  <si>
    <t>Lurio Forest Landscape PoA</t>
  </si>
  <si>
    <t>Lurio Green Resources</t>
  </si>
  <si>
    <t>The purpose of this PoA is to develop large scale sustainably managed forest plantation</t>
  </si>
  <si>
    <t>AR-ACM3</t>
  </si>
  <si>
    <t>CPA0468.01</t>
  </si>
  <si>
    <t>Lurio Forest CPA 1</t>
  </si>
  <si>
    <t>Nampula Province</t>
  </si>
  <si>
    <t>The Lurio Forest CPA is planting eucalyptus and to a lesser extent acacia in 3 discreet areas in the Nampula Province</t>
  </si>
  <si>
    <t>PoA0469</t>
  </si>
  <si>
    <t>Ethiopia – Clean Cooking Energy Program</t>
  </si>
  <si>
    <t>Development Bank of Ethiopia (DBE)</t>
  </si>
  <si>
    <t>The purpose of this PoA is to distribute domestic biogas plants (DBPs), generating biogas for cooking in rural communities in Ethiopia.</t>
  </si>
  <si>
    <t>AMS-I.I.+AMS-I.E.+AMS-II.G.</t>
  </si>
  <si>
    <t>CPA0469.01</t>
  </si>
  <si>
    <t>6000 Domestic biogas plants to be installed in rural areas of Ethiopia.</t>
  </si>
  <si>
    <t>PoA0470</t>
  </si>
  <si>
    <t>Ethiopia Off-Grid Renewable Energy Program</t>
  </si>
  <si>
    <t>This PoA will promote off-grid energy access, through the installation of 150,000 solar household PV systems, 3,000 institutional solar PV systems and 3,000,000 small solar lighting systems (lights/lanterns)</t>
  </si>
  <si>
    <t>AMS-III.AR.+AMS-I.F.+AMS-I.L.+AMS-I.B.</t>
  </si>
  <si>
    <t>CPA0470.01</t>
  </si>
  <si>
    <t>DBE Off-grid renewable energy solar lamps 01/01/2015 – 31/12/2015</t>
  </si>
  <si>
    <t>CPA0059.74</t>
  </si>
  <si>
    <t>2898-0074</t>
  </si>
  <si>
    <t>CPA Nb. SCHHBG-2014-074</t>
  </si>
  <si>
    <t>Yibin</t>
  </si>
  <si>
    <t>CPA0059.75</t>
  </si>
  <si>
    <t>2898-0075</t>
  </si>
  <si>
    <t>CPA Nb. SCHHBG-2014-075</t>
  </si>
  <si>
    <t>Mianyang</t>
  </si>
  <si>
    <t>CPA0059.76</t>
  </si>
  <si>
    <t>2898-0076</t>
  </si>
  <si>
    <t>CPA Nb. SCHHBG-2014-076</t>
  </si>
  <si>
    <t>Dazhou</t>
  </si>
  <si>
    <t>CPA0059.77</t>
  </si>
  <si>
    <t>2898-0077</t>
  </si>
  <si>
    <t>CPA Nb. SCHHBG-2014-077</t>
  </si>
  <si>
    <t>Ziyang</t>
  </si>
  <si>
    <t>CPA0059.78</t>
  </si>
  <si>
    <t>2898-0078</t>
  </si>
  <si>
    <t>CPA Nb. SCHHBG-2014-078</t>
  </si>
  <si>
    <t>CPA0059.79</t>
  </si>
  <si>
    <t>2898-0079</t>
  </si>
  <si>
    <t>CPA Nb. SCHHBG-2014-079</t>
  </si>
  <si>
    <t>Meishan</t>
  </si>
  <si>
    <t>CPA0059.80</t>
  </si>
  <si>
    <t>2898-0080</t>
  </si>
  <si>
    <t>CPA Nb. SCHHBG-2014-080</t>
  </si>
  <si>
    <t>Neijiang</t>
  </si>
  <si>
    <t>CPA0059.81</t>
  </si>
  <si>
    <t>2898-0081</t>
  </si>
  <si>
    <t>CPA Nb. SCHHBG-2014-081</t>
  </si>
  <si>
    <t>Luzhou</t>
  </si>
  <si>
    <t>CPA0059.82</t>
  </si>
  <si>
    <t>2898-0082</t>
  </si>
  <si>
    <t>CPA Nb. SCHHBG-2014-082</t>
  </si>
  <si>
    <t>Guangan and Dazhou</t>
  </si>
  <si>
    <t>CPA0059.83</t>
  </si>
  <si>
    <t>2898-0083</t>
  </si>
  <si>
    <t>CPA Nb. SCHHBG-2014-083</t>
  </si>
  <si>
    <t>Guangan and Leshan</t>
  </si>
  <si>
    <t>CPA0059.84</t>
  </si>
  <si>
    <t>2898-0084</t>
  </si>
  <si>
    <t>CPA Nb. SCHHBG-2014-084</t>
  </si>
  <si>
    <t>Leshan and Luzhou</t>
  </si>
  <si>
    <t>CPA0059.85</t>
  </si>
  <si>
    <t>2898-0085</t>
  </si>
  <si>
    <t>CPA Nb. SCHHBG-2014-085</t>
  </si>
  <si>
    <t>Mianyang, Meishan and Luzhou</t>
  </si>
  <si>
    <t>CPA0059.86</t>
  </si>
  <si>
    <t>2898-0086</t>
  </si>
  <si>
    <t>CPA Nb. SCHHBG-2014-086</t>
  </si>
  <si>
    <t>Yibin, Mianyang, Suining and Neijiang</t>
  </si>
  <si>
    <t>CPA0059.87</t>
  </si>
  <si>
    <t>2898-0087</t>
  </si>
  <si>
    <t>CPA Nb. SCHHBG-2014-087</t>
  </si>
  <si>
    <t>Yibin, Ziyang and Zigong</t>
  </si>
  <si>
    <t>Kaduna State</t>
  </si>
  <si>
    <t>CPA0061.02</t>
  </si>
  <si>
    <t>6283-0002</t>
  </si>
  <si>
    <t>Distribution of fuel-efficient improved cooking stoves in Nigeria – CPA 002</t>
  </si>
  <si>
    <t>Kano State</t>
  </si>
  <si>
    <t>ICS (stoves)</t>
  </si>
  <si>
    <t>CPA0061.03</t>
  </si>
  <si>
    <t>6283-0003</t>
  </si>
  <si>
    <t>Distribution of fuel-efficient improved cooking stoves in Nigeria – CPA 003</t>
  </si>
  <si>
    <t>CPA0136.02</t>
  </si>
  <si>
    <t>6434-0002</t>
  </si>
  <si>
    <t>Aura Solar I Solar Project in Baja California Sur, Mexico</t>
  </si>
  <si>
    <t>Baja California Sur State</t>
  </si>
  <si>
    <t>A grid connected 38.76 MW solar plant</t>
  </si>
  <si>
    <t>PoA0471</t>
  </si>
  <si>
    <t>Nexus Carbon for Development</t>
  </si>
  <si>
    <t>This PoA entails the dissemination of gasification units (rice husks, other biomass residue) for electricity generation.</t>
  </si>
  <si>
    <t>AMS-I.A.+AMS-I.B.+AMS-I.D.</t>
  </si>
  <si>
    <t>Nexus Carbon</t>
  </si>
  <si>
    <t>CPA0471.01</t>
  </si>
  <si>
    <t>Takeo Province</t>
  </si>
  <si>
    <t>This CPA will install 3 biomass gasification units in Cambodia, with a total capacity of 0.36 MW</t>
  </si>
  <si>
    <t>Waste to energy using biomass Gasification in South East Asia LDCs programme of activities CPA-001</t>
  </si>
  <si>
    <t>10014</t>
  </si>
  <si>
    <t>10014-0001</t>
  </si>
  <si>
    <t>CPA0213.02</t>
  </si>
  <si>
    <t>9181-0002</t>
  </si>
  <si>
    <t>MicroEnergy Credits PoA – CPA 02</t>
  </si>
  <si>
    <t>Kerala, Tamil Nadu</t>
  </si>
  <si>
    <t>90,000 Solar lighting systems and 33,000 Efficient cooking stoves</t>
  </si>
  <si>
    <t>CPA0279.02</t>
  </si>
  <si>
    <t>8868-0002</t>
  </si>
  <si>
    <t>CECEP Alxa League Solar Power Generation Co., Ltd. Luanjingtan Grid_x000D_
Connected Solar PV Power Generation Phase II 50 MWp Project</t>
  </si>
  <si>
    <t>Grid connected Solar PV plant</t>
  </si>
  <si>
    <t>CPA0279.03</t>
  </si>
  <si>
    <t>8868-0003</t>
  </si>
  <si>
    <t>CECEP Dunhuang 50 MW Grid Connected Solar PV Power Generation_x000D_
Project</t>
  </si>
  <si>
    <t>Gansu Province</t>
  </si>
  <si>
    <t>CPA0279.04</t>
  </si>
  <si>
    <t>8868-0004</t>
  </si>
  <si>
    <t>Yongchang County Dazhaitan 50MW Grid Connected Solar PV Power_x000D_
Generation Project</t>
  </si>
  <si>
    <t>CPA0279.05</t>
  </si>
  <si>
    <t>8868-0005</t>
  </si>
  <si>
    <t>Three Gorges New Energy Hami 20MW Grid Connected PV Power Generation Project</t>
  </si>
  <si>
    <t>XinJiang Uygur Region</t>
  </si>
  <si>
    <t>CPA0279.06</t>
  </si>
  <si>
    <t>8868-0006</t>
  </si>
  <si>
    <t>Yongchang County Heqingtan Phase II 50MW Grid Connected Solar PV_x000D_
Power Generation Project</t>
  </si>
  <si>
    <t>CPA0279.07</t>
  </si>
  <si>
    <t>8868-0007</t>
  </si>
  <si>
    <t>Three Gorges New Energy Hetian Pishan Phase II 20MW Grid Connected Solar PV Power_x000D_
Generation Project</t>
  </si>
  <si>
    <t>Xinjiang Uygur Region</t>
  </si>
  <si>
    <t>CPA0279.08</t>
  </si>
  <si>
    <t>8868-0008</t>
  </si>
  <si>
    <t>Suzhou Sanyang Dongdongtan Phase II 50MW Grid Connected Solar PV Power Generation_x000D_
Project</t>
  </si>
  <si>
    <t>CPA0279.09</t>
  </si>
  <si>
    <t>8868-0009</t>
  </si>
  <si>
    <t>Wulan 20MW Grid Connected Solar PV Power Generation Project</t>
  </si>
  <si>
    <t>Qinghai Province</t>
  </si>
  <si>
    <t>CPA0279.10</t>
  </si>
  <si>
    <t>8868-0010</t>
  </si>
  <si>
    <t>Wuwei Liangzhou Phase III 30MW Grid Connected Solar PV Power Generation Project</t>
  </si>
  <si>
    <t>CPA0279.11</t>
  </si>
  <si>
    <t>8868-0011</t>
  </si>
  <si>
    <t>Wuwei Liangzhou Phase IV 100MW Grid Connected Solar PV Power Generation Project</t>
  </si>
  <si>
    <t>CPA0279.12</t>
  </si>
  <si>
    <t>8868-0012</t>
  </si>
  <si>
    <t>Suzhou Zhaoyang Dongdongtan Phase I 50MW Grid Connected Solar PV Power Generation_x000D_
Project</t>
  </si>
  <si>
    <t>CPA0346.03</t>
  </si>
  <si>
    <t>9292-0003</t>
  </si>
  <si>
    <t>15 MW wind CPA in Maharashtra and Andhra_x000D_
Pradesh: CPA 003</t>
  </si>
  <si>
    <t>8 wind turbines (3 of 1.5 MW, 5 of 2.1 MW)</t>
  </si>
  <si>
    <t>Re Gen &amp; Suzlon</t>
  </si>
  <si>
    <t>CPA0406.03</t>
  </si>
  <si>
    <t>6207-0003</t>
  </si>
  <si>
    <t>CPA 3 Improved Cook Stoves programme for Rwanda - Inyenyeri</t>
  </si>
  <si>
    <t>Phillips Woodstoves</t>
  </si>
  <si>
    <t>6207-0004</t>
  </si>
  <si>
    <t>Improved Cook Stoves programme for Rwanda #CPA1 Cameroon</t>
  </si>
  <si>
    <t>Envirofit Stoves</t>
  </si>
  <si>
    <t>10010</t>
  </si>
  <si>
    <t>10010-001</t>
  </si>
  <si>
    <t>Waste to energy using biomass Gasification in South East Asia LDCs programme of activities_x000D_
.</t>
  </si>
  <si>
    <t>PoAs with</t>
  </si>
  <si>
    <t>CPAs and CPA bunches</t>
  </si>
  <si>
    <t>Voluntary cancel-lations</t>
  </si>
  <si>
    <t>New CPA bunches</t>
  </si>
  <si>
    <t>CPA0005.10</t>
  </si>
  <si>
    <t>2956-0010</t>
  </si>
  <si>
    <t>Municipal Waste composting Project for Arua Municipality</t>
  </si>
  <si>
    <t>Arua</t>
  </si>
  <si>
    <t>CPA0005.11</t>
  </si>
  <si>
    <t>2956-0011</t>
  </si>
  <si>
    <t>Municipal Waste composting Project for Masindi Municipality</t>
  </si>
  <si>
    <t>Masindi</t>
  </si>
  <si>
    <t>CPA0005.12</t>
  </si>
  <si>
    <t>2956-0012</t>
  </si>
  <si>
    <t>Municipal Waste composting Project for Hoima Municipality</t>
  </si>
  <si>
    <t>Hoima</t>
  </si>
  <si>
    <t>9956-0002</t>
  </si>
  <si>
    <t>Up Energy Improved Cookstoves Programme, Uganda – CPA No 002</t>
  </si>
  <si>
    <t>Distribution of higher-efficiency, clean burning improved cooking biomass ICS (stoves) to residential households</t>
  </si>
  <si>
    <t>CPA0124.08</t>
  </si>
  <si>
    <t>6328-0008</t>
  </si>
  <si>
    <t>CPA - 008: 11.25 MW Solar PV Power Project, Rajgarh, Agar, Madhya_x000D_
Pradesh, India</t>
  </si>
  <si>
    <t>11.25 MW grid connect Solar PV power project</t>
  </si>
  <si>
    <t>CPA0213.03</t>
  </si>
  <si>
    <t>9181-0003</t>
  </si>
  <si>
    <t>MicroEnergy Credits PoA – CPA 03</t>
  </si>
  <si>
    <t>10,000 Solar lighting system and 33,000 Efficient cooking stoves</t>
  </si>
  <si>
    <t>CPA0213.04</t>
  </si>
  <si>
    <t>9181-0004</t>
  </si>
  <si>
    <t>MicroEnergy Credits PoA – CPA 04</t>
  </si>
  <si>
    <t>60,000 Solar lighting systems and 30,000 Efficient cooking stoves</t>
  </si>
  <si>
    <t>CPA0213.05</t>
  </si>
  <si>
    <t>9181-0005</t>
  </si>
  <si>
    <t>MicroEnergy Credits PoA – CPA 06</t>
  </si>
  <si>
    <t>90,000 Solar lighting systems and 31,120 Efficient cooking stoves</t>
  </si>
  <si>
    <t>CPA0320.08</t>
  </si>
  <si>
    <t>9416-0008</t>
  </si>
  <si>
    <t>Dangri Wind Power Project, Rajasthan</t>
  </si>
  <si>
    <t>15 wind turbines with an individual capacity of 2 MW</t>
  </si>
  <si>
    <t>10096</t>
  </si>
  <si>
    <t>10096-0001</t>
  </si>
  <si>
    <t>4659-0008</t>
  </si>
  <si>
    <t>4302-0004</t>
  </si>
  <si>
    <t>4302-0005</t>
  </si>
  <si>
    <t>4302-0006</t>
  </si>
  <si>
    <t>4302-0007</t>
  </si>
  <si>
    <t>9188-0001</t>
  </si>
  <si>
    <t>0</t>
  </si>
  <si>
    <t>3</t>
  </si>
  <si>
    <t>-1</t>
  </si>
  <si>
    <t>2</t>
  </si>
  <si>
    <t>-2</t>
  </si>
  <si>
    <t>-5</t>
  </si>
  <si>
    <t>CPA0109.03</t>
  </si>
  <si>
    <t>5962-0003</t>
  </si>
  <si>
    <t>Chlorine Dispensers in Uganda – CPA 3</t>
  </si>
  <si>
    <t>CPA0110.02</t>
  </si>
  <si>
    <t>CPA0110.03</t>
  </si>
  <si>
    <t>9956-0003</t>
  </si>
  <si>
    <t>Up Energy Improved Cookstoves Programme,_x000D_
Uganda – CPA No 003</t>
  </si>
  <si>
    <t>CPA0110.04</t>
  </si>
  <si>
    <t>9956-0004</t>
  </si>
  <si>
    <t>Up Energy Improved Cookstoves Programme,_x000D_
Uganda – CPA No 004</t>
  </si>
  <si>
    <t>CPA0124.09</t>
  </si>
  <si>
    <t>6328-0009</t>
  </si>
  <si>
    <t>CPA - 009: 10.5 MW Solar PV Power Project, Agar and Sehore, Madhya_x000D_
Pradesh, India</t>
  </si>
  <si>
    <t>10.5 MW grid connected Solar PV power project</t>
  </si>
  <si>
    <t>-4</t>
  </si>
  <si>
    <t>9744</t>
  </si>
  <si>
    <t>9744-0001</t>
  </si>
  <si>
    <t>CPA0213.06</t>
  </si>
  <si>
    <t>9181-0006</t>
  </si>
  <si>
    <t>MicroEnergy Credits PoA – CPA 05</t>
  </si>
  <si>
    <t>170,000 Solar lighting systems and 60,000 Water purification systems</t>
  </si>
  <si>
    <t>CPA0213.07</t>
  </si>
  <si>
    <t>9181-0007</t>
  </si>
  <si>
    <t>MicroEnergy Credits PoA – CPA 07</t>
  </si>
  <si>
    <t>90,000 Solar lighting systems and 28,795 Efficient cooking stoves</t>
  </si>
  <si>
    <t>CPA0213.08</t>
  </si>
  <si>
    <t>9181-0008</t>
  </si>
  <si>
    <t>MicroEnergy Credits PoA – CPA 08</t>
  </si>
  <si>
    <t>CPA0320.09</t>
  </si>
  <si>
    <t>9416-0009</t>
  </si>
  <si>
    <t>Vaspet-IV Wind Power Project, Maharashtra</t>
  </si>
  <si>
    <t>CPA0383.02</t>
  </si>
  <si>
    <t>8855-0002</t>
  </si>
  <si>
    <t>Solar Water Heater Program in India-“CPA-2”</t>
  </si>
  <si>
    <t>SWH systems with a total surface area of 63,901 m2</t>
  </si>
  <si>
    <t>CPA0383.03</t>
  </si>
  <si>
    <t>8855-0003</t>
  </si>
  <si>
    <t>Solar Water Heater Program in India- “CPA-3”</t>
  </si>
  <si>
    <t>SWH systems with a total surface area of 63,897 m2</t>
  </si>
  <si>
    <t>CPA0383.04</t>
  </si>
  <si>
    <t>8855-0004</t>
  </si>
  <si>
    <t>Solar Water Heater Program in India- “CPA-4”</t>
  </si>
  <si>
    <t>SWH systems with a total surface area of 64,000 m2 (projected)</t>
  </si>
  <si>
    <t>-3</t>
  </si>
  <si>
    <t>10124</t>
  </si>
  <si>
    <t>10124-0001</t>
  </si>
  <si>
    <t>Denmark (IBRD)</t>
  </si>
  <si>
    <t>United K. (European Carbon Fund)</t>
  </si>
  <si>
    <t>United K. (EcoSecurities)</t>
  </si>
  <si>
    <t>United K. (Cool nrg Carbon Investments)</t>
  </si>
  <si>
    <t>Netherlands (IBRD)</t>
  </si>
  <si>
    <t>Italy (IBRD)</t>
  </si>
  <si>
    <t>Netherlands (ORBEO)</t>
  </si>
  <si>
    <t>Japan (PEAR Carbon Offset Initiative)</t>
  </si>
  <si>
    <t>Japan (Mitsubishi UFJ Securities)</t>
  </si>
  <si>
    <t>Germany (Atmosfair)</t>
  </si>
  <si>
    <t>United K. (JP Morgan)</t>
  </si>
  <si>
    <t>Denmark (Danish Ministry of Climate &amp; Energy)</t>
  </si>
  <si>
    <t>Finland (Finland Ministry for Foreign Affairs)</t>
  </si>
  <si>
    <t>Spain (Government of Spain)</t>
  </si>
  <si>
    <t>Portugal (IBRD)</t>
  </si>
  <si>
    <t>Switzerland (South Pole Carbon Asset Management)</t>
  </si>
  <si>
    <t>Canada (IBRD)</t>
  </si>
  <si>
    <t>Spain (IBRD)</t>
  </si>
  <si>
    <t>Netherlands (Mabanaft)</t>
  </si>
  <si>
    <t>United K. (Gazprom Marketing &amp; Trading)</t>
  </si>
  <si>
    <t>Sweden (IBRD)</t>
  </si>
  <si>
    <t>Netherlands (C-Quest Capital)</t>
  </si>
  <si>
    <t>Germany (KfW)</t>
  </si>
  <si>
    <t>Switzerland (Soter)</t>
  </si>
  <si>
    <t>United K. (Standard Bank)</t>
  </si>
  <si>
    <t>Spain (Repsol)</t>
  </si>
  <si>
    <t>Netherlands (Mabanaft+Gunvor International)</t>
  </si>
  <si>
    <t>United K. (UPM)</t>
  </si>
  <si>
    <t>United K. (GenPower Carbon Solutions)</t>
  </si>
  <si>
    <t>United K. (Eneco energy+EnBW)</t>
  </si>
  <si>
    <t>Netherlands (Mabanaft+Do-inc.)</t>
  </si>
  <si>
    <t>United K. (CO2Balance)</t>
  </si>
  <si>
    <t>Japan (Carbon Capital Management)</t>
  </si>
  <si>
    <t>Japan (EX Corporation)</t>
  </si>
  <si>
    <t>United K. (Frontier Carbon)</t>
  </si>
  <si>
    <t>United K. (Deutsche Bank)</t>
  </si>
  <si>
    <t>Netherlands (Mabanaft Carbon)</t>
  </si>
  <si>
    <t>Sweden (Tricorona Carbon Asset Management Sweden)</t>
  </si>
  <si>
    <t>Sweden (Government of Sweden)</t>
  </si>
  <si>
    <t>Finland (GreenStream Network)</t>
  </si>
  <si>
    <t>Switzerland (Swiss Carbon Asset)</t>
  </si>
  <si>
    <t>France (BNP Paribas)</t>
  </si>
  <si>
    <t>Switzerland (South Pole Carbon Asset Management), Netherlands (E.ON)</t>
  </si>
  <si>
    <t>Switzerland (Swiss Carbon Asset+South Pole Carbon Asset Management)</t>
  </si>
  <si>
    <t>Spain (Zero Emissions Technologies)</t>
  </si>
  <si>
    <t>United K. (A&amp;T Carbon Asset Co.)</t>
  </si>
  <si>
    <t>Switzerland (Vestergaard Frandsen Group)</t>
  </si>
  <si>
    <t>Switzerland (Bunge Emissions Group)</t>
  </si>
  <si>
    <t>France (EcoAct)</t>
  </si>
  <si>
    <t>United K. (Eqao)</t>
  </si>
  <si>
    <t>Germany (Mabanaft)</t>
  </si>
  <si>
    <t>United K. (CAMCO)</t>
  </si>
  <si>
    <t>Switzerland (Vitol)</t>
  </si>
  <si>
    <t>Norway (Green Development)</t>
  </si>
  <si>
    <t>United K. (Blue World Carbon)</t>
  </si>
  <si>
    <t>Netherlands (Blue World Carbon)</t>
  </si>
  <si>
    <t>Netherlands (Hivos)</t>
  </si>
  <si>
    <t>United K. (Innovative Carbon Investment)</t>
  </si>
  <si>
    <t>Germany (Fichtner)</t>
  </si>
  <si>
    <t>Germany (Germany (First Climate)</t>
  </si>
  <si>
    <t>United K. (Merrill Lynch)</t>
  </si>
  <si>
    <t>United K. (Lakewood Carbon)</t>
  </si>
  <si>
    <t>Liechtenstein (International Carbon)</t>
  </si>
  <si>
    <t>Switzerland (Myclimate)</t>
  </si>
  <si>
    <t>United K. (Sindicatum Carbon Capital)</t>
  </si>
  <si>
    <t>Czech Republic (ET biogas)</t>
  </si>
  <si>
    <t>Czech Republic (Top Energo Invest)</t>
  </si>
  <si>
    <t>France (CDC Climat)</t>
  </si>
  <si>
    <t>United K. (Natural Balance International+ABHAssociates)</t>
  </si>
  <si>
    <t>Netherlands (Eneco Energy+Do-inc.)</t>
  </si>
  <si>
    <t>France (Ably Carbon)</t>
  </si>
  <si>
    <t>France (Bionersis)</t>
  </si>
  <si>
    <t>Netherlands (Carbon Partners Asiatica)</t>
  </si>
  <si>
    <t>Ireland (CES Carbon Services)</t>
  </si>
  <si>
    <t>United K. (Gregory Services)</t>
  </si>
  <si>
    <t>Switzerland (Mercuria Energy Trading)</t>
  </si>
  <si>
    <t>Japan (Shimizu)</t>
  </si>
  <si>
    <t>Canada (Landfill Gas Canada)</t>
  </si>
  <si>
    <t>Japan (J-TEC)</t>
  </si>
  <si>
    <t>Switzerland (First Climate)</t>
  </si>
  <si>
    <t>Italy (ENEL)</t>
  </si>
  <si>
    <t>Germany (Aufwind Schmack Asia Holding)</t>
  </si>
  <si>
    <t>Sweden (Cornland International)</t>
  </si>
  <si>
    <t>Germany (SoWiTec)</t>
  </si>
  <si>
    <t>United K. (CFP Energy)</t>
  </si>
  <si>
    <t>United K. (Eneco Energy)</t>
  </si>
  <si>
    <t>Total number of POAs with more than 1st CPA</t>
  </si>
  <si>
    <t>CPA0224.02</t>
  </si>
  <si>
    <t>8060-0002</t>
  </si>
  <si>
    <t>Improved Cookstoves Program for Zambia (COMCPA-002)</t>
  </si>
  <si>
    <t>13,572 domestic fuel efficient cooking stoves</t>
  </si>
  <si>
    <t>CPA0346.04</t>
  </si>
  <si>
    <t>9292-0004</t>
  </si>
  <si>
    <t>14 MW wind CPA in Maharashtra: CPA 004</t>
  </si>
  <si>
    <t>7 wind turbines of 2 MW</t>
  </si>
  <si>
    <t>BMD Power Pvt. Limited</t>
  </si>
  <si>
    <t>Inox Wind</t>
  </si>
  <si>
    <t>CPA0408.05</t>
  </si>
  <si>
    <t>9502-0005</t>
  </si>
  <si>
    <t>13.36 MW Solar Power Project in ART: CPA S005</t>
  </si>
  <si>
    <t>Andhra Pradesh, Telangana, Rajasthan and Tamil Nadu_x000D_
Pradesh, Telangana, Rajasthan and Tamil Nadu</t>
  </si>
  <si>
    <t>13.36 MW Solar PV</t>
  </si>
  <si>
    <t>9847</t>
  </si>
  <si>
    <t>10082</t>
  </si>
  <si>
    <t>10082-0001</t>
  </si>
  <si>
    <t>PoA0472</t>
  </si>
  <si>
    <t>Renewable Energy Rural Electrification (RERE) Programme</t>
  </si>
  <si>
    <t>Africa Growth and Energy Solutions (AGES)</t>
  </si>
  <si>
    <t>Rural off-grid using hydro, biomass, solar or wind</t>
  </si>
  <si>
    <t>S2 Services</t>
  </si>
  <si>
    <t>CPA0472.01</t>
  </si>
  <si>
    <t>Renewable Energy Rural Electrification (RERE) Programme CPA-001</t>
  </si>
  <si>
    <t>Southwest</t>
  </si>
  <si>
    <t>1 MW run of river plant</t>
  </si>
  <si>
    <t>CPA0085.02</t>
  </si>
  <si>
    <t>7237-0002</t>
  </si>
  <si>
    <t>9902</t>
  </si>
  <si>
    <t>9902-0001</t>
  </si>
  <si>
    <t>CPA0224.03</t>
  </si>
  <si>
    <t>8060-0003</t>
  </si>
  <si>
    <t>Improved Cookstoves Program for Zambia (COMCPA-003)</t>
  </si>
  <si>
    <t>CPA0224.04</t>
  </si>
  <si>
    <t>8060-0004</t>
  </si>
  <si>
    <t>Improved Cookstoves Program for Zambia (COMCPA-004)</t>
  </si>
  <si>
    <t>10134</t>
  </si>
  <si>
    <t>10134-01</t>
  </si>
  <si>
    <t>9847-0001</t>
  </si>
  <si>
    <t>Nepal Biogas Support Program - CPA 2: 19,927 digesters.</t>
  </si>
  <si>
    <t>Nepal Biogas Support Program - CPA 3: 19,959 digesters.</t>
  </si>
  <si>
    <t>Nepal Biogas Support Program - CPA 4: 19,970 digesters.</t>
  </si>
  <si>
    <t>CPA0024.06</t>
  </si>
  <si>
    <t>9572-0006</t>
  </si>
  <si>
    <t>Nepal Biogas Support Program - CPA 6: 18,504 digesters</t>
  </si>
  <si>
    <t>biogas digester (GGC 2047 model)</t>
  </si>
  <si>
    <t>CPA0024.07</t>
  </si>
  <si>
    <t>9572-0007</t>
  </si>
  <si>
    <t>Nepal Biogas Support Program - CPA 7: 18,392 digesters</t>
  </si>
  <si>
    <t>SunLighting™ Côte d’Ivoire – Programme to replace kerosene lamps with micro PV LED systems</t>
  </si>
  <si>
    <t>Côte d’Ivoire</t>
  </si>
  <si>
    <t>The purpose of this PoA is to replace kerosene lamps with micro PV LED systems</t>
  </si>
  <si>
    <t>CPA0473.01</t>
  </si>
  <si>
    <t>SunLighting™ Côte d’Ivoire – Programme to replace kerosene lamps with micro PV LED systems - CPA 1</t>
  </si>
  <si>
    <t>West</t>
  </si>
  <si>
    <t>CPA0035.06</t>
  </si>
  <si>
    <t>6810-0006</t>
  </si>
  <si>
    <t>CPA8_Trung Thu Hydropower Project</t>
  </si>
  <si>
    <t>Dien Bien</t>
  </si>
  <si>
    <t>Ministry of Industry and Trade of Vietnam (MOIT)</t>
  </si>
  <si>
    <t>30MW run of river hydropower plant</t>
  </si>
  <si>
    <t>General Directorate of Energy, Ministry of Industry and Trade (MOIT)</t>
  </si>
  <si>
    <t>CPA0035.07</t>
  </si>
  <si>
    <t>6810-0007</t>
  </si>
  <si>
    <t>CPA7_Bao Lam 1 Hydropower Project.</t>
  </si>
  <si>
    <t>CPA0035.08</t>
  </si>
  <si>
    <t>6810-0008</t>
  </si>
  <si>
    <t>CPA6_Ban Ang Hydropower Project</t>
  </si>
  <si>
    <t>Nghe An</t>
  </si>
  <si>
    <t>17MW run of river hydropower plant</t>
  </si>
  <si>
    <t>CPA0148.02</t>
  </si>
  <si>
    <t>7864-0002</t>
  </si>
  <si>
    <t>Kalimantan Barat_x000D_
Barat</t>
  </si>
  <si>
    <t>Replacing an existing wastewater treatment system with a new_x000D_
treatment system i.e. anaerobic digestion using anaerobic tank_x000D_
based technologies/system coupled with biogas recovery.</t>
  </si>
  <si>
    <t>10116</t>
  </si>
  <si>
    <t>10116-0001</t>
  </si>
  <si>
    <t>9176</t>
  </si>
  <si>
    <t>9176-0001</t>
  </si>
  <si>
    <t>CPA0286.02</t>
  </si>
  <si>
    <t>9251-0002</t>
  </si>
  <si>
    <t>CPA Luz del Norte</t>
  </si>
  <si>
    <t>CPA0320.10</t>
  </si>
  <si>
    <t>9416-0010</t>
  </si>
  <si>
    <t>Pratapgarh Wind Power Project, Rajasthan</t>
  </si>
  <si>
    <t>34 wind turbines with an individual capacity of 1.5 MW</t>
  </si>
  <si>
    <t>6207-0005</t>
  </si>
  <si>
    <t>CPA 4 Improved Cook Stoves programme for Rwanda</t>
  </si>
  <si>
    <t>Germany (atmosfair)</t>
  </si>
  <si>
    <t>6207-0006</t>
  </si>
  <si>
    <t>CPA 5 Improved Cook Stoves programme for Rwanda</t>
  </si>
  <si>
    <t>CPA0422.02</t>
  </si>
  <si>
    <t>9705-0002</t>
  </si>
  <si>
    <t>3.8MW Bulathwaththa Small Hydropower Project&lt;2014-MPM-004-3.8MW&gt;</t>
  </si>
  <si>
    <t>Reducing Methane Emissions and Improving Productivity in the Ugandan Dairy Sector Through Strategic Feed Supplementation</t>
  </si>
  <si>
    <t>RuMeth International</t>
  </si>
  <si>
    <t>The Molasse Urea Product (MUP) supplement will improve the digestive efficiency of the ruminants, which will have the effect of reducing methane emissions and increasing milk productivity</t>
  </si>
  <si>
    <t>Carbonomics</t>
  </si>
  <si>
    <t>CPA0474.01</t>
  </si>
  <si>
    <t>Dairy Feed Improvement Uganda, Gulu Project</t>
  </si>
  <si>
    <t>The project will improve the digestive efficiency of the ruminants to reduce methane emissions and increase milk productivity</t>
  </si>
  <si>
    <t>AMS-III.BK.</t>
  </si>
  <si>
    <t>Automatic additionality</t>
  </si>
  <si>
    <t>MSW-SUZ</t>
  </si>
  <si>
    <t>MSC</t>
  </si>
  <si>
    <t>Foik</t>
  </si>
  <si>
    <t>MSC SUZ</t>
  </si>
  <si>
    <t>Plist</t>
  </si>
  <si>
    <t>MSW SUZ</t>
  </si>
  <si>
    <t>CPA0035.09</t>
  </si>
  <si>
    <t>6810-0009</t>
  </si>
  <si>
    <t>CPA9_Bai Thuong Hydropower Project</t>
  </si>
  <si>
    <t>Thanh Hoa</t>
  </si>
  <si>
    <t>6MW run of river hydropower plant</t>
  </si>
  <si>
    <t>CPA0320.11</t>
  </si>
  <si>
    <t>9416-0011</t>
  </si>
  <si>
    <t>Sheopur Solar Power Project, Madhya Pradesh</t>
  </si>
  <si>
    <t>First Solar series 4 PV modules, advanced thin film solar PV technology</t>
  </si>
  <si>
    <t>MSC_x000D_
MSC_x000D_
MSC_x000D_
MSC_x000D_
MSC_x000D_
MSC</t>
  </si>
  <si>
    <t>CPA0438.02</t>
  </si>
  <si>
    <t>9847-0002</t>
  </si>
  <si>
    <t>Base I Hydropower Project</t>
  </si>
  <si>
    <t>Kigali</t>
  </si>
  <si>
    <t>DG Works Ltd</t>
  </si>
  <si>
    <t>AMS-I.F.+ACM2+AMS-I.D.</t>
  </si>
  <si>
    <t>CPA0438.03</t>
  </si>
  <si>
    <t>9847-0003</t>
  </si>
  <si>
    <t>Giciye II Hydropower Project</t>
  </si>
  <si>
    <t>Nyabihu District</t>
  </si>
  <si>
    <t>The purpose of this CPA is to construct a micro scale hydropower plant with a capacity of 4.2 MW</t>
  </si>
  <si>
    <t>CPA0438.04</t>
  </si>
  <si>
    <t>9847-0004</t>
  </si>
  <si>
    <t>Ngororero Hydropower Project</t>
  </si>
  <si>
    <t>Ngororero District</t>
  </si>
  <si>
    <t>The purpose of this CPA is to construct a micro scale hydropower plant with a capacity of 2.4 MW</t>
  </si>
  <si>
    <t>CPA0438.05</t>
  </si>
  <si>
    <t>9847-0005</t>
  </si>
  <si>
    <t>Ntaruka A Hydropower Project</t>
  </si>
  <si>
    <t>The purpose of this CPA is to construct a micro scale hydropower plant with a capacity of 2 MW</t>
  </si>
  <si>
    <t>CPA0438.06</t>
  </si>
  <si>
    <t>9847-0006</t>
  </si>
  <si>
    <t>Rwondo Hydropower Project</t>
  </si>
  <si>
    <t>The purpose of this CPA is to construct a micro scale hydropower plant with a capacity of 2.6 MW</t>
  </si>
  <si>
    <t>Through this CPA approximately 400,000 solar lamps will be installed in Ethiopia.</t>
  </si>
  <si>
    <t>The project will sell/distribute PV LED systems to households in Côte d’Ivoire</t>
  </si>
  <si>
    <t>9889</t>
  </si>
  <si>
    <t>9889-0001</t>
  </si>
  <si>
    <t>Dissemination of Improved Water mills</t>
  </si>
  <si>
    <t>25.2 MW wind power plant</t>
  </si>
  <si>
    <t>3*30 MW wind power plant</t>
  </si>
  <si>
    <t>CPA0161.03</t>
  </si>
  <si>
    <t>7271-0003</t>
  </si>
  <si>
    <t>São Miguel do Gostoso Wind Power Plant Complex</t>
  </si>
  <si>
    <t>Ecopart Assessoria em Negocios Empresariais Ltda.</t>
  </si>
  <si>
    <t>108 MW wind power plant</t>
  </si>
  <si>
    <t>CPA0422.03</t>
  </si>
  <si>
    <t>9705-0003</t>
  </si>
  <si>
    <t>2.0MW Maskeliya Oya Small Hydropower Project&lt;2014-PPD-003-2.0MW&gt;</t>
  </si>
  <si>
    <t>CPA0422.04</t>
  </si>
  <si>
    <t>9705-0004</t>
  </si>
  <si>
    <t>3.0MW Koswathu Ganga Small Hydropower Project&lt;2014-FIN-005-3.0MW&gt;</t>
  </si>
  <si>
    <t>CPA0422.05</t>
  </si>
  <si>
    <t>9705-0005</t>
  </si>
  <si>
    <t>3.25MW Dambulu Oya Small Hydropower Project&lt;2014-HPD-002-3.25MW&gt;</t>
  </si>
  <si>
    <t>Small Hydro Power Programme of Activities in Iran</t>
  </si>
  <si>
    <t>Mehr Renewable Energy Company (MRE)</t>
  </si>
  <si>
    <t>The PoA will support the development of new grid connected small scale hydropower generation_x000D_
projects throughout Iran.</t>
  </si>
  <si>
    <t>CPA0475.01</t>
  </si>
  <si>
    <t>Tehran</t>
  </si>
  <si>
    <t>A small-scale hydropower plant that is run-of-river with a total installed capacity of 2.3 MW</t>
  </si>
  <si>
    <t>Scaling-Up Solar Photovoltaic Power Generation</t>
  </si>
  <si>
    <t>Burkina Faso, Congo, Côte d'Ivoire, Egypt, Ghana, Jordan, Kenya, Mali, Morocco, Mozambique, Senegal, South Africa, Zambia, Bangladesh, Myanmar, Pakistan, Zambia</t>
  </si>
  <si>
    <t>Scatec Solar ASA</t>
  </si>
  <si>
    <t>The POA will develop and implement a range of utility scale Solar PV power generation projects</t>
  </si>
  <si>
    <t>CPA0476.01</t>
  </si>
  <si>
    <t>Segou</t>
  </si>
  <si>
    <t>This CPA involves the development, construction and operation of a 33MWp PV power generation project</t>
  </si>
  <si>
    <t>This PoA aims to provide rural off-grid population of Cameroon with renewable electricity using locally available resources like hydro, biomass, solar or wind</t>
  </si>
  <si>
    <t>CPA0477.01</t>
  </si>
  <si>
    <t>The CPA Implementer plans to install and operate 1MW solar PV</t>
  </si>
  <si>
    <t>10186-0001</t>
  </si>
  <si>
    <t>Mehr renewable energies</t>
  </si>
  <si>
    <t>Scatec Solar</t>
  </si>
  <si>
    <t>POA Lifetime</t>
  </si>
  <si>
    <t>Tech Lifetime CPA (Years)</t>
  </si>
  <si>
    <t>Env Analysis</t>
  </si>
  <si>
    <t>EIA Required</t>
  </si>
  <si>
    <t>Local Stakeholder</t>
  </si>
  <si>
    <t>Manu-facturer 2</t>
  </si>
  <si>
    <t>Finance Indicator</t>
  </si>
  <si>
    <t>CPA0100.04</t>
  </si>
  <si>
    <t>6198-0004</t>
  </si>
  <si>
    <t>Zaña Hydro Power Plant, Monte Seco1 – Tunki PoA CPA #3</t>
  </si>
  <si>
    <t xml:space="preserve">Carbonbay GmbH &amp; Co. KG </t>
  </si>
  <si>
    <t>13.2 MW Run of river hydropower plant</t>
  </si>
  <si>
    <t>Germany (Carbonbay)</t>
  </si>
  <si>
    <t>Carbonbay GmbH &amp; Co. KG</t>
  </si>
  <si>
    <t>10182-0001</t>
  </si>
  <si>
    <t>CPA0182.03</t>
  </si>
  <si>
    <t>9904-0003</t>
  </si>
  <si>
    <t>CPA0182.04</t>
  </si>
  <si>
    <t>9904-0004</t>
  </si>
  <si>
    <t>CPA0182.05</t>
  </si>
  <si>
    <t>9904-0005</t>
  </si>
  <si>
    <t>Mbinga Hydroelectric Project</t>
  </si>
  <si>
    <t>Yovi Small Hydro Power Project</t>
  </si>
  <si>
    <t>Tulila Hydro-electric Plant</t>
  </si>
  <si>
    <t>Ruvuma</t>
  </si>
  <si>
    <t>A 1.12 MW run-of-the-river hydroelectric power plant which will be installed in 2 phases of 560 kW each</t>
  </si>
  <si>
    <t>Installation of a 2.3 MW Pelton turbine</t>
  </si>
  <si>
    <t>Morgoro</t>
  </si>
  <si>
    <t>A 7.5 MW hydro-electric power plant [(2 x 2.5 MW) in phase 1 and additional 2.5 MW in phase 2]</t>
  </si>
  <si>
    <t>CPA0478.01</t>
  </si>
  <si>
    <t>Biomass Briquette usage for energy use in Zambia</t>
  </si>
  <si>
    <t>Copperbelt Province</t>
  </si>
  <si>
    <t>The CPA involves the manufacturing of renewable biomass briquettes which will be used in a total of 4000 households</t>
  </si>
  <si>
    <t>AMS-I.C.+AMS.I.E.</t>
  </si>
  <si>
    <t>CPA0109.04</t>
  </si>
  <si>
    <t>5962-0004</t>
  </si>
  <si>
    <t>Chlorine Dispensers in Malawi – CPA 5</t>
  </si>
  <si>
    <t>Southeast Africa</t>
  </si>
  <si>
    <t>Chile, Egypt, El Salvador, Ethiopia, Gambia, Iran, Kenya, Madagascar, Malawi, Mexico, Nicaragua, South Africa, Uganda</t>
  </si>
  <si>
    <t>CPA0479.01</t>
  </si>
  <si>
    <t>PoA0476</t>
  </si>
  <si>
    <t>PoA0475</t>
  </si>
  <si>
    <t>PoA0474</t>
  </si>
  <si>
    <t>PoA0473</t>
  </si>
  <si>
    <t>Brazilian PoA for NAMA incentivized NCRE Projects</t>
  </si>
  <si>
    <t>Santa Mónica Wind Complex</t>
  </si>
  <si>
    <t>Ceará State</t>
  </si>
  <si>
    <t>Energia S.A.</t>
  </si>
  <si>
    <t>The CPA consists of a 97.2 MW wind farm complex composed of four adjacent wind farms</t>
  </si>
  <si>
    <t>Tractebel Engineering</t>
  </si>
  <si>
    <t>EOTF Energy</t>
  </si>
  <si>
    <t>EPIC</t>
  </si>
  <si>
    <t>PoA0477</t>
  </si>
  <si>
    <t>PoA0478</t>
  </si>
  <si>
    <t>PoA0479</t>
  </si>
  <si>
    <t>AMS-III.AN.</t>
  </si>
  <si>
    <t>Replaced at Validation</t>
  </si>
  <si>
    <t>CPA0159.04</t>
  </si>
  <si>
    <t>CPA0159.05</t>
  </si>
  <si>
    <t>CPA0159.06</t>
  </si>
  <si>
    <t>CPA0159.07</t>
  </si>
  <si>
    <t>8260-0004</t>
  </si>
  <si>
    <t>8260-0005</t>
  </si>
  <si>
    <t>8260-0006</t>
  </si>
  <si>
    <t>8260-0007</t>
  </si>
  <si>
    <t>Khobab Wind Farm</t>
  </si>
  <si>
    <t>Loeriesfontein 2 Wind Farm</t>
  </si>
  <si>
    <t>Nojoli Wind Farm</t>
  </si>
  <si>
    <t>Noupoort Wind Farm</t>
  </si>
  <si>
    <t xml:space="preserve">140.3 MW capacity green field project over an area of approximately 3,136 hectares in total </t>
  </si>
  <si>
    <t>Siemens, SunTech</t>
  </si>
  <si>
    <t>140.3 MW over two land parcels measuring 2,616 hectares (ha) in total</t>
  </si>
  <si>
    <t>88 MW, delivering an average of 238,800 MWh per year over a 10 year period</t>
  </si>
  <si>
    <t>79.05 MW delivering an average of 251.2GWh per year over a 10 year period</t>
  </si>
  <si>
    <t>CPA0161.04</t>
  </si>
  <si>
    <t>7271-0004</t>
  </si>
  <si>
    <t>Vamcruz Wind Power Plant Complex</t>
  </si>
  <si>
    <t>93 MW wind power plant</t>
  </si>
  <si>
    <t>CPA0087.02</t>
  </si>
  <si>
    <t>7883-0002</t>
  </si>
  <si>
    <t>CPA0087.03</t>
  </si>
  <si>
    <t>7883-0003</t>
  </si>
  <si>
    <t>Peña Flor-Los Sisitos Small Scale Central Hydroelectric Project, Suchitepéquez, Guatemala (SSC-CPA Peña Flor-Los Sisitos)</t>
  </si>
  <si>
    <t>Pacayas Small Scale Central Hydroelectric Project, Alta Verapaz, Guatemala (SSC-CPA Pacayas)</t>
  </si>
  <si>
    <t>0.601 MW run of river plant</t>
  </si>
  <si>
    <t>5 MW run of river plant</t>
  </si>
  <si>
    <t>Accelerating Electrification through Grid Extension and Off-Grid Electrification in Rural Areas of _x000D_Uganda</t>
  </si>
  <si>
    <t>Accelerating Electrification through Grid Extension and off-grid electrification in Rural Areas of Uganda CPA 1</t>
  </si>
  <si>
    <t>PoA0480</t>
  </si>
  <si>
    <t>CPA0480.01</t>
  </si>
  <si>
    <t>Project Gaia Cook Stove Programme of Activities (PoA)</t>
  </si>
  <si>
    <t>Project Gaia Cook Stove Programme of Activities - CPA0001 Ethiopia</t>
  </si>
  <si>
    <t>Djibouti, Ethiopia</t>
  </si>
  <si>
    <t>Addis Ababa</t>
  </si>
  <si>
    <t>Project Gaia Inc.</t>
  </si>
  <si>
    <t>This PoA aims to displace the use of non-renewable biomass and fossil fuel for cooking in households through the dissemination of energy efficient cook stoves powered by ethanol</t>
  </si>
  <si>
    <t>The CPA plans the dissemination of energy efficient cook stoves powered by renewable sources of biomass</t>
  </si>
  <si>
    <t>AMS-I.I.+AMS.I.E.</t>
  </si>
  <si>
    <t>Project Gaia Cook Stove Programme of Activities - CPA0002 Djibouti</t>
  </si>
  <si>
    <t>CPA0480.02</t>
  </si>
  <si>
    <t>20MW Ningo PV Power Generation Project in Ghana</t>
  </si>
  <si>
    <t>Accra</t>
  </si>
  <si>
    <t>This CPA involves the development, construction and operation of a 20MW PV power generation project</t>
  </si>
  <si>
    <t>17MWp Zagtouli PV Power Generation Project in Burkina Faso</t>
  </si>
  <si>
    <t>Ouagadougou</t>
  </si>
  <si>
    <t>This CPA involves the development, construction and operation of a 17MW PV power generation project</t>
  </si>
  <si>
    <t>PoA0481</t>
  </si>
  <si>
    <t>CPA0481.01</t>
  </si>
  <si>
    <t>CPA0481.02</t>
  </si>
  <si>
    <t>CPA0481.03</t>
  </si>
  <si>
    <t>Improved cook stove Program of Activities in Pyuthan, Rolpa, Rukum, Salyan, Dailekhand Jajarkot districts of Nepal</t>
  </si>
  <si>
    <t>Fossil Natural Gas Substitution by Renewable Natural Gas Produced from Anaerobic Digestion ofVinasse Programme of Activity in Brazil</t>
  </si>
  <si>
    <t>Efficiency Improvements in Furnaces used in Steel Re-rolling industry in Bhavnagar District, Gujarat, India</t>
  </si>
  <si>
    <t>Efficiency Improvements in Furnaces used in Steel Re-rolling industry in Bhavnagar District, Gujarat India</t>
  </si>
  <si>
    <t>Promotion of Biomass Based Heat Generation Systems in India” (CPA Number 020).</t>
  </si>
  <si>
    <t>Earthhood</t>
  </si>
  <si>
    <t>Idval</t>
  </si>
  <si>
    <t>Methane capture and combustion from Animal Waste Management System (AWMS) of the 3S Program farms of the Instituto Sadia de Sustentabilidade</t>
  </si>
  <si>
    <t>U99FBI1CTGOOD52D6YAYSQ19V8ODLM</t>
  </si>
  <si>
    <t>XCH8BCVGVGQBLUE1OWYT4ID47EN3XA</t>
  </si>
  <si>
    <t>EZZKC8Y2XVGW3IDGD2F1R3U5Q7GJ3P</t>
  </si>
  <si>
    <t>7VKAGAZ64KCANHRWZWCZMSU4AX1GGE</t>
  </si>
  <si>
    <t>HP4RCRTEE2TQTH1BO7QXKW3JB1M9KC</t>
  </si>
  <si>
    <t>13CA6BEZZDGI9SHXI1ROZJ07GEBY8Q</t>
  </si>
  <si>
    <t>QLPECOPSXV6XH8YWC32E7APNLZWU6M</t>
  </si>
  <si>
    <t>OXEVYP45BDLBC0N23JPOLZ72NDRBMO</t>
  </si>
  <si>
    <t>HE32EW4OAHP1Z5KCDI8J3I0WCS53M0</t>
  </si>
  <si>
    <t>SEXLGHW7439CT5MRTT4T7GU0J488UW</t>
  </si>
  <si>
    <t>F3GZXJYS764Z3DRH8K7NKLUMDAYF0G</t>
  </si>
  <si>
    <t>WOW1YYO9VEFAM3D6H2GJ4BZ4AW9YJL</t>
  </si>
  <si>
    <t>5BN3CWHSVU6CIQABEG7QS0UT1LYH8Y</t>
  </si>
  <si>
    <t>3PZT61O72LFYTMK2KT4FANFNR9BUUF</t>
  </si>
  <si>
    <t>QWUIDIMQZ3L3Z8O0N1HQFH8J7258AL</t>
  </si>
  <si>
    <t>G1NU99KPWG655SQX4X5F0EQE8BNT17</t>
  </si>
  <si>
    <t>XZCFF4R5RTZ3GB7XXU7OZ1ARYWUIK5</t>
  </si>
  <si>
    <t>EY77EH8X8BRE7I6ZAMIB1826FES1OQ</t>
  </si>
  <si>
    <t>97MHN57ORZLBG85D8RZ8CCK41LJH6W</t>
  </si>
  <si>
    <t>1KZZKH1T52DEHPVHAFOC975XWWXTLP</t>
  </si>
  <si>
    <t>6V7V9IQGKLEM7IU7RT9MDZWB2GDN16</t>
  </si>
  <si>
    <t>8NQSNDGXJC1SL5OHIPOBRGZGADTHG6</t>
  </si>
  <si>
    <t>J7BOTN9LCWLN2SNVRY5LIGMT0B22D1</t>
  </si>
  <si>
    <t>Z36X1S3M65OLXAHEUE7ELY7571XD4Q</t>
  </si>
  <si>
    <t>J8AS7C008XO90OT9BYMYLY2T23DSUS</t>
  </si>
  <si>
    <t>PFA0158W92RYKF7PWAHT39VPU9POPL</t>
  </si>
  <si>
    <t>842J7KCG5SRVNU5AZ2O6DK8SK18ND1</t>
  </si>
  <si>
    <t>OY69YK027B749EEOTOZMDYH6KIWB3H</t>
  </si>
  <si>
    <t>XC2SATT3LMM67V2K1EB76ZU0FO3P2P</t>
  </si>
  <si>
    <t>O5VZTS7UTZ8EADX1N81S4DB6O8IYV2</t>
  </si>
  <si>
    <t>SYWCXSBVI11NV3XMS7HEGTFUE3DFWU</t>
  </si>
  <si>
    <t>RYITC6B13PQ3BA4Q841GUJFNTOMR0N</t>
  </si>
  <si>
    <t>2WI373KQPBX3HHZVL1K39W9CFO8OJQ</t>
  </si>
  <si>
    <t>PX3DLROQVMMON45T0ZHHBM4DKLSCZJ</t>
  </si>
  <si>
    <t>KH28I19T150Y33MLEEG3GWME4168BO</t>
  </si>
  <si>
    <t>WF7W47MLD9F0Y2AFTRY9A41JVLCPJB</t>
  </si>
  <si>
    <t>005JRIZUHLT62OZXHGKUIKNXL8O45D</t>
  </si>
  <si>
    <t>GTBFSFMNVZXMQFMLW7KYE9J2PE08ED</t>
  </si>
  <si>
    <t>FYHTWZ3QLWM91NKR9DB47YIHGQ5KSU</t>
  </si>
  <si>
    <t>8VZ9ESO6M7057RIZMA19PEPVJWXZCA</t>
  </si>
  <si>
    <t>GLFOCKSJDNB17PMML7BFXH8YT66R55</t>
  </si>
  <si>
    <t>CC3SL63S21H7EKTUKG004693GJ7T0E</t>
  </si>
  <si>
    <t>UYS6BZUGD4PMRTD4M5GFA72GU8YZG0</t>
  </si>
  <si>
    <t>Z95M9RDTVIEL6YN7RLYGEMO5JWS1AJ</t>
  </si>
  <si>
    <t>QWJALQVOYC0C27VCTEOS60R4ZRN8L0</t>
  </si>
  <si>
    <t>29EI8GQ3VSXJBGHEHFFOAAH2Z0N4B2</t>
  </si>
  <si>
    <t>MFYU31ZBA2GG3OENYSE1MKHHIRXL3F</t>
  </si>
  <si>
    <t>FE1O4X694G3CET6VGVGIOP16N11UPF</t>
  </si>
  <si>
    <t>EFGITXVLLD0JO8DUQR9ZMVBDPM5TFI</t>
  </si>
  <si>
    <t>TW3BB1H0VB3ZONGB0PW4XZ7JNQE9RE</t>
  </si>
  <si>
    <t>TUXCL897X8BIPUGILATNNKL4JTRB39</t>
  </si>
  <si>
    <t>0854E2KKYMKHZ4AEGZSKFA3HP7SU1F</t>
  </si>
  <si>
    <t>HLD43PY3PVTGOA6485WEHS9X08ZKZ0</t>
  </si>
  <si>
    <t>E9BNZEOBN5JL9RCCSXVP63P3FP8Y10</t>
  </si>
  <si>
    <t>QZJF145Q549K9CCC1AMAACHI1A3VFR</t>
  </si>
  <si>
    <t>JQZC58SKAT6F8L9IZW5NCBKF21Z90Z</t>
  </si>
  <si>
    <t>LXVV519KCCOGQM4WL7JYFD3D752BA7</t>
  </si>
  <si>
    <t>L4WEGWIDWIP3GKLL46OQ4OQ46GABRM</t>
  </si>
  <si>
    <t>9R3X4IB0SS5HVAEVQXYKCEIJM5J9YH</t>
  </si>
  <si>
    <t>VWRWQDZGUIHMK133RRH3TKQNTN31KL</t>
  </si>
  <si>
    <t>7N1V6GU9NH6QDKUCKT07T03X74EVA9</t>
  </si>
  <si>
    <t>8M4PPYQK5DXE7Q5W6G8UMAHX9TVF14</t>
  </si>
  <si>
    <t>EJUWFRLEREOEC2SSIGC8XQKTXATSDN</t>
  </si>
  <si>
    <t>M7SPUGYM23YSP2MHCZSQJOJ9WXVS6I</t>
  </si>
  <si>
    <t>KJVJROEXMWH1PNCXAFMAE2EJNCJQVC</t>
  </si>
  <si>
    <t>7U0F9AW4TMZKOP3YRJMR5CVWOYGYN0</t>
  </si>
  <si>
    <t>H7RIZQKCN0Z8NZ4A9Y0EJ6O5CCAILA</t>
  </si>
  <si>
    <t>I0P69ZLWTD2RK1K8MTKSO3LPR4H5Q7</t>
  </si>
  <si>
    <t>OSYTPN7C6MAN44H2V53WA1OGJHXSV5</t>
  </si>
  <si>
    <t>UACW6CORMHEQTOAUBR5T6EVBL3E9L3</t>
  </si>
  <si>
    <t>COOOTTMCPBQF4QCUASJDRIX65NCDI6</t>
  </si>
  <si>
    <t>DU4107N5GBVZQL0T5R03K6YFEFKTUJ</t>
  </si>
  <si>
    <t>SU4WR58PN82E99YM6HXV2MB22V5O3Q</t>
  </si>
  <si>
    <t>HC7SLUPA2SQI2NOJAUDTFVSCNJF878</t>
  </si>
  <si>
    <t>9OH8JX23RMBJDG7DP0B5Q29I5DFTAJ</t>
  </si>
  <si>
    <t>L5R0TMVTFQCYAKGX0XJYDUG2QG3SJI</t>
  </si>
  <si>
    <t>LXMKWBDZ54V0LSAO0NSN3CNT7LH0G3</t>
  </si>
  <si>
    <t>KZE3NDBSH9K5EBH3NZQTTIDYQXCQ6W</t>
  </si>
  <si>
    <t>LXJZOCC9OM503YD0PDZPGBAWG2PSSW</t>
  </si>
  <si>
    <t>SYPEE63VG57ZIB75B5QPY6UJ71F1UI</t>
  </si>
  <si>
    <t>19ATQDEFC5RPDASZCXHCKR9II2EKGY</t>
  </si>
  <si>
    <t>LWY2JFU4UHI9VMM4QOZ0326OTE6W7X</t>
  </si>
  <si>
    <t>L4GKXH1FTNAMON2GR2TOXPIGK08XT4</t>
  </si>
  <si>
    <t>KBA65GGUAZIG8983YLL9QM7S97EZ0N</t>
  </si>
  <si>
    <t>GTXCLPCVFATNFXPEY4BCF3RUU1N5GK</t>
  </si>
  <si>
    <t>I06DE6UCRK368XWLQWEYH35LWQMDAF</t>
  </si>
  <si>
    <t>DWV289YR53DJS9VRU4XGT69SVVE5ZQ</t>
  </si>
  <si>
    <t>D5R7QWCYAQWBCRWHPK75NEHJ3SYSSQ</t>
  </si>
  <si>
    <t>GNA745N1O5RLC5R2KS4FTSUHORT304</t>
  </si>
  <si>
    <t>70BN4UMGGZBS2KK0RO9JCXJ98VHH4H</t>
  </si>
  <si>
    <t>TM0LRZ3YPNDDYIOTOPWKX3NWFIKZ2P</t>
  </si>
  <si>
    <t>VT6JX7YYU1IMXM4VG3PCR7R56S22CF</t>
  </si>
  <si>
    <t>9ZFN805XALDV0VFIGKN6GJ07EQSLMB</t>
  </si>
  <si>
    <t>NG0HESBBVUVT8RTRNQ4BUZIIZJULJS</t>
  </si>
  <si>
    <t>H58B9JPB2EBQZ9E04FHXCQA873PBG4</t>
  </si>
  <si>
    <t>L5CV5I7GGT09G4UV10NELEXQ4DZG63</t>
  </si>
  <si>
    <t>JUXOCEZ61GHILHF5F1YIXRA06HKH18</t>
  </si>
  <si>
    <t>2MJW8CICWDNRL1F72DM11M3M8A6Q8M</t>
  </si>
  <si>
    <t>QJO11TO97AW4ND0APXYL7XVNUCSMU4</t>
  </si>
  <si>
    <t>D1W68MA7FK8E5CH1BG05BNM8R8V36Y</t>
  </si>
  <si>
    <t>QRDHOSYSAZFTTMGDJ9T4SOHAXK4DV3</t>
  </si>
  <si>
    <t>M9OTRG957HGPY1SQ7K4EQ6PCV1SALV</t>
  </si>
  <si>
    <t>L69OFXPQFJEJZXA25MQDM6CJ7NGMDV</t>
  </si>
  <si>
    <t>KGHGC1KOOSFUZWO7K5EZBAFSG28M2A</t>
  </si>
  <si>
    <t>TGKZ5U20I84R7UPZ2Q2FNJJWVVLC7T</t>
  </si>
  <si>
    <t>DV2KE3HA21Y7XW6W4UIBSVZ25375N6</t>
  </si>
  <si>
    <t>HHW7HMV2JLVMTVK3UHM6XW9VFJK07O</t>
  </si>
  <si>
    <t>1HJL7L33S8ZXZFFWFL4U62FD855UN8</t>
  </si>
  <si>
    <t>MGV8ZMW0TLTCC04FT77WU7848AC6A4</t>
  </si>
  <si>
    <t>XYW5W4UWUNTM08R3ESTELV32OY0ET6</t>
  </si>
  <si>
    <t>SPPZ63JEGZACHUPDY6QXN3XIBS9IFO</t>
  </si>
  <si>
    <t>L056L9FZ8EAX89INYMLJLSV5VCVLW8</t>
  </si>
  <si>
    <t>4JC41AXZ5ILYZPGNBRU4MLPLR7KEDP</t>
  </si>
  <si>
    <t>KQS5ZZJI6ISC4Q0MVSMOBJEIORGJSD</t>
  </si>
  <si>
    <t>REKUSXC1LPW3KEK8RG3GSAJBOO6P10</t>
  </si>
  <si>
    <t>Y3G1KXGDHHKJUOF8PYGCH3LIJXMMBX</t>
  </si>
  <si>
    <t>C0ITW72RQN0J51Z79ATZMI5C6AENCS</t>
  </si>
  <si>
    <t>1QJW5NPCBSEPQD5D3KDWG8BDC6CEFR</t>
  </si>
  <si>
    <t>UBTT98OBEM08JI1F293WCT5SVTN6J2</t>
  </si>
  <si>
    <t>E7UHQBUNNTIJF6BDL5S9DQX85S2A11</t>
  </si>
  <si>
    <t>1KMR7SJ9HEA1O41V0VZ38UB5F30G64</t>
  </si>
  <si>
    <t>9BIVV08J7JY27UJMG1P9ITLYZ9Q2I8</t>
  </si>
  <si>
    <t>12188VOVRN5JELDX2E97NK1FS9I44X</t>
  </si>
  <si>
    <t>TMH1UNP2QEHLYMZ71NF7IGHQX1EQTX</t>
  </si>
  <si>
    <t>EFMA7J16GK626K8BWY91GJGPLLOFHT</t>
  </si>
  <si>
    <t>K7ROA1D14773WHR9RENE7CS44SA5VL</t>
  </si>
  <si>
    <t>U8MZBSY2K4YV18JQA29WXRIW5WCBT5</t>
  </si>
  <si>
    <t>Z37079IMS4ISXZV1GXDRKL4889PY58</t>
  </si>
  <si>
    <t>I1YBKGICIP8QHFKG20FYCR6D9XWEM5</t>
  </si>
  <si>
    <t>93ODDFOE5F3EY1EH3W6WZDVBQ5O54E</t>
  </si>
  <si>
    <t>P332KPA9I7PLWAM3250K4M23FTP4X6</t>
  </si>
  <si>
    <t>RA3R1CRP2GTKQJJRNKOAHHGFJIUY2B</t>
  </si>
  <si>
    <t>AYYW2EJ3HYUNKG1IW90202KP44Z2NM</t>
  </si>
  <si>
    <t>7VIOEMF4O58MRP58K36FV02K2R53HQ</t>
  </si>
  <si>
    <t>BGY26B7WBHBDYJV8NDRBS2VM3V8RUI</t>
  </si>
  <si>
    <t>J2KE5VDTYHVB0AUT9KCQVFJF81HTZI</t>
  </si>
  <si>
    <t>PTCR9T5XB55229KYPTDPQCVSKCGNHU</t>
  </si>
  <si>
    <t>V5E1Y4RTM17JGVNPVYMF1LGF527PF4</t>
  </si>
  <si>
    <t>6YDIRX527ECQH9M3WKGOBARLIMC93Q</t>
  </si>
  <si>
    <t>5F6U3LEFL9Y8OEN3IF2KOIOSFTGT4P</t>
  </si>
  <si>
    <t>9DG9YMQJVP6JHXZCG4DMEUR77OX0QZ</t>
  </si>
  <si>
    <t>ET8VSFNNQ40UXSGV6QG8WB1HRXLN5A</t>
  </si>
  <si>
    <t>PNQJH84QZ4VXFWZSV4YFN44KYJ2YTR</t>
  </si>
  <si>
    <t>CQUYIQ6RTKTCFP2LZX9TZ6BO3YAGF7</t>
  </si>
  <si>
    <t>FZSY2BYFJFKX8A4E7K1IV84D6XGAKK</t>
  </si>
  <si>
    <t>AAZ1P0QEYGGC7O8V9BY7N7YPDJ1U2E</t>
  </si>
  <si>
    <t>OCO7N727VYFR9U81A6E4OV7H3SDGYU</t>
  </si>
  <si>
    <t>W7E1P44T8CEH3904D3RQR7YEL6YY78</t>
  </si>
  <si>
    <t>R27HIOG2RIDI2G99YZMR4JSMEZKIMP</t>
  </si>
  <si>
    <t>TCGH2RBVBYJFAIMG0RQ1J9BPKRIKN7</t>
  </si>
  <si>
    <t>ALPG608RWSVIG66774CJ5AKPCAVG2E</t>
  </si>
  <si>
    <t>A6IFE8OJZ2RMVMK89LH8VMWVLWFNDF</t>
  </si>
  <si>
    <t>Z4D5ARUZ7HEL0M70UI2BR31UH3H933</t>
  </si>
  <si>
    <t>NB9DX20J2BHQJXGEI1AY0UNKDCC7QO</t>
  </si>
  <si>
    <t>XMRDKSVTYTXGMAVLC73ZNR4V43AVPV</t>
  </si>
  <si>
    <t>3KXKIO1DBBFUYTG8FTNDMP8WBF111G</t>
  </si>
  <si>
    <t>A72S4CSO1BPEURQLGNVTM4LNY5NG33</t>
  </si>
  <si>
    <t>7HB3XEK1HI5FF6AURCEM21LADMY98H</t>
  </si>
  <si>
    <t>4BDKJLU68FX8QUVYFHMDTMO4E51787</t>
  </si>
  <si>
    <t>8IWG42A9RCSVVP39DUR33I3QHMD1CO</t>
  </si>
  <si>
    <t>UNWFNFINB2BWZXM746PLOQXMWA968I</t>
  </si>
  <si>
    <t>KKCUGF4GPWDS7VN3SFF39MNLI894XD</t>
  </si>
  <si>
    <t>JVKYPM3AXKL44HJWFPI4FQZZJQDOH1</t>
  </si>
  <si>
    <t>H86FD0CDIP83SCNAZN0722P6ZG1JNO</t>
  </si>
  <si>
    <t>0KMY34VTD58EQRN4GSPLH6UX72GVGT</t>
  </si>
  <si>
    <t>LE362B1FKK3H1I84L6MEQVMWYYKDV3</t>
  </si>
  <si>
    <t>3V5JWD7L9MPSHO06WIFD5VCP51ZHVM</t>
  </si>
  <si>
    <t>KTK5EZZYX81QEZSJJUFCM9EDS84CSD</t>
  </si>
  <si>
    <t>ZXAQM4XKMQ3TBG57GFX12GCQ3EUT6B</t>
  </si>
  <si>
    <t>809F1SI7X2R4P021CLFMYA1Q2QZJ0H</t>
  </si>
  <si>
    <t>IZAWROARH8X0ING3ZXO0848B19WM7L</t>
  </si>
  <si>
    <t>U4DUVPQZ8BNKWFSSB10VHMXA8PKLNR</t>
  </si>
  <si>
    <t>JVJQJIM242XJJ1IRYWYIN1GZP4HJ40</t>
  </si>
  <si>
    <t>TMX78MWOLKQ7K1MQYUTE3MKXB0CL7R</t>
  </si>
  <si>
    <t>OU4SH064A4D3UXRCJX7DFPWDYXIFBE</t>
  </si>
  <si>
    <t>6NPJZWMT1MFIDRJSY8ATI9NWEKXNAR</t>
  </si>
  <si>
    <t>MGN1UE1212FV8X8VYAN2B6MVWGD5UI</t>
  </si>
  <si>
    <t>Z0YFALRN6ZSABDAP9L8LOV5BCIFKRJ</t>
  </si>
  <si>
    <t>CRSHSVGVO1KLUB0ESRLPB3UIFVINAT</t>
  </si>
  <si>
    <t>U4QLT6GYTP4SWBHBXP2U53K9CCAPA8</t>
  </si>
  <si>
    <t>ESBDSCL6PRP2QPLXIX9JT01J3XORSA</t>
  </si>
  <si>
    <t>TZZV9YH000M50TF19LLRVEZO10J3E9</t>
  </si>
  <si>
    <t>Aux_ACG70V0UUUPNDPCRJL8KRYLHHSB0CJ</t>
  </si>
  <si>
    <t>2Q6GWNY332XXRS81YOIEB6EW5G4U5Q</t>
  </si>
  <si>
    <t>TKUCI3AN3E122550AOL40YALO7IJWW</t>
  </si>
  <si>
    <t>L5NM3ZT1NP8125Z00TJ5E6XNLZ3MIV</t>
  </si>
  <si>
    <t>MTFUUH9BLDEOKWUHPT76DTBR1I4Y63</t>
  </si>
  <si>
    <t>FBQKWUL5BW73RGH7P1AVVPT3XVEQO0</t>
  </si>
  <si>
    <t>FINZ0M5OXUBITQ36TKD1R3SRGKAMTM</t>
  </si>
  <si>
    <t>8EHWNWHL0GPNASGNA9TLIH7ANA833Q</t>
  </si>
  <si>
    <t>1K5A8PDKVGVB8N7OTD4KF201903Y6M</t>
  </si>
  <si>
    <t>0DS5NLHJ5XXBHRNNGH0V1XH5JB80V8</t>
  </si>
  <si>
    <t>AUF862OKSITP28IH3KRH5HNKAWTSEO</t>
  </si>
  <si>
    <t>XXS38QZ6Z30SU0TJ4LQEYCBJJDLFY2</t>
  </si>
  <si>
    <t>RMXE213I5N3S1RTNOLVMX8XXAPNWEB</t>
  </si>
  <si>
    <t>0NCQZ02Z76K6AOWLOE8ZOXNHW9FF0A</t>
  </si>
  <si>
    <t>ISDXOTZM941SFMINYZPODCDX70SUEK</t>
  </si>
  <si>
    <t>1GOKB2OVPQBZNE60GS0VQTQRW2RIEC</t>
  </si>
  <si>
    <t>PA1HQD9B7ABR4DKIHCZMSZIPGWCOZG</t>
  </si>
  <si>
    <t>DAR84YC0483E2MLC0LW793AJSWNQ5Z</t>
  </si>
  <si>
    <t>RGYSWPL82UWLZC4S5YGQS5BHIPSUFE</t>
  </si>
  <si>
    <t>GQP47MJA61VINYYCATKCPHOZJI41RF</t>
  </si>
  <si>
    <t>I8ZG0M087B7Y0FW84S34XM1SG27O7N</t>
  </si>
  <si>
    <t>DWICCW8YVLP4JQ3WEJJDCMM3L9Y5WR</t>
  </si>
  <si>
    <t>HX1UYXTEJEN3EOPLZCZLK1LIDH09W5</t>
  </si>
  <si>
    <t>XO06D7GKLCHEBCL3Y2UDNK9UN71TNN</t>
  </si>
  <si>
    <t>A3YXATPTE2VKV38UIR1LWA3D55C8GQ</t>
  </si>
  <si>
    <t>FQRIZ8IQCR39FNV7VSBITCIN56AG60</t>
  </si>
  <si>
    <t>9VNB0233X4M3MRGV0MMSZEII5DRTTJ</t>
  </si>
  <si>
    <t>38GJ54QF3R14KC75AXQBP6AI7QDRSL</t>
  </si>
  <si>
    <t>PNWBHK2YFR15YXVM3WRUUEICHEH90Y</t>
  </si>
  <si>
    <t>QVY49WRWFA6BPEJSNJFDGOR6GCR8DV</t>
  </si>
  <si>
    <t>L1V0GJCA5C0FBV3141N4354VQTZHN9</t>
  </si>
  <si>
    <t>IP8TBJ0IAM7QA2IPXEX0N0QG8HG5Y0</t>
  </si>
  <si>
    <t>TN97S5ZTIE5DBHAZUDBFKXMOMJDX4P</t>
  </si>
  <si>
    <t>ZO8MAL0Q5X0U4E51XLOMPWGDVVE1H6</t>
  </si>
  <si>
    <t>HEBH6OHO8FTMJH59V8CC2B81651OFX</t>
  </si>
  <si>
    <t>8IIKQV4DL5NMDFBHMSSTVWLAUB4URX</t>
  </si>
  <si>
    <t>XDI0HGFWE4BQ3NMQDAJ85EBGCWO9LH</t>
  </si>
  <si>
    <t>132XKMFCRDJ3IU5XP99CUXV4G0DSK8</t>
  </si>
  <si>
    <t>FFHNB44R5OIR99WCQZDUM3LFQR6ERS</t>
  </si>
  <si>
    <t>TVZY0J03JATF0XR96HUUJ3ALJMB4KR</t>
  </si>
  <si>
    <t>YNCLZL2NNJGIWK5UTMX4AS747JPWXZ</t>
  </si>
  <si>
    <t>T716YA14513361G5690S6PU3F7EO2C</t>
  </si>
  <si>
    <t>RBGRWO9MSIMOI9P556IZLLZV7UUK8A</t>
  </si>
  <si>
    <t>0CCBL3OUQDKUE3SOKLJEGN9L5FJZB2</t>
  </si>
  <si>
    <t>4FZ8ITDUBGUEU7F7C23V5BLRE2TW2M</t>
  </si>
  <si>
    <t>D3IXYADJFQZYZONY64WOJVSCIR5JQ4</t>
  </si>
  <si>
    <t>ZCZ4IE4R16JZYHFDC0BIR7R4KAUS94</t>
  </si>
  <si>
    <t>7RJXZ70OE5F8EXYLLLBLHOAW4H4LWM</t>
  </si>
  <si>
    <t>0BHM38GH8YKQE61A8NLIXFZS8N149H</t>
  </si>
  <si>
    <t>T94KGKJ2UFC666YC99RJ1NGFX8BFVV</t>
  </si>
  <si>
    <t>3RFE9NHQUMA3N122AWWI72F0OUAP76</t>
  </si>
  <si>
    <t>NKRDMXKDBH86AK6833QQTSCKQFLDZ4</t>
  </si>
  <si>
    <t>XTDJA013UQ2PQJ27WUW1N56DOXJUMB</t>
  </si>
  <si>
    <t>XOKQYSJPU08IHSTCEGXC11ZS60BGJB</t>
  </si>
  <si>
    <t>Y7Z6QD9N3MTM65OI7QZIFDWGINQT8P</t>
  </si>
  <si>
    <t>N1AH4XNR0XZ0RUVBCQK6KVLAX00G78</t>
  </si>
  <si>
    <t>H6HQGBTCNUENVNM427KGQHH5IB9KIB</t>
  </si>
  <si>
    <t>IU2WOJVQL2FZMXDAEPTQ7ZY4GIG4VQ</t>
  </si>
  <si>
    <t>8CUCOFI81EQHW0N4UYBTM0ATZP4M74</t>
  </si>
  <si>
    <t>ECSSZ4NVP0A7JJTK9XM6DQ8UU39M6X</t>
  </si>
  <si>
    <t>99GG4SAUG5ZO8GWVL0AZZ90U6CC489</t>
  </si>
  <si>
    <t>DO32TAZRBG5NQXAOYUKIHZK4O1NIC1</t>
  </si>
  <si>
    <t>BN2SV3KJCTJ5VW13047UBGCRE06S5F</t>
  </si>
  <si>
    <t>76GA3M12W8UTADVZ6T5BDSDN4UNGAV</t>
  </si>
  <si>
    <t>02IS5MW4OCP9GI15FLG0DJ4YYT5T3J</t>
  </si>
  <si>
    <t>2OQ8RHGK659ZERE2KGNN3Q61M8NVSS</t>
  </si>
  <si>
    <t>AGKJ9V25MHHI826CEC0KO9C5MINRMG</t>
  </si>
  <si>
    <t>JS3EO0HYAMPMSLBAAT3K95T0T3GY8J</t>
  </si>
  <si>
    <t>J1SI0K59Q8NTQV5VRKV6GMHG03CFFN</t>
  </si>
  <si>
    <t>V4JQN27JEQ2JMQZ8F8S5ZOWDE7BO5H</t>
  </si>
  <si>
    <t>NAYSBWJC7KK1H9209Z8JVU6R0YSXZR</t>
  </si>
  <si>
    <t>MARVKNFGZRP3ZZMXYSP6N93TBGYWF3</t>
  </si>
  <si>
    <t>E6UMY8BE3SGQWURIDTPKTA69G18JEB</t>
  </si>
  <si>
    <t>JO6D4JGL7W11Y8PBHKUC7YCKQVI2MY</t>
  </si>
  <si>
    <t>TLU6V63QTB0N9T7256CNV9RQUJIVCW</t>
  </si>
  <si>
    <t>5SKJO0H8D86SP22QZ87FPHBR2VNL15</t>
  </si>
  <si>
    <t>TOJDGI5KILKTY44OZOHIYGN5VCFAQ1</t>
  </si>
  <si>
    <t>9055XOBL6CB4HDSHSHRZYFI54IN3NT</t>
  </si>
  <si>
    <t>CJ2Z26U47EIAAJ3AX108X7L58LZ4BJ</t>
  </si>
  <si>
    <t>IVURYHEDF4KHW3YKDE8YU6ETCCUY3O</t>
  </si>
  <si>
    <t>GOTQOSYX2HDUAK40K9WCI751PQXIPH</t>
  </si>
  <si>
    <t>541TK2IJNL55KJZ0B4EFKG2E0D4LLC</t>
  </si>
  <si>
    <t>ORODGIJZCR81Q7QDSMW0EJ9CB9DI1D</t>
  </si>
  <si>
    <t>KVYQJ02CHB8SC7Q5OXQ53EKYGVTB3V</t>
  </si>
  <si>
    <t>A0V69QOBSXXIDZ8PPKEBULSZF9YJNI</t>
  </si>
  <si>
    <t>34ZFY89OH4JNEIQ2F2UOKDDLERN0X3</t>
  </si>
  <si>
    <t>HFW0T3MI9XVUXRHNNVADOJTK4IK0SF</t>
  </si>
  <si>
    <t>80Z6MV07MEK89RW58LERLKO0O8AEHR</t>
  </si>
  <si>
    <t>AUTFH2YLS9ME6NVVTLT4EFMWBS6PKW</t>
  </si>
  <si>
    <t>MIZAQYWZQOCM87ISDKSBA0INPUS2VE</t>
  </si>
  <si>
    <t>G47U9J5DOIE44PYCTWWANOP4UI7E1K</t>
  </si>
  <si>
    <t>IIKNA11XGI879ERK1P5YCXBC75EONJ</t>
  </si>
  <si>
    <t>IEDW92WLY4YEAVP9FUKUA7OH2UWSFK</t>
  </si>
  <si>
    <t>3DUV380INDN8GFUEQIWBYDB1VJNWYQ</t>
  </si>
  <si>
    <t>48SOJ7O9ARDY5QUPM4CC6EOWS6WLI6</t>
  </si>
  <si>
    <t>OE7LV7443YR8ROH2CL3MROQZMV03ZZ</t>
  </si>
  <si>
    <t>541LD84SYRTTXZMOCN23DL5DJWDZDD</t>
  </si>
  <si>
    <t>HIZS2UA9SIYFJSBKU6SGY82XXCRCXO</t>
  </si>
  <si>
    <t>4GOM79QFZBIAS51NT6FJBIAFIF2T82</t>
  </si>
  <si>
    <t>8HR26510NZ6W16Q6TGFWG87ZK44K7N</t>
  </si>
  <si>
    <t>NIPF5RRFPIJB9Q89LNDCRQWB51GBXQ</t>
  </si>
  <si>
    <t>W6OCJJWDBAR74SYCUOYJQUVYFWR6R9</t>
  </si>
  <si>
    <t>Z69C4FM2X9XEKARMM5H4RWH5OFOIP2</t>
  </si>
  <si>
    <t>PNHJCCF6XLDIUN53DPEIFIITXZFKEW</t>
  </si>
  <si>
    <t>QCNYK1IBZ7DNBRTE3OMKFE4ET3ANZV</t>
  </si>
  <si>
    <t>AXTGCKVZGH2J8VRPAZ2QLFFTHBYIUN</t>
  </si>
  <si>
    <t>IMIIXP1X6B5Q9D8KZ2FX7O494T1G96</t>
  </si>
  <si>
    <t>W3M1UNKLOJFFO8GJE9JCV62SUXPEV8</t>
  </si>
  <si>
    <t>HJCFHR4E103PM0PS05Z5P9PACOW0XM</t>
  </si>
  <si>
    <t>X41MUSW1HFACI7LE7UC5ZLE8BJZ914</t>
  </si>
  <si>
    <t>UMM092OR6GP4H2EL4I36E05NKQ57V0</t>
  </si>
  <si>
    <t>54SKKU9CY6SBZIOHTGNU7JZ4UZ5KAM</t>
  </si>
  <si>
    <t>AKHRI0CVA6GK1DGRGIREDRNPVIADS8</t>
  </si>
  <si>
    <t>KA7UGD2G2NZGAY4SDAGNUHFHY15ASZ</t>
  </si>
  <si>
    <t>LMQL4ZT04JRV5L6U0OXLUDNT5ASFMV</t>
  </si>
  <si>
    <t>LBX8597WY96BIROQHOK0MC4HYCOIL3</t>
  </si>
  <si>
    <t>7DLW421WP4TG4ISYXILUUS8TO0HUIQ</t>
  </si>
  <si>
    <t>DASBAJQEXMUBIAZ8EW97E84X6UKNAO</t>
  </si>
  <si>
    <t>B8ZIOPGC0FIFR05589PW6TCPY97OE2</t>
  </si>
  <si>
    <t>91TRX2YRI718RLBVTB9HUA1K5XJUYJ</t>
  </si>
  <si>
    <t>I6OG6YIHO03L5SDOD4X118PDAY3659</t>
  </si>
  <si>
    <t>ZYZTGFOSHOVXI6ERNUHT57TX12YLU4</t>
  </si>
  <si>
    <t>O0F8A3I3QB06QX1B6MY1IL10MEB50K</t>
  </si>
  <si>
    <t>TTOUR6NFBFOTIK24VSMLZ0K3SY810J</t>
  </si>
  <si>
    <t>8VJM0QGXO3L9ILYI45FEC06NV17J4X</t>
  </si>
  <si>
    <t>P4EZSJ0APY6UE7287ESA8790YGLFME</t>
  </si>
  <si>
    <t>44D3EYF9433O195ZFWZM8Q1VTVVG75</t>
  </si>
  <si>
    <t>07IVK61B3YJZ830VFI148O40OB8BTQ</t>
  </si>
  <si>
    <t>J059M6ER9FJW6BLWZUYM8C74UL057U</t>
  </si>
  <si>
    <t>7C0F2GMJ2TWTY6OTKJ2U2JMSJ00NL1</t>
  </si>
  <si>
    <t>9R2Y94IFSW03BU0VPJFARVVVPBSR5D</t>
  </si>
  <si>
    <t>6YC4C29L8PVSD6LM48WHU2LI1LPQ94</t>
  </si>
  <si>
    <t>4BLM59JBXPPCQ4EWTLKHGPYMMGJW5L</t>
  </si>
  <si>
    <t>WZ82P6CHV8127G6TPKP7Q29RJ67UG0</t>
  </si>
  <si>
    <t>EBLEOFIHTSK50V9JJ0AUDJY6N024L1</t>
  </si>
  <si>
    <t>AR0M0WD30GE01XRVP4WKRRAK0K8V9L</t>
  </si>
  <si>
    <t>XNI2QDXFOLFJJUPZJUJ7HCMYMD491U</t>
  </si>
  <si>
    <t>DRT35R0N987GB2AKUK886QYJCCY7QY</t>
  </si>
  <si>
    <t>7RY6JXGNIQCVK5IX3XMX8K48484C8L</t>
  </si>
  <si>
    <t>GJR46OV14DM5X59NJ4ROU1ZVCWXWW9</t>
  </si>
  <si>
    <t>XK1XTB6G0XNK4UZVUPXS4E6DURQDIB</t>
  </si>
  <si>
    <t>INFBISBH5UBP51QR8YOTXQU3NA9H6A</t>
  </si>
  <si>
    <t>3XNAZBFBKNOTWIUN5PBVG6NIIV4AT9</t>
  </si>
  <si>
    <t>6L8UVZ5UFQXFVFNY0IA0DUB20NZ76P</t>
  </si>
  <si>
    <t>VXH9U705A45MCCG3TNVJ0EG3WUIR70</t>
  </si>
  <si>
    <t>KNHXXFXXY9ZRBIH7QE1ECLKDPVNFTN</t>
  </si>
  <si>
    <t>7C97KOCS4E6UOHDY2L5AEZO768R64G</t>
  </si>
  <si>
    <t>O2DIKHRHCHBBLIONKXRRF7KGZBEX3T</t>
  </si>
  <si>
    <t>DXXKB9VLEA3F7Z90H8GVO6SP6W4EKR</t>
  </si>
  <si>
    <t>H1J0SGF4SESWDA5FMY9ZLC2GRG1R59</t>
  </si>
  <si>
    <t>V873XEPINC8Q0QX3JYA3LJ2DQJAC1P</t>
  </si>
  <si>
    <t>QDBLUHD97L3GBJJ20D01J20MTXLC3K</t>
  </si>
  <si>
    <t>I62XFPVLU545X085PDI6L5ANE2ITSE</t>
  </si>
  <si>
    <t>LQN17S3DJKV1VR5WKRLWSJ6OYU0QZS</t>
  </si>
  <si>
    <t>CF7N6YM3O5OLN66WYW0MQRXVJ5I6E8</t>
  </si>
  <si>
    <t>PGPIE9H17E0EDZ4Q26NOQ0XAWDQGYW</t>
  </si>
  <si>
    <t>GUTQFL4K6CLFVI5XRLH1HCC5FIV5DZ</t>
  </si>
  <si>
    <t>1KU9BE1IHM0D4XFJUGCPV3JJJQRQUB</t>
  </si>
  <si>
    <t>KJY9OPHA7HTZIV9WO00H8L64ESO4A5</t>
  </si>
  <si>
    <t>ZUW7036S60AS8DYHHNRXNXSRB9WKFV</t>
  </si>
  <si>
    <t>XM9G8PJXI0U01SDE38OE0BTIN4MLCO</t>
  </si>
  <si>
    <t>W859BW52MFVF7NGTON5Q8L4647QXEA</t>
  </si>
  <si>
    <t>2FNC3OVOZ4HWGQXSKVDJOBLOXLG0UM</t>
  </si>
  <si>
    <t>B89Z68MKCUBD4ADJ9H9BLFDQ6WP05T</t>
  </si>
  <si>
    <t>1FEFMTUZDQ52SAQRMAH14G3AJTKLV3</t>
  </si>
  <si>
    <t>A5DQHQHCCXF56TEMTAUPMK9UL83XMC</t>
  </si>
  <si>
    <t>VIDWKAM5TOQHX6N7F4AT0SXFOT354M</t>
  </si>
  <si>
    <t>0MNI34QQZIQX2SF7Z0ATT62N52XISW</t>
  </si>
  <si>
    <t>8F8DVCU59M4OH5BVAAGMLKMLQOF39R</t>
  </si>
  <si>
    <t>X5FDM7M9IL63SMJGUOLUWZCC9TD0OT</t>
  </si>
  <si>
    <t>QSIYBIS9VCVN0BLW6PQM0T1TQPHG7X</t>
  </si>
  <si>
    <t>I6O0OD59C4F7QEXDW82Y1T58IHVPR3</t>
  </si>
  <si>
    <t>REWC8TJ0S3OME1URLSLK4H8E9B8HOC</t>
  </si>
  <si>
    <t>IB4G5A5Y7W3YHLLDN5FL2PRVASG8Z7</t>
  </si>
  <si>
    <t>5ZP7Q4267J0131OQXYY63FDQRHM1JG</t>
  </si>
  <si>
    <t>LZ1UH3DFYV4XESKQZW0QKCFZA96KV9</t>
  </si>
  <si>
    <t>XYBUIJXVO6H99GKUYQRQETWPTZBRBA</t>
  </si>
  <si>
    <t>244YJHGN6B25Y5Y9HTJM9UEF98TTIE</t>
  </si>
  <si>
    <t>WVZA0RBRQDHGZP8N3EEN4PIM7JU34G</t>
  </si>
  <si>
    <t>FXNQIXUMQOETGJ4DJKIPJSFLMP79QR</t>
  </si>
  <si>
    <t>Z7L2PLGBWD5UZYRSYD9XASYPER691D</t>
  </si>
  <si>
    <t>P2DFYFBJ5TVJOH43246SR2AACG7UAW</t>
  </si>
  <si>
    <t>HWJNJJIBXOBQO8B4O4COT7XANXODQG</t>
  </si>
  <si>
    <t>E96QAJWGJJ08KQ1SA3DPTI86NRZXER</t>
  </si>
  <si>
    <t>FTP9Q7DAARQG87FNC3CKDEIV44OSXN</t>
  </si>
  <si>
    <t>8UGJLT3FSD5JOOQXLBH7CMTZCOCZ4U</t>
  </si>
  <si>
    <t>60JF5L0SLCJTLAGBLIHG9LGC36MJZU</t>
  </si>
  <si>
    <t>2B5O8ULWCLRH9MI4822W0ETZJQ4TLT</t>
  </si>
  <si>
    <t>GRM7FV0TYLTODR7VTZL2MJCOTEC5NR</t>
  </si>
  <si>
    <t>SL5GS49IZFF03OOX9SP5PL1V37OC79</t>
  </si>
  <si>
    <t>XZ6X5SOTB82ZRR5UAOTGOTM40GR5SC</t>
  </si>
  <si>
    <t>LRZ412MG6LYO8O45FSNJT1JNI2Q3WL</t>
  </si>
  <si>
    <t>VZQXOLM50CMFHSFEXTY7OMWVKFWWTP</t>
  </si>
  <si>
    <t>8DW1NU237AO5ALTKRVMDVBUM230EF4</t>
  </si>
  <si>
    <t>UGREN3VN3PONTDMM2ZF29VWTOT0957</t>
  </si>
  <si>
    <t>BRUXI8QNMD9IH6YXHFMQZQ3YIXSCBM</t>
  </si>
  <si>
    <t>32Z3TT7LC70PMDWOEW1706HJ0ZJLN7</t>
  </si>
  <si>
    <t>PI8K1FKKZH13FMHSHDP1RTGFA7FE6X</t>
  </si>
  <si>
    <t>MSLDWBYDRE11T28ELC9M9RNX20ITPH</t>
  </si>
  <si>
    <t>9HL693JLCUTSWSTN848J6RSV151WK3</t>
  </si>
  <si>
    <t>GUMWVJJOF0XIAJDZKJJPKOIMHFUKLJ</t>
  </si>
  <si>
    <t>6Z2C6STXAAGJJS0CQCUC0PPPXPHNG7</t>
  </si>
  <si>
    <t>D7ZYQ7XT0V8YRUYVW8TJP7I3UM9YEC</t>
  </si>
  <si>
    <t>2ICH6V7HVFXG3NNZFBQNOYATN1E5PS</t>
  </si>
  <si>
    <t>QEZ4Q8JL3HHUFKLIXHZ59OWOAWSYIX</t>
  </si>
  <si>
    <t>3J0ZD6PPEZ3DEZQO0OMBFCMN8DWI48</t>
  </si>
  <si>
    <t>DTYFA2C351YZZ75XHNC66K8M2OB6MH</t>
  </si>
  <si>
    <t>YQ6M5MUR0276MUE1XSQY44Z36S7UDS</t>
  </si>
  <si>
    <t>WO5VV2U1XZA9X7CGMXYSBIPPFZXZ3B</t>
  </si>
  <si>
    <t>22WZJA189ELOHZ452NI1SXUPG6XT9J</t>
  </si>
  <si>
    <t>FJJ08SSP8ZU3R6HL7T219WWX03183L</t>
  </si>
  <si>
    <t>EHD7YA6MXW474KKDAJKEW6MHX5HIZ7</t>
  </si>
  <si>
    <t>6I0AD6KH0W3GC8M73EYS2AO8BZPOFS</t>
  </si>
  <si>
    <t>LYASMHII14XF02XM3LU9ERNQ2W2U7X</t>
  </si>
  <si>
    <t>8P1RVLX86UGU26JK8ZZC0WXQ20RKU7</t>
  </si>
  <si>
    <t>1KNU8TSEJ6IHMFSVZSQR9AAWDYCWTT</t>
  </si>
  <si>
    <t>T5WVXJVDEZIV7FEB8W36OEU3J3F36L</t>
  </si>
  <si>
    <t>0W7I73LAE2LA0H5VNHGR3V8U1TFR08</t>
  </si>
  <si>
    <t>WX544COCWJL2NG49TY4F92ADVPWRFG</t>
  </si>
  <si>
    <t>RHG9YZJ3O966RE0FQG6O7C6R2EI4YZ</t>
  </si>
  <si>
    <t>YFW4NB1XOJU1HY99D8QUS6DFPVTGMD</t>
  </si>
  <si>
    <t>XKDQLUWSV7TUTU0ZGXBVQPWBK6807A</t>
  </si>
  <si>
    <t>0J61THGAOYD4I9SY3NSOUY0HRHI0R3</t>
  </si>
  <si>
    <t>IOFM64J8NKRLE79RLAD0MLC9ERI1LJ</t>
  </si>
  <si>
    <t>P9LYV41OA2XBW7OXCUMM5LIWZPUQTJ</t>
  </si>
  <si>
    <t>L67UP105U9ZS9X7AF1XF83CI2CS1WV</t>
  </si>
  <si>
    <t>AK8V09UUL2AR65XVSZURXPUJP6JKQU</t>
  </si>
  <si>
    <t>JT7K2P71M47X1DMZI510DI9KYF1V46</t>
  </si>
  <si>
    <t>MR2HINDSEIKY06BPY0GMHKMQFGEJ4R</t>
  </si>
  <si>
    <t>G42SF4TRMPOZ5VEKHCORIUR2XCS13P</t>
  </si>
  <si>
    <t>4U5RCMD9MOY0294455DZBMXON2OLSR</t>
  </si>
  <si>
    <t>F45IN41ZU21ABLAPDL3N3TTI24L6XT</t>
  </si>
  <si>
    <t>QHN65HCPUZK6D2P6VHJMSNDE7FGQXY</t>
  </si>
  <si>
    <t>05BQ1QTQAWFAXGB047CE9TIQVA3707</t>
  </si>
  <si>
    <t>9XGHHQBYF4A2CY9KC20P24P2HNN69B</t>
  </si>
  <si>
    <t>DGGHMM4HPL89OS4NTYLLKX232CM9HF</t>
  </si>
  <si>
    <t>TQCK20FWS1Y6SDTQSIPL9VIGKZZ52X</t>
  </si>
  <si>
    <t>HQAEXWWPQLI7PZL8Z27RVQ9EYN0H44</t>
  </si>
  <si>
    <t>5OU7T6OTS119BWM69C11ZUYYZXWIQJ</t>
  </si>
  <si>
    <t>NXW8NYFJ1P4SIED5ISBCE7SIJDD42Q</t>
  </si>
  <si>
    <t>9JHYIBRKQ7EH0SWZD3CIAQ2FRH5ON2</t>
  </si>
  <si>
    <t>4J3CE2NLGO9BMO9R6N6ACLPC7698TV</t>
  </si>
  <si>
    <t>JXL2Y84V8EMDBFFJCVFR34PEJ5VROU</t>
  </si>
  <si>
    <t>ACS2B35M0XY389CTPD0C4B7XK2JDV1</t>
  </si>
  <si>
    <t>225PPVQSD435LNLP5S15HR0V4LN1EQ</t>
  </si>
  <si>
    <t>800PC9TDFWPK3KSNWNQRIR57GYA921</t>
  </si>
  <si>
    <t>OXY7E7RTBRBNAXVW06E45VH49M3Y0Q</t>
  </si>
  <si>
    <t>K1MM085EOD4T0V6TA3XRWOCQDU7Z68</t>
  </si>
  <si>
    <t>J6BH1IA303D4ZP6S684Q6ZMRXIUUEO</t>
  </si>
  <si>
    <t>CEM44UHRR31D8ALMI0USR3U7BJ2IPS</t>
  </si>
  <si>
    <t>B1M92WPJZUPMP9E64OL663TEDP26Z0</t>
  </si>
  <si>
    <t>Z57MTLC6J08HCLDJVZEO9ITMTD3XWZ</t>
  </si>
  <si>
    <t>YJTOH0TT7HP5ZDP000NYOHHKBKMI5I</t>
  </si>
  <si>
    <t>OWTZ3YKG6G3SMHMKZ6CMG3XKQZMXFC</t>
  </si>
  <si>
    <t>IX1LNUH7LDP6QTIKMK0GOX58TP9YQX</t>
  </si>
  <si>
    <t>5J795DDLOATXXWHW34QTFG41TFM7K1</t>
  </si>
  <si>
    <t>ZK7KC0DQEOMI5BF35X5I4SFUXF26Z3</t>
  </si>
  <si>
    <t>13SFZPWFPLHUD007M8OTVGSU0OVOY7</t>
  </si>
  <si>
    <t>8BKLMUAT1G84R85S48ACQO2WEHPXIV</t>
  </si>
  <si>
    <t>037UDHJ1E7DKOPWLRTBZUT6I8P1Z50</t>
  </si>
  <si>
    <t>9MKULPB3302M4J20WN7T3P2G9TU494</t>
  </si>
  <si>
    <t>CKG0XTVO5BVBIDTH2KED37JDTD1WOR</t>
  </si>
  <si>
    <t>P1YMBTMTSM58FRTC2YZ85QJMAP0E9D</t>
  </si>
  <si>
    <t>A8MGEL2OLVFTPZ0Z5ZIEMAFOTFZJ8I</t>
  </si>
  <si>
    <t>3XOCBOQEJILPUB21NN0WSUZBABYN9W</t>
  </si>
  <si>
    <t>E6IB5VSYQIRALMN4NV1Z288S68XFZ4</t>
  </si>
  <si>
    <t>3PUVISPZUYI57FVE40JRADONEU7R5G</t>
  </si>
  <si>
    <t>PC01M3KDKFZNXLPE1VO319OXCFT980</t>
  </si>
  <si>
    <t>97VY4TYOVDSC3TDCQP09BW9LOLRL7V</t>
  </si>
  <si>
    <t>JE5F87CN33FCNOX1QFFG0EZ4Y0C2G7</t>
  </si>
  <si>
    <t>A9KIAK5VGTYVSBGGQXGRWK4196MTFG</t>
  </si>
  <si>
    <t>4OLCB25Q80TOU822DX5QIAHWXRKGNW</t>
  </si>
  <si>
    <t>RNPFCDC0WUVSWC2ZYKXTAXMWOTZHQV</t>
  </si>
  <si>
    <t>1W4KRHVFFA1RIPLD9LFWB3G31S5OCB</t>
  </si>
  <si>
    <t>OUX5F5L72AS1JQUYYZOYVYUQILG4AX</t>
  </si>
  <si>
    <t>SC016Y5SBGMTU1XS6QYRQ8XF7H0QRO</t>
  </si>
  <si>
    <t>IDSORWQ9OTGJTQANF8Z3241EYIOUQG</t>
  </si>
  <si>
    <t>71KQB065BOYM4SHSRDQ4QSP5E3Y3NA</t>
  </si>
  <si>
    <t>MH4HJDK7DKCXHETW2QVSXKKXDIBU4T</t>
  </si>
  <si>
    <t>ACG70V0UUUPNDPCRJL8KRYLHHSB0CJ</t>
  </si>
  <si>
    <t>SXU1LR1U04OTKGP8WPNG9WMYZIYU04</t>
  </si>
  <si>
    <t>49CTOPGOOGIMRZOF5X0VILKX1OTYC3</t>
  </si>
  <si>
    <t>OX3K0512SQU5LKOQJKYA6R27JVJBK0</t>
  </si>
  <si>
    <t>3M66FY6L03ERDWPD0JZON05UXVD13A</t>
  </si>
  <si>
    <t>5YTH7MV4S4P4W0Y2RPEGIUWJT1V7EG</t>
  </si>
  <si>
    <t>8EO72C1R37OE3DBKH86Z80WEMU854S</t>
  </si>
  <si>
    <t>L5GGNTK8TQ95UOCJFMQJQ2JAWS0BYI</t>
  </si>
  <si>
    <t>4WNFT5SJZ60Y1Q2TXHUN633E1RZUMW</t>
  </si>
  <si>
    <t>6NDI8LJFFX11LQG5UVUXYPR33L2VEF</t>
  </si>
  <si>
    <t>XU6GL6ZBELKPIQ2E0LEDJ2KPBIE725</t>
  </si>
  <si>
    <t>SBAFBKMIDXYP0C36RZKR58EIIIOI35</t>
  </si>
  <si>
    <t>SHND6Q0XLHEF251RLTC74MUG02T1VB</t>
  </si>
  <si>
    <t>74QG5YTWARI47CCQQ19G624BXVJIVN</t>
  </si>
  <si>
    <t>0KWS1YQMFXLUMHLZPC52PRKJ1P1RAM</t>
  </si>
  <si>
    <t>N285VUBOBO8I1VUDV813EBUWI1SQHI</t>
  </si>
  <si>
    <t>RB9X7ZPS0N9YJUCV2ROYWNH4QBE9EC</t>
  </si>
  <si>
    <t>X4IM4AVD2NMJ06KUN45441RGMNPKW2</t>
  </si>
  <si>
    <t>10202-0001</t>
  </si>
  <si>
    <t>AMS-III.AO.</t>
  </si>
  <si>
    <t>AMS-I.C.+AMS-I.F.</t>
  </si>
  <si>
    <t>AM90</t>
  </si>
  <si>
    <t>Programme of Activities for Fossil Natural Gas Substitution by Renewable Natural GasProduced from Anaerobic Digestion of Organic Waste in Brazil</t>
  </si>
  <si>
    <t>Replaced Validation terminated</t>
  </si>
  <si>
    <t>CPA 001</t>
  </si>
  <si>
    <t>1 Landfill flaring, 1 Wind</t>
  </si>
  <si>
    <t>1 Palm oil waste</t>
  </si>
  <si>
    <t>2 Stoves</t>
  </si>
  <si>
    <t>1 Stoves, 2 Run of river</t>
  </si>
  <si>
    <t>1 Reforestation, 1 Domestic manure, 1 Wind</t>
  </si>
  <si>
    <t>1 Oil field flaring reduction</t>
  </si>
  <si>
    <t>1 Wind</t>
  </si>
  <si>
    <t>1 Agricultural residues: rice husk</t>
  </si>
  <si>
    <t>1 Water purification, 2 Run of river, 1 Biogas from MSW, 4 Waste water, 4 Palm oil waste, 1 Composting, 1 Agricultural residues: rice husk+Bagasse</t>
  </si>
  <si>
    <t>2 Palm oil solid waste, 1 Agricultural residues: other kinds, 1 EE public buildings, 4 Palm oil waste, 1 More efficient vehicles</t>
  </si>
  <si>
    <t>1 Appliances</t>
  </si>
  <si>
    <t>2 Stoves, 1 Run of river, 1 Domestic manure</t>
  </si>
  <si>
    <t>1 Run of river</t>
  </si>
  <si>
    <t>1 Forest residues: other, 1 Street lighting, 1 Manure, 1 Waste water, 3 Solar PV</t>
  </si>
  <si>
    <t>1 Stoves</t>
  </si>
  <si>
    <t>1 Run of river+new dam</t>
  </si>
  <si>
    <t>1 Stoves, 1 Biogas from MSW</t>
  </si>
  <si>
    <t>1 Solar lamps, 1 Stoves</t>
  </si>
  <si>
    <t>1 Oil to natural gas, 1 Scrapping old vehicles</t>
  </si>
  <si>
    <t>1 Stoves, 1 Afforestation, 1 Solar &amp; Hydro</t>
  </si>
  <si>
    <t>3 Stoves, 1 EE public buildings, 1 Mode shift: Road to rail</t>
  </si>
  <si>
    <t>1 Domestic manure</t>
  </si>
  <si>
    <t>1 Solar water heating</t>
  </si>
  <si>
    <t>1 Connection of Isolated grid, 3 Stoves, 2 Water purification, 1 Landfill composting, 1 Manure</t>
  </si>
  <si>
    <t>1 Biomass briquettes, 2 Stoves</t>
  </si>
  <si>
    <t>1 Solar PV</t>
  </si>
  <si>
    <t>1 EE commercial buildings, 1 Solar &amp; wind</t>
  </si>
  <si>
    <t>1 Efficient electricity distribution</t>
  </si>
  <si>
    <t>4791-0012</t>
  </si>
  <si>
    <t>4791-0013</t>
  </si>
  <si>
    <t>4791-0014</t>
  </si>
  <si>
    <t>4791-0015</t>
  </si>
  <si>
    <t>4791-0016</t>
  </si>
  <si>
    <t>4791-0017</t>
  </si>
  <si>
    <t>4791-0018</t>
  </si>
  <si>
    <t>4791-0019</t>
  </si>
  <si>
    <t>CPA0014.12</t>
  </si>
  <si>
    <t>CPA0014.13</t>
  </si>
  <si>
    <t>CPA0014.14</t>
  </si>
  <si>
    <t>CPA0014.15</t>
  </si>
  <si>
    <t>CPA0014.16</t>
  </si>
  <si>
    <t>CPA0014.17</t>
  </si>
  <si>
    <t>CPA0014.18</t>
  </si>
  <si>
    <t>CPA0014.19</t>
  </si>
  <si>
    <t>Improved Cooking Stoves in Bangladesh – CPA No.12 “SZ Consultancy Services Ltd.”</t>
  </si>
  <si>
    <t>Improved Cooking Stoves in Bangladesh – CPA No.13 “SZ Consultancy Services Ltd.”</t>
  </si>
  <si>
    <t>Improved Cooking Stoves in Bangladesh – CPA No.14 “SZ Consultancy Services Ltd.”</t>
  </si>
  <si>
    <t>Improved Cooking Stoves in Bangladesh – CPA No.15 “SZ Consultancy Services Ltd.”</t>
  </si>
  <si>
    <t>Improved Cooking Stoves in Bangladesh – CPA No.16 “SZ Consultancy Services Ltd.”</t>
  </si>
  <si>
    <t>Improved Cooking Stoves in Bangladesh – CPA No.17 “SZ Consultancy Services Ltd.”</t>
  </si>
  <si>
    <t>Improved Cooking Stoves in Bangladesh – CPA No.18 “SZ Consultancy Services Ltd.”</t>
  </si>
  <si>
    <t>Improved Cooking Stoves in Bangladesh – CPA No.19 “SZ Consultancy Services Ltd.”</t>
  </si>
  <si>
    <t>Dissemination of 58448 ICS</t>
  </si>
  <si>
    <t>Dissemination of 60068 ICS</t>
  </si>
  <si>
    <t>Dissemination of 55934 ICS</t>
  </si>
  <si>
    <t>Dissemination of 57433 ICS</t>
  </si>
  <si>
    <t>Dissemination of 53837 ICS</t>
  </si>
  <si>
    <t>Dissemination of 49842 ICS</t>
  </si>
  <si>
    <t>Dissemination of 44457 ICS</t>
  </si>
  <si>
    <t>Dissemination of 53033 ICS</t>
  </si>
  <si>
    <t>CPA0053.12</t>
  </si>
  <si>
    <t>CPA0053.13</t>
  </si>
  <si>
    <t>CPA0053.14</t>
  </si>
  <si>
    <t>5019-0012</t>
  </si>
  <si>
    <t>5019-0013</t>
  </si>
  <si>
    <t>5019-0014</t>
  </si>
  <si>
    <t>The Second CPA of Yeosu Gwangyang Port Authority</t>
  </si>
  <si>
    <t xml:space="preserve"> The Second CPA of Korea Expressway Corporation</t>
  </si>
  <si>
    <t xml:space="preserve"> The Second CPA of Busan Metropolitan City</t>
  </si>
  <si>
    <t>Yeosu Gwangyang Port</t>
  </si>
  <si>
    <t>Busan, Chungju, Damyang and Suwon</t>
  </si>
  <si>
    <t>Buk-gu, Busan Infrastructure Corporation, Dong-gu, Sasang-gu, Saha-gu, Suyeong-gu,
Jin-gu</t>
  </si>
  <si>
    <t>CPA0156.02</t>
  </si>
  <si>
    <t>CPA0156.03</t>
  </si>
  <si>
    <t>CPA0156.04</t>
  </si>
  <si>
    <t>8637-0002</t>
  </si>
  <si>
    <t>8637-0003</t>
  </si>
  <si>
    <t>8637-0004</t>
  </si>
  <si>
    <t>Green Light for Africa PoA– SSC-CPA 0002 – KPLC Kenya</t>
  </si>
  <si>
    <t>Green Light for Africa PoA– SSC-CPA 0003 – KPLC Kenya</t>
  </si>
  <si>
    <t>Green Light for Africa PoA– SSC-CPA 0004 – KPLC Kenya</t>
  </si>
  <si>
    <t>Replacing ICLs in residential applications with self–ballasted CFLs</t>
  </si>
  <si>
    <t>Replace (approximately) 910,000 ICLs with high quality CFLs</t>
  </si>
  <si>
    <t>CPA0395.03</t>
  </si>
  <si>
    <t>9769-0003</t>
  </si>
  <si>
    <t>Energy Efficient Stoves Program CPA 3</t>
  </si>
  <si>
    <t>38,868 energy efficient cooking stoves</t>
  </si>
  <si>
    <t>TÜV Nord</t>
  </si>
  <si>
    <t>5962-0005</t>
  </si>
  <si>
    <t>5962-0006</t>
  </si>
  <si>
    <t>5962-0007</t>
  </si>
  <si>
    <t>CPA0109.05</t>
  </si>
  <si>
    <t>CPA0109.06</t>
  </si>
  <si>
    <t>CPA0109.07</t>
  </si>
  <si>
    <t>Chlorine Dispensers in Kenya - CPA 6</t>
  </si>
  <si>
    <t>Chlorine Dispensers in Kenya - CPA 7</t>
  </si>
  <si>
    <t>Chlorine Dispensers in Malawi - CPA 8</t>
  </si>
  <si>
    <t>Gravity Driven Membrane Filters in Uganda - CPA 1</t>
  </si>
  <si>
    <t>Busia County</t>
  </si>
  <si>
    <t xml:space="preserve">Pure Water Ltd. </t>
  </si>
  <si>
    <t>Bungoma North, Trans Nzoia and Uasin Gishu</t>
  </si>
  <si>
    <t>Zomba District (Thondwe and Mayaka Health Cluster)</t>
  </si>
  <si>
    <t>CPA0350.02</t>
  </si>
  <si>
    <t>8438-0002</t>
  </si>
  <si>
    <t>CookClean Ghana Limited - CPA02</t>
  </si>
  <si>
    <t>CPA0222.02</t>
  </si>
  <si>
    <t>CPA0222.03</t>
  </si>
  <si>
    <t>8142-0002</t>
  </si>
  <si>
    <t>8142-0003</t>
  </si>
  <si>
    <t>MicroEnergy Credits – Microfinance for Clean Energy Product Lines - Mongolia – CPA No.002: XacBank LLC</t>
  </si>
  <si>
    <t>MicroEnergy Credits – Microfinance for Clean Energy Product Lines - Mongolia –CPA No.003: XacBank LLC</t>
  </si>
  <si>
    <t>6207-0007</t>
  </si>
  <si>
    <t>Improved Cook Stoves programme for Rwanda #CPA2 Cameroon</t>
  </si>
  <si>
    <t>CPA0391.02</t>
  </si>
  <si>
    <t>CPA0391.03</t>
  </si>
  <si>
    <t>9666-0002</t>
  </si>
  <si>
    <t>9666-0003</t>
  </si>
  <si>
    <t>Promoting Efficient Stove Dissemination and Use in West Africa – CPA 003 Togo</t>
  </si>
  <si>
    <t>Promoting Efficient Stove Dissemination and Use in West Africa – CPA 002 Togo</t>
  </si>
  <si>
    <t>Middle East_x000D_</t>
  </si>
  <si>
    <t>Caribbean Hotels’ Energy Efficiency and Renewable Energy Programme</t>
  </si>
  <si>
    <t>PoA0482</t>
  </si>
  <si>
    <t>CPA0482.01</t>
  </si>
  <si>
    <t>Energy Efficiency and Renewable Energy measures at the Crane Resort in
Barbados</t>
  </si>
  <si>
    <t>Barbados</t>
  </si>
  <si>
    <t>Caribbean Hotel and Tourism Association (CHTA)</t>
  </si>
  <si>
    <t>The POA involves the implementation of energy efficiency and renewable energy
measures in hotels located in the Caribbean region</t>
  </si>
  <si>
    <t>Specifically, the Crane Resort intends to install two measures: more efficient electric engines for water pumps and a photovoltaic system.</t>
  </si>
  <si>
    <t>AMS-I.F.+AMS.II.E.</t>
  </si>
  <si>
    <t>JIU805HXWOOQUQRU3D16YUPPM8GJSK</t>
  </si>
  <si>
    <t>Caribbean Hotel and Tourism Association</t>
  </si>
  <si>
    <t>1 EE commercial buildings</t>
  </si>
  <si>
    <t>9416-0012</t>
  </si>
  <si>
    <t>9416-0013</t>
  </si>
  <si>
    <t>CPA0320.12</t>
  </si>
  <si>
    <t>CPA0320.13</t>
  </si>
  <si>
    <t>Bhesada Wind Power Project in Rajasthan</t>
  </si>
  <si>
    <t>Mandsaur Wind Power Project in Madhya Pradesh</t>
  </si>
  <si>
    <t>2.1 MW x 48 number of individual units, Suzlon Energy Limited make S97/2.1 MW
model</t>
  </si>
  <si>
    <t>6573-0002</t>
  </si>
  <si>
    <t>CPA0163.02</t>
  </si>
  <si>
    <t>CPA-2: CTR São Gonçalo</t>
  </si>
  <si>
    <t>CPA0380.08</t>
  </si>
  <si>
    <t>9626-0008</t>
  </si>
  <si>
    <t>DelAgua Rwanda Public Health Program: CPA007, Ubedehe 1&amp; 2 in Rusizi District in the Western Province of the Republic of Rwanda</t>
  </si>
  <si>
    <t>DelAgua Rwanda Public Health Program: CPA006, Ubedehe 1&amp; 2 in Rutsiro District in the Western Province of the Republic of Rwanda</t>
  </si>
  <si>
    <t>DelAgua Rwanda Public Health Program: CPA005, Ubedehe 1&amp; 2 in Nyamasheke District in the Western Province of the Republic of Rwanda</t>
  </si>
  <si>
    <t>DelAgua Rwanda Public Health Program: CPA004, Ubedehe 1&amp; 2 in Nyabihu District in the Western Province of the Republic of Rwanda</t>
  </si>
  <si>
    <t>DelAgua Rwanda Public Health Program: CPA003, Ubedehe 1&amp; 2 in Ngororero District in the Western Province of the Republic of Rwanda</t>
  </si>
  <si>
    <t>DelAgua Rwanda Public Health Program: CPA002, Ubedehe 1&amp; 2 in Karongi District in the Western Province of the Republic of Rwanda</t>
  </si>
  <si>
    <t>CPA0380.09</t>
  </si>
  <si>
    <t>9626-0009</t>
  </si>
  <si>
    <t>CPA0380.10</t>
  </si>
  <si>
    <t>9626-0010</t>
  </si>
  <si>
    <t>CPA0380.11</t>
  </si>
  <si>
    <t>9626-0011</t>
  </si>
  <si>
    <t>CPA0380.12</t>
  </si>
  <si>
    <t>9626-0012</t>
  </si>
  <si>
    <t>CPA0380.13</t>
  </si>
  <si>
    <t>9626-0013</t>
  </si>
  <si>
    <t>CPA0380.14</t>
  </si>
  <si>
    <t>9626-0014</t>
  </si>
  <si>
    <t>CPA0380.15</t>
  </si>
  <si>
    <t>9626-0015</t>
  </si>
  <si>
    <t>CPA0380.16</t>
  </si>
  <si>
    <t>9626-0016</t>
  </si>
  <si>
    <t>DelAgua Rwanda Public Health Program: CPA008- BUGESERA District in the Eastern Province of the Republic of Rwanda</t>
  </si>
  <si>
    <t>DelAgua Rwanda Public Health Program: CPA009- BURERA District in the Northern Province of the Republic of Rwanda</t>
  </si>
  <si>
    <t>DelAgua Rwanda Public Health Program: CPA010- GATSIBO District in the Eastern Province of the Republic of Rwanda</t>
  </si>
  <si>
    <t>DelAgua Rwanda Public Health Program: CPA011- RULINDO District in the Northern Province of the Republic of Rwanda</t>
  </si>
  <si>
    <t>DelAgua Rwanda Public Health Program: CPA012- KAYONZA District in the Eastern Province of the Republic of Rwanda</t>
  </si>
  <si>
    <t>DelAgua Rwanda Public Health Program: CPA013- KIREHE District in the Eastern Province of the Republic of Rwanda</t>
  </si>
  <si>
    <t>DelAgua Rwanda Public Health Program: CPA014- NGOMA District in the Eastern Province of the Republic of Rwanda</t>
  </si>
  <si>
    <t>DelAgua Rwanda Public Health Program: CPA015- NYAGATARE District in the Eastern Province of the Republic of Rwanda</t>
  </si>
  <si>
    <t>DelAgua Rwanda Public Health Program: CPA016- RWAMAGANA District in the Eastern Province of the Republic of Rwanda</t>
  </si>
  <si>
    <t>Northern Province</t>
  </si>
  <si>
    <t>United K. (RWE), Germany</t>
  </si>
  <si>
    <t>United K. (Envirofit International), Sweden (Government of Sweden)</t>
  </si>
  <si>
    <t>Switzerland (Standard Bank)</t>
  </si>
  <si>
    <t>Withdrawn credit buyer</t>
  </si>
  <si>
    <t>Germany (Carbonbay), Sweden (Government of Sweden)</t>
  </si>
  <si>
    <t>Switzerland (South Pole Carbon Asset Management), Sweden (Government of Sweden)</t>
  </si>
  <si>
    <t>Netherlands (VROM), Sweden (Government of Sweden)</t>
  </si>
  <si>
    <t>Austria (Energy Changes+denkstatt)</t>
  </si>
  <si>
    <t>Switzerland (eqao)</t>
  </si>
  <si>
    <t>Netherlands (Mabanaft), Germany (Carbonbay)</t>
  </si>
  <si>
    <t>United K. (A&amp;T Carbon Asset Co.), France (EDF Trading)</t>
  </si>
  <si>
    <t>Netherlands (SimGas), Germany (Stiftung Zukunft des Kohlenstoffmarktes)</t>
  </si>
  <si>
    <t>Switzerland (myclimate)</t>
  </si>
  <si>
    <t>Netherlands (Mabanaft+Do-inc.), Germany (Carbonbay)</t>
  </si>
  <si>
    <t>Netherlands (C-Quest Capital), Germany (Stiftung Zukunft des Kohlenstoffmarktes)</t>
  </si>
  <si>
    <t>United K. (MicroEnergy Credits), Sweden (Government of Sweden)</t>
  </si>
  <si>
    <t>United K. (A&amp;T Carbon Asset Co.), Sweden (Vattenfall)</t>
  </si>
  <si>
    <t>Switzerland (Shell trading)</t>
  </si>
  <si>
    <t xml:space="preserve">Netherlands (C-Quest Capital) </t>
  </si>
  <si>
    <t>Switzerland (Climate Cent Foundation)</t>
  </si>
  <si>
    <t>Sweden (C-Quest Capital)</t>
  </si>
  <si>
    <t>Sweden (Government of Sweden), Netherlands (C-Quest Capital)</t>
  </si>
  <si>
    <t>Energy Efficient Building Materials Production Technologies Development Program</t>
  </si>
  <si>
    <t>PoA0483</t>
  </si>
  <si>
    <t>CPA0483.01</t>
  </si>
  <si>
    <t>Energy Efficient Building Materials Production Technologies Development Program, CPA 001</t>
  </si>
  <si>
    <t>Manikganj, Dhaka,
Rangpur, Mymensingh</t>
  </si>
  <si>
    <t>Greentech Carbon Solutions Limited</t>
  </si>
  <si>
    <t>The POA supports the development of new brick production facilities throughout Bangladesh that will employ energy efficient technologies</t>
  </si>
  <si>
    <t>This CPA includes the establishment of the 3 (Three) Tunnel kiln technology brick manufacturing projects which will use sintering/firing process to produce brick/block .</t>
  </si>
  <si>
    <t>Rwanda, Tanzania, Uganda, Burkina Faso</t>
  </si>
  <si>
    <t>Rwanda, Burundi, Tanzania, Uganda, Burkina Faso</t>
  </si>
  <si>
    <t>Sweden (NEFCO)</t>
  </si>
  <si>
    <t>Germany (Stiftung Zukunft des Kohlenstoffmarktes)</t>
  </si>
  <si>
    <t>Greentech Carbon</t>
  </si>
  <si>
    <t>CEXFODYZSYUI90WAQ5KOTZLELNF0OB</t>
  </si>
  <si>
    <t>CPA0320.14</t>
  </si>
  <si>
    <t>9416-0014</t>
  </si>
  <si>
    <t xml:space="preserve"> Rajgarh Wind Power Project in Rajasthan</t>
  </si>
  <si>
    <t>0.8 MW x 63 number of individual units, Wind World (India) Ltd make WW53/0.8 MW model</t>
  </si>
  <si>
    <t>0.8 MW x 69 number of individual units, Wind World (India) Ltd make WW53/0.8 MW model</t>
  </si>
  <si>
    <t>AMS-I.F.+AMS-III.D.</t>
  </si>
  <si>
    <t>AMS-I.C.+AMS-III.H.</t>
  </si>
  <si>
    <t>AMS-III.D.+AMS-III.F.+AMS-I.D.+AMS-I.F.</t>
  </si>
  <si>
    <t>Switzerland (Additional Energy)</t>
  </si>
  <si>
    <t>Additional Energy</t>
  </si>
  <si>
    <t xml:space="preserve"> Additional Energy</t>
  </si>
  <si>
    <t>10266-0001</t>
  </si>
  <si>
    <t>10268-0001</t>
  </si>
  <si>
    <t>10030-0001</t>
  </si>
  <si>
    <t>1 Coal Mine Methane, 1 CMM &amp; Ventilation Air Methane, 1 Ventilation Air Methane, 1 Efficient electricity distribution, 15 Lighting, 1 Stoves, 1 Construction, 1 EE commercial buildings, 2 Higher efficiency coal power, 1 Geothermal heating, 2 Run of river, 2 New dam, 14 Manure, 6 Domestic manure, 1 Waste water, 4 Solar PV, 1 More efficient vehicles, 1 Run of river+new dam</t>
  </si>
  <si>
    <t>1 Coal Mine Methane, 1 Waste water</t>
  </si>
  <si>
    <t>1 Lighting, 2 HVAC &amp; lighting</t>
  </si>
  <si>
    <t>1 Solar lamps, 1 Solar &amp; wind &amp; other, 1 Solar PV water disinfection</t>
  </si>
  <si>
    <t>CPA0071.09</t>
  </si>
  <si>
    <t>5588-0009</t>
  </si>
  <si>
    <t>05052013 Ninth CPA on Grid Connected Solar Power Project in India</t>
  </si>
  <si>
    <t>The CPA constitutes of 5 Solar PV based power generation units.</t>
  </si>
  <si>
    <t>UAE Small Scale Solar Programme of Activities</t>
  </si>
  <si>
    <t>Solar PV at Dubai International Humanitarian City</t>
  </si>
  <si>
    <t>10289-0001</t>
  </si>
  <si>
    <t>Switzerland (Swiss Carbon Asset+Climate Cent Foundation+Pure Water)</t>
  </si>
  <si>
    <t>AMS-II.N.+AMS-I.F.+AMS.II.E.</t>
  </si>
  <si>
    <t>CPA0169.02</t>
  </si>
  <si>
    <t>CPA0169.03</t>
  </si>
  <si>
    <t>10014-0002</t>
  </si>
  <si>
    <t>10014-0003</t>
  </si>
  <si>
    <t>The retrofit of heat generation system through increased biogas at Gunsan sewage treatment plant</t>
  </si>
  <si>
    <t>Installation of co-generation system in sewage treatment plant of Chuncheon (ID: Korea environment corporation-0001)</t>
  </si>
  <si>
    <t>Installation of co-generation system in sewage treatment plant of Asan</t>
  </si>
  <si>
    <t>KECO</t>
  </si>
  <si>
    <t>The project retrofits Gunsan sewage treatment plant for effective utilization of biogas.</t>
  </si>
  <si>
    <t>The project is to install a new biogas co-generation system that displace partial electricity which otherwise would have been imported from a grid by utilizing biogas from retrofitted sludge pre-treatment system.</t>
  </si>
  <si>
    <t>CPA0451.02</t>
  </si>
  <si>
    <t>10053-0002</t>
  </si>
  <si>
    <t>Empowering DRC communities through the use of Improved Cook Stoves – CPA 002</t>
  </si>
  <si>
    <t>This CPA will facilitate the dissemination of Improved Charcoal Cook Stoves (ICS) to urban, peri-urban, and rural households in the Province of Kinshasa</t>
  </si>
  <si>
    <t>CPA0152.02</t>
  </si>
  <si>
    <t>CPA0152.03</t>
  </si>
  <si>
    <t>8950-0002</t>
  </si>
  <si>
    <t>8950-0003</t>
  </si>
  <si>
    <t>Zinguizapa Small Scale Hydropower Project</t>
  </si>
  <si>
    <t>Puringla Sazagua Small Scale Hydropower Project</t>
  </si>
  <si>
    <t>Cedros and Vallecillos</t>
  </si>
  <si>
    <t>3.28 MW run of river hydro power plant</t>
  </si>
  <si>
    <t>Santiago de Puringla</t>
  </si>
  <si>
    <t>9.6 MW run of river hydro power plant</t>
  </si>
  <si>
    <t>1Y5MX0T813M4QH3SYZPE9QUI9ECPKS</t>
  </si>
  <si>
    <t>CPA0406.04</t>
  </si>
  <si>
    <t>CPA0406.05</t>
  </si>
  <si>
    <t>CPA0406.06</t>
  </si>
  <si>
    <t>CPA0406.07</t>
  </si>
  <si>
    <t>Sweden (IBRD), Spain (Government of Spain), Norway (Norwegian Ministry of Finance)</t>
  </si>
  <si>
    <t>Switzerland (Bunge emissions group)</t>
  </si>
  <si>
    <t>Countries with PoAs</t>
  </si>
  <si>
    <t>CPA0449.02</t>
  </si>
  <si>
    <t>9981-0002</t>
  </si>
  <si>
    <t xml:space="preserve">Domestic Cooking Stoves in Maputo (Mozambique) </t>
  </si>
  <si>
    <t>Domestic cookstoves in Maputo (Mozambique), phase II</t>
  </si>
  <si>
    <t>The project involves the distribution of around 10,000 energy efficient stoves to households during the years 2014, 2015 and 2016</t>
  </si>
  <si>
    <t>The project involves the distribution of around 11,530 energy efficient stoves to households during the years 2015−2017</t>
  </si>
  <si>
    <t>CPA0182.06</t>
  </si>
  <si>
    <t>9904-0006</t>
  </si>
  <si>
    <t>Maguta Small Hydro Power Project</t>
  </si>
  <si>
    <t>Kilolo</t>
  </si>
  <si>
    <t>The CPA involves the installation of a 2.4 MW power generation capacity.</t>
  </si>
  <si>
    <t>10203-0001</t>
  </si>
  <si>
    <t>BVCH</t>
  </si>
  <si>
    <t>PoA0484</t>
  </si>
  <si>
    <t>CPA0484.01</t>
  </si>
  <si>
    <t>PoA0485</t>
  </si>
  <si>
    <t>CPA0485.01</t>
  </si>
  <si>
    <t>ASSVOL77GLGAI5U80NDJWGV583VA9H</t>
  </si>
  <si>
    <t>National Programme for Energy Efficiency Improvement in the Brick Manufacturing Sector in Bangladesh</t>
  </si>
  <si>
    <t xml:space="preserve">Energy Efficiency improvement in brick manufacturing sector in Bangladesh
</t>
  </si>
  <si>
    <t>Future Carbon Energy Services</t>
  </si>
  <si>
    <t>The PoA seeks to develop a platform for sustainable large scale deployment of energy efficiency measures in the brick manufacturing sector in Bangladesh</t>
  </si>
  <si>
    <t>This CPA in particular will consist of 14 Brick Manufacturing units to substitute the FCK technology/measure of brick manufacturing by Zig Zag technology/measure</t>
  </si>
  <si>
    <t>Italy (CarbonSinkGroup+Cloros), Sweden (NEFCO)</t>
  </si>
  <si>
    <t>CPA0449.03</t>
  </si>
  <si>
    <t>9981-0003</t>
  </si>
  <si>
    <t>Improved Cookstoves in Pemba</t>
  </si>
  <si>
    <t>Cabo Delgado</t>
  </si>
  <si>
    <t>The project involves the distribution of around 6,541 energy efficient stoves to households during the years 2015−2017</t>
  </si>
  <si>
    <t>CPA0182.07</t>
  </si>
  <si>
    <t>9904-0007</t>
  </si>
  <si>
    <t>Ngombeni Biomass Power Plant Project</t>
  </si>
  <si>
    <t>Pwani</t>
  </si>
  <si>
    <t>The CPA consists of a biomass power plant with the total installed capacity of 2.5 MW</t>
  </si>
  <si>
    <t>CPA0320.15</t>
  </si>
  <si>
    <t>9416-0015</t>
  </si>
  <si>
    <t>Lingasugur Wind Power Project in Karnataka</t>
  </si>
  <si>
    <t>2 MW x 20 number of individual units, Gamesa make G97/2 MW model</t>
  </si>
  <si>
    <t>CPA0184.60</t>
  </si>
  <si>
    <t>7359-0060</t>
  </si>
  <si>
    <t>CPA0184.61</t>
  </si>
  <si>
    <t>7359-0061</t>
  </si>
  <si>
    <t>CPA0184.62</t>
  </si>
  <si>
    <t>7359-0062</t>
  </si>
  <si>
    <t>CPA0184.63</t>
  </si>
  <si>
    <t>7359-0063</t>
  </si>
  <si>
    <t>CPA-MA-25-Madagascar Ethanol Stove Program</t>
  </si>
  <si>
    <t xml:space="preserve"> CPA-MA-26-Madagascar Ethanol Stove Program</t>
  </si>
  <si>
    <t>CPA-MA-27-Madagascar Ethanol Stove Program</t>
  </si>
  <si>
    <t xml:space="preserve"> CPA-MA-28-Madagascar Ethanol Stove Program</t>
  </si>
  <si>
    <t>Antananarivo, Antsirabe, Miandivazo</t>
  </si>
  <si>
    <t>Replace non-renewable fuel with renewable fuel for 30,000 household cooking</t>
  </si>
  <si>
    <t>6UL2V8JUL2MI73JS59F7Z3W8H09OEB</t>
  </si>
  <si>
    <t>Mali Rural Electrification Program</t>
  </si>
  <si>
    <t>AMS-I.E.+AMS-II.G.</t>
  </si>
  <si>
    <t>SUZ</t>
  </si>
  <si>
    <t>MSC LDC</t>
  </si>
  <si>
    <t>MSC DNA</t>
  </si>
  <si>
    <t>10 MW Solar PV power project at NTPC-Unchahar</t>
  </si>
  <si>
    <t>9502-0006</t>
  </si>
  <si>
    <t>CPA0408.06</t>
  </si>
  <si>
    <t>AMADER</t>
  </si>
  <si>
    <t>The PoA includes the introduction of hybrid solar PV/diesel generation in rural mini-grids, installation of Solar Home Systems (SHS) and distribution of high quality solar lanterns.</t>
  </si>
  <si>
    <t>The proposed CPA covers the hybridization of diesel-powered mini-grids with solar panels in 50 villages in Mali.</t>
  </si>
  <si>
    <t>AMS-III.BL.</t>
  </si>
  <si>
    <t>10285-0001</t>
  </si>
  <si>
    <t>PoA0486</t>
  </si>
  <si>
    <t>CPA0486.01</t>
  </si>
  <si>
    <t>Z5AES3I5E7H6ZZMA7I8UOEMAG8W2Z1</t>
  </si>
  <si>
    <t xml:space="preserve">MicroEnergy Credits – Microfinance for Clean Energy Product Lines - Africa </t>
  </si>
  <si>
    <t>MicroEnergy Credits – Microfinance for Clean Energy
Product Lines – Africa – CPA 01</t>
  </si>
  <si>
    <t>CPA0171.02</t>
  </si>
  <si>
    <t>7997-0002</t>
  </si>
  <si>
    <t>CPA 002 – BioLite HomeStove in India</t>
  </si>
  <si>
    <t>Nationwide</t>
  </si>
  <si>
    <t>HomeStove will be sold by the company at attractive prices in exchange for the rights to the
carbon credits.</t>
  </si>
  <si>
    <t>CPA0109.08</t>
  </si>
  <si>
    <t>5962-0008</t>
  </si>
  <si>
    <t>CPA0109.09</t>
  </si>
  <si>
    <t>5962-0009</t>
  </si>
  <si>
    <t>CPA0109.10</t>
  </si>
  <si>
    <t>5962-0010</t>
  </si>
  <si>
    <t>CPA0109.11</t>
  </si>
  <si>
    <t>5962-0011</t>
  </si>
  <si>
    <t>CPA0109.12</t>
  </si>
  <si>
    <t>5962-0012</t>
  </si>
  <si>
    <t>CPA0109.13</t>
  </si>
  <si>
    <t>5962-0013</t>
  </si>
  <si>
    <t>Chlorine Dispensers in Uganda - CPA 9</t>
  </si>
  <si>
    <t>Chlorine Dispensers in Uganda - CPA 10</t>
  </si>
  <si>
    <t>Chlorine Dispensers in Malawi - CPA 11</t>
  </si>
  <si>
    <t>Chlorine Dispensers in Kenya - CPA 12</t>
  </si>
  <si>
    <t>Chlorine Dispensers in Kenya - CPA 13</t>
  </si>
  <si>
    <t>Chlorine Dispensers in Kenya - CPA 14</t>
  </si>
  <si>
    <t>Budadiri East and Budadiri West in Sironko District</t>
  </si>
  <si>
    <t>Pallisa District</t>
  </si>
  <si>
    <t xml:space="preserve"> Zomba district</t>
  </si>
  <si>
    <t>Siaya County</t>
  </si>
  <si>
    <t>Migori County</t>
  </si>
  <si>
    <t>CPA0047.02</t>
  </si>
  <si>
    <t>6707-0002</t>
  </si>
  <si>
    <t>Landfill gas recovery and combustion with renewable energy generation from Rizal Provincial Sanitary Landfill Project (RPSLP) site under Land Bank of the Philippines Carbon Finance Support Facility</t>
  </si>
  <si>
    <t>Province of Rizal</t>
  </si>
  <si>
    <t>Landfill gas recovery and combustion with renewable energy generation</t>
  </si>
  <si>
    <t>10292-0001</t>
  </si>
  <si>
    <t>PoA0487</t>
  </si>
  <si>
    <t>PoA0488</t>
  </si>
  <si>
    <t>EnKing International Renewable Energy POA</t>
  </si>
  <si>
    <t>EnvironmentFirst Renewable Energy Programme</t>
  </si>
  <si>
    <t>CPA0487.01</t>
  </si>
  <si>
    <t>CPA0488.01</t>
  </si>
  <si>
    <t>72K3OJO4VPTRS842EZ54UQ9XGJVMYV</t>
  </si>
  <si>
    <t>Q56OREDLIC435MP944WHDIZW6L2B1B</t>
  </si>
  <si>
    <t>Micro Energy Credits Corporation Private Limited</t>
  </si>
  <si>
    <t>The PoA seeks to promote clean energy product lines through the dissemination of efficient stoves, solar electric lights and water purifiers</t>
  </si>
  <si>
    <t>The CPA involves marketing, distributing, and financing of solar lanterns, and improved cook stoves, for lowincome households and microentrepreneurs across Kenya</t>
  </si>
  <si>
    <t>Carbon Check (India) Private Ltd.</t>
  </si>
  <si>
    <t>The PoA will support the development of new grid-connected renewable energy power plants in India and will cover the solar/hydro/wind energy technologies</t>
  </si>
  <si>
    <t>The CPA aims to install a new 1 MW solar PV power plant</t>
  </si>
  <si>
    <t>ACM2+AMS-I.F.+AMS.I.D.</t>
  </si>
  <si>
    <t>Grid Connected Solar PV project (EKIESL-CPA01.June-16-01)</t>
  </si>
  <si>
    <t>Solar PV Power Project (Environmentfirst 222)</t>
  </si>
  <si>
    <t>Telangana, Tamil Nabu</t>
  </si>
  <si>
    <t>EnvironmentFirst Energy Services (P) Limited</t>
  </si>
  <si>
    <t>The PoA seeks to develop a platform for overcoming institutional, financial hurdles for the construction of a series of renewable energy power plants projects</t>
  </si>
  <si>
    <t>Installation of a new grid-connected 5 MW solar photovoltaic (PV) power plant</t>
  </si>
  <si>
    <t>Financial;Technological; Other</t>
  </si>
  <si>
    <t>CPA0320.16</t>
  </si>
  <si>
    <t>9416-0016</t>
  </si>
  <si>
    <t>ReNew Solar Power Project in AP</t>
  </si>
  <si>
    <t>Hareon 305 W and 310 W, Poly-Crystalline solar PV technology</t>
  </si>
  <si>
    <t>CPA0062.02</t>
  </si>
  <si>
    <t>7014-0002</t>
  </si>
  <si>
    <t>CPA0062.03</t>
  </si>
  <si>
    <t>7014-0003</t>
  </si>
  <si>
    <t>CPA0062.04</t>
  </si>
  <si>
    <t>7014-0004</t>
  </si>
  <si>
    <t>CPA0062.05</t>
  </si>
  <si>
    <t>7014-0005</t>
  </si>
  <si>
    <t>COFFEE A CUP Uganda CPA 1 (CACUg01)</t>
  </si>
  <si>
    <t>ECOTRUST Uganda CPA 1 (ECTUg01)</t>
  </si>
  <si>
    <t>GCCE Uganda CPA 1 (GCCEUg01)</t>
  </si>
  <si>
    <t>Solar Sister Uganda CPA 1 (SSUg01)</t>
  </si>
  <si>
    <t>This CPA shall initially distribute the International Lifeline Fund (ILF) Rural Wood Stove (Eco Smart Wood Stove)</t>
  </si>
  <si>
    <t>This CPA shall be active in the production, marketing, distribution and sales of portable/fixed, domestic/institutional, charcoal/firewood improved cook stoves (ICS)</t>
  </si>
  <si>
    <t>Senegal Rural Electrification Program</t>
  </si>
  <si>
    <t>PoA0489</t>
  </si>
  <si>
    <t>CPA0489.01</t>
  </si>
  <si>
    <t>UV8ZQRS0B5UBQSWCTHRZ721RP8RF8K</t>
  </si>
  <si>
    <t>Agence Senegalaise d’Electrification Rurale (ASER)</t>
  </si>
  <si>
    <t>The overall objective of the PoA is to contribute to the increase in rural electrification rates in Senegal from 24% in 2012 to 60% in 2017 and universal access in 2025</t>
  </si>
  <si>
    <t>The CPA consists of the installation of solar home systems in rural communities.</t>
  </si>
  <si>
    <t>AMS-III.AR.+AMS-III.BL.</t>
  </si>
  <si>
    <t>ACM2+AMS-I.F.+AMS-I.D.</t>
  </si>
  <si>
    <t>AMS-III.AR.+AMS-II.G.+AMS-III.AV.</t>
  </si>
  <si>
    <t>EnKing International</t>
  </si>
  <si>
    <t>EnvironmentFirst Energy Services</t>
  </si>
  <si>
    <t>CPA-0001: 2014-2016 Action Plan for “Off-grid renewable energy for rural electrification in Mozambique managed by FUNAE”</t>
  </si>
  <si>
    <t>Norway (Brighterlite+Differ)</t>
  </si>
  <si>
    <t>PoA0490</t>
  </si>
  <si>
    <t>CPA0490.01</t>
  </si>
  <si>
    <t>CPA0182.08</t>
  </si>
  <si>
    <t>9904-0008</t>
  </si>
  <si>
    <t>Ikondo Micro Hydro Power Plant</t>
  </si>
  <si>
    <t>Njombe</t>
  </si>
  <si>
    <t>A mini hydropower plant with a
generation capacity of 80 kW, second phase a second turbine with additional 350 kW</t>
  </si>
  <si>
    <t>CPA0307.04</t>
  </si>
  <si>
    <t>9558-0004</t>
  </si>
  <si>
    <t>CPA0307.05</t>
  </si>
  <si>
    <t>9558-0005</t>
  </si>
  <si>
    <t>Improved Cookstoves Program for Malawi and cross-border regions of Mozambique – CPA – MAL - 004</t>
  </si>
  <si>
    <t xml:space="preserve">Improved Cookstoves Program for Malawi and cross-border regions of Mozambique – CPA – MAL - 005 </t>
  </si>
  <si>
    <t>TLC Rocket Stove (up to 20,763 stoves)</t>
  </si>
  <si>
    <t>CPA0238.02</t>
  </si>
  <si>
    <t>9247-0002</t>
  </si>
  <si>
    <t>PV power plants project on collective housing &lt;2016-LH-001-05826&gt;</t>
  </si>
  <si>
    <t xml:space="preserve">Korea Land &amp; Housing Corporation </t>
  </si>
  <si>
    <t>68 PV power plants with total capacity of 5,826 KW</t>
  </si>
  <si>
    <t>CPA0061.04</t>
  </si>
  <si>
    <t>6283-0004</t>
  </si>
  <si>
    <t>Distribution of fuel-efficient improved cooking stoves in Nigeria – CPA 004</t>
  </si>
  <si>
    <t>Kano State and Kaduna State</t>
  </si>
  <si>
    <t>10093-0001</t>
  </si>
  <si>
    <t>CPA0452.02</t>
  </si>
  <si>
    <t>10182-0002</t>
  </si>
  <si>
    <t>CPA0452.03</t>
  </si>
  <si>
    <t>10182-0003</t>
  </si>
  <si>
    <t>CPA0452.04</t>
  </si>
  <si>
    <t>10182-0004</t>
  </si>
  <si>
    <t>CPA0452.05</t>
  </si>
  <si>
    <t>10182-0005</t>
  </si>
  <si>
    <t>CPA0452.06</t>
  </si>
  <si>
    <t>10182-0006</t>
  </si>
  <si>
    <t>Malawi Biomass Energy Conservation Programme CPA 2</t>
  </si>
  <si>
    <t>Malawi Biomass Energy Conservation Programme CPA 3</t>
  </si>
  <si>
    <t>Malawi Biomass Energy Conservation Programme CPA 4</t>
  </si>
  <si>
    <t>Malawi Biomass Energy Conservation Programme CPA 5</t>
  </si>
  <si>
    <t>Malawi Biomass Energy Conservation Programme CPA 6</t>
  </si>
  <si>
    <t>The CPA aims to initially disseminate approximately 21,645 improved cookstoves</t>
  </si>
  <si>
    <t>CPA001 Senegal Rural Electrification - Mini-Grids</t>
  </si>
  <si>
    <t>PoA0491</t>
  </si>
  <si>
    <t>CPA0491.01</t>
  </si>
  <si>
    <t>41OLNMSVZC6LMXUQMOIRZCZ0W2BGZ0</t>
  </si>
  <si>
    <t>CPA 1 – Energy Efficiency improvement in brick manufacturing sector in Bangladesh</t>
  </si>
  <si>
    <t>Sylhet division</t>
  </si>
  <si>
    <t>The overall objective is to develop a platform for sustainable large scale deployment of energy efficiency measures in the brick manufacturing sector in Bangladesh</t>
  </si>
  <si>
    <t>The CPA will bring a change in the brick sector by improvising the FCK to Zig Zag kiln</t>
  </si>
  <si>
    <t>PoA and CPA</t>
  </si>
  <si>
    <t>CPA003 Senegal Rural Electrification – Solar Home Systems</t>
  </si>
  <si>
    <t>CPA002 Senegal Rural Electrification – Grid Extension</t>
  </si>
  <si>
    <t>This CPA consists of the new connections to the national grid of Senegal, both for consumers will no previous access and for those previously connected to a local mini-grid.</t>
  </si>
  <si>
    <t>This CPA consists of the installation of new solar home systems in rural communities.</t>
  </si>
  <si>
    <t>CPA0490.02</t>
  </si>
  <si>
    <t>CPA0490.03</t>
  </si>
  <si>
    <t>Grid extension</t>
  </si>
  <si>
    <t>for PoAs</t>
  </si>
  <si>
    <t>issued for</t>
  </si>
  <si>
    <t>CDM+PoAs</t>
  </si>
  <si>
    <t>CDM projects</t>
  </si>
  <si>
    <t xml:space="preserve"> +CPAs</t>
  </si>
  <si>
    <t>Norway (Norwegian Ministry of Finance)</t>
  </si>
  <si>
    <t>No tillage</t>
  </si>
  <si>
    <t>Wind &amp; hydro</t>
  </si>
  <si>
    <t>Offshore wind</t>
  </si>
  <si>
    <t>2 Run of river, 1 Landfill power, 1 Solar &amp; wind &amp; other, 3 Solar PV, 1 Mode shift: Road to rail, 2 Wind, 1 Geothermal electricity+Wind+Tidal+Solar PV+Solar thermal power</t>
  </si>
  <si>
    <t>1 Lighting, 1 Stoves, 1 Lighting &amp; Insulation &amp; Solar, 1 Appliances, 1 EE new buildings, 1 Existing dam, 3 Manure, 1 Waste water, 1 Solar &amp; wind &amp; other</t>
  </si>
  <si>
    <t>1 Lighting, 1 Domestic manure, 1 Solar &amp; wind &amp; hydro, 1 Solar &amp; wind &amp; other, 1 Solar PV</t>
  </si>
  <si>
    <t>1 Lighting, 1 EE commercial buildings, 1 Run of river, 1 Landfill power, 1 Manure, 2 Solar &amp; wind &amp; other, 1 More efficient vehicles</t>
  </si>
  <si>
    <t>1 Chemicals heat, 1 Street lighting, 1 Waste water, 1 Solar &amp; wind &amp; other, 5 Solar PV</t>
  </si>
  <si>
    <t>1 Efficient electricity distribution, 1 Lighting, 4 Solar lamps, 5 Stoves, 1 Geothermal electricity, 1 Run of river, 2 Domestic manure, 1 Solar &amp; wind &amp; hydro, 2 Solar &amp; wind &amp; other</t>
  </si>
  <si>
    <t>1 Landfill power, 1 Solar &amp; wind, 1 Wind</t>
  </si>
  <si>
    <t>1 Agricultural residues: other kinds, 1 Lighting, 1 Solar lamps, 1 Stoves, 1 Building materials, 2 Lighting in service, 1 EE commercial buildings, 1 Cogeneration, 1 Run of river, 2 Landfill power, 1 Manure, 3 Solar &amp; wind, 1 Solar &amp; wind &amp; hydro, 2 Solar &amp; wind &amp; other, 6 Solar PV, 1 Solar thermal power, 9 Solar water heating, 3 Wind</t>
  </si>
  <si>
    <t>Manu-facturer 1</t>
  </si>
  <si>
    <t>Public Funding</t>
  </si>
  <si>
    <t>Investment Analysis Type</t>
  </si>
  <si>
    <t>ISO 4217 Currency codes</t>
  </si>
  <si>
    <t>Additional revenue</t>
  </si>
  <si>
    <t>Taxonomy for assessment of sustainable development benefits of CDM projects</t>
  </si>
  <si>
    <t>UNFCCC code</t>
  </si>
  <si>
    <t>Taxonomy for assessment of Technology Transfer in CDM projects</t>
  </si>
  <si>
    <t>Investment analysis type</t>
  </si>
  <si>
    <t>Barrier analysis type</t>
  </si>
  <si>
    <t>Additional Revenue</t>
  </si>
  <si>
    <t>Type of financial indicator</t>
  </si>
  <si>
    <t>Sub-region and Region by Country</t>
  </si>
  <si>
    <t>AED</t>
  </si>
  <si>
    <t>United Arab Emirates Dirham</t>
  </si>
  <si>
    <t>Dimension</t>
  </si>
  <si>
    <t>URC code</t>
  </si>
  <si>
    <t>Criteria</t>
  </si>
  <si>
    <t>Indicators</t>
  </si>
  <si>
    <t>TT code</t>
  </si>
  <si>
    <t>TT type</t>
  </si>
  <si>
    <t>Code</t>
  </si>
  <si>
    <t>Sub-step</t>
  </si>
  <si>
    <t>Option</t>
  </si>
  <si>
    <t>Kind for sales</t>
  </si>
  <si>
    <t>Kind for savings</t>
  </si>
  <si>
    <t>Country</t>
  </si>
  <si>
    <t>AFN</t>
  </si>
  <si>
    <t>Afghanistan Afghani</t>
  </si>
  <si>
    <t>Environmental benefits</t>
  </si>
  <si>
    <t>Air</t>
  </si>
  <si>
    <t>Improving air quality by reducing air pollutants such as SOx, NOx, suspended particulate matter (SPM), Non Methane Volatile Organic Compounds (NMVOCs), dust, fly ash, odour and noise</t>
  </si>
  <si>
    <t>Non-key equipment is imported</t>
  </si>
  <si>
    <t>Government bond rates</t>
  </si>
  <si>
    <t>LC of electricity production</t>
  </si>
  <si>
    <t>ALL</t>
  </si>
  <si>
    <t>Albania Lek</t>
  </si>
  <si>
    <t>Fuel</t>
  </si>
  <si>
    <t>Land</t>
  </si>
  <si>
    <t xml:space="preserve">Avoid soil pollution including avoided waste disposal and improvement of the soil through the production and use of e.g. compost, manure nutrient and other fertilizers </t>
  </si>
  <si>
    <t xml:space="preserve">Technology is from a foreign multinational  but is manufactured domestically (perhaps under license).  </t>
  </si>
  <si>
    <t>Financing cost</t>
  </si>
  <si>
    <t>LC of delivered heat</t>
  </si>
  <si>
    <t>Central African Republic</t>
  </si>
  <si>
    <t>AMD</t>
  </si>
  <si>
    <t>Armenia Dram</t>
  </si>
  <si>
    <t>Water</t>
  </si>
  <si>
    <t>Improved water quality through e.g. wastewater management, water savings, safe and reliable water distribution, purification/sterilization and cleaning of water</t>
  </si>
  <si>
    <t>Technology is well established and has been widely used all over the world.  Technology may be imported but is not considered a transfer</t>
  </si>
  <si>
    <t>Company internal benchmark</t>
  </si>
  <si>
    <t>Methodological</t>
  </si>
  <si>
    <t>IRR</t>
  </si>
  <si>
    <t>ANG</t>
  </si>
  <si>
    <t>Netherlands Antilles Guilder</t>
  </si>
  <si>
    <t>Conservation</t>
  </si>
  <si>
    <t xml:space="preserve">Protection and management of resources (such as minerals, plants, animals and biodiversity but excluding waste) and landscapes (such as forests and river basins) </t>
  </si>
  <si>
    <t>Claims technology transfer but does not occur in accordance with the 2010 report definition of TT - i.e. the stated TT occurs within the host country</t>
  </si>
  <si>
    <t>Government/official approved benchmark</t>
  </si>
  <si>
    <t>NPV</t>
  </si>
  <si>
    <t>Congo</t>
  </si>
  <si>
    <t>AOA</t>
  </si>
  <si>
    <t>Angola Kwanza</t>
  </si>
  <si>
    <t>Social benefits</t>
  </si>
  <si>
    <t>Jobs</t>
  </si>
  <si>
    <t>Creation of new jobs and employment opportunities including income generation</t>
  </si>
  <si>
    <t>1,2</t>
  </si>
  <si>
    <t>Project specifically states no technology transfer</t>
  </si>
  <si>
    <t>Cost benefit ratio</t>
  </si>
  <si>
    <t>ARS</t>
  </si>
  <si>
    <t>Argentina Peso</t>
  </si>
  <si>
    <t>Health</t>
  </si>
  <si>
    <t>Reduction of health risks such as diseases and accidents or improvement of health conditions,  including safety, through activities such as construction of a hospital, running a health care centre, preservation of food, reducing health damaging air pollutants and indoor smoke</t>
  </si>
  <si>
    <t>No mention or indication of technology transfer in the PDD</t>
  </si>
  <si>
    <t>Australia Dollar</t>
  </si>
  <si>
    <t>Fees</t>
  </si>
  <si>
    <t>Education</t>
  </si>
  <si>
    <t>Facilitation of education, dissemination of information, research and increased awareness related to e.g. waste management, renewable energy resources and climate change through construction of a school, running of educational programs, site visits and tours. This indicator includes job related training.</t>
  </si>
  <si>
    <t>5,12</t>
  </si>
  <si>
    <t>Technology transfer of equipment only</t>
  </si>
  <si>
    <t>AWG</t>
  </si>
  <si>
    <t>Aruba Guilder</t>
  </si>
  <si>
    <t>Production increase</t>
  </si>
  <si>
    <t>Welfare</t>
  </si>
  <si>
    <t>Improvement of local living and working conditions, community or rural upliftment, reduced traffic congestion, poverty alleviation and income redistribution through e.g. increased municipal tax revenues. Empoverment of women.</t>
  </si>
  <si>
    <t>Technology transfer of knowledge only</t>
  </si>
  <si>
    <t>AZN</t>
  </si>
  <si>
    <t>Azerbaijan New Manat</t>
  </si>
  <si>
    <t>Raw materials</t>
  </si>
  <si>
    <t>Economic benefits</t>
  </si>
  <si>
    <t>Growth</t>
  </si>
  <si>
    <t>Support for economic development and stability through initiation of e.g. new industrial activities, investments, establishment and maintenance of infrastructure, enhancing productivity, reduction of costs, setting an example for other industries and creation of business opportunities</t>
  </si>
  <si>
    <t>1,4</t>
  </si>
  <si>
    <t>Technology transfer of equipment and knowledge</t>
  </si>
  <si>
    <t>Comoros</t>
  </si>
  <si>
    <t>BAM</t>
  </si>
  <si>
    <t>Bosnia and Herzegovina Convertible Marka</t>
  </si>
  <si>
    <t>Energy access</t>
  </si>
  <si>
    <t>Improved access, availability and quality of electricity and heating services such as coverage and reliability.</t>
  </si>
  <si>
    <t>"Joint ventures" between two or more countries - i.e. technology transfer of expertise</t>
  </si>
  <si>
    <t>BBD</t>
  </si>
  <si>
    <t>Barbados Dollar</t>
  </si>
  <si>
    <t>Technology</t>
  </si>
  <si>
    <t>Development, diffusion of local or imported technology.</t>
  </si>
  <si>
    <t>Eritrea</t>
  </si>
  <si>
    <t>BDT</t>
  </si>
  <si>
    <t>Bangladesh Taka</t>
  </si>
  <si>
    <t>Balance of Payments</t>
  </si>
  <si>
    <t>Reduction in the use of foreign exchange through a reduction of imported fossil fuels in order to increase national economic independence.</t>
  </si>
  <si>
    <t>BGN</t>
  </si>
  <si>
    <t>Bulgaria Lev</t>
  </si>
  <si>
    <t>Clinker</t>
  </si>
  <si>
    <t>Negative impacts</t>
  </si>
  <si>
    <t>Do no harm</t>
  </si>
  <si>
    <t>Violate human rights, Involve resettlements, do not preserve cultural heritage, violate labour rights, child labour, involve discrimination, unsafe &amp; unhealthy work environment, involve corruption, spoil the environment and natural habitats.</t>
  </si>
  <si>
    <t>BHD</t>
  </si>
  <si>
    <t>Bahrain Dinar</t>
  </si>
  <si>
    <t>Statement in the PDD: "Conforms to host country sustainable development requirements" but does not go into more detail.  (The Designated National Authority checked the project against the sustainable development criteria of the country, finding that the p</t>
  </si>
  <si>
    <t>BIF</t>
  </si>
  <si>
    <t>Burundi Franc</t>
  </si>
  <si>
    <t>Recyclables</t>
  </si>
  <si>
    <t>No information provided</t>
  </si>
  <si>
    <t>BMD</t>
  </si>
  <si>
    <t>Bermuda Dollar</t>
  </si>
  <si>
    <t>BND</t>
  </si>
  <si>
    <t>Brunei Darussalam Dollar</t>
  </si>
  <si>
    <t>Forest products</t>
  </si>
  <si>
    <t>BOB</t>
  </si>
  <si>
    <t>Bolivia Boliviano</t>
  </si>
  <si>
    <t>Resin</t>
  </si>
  <si>
    <t>Additionality barriers:</t>
  </si>
  <si>
    <t>Brazil Real</t>
  </si>
  <si>
    <t>None</t>
  </si>
  <si>
    <t>BSD</t>
  </si>
  <si>
    <t>Bahamas Dollar</t>
  </si>
  <si>
    <t>BTN</t>
  </si>
  <si>
    <t>Bhutan Ngultrum</t>
  </si>
  <si>
    <t>BWP</t>
  </si>
  <si>
    <t>Botswana Pula</t>
  </si>
  <si>
    <t>BYR</t>
  </si>
  <si>
    <t>Belarus Ruble</t>
  </si>
  <si>
    <t>Other barriers</t>
  </si>
  <si>
    <t>BZD</t>
  </si>
  <si>
    <t>Belize Dollar</t>
  </si>
  <si>
    <t>CAD</t>
  </si>
  <si>
    <t>Canada Dollar</t>
  </si>
  <si>
    <t>CDF</t>
  </si>
  <si>
    <t>Congo/Kinshasa Franc</t>
  </si>
  <si>
    <t>CHF</t>
  </si>
  <si>
    <t>Switzerland Franc</t>
  </si>
  <si>
    <t>Chile Peso</t>
  </si>
  <si>
    <t>Botswana</t>
  </si>
  <si>
    <t>China Yuan Renminbi</t>
  </si>
  <si>
    <t>Colombia Peso</t>
  </si>
  <si>
    <t>CRC</t>
  </si>
  <si>
    <t>Costa Rica Colon</t>
  </si>
  <si>
    <t>CUC</t>
  </si>
  <si>
    <t>Cuba Convertible Peso</t>
  </si>
  <si>
    <t>CUP</t>
  </si>
  <si>
    <t>Cuba Peso</t>
  </si>
  <si>
    <t>CVE</t>
  </si>
  <si>
    <t>Cape Verde Escudo</t>
  </si>
  <si>
    <t>CZK</t>
  </si>
  <si>
    <t>Czech Republic Koruna</t>
  </si>
  <si>
    <t>DJF</t>
  </si>
  <si>
    <t>Djibouti Franc</t>
  </si>
  <si>
    <t>DKK</t>
  </si>
  <si>
    <t>Denmark Krone</t>
  </si>
  <si>
    <t>DOP</t>
  </si>
  <si>
    <t>Dominican Republic Peso</t>
  </si>
  <si>
    <t>DZD</t>
  </si>
  <si>
    <t>Algeria Dinar</t>
  </si>
  <si>
    <t>Egypt Pound</t>
  </si>
  <si>
    <t>ERN</t>
  </si>
  <si>
    <t>Eritrea Nakfa</t>
  </si>
  <si>
    <t>Guinea</t>
  </si>
  <si>
    <t>ETB</t>
  </si>
  <si>
    <t>Ethiopia Birr</t>
  </si>
  <si>
    <t>Guinea-Bissau</t>
  </si>
  <si>
    <t>Euro Member Countries</t>
  </si>
  <si>
    <t>FJD</t>
  </si>
  <si>
    <t>Fiji Dollar</t>
  </si>
  <si>
    <t>FKP</t>
  </si>
  <si>
    <t>Falkland Islands (Malvinas) Pound</t>
  </si>
  <si>
    <t>Mauritania</t>
  </si>
  <si>
    <t>GBP</t>
  </si>
  <si>
    <t>United Kingdom Pound</t>
  </si>
  <si>
    <t>GEL</t>
  </si>
  <si>
    <t>Georgia Lari</t>
  </si>
  <si>
    <t>GGP</t>
  </si>
  <si>
    <t>Guernsey Pound</t>
  </si>
  <si>
    <t>GHS</t>
  </si>
  <si>
    <t>Ghana Cedi</t>
  </si>
  <si>
    <t>GIP</t>
  </si>
  <si>
    <t>Gibraltar Pound</t>
  </si>
  <si>
    <t>GMD</t>
  </si>
  <si>
    <t>Gambia Dalasi</t>
  </si>
  <si>
    <t>GNF</t>
  </si>
  <si>
    <t>Guinea Franc</t>
  </si>
  <si>
    <t>GTQ</t>
  </si>
  <si>
    <t>Guatemala Quetzal</t>
  </si>
  <si>
    <t>GYD</t>
  </si>
  <si>
    <t>Guyana Dollar</t>
  </si>
  <si>
    <t>HKD</t>
  </si>
  <si>
    <t>Hong Kong Dollar</t>
  </si>
  <si>
    <t>Pacific</t>
  </si>
  <si>
    <t>HNL</t>
  </si>
  <si>
    <t>Honduras Lempira</t>
  </si>
  <si>
    <t>Kiribati</t>
  </si>
  <si>
    <t>HRK</t>
  </si>
  <si>
    <t>Croatia Kuna</t>
  </si>
  <si>
    <t>Marshall Islands</t>
  </si>
  <si>
    <t>HTG</t>
  </si>
  <si>
    <t>Haiti Gourde</t>
  </si>
  <si>
    <t>Palau</t>
  </si>
  <si>
    <t>HUF</t>
  </si>
  <si>
    <t>Hungary Forint</t>
  </si>
  <si>
    <t>Samoa</t>
  </si>
  <si>
    <t>Indonesia Rupiah</t>
  </si>
  <si>
    <t>Tonga</t>
  </si>
  <si>
    <t>ILS</t>
  </si>
  <si>
    <t>Israel Shekel</t>
  </si>
  <si>
    <t>Brunei</t>
  </si>
  <si>
    <t>IMP</t>
  </si>
  <si>
    <t>Isle of Man Pound</t>
  </si>
  <si>
    <t>India Rupee</t>
  </si>
  <si>
    <t>IQD</t>
  </si>
  <si>
    <t>Iraq Dinar</t>
  </si>
  <si>
    <t>Iran Rial</t>
  </si>
  <si>
    <t>ISK</t>
  </si>
  <si>
    <t>Iceland Krona</t>
  </si>
  <si>
    <t>JEP</t>
  </si>
  <si>
    <t>Jersey Pound</t>
  </si>
  <si>
    <t>JMD</t>
  </si>
  <si>
    <t>Jamaica Dollar</t>
  </si>
  <si>
    <t>JOD</t>
  </si>
  <si>
    <t>Jordan Dinar</t>
  </si>
  <si>
    <t>JPY</t>
  </si>
  <si>
    <t>Japan Yen</t>
  </si>
  <si>
    <t>Kenya Shilling</t>
  </si>
  <si>
    <t>KGS</t>
  </si>
  <si>
    <t>Kyrgyzstan Som</t>
  </si>
  <si>
    <t>KHR</t>
  </si>
  <si>
    <t>Cambodia Riel</t>
  </si>
  <si>
    <t>KMF</t>
  </si>
  <si>
    <t>Comoros Franc</t>
  </si>
  <si>
    <t>KPW</t>
  </si>
  <si>
    <t>Korea (North) Won</t>
  </si>
  <si>
    <t>Korea (South) Won</t>
  </si>
  <si>
    <t>Maldives</t>
  </si>
  <si>
    <t>KWD</t>
  </si>
  <si>
    <t>Kuwait Dinar</t>
  </si>
  <si>
    <t>KYD</t>
  </si>
  <si>
    <t>Cayman Islands Dollar</t>
  </si>
  <si>
    <t>KZT</t>
  </si>
  <si>
    <t>Kazakhstan Tenge</t>
  </si>
  <si>
    <t>LAK</t>
  </si>
  <si>
    <t>Laos Kip</t>
  </si>
  <si>
    <t>Lebanon Pound</t>
  </si>
  <si>
    <t>Sri Lanka Rupee</t>
  </si>
  <si>
    <t>LRD</t>
  </si>
  <si>
    <t>Liberia Dollar</t>
  </si>
  <si>
    <t>Kazakhstan</t>
  </si>
  <si>
    <t>LSL</t>
  </si>
  <si>
    <t>Lesotho Loti</t>
  </si>
  <si>
    <t>LTL</t>
  </si>
  <si>
    <t>Lithuania Litas</t>
  </si>
  <si>
    <t>LVL</t>
  </si>
  <si>
    <t>Latvia Lat</t>
  </si>
  <si>
    <t>LYD</t>
  </si>
  <si>
    <t>Libya Dinar</t>
  </si>
  <si>
    <t>Morocco Dirham</t>
  </si>
  <si>
    <t>MDL</t>
  </si>
  <si>
    <t>Moldova Leu</t>
  </si>
  <si>
    <t>MGA</t>
  </si>
  <si>
    <t>Madagascar Ariary</t>
  </si>
  <si>
    <t>MKD</t>
  </si>
  <si>
    <t>Macedonia Denar</t>
  </si>
  <si>
    <t>MMK</t>
  </si>
  <si>
    <t>Myanmar (Burma) Kyat</t>
  </si>
  <si>
    <t>MNT</t>
  </si>
  <si>
    <t>Mongolia Tughrik</t>
  </si>
  <si>
    <t>MOP</t>
  </si>
  <si>
    <t>Macau Pataca</t>
  </si>
  <si>
    <t>San Marino</t>
  </si>
  <si>
    <t>MRO</t>
  </si>
  <si>
    <t>Mauritania Ouguiya</t>
  </si>
  <si>
    <t>MUR</t>
  </si>
  <si>
    <t>Mauritius Rupee</t>
  </si>
  <si>
    <t>Antigua and Barbuda</t>
  </si>
  <si>
    <t>MVR</t>
  </si>
  <si>
    <t>Maldives (Maldive Islands) Rufiyaa</t>
  </si>
  <si>
    <t>MWK</t>
  </si>
  <si>
    <t>Malawi Kwacha</t>
  </si>
  <si>
    <t>Mexico Peso</t>
  </si>
  <si>
    <t>Malaysia Ringgit</t>
  </si>
  <si>
    <t>MZN</t>
  </si>
  <si>
    <t>Mozambique Metical</t>
  </si>
  <si>
    <t>NAD</t>
  </si>
  <si>
    <t>Namibia Dollar</t>
  </si>
  <si>
    <t>NGN</t>
  </si>
  <si>
    <t>Nigeria Naira</t>
  </si>
  <si>
    <t>Saint Lucia</t>
  </si>
  <si>
    <t>NIO</t>
  </si>
  <si>
    <t>Nicaragua Cordoba</t>
  </si>
  <si>
    <t>NOK</t>
  </si>
  <si>
    <t>Norway Krone</t>
  </si>
  <si>
    <t>NPR</t>
  </si>
  <si>
    <t>Nepal Rupee</t>
  </si>
  <si>
    <t>NZD</t>
  </si>
  <si>
    <t>New Zealand Dollar</t>
  </si>
  <si>
    <t>OMR</t>
  </si>
  <si>
    <t>Oman Rial</t>
  </si>
  <si>
    <t>PAB</t>
  </si>
  <si>
    <t>Panama Balboa</t>
  </si>
  <si>
    <t>PEN</t>
  </si>
  <si>
    <t>Peru Nuevo Sol</t>
  </si>
  <si>
    <t>PGK</t>
  </si>
  <si>
    <t>Papua New Guinea Kina</t>
  </si>
  <si>
    <t>Philippines Peso</t>
  </si>
  <si>
    <t>Pakistan Rupee</t>
  </si>
  <si>
    <t>PLN</t>
  </si>
  <si>
    <t>Poland Zloty</t>
  </si>
  <si>
    <t>PYG</t>
  </si>
  <si>
    <t>Paraguay Guarani</t>
  </si>
  <si>
    <t>QAR</t>
  </si>
  <si>
    <t>Qatar Riyal</t>
  </si>
  <si>
    <t>RON</t>
  </si>
  <si>
    <t>Romania New Leu</t>
  </si>
  <si>
    <t>RSD</t>
  </si>
  <si>
    <t>Serbia Dinar</t>
  </si>
  <si>
    <t>RUB</t>
  </si>
  <si>
    <t>Russia Ruble</t>
  </si>
  <si>
    <t>RWF</t>
  </si>
  <si>
    <t>Rwanda Franc</t>
  </si>
  <si>
    <t>Saudi Arabia Riyal</t>
  </si>
  <si>
    <t>SBD</t>
  </si>
  <si>
    <t>Solomon Islands Dollar</t>
  </si>
  <si>
    <t>SCR</t>
  </si>
  <si>
    <t>Seychelles Rupee</t>
  </si>
  <si>
    <t>SDG</t>
  </si>
  <si>
    <t>Sudan Pound</t>
  </si>
  <si>
    <t>SEK</t>
  </si>
  <si>
    <t>Sweden Krona</t>
  </si>
  <si>
    <t>SGD</t>
  </si>
  <si>
    <t>Singapore Dollar</t>
  </si>
  <si>
    <t>SHP</t>
  </si>
  <si>
    <t>Saint Helena Pound</t>
  </si>
  <si>
    <t>SLL</t>
  </si>
  <si>
    <t>Sierra Leone Leone</t>
  </si>
  <si>
    <t>SOS</t>
  </si>
  <si>
    <t>Somalia Shilling</t>
  </si>
  <si>
    <t>SPL*</t>
  </si>
  <si>
    <t>Seborga Luigino</t>
  </si>
  <si>
    <t>SRD</t>
  </si>
  <si>
    <t>Suriname Dollar</t>
  </si>
  <si>
    <t>STD</t>
  </si>
  <si>
    <t>São Principe and Tome Dobra</t>
  </si>
  <si>
    <t>SVC</t>
  </si>
  <si>
    <t>El Salvador Colon</t>
  </si>
  <si>
    <t>Afghanistan</t>
  </si>
  <si>
    <t>Iranian Plateau</t>
  </si>
  <si>
    <t>SYP</t>
  </si>
  <si>
    <t>Syria Pound</t>
  </si>
  <si>
    <t>SZL</t>
  </si>
  <si>
    <t>Swaziland Lilangeni</t>
  </si>
  <si>
    <t>Thailand Baht</t>
  </si>
  <si>
    <t>TJS</t>
  </si>
  <si>
    <t>Tajikistan Somoni</t>
  </si>
  <si>
    <t>TMT</t>
  </si>
  <si>
    <t>Turkmenistan Manat</t>
  </si>
  <si>
    <t>TND</t>
  </si>
  <si>
    <t>Tunisia Dinar</t>
  </si>
  <si>
    <t>TOP</t>
  </si>
  <si>
    <t>Tonga Pa'anga</t>
  </si>
  <si>
    <t>TRY</t>
  </si>
  <si>
    <t>Turkey Lira</t>
  </si>
  <si>
    <t>TTD</t>
  </si>
  <si>
    <t>Trinidad and Tobago Dollar</t>
  </si>
  <si>
    <t>TVD</t>
  </si>
  <si>
    <t>Tuvalu Dollar</t>
  </si>
  <si>
    <t>TWD</t>
  </si>
  <si>
    <t>Taiwan New Dollar</t>
  </si>
  <si>
    <t>TZS</t>
  </si>
  <si>
    <t>Tanzania Shilling</t>
  </si>
  <si>
    <t>UAH</t>
  </si>
  <si>
    <t>Ukraine Hryvna</t>
  </si>
  <si>
    <t>UGX</t>
  </si>
  <si>
    <t>Uganda Shilling</t>
  </si>
  <si>
    <t>United States Dollar</t>
  </si>
  <si>
    <t>UYU</t>
  </si>
  <si>
    <t>Uruguay Peso</t>
  </si>
  <si>
    <t>UZS</t>
  </si>
  <si>
    <t>Uzbekistan Som</t>
  </si>
  <si>
    <t>VEF</t>
  </si>
  <si>
    <t>Venezuela Bolivar Fuerte</t>
  </si>
  <si>
    <t>Viet Nam Dong</t>
  </si>
  <si>
    <t>VUV</t>
  </si>
  <si>
    <t>Vanuatu Vatu</t>
  </si>
  <si>
    <t>WST</t>
  </si>
  <si>
    <t>Samoa Tala</t>
  </si>
  <si>
    <t>XAF</t>
  </si>
  <si>
    <t>Communauté Financière Africaine (BEAC) CFA Franc BEAC</t>
  </si>
  <si>
    <t>XCD</t>
  </si>
  <si>
    <t>East Caribbean Dollar</t>
  </si>
  <si>
    <t>XDR</t>
  </si>
  <si>
    <t>International Monetary Fund (IMF) Special Drawing Rights</t>
  </si>
  <si>
    <t>XOF</t>
  </si>
  <si>
    <t>Communauté Financière Africaine (BCEAO) Franc</t>
  </si>
  <si>
    <t>XPF</t>
  </si>
  <si>
    <t>Comptoirs Français du Pacifique (CFP) Franc</t>
  </si>
  <si>
    <t>YER</t>
  </si>
  <si>
    <t>Yemen Rial</t>
  </si>
  <si>
    <t>South Africa Rand</t>
  </si>
  <si>
    <t>ZMK</t>
  </si>
  <si>
    <t>Zambia Kwacha</t>
  </si>
  <si>
    <t>ZWD</t>
  </si>
  <si>
    <t>Zimbabwe Dollar</t>
  </si>
  <si>
    <t>CPA0062.06</t>
  </si>
  <si>
    <t>7014-0006</t>
  </si>
  <si>
    <t>CPA0062.07</t>
  </si>
  <si>
    <t>7014-0007</t>
  </si>
  <si>
    <t>CPA0062.08</t>
  </si>
  <si>
    <t>7014-0008</t>
  </si>
  <si>
    <t>UGASTOVE Uganda CPA 1 (UGSUg01)</t>
  </si>
  <si>
    <t>RDIS Rwanda CPA 1 (RDISRw01)</t>
  </si>
  <si>
    <t>James Finlay Kenya CPA 1 (JFKKe01)</t>
  </si>
  <si>
    <t>10286-0001</t>
  </si>
  <si>
    <t>10322-0001</t>
  </si>
  <si>
    <t>PoA0492</t>
  </si>
  <si>
    <t>CPA0492.01</t>
  </si>
  <si>
    <t xml:space="preserve">Tandavanala TsinjoHarena Improved cookstoves in Madagascar </t>
  </si>
  <si>
    <t>Tandavanala TsinjoHarena Improved cookstoves in Madagascar-CPA001</t>
  </si>
  <si>
    <t>WE879RFG2DQN0UOJEG8APJPKQPDQX9</t>
  </si>
  <si>
    <t>Haute Matsiatra</t>
  </si>
  <si>
    <t>The overall objective is the dissemination of the efficient improved cooking stove to the rural and urban household of Madagascar</t>
  </si>
  <si>
    <t>The CPA aims to disseminate efficient improved cooking stove single pot type based on woody biomass to the rural household of Madagascar</t>
  </si>
  <si>
    <t>Tandavanala</t>
  </si>
  <si>
    <t>CPA0110.05</t>
  </si>
  <si>
    <t>CPA0110.06</t>
  </si>
  <si>
    <t>CPA0110.07</t>
  </si>
  <si>
    <t>CPA0110.08</t>
  </si>
  <si>
    <t>9956-0005</t>
  </si>
  <si>
    <t>9956-0006</t>
  </si>
  <si>
    <t>9956-0007</t>
  </si>
  <si>
    <t>9956-0008</t>
  </si>
  <si>
    <t>Up Energy Improved Cookstoves Programme, Uganda - CPA No 005</t>
  </si>
  <si>
    <t>Up Energy Improved Cookstoves Programme, Uganda - CPA No 006</t>
  </si>
  <si>
    <t>Up Energy Improved Cookstoves Programme, Uganda - CPA No 007</t>
  </si>
  <si>
    <t>Up Energy Improved Cookstoves Programme, Uganda - CPA No 008</t>
  </si>
  <si>
    <t>Provision of higher-efficiency, clean burning improved cooking biomass ICS (stoves) to residential households</t>
  </si>
  <si>
    <t>Replace with higher-efficiency, clean burning improved cooking biomass ICS (stoves) to residential households</t>
  </si>
  <si>
    <t>CPA0087.04</t>
  </si>
  <si>
    <t>7883-0004</t>
  </si>
  <si>
    <t>Los Patos Small Scale Central Hydroelectric Project, San Marcos, Guatemala (SSC-CPA Los Patos)</t>
  </si>
  <si>
    <t>5.22 MW run of river plant</t>
  </si>
  <si>
    <t>9181-0009</t>
  </si>
  <si>
    <t>9181-0010</t>
  </si>
  <si>
    <t>9181-0011</t>
  </si>
  <si>
    <t>CPA0213.09</t>
  </si>
  <si>
    <t>CPA0213.10</t>
  </si>
  <si>
    <t>CPA0213.11</t>
  </si>
  <si>
    <t>MicroEnergy Credits PoA - CPA 09</t>
  </si>
  <si>
    <t>MicroEnergy Credits PoA - CPA 10</t>
  </si>
  <si>
    <t>MicroEnergy Credits PoA - CPA 11</t>
  </si>
  <si>
    <t>Involves marketing, distributing, and financing solar lighting systems, and water purification devices</t>
  </si>
  <si>
    <t>CPA0109.14</t>
  </si>
  <si>
    <t>5962-0014</t>
  </si>
  <si>
    <t>Water Kiosks in Cambodia – CPA 4</t>
  </si>
  <si>
    <t>CPA0087.05</t>
  </si>
  <si>
    <t>7883-0005</t>
  </si>
  <si>
    <t>CPA0087.06</t>
  </si>
  <si>
    <t>7883-0006</t>
  </si>
  <si>
    <t>Juayúa Central Hydroelectric Project, Sonsonante, El Salvador (SSC-CPA Juayúa)</t>
  </si>
  <si>
    <t>Hidroaguná Hydroelectric Project, Escuintla, Guatemala (SSC-CPA Aguná)</t>
  </si>
  <si>
    <t>Juayúa municipality</t>
  </si>
  <si>
    <t>Santa Lucia Cotzumalguapa, Escuintla</t>
  </si>
  <si>
    <t>2.458 MW run of river plant</t>
  </si>
  <si>
    <t>2.0385 MW run of river plant</t>
  </si>
  <si>
    <t>10175-0001</t>
  </si>
  <si>
    <t>ACM2+ASB1</t>
  </si>
  <si>
    <t xml:space="preserve"> Denmark (Danish Ministry of Climate &amp; Energy), Germany (BASF+kfW), Spain (Government of Spain+Gas Natural SDG+Hidroelectrica del Cantabrico+Endesa), Belgium (Walloon Air and Climate Agency+Bruxelles Environnement - IBGE), Japan (Okinawa Electric Power+Daiwa Securities SMBC+Fujifilm+Idemitsu Kosan), Italy (Italian Ministry of Environment), Netherlands (VROM), Norway (Statoil+Statkraft), Switzerland (Swiss Re), Luxembourg (Ministère de l'Environnement Luxembourg), Sweden (Göteborg Energi), Finland (SSAB Europe), Austria (Kommunalkredit)</t>
  </si>
  <si>
    <t>9176-0002</t>
  </si>
  <si>
    <t>9176-0003</t>
  </si>
  <si>
    <t>9176-0004</t>
  </si>
  <si>
    <t>9176-0005</t>
  </si>
  <si>
    <t>9176-0006</t>
  </si>
  <si>
    <t>9176-0007</t>
  </si>
  <si>
    <t>9176-0008</t>
  </si>
  <si>
    <t>9176-0009</t>
  </si>
  <si>
    <t>CPA0227.02</t>
  </si>
  <si>
    <t>CPA0227.03</t>
  </si>
  <si>
    <t>CPA0227.04</t>
  </si>
  <si>
    <t>CPA0227.05</t>
  </si>
  <si>
    <t>CPA0227.06</t>
  </si>
  <si>
    <t>CPA0227.07</t>
  </si>
  <si>
    <t>CPA0227.08</t>
  </si>
  <si>
    <t>CPA0227.09</t>
  </si>
  <si>
    <t>Improved Cookstoves Project Activity in Honduras “Vida Mejor con Ecofogones de Alto Rendimiento” – CPA No 002</t>
  </si>
  <si>
    <t>Improved Cookstoves Project Activity in Honduras “Vida Mejor con Ecofogones de Alto Rendimiento” – CPA No 003</t>
  </si>
  <si>
    <t>Improved Cookstoves Project Activity in Honduras “Vida Mejor con Ecofogones de Alto Rendimiento” – CPA No 004</t>
  </si>
  <si>
    <t>Improved Cookstoves Project Activity in Honduras “Vida Mejor con Ecofogones de Alto Rendimiento” – CPA No 005</t>
  </si>
  <si>
    <t>Improved Cookstoves Project Activity in Honduras “Vida Mejor con Ecofogones de Alto Rendimiento” – CPA No 006</t>
  </si>
  <si>
    <t>Improved Cookstoves Project Activity in Honduras “Vida Mejor con Ecofogones de Alto Rendimiento” – CPA No 007</t>
  </si>
  <si>
    <t>Improved Cookstoves Project Activity in Honduras “Vida Mejor con Ecofogones de Alto Rendimiento” – CPA No 008</t>
  </si>
  <si>
    <t>Improved Cookstoves Project Activity in Honduras “Vida Mejor con Ecofogones de Alto Rendimiento” – CPA No 009</t>
  </si>
  <si>
    <t>Replacement of biomass stoves with ICS</t>
  </si>
  <si>
    <t>Envirofit International Ltd</t>
  </si>
  <si>
    <t>CPA0350.03</t>
  </si>
  <si>
    <t>8438-0003</t>
  </si>
  <si>
    <t>Improved Jikos Project -CPA03</t>
  </si>
  <si>
    <t>Naivasha, Timau</t>
  </si>
  <si>
    <t>Promote the use of efficient or improved charcoal stoves</t>
  </si>
  <si>
    <t>Promote and distribute use of Improved Efficient Charcoal Stoves (ECS)</t>
  </si>
  <si>
    <t>CPA0028.03</t>
  </si>
  <si>
    <t>5979-0003</t>
  </si>
  <si>
    <t>CPA-10. Methane recovery and combustion with renewable energy generation from anaerobic animal manure management systems under the Land Bank of the Philippines’ (LBP) Carbon Finance Support Facility</t>
  </si>
  <si>
    <t>Victoria, Tarlac</t>
  </si>
  <si>
    <t>CPA 9889-0002: PoA for Promotion of the Improved Water Mills (IWM) in Nepal</t>
  </si>
  <si>
    <t>CPA0142.02</t>
  </si>
  <si>
    <t>9889-0002</t>
  </si>
  <si>
    <t>CPA0161.05</t>
  </si>
  <si>
    <t>7271-0005</t>
  </si>
  <si>
    <t>Serra Pará Wind Power Plant Complex</t>
  </si>
  <si>
    <t>Serra Pará</t>
  </si>
  <si>
    <t xml:space="preserve">Ecopart Assessoria em Negocios Empresariais Ltda. </t>
  </si>
  <si>
    <t>99 MW wind power plant</t>
  </si>
  <si>
    <t>10320-0001</t>
  </si>
  <si>
    <t>Burkina Faso, Ghana, Mali</t>
  </si>
  <si>
    <t>10320-0002</t>
  </si>
  <si>
    <t>10320-0003</t>
  </si>
  <si>
    <t>Scaling-Up Solar Photovoltaic Power Generation across Africa and the Levant Region (CPA-001)</t>
  </si>
  <si>
    <t>10307-0001</t>
  </si>
  <si>
    <t>CPA0475.02</t>
  </si>
  <si>
    <t>CPA0475.03</t>
  </si>
  <si>
    <t>10307-0002</t>
  </si>
  <si>
    <t>10307-0003</t>
  </si>
  <si>
    <t>CPA0475.04</t>
  </si>
  <si>
    <t>10307-0004</t>
  </si>
  <si>
    <t>Chaharmahal and Bakhtiari</t>
  </si>
  <si>
    <t>West Azarbaiian</t>
  </si>
  <si>
    <t xml:space="preserve">Absardeh Small Scale Hydro Power </t>
  </si>
  <si>
    <t>Azizabad Small Scale Hydro Power</t>
  </si>
  <si>
    <t xml:space="preserve">Doplan Small Scale Hydro Power </t>
  </si>
  <si>
    <t xml:space="preserve">Solehdokal Small Scale Hydro Power </t>
  </si>
  <si>
    <t>10340-0001</t>
  </si>
  <si>
    <t>10340-0002</t>
  </si>
  <si>
    <t>PoA0493</t>
  </si>
  <si>
    <t xml:space="preserve">Renewable Energy Programme of Activities </t>
  </si>
  <si>
    <t>Nkula A Hydropower Plant Retrofit</t>
  </si>
  <si>
    <t>YAI840427GED7AYIRFYOFN9I95UKVR</t>
  </si>
  <si>
    <t>Southern region</t>
  </si>
  <si>
    <t>The overall objective is to encourage the use of renewable energy to meet an increasing demand for electricity in Malawi and reduce carbon emissions.</t>
  </si>
  <si>
    <t>The CPA foresees the retrofit and modernisation of Nkula A Hydropower Plant</t>
  </si>
  <si>
    <t>AMS-I.A.+ACM2+AMS.I.D</t>
  </si>
  <si>
    <t>Hestian</t>
  </si>
  <si>
    <t>1 Stoves, 2 Solar PV</t>
  </si>
  <si>
    <t>CPA0117.02</t>
  </si>
  <si>
    <t>6161-0002</t>
  </si>
  <si>
    <t>DMRC Solar PV Project</t>
  </si>
  <si>
    <t>National Capital Region</t>
  </si>
  <si>
    <t>15 MW grid connected solar photovoltaic plant</t>
  </si>
  <si>
    <t>10341-1</t>
  </si>
  <si>
    <t>CPA0480.03</t>
  </si>
  <si>
    <t>10340-0003</t>
  </si>
  <si>
    <t>Project Gaia Cook Stove Programme of Activities - CPA0003 Ethiopia</t>
  </si>
  <si>
    <t>Promoting energy efficiency in households for Zimbabwe</t>
  </si>
  <si>
    <t xml:space="preserve">Promoting energy efficiency in households for Zimbabwe (CPA 1)
</t>
  </si>
  <si>
    <t>Marondera</t>
  </si>
  <si>
    <t>Sepoc Enterprises Pvt Ltd</t>
  </si>
  <si>
    <t>The energy efficiency programme is targeting nationwide implementation of efficient lighting technologies</t>
  </si>
  <si>
    <t>This CPA aims at replacing the incandescent lamps (baseline lamps) with the Lighting Emitting Diodes (LEDs) (project lamps) in Marondera town</t>
  </si>
  <si>
    <t>10337-0001</t>
  </si>
  <si>
    <t>CPA0493.01</t>
  </si>
  <si>
    <t>PoA0494</t>
  </si>
  <si>
    <t>CPA0494.01</t>
  </si>
  <si>
    <t>Sepoc Enterprises</t>
  </si>
  <si>
    <t>BETLE4ZPQIQY9JU5ZIKAP63NJEINQ5</t>
  </si>
  <si>
    <t>PoA0495</t>
  </si>
  <si>
    <t>CPA0495.01</t>
  </si>
  <si>
    <t>CPA0493-01</t>
  </si>
  <si>
    <t>UHAZ7NYTCLLTKVDINFOBVOKXNPB2CY</t>
  </si>
  <si>
    <t xml:space="preserve">Clean Energy Program Supported by Republic of Korea </t>
  </si>
  <si>
    <t>PoA0496</t>
  </si>
  <si>
    <t>CPA0496.01</t>
  </si>
  <si>
    <t>UHJXQQ0B2YJW343LTK0HS8FF1ZFGF4</t>
  </si>
  <si>
    <t>CPA MM 01</t>
  </si>
  <si>
    <t>10352-0001</t>
  </si>
  <si>
    <t>CPA0492.02</t>
  </si>
  <si>
    <t>CPA0492.03</t>
  </si>
  <si>
    <t>10352-0002</t>
  </si>
  <si>
    <t>10352-0003</t>
  </si>
  <si>
    <t>Tandavanala TsinjoHarena Improved cookstoves in Madagascar-CPA002</t>
  </si>
  <si>
    <t>Tandavanala TsinjoHarena Improved cookstoves in Madagascar-CPA003</t>
  </si>
  <si>
    <t>Amoron'i Mania</t>
  </si>
  <si>
    <t>10355-1</t>
  </si>
  <si>
    <t xml:space="preserve">ECOEYE </t>
  </si>
  <si>
    <t>The objective is to promote dissemination of Improved Cooking Devices</t>
  </si>
  <si>
    <t>Improved heating, drying and cooking devices, biogas digesters</t>
  </si>
  <si>
    <t>CPA0160.02</t>
  </si>
  <si>
    <t>7156-0002</t>
  </si>
  <si>
    <t>Delta 3 Wind Power Plant CPA</t>
  </si>
  <si>
    <t>Maranhão state</t>
  </si>
  <si>
    <t>220.8 MW wind power plant</t>
  </si>
  <si>
    <t>10008-0001</t>
  </si>
  <si>
    <t>CPA0408.07</t>
  </si>
  <si>
    <t>9502-0007</t>
  </si>
  <si>
    <t xml:space="preserve"> 6MW Solar PV power project in Rajasthan by JKLCL</t>
  </si>
  <si>
    <t>6 MW Solar PV</t>
  </si>
  <si>
    <t>PoA491</t>
  </si>
  <si>
    <t>CPA491.01</t>
  </si>
  <si>
    <t>PoA0497</t>
  </si>
  <si>
    <t>CPA0497.01</t>
  </si>
  <si>
    <t>U61XNJJVUE9I8UKFN8IPW5JZYR3RZN</t>
  </si>
  <si>
    <t>Man and Man Enterprise Improved Cooking Stoves CDM Programme in Ghana supported by Republic of Korea</t>
  </si>
  <si>
    <t>Man and Man Enterprise Improved Cooking Stoves CDM Programme
in Ghana supported by Republic of Korea – CPA001</t>
  </si>
  <si>
    <t>Brong-Ahafo Region</t>
  </si>
  <si>
    <t>The objective is to  reduce non-renewable wood fuel consumption and greenhouse gas emissions of users by selling affordable ICSs in replacement of traditional cooking stoves</t>
  </si>
  <si>
    <t>Affordable Improved Cooking Stoves (ICSs)</t>
  </si>
  <si>
    <t>CPA0407.02</t>
  </si>
  <si>
    <t>9863-0002</t>
  </si>
  <si>
    <t>CPA002: Ahmedabad Metro Rail Project Phase -I under MRTS PoA</t>
  </si>
  <si>
    <t>37.928 km of a metro line</t>
  </si>
  <si>
    <t>CPA0109.15</t>
  </si>
  <si>
    <t>5962-0015</t>
  </si>
  <si>
    <t>CPA0109.16</t>
  </si>
  <si>
    <t>5962-0016</t>
  </si>
  <si>
    <t>CPA0109.17</t>
  </si>
  <si>
    <t>5962-0017</t>
  </si>
  <si>
    <t>CPA0109.18</t>
  </si>
  <si>
    <t>5962-0018</t>
  </si>
  <si>
    <t>CPA0109.19</t>
  </si>
  <si>
    <t>5962-0019</t>
  </si>
  <si>
    <t>CPA0109.20</t>
  </si>
  <si>
    <t>5962-0020</t>
  </si>
  <si>
    <t>CPA0109.21</t>
  </si>
  <si>
    <t>5962-0021</t>
  </si>
  <si>
    <t>CPA0109.22</t>
  </si>
  <si>
    <t>5962-0022</t>
  </si>
  <si>
    <t>Chlorine Dispensers in Kenya – CPA 15</t>
  </si>
  <si>
    <t>Chlorine Dispensers in Kenya – CPA 20</t>
  </si>
  <si>
    <t>Chlorine Dispensers in Uganda – CPA 21</t>
  </si>
  <si>
    <t xml:space="preserve"> Chlorine Dispensers in Uganda – CPA 22</t>
  </si>
  <si>
    <t>Chlorine Dispensers in Kenya - CPA 16</t>
  </si>
  <si>
    <t>Chlorine Dispensers in Kenya - CPA 17</t>
  </si>
  <si>
    <t>Chlorine Dispensers in Kenya - CPA 18</t>
  </si>
  <si>
    <t>Chlorine Dispensers in Kenya - CPA 19</t>
  </si>
  <si>
    <t>Migori and Homaba County</t>
  </si>
  <si>
    <t>Rachuonyo South sub-county and Rangwe sub-county</t>
  </si>
  <si>
    <t>Butaleja District</t>
  </si>
  <si>
    <t>Busia District</t>
  </si>
  <si>
    <t>Kakamega County and Vihiga County</t>
  </si>
  <si>
    <t>Busia County and Bungoma County</t>
  </si>
  <si>
    <t>Kakamega County</t>
  </si>
  <si>
    <t>AERA GROUP</t>
  </si>
  <si>
    <t>Switzerland (Additional Energy), Germany (First Climate)</t>
  </si>
  <si>
    <t>CPA0462.02</t>
  </si>
  <si>
    <t>10292-0002</t>
  </si>
  <si>
    <t>Dissemination of improved cook stoves and generation of charcoal, CPA2</t>
  </si>
  <si>
    <t>Assam</t>
  </si>
  <si>
    <t>Dissemination of TLUD cook stoves at subsidized prices</t>
  </si>
  <si>
    <t>CPA0124.10</t>
  </si>
  <si>
    <t>6328-0010</t>
  </si>
  <si>
    <t>CPA – 010: 15 MW Solar PV Power Project, Singrauli, Madhya Pradesh, India</t>
  </si>
  <si>
    <t>15 MW grid connected Solar PV power project</t>
  </si>
  <si>
    <t>PoA0498</t>
  </si>
  <si>
    <t>CPA0498.01</t>
  </si>
  <si>
    <t>M3QPLG76GIGTI7TOR8DLM41LJ3KB9H</t>
  </si>
  <si>
    <t>Peruvian PoA for NCRE projects</t>
  </si>
  <si>
    <t xml:space="preserve">Intipampa Solar PV CPA </t>
  </si>
  <si>
    <t>Moquegua</t>
  </si>
  <si>
    <t>ENGIE Energía Perú S.A.</t>
  </si>
  <si>
    <t>The PoA seeks to foster the implementation of multiple NCRE projects, providing an important contribution to renewable and clean non-conventional alternatives for electricity generation</t>
  </si>
  <si>
    <t>Installation of a Greenfield solar photovoltaic (PV) power plant</t>
  </si>
  <si>
    <t>ENGIE Energia</t>
  </si>
  <si>
    <t>Energy efficiency and renewable energy measures in thermal applications of biomass</t>
  </si>
  <si>
    <t>CPA0499.01</t>
  </si>
  <si>
    <t>PoA0499</t>
  </si>
  <si>
    <t xml:space="preserve">Energy efficiency measures in thermal applications of biomass CPA 1
</t>
  </si>
  <si>
    <t>MARKBYEM1G99K3SQSL8W7M0G750R8W</t>
  </si>
  <si>
    <t>Hestian Innovation Ltd</t>
  </si>
  <si>
    <t>The PoA  introduces efficient thermal energy generation units utilizing non-renewable biomass or retrofitting of existing units</t>
  </si>
  <si>
    <t>The CPA aims to initially disseminate approximately 2 730 improved institutional stoves that are more efficient and use less wood for cooking than the traditional stoves; and to promote improved kitchen and firewood management practices</t>
  </si>
  <si>
    <t>Kenya, Malawi</t>
  </si>
  <si>
    <t>CPA0036.02</t>
  </si>
  <si>
    <t>8480-0002</t>
  </si>
  <si>
    <t>ONIL Stoves —Guatemala – CPA 002</t>
  </si>
  <si>
    <t>Guatamala</t>
  </si>
  <si>
    <t>Installation of 11148 ONIL Stoves</t>
  </si>
  <si>
    <t>9572-0008</t>
  </si>
  <si>
    <t>Nepal Biogas Support Program - CPA 8: 19,445 digesters</t>
  </si>
  <si>
    <t>CPA0435.03</t>
  </si>
  <si>
    <t>CPA0435.04</t>
  </si>
  <si>
    <t>9948-0003</t>
  </si>
  <si>
    <t>9948-0004</t>
  </si>
  <si>
    <t>Impact Carbon Global Safe Water Programme of Activities (PoA): CPA 3</t>
  </si>
  <si>
    <t>Impact Carbon Global Safe Water Programme of Activities (PoA): CPA 4</t>
  </si>
  <si>
    <t>CPA0110.09</t>
  </si>
  <si>
    <t>9956-0009</t>
  </si>
  <si>
    <t>CPA0110.10</t>
  </si>
  <si>
    <t>9956-0010</t>
  </si>
  <si>
    <t>CPA0110.11</t>
  </si>
  <si>
    <t>9956-0011</t>
  </si>
  <si>
    <t>CPA0110.12</t>
  </si>
  <si>
    <t>9956-0012</t>
  </si>
  <si>
    <t>Up Energy Improved Cookstoves Programme, Uganda - CPA No 009</t>
  </si>
  <si>
    <t>Up Energy Improved Cookstoves Programme, Uganda - CPA No 010</t>
  </si>
  <si>
    <t>Up Energy Improved Cookstoves Programme, Uganda - CPA No 011</t>
  </si>
  <si>
    <t>Up Energy Improved Cookstoves Programme, Uganda - CPA No 012</t>
  </si>
  <si>
    <t>CPA0433.02</t>
  </si>
  <si>
    <t>10124-0002</t>
  </si>
  <si>
    <t>CDM Sustainable Energy Project Dakar 2, Version 01.</t>
  </si>
  <si>
    <t>15,440 highly efficient and durable cooking systems</t>
  </si>
  <si>
    <t>CPA0479.02</t>
  </si>
  <si>
    <t>10286-0002</t>
  </si>
  <si>
    <t xml:space="preserve">Assú V Solar Power Plant </t>
  </si>
  <si>
    <t>Wind &amp; Solar</t>
  </si>
  <si>
    <t xml:space="preserve">The CPA consists of a 30 MW solar power plant with an estimated energy generation of 84,805 MWh/year </t>
  </si>
  <si>
    <t>CPA0469.02</t>
  </si>
  <si>
    <t>10268-0002</t>
  </si>
  <si>
    <t>NBP Ethiopia Domestic Biogas Plants CPA 2</t>
  </si>
  <si>
    <t>NBP Ethiopia Domestic Biogas Plants CPA 1</t>
  </si>
  <si>
    <t>13250 Domestic biogas plants to be installed in rural areas of Ethiopia.</t>
  </si>
  <si>
    <t>CPA0460.02</t>
  </si>
  <si>
    <t>10186-0002</t>
  </si>
  <si>
    <t>Accelerating Electrification through Grid Extension and off-grid electrification in Rural Areas of Uganda CPA 2</t>
  </si>
  <si>
    <t>CPA0452.07</t>
  </si>
  <si>
    <t>10182-0007</t>
  </si>
  <si>
    <t>CPA0452.08</t>
  </si>
  <si>
    <t>10182-0008</t>
  </si>
  <si>
    <t>CPA0452.09</t>
  </si>
  <si>
    <t>10182-0009</t>
  </si>
  <si>
    <t>CPA0452.10</t>
  </si>
  <si>
    <t>10182-0010</t>
  </si>
  <si>
    <t>CPA0452.11</t>
  </si>
  <si>
    <t>10182-0011</t>
  </si>
  <si>
    <t>CPA0452.12</t>
  </si>
  <si>
    <t>10182-0012</t>
  </si>
  <si>
    <t>CPA0452.13</t>
  </si>
  <si>
    <t>10182-0013</t>
  </si>
  <si>
    <t>CPA0452.14</t>
  </si>
  <si>
    <t>10182-0014</t>
  </si>
  <si>
    <t>CPA0452.15</t>
  </si>
  <si>
    <t>10182-0015</t>
  </si>
  <si>
    <t>CPA0452.16</t>
  </si>
  <si>
    <t>10182-0016</t>
  </si>
  <si>
    <t>CPA0452.17</t>
  </si>
  <si>
    <t>10182-0017</t>
  </si>
  <si>
    <t>CPA0452.18</t>
  </si>
  <si>
    <t>10182-0018</t>
  </si>
  <si>
    <t>CPA0452.19</t>
  </si>
  <si>
    <t>10182-0019</t>
  </si>
  <si>
    <t>CPA0452.20</t>
  </si>
  <si>
    <t>10182-0020</t>
  </si>
  <si>
    <t>CPA0452.21</t>
  </si>
  <si>
    <t>10182-0021</t>
  </si>
  <si>
    <t>CPA0452.22</t>
  </si>
  <si>
    <t>10182-0022</t>
  </si>
  <si>
    <t>CPA0452.23</t>
  </si>
  <si>
    <t>10182-0023</t>
  </si>
  <si>
    <t>CPA0452.24</t>
  </si>
  <si>
    <t>10182-0024</t>
  </si>
  <si>
    <t>CPA0452.25</t>
  </si>
  <si>
    <t>10182-0025</t>
  </si>
  <si>
    <t>Malawi Biomass Energy Conservation Programme CPA 7</t>
  </si>
  <si>
    <t>Malawi Biomass Energy Conservation Programme CPA 13</t>
  </si>
  <si>
    <t>The CPA aims to initially disseminate approximately 21,116 improved cookstoves</t>
  </si>
  <si>
    <t xml:space="preserve">Malawi Biomass Energy Conservation Programme CPA 15 </t>
  </si>
  <si>
    <t>The CPA aims to initially disseminate approximately 21,106 improved cookstoves</t>
  </si>
  <si>
    <t xml:space="preserve">Malawi Biomass Energy Conservation Programme CPA 14 </t>
  </si>
  <si>
    <t xml:space="preserve">Malawi Biomass Energy Conservation Programme CPA 16 </t>
  </si>
  <si>
    <t xml:space="preserve">Malawi Biomass Energy Conservation Programme CPA 17 </t>
  </si>
  <si>
    <t xml:space="preserve">Malawi Biomass Energy Conservation Programme CPA 18 </t>
  </si>
  <si>
    <t xml:space="preserve">Malawi Biomass Energy Conservation Programme CPA 19 </t>
  </si>
  <si>
    <t xml:space="preserve">Malawi Biomass Energy Conservation Programme CPA 20 </t>
  </si>
  <si>
    <t xml:space="preserve">Malawi Biomass Energy Conservation Programme CPA 21 </t>
  </si>
  <si>
    <t xml:space="preserve">Malawi Biomass Energy Conservation Programme CPA 22 </t>
  </si>
  <si>
    <t xml:space="preserve">Malawi Biomass Energy Conservation Programme CPA 23 </t>
  </si>
  <si>
    <t xml:space="preserve">Malawi Biomass Energy Conservation Programme CPA 24 </t>
  </si>
  <si>
    <t xml:space="preserve">Malawi Biomass Energy Conservation Programme CPA 25 </t>
  </si>
  <si>
    <t xml:space="preserve">Malawi Biomass Energy Conservation Programme CPA 8 </t>
  </si>
  <si>
    <t xml:space="preserve">Malawi Biomass Energy Conservation Programme CPA 9 </t>
  </si>
  <si>
    <t xml:space="preserve">Malawi Biomass Energy Conservation Programme CPA 10 </t>
  </si>
  <si>
    <t xml:space="preserve"> Malawi Biomass Energy Conservation Programme CPA 11 </t>
  </si>
  <si>
    <t xml:space="preserve">Malawi Biomass Energy Conservation Programme CPA 12 </t>
  </si>
  <si>
    <t>Accelerating Electrification through Grid Extension and Off-Grid Electrification in Rural Areas of Uganda</t>
  </si>
  <si>
    <t>Norway (Differ), Sweden (Government of Sweden), Germany (Stiftung Zukunft des Kohlenstoffmarktes)</t>
  </si>
  <si>
    <t>3 Oil to LPG, 3 Run of river, 1 Solar &amp; wind &amp; hydro</t>
  </si>
  <si>
    <t>3 Stoves, 1 Landfill power, 1 Composting, 1 Solar &amp; wind &amp; other</t>
  </si>
  <si>
    <t>1 Solar lamps, 6 Stoves, 1 Solar &amp; wind &amp; hydro</t>
  </si>
  <si>
    <t>1 Lighting</t>
  </si>
  <si>
    <t>CPA0035.10</t>
  </si>
  <si>
    <t>6810-0010</t>
  </si>
  <si>
    <t>CPA0035.11</t>
  </si>
  <si>
    <t>6810-0011</t>
  </si>
  <si>
    <t>CPA0035.12</t>
  </si>
  <si>
    <t>6810-0012</t>
  </si>
  <si>
    <t>CPA0035.13</t>
  </si>
  <si>
    <t>6810-0013</t>
  </si>
  <si>
    <t>CPA10_Than Giap Hydropower Project</t>
  </si>
  <si>
    <t>CPA11_Muong Khuong Hydropower Project</t>
  </si>
  <si>
    <t>CPA12_Muong Hung Hydropower Project</t>
  </si>
  <si>
    <t>CPA13_Xuan Minh Hydropower Project</t>
  </si>
  <si>
    <t>Than Giap</t>
  </si>
  <si>
    <t>Muong Khuong</t>
  </si>
  <si>
    <t>8.2MW run of river hydropower plant</t>
  </si>
  <si>
    <t>Muong Hung</t>
  </si>
  <si>
    <t>24MW run of river hydropower plant</t>
  </si>
  <si>
    <t>Xuan Minh</t>
  </si>
  <si>
    <t>15MW run of river hydropower plant</t>
  </si>
  <si>
    <t>PoA0500</t>
  </si>
  <si>
    <t>CPA0500.01</t>
  </si>
  <si>
    <t>4WK33KSPNYV9LVY46IXR8TAFZPVDB7</t>
  </si>
  <si>
    <t xml:space="preserve">Sustainable Fuelwood and Microgasification Cooking Solutions for rural and urban Households </t>
  </si>
  <si>
    <t>Sustainable Fuelwood and Microgasification Cooking
Solutions for rural and urban Households – CPA1</t>
  </si>
  <si>
    <t>CPA0500.02</t>
  </si>
  <si>
    <t>Sustainable Fuelwood and Microgasification Cooking
Solutions for rural and urban Households – CPA2</t>
  </si>
  <si>
    <t>CPA0028.04</t>
  </si>
  <si>
    <t>5979-0004</t>
  </si>
  <si>
    <t>CPA0028.05</t>
  </si>
  <si>
    <t>5979-0005</t>
  </si>
  <si>
    <t>CPA0028.06</t>
  </si>
  <si>
    <t>5979-0006</t>
  </si>
  <si>
    <t>CPA0028.07</t>
  </si>
  <si>
    <t>5979-0007</t>
  </si>
  <si>
    <t>CPA0028.08</t>
  </si>
  <si>
    <t>5979-0008</t>
  </si>
  <si>
    <t>CPA0028.09</t>
  </si>
  <si>
    <t>5979-0009</t>
  </si>
  <si>
    <t>CPA0028.10</t>
  </si>
  <si>
    <t>5979-0010</t>
  </si>
  <si>
    <t>CPA0028.11</t>
  </si>
  <si>
    <t>5979-0011</t>
  </si>
  <si>
    <t>CPA0028.12</t>
  </si>
  <si>
    <t>5979-0012</t>
  </si>
  <si>
    <t>CPA-3. Methane recovery and combustion with renewable energy generation from anaerobic animal manure management systems under the Land Bank of the Philippines’ (LBP) Carbon Finance Support Facility</t>
  </si>
  <si>
    <t>CPA-19. Methane recovery and combustion with renewable energy generation from anaerobic animal manure management systems under the Land Bank of the Philippines’ (LBP) Carbon Finance Support Facility</t>
  </si>
  <si>
    <t>CPA-20. Methane recovery and combustion with renewable energy generation from anaerobic animal manure management systems under the Land Bank of the Philippines’ (LBP) Carbon Finance Support Facility</t>
  </si>
  <si>
    <t>CPA-21. Methane recovery and combustion with renewable energy generation from anaerobic animal manure management systems under the Land Bank of the Philippines’ (LBP) Carbon Finance Support Facility</t>
  </si>
  <si>
    <t>CPA-22. Methane recovery and combustion with renewable energy generation from anaerobic animal manure management systems under the Land Bank of the Philippines’ (LBP) Carbon Finance Support Facility</t>
  </si>
  <si>
    <t>CPA-23. Methane recovery and combustion with renewable energy generation from anaerobic animal manure management systems under the Land Bank of the Philippines’ (LBP) Carbon Finance Support Facility</t>
  </si>
  <si>
    <t>CPA-24. Methane recovery and combustion with renewable energy generation from anaerobic animal manure management systems under the Land Bank of the Philippines’ (LBP) Carbon Finance Support Facility</t>
  </si>
  <si>
    <t>CPA-28. Methane recovery and combustion with renewable energy generation from anaerobic animal manure management systems under the Land Bank of the Philippines’ (LBP) Carbon Finance Support Facility</t>
  </si>
  <si>
    <t>CPA-29. Methane recovery and combustion with renewable energy generation from anaerobic animal manure management systems under the Land Bank of the Philippines’ (LBP) Carbon Finance Support Facility</t>
  </si>
  <si>
    <t>Ilocos Norte</t>
  </si>
  <si>
    <t>Camarines
Sur</t>
  </si>
  <si>
    <t>Cagayan</t>
  </si>
  <si>
    <t>Cebu</t>
  </si>
  <si>
    <t>Bontoc</t>
  </si>
  <si>
    <t>Bukidnon</t>
  </si>
  <si>
    <t>Isabela</t>
  </si>
  <si>
    <t>CPA0408.08</t>
  </si>
  <si>
    <t>9502-0008</t>
  </si>
  <si>
    <t xml:space="preserve">10 MW Solar PV power project at NTPC Talcher - Kaniha: CPA S008 </t>
  </si>
  <si>
    <t>CPA0422.06</t>
  </si>
  <si>
    <t>9705-0006</t>
  </si>
  <si>
    <t>CPA0422.07</t>
  </si>
  <si>
    <t>9705-0007</t>
  </si>
  <si>
    <t>CPA0422.08</t>
  </si>
  <si>
    <t>9705-0008</t>
  </si>
  <si>
    <t xml:space="preserve">1.4MW Gomale Oya Small Hydropower Project &lt;2016-GMO-007-1.4MW&gt; </t>
  </si>
  <si>
    <t>Install a run-of-river hydropower plant with a capacity of 3.25MW using water flow_x000D_</t>
  </si>
  <si>
    <t>Install a run-of-river hydropower plant with a capacity of 3MW using water flow_x000D_</t>
  </si>
  <si>
    <t>Install a run-of-river hydropower plant with a capacity of 2MW using water flow_x000D_</t>
  </si>
  <si>
    <t>Install a run-of-river hydropower plant with a capacity of 3.8MW using water flow_x000D_</t>
  </si>
  <si>
    <t>Install a run-of-river hydropower plant with a capacity of 10MW using water flow_x000D_</t>
  </si>
  <si>
    <t>Sabaragamuwa</t>
  </si>
  <si>
    <t xml:space="preserve">1.5MW Moragaha Oya Small Hydropower Project &lt;2016-MOR-008-1.5MW&gt; </t>
  </si>
  <si>
    <t>Kandy</t>
  </si>
  <si>
    <t>Install a run-of-river hydropower plant with a capacity of 1.5MW using water flow_x000D_</t>
  </si>
  <si>
    <t xml:space="preserve">1.9MW Upper Hulu Ganga Small Hydropower Project &lt;2016-UHG-009-1.9MW&gt; </t>
  </si>
  <si>
    <t>Install a run-of-river hydropower plant with a capacity of 1.9MW using water flow_x000D_</t>
  </si>
  <si>
    <t>CPA0435.05</t>
  </si>
  <si>
    <t>9948-0005</t>
  </si>
  <si>
    <t>Impact Carbon Global Safe Water Programme of Activities (PoA): CPA 5</t>
  </si>
  <si>
    <t>CPA0435.06</t>
  </si>
  <si>
    <t>9948-0006</t>
  </si>
  <si>
    <t>Impact Carbon Global Safe Water Programme of Activities (PoA): CPA 6</t>
  </si>
  <si>
    <t>CPA0435.07</t>
  </si>
  <si>
    <t>9948-0007</t>
  </si>
  <si>
    <t>Impact Carbon Global Safe Water Programme of Activities (PoA): CPA 7</t>
  </si>
  <si>
    <t>CPA0435.08</t>
  </si>
  <si>
    <t>9948-0008</t>
  </si>
  <si>
    <t>Impact Carbon Global Safe Water Programme of Activities (PoA): CPA 8</t>
  </si>
  <si>
    <t>CPA0435.09</t>
  </si>
  <si>
    <t>9948-0009</t>
  </si>
  <si>
    <t>Impact Carbon Global Safe Water Programme of Activities (PoA): CPA 9</t>
  </si>
  <si>
    <t>CPA0435.10</t>
  </si>
  <si>
    <t>9948-0010</t>
  </si>
  <si>
    <t>Impact Carbon Global Safe Water Programme of Activities (PoA): CPA 10</t>
  </si>
  <si>
    <t>CPA0435.11</t>
  </si>
  <si>
    <t>9948-0011</t>
  </si>
  <si>
    <t>Impact Carbon Global Safe Water Programme of Activities (PoA): CPA 11</t>
  </si>
  <si>
    <t>CPA0435.12</t>
  </si>
  <si>
    <t>9948-0012</t>
  </si>
  <si>
    <t>Impact Carbon Global Safe Water Programme of Activities (PoA): CPA 12</t>
  </si>
  <si>
    <t>CPA0435.13</t>
  </si>
  <si>
    <t>9948-0013</t>
  </si>
  <si>
    <t>Impact Carbon Global Safe Water Programme of Activities (PoA): CPA 13</t>
  </si>
  <si>
    <t>CPA0479.03</t>
  </si>
  <si>
    <t>10286-0003</t>
  </si>
  <si>
    <t>CPA0479.04</t>
  </si>
  <si>
    <t>10286-0004</t>
  </si>
  <si>
    <t>Floresta Solar Power Complex</t>
  </si>
  <si>
    <t xml:space="preserve">Paracatu Solar Power Complex </t>
  </si>
  <si>
    <t>The CPA consists of a 132MW solar power plant</t>
  </si>
  <si>
    <t xml:space="preserve">The CPA consists of a 86 MW solar power plant </t>
  </si>
  <si>
    <t>Rubavu District</t>
  </si>
  <si>
    <t>The PoA distributes highly efficient microgasifcation cook stoves and pellets to households</t>
  </si>
  <si>
    <t>The CPA aims at disseminating microgasification cookstoves burning fuelwood pellets very efficiently and clean.</t>
  </si>
  <si>
    <t>Inyenyeri</t>
  </si>
  <si>
    <t>CPA0501.01</t>
  </si>
  <si>
    <t xml:space="preserve">Promoting energy efficiency in households for Zimbabwe </t>
  </si>
  <si>
    <t>7P1K5434XTPKX5RH4V2M2FKCJPVQZZ</t>
  </si>
  <si>
    <t>Promoting energy efficiency in households for Zimbabwe (CPA 1)</t>
  </si>
  <si>
    <t>The PoA targets nationwide implementation of efficient lighting technologies</t>
  </si>
  <si>
    <t>The CPA will employ quality long life self-ballasted (integrated) LEDs as replacement for incandescent lamps (ICL) and CFL in residential households.</t>
  </si>
  <si>
    <t>CPA0185.05</t>
  </si>
  <si>
    <t>5341-0005</t>
  </si>
  <si>
    <t>CPA0185.06</t>
  </si>
  <si>
    <t>5341-0006</t>
  </si>
  <si>
    <t>CPA0185.07</t>
  </si>
  <si>
    <t>5341-0007</t>
  </si>
  <si>
    <t>Improved Cooking Stoves Programme of Activities in Africa – CPA No. 00005 (Kenya)</t>
  </si>
  <si>
    <t>Improved Cooking Stoves Programme of Activities in Africa – CPA No. 00006 (Kenya)</t>
  </si>
  <si>
    <t>Improved Cooking Stoves Programme of Activities in Africa – CPA No. 00007 (Kenya)</t>
  </si>
  <si>
    <t>CPA0184.64</t>
  </si>
  <si>
    <t>7359-0064</t>
  </si>
  <si>
    <t>CPA0184.65</t>
  </si>
  <si>
    <t>7359-0065</t>
  </si>
  <si>
    <t xml:space="preserve"> CPA-KE-011 Kenya Ecoeye Mombasa project</t>
  </si>
  <si>
    <t xml:space="preserve"> CPA-KE-010 Kenya Samsung Mombasa project</t>
  </si>
  <si>
    <t>Mombasa</t>
  </si>
  <si>
    <t>Replace non-renewable fuel with renewable fuel in initially 2000 households</t>
  </si>
  <si>
    <t>Replace non-renewable fuel with renewable fuel in initially 10,000 households</t>
  </si>
  <si>
    <t>CPA0435.14</t>
  </si>
  <si>
    <t>9948-0014</t>
  </si>
  <si>
    <t>CPA0435.15</t>
  </si>
  <si>
    <t>9948-0015</t>
  </si>
  <si>
    <t>CPA0435.16</t>
  </si>
  <si>
    <t>9948-0016</t>
  </si>
  <si>
    <t>CPA0435.17</t>
  </si>
  <si>
    <t>9948-0017</t>
  </si>
  <si>
    <t>CPA0435.18</t>
  </si>
  <si>
    <t>9948-0018</t>
  </si>
  <si>
    <t>CPA0435.19</t>
  </si>
  <si>
    <t>9948-0019</t>
  </si>
  <si>
    <t>CPA0435.20</t>
  </si>
  <si>
    <t>9948-0020</t>
  </si>
  <si>
    <t>CPA0435.21</t>
  </si>
  <si>
    <t>9948-0021</t>
  </si>
  <si>
    <t>CPA0435.22</t>
  </si>
  <si>
    <t>9948-0022</t>
  </si>
  <si>
    <t>Impact Carbon Global Safe Water Programme of Activities (PoA): CPA 14</t>
  </si>
  <si>
    <t xml:space="preserve"> Impact Carbon Global Safe Water Programme of Activities (PoA): CPA 15</t>
  </si>
  <si>
    <t xml:space="preserve"> Impact Carbon Global Safe Water Programme of Activities (PoA): CPA 16</t>
  </si>
  <si>
    <t>Impact Carbon Global Safe Water Programme of Activities (PoA): CPA 17</t>
  </si>
  <si>
    <t>Impact Carbon Global Safe Water Programme of Activities (PoA): CPA 18</t>
  </si>
  <si>
    <t>Impact Carbon Global Safe Water Programme of Activities (PoA): CPA 19</t>
  </si>
  <si>
    <t>Impact Carbon Global Safe Water Programme of Activities (PoA): CPA 21</t>
  </si>
  <si>
    <t xml:space="preserve"> Impact Carbon Global Safe Water Programme of Activities (PoA): CPA 20</t>
  </si>
  <si>
    <t xml:space="preserve"> Impact Carbon Global Safe Water Programme of Activities (PoA): CPA 22</t>
  </si>
  <si>
    <t>Norway (Differ), Germany (Stiftung Zukunft des Kohlenstoffmarktes)</t>
  </si>
  <si>
    <t>TÜV-NORD</t>
  </si>
  <si>
    <t>AMS-II.J.+ASB1</t>
  </si>
  <si>
    <t>10285-0002</t>
  </si>
  <si>
    <t>CPA0182.09</t>
  </si>
  <si>
    <t>9904-0009</t>
  </si>
  <si>
    <t>CPA0470.02</t>
  </si>
  <si>
    <t>CPA0407.03</t>
  </si>
  <si>
    <t>9863-0003</t>
  </si>
  <si>
    <t>CPA0028.13</t>
  </si>
  <si>
    <t>CPA0028.14</t>
  </si>
  <si>
    <t>CPA0028.15</t>
  </si>
  <si>
    <t>5979-0013</t>
  </si>
  <si>
    <t>5979-0014</t>
  </si>
  <si>
    <t>5979-0015</t>
  </si>
  <si>
    <t>CPA-11. Methane recovery and combustion with renewable energy generation from anaerobic animal manure management systems under the Land Bank of the Philippines’ (LBP) Carbon Finance Support Facility</t>
  </si>
  <si>
    <t>CPA-12. Methane recovery and combustion with renewable energy generation from anaerobic animal manure management systems under the Land Bank of the Philippines’ (LBP) Carbon Finance Support Facility</t>
  </si>
  <si>
    <t>CPA-27. Methane recovery and combustion with renewable energy generation from anaerobic animal manure management systems under the Land Bank of the Philippines’ (LBP) Carbon Finance Support Facility</t>
  </si>
  <si>
    <t>Tarlac</t>
  </si>
  <si>
    <t>Pampanga</t>
  </si>
  <si>
    <t>Tugbok</t>
  </si>
  <si>
    <t>CPA 3: Inclusion of Mumbai Metro Rail Corporation Limited Colaba-Bandra-Seepz corridor under MRTS POA</t>
  </si>
  <si>
    <t>33.508 km of a metro line</t>
  </si>
  <si>
    <t>Darakuta Mini Hydro Project</t>
  </si>
  <si>
    <t>Manyara</t>
  </si>
  <si>
    <t>Run-of-the-river hydroelectric power plant with a generation of 1,470 MWh annually</t>
  </si>
  <si>
    <t>DBE Off-grid renewable energy solar home system CPA 1</t>
  </si>
  <si>
    <t>This CPA will include approximately 15,797 SHS to be installed in Ethiopia</t>
  </si>
  <si>
    <t>Australia (World Vision Australia), Sweden (Government of Sweden)</t>
  </si>
  <si>
    <t>France (Solvay)</t>
  </si>
  <si>
    <t>Denmark (Danish Ministry of Climate &amp; Energy), Norway (Norwegian Ministry of Finance), Spain (Government of Spain), Sweden (Government of Sweden)</t>
  </si>
  <si>
    <t>Denmark (Danish Ministry of Climate &amp; Energy), Austria (Kommunalkredit)</t>
  </si>
  <si>
    <t>CPA0062.09</t>
  </si>
  <si>
    <t>7014-0009</t>
  </si>
  <si>
    <t>Germany (Commerzbank), Switzerland (Gold Standard)</t>
  </si>
  <si>
    <t xml:space="preserve">CPA 003 – BioLite HomeStove in Kenya </t>
  </si>
  <si>
    <t xml:space="preserve">CPA 004 – BioLite HomeStove in Kenya </t>
  </si>
  <si>
    <t xml:space="preserve">CPA 005 – BioLite HomeStove in Kenya </t>
  </si>
  <si>
    <t xml:space="preserve">CPA 006 – BioLite HomeStove in Kenya </t>
  </si>
  <si>
    <t>CPA 007 – BioLite HomeStove in Uganda</t>
  </si>
  <si>
    <t>CPA0171.03</t>
  </si>
  <si>
    <t>7997-0003</t>
  </si>
  <si>
    <t>CPA0171.04</t>
  </si>
  <si>
    <t>7997-0004</t>
  </si>
  <si>
    <t>CPA0171.05</t>
  </si>
  <si>
    <t>7997-0005</t>
  </si>
  <si>
    <t>CPA0171.06</t>
  </si>
  <si>
    <t>7997-0006</t>
  </si>
  <si>
    <t>CPA0171.07</t>
  </si>
  <si>
    <t>7997-0007</t>
  </si>
  <si>
    <t>India, Kenya, Uganda</t>
  </si>
  <si>
    <t>BioLite India Private Limited </t>
  </si>
  <si>
    <t>Distribution of domestic fuel efficient cook stoves</t>
  </si>
  <si>
    <t>Aid Africa Uganda CPA 1 (AAUg01)</t>
  </si>
  <si>
    <t>Denmark (Danish Ministry of Climate &amp; Energy+DONG+Maersk+Aalborg Portland)</t>
  </si>
  <si>
    <t>CPA0502.01</t>
  </si>
  <si>
    <t>Improved cookstove program in Bangladesh supported by the Republic of Korea</t>
  </si>
  <si>
    <t>0CQ93VYA03J9GMXFUTLWFTBNSBAIWO</t>
  </si>
  <si>
    <t>Improved cookstove program in Bangladesh supported by the
Republic of Korea – CPA 01</t>
  </si>
  <si>
    <t>CPA0028.16</t>
  </si>
  <si>
    <t>5979-0016</t>
  </si>
  <si>
    <t>CPA0028.17</t>
  </si>
  <si>
    <t>5979-0017</t>
  </si>
  <si>
    <t>CPA-34. Methane recovery and combustion with renewable energy generation from anaerobic animal manure management systems under the Land Banks of the Philippines’ (LBP) Carbon Finance Support Facility</t>
  </si>
  <si>
    <t>CPA-42. Methane recovery and combustion with renewable energy generation from anaerobic animal manure management systems under the Land Bank of the Philippines’ (LBP) Carbon Finance Support Facility</t>
  </si>
  <si>
    <t>Oroquieta</t>
  </si>
  <si>
    <t>CPA0184.66</t>
  </si>
  <si>
    <t>7359-0066</t>
  </si>
  <si>
    <t>CPA-KE-012 Kenya Samsung project</t>
  </si>
  <si>
    <t>CPA0470.03</t>
  </si>
  <si>
    <t>10285-0003</t>
  </si>
  <si>
    <t>DBE Off-grid renewable energy solar lamps CPA 2</t>
  </si>
  <si>
    <t>This CPA will include approximately 454,344 solar lamps to be installed in Ethiopia</t>
  </si>
  <si>
    <t>CPA0479.05</t>
  </si>
  <si>
    <t>10286-0005</t>
  </si>
  <si>
    <t xml:space="preserve">The CPA consists of a 326.7 MW wind farm complex </t>
  </si>
  <si>
    <t>EcoEye</t>
  </si>
  <si>
    <t>Widespread adoption of ICS to households across Bangladesh.</t>
  </si>
  <si>
    <t xml:space="preserve">Earthhood </t>
  </si>
  <si>
    <t>CPA0028.18</t>
  </si>
  <si>
    <t>5979-0018</t>
  </si>
  <si>
    <t>CPA-47. Methane recovery and combustion with renewable energy generation from anaerobic animal manure management systems under the Land Bank of the Philippines’ (LBP) Carbon Finance Support Facility</t>
  </si>
  <si>
    <t>PoA0502</t>
  </si>
  <si>
    <t>PoA0501</t>
  </si>
  <si>
    <t>PoA0503</t>
  </si>
  <si>
    <t>CPA0503.01</t>
  </si>
  <si>
    <t xml:space="preserve">Colombia Photovoltaic Incentive Programme </t>
  </si>
  <si>
    <t>WT5GZS68YLDF84YQ6O266PIORE5KL2</t>
  </si>
  <si>
    <t>SSC CPA1</t>
  </si>
  <si>
    <t>PoA0504</t>
  </si>
  <si>
    <t>CPA0504.01</t>
  </si>
  <si>
    <t xml:space="preserve">Programme of Activities for Small Scale Solar and Wind Power Generation in Sri Lanka </t>
  </si>
  <si>
    <t>DSZSNA6Q8U6F9GIY2PCZWSQ7A3MHEA</t>
  </si>
  <si>
    <t>10MW Solar One Ceylon (Pudukadumalai) Solar Power Project</t>
  </si>
  <si>
    <t>10MW Nedunkulam Solar Power Project</t>
  </si>
  <si>
    <t>10MW Anorchi (Baruthankanda) Solar Power Project</t>
  </si>
  <si>
    <t>Iris (Baruthankanda) Solar Power Project</t>
  </si>
  <si>
    <t>CPA0504.02</t>
  </si>
  <si>
    <t>CPA0504.03</t>
  </si>
  <si>
    <t>CPA0504.04</t>
  </si>
  <si>
    <t>PoA0505</t>
  </si>
  <si>
    <t>CPA0505.01</t>
  </si>
  <si>
    <t xml:space="preserve">The Haidar El Ali Mangrove Initiative (HEAMI) </t>
  </si>
  <si>
    <t>SWXCMYHCILVLT7A2QTEK0VTT3OUJEL</t>
  </si>
  <si>
    <t>The Haidar El Ali Mangrove Initiative (HEAMI). CPA 1</t>
  </si>
  <si>
    <t>CCSC</t>
  </si>
  <si>
    <t>10375-1</t>
  </si>
  <si>
    <t>Temporary Union “Bonos Fotovoltaicos”</t>
  </si>
  <si>
    <t>The PoA aims to promote the implementation of photovoltaic (PV) power generation</t>
  </si>
  <si>
    <t>The CPA generates renewable electric energy</t>
  </si>
  <si>
    <t>Koho Trading &amp; Consultancy (Private) Limited</t>
  </si>
  <si>
    <t>The PoA involves implementation of small-scale solar and wind projects</t>
  </si>
  <si>
    <t>The project activity is the installation of a new grid-connected 10 MW solar photovoltaic (PV) power plant</t>
  </si>
  <si>
    <t>EPIC Sustainability Services Pvt. Ltd.</t>
  </si>
  <si>
    <t>Guinea-Bissau, Gambia</t>
  </si>
  <si>
    <t>The PoA is a plan for the reforestation of the degraded lands in the mangrove patches</t>
  </si>
  <si>
    <t>The CPA will establish a total of 2,000 ha of plantations</t>
  </si>
  <si>
    <t>Oceanium</t>
  </si>
  <si>
    <t>AMS-I.A.+ACM2+AMS-I.F.+AMS-I.D.</t>
  </si>
  <si>
    <t>2 Oil field flaring reduction, 1 Run of river, 1 Landfill flaring, 1 Solar PV</t>
  </si>
  <si>
    <t>1 Lighting, 2 Stoves, 1 Textiles, 2 Building materials, 1 Water purification, 1 Biogas from MSW, 1 Domestic manure, 1 Composting, 1 Solar PV</t>
  </si>
  <si>
    <t>1 Agricultural residues: other kinds, 1 Forest residues: other, 1 Run of river, 1 Landfill composting, 1 Solar &amp; wind</t>
  </si>
  <si>
    <t>1 Lighting, 2 Stoves, 1 Reforestation, 1 Solar PV</t>
  </si>
  <si>
    <t>“Inyenyeri” A Rwandan Social Benefit Company</t>
  </si>
  <si>
    <t>AMS-II.G.+AMS-I.E.</t>
  </si>
  <si>
    <t>Latam Landfill PoA</t>
  </si>
  <si>
    <t>PoA0506</t>
  </si>
  <si>
    <t>CPA0506.01</t>
  </si>
  <si>
    <t>CB6JG08HSVIOVTI2SSVS5OEV5F79VR</t>
  </si>
  <si>
    <t>PoA0507</t>
  </si>
  <si>
    <t>CPA0507.01</t>
  </si>
  <si>
    <t xml:space="preserve">SHINE – Distribution of LED Lightbulbs in India </t>
  </si>
  <si>
    <t>LVHQHYFKDG1MUQ2R7SI4MKGARZZCFC</t>
  </si>
  <si>
    <t>SHINE – Distribution of LED Lightbulbs in India-1</t>
  </si>
  <si>
    <t>CPA0171.08</t>
  </si>
  <si>
    <t>7997-0008</t>
  </si>
  <si>
    <t>CPA0171.09</t>
  </si>
  <si>
    <t>7997-0009</t>
  </si>
  <si>
    <t>CPA0171.10</t>
  </si>
  <si>
    <t>7997-0010</t>
  </si>
  <si>
    <t>CPA 008 – Charcoal Stoves in Kenya</t>
  </si>
  <si>
    <t>CPA 009 – Charcoal Stoves in Kenya</t>
  </si>
  <si>
    <t xml:space="preserve"> CPA 010 – Charcoal Stoves in Kenya</t>
  </si>
  <si>
    <t>BENG Engenharia Ltda.</t>
  </si>
  <si>
    <t>The objective to avoid emission of Greenhouse Gases (GHG) through collection, flaring/combustion and energy use of the LFG</t>
  </si>
  <si>
    <t>Brightspark Energy Private Limited</t>
  </si>
  <si>
    <t>Distribution of LED Lightbulbs in India to reduce fossil-fuel based electricity consumption for lighting</t>
  </si>
  <si>
    <t xml:space="preserve">Distribution of Light Emitting Diodes (LEDs) for domestic lighting in the households, small &amp; medium enterprises (SMEs) </t>
  </si>
  <si>
    <t>Telangana</t>
  </si>
  <si>
    <t>CPA not available</t>
  </si>
  <si>
    <t xml:space="preserve"> BENG Engenharia</t>
  </si>
  <si>
    <t>BENG Engenharia</t>
  </si>
  <si>
    <t>10411-2</t>
  </si>
  <si>
    <t>10411-3</t>
  </si>
  <si>
    <t>GHD</t>
  </si>
  <si>
    <t>C Quest Capital</t>
  </si>
  <si>
    <t>10429-1</t>
  </si>
  <si>
    <t>10411-4</t>
  </si>
  <si>
    <t>CPA0028.19</t>
  </si>
  <si>
    <t>5979-0019</t>
  </si>
  <si>
    <t>CPA0028.20</t>
  </si>
  <si>
    <t>5979-0020</t>
  </si>
  <si>
    <t>CPA0028.21</t>
  </si>
  <si>
    <t>5979-0021</t>
  </si>
  <si>
    <t>CPA0028.22</t>
  </si>
  <si>
    <t>5979-0022</t>
  </si>
  <si>
    <t>CPA0028.23</t>
  </si>
  <si>
    <t>5979-0023</t>
  </si>
  <si>
    <t>CPA-05. Methane recovery and combustion with renewable energy generation from anaerobic animal manure management systems under the Land Bank of the Philippines’ (LBP) Carbon Finance Support Facility</t>
  </si>
  <si>
    <t>CPA-06. Methane recovery and combustion with renewable energy generation from anaerobic animal manure management systems under the Land Bank of the Philippines’ (LBP) Carbon Finance Support Facility</t>
  </si>
  <si>
    <t>CPA-30. Methane recovery and combustion with renewable energy generation from anaerobic animal manure management systems under the Land Bank of the Philippines’ (LBP) Carbon Finance Support Facility</t>
  </si>
  <si>
    <t>CPA-36. Methane recovery and combustion with renewable energy genesration from anaerobic animal manure management systems under the Land Bank of the Philippines’ (LBP) Carbon Finance Support Facility</t>
  </si>
  <si>
    <t>CPA-43. Methane recovery and combustion with renewable energy generation from anaerobic animal manure management systems under the Land Bank of the Philippines’ (LBP) Carbon Finance Support Facility</t>
  </si>
  <si>
    <t>Malasiqui</t>
  </si>
  <si>
    <t>San Carlos</t>
  </si>
  <si>
    <t>San Ildefonso</t>
  </si>
  <si>
    <t>Tupi</t>
  </si>
  <si>
    <t>Magalang</t>
  </si>
  <si>
    <t>CPA0486.02</t>
  </si>
  <si>
    <t xml:space="preserve">Mali Rural Electrification Program – Hybrid Mini Grid CPA 02
</t>
  </si>
  <si>
    <t>10429-2</t>
  </si>
  <si>
    <t xml:space="preserve">Mali Rural Electrification Program – Hybrid Mini Grid CPA 03
</t>
  </si>
  <si>
    <t>CPA0028.24</t>
  </si>
  <si>
    <t>5979-0024</t>
  </si>
  <si>
    <t>CPA0028.25</t>
  </si>
  <si>
    <t>5979-0025</t>
  </si>
  <si>
    <t>CPA0028.26</t>
  </si>
  <si>
    <t>5979-0026</t>
  </si>
  <si>
    <t>CPA0028.27</t>
  </si>
  <si>
    <t>5979-0027</t>
  </si>
  <si>
    <t>CPA0028.28</t>
  </si>
  <si>
    <t>5979-0028</t>
  </si>
  <si>
    <t>CPA-35. Methane recovery and combustion with renewable energy generation from anaerobic animal manure management systems under the Land Bank of the Philippines’ (LBP) Carbon Finance Support Facility</t>
  </si>
  <si>
    <t>CPA-37. Methane recovery and combustion with renewable energy generation from anaerobic animal manure management systems under the Land Bank of the Philippines’ (LBP) Carbon Finance Support Facility</t>
  </si>
  <si>
    <t>CPA-38. Methane recovery and combustion with renewable energy generation from anaerobic animal manure management systems under the Land Bank of the Philippines’ (LBP) Carbon Finance Support Facility</t>
  </si>
  <si>
    <t>CPA-51. Methane recovery and combustion with renewable energy generation from anaerobic animal manure management systems under the Land Bank of the Philippines’ (LBP) Carbon Finance Support Facility</t>
  </si>
  <si>
    <t>CPA-62. Methane recovery and combustion with renewable energy generation from anaerobic animal manure management systems under the Land Bank of the Philippines’ (LBP) Carbon Finance Support Facility</t>
  </si>
  <si>
    <t>Pangasinan</t>
  </si>
  <si>
    <t>CPA0406.08</t>
  </si>
  <si>
    <t>6207-0008</t>
  </si>
  <si>
    <t>Improved Cook Stoves programme for Rwanda CPA 0008</t>
  </si>
  <si>
    <t>SAVE80 cook stove</t>
  </si>
  <si>
    <t>CPA0047.03</t>
  </si>
  <si>
    <t>6707-0003</t>
  </si>
  <si>
    <t>CPA-3: Landfill gas recovery and combustion with renewable energy generation from Quezon City Sanitary Landfill under Land Bank of the Philippines Carbon Finance Support Facility</t>
  </si>
  <si>
    <t>Metro Manila</t>
  </si>
  <si>
    <t>CPA0350.04</t>
  </si>
  <si>
    <t>8438-0004</t>
  </si>
  <si>
    <t xml:space="preserve"> Burn JikoKoa Project -CPA04</t>
  </si>
  <si>
    <t>Ruiru</t>
  </si>
  <si>
    <t>CPA0454.02</t>
  </si>
  <si>
    <t>10096-0002</t>
  </si>
  <si>
    <t>CPA0454.03</t>
  </si>
  <si>
    <t>10096-0003</t>
  </si>
  <si>
    <t>CPA0454.04</t>
  </si>
  <si>
    <t>10096-0004</t>
  </si>
  <si>
    <t>Composting of Municipal Solid Waste of Narayanganj Area, CPA No. 02</t>
  </si>
  <si>
    <t xml:space="preserve"> Composting of Municipal Solid Waste of Cox Bazaar, CPA No.03</t>
  </si>
  <si>
    <t>Composting of Municipal Solid Waste of Rangpur, CPA No. 04</t>
  </si>
  <si>
    <t>Narayanganj</t>
  </si>
  <si>
    <t xml:space="preserve">This project will establish a waste collection system for locally produced municipal solid waste (MSW) followed by the aerobic composting </t>
  </si>
  <si>
    <t>Cor's Bazar District</t>
  </si>
  <si>
    <t>Rangpur District</t>
  </si>
  <si>
    <t>CPA0463.02</t>
  </si>
  <si>
    <t>10289-0002</t>
  </si>
  <si>
    <t>CPA0463.03</t>
  </si>
  <si>
    <t>10289-0003</t>
  </si>
  <si>
    <t>D002 Solar PV at DP World (CPA D002)</t>
  </si>
  <si>
    <t>D003 Solar PV at DP World</t>
  </si>
  <si>
    <t>Installation of Solar PV plant with capacity of 14.1 MW</t>
  </si>
  <si>
    <t>Installation of Solar PV plant with capacity of 8.3 MW</t>
  </si>
  <si>
    <t>PoA0508</t>
  </si>
  <si>
    <t>CPA0508.01</t>
  </si>
  <si>
    <t>9KJMR0WHZDKSD66NG98WSIOZBY4FRM</t>
  </si>
  <si>
    <t>Madagascar Improved Cookstove Project by KCM</t>
  </si>
  <si>
    <t>Madagascar Improved Cookstove Project by KCM-Wood#CPA-W001</t>
  </si>
  <si>
    <t>Dissemination of efficient improved cooking stoves (ICS)</t>
  </si>
  <si>
    <t>Dissemination of the efficient improved cooking stove woody biomass-based ICS to the rural household of Madagascar</t>
  </si>
  <si>
    <t>Haute-Matsiatra</t>
  </si>
  <si>
    <t>Korea Carbon Management</t>
  </si>
  <si>
    <t xml:space="preserve"> Korea Carbon Management</t>
  </si>
  <si>
    <t>2 Gasification of biomass, 2 New dam, 2 Landfill power, 1 Combustion of MSW, 1 Manure, 1 Composting, 4 Wind, 1 Wind &amp; Solar</t>
  </si>
  <si>
    <t>1 Irrigation, 2 Agricultural residues: other kinds, 1 Agricultural residues: rice husk, 1 Efficient electricity distribution, 3 Lighting, 2 Solar lamps, 4 Stoves, 2 Appliances, 2 Iron &amp; steel, 1 HVAC &amp; lighting, 1 Lighting in service, 1 Landfill composting, 1 Domestic manure, 2 Solar &amp; wind, 2 Solar &amp; wind &amp; hydro, 4 Solar PV, 2 Solar water heating, 1 Mode shift: Road to rail, 3 Wind, 1 Solar &amp; Wind, 1 Solar &amp; Wind</t>
  </si>
  <si>
    <t>3 Stoves</t>
  </si>
  <si>
    <t>CPA0149.02</t>
  </si>
  <si>
    <t>7849-0002</t>
  </si>
  <si>
    <t>CPA-002 under PoA ‘South African Grid Connected Wind Farm Programme’ (CPA-002)</t>
  </si>
  <si>
    <t>Matzikama Municipality</t>
  </si>
  <si>
    <t>105.8 MW wind farm</t>
  </si>
  <si>
    <t>CPA0036.03</t>
  </si>
  <si>
    <t>8480-0003</t>
  </si>
  <si>
    <t xml:space="preserve"> ONIL Stoves —Guatemala – CPA 003</t>
  </si>
  <si>
    <t>Distribution and installation of ONIL Stoves for use by households</t>
  </si>
  <si>
    <t>CPA0033.02</t>
  </si>
  <si>
    <t>8521-0002</t>
  </si>
  <si>
    <t>CPA0033.03</t>
  </si>
  <si>
    <t>8521-0003</t>
  </si>
  <si>
    <t xml:space="preserve"> Distribution of ONIL Stoves – Mexico, CPA-002</t>
  </si>
  <si>
    <t xml:space="preserve"> Distribution of ONIL Stoves – Mexico, CPA-003</t>
  </si>
  <si>
    <t>C-Quest Capital LLC</t>
  </si>
  <si>
    <t>Distribution and capacity building for the installation of 13,859 ONIL Stoves</t>
  </si>
  <si>
    <t>Distribution and capacity building for the installation of 10,000 ONIL Stoves</t>
  </si>
  <si>
    <t>CPA0283.02</t>
  </si>
  <si>
    <t>9007-0002</t>
  </si>
  <si>
    <t>CPA0283.03</t>
  </si>
  <si>
    <t>9007-0003</t>
  </si>
  <si>
    <t>Distribution of Improved Cook Stoves in Sub-Saharan Africa-Malawi-CPA-002</t>
  </si>
  <si>
    <t>Distribution of Improved Cook Stoves in Sub-Saharan Africa-Nigeria-CPA-003</t>
  </si>
  <si>
    <t>Promotion and distribution of around 30,000 domestic fuel-efficient improved cook stoves</t>
  </si>
  <si>
    <t>CPA0463.04</t>
  </si>
  <si>
    <t>10289-0004</t>
  </si>
  <si>
    <t>D004 Solar PV at Sustainable City</t>
  </si>
  <si>
    <t>Installation of Solar PV plant with capacity of 8.5 MW</t>
  </si>
  <si>
    <t>Senegal, Ghana, Nigeria, Malawi</t>
  </si>
  <si>
    <t>PoA0509</t>
  </si>
  <si>
    <t>CPA0509.01</t>
  </si>
  <si>
    <t>CCC PoA for distribution of ICS in developing countries (Myanmar)</t>
  </si>
  <si>
    <t>QMN0CKNAHH3B0QGETKBM064BZNW8B1</t>
  </si>
  <si>
    <t xml:space="preserve">CCC PoA for distribution of ICS in developing countries(Myanmar): CPA 001
</t>
  </si>
  <si>
    <t>Climate Change Center</t>
  </si>
  <si>
    <t>Distribute and install energy efficient Improved Cooking Stoves (ICSs)</t>
  </si>
  <si>
    <t>Installation of energy efficient improved biomass based Improved Cooking Stoves (ICS)s</t>
  </si>
  <si>
    <t>10415-0001</t>
  </si>
  <si>
    <t>Sagaing</t>
  </si>
  <si>
    <t>PoA0510</t>
  </si>
  <si>
    <t>CPA0510.01</t>
  </si>
  <si>
    <t>GWXV48HPUGYOCWJJS5QUXFW7MZCAJ2</t>
  </si>
  <si>
    <t>Ethan Bio-Fuels</t>
  </si>
  <si>
    <t>Move-Ethiopia zero-carbon mobility units Program (the PoA)</t>
  </si>
  <si>
    <t>Introduction of electric vehicles</t>
  </si>
  <si>
    <t>Ethiopia Move PoA DD 0908 generic CPA (No CPA submitted)</t>
  </si>
  <si>
    <t>Sweden (Government of Sweden), Norway (Norwegian Ministry of Finance)</t>
  </si>
  <si>
    <t>Sweden (Government of Sweden), Norway (Norwegian Ministry of Finance), Spain (government of Spain)</t>
  </si>
  <si>
    <t>United K. (Natural Capital Partners)</t>
  </si>
  <si>
    <t xml:space="preserve">Promotion of the Improved Cooking Stove (ICS) – Nepal </t>
  </si>
  <si>
    <t xml:space="preserve">Improved cookstove program in Bangladesh supported by the Republic of Korea </t>
  </si>
  <si>
    <t>CPA0213.12</t>
  </si>
  <si>
    <t>9181-0012</t>
  </si>
  <si>
    <t>CPA0213.13</t>
  </si>
  <si>
    <t>9181-0013</t>
  </si>
  <si>
    <t>CPA0213.14</t>
  </si>
  <si>
    <t>9181-0014</t>
  </si>
  <si>
    <t>CPA0213.15</t>
  </si>
  <si>
    <t>9181-0015</t>
  </si>
  <si>
    <t>CPA0213.16</t>
  </si>
  <si>
    <t>9181-0016</t>
  </si>
  <si>
    <t>MicroEnergy Credits PoA – CPA 12</t>
  </si>
  <si>
    <t>MicroEnergy Credits PoA – CPA 15</t>
  </si>
  <si>
    <t xml:space="preserve"> MicroEnergy Credits PoA – CPA 13</t>
  </si>
  <si>
    <t xml:space="preserve"> MicroEnergy Credits PoA – CPA 14</t>
  </si>
  <si>
    <t xml:space="preserve"> MicroEnergy Credits PoA – CPA 16</t>
  </si>
  <si>
    <t>Marketing, distributing, and financing efficient cookstove and solar lighting systems</t>
  </si>
  <si>
    <t xml:space="preserve"> Promotion of the Improved Cooking Stove (ICS) – Nepal – CPA 14</t>
  </si>
  <si>
    <t>Installation of a maximum of 22,000 Improved Cooking Stoves (ICS)</t>
  </si>
  <si>
    <t>CPA0141.02</t>
  </si>
  <si>
    <t>9902-0002</t>
  </si>
  <si>
    <t>10431-0002</t>
  </si>
  <si>
    <t>PoA0511</t>
  </si>
  <si>
    <t>PoA0512</t>
  </si>
  <si>
    <t>CPA0511.01</t>
  </si>
  <si>
    <t>CPA0512.01</t>
  </si>
  <si>
    <t>ZKU2A3LI9XLXWQL5E4QT4936YZ1RCZ</t>
  </si>
  <si>
    <t xml:space="preserve">Viet Nam Improved Cookstove Project by KCM </t>
  </si>
  <si>
    <t>??</t>
  </si>
  <si>
    <t xml:space="preserve">Fostering an ESCO industry in UAE (PoA) </t>
  </si>
  <si>
    <t>GNR3134A1DRK0EJDOVLNZD03MN603Q</t>
  </si>
  <si>
    <t>2014m10</t>
  </si>
  <si>
    <t>2018m7</t>
  </si>
  <si>
    <t>2018m4</t>
  </si>
  <si>
    <t>2013m11</t>
  </si>
  <si>
    <t>2015m5</t>
  </si>
  <si>
    <t>2013m8</t>
  </si>
  <si>
    <t>2018m6</t>
  </si>
  <si>
    <t>2014m3</t>
  </si>
  <si>
    <t>2016m2</t>
  </si>
  <si>
    <t>2017m12</t>
  </si>
  <si>
    <t>2018m3</t>
  </si>
  <si>
    <t>2015m12</t>
  </si>
  <si>
    <t>2012m3</t>
  </si>
  <si>
    <t>2013m9</t>
  </si>
  <si>
    <t>2016m9</t>
  </si>
  <si>
    <t>2012m5</t>
  </si>
  <si>
    <t>2012m9</t>
  </si>
  <si>
    <t>2017m8</t>
  </si>
  <si>
    <t>2017m11</t>
  </si>
  <si>
    <t>2017m10</t>
  </si>
  <si>
    <t>2016m6</t>
  </si>
  <si>
    <t>2012m12</t>
  </si>
  <si>
    <t>2017m7</t>
  </si>
  <si>
    <t>2012m4</t>
  </si>
  <si>
    <t>2016m4</t>
  </si>
  <si>
    <t>2013m10</t>
  </si>
  <si>
    <t>2017m3</t>
  </si>
  <si>
    <t>2018m5</t>
  </si>
  <si>
    <t>2018m1</t>
  </si>
  <si>
    <t>2012m6</t>
  </si>
  <si>
    <t>2017m5</t>
  </si>
  <si>
    <t>2018m2</t>
  </si>
  <si>
    <t>2013m5</t>
  </si>
  <si>
    <t>2014m5</t>
  </si>
  <si>
    <t>2013m7</t>
  </si>
  <si>
    <t>2016m10</t>
  </si>
  <si>
    <t>2017m4</t>
  </si>
  <si>
    <t>2016m11</t>
  </si>
  <si>
    <t>2013m12</t>
  </si>
  <si>
    <t>2014m12</t>
  </si>
  <si>
    <t>2015m6</t>
  </si>
  <si>
    <t>2017m2</t>
  </si>
  <si>
    <t>2016m12</t>
  </si>
  <si>
    <t>2017m9</t>
  </si>
  <si>
    <t>2014m1</t>
  </si>
  <si>
    <t>2015m1</t>
  </si>
  <si>
    <t>2015m11</t>
  </si>
  <si>
    <t>2015m8</t>
  </si>
  <si>
    <t>2016m3</t>
  </si>
  <si>
    <t>2014m9</t>
  </si>
  <si>
    <t>2014m11</t>
  </si>
  <si>
    <t>2013m6</t>
  </si>
  <si>
    <t>2015m3</t>
  </si>
  <si>
    <t>2015m2</t>
  </si>
  <si>
    <t>2014m7</t>
  </si>
  <si>
    <t>2017m6</t>
  </si>
  <si>
    <t>2018m8</t>
  </si>
  <si>
    <t>2014m6</t>
  </si>
  <si>
    <t>2016m1</t>
  </si>
  <si>
    <t>2015m4</t>
  </si>
  <si>
    <t>2016m8</t>
  </si>
  <si>
    <t>2017m1</t>
  </si>
  <si>
    <t>2016m5</t>
  </si>
  <si>
    <t>2015m7</t>
  </si>
  <si>
    <t>Last contact with UNFCCC. Updated 25/09/18</t>
  </si>
  <si>
    <t>10430-0001</t>
  </si>
  <si>
    <t>Korea Carbon Management Ltd</t>
  </si>
  <si>
    <t>Installation of energy efficient Improved Cooking Stove (ICS) in the households/communities/Small and Medium Enterprises (SMEs)</t>
  </si>
  <si>
    <t>Al Etihad Energy Services Co. LLC (Etihad ESCO)</t>
  </si>
  <si>
    <t>ESCO</t>
  </si>
  <si>
    <t>9902-0003</t>
  </si>
  <si>
    <t>9902-0004</t>
  </si>
  <si>
    <t>9902-0005</t>
  </si>
  <si>
    <t>9902-0006</t>
  </si>
  <si>
    <t>9902-0007</t>
  </si>
  <si>
    <t>9902-0008</t>
  </si>
  <si>
    <t>9902-0009</t>
  </si>
  <si>
    <t>9902-0010</t>
  </si>
  <si>
    <t>9902-0011</t>
  </si>
  <si>
    <t>9902-0012</t>
  </si>
  <si>
    <t>9902-0013</t>
  </si>
  <si>
    <t>9902-0014</t>
  </si>
  <si>
    <t>9902-0015</t>
  </si>
  <si>
    <t>CPA0141.03</t>
  </si>
  <si>
    <t>CPA0141.04</t>
  </si>
  <si>
    <t>CPA0141.05</t>
  </si>
  <si>
    <t>CPA0141.06</t>
  </si>
  <si>
    <t>CPA0141.07</t>
  </si>
  <si>
    <t>CPA0141.08</t>
  </si>
  <si>
    <t>CPA0141.09</t>
  </si>
  <si>
    <t>CPA0141.10</t>
  </si>
  <si>
    <t>CPA0141.11</t>
  </si>
  <si>
    <t>CPA0141.12</t>
  </si>
  <si>
    <t>CPA0141.13</t>
  </si>
  <si>
    <t>CPA0141.14</t>
  </si>
  <si>
    <t>CPA0141.15</t>
  </si>
  <si>
    <t>Promotion of the Improved Cooking Stove (ICS) – Nepal – CPA 2</t>
  </si>
  <si>
    <t>Promotion of the Improved Cooking Stove (ICS) – Nepal – CPA 3</t>
  </si>
  <si>
    <t xml:space="preserve"> Promotion of the Improved Cooking Stove (ICS) – Nepal – CPA 4</t>
  </si>
  <si>
    <t>Dissemination of Improved Cooking Stove (ICS) with replacement of existing Traditional Cooking Stoves (TCS) to the existing TCS users in Nepal.</t>
  </si>
  <si>
    <t>Promotion of the Improved Cooking Stove (ICS) – Nepal – CPA 5</t>
  </si>
  <si>
    <t>Promotion of the Improved Cooking Stove (ICS) – Nepal – CPA 6</t>
  </si>
  <si>
    <t xml:space="preserve"> Promotion of the Improved Cooking Stove (ICS) – Nepal – CPA 7</t>
  </si>
  <si>
    <t>Promotion of the Improved Cooking Stove (ICS) – Nepal – CPA 8</t>
  </si>
  <si>
    <t xml:space="preserve"> Promotion of the Improved Cooking Stove (ICS) – Nepal – CPA 9</t>
  </si>
  <si>
    <t>Promotion of the Improved Cooking Stove (ICS) – Nepal – CPA 10</t>
  </si>
  <si>
    <t>Promotion of the Improved Cooking Stove (ICS) – Nepal – CPA 11</t>
  </si>
  <si>
    <t>Promotion of the Improved Cooking Stove (ICS) – Nepal – CPA 12</t>
  </si>
  <si>
    <t xml:space="preserve"> Promotion of the Improved Cooking Stove (ICS) – Nepal – CPA 13</t>
  </si>
  <si>
    <t>Promotion of the Improved Cooking Stove (ICS) – Nepal – CPA 15</t>
  </si>
  <si>
    <t>Dubai Carbon Centre of Excellence</t>
  </si>
  <si>
    <t>KCM will purchase ICS for distribution to households in Viet Nam free of costs to the users. Carbon revenues will be used to fund ICS purchases and cover distribution and monitoring costs.</t>
  </si>
  <si>
    <t>Targeted technologies include electric scooters, electric passenger tricycles (three-wheeler vehicles) without or without pedal assist, electric cargo tricycles (threewheeler vehicles) without or without pedal assist, small electric four-wheeler (cars) as well as
Hybrid/PHEV cars</t>
  </si>
  <si>
    <t>the Al Etihad Energy Services Co. LLC (Etihad ESCO) has initiated the development of the “Fostering an ESCO industry in UAE (PoA)” program, to promote ESCO-type demand side management activities within the country.</t>
  </si>
  <si>
    <t>Reduction of electricity demand through the growth of Energy Services Companies (ESCOs) in commercial, residential and industrial buildings. Building envelope and efficient HVAC, and lighting systems.</t>
  </si>
  <si>
    <t>EE Service</t>
  </si>
  <si>
    <t>EE industry, Service, Buildings</t>
  </si>
  <si>
    <t>3 Stoves, 1 Appliances</t>
  </si>
  <si>
    <t>1 Biomass briquettes, 1 Stoves, 1 Building materials, 4 Run of river, 1 Landfill power, 1 Domestic manure, 1 Solar water heating, 1 Wind</t>
  </si>
  <si>
    <t>1 Gasification of biomass, 1 Solar lamps, 4 Stoves, 1 More efficient vehicles</t>
  </si>
  <si>
    <t>4 Stoves, 1 Water purification, 1 , 1 Solar PV</t>
  </si>
  <si>
    <t>1 HVAC &amp; lighting, 1 Solar PV</t>
  </si>
  <si>
    <t>PoA0513</t>
  </si>
  <si>
    <t>CPA0513.01</t>
  </si>
  <si>
    <t xml:space="preserve">Development of a sustainable drinking water supply platform based on clean development mechanism </t>
  </si>
  <si>
    <t>LUU24IK6S95TFVB6ZQKAXP71KO4Z3E</t>
  </si>
  <si>
    <t>KFQ</t>
  </si>
  <si>
    <t>Glory &amp; Tech Co</t>
  </si>
  <si>
    <t>Water filters (e.g. membrane, activated carbon, ceramic filters), solar energy powered UV (ultraviolet) disinfection devices, solar disinfection techniques, photocatalytic disinfection equipment, pasteurization appliances, chemical disinfection methods (e.g. chlorination), combined treatment approaches (e.g. flocculation plus disinfection).</t>
  </si>
  <si>
    <t>Development of a sustainable drinking water supply platform based on clean development mechanism - CPA1</t>
  </si>
  <si>
    <t>PoA0514</t>
  </si>
  <si>
    <t>CPA0514.01</t>
  </si>
  <si>
    <t>VTZZWAR1AJIRDK8WFB7BN04J2T0NT0</t>
  </si>
  <si>
    <t>TASC Korea</t>
  </si>
  <si>
    <t xml:space="preserve">Carbon Check </t>
  </si>
  <si>
    <t>CPA0514.02</t>
  </si>
  <si>
    <t>Efficient Cookstoves in Africa by TASC Korea (No CPA submitted)</t>
  </si>
  <si>
    <t>2018m10</t>
  </si>
  <si>
    <t>80 MW Nova Scotia Power Solar PV in Nigeria</t>
  </si>
  <si>
    <t>CPA0481.04</t>
  </si>
  <si>
    <t>10320-0004</t>
  </si>
  <si>
    <t>Jigawa</t>
  </si>
  <si>
    <t>This CPA involves the development, construction and operation of a 80MW PV power generation project</t>
  </si>
  <si>
    <t>The Pipeline was produced by Joergen Fenhann, UNEP DTU Partnership, 1st November 2018, jqfe@dtu.dk, Phone (+45)40202789</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</si>
</sst>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_(* #,##0.00_);_(* \(#,##0.00\);_(* &quot;-&quot;??_);_(@_)"/>
    <numFmt numFmtId="165" formatCode="[$-409]dd\-mmm\-yy;@"/>
    <numFmt numFmtId="166" formatCode="0.000"/>
    <numFmt numFmtId="167" formatCode="0.0"/>
    <numFmt numFmtId="168" formatCode="0.0%"/>
    <numFmt numFmtId="169" formatCode="#,##0.000_ ;\-#,##0.000"/>
    <numFmt numFmtId="170" formatCode="#,##0_ ;\-#,##0"/>
    <numFmt numFmtId="171" formatCode="#,##0.0_ ;\-#,##0.0"/>
    <numFmt numFmtId="172" formatCode="#,##0.00_ ;\-#,##0.00"/>
    <numFmt numFmtId="173" formatCode="0.0000"/>
  </numFmts>
  <fonts count="23" x14ac:knownFonts="1">
    <font>
      <sz val="10"/>
      <name val="Arial"/>
      <family val="2"/>
    </font>
    <font>
      <sz val="11"/>
      <color theme="1"/>
      <name val="Calibri"/>
      <family val="2"/>
      <scheme val="minor"/>
    </font>
    <font>
      <sz val="11"/>
      <color theme="1"/>
      <name val="Calibri"/>
      <family val="2"/>
      <scheme val="minor"/>
    </font>
    <font>
      <sz val="10"/>
      <name val="Arial"/>
      <family val="2"/>
    </font>
    <font>
      <b/>
      <sz val="8"/>
      <color indexed="81"/>
      <name val="Tahoma"/>
      <family val="2"/>
    </font>
    <font>
      <b/>
      <sz val="10"/>
      <color indexed="81"/>
      <name val="Tahoma"/>
      <family val="2"/>
    </font>
    <font>
      <b/>
      <sz val="9"/>
      <color indexed="81"/>
      <name val="Tahoma"/>
      <family val="2"/>
    </font>
    <font>
      <sz val="8"/>
      <color indexed="81"/>
      <name val="Tahoma"/>
      <family val="2"/>
    </font>
    <font>
      <sz val="10"/>
      <color indexed="81"/>
      <name val="Tahoma"/>
      <family val="2"/>
    </font>
    <font>
      <b/>
      <sz val="10"/>
      <name val="Arial"/>
      <family val="2"/>
    </font>
    <font>
      <b/>
      <i/>
      <sz val="10"/>
      <name val="Arial"/>
      <family val="2"/>
    </font>
    <font>
      <sz val="10"/>
      <name val="Arial"/>
      <family val="2"/>
    </font>
    <font>
      <sz val="12"/>
      <name val="Arial"/>
      <family val="2"/>
    </font>
    <font>
      <b/>
      <sz val="14"/>
      <name val="Arial"/>
      <family val="2"/>
    </font>
    <font>
      <sz val="9"/>
      <color indexed="81"/>
      <name val="Tahoma"/>
      <family val="2"/>
    </font>
    <font>
      <u/>
      <sz val="10"/>
      <color theme="10"/>
      <name val="Arial"/>
      <family val="2"/>
    </font>
    <font>
      <sz val="10"/>
      <color rgb="FF333333"/>
      <name val="Arial"/>
      <family val="2"/>
    </font>
    <font>
      <b/>
      <sz val="11"/>
      <name val="Times New Roman"/>
      <family val="1"/>
    </font>
    <font>
      <i/>
      <sz val="11"/>
      <name val="Times New Roman"/>
      <family val="1"/>
    </font>
    <font>
      <sz val="11"/>
      <name val="Times New Roman"/>
      <family val="1"/>
    </font>
    <font>
      <sz val="11"/>
      <name val="Calibri"/>
      <family val="2"/>
    </font>
    <font>
      <sz val="12"/>
      <name val="Calibri"/>
      <family val="2"/>
    </font>
    <font>
      <sz val="11"/>
      <name val="Arial"/>
      <family val="2"/>
    </font>
  </fonts>
  <fills count="1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22"/>
        <bgColor indexed="64"/>
      </patternFill>
    </fill>
    <fill>
      <patternFill patternType="solid">
        <fgColor indexed="26"/>
      </patternFill>
    </fill>
    <fill>
      <patternFill patternType="solid">
        <fgColor indexed="51"/>
        <bgColor indexed="64"/>
      </patternFill>
    </fill>
    <fill>
      <patternFill patternType="solid">
        <fgColor rgb="FFFFCC00"/>
        <bgColor indexed="64"/>
      </patternFill>
    </fill>
    <fill>
      <patternFill patternType="solid">
        <fgColor rgb="FFFFC000"/>
        <bgColor indexed="64"/>
      </patternFill>
    </fill>
    <fill>
      <patternFill patternType="solid">
        <fgColor rgb="FFFF9900"/>
        <bgColor indexed="64"/>
      </patternFill>
    </fill>
    <fill>
      <patternFill patternType="solid">
        <fgColor indexed="47"/>
        <bgColor indexed="64"/>
      </patternFill>
    </fill>
    <fill>
      <patternFill patternType="solid">
        <fgColor indexed="52"/>
        <bgColor indexed="64"/>
      </patternFill>
    </fill>
    <fill>
      <patternFill patternType="solid">
        <fgColor indexed="13"/>
        <bgColor indexed="64"/>
      </patternFill>
    </fill>
    <fill>
      <patternFill patternType="solid">
        <fgColor rgb="FFFFFFFF"/>
        <bgColor indexed="64"/>
      </patternFill>
    </fill>
    <fill>
      <patternFill patternType="solid">
        <fgColor theme="1"/>
        <bgColor indexed="64"/>
      </patternFill>
    </fill>
    <fill>
      <patternFill patternType="solid">
        <fgColor rgb="FFFF0000"/>
        <bgColor indexed="64"/>
      </patternFill>
    </fill>
  </fills>
  <borders count="3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rgb="FFEEEEEE"/>
      </right>
      <top style="thin">
        <color indexed="64"/>
      </top>
      <bottom style="medium">
        <color rgb="FFCCCCCC"/>
      </bottom>
      <diagonal/>
    </border>
    <border>
      <left style="medium">
        <color rgb="FFEEEEEE"/>
      </left>
      <right style="thin">
        <color indexed="64"/>
      </right>
      <top style="thin">
        <color indexed="64"/>
      </top>
      <bottom style="medium">
        <color rgb="FFCCCCCC"/>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thin">
        <color indexed="64"/>
      </left>
      <right style="medium">
        <color rgb="FFEEEEEE"/>
      </right>
      <top style="medium">
        <color rgb="FFEEEEEE"/>
      </top>
      <bottom style="medium">
        <color rgb="FFCCCCCC"/>
      </bottom>
      <diagonal/>
    </border>
    <border>
      <left style="medium">
        <color rgb="FFEEEEEE"/>
      </left>
      <right style="thin">
        <color indexed="64"/>
      </right>
      <top style="medium">
        <color rgb="FFEEEEEE"/>
      </top>
      <bottom style="medium">
        <color rgb="FFCCCCCC"/>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style="medium">
        <color rgb="FFEEEEEE"/>
      </right>
      <top style="medium">
        <color rgb="FFEEEEEE"/>
      </top>
      <bottom style="thin">
        <color indexed="64"/>
      </bottom>
      <diagonal/>
    </border>
    <border>
      <left style="medium">
        <color rgb="FFEEEEEE"/>
      </left>
      <right style="thin">
        <color indexed="64"/>
      </right>
      <top style="medium">
        <color rgb="FFEEEEEE"/>
      </top>
      <bottom style="thin">
        <color indexed="64"/>
      </bottom>
      <diagonal/>
    </border>
  </borders>
  <cellStyleXfs count="13">
    <xf numFmtId="165" fontId="0" fillId="0" borderId="0"/>
    <xf numFmtId="165" fontId="3" fillId="0" borderId="0"/>
    <xf numFmtId="164" fontId="3" fillId="0" borderId="0" applyFont="0" applyFill="0" applyBorder="0" applyAlignment="0" applyProtection="0"/>
    <xf numFmtId="165" fontId="3" fillId="0" borderId="0"/>
    <xf numFmtId="165" fontId="3" fillId="0" borderId="0"/>
    <xf numFmtId="165" fontId="3" fillId="0" borderId="0"/>
    <xf numFmtId="165" fontId="3" fillId="5" borderId="13" applyNumberFormat="0" applyFont="0" applyAlignment="0" applyProtection="0"/>
    <xf numFmtId="9" fontId="3" fillId="0" borderId="0" applyFont="0" applyFill="0" applyBorder="0" applyAlignment="0" applyProtection="0"/>
    <xf numFmtId="165" fontId="11" fillId="0" borderId="0"/>
    <xf numFmtId="9" fontId="3" fillId="0" borderId="0" applyFont="0" applyFill="0" applyBorder="0" applyAlignment="0" applyProtection="0"/>
    <xf numFmtId="0" fontId="2" fillId="0" borderId="0"/>
    <xf numFmtId="0" fontId="1" fillId="0" borderId="0"/>
    <xf numFmtId="0" fontId="15" fillId="0" borderId="0" applyNumberFormat="0" applyFill="0" applyBorder="0" applyAlignment="0" applyProtection="0">
      <alignment vertical="top"/>
      <protection locked="0"/>
    </xf>
  </cellStyleXfs>
  <cellXfs count="946">
    <xf numFmtId="165" fontId="0" fillId="0" borderId="0" xfId="0"/>
    <xf numFmtId="165" fontId="0" fillId="0" borderId="0" xfId="0" applyAlignment="1">
      <alignment vertical="top"/>
    </xf>
    <xf numFmtId="0" fontId="0" fillId="0" borderId="0" xfId="0" applyNumberFormat="1"/>
    <xf numFmtId="165" fontId="0" fillId="0" borderId="0" xfId="0" applyAlignment="1">
      <alignment vertical="top" wrapText="1"/>
    </xf>
    <xf numFmtId="165" fontId="0" fillId="0" borderId="0" xfId="0" applyAlignment="1">
      <alignment horizontal="center"/>
    </xf>
    <xf numFmtId="165" fontId="0" fillId="0" borderId="4" xfId="0" applyBorder="1" applyAlignment="1">
      <alignment horizontal="center"/>
    </xf>
    <xf numFmtId="14" fontId="0" fillId="0" borderId="4" xfId="0" applyNumberFormat="1" applyFill="1" applyBorder="1" applyAlignment="1">
      <alignment horizontal="center" vertical="top" wrapText="1"/>
    </xf>
    <xf numFmtId="165" fontId="0" fillId="0" borderId="0" xfId="0" applyAlignment="1"/>
    <xf numFmtId="165" fontId="0" fillId="0" borderId="8" xfId="0" applyBorder="1"/>
    <xf numFmtId="165" fontId="3" fillId="0" borderId="8" xfId="0" applyFont="1" applyBorder="1"/>
    <xf numFmtId="165" fontId="0" fillId="0" borderId="8" xfId="0" applyFill="1" applyBorder="1" applyAlignment="1">
      <alignment vertical="top" wrapText="1"/>
    </xf>
    <xf numFmtId="165" fontId="0" fillId="0" borderId="8" xfId="0" applyFill="1" applyBorder="1"/>
    <xf numFmtId="165" fontId="3" fillId="0" borderId="0" xfId="0" applyFont="1"/>
    <xf numFmtId="165" fontId="0" fillId="0" borderId="9" xfId="0" applyBorder="1"/>
    <xf numFmtId="165" fontId="0" fillId="0" borderId="10" xfId="0" applyBorder="1"/>
    <xf numFmtId="165" fontId="0" fillId="0" borderId="4" xfId="0" applyBorder="1"/>
    <xf numFmtId="165" fontId="0" fillId="0" borderId="5" xfId="0" applyBorder="1"/>
    <xf numFmtId="165" fontId="0" fillId="0" borderId="5" xfId="0" applyBorder="1" applyAlignment="1">
      <alignment horizontal="center"/>
    </xf>
    <xf numFmtId="165" fontId="0" fillId="0" borderId="5" xfId="0" applyFill="1" applyBorder="1" applyAlignment="1">
      <alignment horizontal="center"/>
    </xf>
    <xf numFmtId="165" fontId="0" fillId="0" borderId="8" xfId="0" applyBorder="1" applyAlignment="1">
      <alignment horizontal="center"/>
    </xf>
    <xf numFmtId="167" fontId="0" fillId="0" borderId="0" xfId="0" applyNumberFormat="1"/>
    <xf numFmtId="49" fontId="0" fillId="0" borderId="0" xfId="0" applyNumberFormat="1"/>
    <xf numFmtId="1" fontId="0" fillId="0" borderId="15" xfId="0" applyNumberFormat="1" applyBorder="1"/>
    <xf numFmtId="1" fontId="0" fillId="0" borderId="8" xfId="0" applyNumberFormat="1" applyBorder="1"/>
    <xf numFmtId="1" fontId="0" fillId="0" borderId="9" xfId="0" applyNumberFormat="1" applyBorder="1"/>
    <xf numFmtId="1" fontId="9" fillId="0" borderId="8" xfId="0" applyNumberFormat="1" applyFont="1" applyBorder="1"/>
    <xf numFmtId="1" fontId="0" fillId="0" borderId="0" xfId="0" applyNumberFormat="1"/>
    <xf numFmtId="1" fontId="9" fillId="0" borderId="8" xfId="0" applyNumberFormat="1" applyFont="1" applyBorder="1" applyAlignment="1">
      <alignment horizontal="center"/>
    </xf>
    <xf numFmtId="1" fontId="0" fillId="0" borderId="10" xfId="0" applyNumberFormat="1" applyBorder="1"/>
    <xf numFmtId="1" fontId="0" fillId="0" borderId="5" xfId="0" applyNumberFormat="1" applyBorder="1"/>
    <xf numFmtId="1" fontId="0" fillId="0" borderId="7" xfId="0" applyNumberFormat="1" applyBorder="1"/>
    <xf numFmtId="1" fontId="9" fillId="0" borderId="5" xfId="0" applyNumberFormat="1" applyFont="1" applyBorder="1"/>
    <xf numFmtId="1" fontId="0" fillId="0" borderId="8" xfId="0" applyNumberFormat="1" applyFill="1" applyBorder="1"/>
    <xf numFmtId="1" fontId="0" fillId="0" borderId="9" xfId="0" applyNumberFormat="1" applyFill="1" applyBorder="1"/>
    <xf numFmtId="1" fontId="0" fillId="4" borderId="8" xfId="0" applyNumberFormat="1" applyFill="1" applyBorder="1"/>
    <xf numFmtId="165" fontId="3" fillId="0" borderId="5" xfId="0" applyFont="1" applyFill="1" applyBorder="1"/>
    <xf numFmtId="1" fontId="0" fillId="4" borderId="5" xfId="0" applyNumberFormat="1" applyFill="1" applyBorder="1"/>
    <xf numFmtId="165" fontId="0" fillId="0" borderId="5" xfId="0" applyFill="1" applyBorder="1"/>
    <xf numFmtId="1" fontId="0" fillId="0" borderId="0" xfId="0" applyNumberFormat="1" applyBorder="1"/>
    <xf numFmtId="1" fontId="9" fillId="0" borderId="10" xfId="0" applyNumberFormat="1" applyFont="1" applyBorder="1" applyAlignment="1">
      <alignment horizontal="center"/>
    </xf>
    <xf numFmtId="165" fontId="0" fillId="0" borderId="10" xfId="0" applyFill="1" applyBorder="1"/>
    <xf numFmtId="1" fontId="0" fillId="0" borderId="12" xfId="0" applyNumberFormat="1" applyBorder="1"/>
    <xf numFmtId="1" fontId="9" fillId="0" borderId="10" xfId="0" applyNumberFormat="1" applyFont="1" applyBorder="1"/>
    <xf numFmtId="1" fontId="0" fillId="4" borderId="10" xfId="0" applyNumberFormat="1" applyFill="1" applyBorder="1"/>
    <xf numFmtId="165" fontId="0" fillId="0" borderId="14" xfId="0" applyFill="1" applyBorder="1"/>
    <xf numFmtId="165" fontId="3" fillId="0" borderId="15" xfId="0" applyFont="1" applyFill="1" applyBorder="1"/>
    <xf numFmtId="165" fontId="0" fillId="0" borderId="15" xfId="0" applyFill="1" applyBorder="1"/>
    <xf numFmtId="165" fontId="0" fillId="0" borderId="11" xfId="0" applyFill="1" applyBorder="1"/>
    <xf numFmtId="165" fontId="9" fillId="0" borderId="8" xfId="0" applyFont="1" applyBorder="1" applyAlignment="1">
      <alignment horizontal="center"/>
    </xf>
    <xf numFmtId="165" fontId="0" fillId="0" borderId="7" xfId="0" applyBorder="1"/>
    <xf numFmtId="165" fontId="0" fillId="0" borderId="14" xfId="0" applyBorder="1"/>
    <xf numFmtId="167" fontId="0" fillId="0" borderId="5" xfId="0" applyNumberFormat="1" applyBorder="1" applyAlignment="1">
      <alignment horizontal="center"/>
    </xf>
    <xf numFmtId="165" fontId="3" fillId="0" borderId="7" xfId="0" applyFont="1" applyBorder="1"/>
    <xf numFmtId="165" fontId="0" fillId="0" borderId="6" xfId="0" applyBorder="1"/>
    <xf numFmtId="165" fontId="3" fillId="0" borderId="9" xfId="0" applyFont="1" applyBorder="1"/>
    <xf numFmtId="165" fontId="0" fillId="0" borderId="0" xfId="0" applyBorder="1"/>
    <xf numFmtId="168" fontId="0" fillId="0" borderId="0" xfId="0" applyNumberFormat="1" applyBorder="1"/>
    <xf numFmtId="49" fontId="3" fillId="0" borderId="5" xfId="0" applyNumberFormat="1" applyFont="1" applyBorder="1"/>
    <xf numFmtId="1" fontId="0" fillId="0" borderId="6" xfId="0" applyNumberFormat="1" applyBorder="1"/>
    <xf numFmtId="1" fontId="0" fillId="0" borderId="14" xfId="0" applyNumberFormat="1" applyBorder="1"/>
    <xf numFmtId="1" fontId="3" fillId="0" borderId="8" xfId="0" applyNumberFormat="1" applyFont="1" applyBorder="1"/>
    <xf numFmtId="1" fontId="3" fillId="0" borderId="10" xfId="0" applyNumberFormat="1" applyFont="1" applyBorder="1"/>
    <xf numFmtId="1" fontId="0" fillId="0" borderId="16" xfId="0" applyNumberFormat="1" applyBorder="1"/>
    <xf numFmtId="1" fontId="0" fillId="0" borderId="11" xfId="0" applyNumberFormat="1" applyBorder="1"/>
    <xf numFmtId="165" fontId="3" fillId="0" borderId="9" xfId="0" applyFont="1" applyFill="1" applyBorder="1"/>
    <xf numFmtId="165" fontId="3" fillId="0" borderId="12" xfId="0" applyFont="1" applyBorder="1"/>
    <xf numFmtId="165" fontId="0" fillId="0" borderId="16" xfId="0" applyBorder="1"/>
    <xf numFmtId="168" fontId="0" fillId="0" borderId="16" xfId="0" applyNumberFormat="1" applyBorder="1"/>
    <xf numFmtId="165" fontId="0" fillId="0" borderId="10" xfId="0" applyBorder="1" applyAlignment="1">
      <alignment horizontal="center"/>
    </xf>
    <xf numFmtId="165" fontId="3" fillId="0" borderId="8" xfId="0" applyFont="1" applyFill="1" applyBorder="1" applyAlignment="1">
      <alignment vertical="top" wrapText="1"/>
    </xf>
    <xf numFmtId="165" fontId="0" fillId="0" borderId="9" xfId="0" applyFill="1" applyBorder="1"/>
    <xf numFmtId="165" fontId="0" fillId="0" borderId="9" xfId="0" applyFill="1" applyBorder="1" applyAlignment="1">
      <alignment vertical="top" wrapText="1"/>
    </xf>
    <xf numFmtId="14" fontId="0" fillId="0" borderId="9" xfId="0" applyNumberFormat="1" applyBorder="1" applyAlignment="1">
      <alignment vertical="top" wrapText="1"/>
    </xf>
    <xf numFmtId="165" fontId="3" fillId="0" borderId="5" xfId="0" applyFont="1" applyBorder="1" applyAlignment="1">
      <alignment horizontal="center"/>
    </xf>
    <xf numFmtId="1" fontId="0" fillId="0" borderId="5" xfId="0" applyNumberFormat="1" applyFill="1" applyBorder="1"/>
    <xf numFmtId="165" fontId="3" fillId="0" borderId="8" xfId="0" applyFont="1" applyBorder="1" applyAlignment="1">
      <alignment horizontal="center"/>
    </xf>
    <xf numFmtId="165" fontId="0" fillId="0" borderId="15" xfId="0" applyBorder="1"/>
    <xf numFmtId="165" fontId="0" fillId="0" borderId="8" xfId="0" applyFill="1" applyBorder="1" applyAlignment="1">
      <alignment horizontal="center"/>
    </xf>
    <xf numFmtId="1" fontId="9" fillId="0" borderId="8" xfId="0" applyNumberFormat="1" applyFont="1" applyFill="1" applyBorder="1" applyAlignment="1">
      <alignment horizontal="center"/>
    </xf>
    <xf numFmtId="165" fontId="9" fillId="0" borderId="8" xfId="0" applyFont="1" applyFill="1" applyBorder="1" applyAlignment="1">
      <alignment horizontal="center"/>
    </xf>
    <xf numFmtId="1" fontId="0" fillId="0" borderId="10" xfId="0" applyNumberFormat="1" applyFill="1" applyBorder="1"/>
    <xf numFmtId="165" fontId="0" fillId="0" borderId="3" xfId="0" applyFill="1" applyBorder="1"/>
    <xf numFmtId="1" fontId="0" fillId="0" borderId="2" xfId="0" applyNumberFormat="1" applyBorder="1"/>
    <xf numFmtId="1" fontId="0" fillId="0" borderId="4" xfId="0" applyNumberFormat="1" applyBorder="1"/>
    <xf numFmtId="1" fontId="0" fillId="0" borderId="4" xfId="0" applyNumberFormat="1" applyFill="1" applyBorder="1"/>
    <xf numFmtId="1" fontId="9" fillId="0" borderId="4" xfId="0" applyNumberFormat="1" applyFont="1" applyBorder="1"/>
    <xf numFmtId="165" fontId="9" fillId="0" borderId="7" xfId="0" applyFont="1" applyBorder="1"/>
    <xf numFmtId="165" fontId="9" fillId="0" borderId="5" xfId="0" applyFont="1" applyBorder="1" applyAlignment="1">
      <alignment horizontal="center"/>
    </xf>
    <xf numFmtId="165" fontId="9" fillId="0" borderId="9" xfId="0" applyFont="1" applyBorder="1" applyAlignment="1">
      <alignment horizontal="center"/>
    </xf>
    <xf numFmtId="165" fontId="9" fillId="0" borderId="16" xfId="0" applyFont="1" applyBorder="1" applyAlignment="1">
      <alignment horizontal="center"/>
    </xf>
    <xf numFmtId="165" fontId="9" fillId="0" borderId="0" xfId="0" applyFont="1" applyBorder="1" applyAlignment="1">
      <alignment horizontal="center"/>
    </xf>
    <xf numFmtId="165" fontId="9" fillId="0" borderId="4" xfId="0" applyFont="1" applyBorder="1"/>
    <xf numFmtId="165" fontId="9" fillId="0" borderId="10" xfId="0" applyFont="1" applyFill="1" applyBorder="1" applyAlignment="1">
      <alignment horizontal="center"/>
    </xf>
    <xf numFmtId="165" fontId="9" fillId="0" borderId="10" xfId="0" applyFont="1" applyBorder="1" applyAlignment="1">
      <alignment horizontal="center"/>
    </xf>
    <xf numFmtId="165" fontId="9" fillId="0" borderId="5" xfId="0" applyFont="1" applyBorder="1"/>
    <xf numFmtId="1" fontId="9" fillId="0" borderId="7" xfId="0" applyNumberFormat="1" applyFont="1" applyBorder="1"/>
    <xf numFmtId="1" fontId="9" fillId="0" borderId="6" xfId="0" applyNumberFormat="1" applyFont="1" applyBorder="1"/>
    <xf numFmtId="1" fontId="9" fillId="0" borderId="9" xfId="0" applyNumberFormat="1" applyFont="1" applyBorder="1"/>
    <xf numFmtId="1" fontId="9" fillId="0" borderId="0" xfId="0" applyNumberFormat="1" applyFont="1" applyBorder="1"/>
    <xf numFmtId="168" fontId="9" fillId="0" borderId="6" xfId="0" applyNumberFormat="1" applyFont="1" applyBorder="1" applyAlignment="1"/>
    <xf numFmtId="168" fontId="9" fillId="0" borderId="6" xfId="0" applyNumberFormat="1" applyFont="1" applyBorder="1"/>
    <xf numFmtId="1" fontId="9" fillId="0" borderId="14" xfId="0" applyNumberFormat="1" applyFont="1" applyBorder="1"/>
    <xf numFmtId="168" fontId="0" fillId="0" borderId="15" xfId="0" applyNumberFormat="1" applyBorder="1"/>
    <xf numFmtId="10" fontId="0" fillId="0" borderId="15" xfId="0" applyNumberFormat="1" applyBorder="1"/>
    <xf numFmtId="1" fontId="0" fillId="0" borderId="0" xfId="0" applyNumberFormat="1" applyFill="1" applyBorder="1"/>
    <xf numFmtId="165" fontId="0" fillId="0" borderId="12" xfId="0" applyBorder="1"/>
    <xf numFmtId="168" fontId="0" fillId="0" borderId="11" xfId="0" applyNumberFormat="1" applyBorder="1"/>
    <xf numFmtId="1" fontId="3" fillId="0" borderId="9" xfId="0" applyNumberFormat="1" applyFont="1" applyBorder="1"/>
    <xf numFmtId="167" fontId="0" fillId="0" borderId="15" xfId="0" applyNumberFormat="1" applyBorder="1"/>
    <xf numFmtId="1" fontId="3" fillId="0" borderId="9" xfId="0" applyNumberFormat="1" applyFont="1" applyFill="1" applyBorder="1"/>
    <xf numFmtId="168" fontId="0" fillId="0" borderId="0" xfId="0" applyNumberFormat="1" applyFill="1" applyBorder="1"/>
    <xf numFmtId="1" fontId="3" fillId="0" borderId="0" xfId="0" applyNumberFormat="1" applyFont="1" applyBorder="1"/>
    <xf numFmtId="1" fontId="3" fillId="0" borderId="12" xfId="0" applyNumberFormat="1" applyFont="1" applyBorder="1"/>
    <xf numFmtId="168" fontId="3" fillId="0" borderId="16" xfId="0" applyNumberFormat="1" applyFont="1" applyBorder="1"/>
    <xf numFmtId="1" fontId="3" fillId="0" borderId="11" xfId="0" applyNumberFormat="1" applyFont="1" applyBorder="1"/>
    <xf numFmtId="1" fontId="9" fillId="0" borderId="15" xfId="0" applyNumberFormat="1" applyFont="1" applyBorder="1"/>
    <xf numFmtId="168" fontId="3" fillId="0" borderId="0" xfId="0" applyNumberFormat="1" applyFont="1" applyBorder="1"/>
    <xf numFmtId="1" fontId="3" fillId="0" borderId="15" xfId="0" applyNumberFormat="1" applyFont="1" applyBorder="1"/>
    <xf numFmtId="1" fontId="0" fillId="0" borderId="9" xfId="0" applyNumberFormat="1" applyBorder="1" applyAlignment="1">
      <alignment horizontal="right"/>
    </xf>
    <xf numFmtId="1" fontId="3" fillId="0" borderId="0" xfId="0" applyNumberFormat="1" applyFont="1" applyFill="1" applyBorder="1"/>
    <xf numFmtId="1" fontId="3" fillId="0" borderId="15" xfId="0" applyNumberFormat="1" applyFont="1" applyFill="1" applyBorder="1"/>
    <xf numFmtId="1" fontId="3" fillId="0" borderId="8" xfId="0" applyNumberFormat="1" applyFont="1" applyFill="1" applyBorder="1"/>
    <xf numFmtId="1" fontId="0" fillId="0" borderId="15" xfId="0" applyNumberFormat="1" applyFill="1" applyBorder="1"/>
    <xf numFmtId="1" fontId="3" fillId="0" borderId="12" xfId="0" applyNumberFormat="1" applyFont="1" applyFill="1" applyBorder="1"/>
    <xf numFmtId="1" fontId="3" fillId="0" borderId="16" xfId="0" applyNumberFormat="1" applyFont="1" applyBorder="1"/>
    <xf numFmtId="1" fontId="0" fillId="0" borderId="1" xfId="0" applyNumberFormat="1" applyBorder="1"/>
    <xf numFmtId="1" fontId="0" fillId="0" borderId="3" xfId="0" applyNumberFormat="1" applyBorder="1"/>
    <xf numFmtId="165" fontId="9" fillId="0" borderId="1" xfId="0" applyFont="1" applyBorder="1"/>
    <xf numFmtId="165" fontId="0" fillId="0" borderId="2" xfId="0" applyBorder="1"/>
    <xf numFmtId="165" fontId="0" fillId="0" borderId="3" xfId="0" applyBorder="1"/>
    <xf numFmtId="9" fontId="0" fillId="0" borderId="6" xfId="7" applyFont="1" applyBorder="1"/>
    <xf numFmtId="9" fontId="0" fillId="0" borderId="0" xfId="7" applyFont="1" applyBorder="1"/>
    <xf numFmtId="165" fontId="9" fillId="0" borderId="1" xfId="0" applyFont="1" applyFill="1" applyBorder="1"/>
    <xf numFmtId="0" fontId="0" fillId="0" borderId="8" xfId="0" applyNumberFormat="1" applyBorder="1" applyAlignment="1">
      <alignment horizontal="center"/>
    </xf>
    <xf numFmtId="49" fontId="0" fillId="0" borderId="8" xfId="0" applyNumberFormat="1" applyBorder="1"/>
    <xf numFmtId="1" fontId="0" fillId="0" borderId="0" xfId="0" applyNumberFormat="1" applyAlignment="1">
      <alignment horizontal="center"/>
    </xf>
    <xf numFmtId="1" fontId="0" fillId="0" borderId="8" xfId="0" applyNumberFormat="1" applyBorder="1" applyAlignment="1">
      <alignment horizontal="center"/>
    </xf>
    <xf numFmtId="1" fontId="0" fillId="0" borderId="10" xfId="0" applyNumberFormat="1" applyBorder="1" applyAlignment="1">
      <alignment horizontal="center"/>
    </xf>
    <xf numFmtId="1" fontId="0" fillId="0" borderId="5" xfId="0" applyNumberFormat="1" applyBorder="1" applyAlignment="1">
      <alignment horizontal="center"/>
    </xf>
    <xf numFmtId="1" fontId="0" fillId="0" borderId="0" xfId="0" applyNumberFormat="1" applyBorder="1" applyAlignment="1">
      <alignment horizontal="center"/>
    </xf>
    <xf numFmtId="1" fontId="0" fillId="0" borderId="9" xfId="0" applyNumberFormat="1" applyFont="1" applyBorder="1"/>
    <xf numFmtId="1" fontId="0" fillId="0" borderId="0" xfId="0" applyNumberFormat="1" applyFont="1" applyBorder="1"/>
    <xf numFmtId="1" fontId="0" fillId="0" borderId="15" xfId="0" applyNumberFormat="1" applyFont="1" applyBorder="1"/>
    <xf numFmtId="168" fontId="0" fillId="0" borderId="0" xfId="0" applyNumberFormat="1" applyFont="1" applyBorder="1"/>
    <xf numFmtId="1" fontId="0" fillId="0" borderId="8" xfId="0" applyNumberFormat="1" applyFont="1" applyBorder="1"/>
    <xf numFmtId="1" fontId="0" fillId="2" borderId="5" xfId="0" applyNumberFormat="1" applyFill="1" applyBorder="1"/>
    <xf numFmtId="1" fontId="0" fillId="2" borderId="8" xfId="0" applyNumberFormat="1" applyFill="1" applyBorder="1"/>
    <xf numFmtId="1" fontId="0" fillId="2" borderId="10" xfId="0" applyNumberFormat="1" applyFill="1" applyBorder="1"/>
    <xf numFmtId="1" fontId="9" fillId="0" borderId="0" xfId="0" applyNumberFormat="1" applyFont="1" applyBorder="1" applyAlignment="1">
      <alignment horizontal="center"/>
    </xf>
    <xf numFmtId="165" fontId="3" fillId="0" borderId="8" xfId="0" applyFont="1" applyFill="1" applyBorder="1"/>
    <xf numFmtId="165" fontId="9" fillId="0" borderId="1" xfId="0" applyFont="1" applyBorder="1" applyAlignment="1">
      <alignment horizontal="center"/>
    </xf>
    <xf numFmtId="165" fontId="9" fillId="0" borderId="2" xfId="0" applyFont="1" applyBorder="1" applyAlignment="1">
      <alignment horizontal="center"/>
    </xf>
    <xf numFmtId="165" fontId="9" fillId="0" borderId="3" xfId="0" applyFont="1" applyBorder="1" applyAlignment="1">
      <alignment horizontal="center"/>
    </xf>
    <xf numFmtId="165" fontId="3" fillId="0" borderId="4" xfId="0" applyFont="1" applyBorder="1" applyAlignment="1">
      <alignment horizontal="center" vertical="top" wrapText="1"/>
    </xf>
    <xf numFmtId="165" fontId="0" fillId="0" borderId="2" xfId="0" applyBorder="1" applyAlignment="1">
      <alignment horizontal="center" vertical="top" wrapText="1"/>
    </xf>
    <xf numFmtId="165" fontId="0" fillId="0" borderId="4" xfId="0" applyBorder="1" applyAlignment="1">
      <alignment horizontal="center" vertical="top" wrapText="1"/>
    </xf>
    <xf numFmtId="165" fontId="3" fillId="0" borderId="4" xfId="1" applyBorder="1" applyAlignment="1">
      <alignment horizontal="center" vertical="top" wrapText="1"/>
    </xf>
    <xf numFmtId="0" fontId="0" fillId="0" borderId="4" xfId="0" applyNumberFormat="1" applyBorder="1" applyAlignment="1">
      <alignment horizontal="center" vertical="top" wrapText="1"/>
    </xf>
    <xf numFmtId="165" fontId="0" fillId="0" borderId="4" xfId="0" applyFill="1" applyBorder="1" applyAlignment="1">
      <alignment horizontal="center" vertical="top" wrapText="1"/>
    </xf>
    <xf numFmtId="165" fontId="0" fillId="0" borderId="1" xfId="0" applyBorder="1" applyAlignment="1">
      <alignment horizontal="center" vertical="top" wrapText="1"/>
    </xf>
    <xf numFmtId="15" fontId="0" fillId="0" borderId="4" xfId="0" applyNumberFormat="1" applyFill="1" applyBorder="1" applyAlignment="1">
      <alignment horizontal="center" vertical="top" wrapText="1"/>
    </xf>
    <xf numFmtId="167" fontId="0" fillId="0" borderId="4" xfId="0" applyNumberFormat="1" applyFill="1" applyBorder="1" applyAlignment="1">
      <alignment horizontal="center" vertical="top" wrapText="1"/>
    </xf>
    <xf numFmtId="165" fontId="0" fillId="0" borderId="3" xfId="0" applyBorder="1" applyAlignment="1">
      <alignment horizontal="center" vertical="top" wrapText="1"/>
    </xf>
    <xf numFmtId="165" fontId="0" fillId="0" borderId="3" xfId="0" applyFill="1" applyBorder="1" applyAlignment="1">
      <alignment horizontal="center" vertical="top" wrapText="1"/>
    </xf>
    <xf numFmtId="15" fontId="0" fillId="0" borderId="1" xfId="0" applyNumberFormat="1" applyFill="1" applyBorder="1" applyAlignment="1">
      <alignment horizontal="center" vertical="top" wrapText="1"/>
    </xf>
    <xf numFmtId="165" fontId="9" fillId="0" borderId="8" xfId="0" applyFont="1" applyBorder="1"/>
    <xf numFmtId="9" fontId="0" fillId="0" borderId="0" xfId="7" applyNumberFormat="1" applyFont="1" applyBorder="1"/>
    <xf numFmtId="165" fontId="0" fillId="0" borderId="0" xfId="0" applyAlignment="1">
      <alignment horizontal="center" vertical="top" wrapText="1"/>
    </xf>
    <xf numFmtId="168" fontId="0" fillId="0" borderId="2" xfId="9" applyNumberFormat="1" applyFont="1" applyBorder="1"/>
    <xf numFmtId="49" fontId="0" fillId="0" borderId="8" xfId="0" applyNumberFormat="1" applyFill="1" applyBorder="1"/>
    <xf numFmtId="165" fontId="3" fillId="0" borderId="7" xfId="0" applyFont="1" applyBorder="1" applyAlignment="1">
      <alignment horizontal="center"/>
    </xf>
    <xf numFmtId="17" fontId="0" fillId="0" borderId="7" xfId="0" applyNumberFormat="1" applyBorder="1" applyAlignment="1">
      <alignment horizontal="center"/>
    </xf>
    <xf numFmtId="17" fontId="0" fillId="0" borderId="6" xfId="0" applyNumberFormat="1" applyBorder="1" applyAlignment="1">
      <alignment horizontal="center"/>
    </xf>
    <xf numFmtId="17" fontId="0" fillId="0" borderId="14" xfId="0" applyNumberFormat="1" applyBorder="1" applyAlignment="1">
      <alignment horizontal="center"/>
    </xf>
    <xf numFmtId="49" fontId="0" fillId="0" borderId="0" xfId="0" applyNumberFormat="1" applyBorder="1" applyAlignment="1">
      <alignment horizontal="center"/>
    </xf>
    <xf numFmtId="49" fontId="0" fillId="0" borderId="6" xfId="0" applyNumberFormat="1" applyBorder="1" applyAlignment="1">
      <alignment horizontal="center"/>
    </xf>
    <xf numFmtId="49" fontId="0" fillId="0" borderId="4" xfId="0" applyNumberFormat="1" applyFill="1" applyBorder="1"/>
    <xf numFmtId="0" fontId="0" fillId="0" borderId="0" xfId="0" applyNumberFormat="1" applyBorder="1" applyAlignment="1">
      <alignment horizontal="center"/>
    </xf>
    <xf numFmtId="168" fontId="0" fillId="0" borderId="4" xfId="0" applyNumberFormat="1" applyBorder="1"/>
    <xf numFmtId="1" fontId="9" fillId="0" borderId="1" xfId="0" applyNumberFormat="1" applyFont="1" applyBorder="1"/>
    <xf numFmtId="9" fontId="0" fillId="0" borderId="2" xfId="0" applyNumberFormat="1" applyBorder="1"/>
    <xf numFmtId="165" fontId="0" fillId="0" borderId="1" xfId="0" applyBorder="1"/>
    <xf numFmtId="1" fontId="0" fillId="0" borderId="2" xfId="0" applyNumberFormat="1" applyFont="1" applyFill="1" applyBorder="1"/>
    <xf numFmtId="165" fontId="9" fillId="0" borderId="7" xfId="0" applyFont="1" applyBorder="1" applyAlignment="1">
      <alignment vertical="top" wrapText="1"/>
    </xf>
    <xf numFmtId="165" fontId="9" fillId="0" borderId="5" xfId="0" applyFont="1" applyBorder="1" applyAlignment="1">
      <alignment vertical="top" wrapText="1"/>
    </xf>
    <xf numFmtId="165" fontId="3" fillId="10" borderId="8" xfId="0" applyFont="1" applyFill="1" applyBorder="1" applyAlignment="1">
      <alignment vertical="top" wrapText="1"/>
    </xf>
    <xf numFmtId="1" fontId="3" fillId="10" borderId="8" xfId="0" applyNumberFormat="1" applyFont="1" applyFill="1" applyBorder="1"/>
    <xf numFmtId="165" fontId="0" fillId="10" borderId="8" xfId="0" applyFill="1" applyBorder="1" applyAlignment="1">
      <alignment vertical="top" wrapText="1"/>
    </xf>
    <xf numFmtId="1" fontId="0" fillId="10" borderId="8" xfId="0" applyNumberFormat="1" applyFill="1" applyBorder="1"/>
    <xf numFmtId="165" fontId="9" fillId="10" borderId="8" xfId="0" applyFont="1" applyFill="1" applyBorder="1" applyAlignment="1">
      <alignment vertical="top" wrapText="1"/>
    </xf>
    <xf numFmtId="1" fontId="9" fillId="10" borderId="8" xfId="0" applyNumberFormat="1" applyFont="1" applyFill="1" applyBorder="1"/>
    <xf numFmtId="165" fontId="0" fillId="11" borderId="8" xfId="0" applyFill="1" applyBorder="1" applyAlignment="1">
      <alignment vertical="top" wrapText="1"/>
    </xf>
    <xf numFmtId="1" fontId="0" fillId="11" borderId="8" xfId="0" quotePrefix="1" applyNumberFormat="1" applyFill="1" applyBorder="1"/>
    <xf numFmtId="165" fontId="0" fillId="9" borderId="8" xfId="0" applyFill="1" applyBorder="1" applyAlignment="1">
      <alignment vertical="top" wrapText="1"/>
    </xf>
    <xf numFmtId="1" fontId="0" fillId="9" borderId="8" xfId="0" applyNumberFormat="1" applyFill="1" applyBorder="1"/>
    <xf numFmtId="1" fontId="0" fillId="9" borderId="8" xfId="0" applyNumberFormat="1" applyFill="1" applyBorder="1" applyAlignment="1">
      <alignment horizontal="right"/>
    </xf>
    <xf numFmtId="165" fontId="0" fillId="9" borderId="8" xfId="0" applyFill="1" applyBorder="1"/>
    <xf numFmtId="1" fontId="0" fillId="11" borderId="8" xfId="0" applyNumberFormat="1" applyFill="1" applyBorder="1" applyAlignment="1">
      <alignment horizontal="right"/>
    </xf>
    <xf numFmtId="165" fontId="0" fillId="12" borderId="8" xfId="0" applyFill="1" applyBorder="1" applyAlignment="1">
      <alignment vertical="top" wrapText="1"/>
    </xf>
    <xf numFmtId="1" fontId="0" fillId="12" borderId="8" xfId="0" applyNumberFormat="1" applyFill="1" applyBorder="1"/>
    <xf numFmtId="165" fontId="3" fillId="12" borderId="8" xfId="0" applyFont="1" applyFill="1" applyBorder="1" applyAlignment="1">
      <alignment vertical="top" wrapText="1"/>
    </xf>
    <xf numFmtId="165" fontId="9" fillId="12" borderId="10" xfId="0" applyFont="1" applyFill="1" applyBorder="1" applyAlignment="1">
      <alignment vertical="top" wrapText="1"/>
    </xf>
    <xf numFmtId="1" fontId="9" fillId="12" borderId="10" xfId="0" applyNumberFormat="1" applyFont="1" applyFill="1" applyBorder="1"/>
    <xf numFmtId="165" fontId="0" fillId="0" borderId="12" xfId="0" applyBorder="1" applyAlignment="1">
      <alignment vertical="top" wrapText="1"/>
    </xf>
    <xf numFmtId="165" fontId="3" fillId="9" borderId="7" xfId="0" applyFont="1" applyFill="1" applyBorder="1"/>
    <xf numFmtId="1" fontId="0" fillId="9" borderId="5" xfId="0" applyNumberFormat="1" applyFill="1" applyBorder="1" applyAlignment="1">
      <alignment horizontal="right"/>
    </xf>
    <xf numFmtId="1" fontId="0" fillId="0" borderId="10" xfId="0" applyNumberFormat="1" applyBorder="1" applyAlignment="1">
      <alignment horizontal="right"/>
    </xf>
    <xf numFmtId="49" fontId="0" fillId="0" borderId="0" xfId="0" applyNumberFormat="1" applyBorder="1"/>
    <xf numFmtId="1" fontId="0" fillId="0" borderId="4" xfId="0" applyNumberFormat="1" applyFont="1" applyFill="1" applyBorder="1"/>
    <xf numFmtId="1" fontId="3" fillId="0" borderId="5" xfId="0" applyNumberFormat="1" applyFont="1" applyBorder="1"/>
    <xf numFmtId="2" fontId="0" fillId="0" borderId="4" xfId="1" applyNumberFormat="1" applyFont="1" applyFill="1" applyBorder="1" applyAlignment="1">
      <alignment horizontal="center" wrapText="1"/>
    </xf>
    <xf numFmtId="1" fontId="0" fillId="0" borderId="0" xfId="0" applyNumberFormat="1" applyAlignment="1"/>
    <xf numFmtId="165" fontId="0" fillId="0" borderId="7" xfId="0" applyBorder="1" applyAlignment="1">
      <alignment horizontal="center"/>
    </xf>
    <xf numFmtId="1" fontId="3" fillId="0" borderId="7" xfId="0" applyNumberFormat="1" applyFont="1" applyBorder="1"/>
    <xf numFmtId="165" fontId="0" fillId="0" borderId="7" xfId="0" applyFont="1" applyBorder="1" applyAlignment="1">
      <alignment horizontal="center" wrapText="1"/>
    </xf>
    <xf numFmtId="0" fontId="0" fillId="0" borderId="0" xfId="0" applyNumberFormat="1" applyFill="1" applyBorder="1" applyAlignment="1">
      <alignment horizontal="center"/>
    </xf>
    <xf numFmtId="165" fontId="9" fillId="0" borderId="3" xfId="0" applyFont="1" applyBorder="1"/>
    <xf numFmtId="165" fontId="9" fillId="0" borderId="4" xfId="0" applyFont="1" applyFill="1" applyBorder="1"/>
    <xf numFmtId="165" fontId="0" fillId="0" borderId="0" xfId="0" applyAlignment="1">
      <alignment wrapText="1"/>
    </xf>
    <xf numFmtId="165" fontId="0" fillId="0" borderId="0" xfId="0" applyAlignment="1">
      <alignment horizontal="center" wrapText="1"/>
    </xf>
    <xf numFmtId="167" fontId="0" fillId="0" borderId="0" xfId="0" applyNumberFormat="1" applyAlignment="1">
      <alignment horizontal="center"/>
    </xf>
    <xf numFmtId="167" fontId="0" fillId="0" borderId="0" xfId="0" applyNumberFormat="1" applyAlignment="1">
      <alignment vertical="top" wrapText="1"/>
    </xf>
    <xf numFmtId="165" fontId="0" fillId="0" borderId="0" xfId="0" applyAlignment="1">
      <alignment horizontal="center" vertical="top"/>
    </xf>
    <xf numFmtId="49" fontId="0" fillId="0" borderId="0" xfId="0" applyNumberFormat="1" applyFont="1"/>
    <xf numFmtId="165" fontId="0" fillId="0" borderId="0" xfId="0" applyFont="1"/>
    <xf numFmtId="1" fontId="0" fillId="0" borderId="6" xfId="0" applyNumberFormat="1" applyBorder="1" applyAlignment="1">
      <alignment horizontal="center"/>
    </xf>
    <xf numFmtId="165" fontId="0" fillId="0" borderId="0" xfId="0" applyBorder="1" applyAlignment="1">
      <alignment horizontal="center"/>
    </xf>
    <xf numFmtId="1" fontId="0" fillId="0" borderId="6" xfId="0" applyNumberFormat="1" applyBorder="1" applyAlignment="1">
      <alignment wrapText="1"/>
    </xf>
    <xf numFmtId="1" fontId="0" fillId="0" borderId="0" xfId="0" applyNumberFormat="1" applyBorder="1" applyAlignment="1">
      <alignment wrapText="1"/>
    </xf>
    <xf numFmtId="1" fontId="0" fillId="0" borderId="0" xfId="0" applyNumberFormat="1" applyAlignment="1">
      <alignment wrapText="1"/>
    </xf>
    <xf numFmtId="1" fontId="0" fillId="0" borderId="14" xfId="0" applyNumberFormat="1" applyBorder="1" applyAlignment="1">
      <alignment wrapText="1"/>
    </xf>
    <xf numFmtId="1" fontId="0" fillId="0" borderId="15" xfId="0" applyNumberFormat="1" applyBorder="1" applyAlignment="1">
      <alignment wrapText="1"/>
    </xf>
    <xf numFmtId="1" fontId="0" fillId="0" borderId="15" xfId="0" applyNumberFormat="1" applyFill="1" applyBorder="1" applyAlignment="1">
      <alignment wrapText="1"/>
    </xf>
    <xf numFmtId="167" fontId="0" fillId="0" borderId="5" xfId="0" applyNumberFormat="1" applyBorder="1" applyAlignment="1">
      <alignment horizontal="center" wrapText="1"/>
    </xf>
    <xf numFmtId="168" fontId="0" fillId="0" borderId="6" xfId="0" applyNumberFormat="1" applyBorder="1" applyAlignment="1">
      <alignment wrapText="1"/>
    </xf>
    <xf numFmtId="168" fontId="0" fillId="0" borderId="0" xfId="0" applyNumberFormat="1" applyBorder="1" applyAlignment="1">
      <alignment wrapText="1"/>
    </xf>
    <xf numFmtId="168" fontId="0" fillId="0" borderId="16" xfId="0" applyNumberFormat="1" applyBorder="1" applyAlignment="1">
      <alignment wrapText="1"/>
    </xf>
    <xf numFmtId="168" fontId="0" fillId="0" borderId="10" xfId="0" applyNumberFormat="1" applyBorder="1" applyAlignment="1">
      <alignment wrapText="1"/>
    </xf>
    <xf numFmtId="165" fontId="9" fillId="0" borderId="6" xfId="0" applyFont="1" applyBorder="1" applyAlignment="1">
      <alignment horizontal="center" wrapText="1"/>
    </xf>
    <xf numFmtId="1" fontId="9" fillId="0" borderId="6" xfId="0" applyNumberFormat="1" applyFont="1" applyBorder="1" applyAlignment="1">
      <alignment wrapText="1"/>
    </xf>
    <xf numFmtId="1" fontId="0" fillId="0" borderId="16" xfId="0" applyNumberFormat="1" applyBorder="1" applyAlignment="1">
      <alignment wrapText="1"/>
    </xf>
    <xf numFmtId="1" fontId="9" fillId="0" borderId="0" xfId="0" applyNumberFormat="1" applyFont="1" applyBorder="1" applyAlignment="1">
      <alignment wrapText="1"/>
    </xf>
    <xf numFmtId="1" fontId="0" fillId="0" borderId="0" xfId="0" applyNumberFormat="1" applyFont="1" applyBorder="1" applyAlignment="1">
      <alignment wrapText="1"/>
    </xf>
    <xf numFmtId="1" fontId="3" fillId="0" borderId="0" xfId="0" applyNumberFormat="1" applyFont="1" applyBorder="1" applyAlignment="1">
      <alignment wrapText="1"/>
    </xf>
    <xf numFmtId="1" fontId="3" fillId="0" borderId="0" xfId="0" applyNumberFormat="1" applyFont="1" applyFill="1" applyBorder="1" applyAlignment="1">
      <alignment wrapText="1"/>
    </xf>
    <xf numFmtId="1" fontId="0" fillId="0" borderId="2" xfId="0" applyNumberFormat="1" applyBorder="1" applyAlignment="1">
      <alignment wrapText="1"/>
    </xf>
    <xf numFmtId="168" fontId="0" fillId="0" borderId="8" xfId="0" applyNumberFormat="1" applyBorder="1" applyAlignment="1">
      <alignment wrapText="1"/>
    </xf>
    <xf numFmtId="165" fontId="0" fillId="0" borderId="10" xfId="0" applyBorder="1" applyAlignment="1">
      <alignment wrapText="1"/>
    </xf>
    <xf numFmtId="1" fontId="0" fillId="0" borderId="8" xfId="0" applyNumberFormat="1" applyBorder="1" applyAlignment="1">
      <alignment wrapText="1"/>
    </xf>
    <xf numFmtId="1" fontId="0" fillId="0" borderId="5" xfId="0" applyNumberFormat="1" applyBorder="1" applyAlignment="1">
      <alignment wrapText="1"/>
    </xf>
    <xf numFmtId="1" fontId="0" fillId="0" borderId="8" xfId="0" applyNumberFormat="1" applyFill="1" applyBorder="1" applyAlignment="1">
      <alignment wrapText="1"/>
    </xf>
    <xf numFmtId="1" fontId="0" fillId="0" borderId="10" xfId="0" applyNumberFormat="1" applyBorder="1" applyAlignment="1">
      <alignment wrapText="1"/>
    </xf>
    <xf numFmtId="1" fontId="0" fillId="0" borderId="9" xfId="0" applyNumberFormat="1" applyBorder="1" applyAlignment="1">
      <alignment wrapText="1"/>
    </xf>
    <xf numFmtId="1" fontId="0" fillId="0" borderId="12" xfId="0" applyNumberFormat="1" applyBorder="1" applyAlignment="1">
      <alignment wrapText="1"/>
    </xf>
    <xf numFmtId="1" fontId="0" fillId="0" borderId="7" xfId="0" applyNumberFormat="1" applyBorder="1" applyAlignment="1">
      <alignment wrapText="1"/>
    </xf>
    <xf numFmtId="1" fontId="0" fillId="0" borderId="4" xfId="0" applyNumberFormat="1" applyBorder="1" applyAlignment="1">
      <alignment wrapText="1"/>
    </xf>
    <xf numFmtId="165" fontId="9" fillId="0" borderId="16" xfId="0" applyFont="1" applyBorder="1" applyAlignment="1">
      <alignment horizontal="center" wrapText="1"/>
    </xf>
    <xf numFmtId="165" fontId="0" fillId="0" borderId="2" xfId="0" applyBorder="1" applyAlignment="1">
      <alignment wrapText="1"/>
    </xf>
    <xf numFmtId="165" fontId="9" fillId="0" borderId="5" xfId="0" applyFont="1" applyBorder="1" applyAlignment="1">
      <alignment horizontal="center" wrapText="1"/>
    </xf>
    <xf numFmtId="9" fontId="0" fillId="0" borderId="5" xfId="7" applyFont="1" applyBorder="1" applyAlignment="1">
      <alignment wrapText="1"/>
    </xf>
    <xf numFmtId="9" fontId="0" fillId="0" borderId="8" xfId="7" applyFont="1" applyBorder="1" applyAlignment="1">
      <alignment wrapText="1"/>
    </xf>
    <xf numFmtId="168" fontId="0" fillId="0" borderId="8" xfId="7" applyNumberFormat="1" applyFont="1" applyBorder="1" applyAlignment="1">
      <alignment wrapText="1"/>
    </xf>
    <xf numFmtId="168" fontId="0" fillId="0" borderId="4" xfId="0" applyNumberFormat="1" applyBorder="1" applyAlignment="1">
      <alignment wrapText="1"/>
    </xf>
    <xf numFmtId="1" fontId="3" fillId="0" borderId="0" xfId="0" applyNumberFormat="1" applyFont="1" applyAlignment="1"/>
    <xf numFmtId="1" fontId="0" fillId="0" borderId="7" xfId="0" applyNumberFormat="1" applyBorder="1" applyAlignment="1">
      <alignment horizontal="center"/>
    </xf>
    <xf numFmtId="1" fontId="0" fillId="0" borderId="8" xfId="0" applyNumberFormat="1" applyFill="1" applyBorder="1" applyAlignment="1">
      <alignment horizontal="center"/>
    </xf>
    <xf numFmtId="165" fontId="3" fillId="0" borderId="5" xfId="0" applyFont="1" applyBorder="1" applyAlignment="1">
      <alignment horizontal="center" wrapText="1"/>
    </xf>
    <xf numFmtId="1" fontId="0" fillId="0" borderId="6" xfId="0" applyNumberFormat="1" applyBorder="1" applyAlignment="1">
      <alignment horizontal="right"/>
    </xf>
    <xf numFmtId="1" fontId="0" fillId="0" borderId="0" xfId="0" applyNumberFormat="1" applyBorder="1" applyAlignment="1">
      <alignment horizontal="right"/>
    </xf>
    <xf numFmtId="1" fontId="0" fillId="0" borderId="0" xfId="0" applyNumberFormat="1" applyAlignment="1">
      <alignment horizontal="right"/>
    </xf>
    <xf numFmtId="49" fontId="3" fillId="0" borderId="8" xfId="0" applyNumberFormat="1" applyFont="1" applyBorder="1"/>
    <xf numFmtId="0" fontId="0" fillId="0" borderId="8" xfId="0" applyNumberFormat="1" applyFill="1" applyBorder="1" applyAlignment="1">
      <alignment horizontal="center"/>
    </xf>
    <xf numFmtId="165" fontId="0" fillId="0" borderId="9" xfId="0" applyBorder="1" applyAlignment="1">
      <alignment vertical="top"/>
    </xf>
    <xf numFmtId="165" fontId="9" fillId="0" borderId="7" xfId="0" applyFont="1" applyBorder="1" applyAlignment="1">
      <alignment vertical="top"/>
    </xf>
    <xf numFmtId="165" fontId="0" fillId="6" borderId="9" xfId="0" applyFill="1" applyBorder="1" applyAlignment="1">
      <alignment vertical="top"/>
    </xf>
    <xf numFmtId="165" fontId="0" fillId="0" borderId="12" xfId="0" applyBorder="1" applyAlignment="1">
      <alignment vertical="top"/>
    </xf>
    <xf numFmtId="165" fontId="9" fillId="0" borderId="9" xfId="0" applyFont="1" applyBorder="1" applyAlignment="1">
      <alignment vertical="top"/>
    </xf>
    <xf numFmtId="165" fontId="3" fillId="6" borderId="9" xfId="0" applyFont="1" applyFill="1" applyBorder="1" applyAlignment="1">
      <alignment vertical="top"/>
    </xf>
    <xf numFmtId="165" fontId="0" fillId="7" borderId="9" xfId="0" applyFill="1" applyBorder="1" applyAlignment="1">
      <alignment vertical="top"/>
    </xf>
    <xf numFmtId="165" fontId="3" fillId="2" borderId="9" xfId="0" applyFont="1" applyFill="1" applyBorder="1" applyAlignment="1">
      <alignment vertical="top"/>
    </xf>
    <xf numFmtId="165" fontId="0" fillId="0" borderId="9" xfId="0" applyFill="1" applyBorder="1" applyAlignment="1">
      <alignment vertical="top"/>
    </xf>
    <xf numFmtId="165" fontId="3" fillId="0" borderId="9" xfId="0" applyFont="1" applyBorder="1" applyAlignment="1">
      <alignment vertical="top"/>
    </xf>
    <xf numFmtId="165" fontId="3" fillId="7" borderId="9" xfId="0" applyFont="1" applyFill="1" applyBorder="1" applyAlignment="1">
      <alignment vertical="top"/>
    </xf>
    <xf numFmtId="165" fontId="3" fillId="0" borderId="9" xfId="0" applyFont="1" applyFill="1" applyBorder="1" applyAlignment="1">
      <alignment vertical="top"/>
    </xf>
    <xf numFmtId="165" fontId="0" fillId="2" borderId="9" xfId="0" applyFont="1" applyFill="1" applyBorder="1" applyAlignment="1">
      <alignment vertical="top"/>
    </xf>
    <xf numFmtId="165" fontId="0" fillId="8" borderId="9" xfId="0" applyFill="1" applyBorder="1" applyAlignment="1">
      <alignment vertical="top"/>
    </xf>
    <xf numFmtId="165" fontId="0" fillId="2" borderId="9" xfId="0" applyFill="1" applyBorder="1" applyAlignment="1">
      <alignment vertical="top"/>
    </xf>
    <xf numFmtId="165" fontId="3" fillId="8" borderId="9" xfId="0" applyFont="1" applyFill="1" applyBorder="1" applyAlignment="1">
      <alignment vertical="top"/>
    </xf>
    <xf numFmtId="165" fontId="3" fillId="2" borderId="12" xfId="0" applyFont="1" applyFill="1" applyBorder="1" applyAlignment="1">
      <alignment vertical="top"/>
    </xf>
    <xf numFmtId="165" fontId="0" fillId="7" borderId="12" xfId="0" applyFill="1" applyBorder="1" applyAlignment="1">
      <alignment vertical="top"/>
    </xf>
    <xf numFmtId="165" fontId="10" fillId="0" borderId="1" xfId="0" applyFont="1" applyFill="1" applyBorder="1" applyAlignment="1">
      <alignment vertical="top"/>
    </xf>
    <xf numFmtId="165" fontId="3" fillId="6" borderId="1" xfId="0" applyFont="1" applyFill="1" applyBorder="1" applyAlignment="1">
      <alignment vertical="top"/>
    </xf>
    <xf numFmtId="17" fontId="0" fillId="0" borderId="1" xfId="0" applyNumberFormat="1" applyBorder="1" applyAlignment="1">
      <alignment horizontal="center"/>
    </xf>
    <xf numFmtId="17" fontId="0" fillId="0" borderId="2" xfId="0" applyNumberFormat="1" applyBorder="1" applyAlignment="1">
      <alignment horizontal="center"/>
    </xf>
    <xf numFmtId="166" fontId="0" fillId="0" borderId="0" xfId="0" applyNumberFormat="1"/>
    <xf numFmtId="1" fontId="0" fillId="0" borderId="4" xfId="0" applyNumberFormat="1" applyBorder="1" applyAlignment="1">
      <alignment vertical="top"/>
    </xf>
    <xf numFmtId="1" fontId="0" fillId="0" borderId="0" xfId="0" applyNumberFormat="1" applyAlignment="1">
      <alignment vertical="top"/>
    </xf>
    <xf numFmtId="15" fontId="0" fillId="0" borderId="0" xfId="0" applyNumberFormat="1" applyAlignment="1">
      <alignment horizontal="center"/>
    </xf>
    <xf numFmtId="1" fontId="0" fillId="0" borderId="7" xfId="0" applyNumberFormat="1" applyFont="1" applyBorder="1" applyAlignment="1">
      <alignment horizontal="center"/>
    </xf>
    <xf numFmtId="1" fontId="0" fillId="0" borderId="9" xfId="0" applyNumberFormat="1" applyFont="1" applyBorder="1" applyAlignment="1">
      <alignment horizontal="center"/>
    </xf>
    <xf numFmtId="1" fontId="3" fillId="0" borderId="9" xfId="0" applyNumberFormat="1" applyFont="1" applyBorder="1" applyAlignment="1">
      <alignment horizontal="center"/>
    </xf>
    <xf numFmtId="1" fontId="9" fillId="0" borderId="12" xfId="0" applyNumberFormat="1" applyFont="1" applyBorder="1" applyAlignment="1">
      <alignment horizontal="center"/>
    </xf>
    <xf numFmtId="165" fontId="0" fillId="0" borderId="8" xfId="0" applyFont="1" applyFill="1" applyBorder="1"/>
    <xf numFmtId="165" fontId="0" fillId="0" borderId="2" xfId="0" applyBorder="1" applyAlignment="1">
      <alignment horizontal="center"/>
    </xf>
    <xf numFmtId="165" fontId="9" fillId="0" borderId="2" xfId="0" applyFont="1" applyBorder="1" applyAlignment="1">
      <alignment horizontal="center"/>
    </xf>
    <xf numFmtId="165" fontId="0" fillId="0" borderId="2" xfId="0" applyBorder="1" applyAlignment="1">
      <alignment horizontal="center" wrapText="1"/>
    </xf>
    <xf numFmtId="165" fontId="0" fillId="0" borderId="15" xfId="0" applyBorder="1" applyAlignment="1">
      <alignment horizontal="center"/>
    </xf>
    <xf numFmtId="165" fontId="0" fillId="0" borderId="8" xfId="0" applyFill="1" applyBorder="1" applyAlignment="1">
      <alignment horizontal="center" wrapText="1"/>
    </xf>
    <xf numFmtId="165" fontId="9" fillId="0" borderId="9" xfId="0" applyFont="1" applyFill="1" applyBorder="1" applyAlignment="1">
      <alignment horizontal="center"/>
    </xf>
    <xf numFmtId="167" fontId="0" fillId="0" borderId="6" xfId="0" applyNumberFormat="1" applyBorder="1"/>
    <xf numFmtId="167" fontId="0" fillId="0" borderId="0" xfId="0" applyNumberFormat="1" applyBorder="1"/>
    <xf numFmtId="165" fontId="0" fillId="3" borderId="0" xfId="0" applyFill="1" applyAlignment="1">
      <alignment wrapText="1"/>
    </xf>
    <xf numFmtId="165" fontId="0" fillId="3" borderId="0" xfId="0" applyFill="1"/>
    <xf numFmtId="1" fontId="0" fillId="3" borderId="0" xfId="0" applyNumberFormat="1" applyFill="1"/>
    <xf numFmtId="165" fontId="0" fillId="3" borderId="0" xfId="0" applyFill="1" applyAlignment="1">
      <alignment horizontal="center"/>
    </xf>
    <xf numFmtId="167" fontId="0" fillId="3" borderId="0" xfId="0" applyNumberFormat="1" applyFill="1"/>
    <xf numFmtId="166" fontId="0" fillId="3" borderId="0" xfId="0" applyNumberFormat="1" applyFill="1"/>
    <xf numFmtId="165" fontId="0" fillId="3" borderId="0" xfId="0" applyFill="1" applyAlignment="1">
      <alignment horizontal="center" wrapText="1"/>
    </xf>
    <xf numFmtId="1" fontId="0" fillId="3" borderId="0" xfId="0" applyNumberFormat="1" applyFill="1" applyAlignment="1">
      <alignment wrapText="1"/>
    </xf>
    <xf numFmtId="165" fontId="9" fillId="0" borderId="5" xfId="0" applyFont="1" applyFill="1" applyBorder="1" applyAlignment="1">
      <alignment horizontal="center"/>
    </xf>
    <xf numFmtId="165" fontId="9" fillId="0" borderId="12" xfId="0" applyFont="1" applyBorder="1" applyAlignment="1">
      <alignment horizontal="center"/>
    </xf>
    <xf numFmtId="1" fontId="0" fillId="0" borderId="5" xfId="0" applyNumberFormat="1" applyFont="1" applyBorder="1"/>
    <xf numFmtId="1" fontId="0" fillId="0" borderId="10" xfId="0" applyNumberFormat="1" applyFont="1" applyBorder="1"/>
    <xf numFmtId="1" fontId="0" fillId="0" borderId="9" xfId="0" applyNumberFormat="1" applyBorder="1" applyAlignment="1">
      <alignment vertical="top"/>
    </xf>
    <xf numFmtId="1" fontId="0" fillId="0" borderId="0" xfId="0" applyNumberFormat="1" applyBorder="1" applyAlignment="1">
      <alignment vertical="top" wrapText="1"/>
    </xf>
    <xf numFmtId="1" fontId="0" fillId="0" borderId="0" xfId="0" applyNumberFormat="1" applyBorder="1" applyAlignment="1">
      <alignment vertical="top"/>
    </xf>
    <xf numFmtId="168" fontId="0" fillId="0" borderId="0" xfId="0" applyNumberFormat="1" applyBorder="1" applyAlignment="1">
      <alignment vertical="top"/>
    </xf>
    <xf numFmtId="1" fontId="0" fillId="0" borderId="8" xfId="0" applyNumberFormat="1" applyBorder="1" applyAlignment="1">
      <alignment vertical="top"/>
    </xf>
    <xf numFmtId="1" fontId="0" fillId="0" borderId="15" xfId="0" applyNumberFormat="1" applyBorder="1" applyAlignment="1">
      <alignment vertical="top"/>
    </xf>
    <xf numFmtId="49" fontId="0" fillId="0" borderId="0" xfId="0" applyNumberFormat="1" applyAlignment="1">
      <alignment vertical="top"/>
    </xf>
    <xf numFmtId="167" fontId="0" fillId="0" borderId="0" xfId="0" applyNumberFormat="1" applyAlignment="1">
      <alignment vertical="top"/>
    </xf>
    <xf numFmtId="166" fontId="0" fillId="0" borderId="0" xfId="0" applyNumberFormat="1" applyAlignment="1">
      <alignment vertical="top"/>
    </xf>
    <xf numFmtId="1" fontId="0" fillId="0" borderId="0" xfId="0" applyNumberFormat="1" applyAlignment="1">
      <alignment vertical="top" wrapText="1"/>
    </xf>
    <xf numFmtId="1" fontId="12" fillId="0" borderId="0" xfId="0" applyNumberFormat="1" applyFont="1" applyAlignment="1">
      <alignment wrapText="1"/>
    </xf>
    <xf numFmtId="165" fontId="12" fillId="0" borderId="7" xfId="0" applyFont="1" applyBorder="1"/>
    <xf numFmtId="165" fontId="12" fillId="0" borderId="6" xfId="0" applyFont="1" applyBorder="1"/>
    <xf numFmtId="167" fontId="12" fillId="0" borderId="6" xfId="0" applyNumberFormat="1" applyFont="1" applyBorder="1"/>
    <xf numFmtId="165" fontId="12" fillId="0" borderId="9" xfId="0" applyFont="1" applyBorder="1"/>
    <xf numFmtId="165" fontId="12" fillId="0" borderId="0" xfId="0" applyFont="1" applyBorder="1" applyAlignment="1">
      <alignment wrapText="1"/>
    </xf>
    <xf numFmtId="165" fontId="12" fillId="0" borderId="0" xfId="0" applyFont="1" applyBorder="1"/>
    <xf numFmtId="167" fontId="12" fillId="0" borderId="0" xfId="0" applyNumberFormat="1" applyFont="1" applyBorder="1"/>
    <xf numFmtId="1" fontId="12" fillId="0" borderId="15" xfId="0" applyNumberFormat="1" applyFont="1" applyBorder="1" applyAlignment="1">
      <alignment wrapText="1"/>
    </xf>
    <xf numFmtId="165" fontId="12" fillId="0" borderId="12" xfId="0" applyFont="1" applyBorder="1"/>
    <xf numFmtId="165" fontId="12" fillId="0" borderId="16" xfId="0" applyFont="1" applyBorder="1"/>
    <xf numFmtId="167" fontId="12" fillId="0" borderId="16" xfId="0" applyNumberFormat="1" applyFont="1" applyBorder="1"/>
    <xf numFmtId="1" fontId="12" fillId="0" borderId="11" xfId="0" applyNumberFormat="1" applyFont="1" applyBorder="1" applyAlignment="1">
      <alignment wrapText="1"/>
    </xf>
    <xf numFmtId="165" fontId="0" fillId="0" borderId="14" xfId="0" applyBorder="1" applyAlignment="1">
      <alignment wrapText="1"/>
    </xf>
    <xf numFmtId="165" fontId="12" fillId="0" borderId="14" xfId="0" applyFont="1" applyBorder="1"/>
    <xf numFmtId="165" fontId="12" fillId="0" borderId="15" xfId="0" applyFont="1" applyBorder="1"/>
    <xf numFmtId="1" fontId="12" fillId="0" borderId="5" xfId="0" applyNumberFormat="1" applyFont="1" applyBorder="1" applyAlignment="1">
      <alignment wrapText="1"/>
    </xf>
    <xf numFmtId="1" fontId="12" fillId="0" borderId="8" xfId="0" applyNumberFormat="1" applyFont="1" applyBorder="1"/>
    <xf numFmtId="1" fontId="12" fillId="0" borderId="8" xfId="0" applyNumberFormat="1" applyFont="1" applyBorder="1" applyAlignment="1">
      <alignment wrapText="1"/>
    </xf>
    <xf numFmtId="1" fontId="12" fillId="0" borderId="10" xfId="0" applyNumberFormat="1" applyFont="1" applyBorder="1" applyAlignment="1">
      <alignment wrapText="1"/>
    </xf>
    <xf numFmtId="165" fontId="9" fillId="0" borderId="7" xfId="0" applyFont="1" applyBorder="1" applyAlignment="1"/>
    <xf numFmtId="165" fontId="0" fillId="0" borderId="6" xfId="0" applyBorder="1" applyAlignment="1"/>
    <xf numFmtId="167" fontId="0" fillId="0" borderId="6" xfId="0" applyNumberFormat="1" applyBorder="1" applyAlignment="1"/>
    <xf numFmtId="165" fontId="13" fillId="0" borderId="0" xfId="0" applyFont="1"/>
    <xf numFmtId="165" fontId="9" fillId="0" borderId="1" xfId="0" applyFont="1" applyBorder="1" applyAlignment="1"/>
    <xf numFmtId="165" fontId="0" fillId="0" borderId="2" xfId="0" applyBorder="1" applyAlignment="1"/>
    <xf numFmtId="167" fontId="0" fillId="0" borderId="2" xfId="0" applyNumberFormat="1" applyBorder="1" applyAlignment="1"/>
    <xf numFmtId="165" fontId="0" fillId="0" borderId="3" xfId="0" applyBorder="1" applyAlignment="1">
      <alignment wrapText="1"/>
    </xf>
    <xf numFmtId="0" fontId="3" fillId="0" borderId="4" xfId="10" applyFont="1" applyBorder="1" applyAlignment="1">
      <alignment vertical="top" wrapText="1"/>
    </xf>
    <xf numFmtId="0" fontId="0" fillId="0" borderId="0" xfId="0" applyNumberFormat="1" applyAlignment="1">
      <alignment wrapText="1"/>
    </xf>
    <xf numFmtId="165" fontId="0" fillId="6" borderId="9" xfId="0" applyFont="1" applyFill="1" applyBorder="1" applyAlignment="1">
      <alignment vertical="top"/>
    </xf>
    <xf numFmtId="17" fontId="0" fillId="0" borderId="2" xfId="0" applyNumberFormat="1" applyBorder="1" applyAlignment="1">
      <alignment horizontal="center" wrapText="1"/>
    </xf>
    <xf numFmtId="17" fontId="0" fillId="0" borderId="3" xfId="0" applyNumberFormat="1" applyBorder="1" applyAlignment="1">
      <alignment horizontal="center"/>
    </xf>
    <xf numFmtId="166" fontId="0" fillId="0" borderId="0" xfId="0" applyNumberFormat="1" applyAlignment="1">
      <alignment wrapText="1"/>
    </xf>
    <xf numFmtId="166" fontId="0" fillId="0" borderId="7" xfId="0" applyNumberFormat="1" applyBorder="1"/>
    <xf numFmtId="166" fontId="0" fillId="0" borderId="6" xfId="0" applyNumberFormat="1" applyBorder="1" applyAlignment="1">
      <alignment wrapText="1"/>
    </xf>
    <xf numFmtId="166" fontId="0" fillId="0" borderId="6" xfId="0" applyNumberFormat="1" applyBorder="1"/>
    <xf numFmtId="166" fontId="0" fillId="0" borderId="9" xfId="0" applyNumberFormat="1" applyBorder="1"/>
    <xf numFmtId="166" fontId="0" fillId="0" borderId="0" xfId="0" applyNumberFormat="1" applyBorder="1" applyAlignment="1">
      <alignment wrapText="1"/>
    </xf>
    <xf numFmtId="166" fontId="0" fillId="0" borderId="0" xfId="0" applyNumberFormat="1" applyBorder="1"/>
    <xf numFmtId="166" fontId="0" fillId="0" borderId="0" xfId="0" applyNumberFormat="1" applyAlignment="1">
      <alignment horizontal="center"/>
    </xf>
    <xf numFmtId="15" fontId="0" fillId="0" borderId="0" xfId="0" applyNumberFormat="1"/>
    <xf numFmtId="15" fontId="0" fillId="0" borderId="6" xfId="0" applyNumberFormat="1" applyBorder="1"/>
    <xf numFmtId="15" fontId="0" fillId="0" borderId="0" xfId="0" applyNumberFormat="1" applyBorder="1"/>
    <xf numFmtId="15" fontId="0" fillId="0" borderId="0" xfId="0" applyNumberFormat="1" applyAlignment="1">
      <alignment vertical="top"/>
    </xf>
    <xf numFmtId="15" fontId="0" fillId="3" borderId="0" xfId="0" applyNumberFormat="1" applyFill="1"/>
    <xf numFmtId="15" fontId="0" fillId="0" borderId="14" xfId="0" applyNumberFormat="1" applyBorder="1"/>
    <xf numFmtId="15" fontId="0" fillId="0" borderId="15" xfId="0" applyNumberFormat="1" applyBorder="1"/>
    <xf numFmtId="173" fontId="0" fillId="0" borderId="0" xfId="0" applyNumberFormat="1"/>
    <xf numFmtId="173" fontId="0" fillId="0" borderId="0" xfId="0" applyNumberFormat="1" applyAlignment="1">
      <alignment vertical="top"/>
    </xf>
    <xf numFmtId="173" fontId="0" fillId="3" borderId="0" xfId="0" applyNumberFormat="1" applyFill="1"/>
    <xf numFmtId="165" fontId="0" fillId="0" borderId="11" xfId="0" applyBorder="1" applyAlignment="1">
      <alignment horizontal="center"/>
    </xf>
    <xf numFmtId="17" fontId="0" fillId="0" borderId="6" xfId="0" applyNumberFormat="1" applyBorder="1" applyAlignment="1">
      <alignment horizontal="center" wrapText="1"/>
    </xf>
    <xf numFmtId="166" fontId="0" fillId="0" borderId="3" xfId="0" applyNumberFormat="1" applyFill="1" applyBorder="1" applyAlignment="1">
      <alignment horizontal="center" vertical="top" wrapText="1"/>
    </xf>
    <xf numFmtId="166" fontId="3" fillId="0" borderId="4" xfId="1" applyNumberFormat="1" applyFill="1" applyBorder="1" applyAlignment="1">
      <alignment horizontal="center" wrapText="1"/>
    </xf>
    <xf numFmtId="2" fontId="0" fillId="0" borderId="0" xfId="0" applyNumberFormat="1" applyAlignment="1">
      <alignment vertical="top" wrapText="1"/>
    </xf>
    <xf numFmtId="2" fontId="0" fillId="0" borderId="0" xfId="0" applyNumberFormat="1" applyAlignment="1">
      <alignment wrapText="1"/>
    </xf>
    <xf numFmtId="165" fontId="3" fillId="0" borderId="17" xfId="0" applyFont="1" applyBorder="1" applyAlignment="1">
      <alignment vertical="top"/>
    </xf>
    <xf numFmtId="165" fontId="3" fillId="0" borderId="17" xfId="0" applyFont="1" applyBorder="1" applyAlignment="1">
      <alignment horizontal="left" vertical="top"/>
    </xf>
    <xf numFmtId="165" fontId="3" fillId="3" borderId="17" xfId="0" applyFont="1" applyFill="1" applyBorder="1" applyAlignment="1">
      <alignment vertical="top" wrapText="1"/>
    </xf>
    <xf numFmtId="165" fontId="3" fillId="3" borderId="17" xfId="0" applyFont="1" applyFill="1" applyBorder="1" applyAlignment="1">
      <alignment vertical="top"/>
    </xf>
    <xf numFmtId="1" fontId="3" fillId="3" borderId="17" xfId="0" applyNumberFormat="1" applyFont="1" applyFill="1" applyBorder="1" applyAlignment="1">
      <alignment vertical="top"/>
    </xf>
    <xf numFmtId="171" fontId="3" fillId="3" borderId="17" xfId="0" applyNumberFormat="1" applyFont="1" applyFill="1" applyBorder="1" applyAlignment="1">
      <alignment vertical="top"/>
    </xf>
    <xf numFmtId="15" fontId="3" fillId="3" borderId="17" xfId="0" applyNumberFormat="1" applyFont="1" applyFill="1" applyBorder="1" applyAlignment="1" applyProtection="1">
      <alignment vertical="top"/>
    </xf>
    <xf numFmtId="15" fontId="3" fillId="3" borderId="17" xfId="0" applyNumberFormat="1" applyFont="1" applyFill="1" applyBorder="1" applyAlignment="1">
      <alignment vertical="top"/>
    </xf>
    <xf numFmtId="169" fontId="3" fillId="3" borderId="17" xfId="0" applyNumberFormat="1" applyFont="1" applyFill="1" applyBorder="1" applyAlignment="1">
      <alignment vertical="top"/>
    </xf>
    <xf numFmtId="167" fontId="3" fillId="3" borderId="17" xfId="0" applyNumberFormat="1" applyFont="1" applyFill="1" applyBorder="1" applyAlignment="1">
      <alignment vertical="top"/>
    </xf>
    <xf numFmtId="170" fontId="3" fillId="3" borderId="17" xfId="0" applyNumberFormat="1" applyFont="1" applyFill="1" applyBorder="1" applyAlignment="1">
      <alignment vertical="top"/>
    </xf>
    <xf numFmtId="173" fontId="3" fillId="3" borderId="17" xfId="0" applyNumberFormat="1" applyFont="1" applyFill="1" applyBorder="1" applyAlignment="1">
      <alignment vertical="top"/>
    </xf>
    <xf numFmtId="165" fontId="3" fillId="0" borderId="17" xfId="0" applyFont="1" applyBorder="1" applyAlignment="1">
      <alignment vertical="top" wrapText="1"/>
    </xf>
    <xf numFmtId="165" fontId="3" fillId="9" borderId="17" xfId="0" applyFont="1" applyFill="1" applyBorder="1" applyAlignment="1">
      <alignment vertical="top" wrapText="1"/>
    </xf>
    <xf numFmtId="165" fontId="3" fillId="9" borderId="17" xfId="0" applyFont="1" applyFill="1" applyBorder="1" applyAlignment="1">
      <alignment vertical="top"/>
    </xf>
    <xf numFmtId="1" fontId="3" fillId="9" borderId="17" xfId="0" applyNumberFormat="1" applyFont="1" applyFill="1" applyBorder="1" applyAlignment="1">
      <alignment vertical="top"/>
    </xf>
    <xf numFmtId="171" fontId="3" fillId="9" borderId="17" xfId="0" applyNumberFormat="1" applyFont="1" applyFill="1" applyBorder="1" applyAlignment="1">
      <alignment vertical="top"/>
    </xf>
    <xf numFmtId="169" fontId="3" fillId="9" borderId="17" xfId="0" applyNumberFormat="1" applyFont="1" applyFill="1" applyBorder="1" applyAlignment="1">
      <alignment vertical="top"/>
    </xf>
    <xf numFmtId="167" fontId="3" fillId="9" borderId="17" xfId="0" applyNumberFormat="1" applyFont="1" applyFill="1" applyBorder="1" applyAlignment="1">
      <alignment vertical="top"/>
    </xf>
    <xf numFmtId="170" fontId="3" fillId="9" borderId="17" xfId="0" applyNumberFormat="1" applyFont="1" applyFill="1" applyBorder="1" applyAlignment="1">
      <alignment vertical="top"/>
    </xf>
    <xf numFmtId="173" fontId="3" fillId="9" borderId="17" xfId="0" applyNumberFormat="1" applyFont="1" applyFill="1" applyBorder="1" applyAlignment="1">
      <alignment vertical="top"/>
    </xf>
    <xf numFmtId="1" fontId="3" fillId="0" borderId="17" xfId="0" applyNumberFormat="1" applyFont="1" applyBorder="1" applyAlignment="1">
      <alignment vertical="top"/>
    </xf>
    <xf numFmtId="171" fontId="3" fillId="0" borderId="17" xfId="0" applyNumberFormat="1" applyFont="1" applyBorder="1" applyAlignment="1">
      <alignment vertical="top"/>
    </xf>
    <xf numFmtId="169" fontId="3" fillId="0" borderId="17" xfId="0" applyNumberFormat="1" applyFont="1" applyBorder="1" applyAlignment="1">
      <alignment vertical="top"/>
    </xf>
    <xf numFmtId="167" fontId="3" fillId="0" borderId="17" xfId="0" applyNumberFormat="1" applyFont="1" applyBorder="1" applyAlignment="1">
      <alignment vertical="top"/>
    </xf>
    <xf numFmtId="170" fontId="3" fillId="0" borderId="17" xfId="0" applyNumberFormat="1" applyFont="1" applyBorder="1" applyAlignment="1">
      <alignment vertical="top"/>
    </xf>
    <xf numFmtId="173" fontId="3" fillId="0" borderId="17" xfId="0" applyNumberFormat="1" applyFont="1" applyBorder="1" applyAlignment="1">
      <alignment vertical="top"/>
    </xf>
    <xf numFmtId="166" fontId="3" fillId="3" borderId="17" xfId="0" applyNumberFormat="1" applyFont="1" applyFill="1" applyBorder="1" applyAlignment="1">
      <alignment vertical="top"/>
    </xf>
    <xf numFmtId="166" fontId="3" fillId="9" borderId="17" xfId="0" applyNumberFormat="1" applyFont="1" applyFill="1" applyBorder="1" applyAlignment="1">
      <alignment vertical="top"/>
    </xf>
    <xf numFmtId="166" fontId="3" fillId="0" borderId="17" xfId="0" applyNumberFormat="1" applyFont="1" applyBorder="1" applyAlignment="1">
      <alignment vertical="top"/>
    </xf>
    <xf numFmtId="166" fontId="3" fillId="0" borderId="9" xfId="0" applyNumberFormat="1" applyFont="1" applyBorder="1"/>
    <xf numFmtId="17" fontId="0" fillId="0" borderId="1" xfId="0" applyNumberFormat="1" applyBorder="1" applyAlignment="1">
      <alignment horizontal="center" wrapText="1"/>
    </xf>
    <xf numFmtId="0" fontId="0" fillId="0" borderId="19" xfId="0" applyNumberFormat="1" applyBorder="1" applyAlignment="1">
      <alignment vertical="top" wrapText="1"/>
    </xf>
    <xf numFmtId="0" fontId="0" fillId="0" borderId="20" xfId="0" applyNumberFormat="1" applyBorder="1" applyAlignment="1">
      <alignment vertical="top" wrapText="1"/>
    </xf>
    <xf numFmtId="165" fontId="0" fillId="0" borderId="17" xfId="0" applyBorder="1" applyAlignment="1">
      <alignment vertical="top"/>
    </xf>
    <xf numFmtId="165" fontId="0" fillId="0" borderId="17" xfId="0" applyBorder="1" applyAlignment="1">
      <alignment horizontal="left" vertical="top"/>
    </xf>
    <xf numFmtId="2" fontId="0" fillId="0" borderId="0" xfId="0" applyNumberFormat="1"/>
    <xf numFmtId="2" fontId="3" fillId="0" borderId="2" xfId="1" applyNumberFormat="1" applyFill="1" applyBorder="1" applyAlignment="1">
      <alignment horizontal="center" vertical="top" wrapText="1"/>
    </xf>
    <xf numFmtId="165" fontId="0" fillId="3" borderId="17" xfId="0" applyFont="1" applyFill="1" applyBorder="1" applyAlignment="1">
      <alignment vertical="top" wrapText="1"/>
    </xf>
    <xf numFmtId="1" fontId="12" fillId="0" borderId="0" xfId="0" applyNumberFormat="1" applyFont="1" applyBorder="1" applyAlignment="1">
      <alignment wrapText="1"/>
    </xf>
    <xf numFmtId="1" fontId="12" fillId="0" borderId="16" xfId="0" applyNumberFormat="1" applyFont="1" applyBorder="1" applyAlignment="1">
      <alignment wrapText="1"/>
    </xf>
    <xf numFmtId="1" fontId="12" fillId="0" borderId="20" xfId="0" applyNumberFormat="1" applyFont="1" applyBorder="1" applyAlignment="1">
      <alignment wrapText="1"/>
    </xf>
    <xf numFmtId="165" fontId="0" fillId="0" borderId="17" xfId="0" applyBorder="1" applyAlignment="1">
      <alignment vertical="top" wrapText="1"/>
    </xf>
    <xf numFmtId="1" fontId="0" fillId="0" borderId="17" xfId="0" applyNumberFormat="1" applyBorder="1" applyAlignment="1">
      <alignment vertical="top"/>
    </xf>
    <xf numFmtId="15" fontId="0" fillId="0" borderId="17" xfId="0" applyNumberFormat="1" applyBorder="1" applyAlignment="1" applyProtection="1">
      <alignment vertical="top"/>
    </xf>
    <xf numFmtId="1" fontId="3" fillId="0" borderId="17" xfId="0" applyNumberFormat="1" applyFont="1" applyBorder="1" applyAlignment="1">
      <alignment horizontal="left" vertical="top"/>
    </xf>
    <xf numFmtId="1" fontId="0" fillId="0" borderId="17" xfId="0" applyNumberFormat="1" applyFont="1" applyBorder="1" applyAlignment="1">
      <alignment horizontal="left" vertical="top"/>
    </xf>
    <xf numFmtId="166" fontId="0" fillId="0" borderId="17" xfId="0" applyNumberFormat="1" applyBorder="1" applyAlignment="1">
      <alignment vertical="top"/>
    </xf>
    <xf numFmtId="167" fontId="0" fillId="0" borderId="1" xfId="0" applyNumberFormat="1" applyFill="1" applyBorder="1" applyAlignment="1">
      <alignment horizontal="center" vertical="top" wrapText="1"/>
    </xf>
    <xf numFmtId="1" fontId="0" fillId="0" borderId="4" xfId="0" applyNumberFormat="1" applyFill="1" applyBorder="1" applyAlignment="1">
      <alignment horizontal="center" vertical="top" wrapText="1"/>
    </xf>
    <xf numFmtId="166" fontId="3" fillId="0" borderId="4" xfId="1" applyNumberFormat="1" applyFill="1" applyBorder="1" applyAlignment="1">
      <alignment horizontal="center" vertical="top" wrapText="1"/>
    </xf>
    <xf numFmtId="172" fontId="3" fillId="3" borderId="17" xfId="0" applyNumberFormat="1" applyFont="1" applyFill="1" applyBorder="1" applyAlignment="1">
      <alignment vertical="top" wrapText="1"/>
    </xf>
    <xf numFmtId="172" fontId="3" fillId="0" borderId="17" xfId="0" applyNumberFormat="1" applyFont="1" applyBorder="1" applyAlignment="1">
      <alignment vertical="top" wrapText="1"/>
    </xf>
    <xf numFmtId="172" fontId="3" fillId="9" borderId="17" xfId="0" applyNumberFormat="1" applyFont="1" applyFill="1" applyBorder="1" applyAlignment="1">
      <alignment vertical="top" wrapText="1"/>
    </xf>
    <xf numFmtId="2" fontId="3" fillId="3" borderId="17" xfId="0" applyNumberFormat="1" applyFont="1" applyFill="1" applyBorder="1" applyAlignment="1">
      <alignment vertical="top"/>
    </xf>
    <xf numFmtId="2" fontId="3" fillId="0" borderId="17" xfId="0" applyNumberFormat="1" applyFont="1" applyBorder="1" applyAlignment="1">
      <alignment vertical="top"/>
    </xf>
    <xf numFmtId="2" fontId="3" fillId="9" borderId="17" xfId="0" applyNumberFormat="1" applyFont="1" applyFill="1" applyBorder="1" applyAlignment="1">
      <alignment vertical="top"/>
    </xf>
    <xf numFmtId="2" fontId="0" fillId="0" borderId="17" xfId="0" applyNumberFormat="1" applyBorder="1" applyAlignment="1">
      <alignment vertical="top"/>
    </xf>
    <xf numFmtId="165" fontId="0" fillId="0" borderId="17" xfId="0" applyFont="1" applyBorder="1" applyAlignment="1">
      <alignment vertical="top" wrapText="1"/>
    </xf>
    <xf numFmtId="165" fontId="0" fillId="0" borderId="17" xfId="0" applyFont="1" applyBorder="1" applyAlignment="1">
      <alignment vertical="top"/>
    </xf>
    <xf numFmtId="1" fontId="0" fillId="0" borderId="3" xfId="0" applyNumberFormat="1" applyFill="1" applyBorder="1" applyAlignment="1">
      <alignment horizontal="center" vertical="top" wrapText="1"/>
    </xf>
    <xf numFmtId="166" fontId="0" fillId="3" borderId="17" xfId="0" applyNumberFormat="1" applyFont="1" applyFill="1" applyBorder="1" applyAlignment="1">
      <alignment vertical="top"/>
    </xf>
    <xf numFmtId="15" fontId="3" fillId="3" borderId="17" xfId="0" applyNumberFormat="1" applyFont="1" applyFill="1" applyBorder="1" applyAlignment="1" applyProtection="1">
      <alignment vertical="top"/>
    </xf>
    <xf numFmtId="15" fontId="3" fillId="3" borderId="17" xfId="0" applyNumberFormat="1" applyFont="1" applyFill="1" applyBorder="1" applyAlignment="1">
      <alignment vertical="top"/>
    </xf>
    <xf numFmtId="15" fontId="3" fillId="0" borderId="17" xfId="0" applyNumberFormat="1" applyFont="1" applyBorder="1" applyAlignment="1">
      <alignment vertical="top"/>
    </xf>
    <xf numFmtId="15" fontId="3" fillId="9" borderId="17" xfId="0" applyNumberFormat="1" applyFont="1" applyFill="1" applyBorder="1" applyAlignment="1">
      <alignment vertical="top"/>
    </xf>
    <xf numFmtId="15" fontId="3" fillId="9" borderId="17" xfId="0" applyNumberFormat="1" applyFont="1" applyFill="1" applyBorder="1" applyAlignment="1" applyProtection="1">
      <alignment vertical="top"/>
    </xf>
    <xf numFmtId="15" fontId="3" fillId="0" borderId="17" xfId="0" applyNumberFormat="1" applyFont="1" applyBorder="1" applyAlignment="1" applyProtection="1">
      <alignment vertical="top"/>
    </xf>
    <xf numFmtId="15" fontId="0" fillId="0" borderId="17" xfId="0" applyNumberFormat="1" applyBorder="1" applyAlignment="1">
      <alignment vertical="top"/>
    </xf>
    <xf numFmtId="165" fontId="0" fillId="9" borderId="17" xfId="0" applyFont="1" applyFill="1" applyBorder="1" applyAlignment="1">
      <alignment vertical="top"/>
    </xf>
    <xf numFmtId="165" fontId="3" fillId="2" borderId="17" xfId="0" applyFont="1" applyFill="1" applyBorder="1" applyAlignment="1">
      <alignment vertical="top" wrapText="1"/>
    </xf>
    <xf numFmtId="165" fontId="3" fillId="2" borderId="17" xfId="0" applyFont="1" applyFill="1" applyBorder="1" applyAlignment="1">
      <alignment vertical="top"/>
    </xf>
    <xf numFmtId="1" fontId="3" fillId="2" borderId="17" xfId="0" applyNumberFormat="1" applyFont="1" applyFill="1" applyBorder="1" applyAlignment="1">
      <alignment vertical="top"/>
    </xf>
    <xf numFmtId="171" fontId="3" fillId="2" borderId="17" xfId="0" applyNumberFormat="1" applyFont="1" applyFill="1" applyBorder="1" applyAlignment="1">
      <alignment vertical="top"/>
    </xf>
    <xf numFmtId="15" fontId="3" fillId="2" borderId="17" xfId="0" applyNumberFormat="1" applyFont="1" applyFill="1" applyBorder="1" applyAlignment="1" applyProtection="1">
      <alignment vertical="top"/>
    </xf>
    <xf numFmtId="169" fontId="3" fillId="2" borderId="17" xfId="0" applyNumberFormat="1" applyFont="1" applyFill="1" applyBorder="1" applyAlignment="1">
      <alignment vertical="top"/>
    </xf>
    <xf numFmtId="166" fontId="3" fillId="2" borderId="17" xfId="0" applyNumberFormat="1" applyFont="1" applyFill="1" applyBorder="1" applyAlignment="1">
      <alignment vertical="top"/>
    </xf>
    <xf numFmtId="15" fontId="3" fillId="2" borderId="17" xfId="0" applyNumberFormat="1" applyFont="1" applyFill="1" applyBorder="1" applyAlignment="1">
      <alignment vertical="top"/>
    </xf>
    <xf numFmtId="167" fontId="3" fillId="2" borderId="17" xfId="0" applyNumberFormat="1" applyFont="1" applyFill="1" applyBorder="1" applyAlignment="1">
      <alignment vertical="top"/>
    </xf>
    <xf numFmtId="170" fontId="3" fillId="2" borderId="17" xfId="0" applyNumberFormat="1" applyFont="1" applyFill="1" applyBorder="1" applyAlignment="1">
      <alignment vertical="top"/>
    </xf>
    <xf numFmtId="173" fontId="3" fillId="2" borderId="17" xfId="0" applyNumberFormat="1" applyFont="1" applyFill="1" applyBorder="1" applyAlignment="1">
      <alignment vertical="top"/>
    </xf>
    <xf numFmtId="172" fontId="3" fillId="2" borderId="17" xfId="0" applyNumberFormat="1" applyFont="1" applyFill="1" applyBorder="1" applyAlignment="1">
      <alignment vertical="top" wrapText="1"/>
    </xf>
    <xf numFmtId="2" fontId="3" fillId="2" borderId="17" xfId="0" applyNumberFormat="1" applyFont="1" applyFill="1" applyBorder="1" applyAlignment="1">
      <alignment vertical="top"/>
    </xf>
    <xf numFmtId="167" fontId="0" fillId="0" borderId="4" xfId="0" applyNumberFormat="1" applyFont="1" applyBorder="1" applyAlignment="1">
      <alignment vertical="top" wrapText="1"/>
    </xf>
    <xf numFmtId="165" fontId="0" fillId="0" borderId="17" xfId="0" applyFont="1" applyBorder="1" applyAlignment="1">
      <alignment horizontal="left" vertical="top"/>
    </xf>
    <xf numFmtId="165" fontId="0" fillId="3" borderId="17" xfId="0" applyFont="1" applyFill="1" applyBorder="1" applyAlignment="1">
      <alignment vertical="top"/>
    </xf>
    <xf numFmtId="172" fontId="0" fillId="3" borderId="17" xfId="0" applyNumberFormat="1" applyFont="1" applyFill="1" applyBorder="1" applyAlignment="1">
      <alignment vertical="top" wrapText="1"/>
    </xf>
    <xf numFmtId="1" fontId="3" fillId="3" borderId="17" xfId="0" applyNumberFormat="1" applyFont="1" applyFill="1" applyBorder="1" applyAlignment="1">
      <alignment horizontal="left" vertical="top"/>
    </xf>
    <xf numFmtId="15" fontId="0" fillId="3" borderId="17" xfId="0" applyNumberFormat="1" applyFont="1" applyFill="1" applyBorder="1" applyAlignment="1">
      <alignment vertical="top"/>
    </xf>
    <xf numFmtId="15" fontId="3" fillId="3" borderId="17" xfId="0" applyNumberFormat="1" applyFont="1" applyFill="1" applyBorder="1" applyAlignment="1" applyProtection="1">
      <alignment vertical="top" wrapText="1"/>
    </xf>
    <xf numFmtId="15" fontId="3" fillId="3" borderId="17" xfId="0" applyNumberFormat="1" applyFont="1" applyFill="1" applyBorder="1" applyAlignment="1">
      <alignment vertical="top" wrapText="1"/>
    </xf>
    <xf numFmtId="15" fontId="3" fillId="0" borderId="17" xfId="0" applyNumberFormat="1" applyFont="1" applyBorder="1" applyAlignment="1" applyProtection="1">
      <alignment vertical="top" wrapText="1"/>
    </xf>
    <xf numFmtId="15" fontId="3" fillId="9" borderId="17" xfId="0" applyNumberFormat="1" applyFont="1" applyFill="1" applyBorder="1" applyAlignment="1" applyProtection="1">
      <alignment vertical="top" wrapText="1"/>
    </xf>
    <xf numFmtId="15" fontId="3" fillId="2" borderId="17" xfId="0" applyNumberFormat="1" applyFont="1" applyFill="1" applyBorder="1" applyAlignment="1" applyProtection="1">
      <alignment vertical="top" wrapText="1"/>
    </xf>
    <xf numFmtId="15" fontId="0" fillId="0" borderId="17" xfId="0" applyNumberFormat="1" applyBorder="1" applyAlignment="1" applyProtection="1">
      <alignment vertical="top" wrapText="1"/>
    </xf>
    <xf numFmtId="15" fontId="0" fillId="0" borderId="0" xfId="0" applyNumberFormat="1" applyAlignment="1">
      <alignment wrapText="1"/>
    </xf>
    <xf numFmtId="165" fontId="0" fillId="9" borderId="17" xfId="0" applyFont="1" applyFill="1" applyBorder="1" applyAlignment="1">
      <alignment vertical="top" wrapText="1"/>
    </xf>
    <xf numFmtId="15" fontId="0" fillId="9" borderId="17" xfId="0" applyNumberFormat="1" applyFont="1" applyFill="1" applyBorder="1" applyAlignment="1">
      <alignment vertical="top"/>
    </xf>
    <xf numFmtId="2" fontId="0" fillId="0" borderId="0" xfId="0" applyNumberFormat="1" applyAlignment="1">
      <alignment horizontal="center"/>
    </xf>
    <xf numFmtId="2" fontId="3" fillId="3" borderId="17" xfId="0" applyNumberFormat="1" applyFont="1" applyFill="1" applyBorder="1" applyAlignment="1">
      <alignment horizontal="left" vertical="top"/>
    </xf>
    <xf numFmtId="165" fontId="0" fillId="0" borderId="17" xfId="0" applyBorder="1" applyAlignment="1">
      <alignment horizontal="left" vertical="top" wrapText="1"/>
    </xf>
    <xf numFmtId="15" fontId="0" fillId="0" borderId="17" xfId="0" applyNumberFormat="1" applyBorder="1" applyAlignment="1">
      <alignment vertical="top" wrapText="1"/>
    </xf>
    <xf numFmtId="2" fontId="0" fillId="0" borderId="17" xfId="0" applyNumberFormat="1" applyBorder="1" applyAlignment="1">
      <alignment vertical="top" wrapText="1"/>
    </xf>
    <xf numFmtId="165" fontId="0" fillId="0" borderId="17" xfId="0" applyBorder="1" applyAlignment="1">
      <alignment horizontal="center" vertical="top" wrapText="1"/>
    </xf>
    <xf numFmtId="14" fontId="0" fillId="0" borderId="0" xfId="0" applyNumberFormat="1"/>
    <xf numFmtId="15" fontId="0" fillId="3" borderId="17" xfId="0" applyNumberFormat="1" applyFont="1" applyFill="1" applyBorder="1" applyAlignment="1" applyProtection="1">
      <alignment vertical="top"/>
    </xf>
    <xf numFmtId="165" fontId="0" fillId="0" borderId="0" xfId="0" applyBorder="1" applyAlignment="1">
      <alignment vertical="top" wrapText="1"/>
    </xf>
    <xf numFmtId="1" fontId="0" fillId="0" borderId="17" xfId="0" applyNumberFormat="1" applyBorder="1" applyAlignment="1">
      <alignment vertical="top" wrapText="1"/>
    </xf>
    <xf numFmtId="167" fontId="0" fillId="0" borderId="17" xfId="0" applyNumberFormat="1" applyBorder="1" applyAlignment="1">
      <alignment vertical="top" wrapText="1"/>
    </xf>
    <xf numFmtId="166" fontId="0" fillId="0" borderId="17" xfId="0" applyNumberFormat="1" applyBorder="1" applyAlignment="1">
      <alignment vertical="top" wrapText="1"/>
    </xf>
    <xf numFmtId="15" fontId="0" fillId="0" borderId="17" xfId="0" applyNumberFormat="1" applyBorder="1" applyAlignment="1">
      <alignment horizontal="center" vertical="top" wrapText="1"/>
    </xf>
    <xf numFmtId="1" fontId="3" fillId="0" borderId="17" xfId="0" applyNumberFormat="1" applyFont="1" applyBorder="1" applyAlignment="1">
      <alignment vertical="top" wrapText="1"/>
    </xf>
    <xf numFmtId="165" fontId="0" fillId="0" borderId="17" xfId="0" applyFill="1" applyBorder="1" applyAlignment="1">
      <alignment vertical="top" wrapText="1"/>
    </xf>
    <xf numFmtId="1" fontId="0" fillId="0" borderId="17" xfId="0" applyNumberFormat="1" applyBorder="1" applyAlignment="1">
      <alignment horizontal="left" vertical="top" wrapText="1"/>
    </xf>
    <xf numFmtId="165" fontId="3" fillId="0" borderId="17" xfId="0" applyFont="1" applyBorder="1" applyAlignment="1">
      <alignment horizontal="left" vertical="top" wrapText="1"/>
    </xf>
    <xf numFmtId="171" fontId="3" fillId="0" borderId="17" xfId="0" applyNumberFormat="1" applyFont="1" applyBorder="1" applyAlignment="1">
      <alignment vertical="top" wrapText="1"/>
    </xf>
    <xf numFmtId="169" fontId="3" fillId="0" borderId="17" xfId="0" applyNumberFormat="1" applyFont="1" applyBorder="1" applyAlignment="1">
      <alignment vertical="top" wrapText="1"/>
    </xf>
    <xf numFmtId="166" fontId="3" fillId="0" borderId="17" xfId="0" applyNumberFormat="1" applyFont="1" applyBorder="1" applyAlignment="1">
      <alignment vertical="top" wrapText="1"/>
    </xf>
    <xf numFmtId="15" fontId="3" fillId="0" borderId="17" xfId="0" applyNumberFormat="1" applyFont="1" applyBorder="1" applyAlignment="1">
      <alignment vertical="top" wrapText="1"/>
    </xf>
    <xf numFmtId="15" fontId="0" fillId="0" borderId="17" xfId="0" applyNumberFormat="1" applyFont="1" applyBorder="1" applyAlignment="1">
      <alignment vertical="top" wrapText="1"/>
    </xf>
    <xf numFmtId="2" fontId="3" fillId="0" borderId="17" xfId="0" applyNumberFormat="1" applyFont="1" applyBorder="1" applyAlignment="1">
      <alignment vertical="top" wrapText="1"/>
    </xf>
    <xf numFmtId="167" fontId="3" fillId="0" borderId="17" xfId="0" applyNumberFormat="1" applyFont="1" applyBorder="1" applyAlignment="1">
      <alignment vertical="top" wrapText="1"/>
    </xf>
    <xf numFmtId="170" fontId="3" fillId="0" borderId="17" xfId="0" applyNumberFormat="1" applyFont="1" applyBorder="1" applyAlignment="1">
      <alignment vertical="top" wrapText="1"/>
    </xf>
    <xf numFmtId="173" fontId="3" fillId="0" borderId="17" xfId="0" applyNumberFormat="1" applyFont="1" applyBorder="1" applyAlignment="1">
      <alignment vertical="top" wrapText="1"/>
    </xf>
    <xf numFmtId="0" fontId="0" fillId="0" borderId="15" xfId="0" applyNumberFormat="1" applyBorder="1" applyAlignment="1">
      <alignment vertical="top" wrapText="1"/>
    </xf>
    <xf numFmtId="0" fontId="0" fillId="0" borderId="11" xfId="0" applyNumberFormat="1" applyBorder="1" applyAlignment="1">
      <alignment vertical="top" wrapText="1"/>
    </xf>
    <xf numFmtId="0" fontId="0" fillId="0" borderId="8" xfId="0" applyNumberFormat="1" applyBorder="1" applyAlignment="1">
      <alignment vertical="top" wrapText="1"/>
    </xf>
    <xf numFmtId="0" fontId="0" fillId="0" borderId="10" xfId="0" applyNumberFormat="1" applyBorder="1" applyAlignment="1">
      <alignment vertical="top" wrapText="1"/>
    </xf>
    <xf numFmtId="165" fontId="0" fillId="0" borderId="18" xfId="0" applyBorder="1"/>
    <xf numFmtId="1" fontId="0" fillId="0" borderId="21" xfId="0" applyNumberFormat="1" applyBorder="1" applyAlignment="1">
      <alignment horizontal="right"/>
    </xf>
    <xf numFmtId="169" fontId="0" fillId="3" borderId="17" xfId="0" applyNumberFormat="1" applyFont="1" applyFill="1" applyBorder="1" applyAlignment="1">
      <alignment vertical="top" wrapText="1"/>
    </xf>
    <xf numFmtId="1" fontId="0" fillId="0" borderId="0" xfId="0" applyNumberFormat="1" applyFill="1" applyAlignment="1">
      <alignment wrapText="1"/>
    </xf>
    <xf numFmtId="165" fontId="0" fillId="0" borderId="10" xfId="0" applyFont="1" applyFill="1" applyBorder="1" applyAlignment="1">
      <alignment vertical="top" wrapText="1"/>
    </xf>
    <xf numFmtId="2" fontId="0" fillId="0" borderId="0" xfId="0" applyNumberFormat="1" applyBorder="1" applyAlignment="1">
      <alignment wrapText="1"/>
    </xf>
    <xf numFmtId="165" fontId="0" fillId="2" borderId="17" xfId="0" applyFont="1" applyFill="1" applyBorder="1" applyAlignment="1">
      <alignment vertical="top"/>
    </xf>
    <xf numFmtId="15" fontId="0" fillId="0" borderId="17" xfId="0" applyNumberFormat="1" applyFont="1" applyBorder="1" applyAlignment="1">
      <alignment vertical="top"/>
    </xf>
    <xf numFmtId="165" fontId="0" fillId="0" borderId="0" xfId="0" applyBorder="1" applyAlignment="1">
      <alignment vertical="top"/>
    </xf>
    <xf numFmtId="2" fontId="0" fillId="0" borderId="17" xfId="0" applyNumberFormat="1" applyFill="1" applyBorder="1" applyAlignment="1">
      <alignment vertical="top" wrapText="1"/>
    </xf>
    <xf numFmtId="0" fontId="0" fillId="0" borderId="17" xfId="0" applyNumberFormat="1" applyFill="1" applyBorder="1" applyAlignment="1">
      <alignment vertical="top" wrapText="1"/>
    </xf>
    <xf numFmtId="166" fontId="0" fillId="0" borderId="17" xfId="0" applyNumberFormat="1" applyFill="1" applyBorder="1" applyAlignment="1">
      <alignment vertical="top" wrapText="1"/>
    </xf>
    <xf numFmtId="167" fontId="0" fillId="0" borderId="17" xfId="0" applyNumberFormat="1" applyFill="1" applyBorder="1" applyAlignment="1">
      <alignment vertical="top" wrapText="1"/>
    </xf>
    <xf numFmtId="0" fontId="3" fillId="0" borderId="17" xfId="0" applyNumberFormat="1" applyFont="1" applyBorder="1" applyAlignment="1">
      <alignment horizontal="left" vertical="top"/>
    </xf>
    <xf numFmtId="0" fontId="0" fillId="0" borderId="17" xfId="0" applyNumberFormat="1" applyFont="1" applyBorder="1" applyAlignment="1">
      <alignment horizontal="left" vertical="top"/>
    </xf>
    <xf numFmtId="0" fontId="0" fillId="0" borderId="0" xfId="0" applyNumberFormat="1" applyAlignment="1">
      <alignment vertical="top" wrapText="1"/>
    </xf>
    <xf numFmtId="165" fontId="0" fillId="9" borderId="17" xfId="0" applyFill="1" applyBorder="1" applyAlignment="1">
      <alignment vertical="top" wrapText="1"/>
    </xf>
    <xf numFmtId="1" fontId="3" fillId="9" borderId="17" xfId="0" applyNumberFormat="1" applyFont="1" applyFill="1" applyBorder="1" applyAlignment="1">
      <alignment vertical="top" wrapText="1"/>
    </xf>
    <xf numFmtId="171" fontId="3" fillId="9" borderId="17" xfId="0" applyNumberFormat="1" applyFont="1" applyFill="1" applyBorder="1" applyAlignment="1">
      <alignment vertical="top" wrapText="1"/>
    </xf>
    <xf numFmtId="15" fontId="3" fillId="9" borderId="17" xfId="0" applyNumberFormat="1" applyFont="1" applyFill="1" applyBorder="1" applyAlignment="1">
      <alignment vertical="top" wrapText="1"/>
    </xf>
    <xf numFmtId="169" fontId="3" fillId="9" borderId="17" xfId="0" applyNumberFormat="1" applyFont="1" applyFill="1" applyBorder="1" applyAlignment="1">
      <alignment vertical="top" wrapText="1"/>
    </xf>
    <xf numFmtId="166" fontId="3" fillId="9" borderId="17" xfId="0" applyNumberFormat="1" applyFont="1" applyFill="1" applyBorder="1" applyAlignment="1">
      <alignment vertical="top" wrapText="1"/>
    </xf>
    <xf numFmtId="2" fontId="3" fillId="9" borderId="17" xfId="0" applyNumberFormat="1" applyFont="1" applyFill="1" applyBorder="1" applyAlignment="1">
      <alignment vertical="top" wrapText="1"/>
    </xf>
    <xf numFmtId="167" fontId="3" fillId="9" borderId="17" xfId="0" applyNumberFormat="1" applyFont="1" applyFill="1" applyBorder="1" applyAlignment="1">
      <alignment vertical="top" wrapText="1"/>
    </xf>
    <xf numFmtId="170" fontId="3" fillId="9" borderId="17" xfId="0" applyNumberFormat="1" applyFont="1" applyFill="1" applyBorder="1" applyAlignment="1">
      <alignment vertical="top" wrapText="1"/>
    </xf>
    <xf numFmtId="173" fontId="3" fillId="9" borderId="17" xfId="0" applyNumberFormat="1" applyFont="1" applyFill="1" applyBorder="1" applyAlignment="1">
      <alignment vertical="top" wrapText="1"/>
    </xf>
    <xf numFmtId="1" fontId="0" fillId="0" borderId="16" xfId="0" applyNumberFormat="1" applyBorder="1" applyAlignment="1">
      <alignment horizontal="center"/>
    </xf>
    <xf numFmtId="1" fontId="0" fillId="0" borderId="21" xfId="0" applyNumberFormat="1" applyFont="1" applyFill="1" applyBorder="1"/>
    <xf numFmtId="165" fontId="0" fillId="2" borderId="17" xfId="0" applyFont="1" applyFill="1" applyBorder="1" applyAlignment="1">
      <alignment vertical="top" wrapText="1"/>
    </xf>
    <xf numFmtId="15" fontId="3" fillId="2" borderId="17" xfId="0" applyNumberFormat="1" applyFont="1" applyFill="1" applyBorder="1" applyAlignment="1">
      <alignment vertical="top" wrapText="1"/>
    </xf>
    <xf numFmtId="1" fontId="9" fillId="0" borderId="8" xfId="0" applyNumberFormat="1" applyFont="1" applyBorder="1" applyAlignment="1">
      <alignment horizontal="center" vertical="top"/>
    </xf>
    <xf numFmtId="165" fontId="0" fillId="0" borderId="0" xfId="0" applyFill="1" applyBorder="1" applyAlignment="1">
      <alignment vertical="top"/>
    </xf>
    <xf numFmtId="1" fontId="0" fillId="0" borderId="8" xfId="0" applyNumberFormat="1" applyBorder="1" applyAlignment="1">
      <alignment vertical="top" wrapText="1"/>
    </xf>
    <xf numFmtId="1" fontId="9" fillId="0" borderId="8" xfId="0" applyNumberFormat="1" applyFont="1" applyBorder="1" applyAlignment="1">
      <alignment vertical="top"/>
    </xf>
    <xf numFmtId="1" fontId="0" fillId="0" borderId="8" xfId="0" applyNumberFormat="1" applyFont="1" applyBorder="1" applyAlignment="1">
      <alignment vertical="top"/>
    </xf>
    <xf numFmtId="1" fontId="0" fillId="4" borderId="8" xfId="0" applyNumberFormat="1" applyFill="1" applyBorder="1" applyAlignment="1">
      <alignment vertical="top"/>
    </xf>
    <xf numFmtId="165" fontId="12" fillId="0" borderId="9" xfId="0" applyFont="1" applyBorder="1" applyAlignment="1">
      <alignment vertical="top"/>
    </xf>
    <xf numFmtId="165" fontId="12" fillId="0" borderId="0" xfId="0" applyFont="1" applyBorder="1" applyAlignment="1">
      <alignment vertical="top"/>
    </xf>
    <xf numFmtId="167" fontId="12" fillId="0" borderId="0" xfId="0" applyNumberFormat="1" applyFont="1" applyBorder="1" applyAlignment="1">
      <alignment vertical="top"/>
    </xf>
    <xf numFmtId="1" fontId="12" fillId="0" borderId="15" xfId="0" applyNumberFormat="1" applyFont="1" applyBorder="1" applyAlignment="1">
      <alignment vertical="top" wrapText="1"/>
    </xf>
    <xf numFmtId="1" fontId="12" fillId="0" borderId="8" xfId="0" applyNumberFormat="1" applyFont="1" applyBorder="1" applyAlignment="1">
      <alignment vertical="top" wrapText="1"/>
    </xf>
    <xf numFmtId="166" fontId="0" fillId="0" borderId="0" xfId="0" applyNumberFormat="1" applyAlignment="1">
      <alignment vertical="top" wrapText="1"/>
    </xf>
    <xf numFmtId="165" fontId="0" fillId="3" borderId="22" xfId="0" applyFont="1" applyFill="1" applyBorder="1" applyAlignment="1">
      <alignment vertical="top" wrapText="1"/>
    </xf>
    <xf numFmtId="165" fontId="3" fillId="3" borderId="22" xfId="0" applyFont="1" applyFill="1" applyBorder="1" applyAlignment="1">
      <alignment vertical="top"/>
    </xf>
    <xf numFmtId="165" fontId="0" fillId="3" borderId="22" xfId="0" applyFont="1" applyFill="1" applyBorder="1" applyAlignment="1">
      <alignment vertical="top"/>
    </xf>
    <xf numFmtId="165" fontId="3" fillId="3" borderId="22" xfId="0" applyFont="1" applyFill="1" applyBorder="1" applyAlignment="1">
      <alignment vertical="top" wrapText="1"/>
    </xf>
    <xf numFmtId="1" fontId="3" fillId="3" borderId="22" xfId="0" applyNumberFormat="1" applyFont="1" applyFill="1" applyBorder="1" applyAlignment="1">
      <alignment vertical="top"/>
    </xf>
    <xf numFmtId="171" fontId="3" fillId="3" borderId="22" xfId="0" applyNumberFormat="1" applyFont="1" applyFill="1" applyBorder="1" applyAlignment="1">
      <alignment vertical="top"/>
    </xf>
    <xf numFmtId="15" fontId="3" fillId="3" borderId="22" xfId="0" applyNumberFormat="1" applyFont="1" applyFill="1" applyBorder="1" applyAlignment="1">
      <alignment vertical="top"/>
    </xf>
    <xf numFmtId="15" fontId="3" fillId="3" borderId="22" xfId="0" applyNumberFormat="1" applyFont="1" applyFill="1" applyBorder="1" applyAlignment="1" applyProtection="1">
      <alignment vertical="top"/>
    </xf>
    <xf numFmtId="169" fontId="3" fillId="3" borderId="22" xfId="0" applyNumberFormat="1" applyFont="1" applyFill="1" applyBorder="1" applyAlignment="1">
      <alignment vertical="top"/>
    </xf>
    <xf numFmtId="166" fontId="3" fillId="3" borderId="22" xfId="0" applyNumberFormat="1" applyFont="1" applyFill="1" applyBorder="1" applyAlignment="1">
      <alignment vertical="top"/>
    </xf>
    <xf numFmtId="2" fontId="3" fillId="3" borderId="22" xfId="0" applyNumberFormat="1" applyFont="1" applyFill="1" applyBorder="1" applyAlignment="1">
      <alignment horizontal="left" vertical="top"/>
    </xf>
    <xf numFmtId="167" fontId="3" fillId="3" borderId="22" xfId="0" applyNumberFormat="1" applyFont="1" applyFill="1" applyBorder="1" applyAlignment="1">
      <alignment vertical="top"/>
    </xf>
    <xf numFmtId="170" fontId="3" fillId="3" borderId="22" xfId="0" applyNumberFormat="1" applyFont="1" applyFill="1" applyBorder="1" applyAlignment="1">
      <alignment vertical="top"/>
    </xf>
    <xf numFmtId="173" fontId="3" fillId="3" borderId="22" xfId="0" applyNumberFormat="1" applyFont="1" applyFill="1" applyBorder="1" applyAlignment="1">
      <alignment vertical="top"/>
    </xf>
    <xf numFmtId="172" fontId="3" fillId="3" borderId="22" xfId="0" applyNumberFormat="1" applyFont="1" applyFill="1" applyBorder="1" applyAlignment="1">
      <alignment vertical="top" wrapText="1"/>
    </xf>
    <xf numFmtId="172" fontId="0" fillId="3" borderId="22" xfId="0" applyNumberFormat="1" applyFont="1" applyFill="1" applyBorder="1" applyAlignment="1">
      <alignment vertical="top" wrapText="1"/>
    </xf>
    <xf numFmtId="15" fontId="3" fillId="3" borderId="22" xfId="0" applyNumberFormat="1" applyFont="1" applyFill="1" applyBorder="1" applyAlignment="1">
      <alignment vertical="top" wrapText="1"/>
    </xf>
    <xf numFmtId="165" fontId="3" fillId="0" borderId="22" xfId="0" applyFont="1" applyBorder="1" applyAlignment="1">
      <alignment vertical="top"/>
    </xf>
    <xf numFmtId="15" fontId="3" fillId="3" borderId="22" xfId="0" applyNumberFormat="1" applyFont="1" applyFill="1" applyBorder="1" applyAlignment="1" applyProtection="1">
      <alignment vertical="top" wrapText="1"/>
    </xf>
    <xf numFmtId="169" fontId="0" fillId="3" borderId="22" xfId="0" applyNumberFormat="1" applyFont="1" applyFill="1" applyBorder="1" applyAlignment="1">
      <alignment vertical="top" wrapText="1"/>
    </xf>
    <xf numFmtId="1" fontId="3" fillId="0" borderId="17" xfId="0" applyNumberFormat="1" applyFont="1" applyBorder="1" applyAlignment="1">
      <alignment horizontal="left" vertical="top" wrapText="1"/>
    </xf>
    <xf numFmtId="165" fontId="0" fillId="0" borderId="8" xfId="0" applyFont="1" applyFill="1" applyBorder="1" applyAlignment="1">
      <alignment vertical="top" wrapText="1"/>
    </xf>
    <xf numFmtId="15" fontId="3" fillId="3" borderId="17" xfId="0" applyNumberFormat="1" applyFont="1" applyFill="1" applyBorder="1" applyAlignment="1">
      <alignment horizontal="right" vertical="top"/>
    </xf>
    <xf numFmtId="165" fontId="0" fillId="0" borderId="2" xfId="0" applyBorder="1" applyAlignment="1">
      <alignment horizontal="center"/>
    </xf>
    <xf numFmtId="165" fontId="0" fillId="0" borderId="22" xfId="0" applyFill="1" applyBorder="1" applyAlignment="1">
      <alignment vertical="top" wrapText="1"/>
    </xf>
    <xf numFmtId="165" fontId="0" fillId="0" borderId="22" xfId="0" applyBorder="1" applyAlignment="1">
      <alignment vertical="top" wrapText="1"/>
    </xf>
    <xf numFmtId="165" fontId="0" fillId="0" borderId="22" xfId="0" applyFont="1" applyBorder="1" applyAlignment="1">
      <alignment vertical="top" wrapText="1"/>
    </xf>
    <xf numFmtId="1" fontId="3" fillId="0" borderId="22" xfId="0" applyNumberFormat="1" applyFont="1" applyBorder="1" applyAlignment="1">
      <alignment vertical="top" wrapText="1"/>
    </xf>
    <xf numFmtId="171" fontId="3" fillId="0" borderId="22" xfId="0" applyNumberFormat="1" applyFont="1" applyBorder="1" applyAlignment="1">
      <alignment vertical="top" wrapText="1"/>
    </xf>
    <xf numFmtId="167" fontId="0" fillId="0" borderId="22" xfId="0" applyNumberFormat="1" applyBorder="1" applyAlignment="1">
      <alignment vertical="top" wrapText="1"/>
    </xf>
    <xf numFmtId="1" fontId="0" fillId="0" borderId="22" xfId="0" applyNumberFormat="1" applyBorder="1" applyAlignment="1">
      <alignment vertical="top" wrapText="1"/>
    </xf>
    <xf numFmtId="15" fontId="3" fillId="2" borderId="22" xfId="0" applyNumberFormat="1" applyFont="1" applyFill="1" applyBorder="1" applyAlignment="1" applyProtection="1">
      <alignment vertical="top" wrapText="1"/>
    </xf>
    <xf numFmtId="166" fontId="0" fillId="0" borderId="22" xfId="0" applyNumberFormat="1" applyBorder="1" applyAlignment="1">
      <alignment vertical="top" wrapText="1"/>
    </xf>
    <xf numFmtId="15" fontId="0" fillId="0" borderId="22" xfId="0" applyNumberFormat="1" applyBorder="1" applyAlignment="1">
      <alignment vertical="top" wrapText="1"/>
    </xf>
    <xf numFmtId="15" fontId="0" fillId="0" borderId="22" xfId="0" applyNumberFormat="1" applyBorder="1" applyAlignment="1">
      <alignment horizontal="center" vertical="top" wrapText="1"/>
    </xf>
    <xf numFmtId="165" fontId="0" fillId="0" borderId="22" xfId="0" applyBorder="1" applyAlignment="1">
      <alignment horizontal="center" vertical="top" wrapText="1"/>
    </xf>
    <xf numFmtId="2" fontId="0" fillId="0" borderId="22" xfId="0" applyNumberFormat="1" applyBorder="1" applyAlignment="1">
      <alignment vertical="top" wrapText="1"/>
    </xf>
    <xf numFmtId="165" fontId="0" fillId="0" borderId="12" xfId="0" applyFont="1" applyFill="1" applyBorder="1" applyAlignment="1">
      <alignment horizontal="center"/>
    </xf>
    <xf numFmtId="165" fontId="9" fillId="0" borderId="7" xfId="0" applyFont="1" applyFill="1" applyBorder="1" applyAlignment="1">
      <alignment horizontal="center"/>
    </xf>
    <xf numFmtId="165" fontId="9" fillId="0" borderId="20" xfId="0" applyFont="1" applyBorder="1" applyAlignment="1">
      <alignment horizontal="center"/>
    </xf>
    <xf numFmtId="1" fontId="0" fillId="0" borderId="20" xfId="0" applyNumberFormat="1" applyBorder="1" applyAlignment="1">
      <alignment wrapText="1"/>
    </xf>
    <xf numFmtId="165" fontId="0" fillId="0" borderId="20" xfId="0" applyBorder="1"/>
    <xf numFmtId="1" fontId="0" fillId="0" borderId="20" xfId="0" applyNumberFormat="1" applyBorder="1"/>
    <xf numFmtId="1" fontId="9" fillId="0" borderId="20" xfId="0" applyNumberFormat="1" applyFont="1" applyBorder="1"/>
    <xf numFmtId="1" fontId="0" fillId="0" borderId="20" xfId="0" applyNumberFormat="1" applyFont="1" applyBorder="1"/>
    <xf numFmtId="1" fontId="9" fillId="0" borderId="0" xfId="0" applyNumberFormat="1" applyFont="1" applyAlignment="1">
      <alignment horizontal="center"/>
    </xf>
    <xf numFmtId="1" fontId="3" fillId="0" borderId="10" xfId="0" applyNumberFormat="1" applyFont="1" applyFill="1" applyBorder="1"/>
    <xf numFmtId="1" fontId="9" fillId="0" borderId="10" xfId="0" applyNumberFormat="1" applyFont="1" applyFill="1" applyBorder="1"/>
    <xf numFmtId="1" fontId="0" fillId="0" borderId="6" xfId="0" applyNumberFormat="1" applyFont="1" applyBorder="1"/>
    <xf numFmtId="1" fontId="0" fillId="0" borderId="16" xfId="0" applyNumberFormat="1" applyFont="1" applyBorder="1"/>
    <xf numFmtId="165" fontId="0" fillId="0" borderId="20" xfId="0" applyFill="1" applyBorder="1"/>
    <xf numFmtId="165" fontId="0" fillId="0" borderId="18" xfId="0" applyBorder="1" applyAlignment="1">
      <alignment horizontal="center"/>
    </xf>
    <xf numFmtId="0" fontId="0" fillId="0" borderId="4" xfId="0" applyNumberFormat="1" applyFont="1" applyBorder="1" applyAlignment="1">
      <alignment horizontal="center" vertical="top" wrapText="1"/>
    </xf>
    <xf numFmtId="0" fontId="0" fillId="0" borderId="4" xfId="0" applyNumberFormat="1" applyFont="1" applyBorder="1" applyAlignment="1">
      <alignment vertical="top" wrapText="1"/>
    </xf>
    <xf numFmtId="1" fontId="0" fillId="0" borderId="4" xfId="0" applyNumberFormat="1" applyFont="1" applyBorder="1" applyAlignment="1">
      <alignment vertical="top" wrapText="1"/>
    </xf>
    <xf numFmtId="1" fontId="0" fillId="0" borderId="4" xfId="0" applyNumberFormat="1" applyFont="1" applyBorder="1" applyAlignment="1">
      <alignment horizontal="center" vertical="top"/>
    </xf>
    <xf numFmtId="2" fontId="0" fillId="0" borderId="4" xfId="0" applyNumberFormat="1" applyFont="1" applyBorder="1" applyAlignment="1">
      <alignment wrapText="1"/>
    </xf>
    <xf numFmtId="2" fontId="0" fillId="0" borderId="4" xfId="0" applyNumberFormat="1" applyFont="1" applyBorder="1" applyAlignment="1">
      <alignment vertical="top" wrapText="1"/>
    </xf>
    <xf numFmtId="0" fontId="0" fillId="0" borderId="4" xfId="0" applyNumberFormat="1" applyFont="1" applyBorder="1" applyAlignment="1">
      <alignment vertical="top"/>
    </xf>
    <xf numFmtId="1" fontId="0" fillId="0" borderId="20" xfId="0" applyNumberFormat="1" applyBorder="1" applyAlignment="1">
      <alignment horizontal="center"/>
    </xf>
    <xf numFmtId="165" fontId="0" fillId="0" borderId="22" xfId="0" applyBorder="1" applyAlignment="1">
      <alignment horizontal="center"/>
    </xf>
    <xf numFmtId="165" fontId="9" fillId="0" borderId="22" xfId="0" applyFont="1" applyBorder="1"/>
    <xf numFmtId="165" fontId="0" fillId="0" borderId="22" xfId="0" applyBorder="1"/>
    <xf numFmtId="165" fontId="15" fillId="13" borderId="23" xfId="12" applyNumberFormat="1" applyFill="1" applyBorder="1" applyAlignment="1" applyProtection="1">
      <alignment wrapText="1"/>
    </xf>
    <xf numFmtId="165" fontId="16" fillId="13" borderId="24" xfId="0" applyFont="1" applyFill="1" applyBorder="1" applyAlignment="1">
      <alignment wrapText="1"/>
    </xf>
    <xf numFmtId="165" fontId="17" fillId="0" borderId="25" xfId="0" applyFont="1" applyBorder="1" applyAlignment="1">
      <alignment vertical="top" wrapText="1"/>
    </xf>
    <xf numFmtId="165" fontId="0" fillId="0" borderId="26" xfId="0" applyBorder="1"/>
    <xf numFmtId="165" fontId="17" fillId="0" borderId="27" xfId="0" applyFont="1" applyBorder="1" applyAlignment="1">
      <alignment vertical="top" wrapText="1"/>
    </xf>
    <xf numFmtId="0" fontId="0" fillId="0" borderId="0" xfId="0" applyNumberFormat="1" applyAlignment="1">
      <alignment horizontal="center"/>
    </xf>
    <xf numFmtId="165" fontId="17" fillId="0" borderId="22" xfId="0" applyFont="1" applyFill="1" applyBorder="1" applyAlignment="1">
      <alignment vertical="top" wrapText="1"/>
    </xf>
    <xf numFmtId="165" fontId="17" fillId="0" borderId="22" xfId="0" applyFont="1" applyFill="1" applyBorder="1" applyAlignment="1">
      <alignment horizontal="center" vertical="top" wrapText="1"/>
    </xf>
    <xf numFmtId="165" fontId="9" fillId="0" borderId="22" xfId="0" applyFont="1" applyBorder="1" applyAlignment="1">
      <alignment horizontal="center"/>
    </xf>
    <xf numFmtId="165" fontId="9" fillId="0" borderId="10" xfId="0" applyFont="1" applyBorder="1"/>
    <xf numFmtId="165" fontId="9" fillId="0" borderId="11" xfId="0" applyFont="1" applyBorder="1"/>
    <xf numFmtId="0" fontId="9" fillId="0" borderId="22" xfId="0" applyNumberFormat="1" applyFont="1" applyBorder="1"/>
    <xf numFmtId="165" fontId="15" fillId="13" borderId="28" xfId="12" applyNumberFormat="1" applyFill="1" applyBorder="1" applyAlignment="1" applyProtection="1">
      <alignment wrapText="1"/>
    </xf>
    <xf numFmtId="165" fontId="16" fillId="13" borderId="29" xfId="0" applyFont="1" applyFill="1" applyBorder="1" applyAlignment="1">
      <alignment wrapText="1"/>
    </xf>
    <xf numFmtId="1" fontId="0" fillId="0" borderId="25" xfId="0" applyNumberFormat="1" applyBorder="1" applyAlignment="1">
      <alignment vertical="top"/>
    </xf>
    <xf numFmtId="165" fontId="18" fillId="0" borderId="30" xfId="0" applyFont="1" applyBorder="1" applyAlignment="1">
      <alignment vertical="top" wrapText="1"/>
    </xf>
    <xf numFmtId="49" fontId="19" fillId="0" borderId="30" xfId="0" applyNumberFormat="1" applyFont="1" applyBorder="1" applyAlignment="1">
      <alignment vertical="top" wrapText="1"/>
    </xf>
    <xf numFmtId="0" fontId="0" fillId="0" borderId="20" xfId="0" applyNumberFormat="1" applyBorder="1" applyAlignment="1">
      <alignment horizontal="center"/>
    </xf>
    <xf numFmtId="165" fontId="20" fillId="0" borderId="20" xfId="0" applyFont="1" applyBorder="1" applyAlignment="1">
      <alignment wrapText="1"/>
    </xf>
    <xf numFmtId="1" fontId="0" fillId="2" borderId="20" xfId="0" applyNumberFormat="1" applyFill="1" applyBorder="1" applyAlignment="1">
      <alignment horizontal="center"/>
    </xf>
    <xf numFmtId="0" fontId="0" fillId="0" borderId="22" xfId="0" applyNumberFormat="1" applyBorder="1"/>
    <xf numFmtId="0" fontId="0" fillId="0" borderId="20" xfId="0" applyNumberFormat="1" applyBorder="1"/>
    <xf numFmtId="0" fontId="0" fillId="0" borderId="19" xfId="0" applyNumberFormat="1" applyBorder="1"/>
    <xf numFmtId="165" fontId="20" fillId="0" borderId="8" xfId="0" applyFont="1" applyBorder="1" applyAlignment="1">
      <alignment wrapText="1"/>
    </xf>
    <xf numFmtId="1" fontId="0" fillId="2" borderId="8" xfId="0" applyNumberFormat="1" applyFill="1" applyBorder="1" applyAlignment="1">
      <alignment horizontal="center"/>
    </xf>
    <xf numFmtId="0" fontId="0" fillId="0" borderId="8" xfId="0" applyNumberFormat="1" applyBorder="1"/>
    <xf numFmtId="0" fontId="0" fillId="0" borderId="15" xfId="0" applyNumberFormat="1" applyBorder="1"/>
    <xf numFmtId="165" fontId="0" fillId="14" borderId="8" xfId="0" applyFill="1" applyBorder="1"/>
    <xf numFmtId="1" fontId="0" fillId="2" borderId="10" xfId="0" applyNumberFormat="1" applyFill="1" applyBorder="1" applyAlignment="1">
      <alignment horizontal="center"/>
    </xf>
    <xf numFmtId="0" fontId="19" fillId="0" borderId="30" xfId="0" applyNumberFormat="1" applyFont="1" applyBorder="1" applyAlignment="1">
      <alignment vertical="top" wrapText="1"/>
    </xf>
    <xf numFmtId="165" fontId="0" fillId="14" borderId="9" xfId="0" applyFill="1" applyBorder="1"/>
    <xf numFmtId="0" fontId="0" fillId="0" borderId="10" xfId="0" applyNumberFormat="1" applyBorder="1"/>
    <xf numFmtId="165" fontId="9" fillId="0" borderId="26" xfId="0" applyFont="1" applyBorder="1" applyAlignment="1">
      <alignment vertical="top"/>
    </xf>
    <xf numFmtId="0" fontId="0" fillId="0" borderId="8" xfId="0" applyNumberFormat="1" applyFill="1" applyBorder="1"/>
    <xf numFmtId="165" fontId="0" fillId="0" borderId="31" xfId="0" applyBorder="1"/>
    <xf numFmtId="0" fontId="0" fillId="0" borderId="10" xfId="0" applyNumberFormat="1" applyBorder="1" applyAlignment="1">
      <alignment horizontal="center"/>
    </xf>
    <xf numFmtId="165" fontId="20" fillId="0" borderId="10" xfId="0" applyFont="1" applyBorder="1" applyAlignment="1">
      <alignment wrapText="1"/>
    </xf>
    <xf numFmtId="1" fontId="0" fillId="0" borderId="26" xfId="0" applyNumberFormat="1" applyBorder="1" applyAlignment="1">
      <alignment vertical="top"/>
    </xf>
    <xf numFmtId="165" fontId="18" fillId="0" borderId="33" xfId="0" applyFont="1" applyBorder="1" applyAlignment="1">
      <alignment vertical="top" wrapText="1"/>
    </xf>
    <xf numFmtId="49" fontId="19" fillId="0" borderId="33" xfId="0" applyNumberFormat="1" applyFont="1" applyBorder="1" applyAlignment="1">
      <alignment vertical="top" wrapText="1"/>
    </xf>
    <xf numFmtId="49" fontId="19" fillId="0" borderId="0" xfId="0" applyNumberFormat="1" applyFont="1" applyBorder="1" applyAlignment="1">
      <alignment horizontal="center" vertical="top" wrapText="1"/>
    </xf>
    <xf numFmtId="165" fontId="9" fillId="0" borderId="34" xfId="0" applyFont="1" applyBorder="1" applyAlignment="1">
      <alignment vertical="top"/>
    </xf>
    <xf numFmtId="1" fontId="0" fillId="0" borderId="25" xfId="0" applyNumberFormat="1" applyFill="1" applyBorder="1" applyAlignment="1">
      <alignment vertical="top"/>
    </xf>
    <xf numFmtId="165" fontId="18" fillId="0" borderId="25" xfId="0" applyFont="1" applyFill="1" applyBorder="1" applyAlignment="1">
      <alignment vertical="top" wrapText="1"/>
    </xf>
    <xf numFmtId="165" fontId="18" fillId="0" borderId="27" xfId="0" applyFont="1" applyFill="1" applyBorder="1" applyAlignment="1">
      <alignment vertical="top" wrapText="1"/>
    </xf>
    <xf numFmtId="49" fontId="19" fillId="0" borderId="27" xfId="0" applyNumberFormat="1" applyFont="1" applyFill="1" applyBorder="1" applyAlignment="1">
      <alignment vertical="top" wrapText="1"/>
    </xf>
    <xf numFmtId="165" fontId="9" fillId="0" borderId="26" xfId="0" applyFont="1" applyBorder="1"/>
    <xf numFmtId="1" fontId="0" fillId="0" borderId="35" xfId="0" applyNumberFormat="1" applyBorder="1" applyAlignment="1">
      <alignment vertical="top"/>
    </xf>
    <xf numFmtId="165" fontId="18" fillId="0" borderId="35" xfId="0" applyFont="1" applyBorder="1" applyAlignment="1">
      <alignment vertical="top" wrapText="1"/>
    </xf>
    <xf numFmtId="49" fontId="19" fillId="0" borderId="35" xfId="0" applyNumberFormat="1" applyFont="1" applyBorder="1" applyAlignment="1">
      <alignment vertical="top" wrapText="1"/>
    </xf>
    <xf numFmtId="165" fontId="0" fillId="0" borderId="32" xfId="0" applyBorder="1"/>
    <xf numFmtId="1" fontId="0" fillId="0" borderId="27" xfId="0" applyNumberFormat="1" applyBorder="1" applyAlignment="1">
      <alignment vertical="top"/>
    </xf>
    <xf numFmtId="49" fontId="19" fillId="0" borderId="0" xfId="0" applyNumberFormat="1" applyFont="1" applyBorder="1" applyAlignment="1">
      <alignment vertical="top" wrapText="1"/>
    </xf>
    <xf numFmtId="165" fontId="0" fillId="15" borderId="9" xfId="0" applyFill="1" applyBorder="1"/>
    <xf numFmtId="0" fontId="0" fillId="0" borderId="22" xfId="0" applyNumberFormat="1" applyFill="1" applyBorder="1"/>
    <xf numFmtId="0" fontId="0" fillId="0" borderId="15" xfId="0" applyNumberFormat="1" applyFill="1" applyBorder="1"/>
    <xf numFmtId="0" fontId="0" fillId="0" borderId="11" xfId="0" applyNumberFormat="1" applyBorder="1"/>
    <xf numFmtId="165" fontId="3" fillId="2" borderId="8" xfId="1" applyNumberFormat="1" applyFont="1" applyFill="1" applyBorder="1" applyAlignment="1">
      <alignment horizontal="left" vertical="top" wrapText="1"/>
    </xf>
    <xf numFmtId="0" fontId="0" fillId="0" borderId="0" xfId="0" applyNumberFormat="1" applyBorder="1"/>
    <xf numFmtId="0" fontId="0" fillId="0" borderId="12" xfId="0" applyNumberFormat="1" applyBorder="1"/>
    <xf numFmtId="0" fontId="0" fillId="0" borderId="16" xfId="0" applyNumberFormat="1" applyBorder="1"/>
    <xf numFmtId="165" fontId="15" fillId="13" borderId="29" xfId="12" applyNumberFormat="1" applyFill="1" applyBorder="1" applyAlignment="1" applyProtection="1">
      <alignment wrapText="1"/>
    </xf>
    <xf numFmtId="165" fontId="15" fillId="13" borderId="36" xfId="12" applyNumberFormat="1" applyFill="1" applyBorder="1" applyAlignment="1" applyProtection="1">
      <alignment wrapText="1"/>
    </xf>
    <xf numFmtId="165" fontId="16" fillId="13" borderId="37" xfId="0" applyFont="1" applyFill="1" applyBorder="1" applyAlignment="1">
      <alignment wrapText="1"/>
    </xf>
    <xf numFmtId="171" fontId="0" fillId="3" borderId="17" xfId="0" applyNumberFormat="1" applyFill="1" applyBorder="1" applyAlignment="1">
      <alignment vertical="top"/>
    </xf>
    <xf numFmtId="165" fontId="0" fillId="3" borderId="17" xfId="0" applyFill="1" applyBorder="1" applyAlignment="1">
      <alignment vertical="top" wrapText="1"/>
    </xf>
    <xf numFmtId="165" fontId="0" fillId="3" borderId="17" xfId="0" applyFill="1" applyBorder="1" applyAlignment="1">
      <alignment vertical="top"/>
    </xf>
    <xf numFmtId="1" fontId="0" fillId="3" borderId="17" xfId="0" applyNumberFormat="1" applyFill="1" applyBorder="1" applyAlignment="1">
      <alignment vertical="top"/>
    </xf>
    <xf numFmtId="15" fontId="0" fillId="3" borderId="17" xfId="0" applyNumberFormat="1" applyFill="1" applyBorder="1" applyAlignment="1" applyProtection="1">
      <alignment vertical="top" wrapText="1"/>
    </xf>
    <xf numFmtId="166" fontId="0" fillId="3" borderId="17" xfId="0" applyNumberFormat="1" applyFill="1" applyBorder="1" applyAlignment="1">
      <alignment vertical="top"/>
    </xf>
    <xf numFmtId="2" fontId="0" fillId="3" borderId="17" xfId="0" applyNumberFormat="1" applyFill="1" applyBorder="1" applyAlignment="1">
      <alignment vertical="top"/>
    </xf>
    <xf numFmtId="1" fontId="0" fillId="3" borderId="17" xfId="0" applyNumberFormat="1" applyFill="1" applyBorder="1" applyAlignment="1">
      <alignment vertical="top" wrapText="1"/>
    </xf>
    <xf numFmtId="167" fontId="0" fillId="3" borderId="17" xfId="0" applyNumberFormat="1" applyFill="1" applyBorder="1" applyAlignment="1">
      <alignment vertical="top" wrapText="1"/>
    </xf>
    <xf numFmtId="169" fontId="0" fillId="3" borderId="17" xfId="0" applyNumberFormat="1" applyFill="1" applyBorder="1" applyAlignment="1">
      <alignment vertical="top" wrapText="1"/>
    </xf>
    <xf numFmtId="166" fontId="0" fillId="3" borderId="17" xfId="0" applyNumberFormat="1" applyFill="1" applyBorder="1" applyAlignment="1">
      <alignment vertical="top" wrapText="1"/>
    </xf>
    <xf numFmtId="15" fontId="0" fillId="3" borderId="17" xfId="0" applyNumberFormat="1" applyFill="1" applyBorder="1" applyAlignment="1">
      <alignment vertical="top" wrapText="1"/>
    </xf>
    <xf numFmtId="15" fontId="0" fillId="3" borderId="17" xfId="0" applyNumberFormat="1" applyFill="1" applyBorder="1" applyAlignment="1">
      <alignment horizontal="center" vertical="top" wrapText="1"/>
    </xf>
    <xf numFmtId="1" fontId="3" fillId="3" borderId="17" xfId="0" applyNumberFormat="1" applyFont="1" applyFill="1" applyBorder="1" applyAlignment="1">
      <alignment vertical="top" wrapText="1"/>
    </xf>
    <xf numFmtId="2" fontId="0" fillId="3" borderId="17" xfId="0" applyNumberFormat="1" applyFill="1" applyBorder="1" applyAlignment="1">
      <alignment vertical="top" wrapText="1"/>
    </xf>
    <xf numFmtId="165" fontId="0" fillId="3" borderId="17" xfId="0" applyFill="1" applyBorder="1" applyAlignment="1">
      <alignment horizontal="center" vertical="top" wrapText="1"/>
    </xf>
    <xf numFmtId="0" fontId="0" fillId="12" borderId="8" xfId="1" applyNumberFormat="1" applyFont="1" applyFill="1" applyBorder="1" applyAlignment="1">
      <alignment vertical="top" wrapText="1"/>
    </xf>
    <xf numFmtId="0" fontId="3" fillId="3" borderId="17" xfId="0" applyNumberFormat="1" applyFont="1" applyFill="1" applyBorder="1" applyAlignment="1">
      <alignment vertical="top" wrapText="1"/>
    </xf>
    <xf numFmtId="0" fontId="0" fillId="3" borderId="17" xfId="0" applyNumberFormat="1" applyFont="1" applyFill="1" applyBorder="1" applyAlignment="1">
      <alignment vertical="top" wrapText="1"/>
    </xf>
    <xf numFmtId="0" fontId="3" fillId="0" borderId="17" xfId="0" applyNumberFormat="1" applyFont="1" applyBorder="1" applyAlignment="1">
      <alignment vertical="top" wrapText="1"/>
    </xf>
    <xf numFmtId="0" fontId="3" fillId="9" borderId="17" xfId="0" applyNumberFormat="1" applyFont="1" applyFill="1" applyBorder="1" applyAlignment="1">
      <alignment vertical="top" wrapText="1"/>
    </xf>
    <xf numFmtId="0" fontId="0" fillId="9" borderId="17" xfId="0" applyNumberFormat="1" applyFont="1" applyFill="1" applyBorder="1" applyAlignment="1">
      <alignment vertical="top" wrapText="1"/>
    </xf>
    <xf numFmtId="0" fontId="0" fillId="3" borderId="22" xfId="0" applyNumberFormat="1" applyFont="1" applyFill="1" applyBorder="1" applyAlignment="1">
      <alignment vertical="top" wrapText="1"/>
    </xf>
    <xf numFmtId="0" fontId="0" fillId="0" borderId="17" xfId="0" applyNumberFormat="1" applyFont="1" applyBorder="1" applyAlignment="1">
      <alignment vertical="top" wrapText="1"/>
    </xf>
    <xf numFmtId="0" fontId="3" fillId="2" borderId="17" xfId="0" applyNumberFormat="1" applyFont="1" applyFill="1" applyBorder="1" applyAlignment="1">
      <alignment vertical="top" wrapText="1"/>
    </xf>
    <xf numFmtId="0" fontId="0" fillId="3" borderId="17" xfId="0" applyNumberFormat="1" applyFill="1" applyBorder="1" applyAlignment="1">
      <alignment vertical="top" wrapText="1"/>
    </xf>
    <xf numFmtId="0" fontId="0" fillId="0" borderId="17" xfId="0" applyNumberFormat="1" applyBorder="1" applyAlignment="1">
      <alignment vertical="top" wrapText="1"/>
    </xf>
    <xf numFmtId="0" fontId="0" fillId="0" borderId="22" xfId="0" applyNumberFormat="1" applyBorder="1" applyAlignment="1">
      <alignment vertical="top" wrapText="1"/>
    </xf>
    <xf numFmtId="15" fontId="0" fillId="3" borderId="22" xfId="0" applyNumberFormat="1" applyFont="1" applyFill="1" applyBorder="1" applyAlignment="1">
      <alignment vertical="top"/>
    </xf>
    <xf numFmtId="15" fontId="0" fillId="0" borderId="11" xfId="0" applyNumberFormat="1" applyBorder="1"/>
    <xf numFmtId="1" fontId="0" fillId="0" borderId="17" xfId="0" applyNumberFormat="1" applyFont="1" applyBorder="1" applyAlignment="1">
      <alignment horizontal="left" vertical="top" wrapText="1"/>
    </xf>
    <xf numFmtId="171" fontId="3" fillId="3" borderId="17" xfId="0" applyNumberFormat="1" applyFont="1" applyFill="1" applyBorder="1" applyAlignment="1">
      <alignment vertical="top" wrapText="1"/>
    </xf>
    <xf numFmtId="169" fontId="3" fillId="3" borderId="17" xfId="0" applyNumberFormat="1" applyFont="1" applyFill="1" applyBorder="1" applyAlignment="1">
      <alignment vertical="top" wrapText="1"/>
    </xf>
    <xf numFmtId="166" fontId="3" fillId="3" borderId="17" xfId="0" applyNumberFormat="1" applyFont="1" applyFill="1" applyBorder="1" applyAlignment="1">
      <alignment vertical="top" wrapText="1"/>
    </xf>
    <xf numFmtId="2" fontId="3" fillId="3" borderId="17" xfId="0" applyNumberFormat="1" applyFont="1" applyFill="1" applyBorder="1" applyAlignment="1">
      <alignment vertical="top" wrapText="1"/>
    </xf>
    <xf numFmtId="167" fontId="3" fillId="3" borderId="17" xfId="0" applyNumberFormat="1" applyFont="1" applyFill="1" applyBorder="1" applyAlignment="1">
      <alignment vertical="top" wrapText="1"/>
    </xf>
    <xf numFmtId="170" fontId="3" fillId="3" borderId="17" xfId="0" applyNumberFormat="1" applyFont="1" applyFill="1" applyBorder="1" applyAlignment="1">
      <alignment vertical="top" wrapText="1"/>
    </xf>
    <xf numFmtId="173" fontId="3" fillId="3" borderId="17" xfId="0" applyNumberFormat="1" applyFont="1" applyFill="1" applyBorder="1" applyAlignment="1">
      <alignment vertical="top" wrapText="1"/>
    </xf>
    <xf numFmtId="165" fontId="0" fillId="3" borderId="0" xfId="0" applyFill="1" applyBorder="1" applyAlignment="1">
      <alignment vertical="top" wrapText="1"/>
    </xf>
    <xf numFmtId="165" fontId="3" fillId="2" borderId="22" xfId="0" applyFont="1" applyFill="1" applyBorder="1" applyAlignment="1">
      <alignment vertical="top"/>
    </xf>
    <xf numFmtId="15" fontId="3" fillId="2" borderId="22" xfId="0" applyNumberFormat="1" applyFont="1" applyFill="1" applyBorder="1" applyAlignment="1">
      <alignment vertical="top" wrapText="1"/>
    </xf>
    <xf numFmtId="15" fontId="3" fillId="0" borderId="22" xfId="0" applyNumberFormat="1" applyFont="1" applyBorder="1" applyAlignment="1" applyProtection="1">
      <alignment vertical="top" wrapText="1"/>
    </xf>
    <xf numFmtId="165" fontId="9" fillId="0" borderId="18" xfId="0" applyFont="1" applyBorder="1" applyAlignment="1"/>
    <xf numFmtId="165" fontId="9" fillId="0" borderId="21" xfId="0" applyFont="1" applyBorder="1" applyAlignment="1"/>
    <xf numFmtId="1" fontId="9" fillId="0" borderId="7" xfId="0" applyNumberFormat="1" applyFont="1" applyBorder="1" applyAlignment="1">
      <alignment wrapText="1"/>
    </xf>
    <xf numFmtId="168" fontId="9" fillId="0" borderId="19" xfId="0" applyNumberFormat="1" applyFont="1" applyBorder="1"/>
    <xf numFmtId="1" fontId="0" fillId="0" borderId="9" xfId="0" applyNumberFormat="1" applyBorder="1" applyAlignment="1">
      <alignment vertical="top" wrapText="1"/>
    </xf>
    <xf numFmtId="168" fontId="0" fillId="0" borderId="15" xfId="0" applyNumberFormat="1" applyBorder="1" applyAlignment="1">
      <alignment vertical="top"/>
    </xf>
    <xf numFmtId="1" fontId="9" fillId="0" borderId="9" xfId="0" applyNumberFormat="1" applyFont="1" applyBorder="1" applyAlignment="1">
      <alignment wrapText="1"/>
    </xf>
    <xf numFmtId="168" fontId="3" fillId="0" borderId="15" xfId="0" applyNumberFormat="1" applyFont="1" applyBorder="1"/>
    <xf numFmtId="1" fontId="0" fillId="0" borderId="9" xfId="0" applyNumberFormat="1" applyFont="1" applyBorder="1" applyAlignment="1">
      <alignment wrapText="1"/>
    </xf>
    <xf numFmtId="168" fontId="0" fillId="0" borderId="15" xfId="0" applyNumberFormat="1" applyFont="1" applyBorder="1"/>
    <xf numFmtId="1" fontId="3" fillId="0" borderId="9" xfId="0" applyNumberFormat="1" applyFont="1" applyBorder="1" applyAlignment="1">
      <alignment wrapText="1"/>
    </xf>
    <xf numFmtId="1" fontId="3" fillId="0" borderId="9" xfId="0" applyNumberFormat="1" applyFont="1" applyFill="1" applyBorder="1" applyAlignment="1">
      <alignment wrapText="1"/>
    </xf>
    <xf numFmtId="9" fontId="9" fillId="0" borderId="19" xfId="0" applyNumberFormat="1" applyFont="1" applyBorder="1"/>
    <xf numFmtId="1" fontId="0" fillId="0" borderId="18" xfId="0" applyNumberFormat="1" applyBorder="1" applyAlignment="1">
      <alignment wrapText="1"/>
    </xf>
    <xf numFmtId="168" fontId="0" fillId="0" borderId="21" xfId="9" applyNumberFormat="1" applyFont="1" applyBorder="1"/>
    <xf numFmtId="165" fontId="0" fillId="0" borderId="17" xfId="0" applyBorder="1" applyAlignment="1">
      <alignment horizontal="right" vertical="top" wrapText="1"/>
    </xf>
    <xf numFmtId="1" fontId="0" fillId="0" borderId="0" xfId="0" applyNumberFormat="1" applyAlignment="1">
      <alignment horizontal="center" vertical="top" wrapText="1"/>
    </xf>
    <xf numFmtId="1" fontId="0" fillId="0" borderId="18" xfId="0" applyNumberFormat="1" applyFont="1" applyFill="1" applyBorder="1"/>
    <xf numFmtId="1" fontId="0" fillId="3" borderId="17" xfId="0" applyNumberFormat="1" applyFill="1" applyBorder="1" applyAlignment="1">
      <alignment horizontal="left" vertical="top" wrapText="1"/>
    </xf>
    <xf numFmtId="0" fontId="0" fillId="3" borderId="22" xfId="0" applyNumberFormat="1" applyFill="1" applyBorder="1" applyAlignment="1">
      <alignment vertical="top" wrapText="1"/>
    </xf>
    <xf numFmtId="165" fontId="0" fillId="3" borderId="22" xfId="0" applyFill="1" applyBorder="1" applyAlignment="1">
      <alignment vertical="top" wrapText="1"/>
    </xf>
    <xf numFmtId="1" fontId="0" fillId="3" borderId="22" xfId="0" applyNumberFormat="1" applyFill="1" applyBorder="1" applyAlignment="1">
      <alignment vertical="top" wrapText="1"/>
    </xf>
    <xf numFmtId="167" fontId="0" fillId="3" borderId="22" xfId="0" applyNumberFormat="1" applyFill="1" applyBorder="1" applyAlignment="1">
      <alignment vertical="top" wrapText="1"/>
    </xf>
    <xf numFmtId="166" fontId="0" fillId="3" borderId="22" xfId="0" applyNumberFormat="1" applyFill="1" applyBorder="1" applyAlignment="1">
      <alignment vertical="top" wrapText="1"/>
    </xf>
    <xf numFmtId="15" fontId="0" fillId="3" borderId="22" xfId="0" applyNumberFormat="1" applyFill="1" applyBorder="1" applyAlignment="1">
      <alignment vertical="top" wrapText="1"/>
    </xf>
    <xf numFmtId="15" fontId="0" fillId="3" borderId="22" xfId="0" applyNumberFormat="1" applyFill="1" applyBorder="1" applyAlignment="1">
      <alignment horizontal="center" vertical="top" wrapText="1"/>
    </xf>
    <xf numFmtId="2" fontId="0" fillId="3" borderId="22" xfId="0" applyNumberFormat="1" applyFill="1" applyBorder="1" applyAlignment="1">
      <alignment vertical="top" wrapText="1"/>
    </xf>
    <xf numFmtId="165" fontId="0" fillId="3" borderId="22" xfId="0" applyFill="1" applyBorder="1" applyAlignment="1">
      <alignment horizontal="center" vertical="top" wrapText="1"/>
    </xf>
    <xf numFmtId="0" fontId="0" fillId="9" borderId="22" xfId="0" applyNumberFormat="1" applyFill="1" applyBorder="1" applyAlignment="1">
      <alignment vertical="top" wrapText="1"/>
    </xf>
    <xf numFmtId="165" fontId="3" fillId="9" borderId="22" xfId="0" applyFont="1" applyFill="1" applyBorder="1" applyAlignment="1">
      <alignment vertical="top"/>
    </xf>
    <xf numFmtId="165" fontId="0" fillId="9" borderId="22" xfId="0" applyFill="1" applyBorder="1" applyAlignment="1">
      <alignment vertical="top" wrapText="1"/>
    </xf>
    <xf numFmtId="1" fontId="3" fillId="9" borderId="22" xfId="0" applyNumberFormat="1" applyFont="1" applyFill="1" applyBorder="1" applyAlignment="1">
      <alignment vertical="top" wrapText="1"/>
    </xf>
    <xf numFmtId="171" fontId="3" fillId="9" borderId="22" xfId="0" applyNumberFormat="1" applyFont="1" applyFill="1" applyBorder="1" applyAlignment="1">
      <alignment vertical="top" wrapText="1"/>
    </xf>
    <xf numFmtId="15" fontId="3" fillId="9" borderId="22" xfId="0" applyNumberFormat="1" applyFont="1" applyFill="1" applyBorder="1" applyAlignment="1">
      <alignment vertical="top" wrapText="1"/>
    </xf>
    <xf numFmtId="167" fontId="0" fillId="9" borderId="22" xfId="0" applyNumberFormat="1" applyFill="1" applyBorder="1" applyAlignment="1">
      <alignment vertical="top" wrapText="1"/>
    </xf>
    <xf numFmtId="1" fontId="0" fillId="9" borderId="22" xfId="0" applyNumberFormat="1" applyFill="1" applyBorder="1" applyAlignment="1">
      <alignment vertical="top" wrapText="1"/>
    </xf>
    <xf numFmtId="15" fontId="3" fillId="9" borderId="22" xfId="0" applyNumberFormat="1" applyFont="1" applyFill="1" applyBorder="1" applyAlignment="1" applyProtection="1">
      <alignment vertical="top" wrapText="1"/>
    </xf>
    <xf numFmtId="166" fontId="0" fillId="9" borderId="22" xfId="0" applyNumberFormat="1" applyFill="1" applyBorder="1" applyAlignment="1">
      <alignment vertical="top" wrapText="1"/>
    </xf>
    <xf numFmtId="15" fontId="0" fillId="9" borderId="22" xfId="0" applyNumberFormat="1" applyFill="1" applyBorder="1" applyAlignment="1">
      <alignment vertical="top" wrapText="1"/>
    </xf>
    <xf numFmtId="15" fontId="0" fillId="9" borderId="22" xfId="0" applyNumberFormat="1" applyFill="1" applyBorder="1" applyAlignment="1">
      <alignment horizontal="center" vertical="top" wrapText="1"/>
    </xf>
    <xf numFmtId="165" fontId="0" fillId="9" borderId="22" xfId="0" applyFont="1" applyFill="1" applyBorder="1" applyAlignment="1">
      <alignment vertical="top" wrapText="1"/>
    </xf>
    <xf numFmtId="1" fontId="3" fillId="9" borderId="22" xfId="0" applyNumberFormat="1" applyFont="1" applyFill="1" applyBorder="1" applyAlignment="1">
      <alignment horizontal="left" vertical="top" wrapText="1"/>
    </xf>
    <xf numFmtId="165" fontId="0" fillId="9" borderId="22" xfId="0" applyFill="1" applyBorder="1" applyAlignment="1">
      <alignment horizontal="center" vertical="top" wrapText="1"/>
    </xf>
    <xf numFmtId="2" fontId="0" fillId="9" borderId="22" xfId="0" applyNumberFormat="1" applyFill="1" applyBorder="1" applyAlignment="1">
      <alignment vertical="top" wrapText="1"/>
    </xf>
    <xf numFmtId="165" fontId="0" fillId="2" borderId="22" xfId="0" applyFont="1" applyFill="1" applyBorder="1" applyAlignment="1">
      <alignment vertical="top"/>
    </xf>
    <xf numFmtId="165" fontId="0" fillId="2" borderId="17" xfId="0" applyFill="1" applyBorder="1" applyAlignment="1">
      <alignment vertical="top" wrapText="1"/>
    </xf>
    <xf numFmtId="171" fontId="0" fillId="0" borderId="22" xfId="0" applyNumberFormat="1" applyFont="1" applyBorder="1" applyAlignment="1">
      <alignment vertical="top" wrapText="1"/>
    </xf>
    <xf numFmtId="1" fontId="3" fillId="2" borderId="17" xfId="0" applyNumberFormat="1" applyFont="1" applyFill="1" applyBorder="1" applyAlignment="1">
      <alignment horizontal="left" vertical="top" wrapText="1"/>
    </xf>
    <xf numFmtId="165" fontId="12" fillId="0" borderId="19" xfId="0" applyFont="1" applyBorder="1"/>
    <xf numFmtId="1" fontId="3" fillId="3" borderId="17" xfId="0" applyNumberFormat="1" applyFont="1" applyFill="1" applyBorder="1" applyAlignment="1">
      <alignment horizontal="left" vertical="top" wrapText="1"/>
    </xf>
    <xf numFmtId="1" fontId="0" fillId="0" borderId="4" xfId="0" applyNumberFormat="1" applyFont="1" applyBorder="1" applyAlignment="1">
      <alignment horizontal="center" vertical="top" wrapText="1"/>
    </xf>
    <xf numFmtId="0" fontId="0" fillId="9" borderId="17" xfId="0" applyNumberFormat="1" applyFill="1" applyBorder="1" applyAlignment="1">
      <alignment vertical="top" wrapText="1"/>
    </xf>
    <xf numFmtId="167" fontId="0" fillId="9" borderId="17" xfId="0" applyNumberFormat="1" applyFill="1" applyBorder="1" applyAlignment="1">
      <alignment vertical="top" wrapText="1"/>
    </xf>
    <xf numFmtId="1" fontId="0" fillId="9" borderId="17" xfId="0" applyNumberFormat="1" applyFill="1" applyBorder="1" applyAlignment="1">
      <alignment vertical="top" wrapText="1"/>
    </xf>
    <xf numFmtId="166" fontId="0" fillId="9" borderId="17" xfId="0" applyNumberFormat="1" applyFill="1" applyBorder="1" applyAlignment="1">
      <alignment vertical="top" wrapText="1"/>
    </xf>
    <xf numFmtId="15" fontId="0" fillId="9" borderId="17" xfId="0" applyNumberFormat="1" applyFill="1" applyBorder="1" applyAlignment="1">
      <alignment vertical="top" wrapText="1"/>
    </xf>
    <xf numFmtId="15" fontId="0" fillId="9" borderId="17" xfId="0" applyNumberFormat="1" applyFill="1" applyBorder="1" applyAlignment="1">
      <alignment horizontal="center" vertical="top" wrapText="1"/>
    </xf>
    <xf numFmtId="1" fontId="3" fillId="9" borderId="17" xfId="0" applyNumberFormat="1" applyFont="1" applyFill="1" applyBorder="1" applyAlignment="1">
      <alignment horizontal="left" vertical="top" wrapText="1"/>
    </xf>
    <xf numFmtId="165" fontId="0" fillId="9" borderId="17" xfId="0" applyFill="1" applyBorder="1" applyAlignment="1">
      <alignment horizontal="center" vertical="top" wrapText="1"/>
    </xf>
    <xf numFmtId="2" fontId="0" fillId="9" borderId="17" xfId="0" applyNumberFormat="1" applyFill="1" applyBorder="1" applyAlignment="1">
      <alignment vertical="top" wrapText="1"/>
    </xf>
    <xf numFmtId="1" fontId="3" fillId="2" borderId="22" xfId="0" applyNumberFormat="1" applyFont="1" applyFill="1" applyBorder="1" applyAlignment="1">
      <alignment vertical="top" wrapText="1"/>
    </xf>
    <xf numFmtId="1" fontId="0" fillId="2" borderId="22" xfId="0" applyNumberFormat="1" applyFill="1" applyBorder="1" applyAlignment="1">
      <alignment vertical="top" wrapText="1"/>
    </xf>
    <xf numFmtId="0" fontId="3" fillId="0" borderId="0" xfId="10" applyFont="1" applyBorder="1" applyAlignment="1">
      <alignment vertical="top" wrapText="1"/>
    </xf>
    <xf numFmtId="1" fontId="0" fillId="2" borderId="20" xfId="0" applyNumberFormat="1" applyFill="1" applyBorder="1"/>
    <xf numFmtId="1" fontId="3" fillId="2" borderId="22" xfId="0" applyNumberFormat="1" applyFont="1" applyFill="1" applyBorder="1" applyAlignment="1">
      <alignment horizontal="left" vertical="top" wrapText="1"/>
    </xf>
    <xf numFmtId="165" fontId="0" fillId="0" borderId="22" xfId="0" applyFont="1" applyBorder="1" applyAlignment="1">
      <alignment vertical="top"/>
    </xf>
    <xf numFmtId="165" fontId="0" fillId="0" borderId="9" xfId="0" applyBorder="1" applyAlignment="1">
      <alignment wrapText="1"/>
    </xf>
    <xf numFmtId="15" fontId="0" fillId="3" borderId="22" xfId="0" applyNumberFormat="1" applyFill="1" applyBorder="1" applyAlignment="1" applyProtection="1">
      <alignment vertical="top" wrapText="1"/>
    </xf>
    <xf numFmtId="168" fontId="0" fillId="0" borderId="20" xfId="0" applyNumberFormat="1" applyBorder="1" applyAlignment="1">
      <alignment wrapText="1"/>
    </xf>
    <xf numFmtId="10" fontId="0" fillId="0" borderId="8" xfId="0" applyNumberFormat="1" applyBorder="1"/>
    <xf numFmtId="165" fontId="0" fillId="3" borderId="22" xfId="0" quotePrefix="1" applyFont="1" applyFill="1" applyBorder="1" applyAlignment="1">
      <alignment vertical="top"/>
    </xf>
    <xf numFmtId="165" fontId="0" fillId="9" borderId="22" xfId="0" applyFont="1" applyFill="1" applyBorder="1" applyAlignment="1">
      <alignment vertical="top"/>
    </xf>
    <xf numFmtId="171" fontId="0" fillId="9" borderId="22" xfId="0" applyNumberFormat="1" applyFont="1" applyFill="1" applyBorder="1" applyAlignment="1">
      <alignment vertical="top" wrapText="1"/>
    </xf>
    <xf numFmtId="0" fontId="0" fillId="12" borderId="22" xfId="1" applyNumberFormat="1" applyFont="1" applyFill="1" applyBorder="1" applyAlignment="1">
      <alignment vertical="top" wrapText="1"/>
    </xf>
    <xf numFmtId="165" fontId="0" fillId="2" borderId="22" xfId="0" applyFill="1" applyBorder="1" applyAlignment="1">
      <alignment vertical="top" wrapText="1"/>
    </xf>
    <xf numFmtId="0" fontId="0" fillId="2" borderId="22" xfId="0" applyNumberFormat="1" applyFill="1" applyBorder="1" applyAlignment="1">
      <alignment vertical="top" wrapText="1"/>
    </xf>
    <xf numFmtId="171" fontId="0" fillId="2" borderId="22" xfId="0" applyNumberFormat="1" applyFont="1" applyFill="1" applyBorder="1" applyAlignment="1">
      <alignment vertical="top" wrapText="1"/>
    </xf>
    <xf numFmtId="171" fontId="3" fillId="2" borderId="22" xfId="0" applyNumberFormat="1" applyFont="1" applyFill="1" applyBorder="1" applyAlignment="1">
      <alignment vertical="top" wrapText="1"/>
    </xf>
    <xf numFmtId="167" fontId="0" fillId="2" borderId="22" xfId="0" applyNumberFormat="1" applyFill="1" applyBorder="1" applyAlignment="1">
      <alignment vertical="top" wrapText="1"/>
    </xf>
    <xf numFmtId="165" fontId="0" fillId="2" borderId="22" xfId="0" applyFont="1" applyFill="1" applyBorder="1" applyAlignment="1">
      <alignment vertical="top" wrapText="1"/>
    </xf>
    <xf numFmtId="166" fontId="0" fillId="2" borderId="22" xfId="0" applyNumberFormat="1" applyFill="1" applyBorder="1" applyAlignment="1">
      <alignment vertical="top" wrapText="1"/>
    </xf>
    <xf numFmtId="15" fontId="0" fillId="2" borderId="22" xfId="0" applyNumberFormat="1" applyFill="1" applyBorder="1" applyAlignment="1">
      <alignment vertical="top" wrapText="1"/>
    </xf>
    <xf numFmtId="15" fontId="0" fillId="2" borderId="22" xfId="0" applyNumberFormat="1" applyFill="1" applyBorder="1" applyAlignment="1">
      <alignment horizontal="center" vertical="top" wrapText="1"/>
    </xf>
    <xf numFmtId="165" fontId="0" fillId="2" borderId="22" xfId="0" applyFill="1" applyBorder="1" applyAlignment="1">
      <alignment horizontal="center" vertical="top" wrapText="1"/>
    </xf>
    <xf numFmtId="2" fontId="0" fillId="2" borderId="22" xfId="0" applyNumberFormat="1" applyFill="1" applyBorder="1" applyAlignment="1">
      <alignment vertical="top" wrapText="1"/>
    </xf>
    <xf numFmtId="165" fontId="0" fillId="2" borderId="0" xfId="0" applyFill="1"/>
    <xf numFmtId="166" fontId="0" fillId="3" borderId="17" xfId="0" applyNumberFormat="1" applyFont="1" applyFill="1" applyBorder="1" applyAlignment="1">
      <alignment vertical="top" wrapText="1"/>
    </xf>
    <xf numFmtId="165" fontId="3" fillId="0" borderId="22" xfId="0" applyFont="1" applyBorder="1" applyAlignment="1">
      <alignment vertical="top" wrapText="1"/>
    </xf>
    <xf numFmtId="1" fontId="3" fillId="3" borderId="22" xfId="0" applyNumberFormat="1" applyFont="1" applyFill="1" applyBorder="1" applyAlignment="1">
      <alignment vertical="top" wrapText="1"/>
    </xf>
    <xf numFmtId="171" fontId="3" fillId="3" borderId="22" xfId="0" applyNumberFormat="1" applyFont="1" applyFill="1" applyBorder="1" applyAlignment="1">
      <alignment vertical="top" wrapText="1"/>
    </xf>
    <xf numFmtId="169" fontId="3" fillId="3" borderId="22" xfId="0" applyNumberFormat="1" applyFont="1" applyFill="1" applyBorder="1" applyAlignment="1">
      <alignment vertical="top" wrapText="1"/>
    </xf>
    <xf numFmtId="169" fontId="0" fillId="3" borderId="22" xfId="0" applyNumberFormat="1" applyFont="1" applyFill="1" applyBorder="1" applyAlignment="1">
      <alignment vertical="top"/>
    </xf>
    <xf numFmtId="165" fontId="9" fillId="0" borderId="2" xfId="0" applyFont="1" applyBorder="1" applyAlignment="1">
      <alignment horizontal="center"/>
    </xf>
    <xf numFmtId="165" fontId="9" fillId="0" borderId="18" xfId="0" applyFont="1" applyFill="1" applyBorder="1" applyAlignment="1">
      <alignment horizontal="center"/>
    </xf>
    <xf numFmtId="165" fontId="9" fillId="0" borderId="2" xfId="0" applyFont="1" applyFill="1" applyBorder="1" applyAlignment="1">
      <alignment horizontal="center"/>
    </xf>
    <xf numFmtId="165" fontId="9" fillId="0" borderId="18" xfId="0" applyFont="1" applyBorder="1" applyAlignment="1">
      <alignment horizontal="center"/>
    </xf>
    <xf numFmtId="49" fontId="0" fillId="0" borderId="0" xfId="0" applyNumberFormat="1" applyBorder="1" applyAlignment="1">
      <alignment horizontal="center" wrapText="1"/>
    </xf>
    <xf numFmtId="15" fontId="0" fillId="2" borderId="22" xfId="0" applyNumberFormat="1" applyFont="1" applyFill="1" applyBorder="1" applyAlignment="1" applyProtection="1">
      <alignment vertical="top" wrapText="1"/>
    </xf>
    <xf numFmtId="165" fontId="0" fillId="0" borderId="22" xfId="0" applyBorder="1" applyAlignment="1">
      <alignment horizontal="right" vertical="top" wrapText="1"/>
    </xf>
    <xf numFmtId="171" fontId="0" fillId="3" borderId="22" xfId="0" applyNumberFormat="1" applyFont="1" applyFill="1" applyBorder="1" applyAlignment="1">
      <alignment vertical="top" wrapText="1"/>
    </xf>
    <xf numFmtId="165" fontId="0" fillId="3" borderId="22" xfId="0" applyFill="1" applyBorder="1" applyAlignment="1">
      <alignment horizontal="right" vertical="top" wrapText="1"/>
    </xf>
    <xf numFmtId="1" fontId="0" fillId="0" borderId="22" xfId="0" applyNumberFormat="1" applyBorder="1" applyAlignment="1">
      <alignment vertical="top"/>
    </xf>
    <xf numFmtId="2" fontId="0" fillId="2" borderId="22" xfId="0" applyNumberFormat="1" applyFont="1" applyFill="1" applyBorder="1" applyAlignment="1">
      <alignment vertical="top"/>
    </xf>
    <xf numFmtId="2" fontId="0" fillId="0" borderId="22" xfId="0" applyNumberFormat="1" applyFont="1" applyBorder="1" applyAlignment="1">
      <alignment vertical="top" wrapText="1"/>
    </xf>
    <xf numFmtId="2" fontId="3" fillId="2" borderId="22" xfId="0" applyNumberFormat="1" applyFont="1" applyFill="1" applyBorder="1" applyAlignment="1">
      <alignment vertical="top" wrapText="1"/>
    </xf>
    <xf numFmtId="2" fontId="0" fillId="2" borderId="22" xfId="0" applyNumberFormat="1" applyFont="1" applyFill="1" applyBorder="1" applyAlignment="1">
      <alignment vertical="top" wrapText="1"/>
    </xf>
    <xf numFmtId="2" fontId="0" fillId="2" borderId="22" xfId="0" applyNumberFormat="1" applyFill="1" applyBorder="1" applyAlignment="1">
      <alignment horizontal="center" vertical="top" wrapText="1"/>
    </xf>
    <xf numFmtId="2" fontId="0" fillId="0" borderId="0" xfId="0" applyNumberFormat="1" applyAlignment="1">
      <alignment vertical="top"/>
    </xf>
    <xf numFmtId="2" fontId="0" fillId="2" borderId="0" xfId="0" applyNumberFormat="1" applyFill="1" applyAlignment="1">
      <alignment vertical="top"/>
    </xf>
    <xf numFmtId="167" fontId="0" fillId="2" borderId="22" xfId="0" applyNumberFormat="1" applyFont="1" applyFill="1" applyBorder="1" applyAlignment="1">
      <alignment vertical="top" wrapText="1"/>
    </xf>
    <xf numFmtId="165" fontId="0" fillId="0" borderId="22" xfId="0" applyBorder="1" applyAlignment="1">
      <alignment vertical="top"/>
    </xf>
    <xf numFmtId="165" fontId="0" fillId="0" borderId="17" xfId="0" applyBorder="1"/>
    <xf numFmtId="2" fontId="0" fillId="2" borderId="17" xfId="0" applyNumberFormat="1" applyFill="1" applyBorder="1" applyAlignment="1">
      <alignment vertical="top" wrapText="1"/>
    </xf>
    <xf numFmtId="165" fontId="3" fillId="0" borderId="22" xfId="0" applyFont="1" applyBorder="1" applyAlignment="1">
      <alignment horizontal="left" vertical="top"/>
    </xf>
    <xf numFmtId="0" fontId="3" fillId="3" borderId="22" xfId="0" applyNumberFormat="1" applyFont="1" applyFill="1" applyBorder="1" applyAlignment="1">
      <alignment vertical="top" wrapText="1"/>
    </xf>
    <xf numFmtId="0" fontId="3" fillId="0" borderId="22" xfId="0" applyNumberFormat="1" applyFont="1" applyBorder="1" applyAlignment="1">
      <alignment vertical="top" wrapText="1"/>
    </xf>
    <xf numFmtId="0" fontId="0" fillId="9" borderId="22" xfId="0" applyNumberFormat="1" applyFont="1" applyFill="1" applyBorder="1" applyAlignment="1">
      <alignment vertical="top" wrapText="1"/>
    </xf>
    <xf numFmtId="0" fontId="3" fillId="9" borderId="22" xfId="0" applyNumberFormat="1" applyFont="1" applyFill="1" applyBorder="1" applyAlignment="1">
      <alignment vertical="top" wrapText="1"/>
    </xf>
    <xf numFmtId="2" fontId="0" fillId="2" borderId="17" xfId="0" applyNumberFormat="1" applyFont="1" applyFill="1" applyBorder="1" applyAlignment="1">
      <alignment vertical="top"/>
    </xf>
    <xf numFmtId="165" fontId="3" fillId="9" borderId="22" xfId="0" applyFont="1" applyFill="1" applyBorder="1" applyAlignment="1">
      <alignment vertical="top" wrapText="1"/>
    </xf>
    <xf numFmtId="1" fontId="3" fillId="9" borderId="22" xfId="0" applyNumberFormat="1" applyFont="1" applyFill="1" applyBorder="1" applyAlignment="1">
      <alignment vertical="top"/>
    </xf>
    <xf numFmtId="1" fontId="3" fillId="2" borderId="17" xfId="0" applyNumberFormat="1" applyFont="1" applyFill="1" applyBorder="1" applyAlignment="1">
      <alignment vertical="top" wrapText="1"/>
    </xf>
    <xf numFmtId="1" fontId="3" fillId="0" borderId="22" xfId="0" applyNumberFormat="1" applyFont="1" applyBorder="1" applyAlignment="1">
      <alignment vertical="top"/>
    </xf>
    <xf numFmtId="171" fontId="3" fillId="0" borderId="22" xfId="0" applyNumberFormat="1" applyFont="1" applyBorder="1" applyAlignment="1">
      <alignment vertical="top"/>
    </xf>
    <xf numFmtId="171" fontId="3" fillId="9" borderId="22" xfId="0" applyNumberFormat="1" applyFont="1" applyFill="1" applyBorder="1" applyAlignment="1">
      <alignment vertical="top"/>
    </xf>
    <xf numFmtId="171" fontId="0" fillId="3" borderId="22" xfId="0" applyNumberFormat="1" applyFill="1" applyBorder="1" applyAlignment="1">
      <alignment vertical="top"/>
    </xf>
    <xf numFmtId="171" fontId="0" fillId="0" borderId="22" xfId="0" applyNumberFormat="1" applyBorder="1" applyAlignment="1">
      <alignment vertical="top"/>
    </xf>
    <xf numFmtId="15" fontId="3" fillId="0" borderId="22" xfId="0" applyNumberFormat="1" applyFont="1" applyBorder="1" applyAlignment="1" applyProtection="1">
      <alignment vertical="top"/>
    </xf>
    <xf numFmtId="15" fontId="3" fillId="9" borderId="22" xfId="0" applyNumberFormat="1" applyFont="1" applyFill="1" applyBorder="1" applyAlignment="1" applyProtection="1">
      <alignment vertical="top"/>
    </xf>
    <xf numFmtId="15" fontId="3" fillId="0" borderId="22" xfId="0" applyNumberFormat="1" applyFont="1" applyBorder="1" applyAlignment="1">
      <alignment vertical="top"/>
    </xf>
    <xf numFmtId="15" fontId="3" fillId="9" borderId="22" xfId="0" applyNumberFormat="1" applyFont="1" applyFill="1" applyBorder="1" applyAlignment="1">
      <alignment vertical="top"/>
    </xf>
    <xf numFmtId="15" fontId="0" fillId="0" borderId="22" xfId="0" applyNumberFormat="1" applyBorder="1" applyAlignment="1">
      <alignment vertical="top"/>
    </xf>
    <xf numFmtId="1" fontId="0" fillId="2" borderId="17" xfId="0" applyNumberFormat="1" applyFill="1" applyBorder="1" applyAlignment="1">
      <alignment vertical="top" wrapText="1"/>
    </xf>
    <xf numFmtId="169" fontId="3" fillId="0" borderId="22" xfId="0" applyNumberFormat="1" applyFont="1" applyBorder="1" applyAlignment="1">
      <alignment vertical="top"/>
    </xf>
    <xf numFmtId="169" fontId="3" fillId="9" borderId="22" xfId="0" applyNumberFormat="1" applyFont="1" applyFill="1" applyBorder="1" applyAlignment="1">
      <alignment vertical="top"/>
    </xf>
    <xf numFmtId="169" fontId="3" fillId="9" borderId="22" xfId="0" applyNumberFormat="1" applyFont="1" applyFill="1" applyBorder="1" applyAlignment="1">
      <alignment vertical="top" wrapText="1"/>
    </xf>
    <xf numFmtId="169" fontId="0" fillId="0" borderId="22" xfId="0" applyNumberFormat="1" applyBorder="1" applyAlignment="1">
      <alignment vertical="top"/>
    </xf>
    <xf numFmtId="166" fontId="3" fillId="0" borderId="22" xfId="0" applyNumberFormat="1" applyFont="1" applyBorder="1" applyAlignment="1">
      <alignment vertical="top"/>
    </xf>
    <xf numFmtId="166" fontId="3" fillId="9" borderId="22" xfId="0" applyNumberFormat="1" applyFont="1" applyFill="1" applyBorder="1" applyAlignment="1">
      <alignment vertical="top"/>
    </xf>
    <xf numFmtId="166" fontId="3" fillId="9" borderId="22" xfId="0" applyNumberFormat="1" applyFont="1" applyFill="1" applyBorder="1" applyAlignment="1">
      <alignment vertical="top" wrapText="1"/>
    </xf>
    <xf numFmtId="166" fontId="3" fillId="3" borderId="22" xfId="0" applyNumberFormat="1" applyFont="1" applyFill="1" applyBorder="1" applyAlignment="1">
      <alignment vertical="top" wrapText="1"/>
    </xf>
    <xf numFmtId="166" fontId="0" fillId="0" borderId="22" xfId="0" applyNumberFormat="1" applyBorder="1" applyAlignment="1">
      <alignment vertical="top"/>
    </xf>
    <xf numFmtId="15" fontId="0" fillId="3" borderId="22" xfId="0" applyNumberFormat="1" applyFont="1" applyFill="1" applyBorder="1" applyAlignment="1">
      <alignment vertical="top" wrapText="1"/>
    </xf>
    <xf numFmtId="2" fontId="3" fillId="9" borderId="22" xfId="0" applyNumberFormat="1" applyFont="1" applyFill="1" applyBorder="1" applyAlignment="1">
      <alignment vertical="top"/>
    </xf>
    <xf numFmtId="2" fontId="3" fillId="3" borderId="22" xfId="0" applyNumberFormat="1" applyFont="1" applyFill="1" applyBorder="1" applyAlignment="1">
      <alignment vertical="top"/>
    </xf>
    <xf numFmtId="1" fontId="3" fillId="3" borderId="22" xfId="0" applyNumberFormat="1" applyFont="1" applyFill="1" applyBorder="1" applyAlignment="1">
      <alignment horizontal="left" vertical="top" wrapText="1"/>
    </xf>
    <xf numFmtId="167" fontId="3" fillId="0" borderId="22" xfId="0" applyNumberFormat="1" applyFont="1" applyBorder="1" applyAlignment="1">
      <alignment vertical="top"/>
    </xf>
    <xf numFmtId="167" fontId="3" fillId="9" borderId="22" xfId="0" applyNumberFormat="1" applyFont="1" applyFill="1" applyBorder="1" applyAlignment="1">
      <alignment vertical="top"/>
    </xf>
    <xf numFmtId="167" fontId="3" fillId="9" borderId="22" xfId="0" applyNumberFormat="1" applyFont="1" applyFill="1" applyBorder="1" applyAlignment="1">
      <alignment vertical="top" wrapText="1"/>
    </xf>
    <xf numFmtId="167" fontId="3" fillId="3" borderId="22" xfId="0" applyNumberFormat="1" applyFont="1" applyFill="1" applyBorder="1" applyAlignment="1">
      <alignment vertical="top" wrapText="1"/>
    </xf>
    <xf numFmtId="167" fontId="0" fillId="0" borderId="22" xfId="0" applyNumberFormat="1" applyBorder="1" applyAlignment="1">
      <alignment vertical="top"/>
    </xf>
    <xf numFmtId="170" fontId="3" fillId="0" borderId="22" xfId="0" applyNumberFormat="1" applyFont="1" applyBorder="1" applyAlignment="1">
      <alignment vertical="top"/>
    </xf>
    <xf numFmtId="170" fontId="3" fillId="9" borderId="22" xfId="0" applyNumberFormat="1" applyFont="1" applyFill="1" applyBorder="1" applyAlignment="1">
      <alignment vertical="top"/>
    </xf>
    <xf numFmtId="170" fontId="3" fillId="9" borderId="22" xfId="0" applyNumberFormat="1" applyFont="1" applyFill="1" applyBorder="1" applyAlignment="1">
      <alignment vertical="top" wrapText="1"/>
    </xf>
    <xf numFmtId="170" fontId="3" fillId="3" borderId="22" xfId="0" applyNumberFormat="1" applyFont="1" applyFill="1" applyBorder="1" applyAlignment="1">
      <alignment vertical="top" wrapText="1"/>
    </xf>
    <xf numFmtId="170" fontId="0" fillId="0" borderId="22" xfId="0" applyNumberFormat="1" applyBorder="1" applyAlignment="1">
      <alignment vertical="top"/>
    </xf>
    <xf numFmtId="173" fontId="3" fillId="0" borderId="22" xfId="0" applyNumberFormat="1" applyFont="1" applyBorder="1" applyAlignment="1">
      <alignment vertical="top"/>
    </xf>
    <xf numFmtId="173" fontId="3" fillId="9" borderId="22" xfId="0" applyNumberFormat="1" applyFont="1" applyFill="1" applyBorder="1" applyAlignment="1">
      <alignment vertical="top"/>
    </xf>
    <xf numFmtId="173" fontId="3" fillId="9" borderId="22" xfId="0" applyNumberFormat="1" applyFont="1" applyFill="1" applyBorder="1" applyAlignment="1">
      <alignment vertical="top" wrapText="1"/>
    </xf>
    <xf numFmtId="173" fontId="3" fillId="3" borderId="22" xfId="0" applyNumberFormat="1" applyFont="1" applyFill="1" applyBorder="1" applyAlignment="1">
      <alignment vertical="top" wrapText="1"/>
    </xf>
    <xf numFmtId="173" fontId="0" fillId="0" borderId="22" xfId="0" applyNumberFormat="1" applyBorder="1" applyAlignment="1">
      <alignment vertical="top"/>
    </xf>
    <xf numFmtId="172" fontId="3" fillId="0" borderId="22" xfId="0" applyNumberFormat="1" applyFont="1" applyBorder="1" applyAlignment="1">
      <alignment vertical="top" wrapText="1"/>
    </xf>
    <xf numFmtId="172" fontId="3" fillId="9" borderId="22" xfId="0" applyNumberFormat="1" applyFont="1" applyFill="1" applyBorder="1" applyAlignment="1">
      <alignment vertical="top" wrapText="1"/>
    </xf>
    <xf numFmtId="172" fontId="0" fillId="0" borderId="22" xfId="0" applyNumberFormat="1" applyBorder="1" applyAlignment="1">
      <alignment vertical="top" wrapText="1"/>
    </xf>
    <xf numFmtId="169" fontId="3" fillId="3" borderId="0" xfId="0" applyNumberFormat="1" applyFont="1" applyFill="1" applyBorder="1" applyAlignment="1">
      <alignment vertical="top"/>
    </xf>
    <xf numFmtId="165" fontId="0" fillId="0" borderId="22" xfId="0" applyFont="1" applyBorder="1" applyAlignment="1">
      <alignment horizontal="left" vertical="top"/>
    </xf>
    <xf numFmtId="0" fontId="3" fillId="0" borderId="21" xfId="10" applyFont="1" applyBorder="1" applyAlignment="1">
      <alignment vertical="top" wrapText="1"/>
    </xf>
    <xf numFmtId="3" fontId="21" fillId="2" borderId="22" xfId="0" applyNumberFormat="1" applyFont="1" applyFill="1" applyBorder="1" applyAlignment="1">
      <alignment horizontal="center" vertical="top"/>
    </xf>
    <xf numFmtId="165" fontId="12" fillId="2" borderId="22" xfId="0" applyFont="1" applyFill="1" applyBorder="1" applyAlignment="1">
      <alignment vertical="top"/>
    </xf>
    <xf numFmtId="2" fontId="12" fillId="2" borderId="22" xfId="0" applyNumberFormat="1" applyFont="1" applyFill="1" applyBorder="1" applyAlignment="1">
      <alignment vertical="top"/>
    </xf>
    <xf numFmtId="3" fontId="21" fillId="2" borderId="18" xfId="0" applyNumberFormat="1" applyFont="1" applyFill="1" applyBorder="1" applyAlignment="1">
      <alignment horizontal="center" vertical="top"/>
    </xf>
    <xf numFmtId="0" fontId="22" fillId="2" borderId="22" xfId="0" applyNumberFormat="1" applyFont="1" applyFill="1" applyBorder="1" applyAlignment="1">
      <alignment vertical="top" wrapText="1"/>
    </xf>
    <xf numFmtId="165" fontId="12" fillId="2" borderId="22" xfId="0" applyFont="1" applyFill="1" applyBorder="1" applyAlignment="1">
      <alignment vertical="top" wrapText="1"/>
    </xf>
    <xf numFmtId="165" fontId="3" fillId="0" borderId="0" xfId="0" applyFont="1" applyBorder="1" applyAlignment="1">
      <alignment vertical="top"/>
    </xf>
    <xf numFmtId="1" fontId="0" fillId="3" borderId="22" xfId="0" applyNumberFormat="1" applyFill="1" applyBorder="1" applyAlignment="1">
      <alignment vertical="top"/>
    </xf>
    <xf numFmtId="15" fontId="0" fillId="3" borderId="22" xfId="0" applyNumberFormat="1" applyFill="1" applyBorder="1" applyAlignment="1">
      <alignment vertical="top"/>
    </xf>
    <xf numFmtId="169" fontId="0" fillId="3" borderId="22" xfId="0" applyNumberFormat="1" applyFill="1" applyBorder="1" applyAlignment="1">
      <alignment vertical="top"/>
    </xf>
    <xf numFmtId="169" fontId="0" fillId="0" borderId="22" xfId="0" applyNumberFormat="1" applyBorder="1" applyAlignment="1">
      <alignment vertical="top" wrapText="1"/>
    </xf>
    <xf numFmtId="166" fontId="0" fillId="3" borderId="22" xfId="0" applyNumberFormat="1" applyFill="1" applyBorder="1" applyAlignment="1">
      <alignment vertical="top"/>
    </xf>
    <xf numFmtId="165" fontId="0" fillId="3" borderId="22" xfId="0" applyFill="1" applyBorder="1" applyAlignment="1">
      <alignment vertical="top"/>
    </xf>
    <xf numFmtId="167" fontId="0" fillId="3" borderId="22" xfId="0" applyNumberFormat="1" applyFill="1" applyBorder="1" applyAlignment="1">
      <alignment vertical="top"/>
    </xf>
    <xf numFmtId="170" fontId="0" fillId="3" borderId="22" xfId="0" applyNumberFormat="1" applyFill="1" applyBorder="1" applyAlignment="1">
      <alignment vertical="top"/>
    </xf>
    <xf numFmtId="173" fontId="0" fillId="3" borderId="22" xfId="0" applyNumberFormat="1" applyFill="1" applyBorder="1" applyAlignment="1">
      <alignment vertical="top"/>
    </xf>
    <xf numFmtId="165" fontId="0" fillId="0" borderId="22" xfId="0" applyBorder="1" applyAlignment="1">
      <alignment horizontal="left" vertical="top" wrapText="1"/>
    </xf>
    <xf numFmtId="172" fontId="0" fillId="3" borderId="22" xfId="0" applyNumberFormat="1" applyFill="1" applyBorder="1" applyAlignment="1">
      <alignment vertical="top" wrapText="1"/>
    </xf>
    <xf numFmtId="169" fontId="3" fillId="0" borderId="0" xfId="0" applyNumberFormat="1" applyFont="1" applyBorder="1" applyAlignment="1">
      <alignment vertical="top" wrapText="1"/>
    </xf>
    <xf numFmtId="2" fontId="0" fillId="0" borderId="22" xfId="0" applyNumberFormat="1" applyBorder="1" applyAlignment="1">
      <alignment vertical="top"/>
    </xf>
    <xf numFmtId="165" fontId="12" fillId="2" borderId="18" xfId="0" applyFont="1" applyFill="1" applyBorder="1" applyAlignment="1">
      <alignment vertical="top"/>
    </xf>
    <xf numFmtId="165" fontId="3" fillId="2" borderId="22" xfId="0" applyFont="1" applyFill="1" applyBorder="1" applyAlignment="1">
      <alignment vertical="top" wrapText="1"/>
    </xf>
    <xf numFmtId="2" fontId="0" fillId="0" borderId="22" xfId="0" applyNumberFormat="1" applyFill="1" applyBorder="1" applyAlignment="1">
      <alignment vertical="top" wrapText="1"/>
    </xf>
    <xf numFmtId="165" fontId="0" fillId="0" borderId="18" xfId="0" applyBorder="1" applyAlignment="1">
      <alignment horizontal="center"/>
    </xf>
    <xf numFmtId="165" fontId="0" fillId="0" borderId="2" xfId="0" applyBorder="1" applyAlignment="1">
      <alignment horizontal="center"/>
    </xf>
    <xf numFmtId="165" fontId="0" fillId="0" borderId="21" xfId="0" applyBorder="1" applyAlignment="1">
      <alignment horizontal="center"/>
    </xf>
    <xf numFmtId="166" fontId="0" fillId="0" borderId="18" xfId="0" applyNumberFormat="1" applyFont="1" applyFill="1" applyBorder="1" applyAlignment="1">
      <alignment horizontal="left"/>
    </xf>
    <xf numFmtId="166" fontId="0" fillId="0" borderId="2" xfId="0" applyNumberFormat="1" applyFont="1" applyFill="1" applyBorder="1" applyAlignment="1">
      <alignment horizontal="left"/>
    </xf>
    <xf numFmtId="1" fontId="9" fillId="0" borderId="0" xfId="0" applyNumberFormat="1" applyFont="1" applyAlignment="1">
      <alignment horizontal="left" wrapText="1"/>
    </xf>
    <xf numFmtId="166" fontId="9" fillId="0" borderId="0" xfId="0" applyNumberFormat="1" applyFont="1" applyAlignment="1">
      <alignment horizontal="left" wrapText="1"/>
    </xf>
    <xf numFmtId="165" fontId="9" fillId="0" borderId="1" xfId="0" applyFont="1" applyBorder="1" applyAlignment="1">
      <alignment horizontal="center"/>
    </xf>
    <xf numFmtId="165" fontId="9" fillId="0" borderId="3" xfId="0" applyFont="1" applyBorder="1" applyAlignment="1">
      <alignment horizontal="center"/>
    </xf>
    <xf numFmtId="165" fontId="9" fillId="0" borderId="2" xfId="0" applyFont="1" applyBorder="1" applyAlignment="1">
      <alignment horizontal="center"/>
    </xf>
    <xf numFmtId="165" fontId="9" fillId="0" borderId="7" xfId="0" applyFont="1" applyBorder="1" applyAlignment="1">
      <alignment horizontal="center"/>
    </xf>
    <xf numFmtId="165" fontId="9" fillId="0" borderId="6" xfId="0" applyFont="1" applyBorder="1" applyAlignment="1">
      <alignment horizontal="center"/>
    </xf>
    <xf numFmtId="165" fontId="9" fillId="0" borderId="14" xfId="0" applyFont="1" applyBorder="1" applyAlignment="1">
      <alignment horizontal="center"/>
    </xf>
    <xf numFmtId="165" fontId="0" fillId="0" borderId="0" xfId="0" applyAlignment="1">
      <alignment horizontal="left" vertical="top" wrapText="1"/>
    </xf>
    <xf numFmtId="165" fontId="9" fillId="0" borderId="18" xfId="0" applyFont="1" applyBorder="1" applyAlignment="1">
      <alignment horizontal="center" wrapText="1"/>
    </xf>
    <xf numFmtId="165" fontId="9" fillId="0" borderId="21" xfId="0" applyFont="1" applyBorder="1" applyAlignment="1">
      <alignment horizontal="center" wrapText="1"/>
    </xf>
    <xf numFmtId="165" fontId="0" fillId="0" borderId="7" xfId="0" applyBorder="1" applyAlignment="1">
      <alignment horizontal="center"/>
    </xf>
    <xf numFmtId="165" fontId="0" fillId="0" borderId="19" xfId="0" applyBorder="1" applyAlignment="1">
      <alignment horizontal="center"/>
    </xf>
    <xf numFmtId="165" fontId="0" fillId="0" borderId="7" xfId="0" applyBorder="1" applyAlignment="1">
      <alignment horizontal="center" wrapText="1"/>
    </xf>
    <xf numFmtId="165" fontId="0" fillId="0" borderId="2" xfId="0" applyBorder="1" applyAlignment="1">
      <alignment horizontal="center" wrapText="1"/>
    </xf>
    <xf numFmtId="165" fontId="0" fillId="0" borderId="6" xfId="0" applyBorder="1" applyAlignment="1">
      <alignment horizontal="center" wrapText="1"/>
    </xf>
    <xf numFmtId="165" fontId="0" fillId="0" borderId="19" xfId="0" applyBorder="1" applyAlignment="1">
      <alignment horizontal="center" wrapText="1"/>
    </xf>
    <xf numFmtId="165" fontId="9" fillId="0" borderId="18" xfId="0" applyFont="1" applyBorder="1" applyAlignment="1">
      <alignment horizontal="center"/>
    </xf>
    <xf numFmtId="165" fontId="9" fillId="0" borderId="21" xfId="0" applyFont="1" applyBorder="1" applyAlignment="1">
      <alignment horizontal="center"/>
    </xf>
    <xf numFmtId="165" fontId="17" fillId="0" borderId="26" xfId="0" applyFont="1" applyBorder="1" applyAlignment="1">
      <alignment vertical="top" wrapText="1"/>
    </xf>
    <xf numFmtId="165" fontId="17" fillId="0" borderId="31" xfId="0" applyFont="1" applyBorder="1" applyAlignment="1">
      <alignment vertical="top" wrapText="1"/>
    </xf>
    <xf numFmtId="165" fontId="17" fillId="0" borderId="32" xfId="0" applyFont="1" applyBorder="1" applyAlignment="1">
      <alignment vertical="top" wrapText="1"/>
    </xf>
  </cellXfs>
  <cellStyles count="13">
    <cellStyle name="Comma 2" xfId="2"/>
    <cellStyle name="Hyperlink" xfId="12" builtinId="8"/>
    <cellStyle name="Normal" xfId="0" builtinId="0"/>
    <cellStyle name="Normal 2" xfId="1"/>
    <cellStyle name="Normal 3" xfId="3"/>
    <cellStyle name="Normal 4" xfId="4"/>
    <cellStyle name="Normal 4 2" xfId="5"/>
    <cellStyle name="Normal 5" xfId="8"/>
    <cellStyle name="Normal 6" xfId="10"/>
    <cellStyle name="Normal 7" xfId="11"/>
    <cellStyle name="Note 2" xfId="6"/>
    <cellStyle name="Percent" xfId="9" builtinId="5"/>
    <cellStyle name="Percent 2" xfId="7"/>
  </cellStyles>
  <dxfs count="0"/>
  <tableStyles count="0" defaultTableStyle="TableStyleMedium9" defaultPivotStyle="PivotStyleLight16"/>
  <colors>
    <mruColors>
      <color rgb="FFFFCC99"/>
      <color rgb="FFFF99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Number of CDM PoAs starting the public comments period each month</a:t>
            </a:r>
          </a:p>
        </c:rich>
      </c:tx>
      <c:layout>
        <c:manualLayout>
          <c:xMode val="edge"/>
          <c:yMode val="edge"/>
          <c:x val="0.2071167994128908"/>
          <c:y val="8.2233580451566354E-2"/>
        </c:manualLayout>
      </c:layout>
      <c:overlay val="0"/>
      <c:spPr>
        <a:noFill/>
        <a:ln w="25400">
          <a:noFill/>
        </a:ln>
      </c:spPr>
    </c:title>
    <c:autoTitleDeleted val="0"/>
    <c:plotArea>
      <c:layout>
        <c:manualLayout>
          <c:layoutTarget val="inner"/>
          <c:xMode val="edge"/>
          <c:yMode val="edge"/>
          <c:x val="0.1558285214348207"/>
          <c:y val="0.20252467721073567"/>
          <c:w val="0.65972348309422779"/>
          <c:h val="0.53252172729129321"/>
        </c:manualLayout>
      </c:layout>
      <c:barChart>
        <c:barDir val="col"/>
        <c:grouping val="stacked"/>
        <c:varyColors val="0"/>
        <c:ser>
          <c:idx val="0"/>
          <c:order val="0"/>
          <c:tx>
            <c:strRef>
              <c:f>[1]Time!$A$16</c:f>
              <c:strCache>
                <c:ptCount val="1"/>
                <c:pt idx="0">
                  <c:v>Number of different PoAs submitted, that are alive</c:v>
                </c:pt>
              </c:strCache>
            </c:strRef>
          </c:tx>
          <c:spPr>
            <a:solidFill>
              <a:srgbClr val="9999FF"/>
            </a:solidFill>
            <a:ln w="12700">
              <a:solidFill>
                <a:srgbClr val="000000"/>
              </a:solidFill>
              <a:prstDash val="solid"/>
            </a:ln>
          </c:spPr>
          <c:invertIfNegative val="0"/>
          <c:cat>
            <c:numRef>
              <c:f>[1]Time!$BJ$1:$GH$1</c:f>
              <c:numCache>
                <c:formatCode>General</c:formatCode>
                <c:ptCount val="129"/>
                <c:pt idx="0">
                  <c:v>39417</c:v>
                </c:pt>
                <c:pt idx="1">
                  <c:v>39448</c:v>
                </c:pt>
                <c:pt idx="2">
                  <c:v>39479</c:v>
                </c:pt>
                <c:pt idx="3">
                  <c:v>39508</c:v>
                </c:pt>
                <c:pt idx="4">
                  <c:v>39539</c:v>
                </c:pt>
                <c:pt idx="5">
                  <c:v>39569</c:v>
                </c:pt>
                <c:pt idx="6">
                  <c:v>39600</c:v>
                </c:pt>
                <c:pt idx="7">
                  <c:v>39630</c:v>
                </c:pt>
                <c:pt idx="8">
                  <c:v>39661</c:v>
                </c:pt>
                <c:pt idx="9">
                  <c:v>39692</c:v>
                </c:pt>
                <c:pt idx="10">
                  <c:v>39722</c:v>
                </c:pt>
                <c:pt idx="11">
                  <c:v>39753</c:v>
                </c:pt>
                <c:pt idx="12">
                  <c:v>39783</c:v>
                </c:pt>
                <c:pt idx="13">
                  <c:v>39814</c:v>
                </c:pt>
                <c:pt idx="14">
                  <c:v>39845</c:v>
                </c:pt>
                <c:pt idx="15">
                  <c:v>39873</c:v>
                </c:pt>
                <c:pt idx="16">
                  <c:v>39904</c:v>
                </c:pt>
                <c:pt idx="17">
                  <c:v>39934</c:v>
                </c:pt>
                <c:pt idx="18">
                  <c:v>39965</c:v>
                </c:pt>
                <c:pt idx="19">
                  <c:v>39995</c:v>
                </c:pt>
                <c:pt idx="20">
                  <c:v>40026</c:v>
                </c:pt>
                <c:pt idx="21">
                  <c:v>40057</c:v>
                </c:pt>
                <c:pt idx="22">
                  <c:v>40087</c:v>
                </c:pt>
                <c:pt idx="23">
                  <c:v>40118</c:v>
                </c:pt>
                <c:pt idx="24">
                  <c:v>40148</c:v>
                </c:pt>
                <c:pt idx="25">
                  <c:v>40179</c:v>
                </c:pt>
                <c:pt idx="26">
                  <c:v>40210</c:v>
                </c:pt>
                <c:pt idx="27">
                  <c:v>40238</c:v>
                </c:pt>
                <c:pt idx="28">
                  <c:v>40269</c:v>
                </c:pt>
                <c:pt idx="29">
                  <c:v>40299</c:v>
                </c:pt>
                <c:pt idx="30">
                  <c:v>40330</c:v>
                </c:pt>
                <c:pt idx="31">
                  <c:v>40360</c:v>
                </c:pt>
                <c:pt idx="32">
                  <c:v>40391</c:v>
                </c:pt>
                <c:pt idx="33">
                  <c:v>40422</c:v>
                </c:pt>
                <c:pt idx="34">
                  <c:v>40452</c:v>
                </c:pt>
                <c:pt idx="35">
                  <c:v>40483</c:v>
                </c:pt>
                <c:pt idx="36">
                  <c:v>40513</c:v>
                </c:pt>
                <c:pt idx="37">
                  <c:v>40544</c:v>
                </c:pt>
                <c:pt idx="38">
                  <c:v>40575</c:v>
                </c:pt>
                <c:pt idx="39">
                  <c:v>40603</c:v>
                </c:pt>
                <c:pt idx="40">
                  <c:v>40634</c:v>
                </c:pt>
                <c:pt idx="41">
                  <c:v>40664</c:v>
                </c:pt>
                <c:pt idx="42">
                  <c:v>40695</c:v>
                </c:pt>
                <c:pt idx="43">
                  <c:v>40725</c:v>
                </c:pt>
                <c:pt idx="44">
                  <c:v>40756</c:v>
                </c:pt>
                <c:pt idx="45">
                  <c:v>40787</c:v>
                </c:pt>
                <c:pt idx="46">
                  <c:v>40817</c:v>
                </c:pt>
                <c:pt idx="47">
                  <c:v>40848</c:v>
                </c:pt>
                <c:pt idx="48">
                  <c:v>40878</c:v>
                </c:pt>
                <c:pt idx="49">
                  <c:v>40909</c:v>
                </c:pt>
                <c:pt idx="50">
                  <c:v>40940</c:v>
                </c:pt>
                <c:pt idx="51">
                  <c:v>40969</c:v>
                </c:pt>
                <c:pt idx="52">
                  <c:v>41000</c:v>
                </c:pt>
                <c:pt idx="53">
                  <c:v>41030</c:v>
                </c:pt>
                <c:pt idx="54">
                  <c:v>41061</c:v>
                </c:pt>
                <c:pt idx="55">
                  <c:v>41091</c:v>
                </c:pt>
                <c:pt idx="56">
                  <c:v>41122</c:v>
                </c:pt>
                <c:pt idx="57">
                  <c:v>41153</c:v>
                </c:pt>
                <c:pt idx="58">
                  <c:v>41183</c:v>
                </c:pt>
                <c:pt idx="59">
                  <c:v>41214</c:v>
                </c:pt>
                <c:pt idx="60">
                  <c:v>41244</c:v>
                </c:pt>
                <c:pt idx="61">
                  <c:v>41275</c:v>
                </c:pt>
                <c:pt idx="62">
                  <c:v>41306</c:v>
                </c:pt>
                <c:pt idx="63">
                  <c:v>41334</c:v>
                </c:pt>
                <c:pt idx="64">
                  <c:v>41365</c:v>
                </c:pt>
                <c:pt idx="65">
                  <c:v>41395</c:v>
                </c:pt>
                <c:pt idx="66">
                  <c:v>41426</c:v>
                </c:pt>
                <c:pt idx="67">
                  <c:v>41456</c:v>
                </c:pt>
                <c:pt idx="68">
                  <c:v>41487</c:v>
                </c:pt>
                <c:pt idx="69">
                  <c:v>41518</c:v>
                </c:pt>
                <c:pt idx="70">
                  <c:v>41548</c:v>
                </c:pt>
                <c:pt idx="71">
                  <c:v>41579</c:v>
                </c:pt>
                <c:pt idx="72">
                  <c:v>41609</c:v>
                </c:pt>
                <c:pt idx="73">
                  <c:v>41640</c:v>
                </c:pt>
                <c:pt idx="74">
                  <c:v>41671</c:v>
                </c:pt>
                <c:pt idx="75">
                  <c:v>41699</c:v>
                </c:pt>
                <c:pt idx="76">
                  <c:v>41730</c:v>
                </c:pt>
                <c:pt idx="77">
                  <c:v>41760</c:v>
                </c:pt>
                <c:pt idx="78">
                  <c:v>41791</c:v>
                </c:pt>
                <c:pt idx="79">
                  <c:v>41821</c:v>
                </c:pt>
                <c:pt idx="80">
                  <c:v>41852</c:v>
                </c:pt>
                <c:pt idx="81">
                  <c:v>41883</c:v>
                </c:pt>
                <c:pt idx="82">
                  <c:v>41913</c:v>
                </c:pt>
                <c:pt idx="83">
                  <c:v>41944</c:v>
                </c:pt>
                <c:pt idx="84">
                  <c:v>41974</c:v>
                </c:pt>
                <c:pt idx="85">
                  <c:v>42005</c:v>
                </c:pt>
                <c:pt idx="86">
                  <c:v>42036</c:v>
                </c:pt>
                <c:pt idx="87">
                  <c:v>42064</c:v>
                </c:pt>
                <c:pt idx="88">
                  <c:v>42095</c:v>
                </c:pt>
                <c:pt idx="89">
                  <c:v>42125</c:v>
                </c:pt>
                <c:pt idx="90">
                  <c:v>42156</c:v>
                </c:pt>
                <c:pt idx="91">
                  <c:v>42186</c:v>
                </c:pt>
                <c:pt idx="92">
                  <c:v>42217</c:v>
                </c:pt>
                <c:pt idx="93">
                  <c:v>42248</c:v>
                </c:pt>
                <c:pt idx="94">
                  <c:v>42278</c:v>
                </c:pt>
                <c:pt idx="95">
                  <c:v>42309</c:v>
                </c:pt>
                <c:pt idx="96">
                  <c:v>42339</c:v>
                </c:pt>
                <c:pt idx="97">
                  <c:v>42370</c:v>
                </c:pt>
                <c:pt idx="98">
                  <c:v>42401</c:v>
                </c:pt>
                <c:pt idx="99">
                  <c:v>42430</c:v>
                </c:pt>
                <c:pt idx="100">
                  <c:v>42461</c:v>
                </c:pt>
                <c:pt idx="101">
                  <c:v>42491</c:v>
                </c:pt>
                <c:pt idx="102">
                  <c:v>42522</c:v>
                </c:pt>
                <c:pt idx="103">
                  <c:v>42552</c:v>
                </c:pt>
                <c:pt idx="104">
                  <c:v>42583</c:v>
                </c:pt>
                <c:pt idx="105">
                  <c:v>42614</c:v>
                </c:pt>
                <c:pt idx="106">
                  <c:v>42644</c:v>
                </c:pt>
                <c:pt idx="107">
                  <c:v>42675</c:v>
                </c:pt>
                <c:pt idx="108">
                  <c:v>42705</c:v>
                </c:pt>
                <c:pt idx="109">
                  <c:v>42736</c:v>
                </c:pt>
                <c:pt idx="110">
                  <c:v>42767</c:v>
                </c:pt>
                <c:pt idx="111">
                  <c:v>42795</c:v>
                </c:pt>
                <c:pt idx="112">
                  <c:v>42826</c:v>
                </c:pt>
                <c:pt idx="113">
                  <c:v>42856</c:v>
                </c:pt>
                <c:pt idx="114">
                  <c:v>42887</c:v>
                </c:pt>
                <c:pt idx="115">
                  <c:v>42917</c:v>
                </c:pt>
                <c:pt idx="116">
                  <c:v>42948</c:v>
                </c:pt>
                <c:pt idx="117">
                  <c:v>42979</c:v>
                </c:pt>
                <c:pt idx="118">
                  <c:v>43009</c:v>
                </c:pt>
                <c:pt idx="119">
                  <c:v>43040</c:v>
                </c:pt>
                <c:pt idx="120">
                  <c:v>43070</c:v>
                </c:pt>
                <c:pt idx="121">
                  <c:v>43101</c:v>
                </c:pt>
                <c:pt idx="122">
                  <c:v>43132</c:v>
                </c:pt>
                <c:pt idx="123">
                  <c:v>43160</c:v>
                </c:pt>
                <c:pt idx="124">
                  <c:v>43191</c:v>
                </c:pt>
                <c:pt idx="125">
                  <c:v>43221</c:v>
                </c:pt>
                <c:pt idx="126">
                  <c:v>43252</c:v>
                </c:pt>
                <c:pt idx="127">
                  <c:v>43282</c:v>
                </c:pt>
                <c:pt idx="128">
                  <c:v>43313</c:v>
                </c:pt>
              </c:numCache>
            </c:numRef>
          </c:cat>
          <c:val>
            <c:numRef>
              <c:f>[1]Time!$BJ$16:$GH$16</c:f>
              <c:numCache>
                <c:formatCode>General</c:formatCode>
                <c:ptCount val="129"/>
                <c:pt idx="0">
                  <c:v>1</c:v>
                </c:pt>
                <c:pt idx="1">
                  <c:v>0</c:v>
                </c:pt>
                <c:pt idx="2">
                  <c:v>1</c:v>
                </c:pt>
                <c:pt idx="3">
                  <c:v>0</c:v>
                </c:pt>
                <c:pt idx="4">
                  <c:v>0</c:v>
                </c:pt>
                <c:pt idx="5">
                  <c:v>0</c:v>
                </c:pt>
                <c:pt idx="6">
                  <c:v>0</c:v>
                </c:pt>
                <c:pt idx="7">
                  <c:v>2</c:v>
                </c:pt>
                <c:pt idx="8">
                  <c:v>0</c:v>
                </c:pt>
                <c:pt idx="9">
                  <c:v>1</c:v>
                </c:pt>
                <c:pt idx="10">
                  <c:v>0</c:v>
                </c:pt>
                <c:pt idx="11">
                  <c:v>0</c:v>
                </c:pt>
                <c:pt idx="12">
                  <c:v>2</c:v>
                </c:pt>
                <c:pt idx="13">
                  <c:v>1</c:v>
                </c:pt>
                <c:pt idx="14">
                  <c:v>0</c:v>
                </c:pt>
                <c:pt idx="15">
                  <c:v>0</c:v>
                </c:pt>
                <c:pt idx="16">
                  <c:v>0</c:v>
                </c:pt>
                <c:pt idx="17">
                  <c:v>0</c:v>
                </c:pt>
                <c:pt idx="18">
                  <c:v>0</c:v>
                </c:pt>
                <c:pt idx="19">
                  <c:v>1</c:v>
                </c:pt>
                <c:pt idx="20">
                  <c:v>2</c:v>
                </c:pt>
                <c:pt idx="21">
                  <c:v>0</c:v>
                </c:pt>
                <c:pt idx="22">
                  <c:v>0</c:v>
                </c:pt>
                <c:pt idx="23">
                  <c:v>2</c:v>
                </c:pt>
                <c:pt idx="24">
                  <c:v>17</c:v>
                </c:pt>
                <c:pt idx="25">
                  <c:v>1</c:v>
                </c:pt>
                <c:pt idx="26">
                  <c:v>1</c:v>
                </c:pt>
                <c:pt idx="27">
                  <c:v>0</c:v>
                </c:pt>
                <c:pt idx="28">
                  <c:v>2</c:v>
                </c:pt>
                <c:pt idx="29">
                  <c:v>1</c:v>
                </c:pt>
                <c:pt idx="30">
                  <c:v>3</c:v>
                </c:pt>
                <c:pt idx="31">
                  <c:v>2</c:v>
                </c:pt>
                <c:pt idx="32">
                  <c:v>3</c:v>
                </c:pt>
                <c:pt idx="33">
                  <c:v>0</c:v>
                </c:pt>
                <c:pt idx="34">
                  <c:v>1</c:v>
                </c:pt>
                <c:pt idx="35">
                  <c:v>5</c:v>
                </c:pt>
                <c:pt idx="36">
                  <c:v>6</c:v>
                </c:pt>
                <c:pt idx="37">
                  <c:v>4</c:v>
                </c:pt>
                <c:pt idx="38">
                  <c:v>2</c:v>
                </c:pt>
                <c:pt idx="39">
                  <c:v>2</c:v>
                </c:pt>
                <c:pt idx="40">
                  <c:v>3</c:v>
                </c:pt>
                <c:pt idx="41">
                  <c:v>6</c:v>
                </c:pt>
                <c:pt idx="42">
                  <c:v>3</c:v>
                </c:pt>
                <c:pt idx="43">
                  <c:v>9</c:v>
                </c:pt>
                <c:pt idx="44">
                  <c:v>12</c:v>
                </c:pt>
                <c:pt idx="45">
                  <c:v>14</c:v>
                </c:pt>
                <c:pt idx="46">
                  <c:v>21</c:v>
                </c:pt>
                <c:pt idx="47">
                  <c:v>15</c:v>
                </c:pt>
                <c:pt idx="48">
                  <c:v>19</c:v>
                </c:pt>
                <c:pt idx="49">
                  <c:v>21</c:v>
                </c:pt>
                <c:pt idx="50">
                  <c:v>13</c:v>
                </c:pt>
                <c:pt idx="51">
                  <c:v>16</c:v>
                </c:pt>
                <c:pt idx="52">
                  <c:v>23</c:v>
                </c:pt>
                <c:pt idx="53">
                  <c:v>21</c:v>
                </c:pt>
                <c:pt idx="54">
                  <c:v>22</c:v>
                </c:pt>
                <c:pt idx="55">
                  <c:v>17</c:v>
                </c:pt>
                <c:pt idx="56">
                  <c:v>8</c:v>
                </c:pt>
                <c:pt idx="57">
                  <c:v>1</c:v>
                </c:pt>
                <c:pt idx="58">
                  <c:v>6</c:v>
                </c:pt>
                <c:pt idx="59">
                  <c:v>9</c:v>
                </c:pt>
                <c:pt idx="60">
                  <c:v>1</c:v>
                </c:pt>
                <c:pt idx="61">
                  <c:v>1</c:v>
                </c:pt>
                <c:pt idx="62">
                  <c:v>4</c:v>
                </c:pt>
                <c:pt idx="63">
                  <c:v>2</c:v>
                </c:pt>
                <c:pt idx="64">
                  <c:v>0</c:v>
                </c:pt>
                <c:pt idx="65">
                  <c:v>2</c:v>
                </c:pt>
                <c:pt idx="66">
                  <c:v>1</c:v>
                </c:pt>
                <c:pt idx="67">
                  <c:v>1</c:v>
                </c:pt>
                <c:pt idx="68">
                  <c:v>2</c:v>
                </c:pt>
                <c:pt idx="69">
                  <c:v>2</c:v>
                </c:pt>
                <c:pt idx="70">
                  <c:v>2</c:v>
                </c:pt>
                <c:pt idx="71">
                  <c:v>1</c:v>
                </c:pt>
                <c:pt idx="72">
                  <c:v>2</c:v>
                </c:pt>
                <c:pt idx="73">
                  <c:v>2</c:v>
                </c:pt>
                <c:pt idx="74">
                  <c:v>4</c:v>
                </c:pt>
                <c:pt idx="75">
                  <c:v>1</c:v>
                </c:pt>
                <c:pt idx="76">
                  <c:v>1</c:v>
                </c:pt>
                <c:pt idx="77">
                  <c:v>2</c:v>
                </c:pt>
                <c:pt idx="78">
                  <c:v>0</c:v>
                </c:pt>
                <c:pt idx="79">
                  <c:v>1</c:v>
                </c:pt>
                <c:pt idx="80">
                  <c:v>2</c:v>
                </c:pt>
                <c:pt idx="81">
                  <c:v>2</c:v>
                </c:pt>
                <c:pt idx="82">
                  <c:v>2</c:v>
                </c:pt>
                <c:pt idx="83">
                  <c:v>0</c:v>
                </c:pt>
                <c:pt idx="84">
                  <c:v>3</c:v>
                </c:pt>
                <c:pt idx="85">
                  <c:v>1</c:v>
                </c:pt>
                <c:pt idx="86">
                  <c:v>0</c:v>
                </c:pt>
                <c:pt idx="87">
                  <c:v>0</c:v>
                </c:pt>
                <c:pt idx="88">
                  <c:v>0</c:v>
                </c:pt>
                <c:pt idx="89">
                  <c:v>0</c:v>
                </c:pt>
                <c:pt idx="90">
                  <c:v>0</c:v>
                </c:pt>
                <c:pt idx="91">
                  <c:v>1</c:v>
                </c:pt>
                <c:pt idx="92">
                  <c:v>1</c:v>
                </c:pt>
                <c:pt idx="93">
                  <c:v>0</c:v>
                </c:pt>
                <c:pt idx="94">
                  <c:v>2</c:v>
                </c:pt>
                <c:pt idx="95">
                  <c:v>2</c:v>
                </c:pt>
                <c:pt idx="96">
                  <c:v>2</c:v>
                </c:pt>
                <c:pt idx="97">
                  <c:v>0</c:v>
                </c:pt>
                <c:pt idx="98">
                  <c:v>0</c:v>
                </c:pt>
                <c:pt idx="99">
                  <c:v>0</c:v>
                </c:pt>
                <c:pt idx="100">
                  <c:v>1</c:v>
                </c:pt>
                <c:pt idx="101">
                  <c:v>0</c:v>
                </c:pt>
                <c:pt idx="102">
                  <c:v>1</c:v>
                </c:pt>
                <c:pt idx="103">
                  <c:v>1</c:v>
                </c:pt>
                <c:pt idx="104">
                  <c:v>1</c:v>
                </c:pt>
                <c:pt idx="105">
                  <c:v>2</c:v>
                </c:pt>
                <c:pt idx="106">
                  <c:v>1</c:v>
                </c:pt>
                <c:pt idx="107">
                  <c:v>1</c:v>
                </c:pt>
                <c:pt idx="108">
                  <c:v>0</c:v>
                </c:pt>
                <c:pt idx="109">
                  <c:v>1</c:v>
                </c:pt>
                <c:pt idx="110">
                  <c:v>1</c:v>
                </c:pt>
                <c:pt idx="111">
                  <c:v>1</c:v>
                </c:pt>
                <c:pt idx="112">
                  <c:v>2</c:v>
                </c:pt>
                <c:pt idx="113">
                  <c:v>0</c:v>
                </c:pt>
                <c:pt idx="114">
                  <c:v>1</c:v>
                </c:pt>
                <c:pt idx="115">
                  <c:v>1</c:v>
                </c:pt>
                <c:pt idx="116">
                  <c:v>1</c:v>
                </c:pt>
                <c:pt idx="117">
                  <c:v>0</c:v>
                </c:pt>
                <c:pt idx="118">
                  <c:v>1</c:v>
                </c:pt>
                <c:pt idx="119">
                  <c:v>0</c:v>
                </c:pt>
                <c:pt idx="120">
                  <c:v>0</c:v>
                </c:pt>
                <c:pt idx="121">
                  <c:v>0</c:v>
                </c:pt>
                <c:pt idx="122">
                  <c:v>1</c:v>
                </c:pt>
                <c:pt idx="123">
                  <c:v>3</c:v>
                </c:pt>
                <c:pt idx="124">
                  <c:v>2</c:v>
                </c:pt>
                <c:pt idx="125">
                  <c:v>0</c:v>
                </c:pt>
                <c:pt idx="126">
                  <c:v>1</c:v>
                </c:pt>
                <c:pt idx="127">
                  <c:v>1</c:v>
                </c:pt>
                <c:pt idx="128">
                  <c:v>1</c:v>
                </c:pt>
              </c:numCache>
            </c:numRef>
          </c:val>
          <c:extLst xmlns:c16r2="http://schemas.microsoft.com/office/drawing/2015/06/chart">
            <c:ext xmlns:c16="http://schemas.microsoft.com/office/drawing/2014/chart" uri="{C3380CC4-5D6E-409C-BE32-E72D297353CC}">
              <c16:uniqueId val="{00000000-F68C-43EF-AE6E-ACCD1554DDB2}"/>
            </c:ext>
          </c:extLst>
        </c:ser>
        <c:dLbls>
          <c:showLegendKey val="0"/>
          <c:showVal val="0"/>
          <c:showCatName val="0"/>
          <c:showSerName val="0"/>
          <c:showPercent val="0"/>
          <c:showBubbleSize val="0"/>
        </c:dLbls>
        <c:gapWidth val="150"/>
        <c:overlap val="100"/>
        <c:axId val="249496320"/>
        <c:axId val="249497856"/>
      </c:barChart>
      <c:catAx>
        <c:axId val="249496320"/>
        <c:scaling>
          <c:orientation val="minMax"/>
        </c:scaling>
        <c:delete val="0"/>
        <c:axPos val="b"/>
        <c:numFmt formatCode="mmm/yy" sourceLinked="0"/>
        <c:majorTickMark val="out"/>
        <c:minorTickMark val="none"/>
        <c:tickLblPos val="nextTo"/>
        <c:spPr>
          <a:ln w="3175">
            <a:solidFill>
              <a:srgbClr val="000000"/>
            </a:solidFill>
            <a:prstDash val="solid"/>
          </a:ln>
        </c:spPr>
        <c:txPr>
          <a:bodyPr rot="-5400000" vert="horz"/>
          <a:lstStyle/>
          <a:p>
            <a:pPr>
              <a:defRPr sz="900" b="0" i="0" u="none" strike="noStrike" baseline="0">
                <a:solidFill>
                  <a:srgbClr val="000000"/>
                </a:solidFill>
                <a:latin typeface="Arial"/>
                <a:ea typeface="Arial"/>
                <a:cs typeface="Arial"/>
              </a:defRPr>
            </a:pPr>
            <a:endParaRPr lang="en-US"/>
          </a:p>
        </c:txPr>
        <c:crossAx val="249497856"/>
        <c:crosses val="autoZero"/>
        <c:auto val="0"/>
        <c:lblAlgn val="ctr"/>
        <c:lblOffset val="100"/>
        <c:tickLblSkip val="3"/>
        <c:tickMarkSkip val="1"/>
        <c:noMultiLvlLbl val="0"/>
      </c:catAx>
      <c:valAx>
        <c:axId val="249497856"/>
        <c:scaling>
          <c:orientation val="minMax"/>
        </c:scaling>
        <c:delete val="0"/>
        <c:axPos val="l"/>
        <c:title>
          <c:tx>
            <c:rich>
              <a:bodyPr/>
              <a:lstStyle/>
              <a:p>
                <a:pPr>
                  <a:defRPr sz="1100" b="1" i="0" u="none" strike="noStrike" baseline="0">
                    <a:solidFill>
                      <a:srgbClr val="000000"/>
                    </a:solidFill>
                    <a:latin typeface="Arial"/>
                    <a:ea typeface="Arial"/>
                    <a:cs typeface="Arial"/>
                  </a:defRPr>
                </a:pPr>
                <a:r>
                  <a:rPr lang="en-US"/>
                  <a:t>Number of Projects each month</a:t>
                </a:r>
              </a:p>
            </c:rich>
          </c:tx>
          <c:layout>
            <c:manualLayout>
              <c:xMode val="edge"/>
              <c:yMode val="edge"/>
              <c:x val="7.1457504175614403E-2"/>
              <c:y val="0.250493195392829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49496320"/>
        <c:crosses val="autoZero"/>
        <c:crossBetween val="between"/>
      </c:valAx>
      <c:spPr>
        <a:solidFill>
          <a:srgbClr val="C0C0C0"/>
        </a:solidFill>
        <a:ln w="12700">
          <a:solidFill>
            <a:srgbClr val="000000"/>
          </a:solidFill>
          <a:prstDash val="solid"/>
        </a:ln>
      </c:spPr>
    </c:plotArea>
    <c:legend>
      <c:legendPos val="b"/>
      <c:layout>
        <c:manualLayout>
          <c:xMode val="edge"/>
          <c:yMode val="edge"/>
          <c:x val="0.29233024548402037"/>
          <c:y val="0.89272890240323033"/>
          <c:w val="0.34953635942565997"/>
          <c:h val="4.7337251857629839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 comparison of regional distribution of pCDM and CDM</a:t>
            </a:r>
          </a:p>
        </c:rich>
      </c:tx>
      <c:layout>
        <c:manualLayout>
          <c:xMode val="edge"/>
          <c:yMode val="edge"/>
          <c:x val="0.2318267156107266"/>
          <c:y val="2.964698500091089E-2"/>
        </c:manualLayout>
      </c:layout>
      <c:overlay val="0"/>
    </c:title>
    <c:autoTitleDeleted val="0"/>
    <c:plotArea>
      <c:layout/>
      <c:barChart>
        <c:barDir val="col"/>
        <c:grouping val="clustered"/>
        <c:varyColors val="0"/>
        <c:ser>
          <c:idx val="0"/>
          <c:order val="0"/>
          <c:tx>
            <c:strRef>
              <c:f>PoAanalysis!$C$330</c:f>
              <c:strCache>
                <c:ptCount val="1"/>
                <c:pt idx="0">
                  <c:v>pCDM</c:v>
                </c:pt>
              </c:strCache>
            </c:strRef>
          </c:tx>
          <c:spPr>
            <a:solidFill>
              <a:schemeClr val="accent3">
                <a:lumMod val="50000"/>
              </a:schemeClr>
            </a:solidFill>
          </c:spPr>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PoAanalysis!$B$331:$B$336</c:f>
              <c:strCache>
                <c:ptCount val="6"/>
                <c:pt idx="0">
                  <c:v>Latin America</c:v>
                </c:pt>
                <c:pt idx="1">
                  <c:v>Asia &amp; Pacific</c:v>
                </c:pt>
                <c:pt idx="2">
                  <c:v>Europe &amp; Central Asia</c:v>
                </c:pt>
                <c:pt idx="3">
                  <c:v>Africa</c:v>
                </c:pt>
                <c:pt idx="4">
                  <c:v>Middle-East</c:v>
                </c:pt>
                <c:pt idx="5">
                  <c:v>LDCs</c:v>
                </c:pt>
              </c:strCache>
            </c:strRef>
          </c:cat>
          <c:val>
            <c:numRef>
              <c:f>PoAanalysis!$C$331:$C$336</c:f>
              <c:numCache>
                <c:formatCode>0%</c:formatCode>
                <c:ptCount val="6"/>
                <c:pt idx="0">
                  <c:v>0.16169154228855723</c:v>
                </c:pt>
                <c:pt idx="1">
                  <c:v>0.47512437810945274</c:v>
                </c:pt>
                <c:pt idx="2">
                  <c:v>7.462686567164179E-3</c:v>
                </c:pt>
                <c:pt idx="3">
                  <c:v>0.33582089552238809</c:v>
                </c:pt>
                <c:pt idx="4">
                  <c:v>1.9900497512437811E-2</c:v>
                </c:pt>
                <c:pt idx="5">
                  <c:v>0.20398009950248755</c:v>
                </c:pt>
              </c:numCache>
            </c:numRef>
          </c:val>
          <c:extLst xmlns:c16r2="http://schemas.microsoft.com/office/drawing/2015/06/chart">
            <c:ext xmlns:c16="http://schemas.microsoft.com/office/drawing/2014/chart" uri="{C3380CC4-5D6E-409C-BE32-E72D297353CC}">
              <c16:uniqueId val="{00000000-8AFA-4EB7-AFC2-4C91228E6539}"/>
            </c:ext>
          </c:extLst>
        </c:ser>
        <c:ser>
          <c:idx val="1"/>
          <c:order val="1"/>
          <c:tx>
            <c:strRef>
              <c:f>PoAanalysis!$D$330</c:f>
              <c:strCache>
                <c:ptCount val="1"/>
                <c:pt idx="0">
                  <c:v>CDM</c:v>
                </c:pt>
              </c:strCache>
            </c:strRef>
          </c:tx>
          <c:spPr>
            <a:solidFill>
              <a:srgbClr val="6699FF"/>
            </a:solidFill>
            <a:effectLst>
              <a:outerShdw blurRad="50800" dist="50800" dir="5400000" algn="ctr" rotWithShape="0">
                <a:schemeClr val="tx1"/>
              </a:outerShdw>
            </a:effectLst>
          </c:spPr>
          <c:invertIfNegative val="0"/>
          <c:dLbls>
            <c:spPr>
              <a:noFill/>
              <a:ln>
                <a:noFill/>
              </a:ln>
              <a:effectLst/>
            </c:sp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multiLvlStrRef>
              <c:f>PoAanalysis!$B$327:$K$334</c:f>
              <c:multiLvlStrCache>
                <c:ptCount val="8"/>
                <c:lvl>
                  <c:pt idx="0">
                    <c:v>Chart 4:</c:v>
                  </c:pt>
                </c:lvl>
                <c:lvl>
                  <c:pt idx="3">
                    <c:v>CDM</c:v>
                  </c:pt>
                  <c:pt idx="4">
                    <c:v>1096</c:v>
                  </c:pt>
                  <c:pt idx="5">
                    <c:v>6830</c:v>
                  </c:pt>
                  <c:pt idx="6">
                    <c:v>84</c:v>
                  </c:pt>
                  <c:pt idx="7">
                    <c:v>247</c:v>
                  </c:pt>
                </c:lvl>
                <c:lvl>
                  <c:pt idx="3">
                    <c:v>pCDM</c:v>
                  </c:pt>
                  <c:pt idx="4">
                    <c:v>65</c:v>
                  </c:pt>
                  <c:pt idx="5">
                    <c:v>191</c:v>
                  </c:pt>
                  <c:pt idx="6">
                    <c:v>3</c:v>
                  </c:pt>
                  <c:pt idx="7">
                    <c:v>135</c:v>
                  </c:pt>
                </c:lvl>
                <c:lvl>
                  <c:pt idx="3">
                    <c:v>CDM</c:v>
                  </c:pt>
                  <c:pt idx="4">
                    <c:v>13%</c:v>
                  </c:pt>
                  <c:pt idx="5">
                    <c:v>82%</c:v>
                  </c:pt>
                  <c:pt idx="6">
                    <c:v>1.0%</c:v>
                  </c:pt>
                  <c:pt idx="7">
                    <c:v>3.0%</c:v>
                  </c:pt>
                </c:lvl>
                <c:lvl>
                  <c:pt idx="3">
                    <c:v>pCDM</c:v>
                  </c:pt>
                  <c:pt idx="4">
                    <c:v>16%</c:v>
                  </c:pt>
                  <c:pt idx="5">
                    <c:v>48%</c:v>
                  </c:pt>
                  <c:pt idx="6">
                    <c:v>1%</c:v>
                  </c:pt>
                  <c:pt idx="7">
                    <c:v>34%</c:v>
                  </c:pt>
                </c:lvl>
                <c:lvl>
                  <c:pt idx="1">
                    <c:v>Table 6:</c:v>
                  </c:pt>
                  <c:pt idx="2">
                    <c:v>% comparison of regional distribucion of pCDM vs CDM</c:v>
                  </c:pt>
                  <c:pt idx="3">
                    <c:v>Region</c:v>
                  </c:pt>
                  <c:pt idx="4">
                    <c:v>Latin America</c:v>
                  </c:pt>
                  <c:pt idx="5">
                    <c:v>Asia &amp; Pacific</c:v>
                  </c:pt>
                  <c:pt idx="6">
                    <c:v>Europe &amp; Central Asia</c:v>
                  </c:pt>
                  <c:pt idx="7">
                    <c:v>Africa</c:v>
                  </c:pt>
                </c:lvl>
              </c:multiLvlStrCache>
            </c:multiLvlStrRef>
          </c:cat>
          <c:val>
            <c:numRef>
              <c:f>PoAanalysis!$D$331:$D$336</c:f>
              <c:numCache>
                <c:formatCode>0%</c:formatCode>
                <c:ptCount val="6"/>
                <c:pt idx="0">
                  <c:v>0.13097514340344169</c:v>
                </c:pt>
                <c:pt idx="1">
                  <c:v>0.81620458891013381</c:v>
                </c:pt>
                <c:pt idx="2" formatCode="0.0%">
                  <c:v>1.0038240917782026E-2</c:v>
                </c:pt>
                <c:pt idx="3" formatCode="0.0%">
                  <c:v>2.9517208413001914E-2</c:v>
                </c:pt>
                <c:pt idx="4" formatCode="0.0%">
                  <c:v>1.3264818355640536E-2</c:v>
                </c:pt>
                <c:pt idx="5" formatCode="0.0%">
                  <c:v>1.5654875717017208E-2</c:v>
                </c:pt>
              </c:numCache>
            </c:numRef>
          </c:val>
          <c:extLst xmlns:c16r2="http://schemas.microsoft.com/office/drawing/2015/06/chart">
            <c:ext xmlns:c16="http://schemas.microsoft.com/office/drawing/2014/chart" uri="{C3380CC4-5D6E-409C-BE32-E72D297353CC}">
              <c16:uniqueId val="{00000001-8AFA-4EB7-AFC2-4C91228E6539}"/>
            </c:ext>
          </c:extLst>
        </c:ser>
        <c:dLbls>
          <c:showLegendKey val="0"/>
          <c:showVal val="0"/>
          <c:showCatName val="0"/>
          <c:showSerName val="0"/>
          <c:showPercent val="0"/>
          <c:showBubbleSize val="0"/>
        </c:dLbls>
        <c:gapWidth val="75"/>
        <c:overlap val="-25"/>
        <c:axId val="249545856"/>
        <c:axId val="249547392"/>
      </c:barChart>
      <c:catAx>
        <c:axId val="249545856"/>
        <c:scaling>
          <c:orientation val="minMax"/>
        </c:scaling>
        <c:delete val="0"/>
        <c:axPos val="b"/>
        <c:numFmt formatCode="General" sourceLinked="1"/>
        <c:majorTickMark val="none"/>
        <c:minorTickMark val="none"/>
        <c:tickLblPos val="nextTo"/>
        <c:crossAx val="249547392"/>
        <c:crosses val="autoZero"/>
        <c:auto val="1"/>
        <c:lblAlgn val="ctr"/>
        <c:lblOffset val="100"/>
        <c:noMultiLvlLbl val="0"/>
      </c:catAx>
      <c:valAx>
        <c:axId val="249547392"/>
        <c:scaling>
          <c:orientation val="minMax"/>
        </c:scaling>
        <c:delete val="0"/>
        <c:axPos val="l"/>
        <c:majorGridlines/>
        <c:numFmt formatCode="0%" sourceLinked="1"/>
        <c:majorTickMark val="none"/>
        <c:minorTickMark val="none"/>
        <c:tickLblPos val="nextTo"/>
        <c:spPr>
          <a:ln w="9525">
            <a:noFill/>
          </a:ln>
        </c:spPr>
        <c:crossAx val="249545856"/>
        <c:crosses val="autoZero"/>
        <c:crossBetween val="between"/>
      </c:valAx>
    </c:plotArea>
    <c:legend>
      <c:legendPos val="b"/>
      <c:overlay val="0"/>
    </c:legend>
    <c:plotVisOnly val="1"/>
    <c:dispBlanksAs val="gap"/>
    <c:showDLblsOverMax val="0"/>
  </c:chart>
  <c:txPr>
    <a:bodyPr/>
    <a:lstStyle/>
    <a:p>
      <a:pPr>
        <a:defRPr sz="1400" baseline="0"/>
      </a:pPr>
      <a:endParaRPr lang="en-US"/>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PoA distribution by type</a:t>
            </a:r>
          </a:p>
        </c:rich>
      </c:tx>
      <c:layout/>
      <c:overlay val="0"/>
    </c:title>
    <c:autoTitleDeleted val="0"/>
    <c:plotArea>
      <c:layout>
        <c:manualLayout>
          <c:layoutTarget val="inner"/>
          <c:xMode val="edge"/>
          <c:yMode val="edge"/>
          <c:x val="0.35088162183888988"/>
          <c:y val="0.37323118393987337"/>
          <c:w val="0.30167467960647704"/>
          <c:h val="0.47923695348892204"/>
        </c:manualLayout>
      </c:layout>
      <c:pieChart>
        <c:varyColors val="1"/>
        <c:ser>
          <c:idx val="0"/>
          <c:order val="0"/>
          <c:dPt>
            <c:idx val="0"/>
            <c:bubble3D val="0"/>
            <c:spPr>
              <a:solidFill>
                <a:srgbClr val="FF0000"/>
              </a:solidFill>
            </c:spPr>
            <c:extLst xmlns:c16r2="http://schemas.microsoft.com/office/drawing/2015/06/chart">
              <c:ext xmlns:c16="http://schemas.microsoft.com/office/drawing/2014/chart" uri="{C3380CC4-5D6E-409C-BE32-E72D297353CC}">
                <c16:uniqueId val="{00000001-008C-45D7-A197-32096B91AD88}"/>
              </c:ext>
            </c:extLst>
          </c:dPt>
          <c:dPt>
            <c:idx val="1"/>
            <c:bubble3D val="0"/>
            <c:spPr>
              <a:solidFill>
                <a:schemeClr val="tx1"/>
              </a:solidFill>
            </c:spPr>
            <c:extLst xmlns:c16r2="http://schemas.microsoft.com/office/drawing/2015/06/chart">
              <c:ext xmlns:c16="http://schemas.microsoft.com/office/drawing/2014/chart" uri="{C3380CC4-5D6E-409C-BE32-E72D297353CC}">
                <c16:uniqueId val="{00000003-008C-45D7-A197-32096B91AD88}"/>
              </c:ext>
            </c:extLst>
          </c:dPt>
          <c:dPt>
            <c:idx val="2"/>
            <c:bubble3D val="0"/>
            <c:spPr>
              <a:solidFill>
                <a:srgbClr val="FFFF00"/>
              </a:solidFill>
            </c:spPr>
            <c:extLst xmlns:c16r2="http://schemas.microsoft.com/office/drawing/2015/06/chart">
              <c:ext xmlns:c16="http://schemas.microsoft.com/office/drawing/2014/chart" uri="{C3380CC4-5D6E-409C-BE32-E72D297353CC}">
                <c16:uniqueId val="{00000005-008C-45D7-A197-32096B91AD88}"/>
              </c:ext>
            </c:extLst>
          </c:dPt>
          <c:dPt>
            <c:idx val="3"/>
            <c:bubble3D val="0"/>
            <c:spPr>
              <a:solidFill>
                <a:srgbClr val="0070C0"/>
              </a:solidFill>
            </c:spPr>
            <c:extLst xmlns:c16r2="http://schemas.microsoft.com/office/drawing/2015/06/chart">
              <c:ext xmlns:c16="http://schemas.microsoft.com/office/drawing/2014/chart" uri="{C3380CC4-5D6E-409C-BE32-E72D297353CC}">
                <c16:uniqueId val="{00000007-008C-45D7-A197-32096B91AD88}"/>
              </c:ext>
            </c:extLst>
          </c:dPt>
          <c:dPt>
            <c:idx val="5"/>
            <c:bubble3D val="0"/>
            <c:spPr>
              <a:solidFill>
                <a:srgbClr val="00B050"/>
              </a:solidFill>
            </c:spPr>
            <c:extLst xmlns:c16r2="http://schemas.microsoft.com/office/drawing/2015/06/chart">
              <c:ext xmlns:c16="http://schemas.microsoft.com/office/drawing/2014/chart" uri="{C3380CC4-5D6E-409C-BE32-E72D297353CC}">
                <c16:uniqueId val="{00000009-008C-45D7-A197-32096B91AD88}"/>
              </c:ext>
            </c:extLst>
          </c:dPt>
          <c:dPt>
            <c:idx val="6"/>
            <c:bubble3D val="0"/>
            <c:spPr>
              <a:solidFill>
                <a:schemeClr val="accent6">
                  <a:lumMod val="75000"/>
                </a:schemeClr>
              </a:solidFill>
            </c:spPr>
            <c:extLst xmlns:c16r2="http://schemas.microsoft.com/office/drawing/2015/06/chart">
              <c:ext xmlns:c16="http://schemas.microsoft.com/office/drawing/2014/chart" uri="{C3380CC4-5D6E-409C-BE32-E72D297353CC}">
                <c16:uniqueId val="{0000000B-008C-45D7-A197-32096B91AD88}"/>
              </c:ext>
            </c:extLst>
          </c:dPt>
          <c:dPt>
            <c:idx val="7"/>
            <c:bubble3D val="0"/>
            <c:spPr>
              <a:solidFill>
                <a:srgbClr val="00FF00"/>
              </a:solidFill>
            </c:spPr>
            <c:extLst xmlns:c16r2="http://schemas.microsoft.com/office/drawing/2015/06/chart">
              <c:ext xmlns:c16="http://schemas.microsoft.com/office/drawing/2014/chart" uri="{C3380CC4-5D6E-409C-BE32-E72D297353CC}">
                <c16:uniqueId val="{0000000D-008C-45D7-A197-32096B91AD88}"/>
              </c:ext>
            </c:extLst>
          </c:dPt>
          <c:dPt>
            <c:idx val="8"/>
            <c:bubble3D val="0"/>
            <c:spPr>
              <a:solidFill>
                <a:schemeClr val="tx1">
                  <a:lumMod val="50000"/>
                  <a:lumOff val="50000"/>
                </a:schemeClr>
              </a:solidFill>
            </c:spPr>
            <c:extLst xmlns:c16r2="http://schemas.microsoft.com/office/drawing/2015/06/chart">
              <c:ext xmlns:c16="http://schemas.microsoft.com/office/drawing/2014/chart" uri="{C3380CC4-5D6E-409C-BE32-E72D297353CC}">
                <c16:uniqueId val="{0000000F-008C-45D7-A197-32096B91AD88}"/>
              </c:ext>
            </c:extLst>
          </c:dPt>
          <c:dLbls>
            <c:dLbl>
              <c:idx val="0"/>
              <c:layout>
                <c:manualLayout>
                  <c:x val="5.1697750919132014E-2"/>
                  <c:y val="0.1151062873897520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008C-45D7-A197-32096B91AD88}"/>
                </c:ext>
              </c:extLst>
            </c:dLbl>
            <c:dLbl>
              <c:idx val="1"/>
              <c:layout>
                <c:manualLayout>
                  <c:x val="5.0920678972505483E-2"/>
                  <c:y val="2.7557636376534151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08C-45D7-A197-32096B91AD88}"/>
                </c:ext>
              </c:extLst>
            </c:dLbl>
            <c:dLbl>
              <c:idx val="2"/>
              <c:layout>
                <c:manualLayout>
                  <c:x val="-4.9200913242009134E-2"/>
                  <c:y val="0.15290865585267649"/>
                </c:manualLayout>
              </c:layout>
              <c:numFmt formatCode="0.0%" sourceLinked="0"/>
              <c:spPr>
                <a:solidFill>
                  <a:srgbClr val="FFFFFF"/>
                </a:solidFill>
              </c:spPr>
              <c:txPr>
                <a:bodyPr/>
                <a:lstStyle/>
                <a:p>
                  <a:pPr>
                    <a:defRPr sz="1200"/>
                  </a:pPr>
                  <a:endParaRPr lang="en-US"/>
                </a:p>
              </c:txPr>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08C-45D7-A197-32096B91AD88}"/>
                </c:ext>
              </c:extLst>
            </c:dLbl>
            <c:dLbl>
              <c:idx val="3"/>
              <c:layout>
                <c:manualLayout>
                  <c:x val="-0.14265595225254377"/>
                  <c:y val="0.24977101360563145"/>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08C-45D7-A197-32096B91AD88}"/>
                </c:ext>
              </c:extLst>
            </c:dLbl>
            <c:dLbl>
              <c:idx val="4"/>
              <c:layout>
                <c:manualLayout>
                  <c:x val="-0.11944450436846082"/>
                  <c:y val="0.21150635764170544"/>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0-008C-45D7-A197-32096B91AD88}"/>
                </c:ext>
              </c:extLst>
            </c:dLbl>
            <c:dLbl>
              <c:idx val="5"/>
              <c:layout>
                <c:manualLayout>
                  <c:x val="-0.17579009815554344"/>
                  <c:y val="0.1281736735204919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008C-45D7-A197-32096B91AD88}"/>
                </c:ext>
              </c:extLst>
            </c:dLbl>
            <c:dLbl>
              <c:idx val="6"/>
              <c:layout>
                <c:manualLayout>
                  <c:x val="-0.17871083458614848"/>
                  <c:y val="1.9779385684898221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008C-45D7-A197-32096B91AD88}"/>
                </c:ext>
              </c:extLst>
            </c:dLbl>
            <c:dLbl>
              <c:idx val="7"/>
              <c:layout>
                <c:manualLayout>
                  <c:x val="-0.16303632323919953"/>
                  <c:y val="-7.6186635475438497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008C-45D7-A197-32096B91AD88}"/>
                </c:ext>
              </c:extLst>
            </c:dLbl>
            <c:dLbl>
              <c:idx val="8"/>
              <c:layout>
                <c:manualLayout>
                  <c:x val="-5.7336341169032932E-2"/>
                  <c:y val="-0.16772528433945771"/>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008C-45D7-A197-32096B91AD88}"/>
                </c:ext>
              </c:extLst>
            </c:dLbl>
            <c:dLbl>
              <c:idx val="9"/>
              <c:layout>
                <c:manualLayout>
                  <c:x val="8.4270216679119492E-2"/>
                  <c:y val="-0.17348442931120245"/>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008C-45D7-A197-32096B91AD88}"/>
                </c:ext>
              </c:extLst>
            </c:dLbl>
            <c:dLbl>
              <c:idx val="10"/>
              <c:layout>
                <c:manualLayout>
                  <c:x val="0.30891000071499136"/>
                  <c:y val="-0.12818456594630837"/>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2-008C-45D7-A197-32096B91AD88}"/>
                </c:ext>
              </c:extLst>
            </c:dLbl>
            <c:dLbl>
              <c:idx val="11"/>
              <c:layout>
                <c:manualLayout>
                  <c:x val="0.21623084083318983"/>
                  <c:y val="-4.03852836950628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008C-45D7-A197-32096B91AD88}"/>
                </c:ext>
              </c:extLst>
            </c:dLbl>
            <c:dLbl>
              <c:idx val="12"/>
              <c:layout>
                <c:manualLayout>
                  <c:x val="0.15178225861405137"/>
                  <c:y val="4.8716842829893282E-2"/>
                </c:manualLayout>
              </c:layout>
              <c:dLblPos val="bestFit"/>
              <c:showLegendKey val="0"/>
              <c:showVal val="0"/>
              <c:showCatName val="1"/>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4-008C-45D7-A197-32096B91AD88}"/>
                </c:ext>
              </c:extLst>
            </c:dLbl>
            <c:numFmt formatCode="0.0%" sourceLinked="0"/>
            <c:spPr>
              <a:noFill/>
              <a:ln>
                <a:noFill/>
              </a:ln>
              <a:effectLst/>
            </c:spPr>
            <c:txPr>
              <a:bodyPr/>
              <a:lstStyle/>
              <a:p>
                <a:pPr>
                  <a:defRPr sz="1200"/>
                </a:pPr>
                <a:endParaRPr lang="en-US"/>
              </a:p>
            </c:txPr>
            <c:dLblPos val="outEnd"/>
            <c:showLegendKey val="0"/>
            <c:showVal val="0"/>
            <c:showCatName val="1"/>
            <c:showSerName val="0"/>
            <c:showPercent val="1"/>
            <c:showBubbleSize val="0"/>
            <c:showLeaderLines val="1"/>
            <c:extLst xmlns:c16r2="http://schemas.microsoft.com/office/drawing/2015/06/chart">
              <c:ext xmlns:c15="http://schemas.microsoft.com/office/drawing/2012/chart" uri="{CE6537A1-D6FC-4f65-9D91-7224C49458BB}"/>
            </c:extLst>
          </c:dLbls>
          <c:cat>
            <c:strRef>
              <c:f>PoAanalysis!$N$73:$N$85</c:f>
              <c:strCache>
                <c:ptCount val="13"/>
                <c:pt idx="0">
                  <c:v>EE demand side</c:v>
                </c:pt>
                <c:pt idx="1">
                  <c:v>Waste</c:v>
                </c:pt>
                <c:pt idx="2">
                  <c:v>Solar</c:v>
                </c:pt>
                <c:pt idx="3">
                  <c:v>Hydro</c:v>
                </c:pt>
                <c:pt idx="4">
                  <c:v>Wind</c:v>
                </c:pt>
                <c:pt idx="5">
                  <c:v>Biomass energy</c:v>
                </c:pt>
                <c:pt idx="6">
                  <c:v>EE supply side</c:v>
                </c:pt>
                <c:pt idx="7">
                  <c:v>Transport</c:v>
                </c:pt>
                <c:pt idx="8">
                  <c:v>Coal Mine Methane</c:v>
                </c:pt>
                <c:pt idx="9">
                  <c:v>Fossil fuel switch</c:v>
                </c:pt>
                <c:pt idx="10">
                  <c:v>Forestry &amp; Agriculture</c:v>
                </c:pt>
                <c:pt idx="11">
                  <c:v>Fugitive</c:v>
                </c:pt>
                <c:pt idx="12">
                  <c:v>Geothermal</c:v>
                </c:pt>
              </c:strCache>
            </c:strRef>
          </c:cat>
          <c:val>
            <c:numRef>
              <c:f>PoAanalysis!$P$73:$P$85</c:f>
              <c:numCache>
                <c:formatCode>0</c:formatCode>
                <c:ptCount val="13"/>
                <c:pt idx="0">
                  <c:v>141</c:v>
                </c:pt>
                <c:pt idx="1">
                  <c:v>77</c:v>
                </c:pt>
                <c:pt idx="2">
                  <c:v>68</c:v>
                </c:pt>
                <c:pt idx="3">
                  <c:v>38</c:v>
                </c:pt>
                <c:pt idx="4">
                  <c:v>25</c:v>
                </c:pt>
                <c:pt idx="5">
                  <c:v>18</c:v>
                </c:pt>
                <c:pt idx="6">
                  <c:v>9</c:v>
                </c:pt>
                <c:pt idx="7">
                  <c:v>8</c:v>
                </c:pt>
                <c:pt idx="8">
                  <c:v>4</c:v>
                </c:pt>
                <c:pt idx="9">
                  <c:v>3</c:v>
                </c:pt>
                <c:pt idx="10">
                  <c:v>4</c:v>
                </c:pt>
                <c:pt idx="11">
                  <c:v>3</c:v>
                </c:pt>
                <c:pt idx="12">
                  <c:v>2</c:v>
                </c:pt>
              </c:numCache>
            </c:numRef>
          </c:val>
          <c:extLst xmlns:c16r2="http://schemas.microsoft.com/office/drawing/2015/06/chart">
            <c:ext xmlns:c16="http://schemas.microsoft.com/office/drawing/2014/chart" uri="{C3380CC4-5D6E-409C-BE32-E72D297353CC}">
              <c16:uniqueId val="{00000015-008C-45D7-A197-32096B91AD88}"/>
            </c:ext>
          </c:extLst>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a-DK"/>
              <a:t>Number of PoAs</a:t>
            </a:r>
            <a:r>
              <a:rPr lang="da-DK" baseline="0"/>
              <a:t> compared to normal CDM</a:t>
            </a:r>
            <a:endParaRPr lang="da-DK"/>
          </a:p>
        </c:rich>
      </c:tx>
      <c:layout/>
      <c:overlay val="0"/>
    </c:title>
    <c:autoTitleDeleted val="0"/>
    <c:plotArea>
      <c:layout/>
      <c:barChart>
        <c:barDir val="col"/>
        <c:grouping val="clustered"/>
        <c:varyColors val="0"/>
        <c:ser>
          <c:idx val="2"/>
          <c:order val="0"/>
          <c:tx>
            <c:strRef>
              <c:f>PoAanalysis!$Q$72</c:f>
              <c:strCache>
                <c:ptCount val="1"/>
                <c:pt idx="0">
                  <c:v>PoAs%</c:v>
                </c:pt>
              </c:strCache>
            </c:strRef>
          </c:tx>
          <c:invertIfNegative val="0"/>
          <c:cat>
            <c:strRef>
              <c:f>PoAanalysis!$N$73:$N$87</c:f>
              <c:strCache>
                <c:ptCount val="15"/>
                <c:pt idx="0">
                  <c:v>EE demand side</c:v>
                </c:pt>
                <c:pt idx="1">
                  <c:v>Waste</c:v>
                </c:pt>
                <c:pt idx="2">
                  <c:v>Solar</c:v>
                </c:pt>
                <c:pt idx="3">
                  <c:v>Hydro</c:v>
                </c:pt>
                <c:pt idx="4">
                  <c:v>Wind</c:v>
                </c:pt>
                <c:pt idx="5">
                  <c:v>Biomass energy</c:v>
                </c:pt>
                <c:pt idx="6">
                  <c:v>EE supply side</c:v>
                </c:pt>
                <c:pt idx="7">
                  <c:v>Transport</c:v>
                </c:pt>
                <c:pt idx="8">
                  <c:v>Coal Mine Methane</c:v>
                </c:pt>
                <c:pt idx="9">
                  <c:v>Fossil fuel switch</c:v>
                </c:pt>
                <c:pt idx="10">
                  <c:v>Forestry &amp; Agriculture</c:v>
                </c:pt>
                <c:pt idx="11">
                  <c:v>Fugitive</c:v>
                </c:pt>
                <c:pt idx="12">
                  <c:v>Geothermal</c:v>
                </c:pt>
                <c:pt idx="13">
                  <c:v>Mixed renewables</c:v>
                </c:pt>
                <c:pt idx="14">
                  <c:v>Industrial gases</c:v>
                </c:pt>
              </c:strCache>
            </c:strRef>
          </c:cat>
          <c:val>
            <c:numRef>
              <c:f>PoAanalysis!$Q$73:$Q$87</c:f>
              <c:numCache>
                <c:formatCode>0.0%</c:formatCode>
                <c:ptCount val="15"/>
                <c:pt idx="0">
                  <c:v>0.35074626865671643</c:v>
                </c:pt>
                <c:pt idx="1">
                  <c:v>0.19154228855721392</c:v>
                </c:pt>
                <c:pt idx="2">
                  <c:v>0.1691542288557214</c:v>
                </c:pt>
                <c:pt idx="3">
                  <c:v>9.4527363184079602E-2</c:v>
                </c:pt>
                <c:pt idx="4">
                  <c:v>6.2189054726368161E-2</c:v>
                </c:pt>
                <c:pt idx="5">
                  <c:v>4.4776119402985072E-2</c:v>
                </c:pt>
                <c:pt idx="6">
                  <c:v>2.2388059701492536E-2</c:v>
                </c:pt>
                <c:pt idx="7">
                  <c:v>1.9900497512437811E-2</c:v>
                </c:pt>
                <c:pt idx="8">
                  <c:v>9.9502487562189053E-3</c:v>
                </c:pt>
                <c:pt idx="9">
                  <c:v>7.462686567164179E-3</c:v>
                </c:pt>
                <c:pt idx="10">
                  <c:v>9.9502487562189053E-3</c:v>
                </c:pt>
                <c:pt idx="11">
                  <c:v>7.462686567164179E-3</c:v>
                </c:pt>
                <c:pt idx="12">
                  <c:v>4.9751243781094526E-3</c:v>
                </c:pt>
                <c:pt idx="13">
                  <c:v>4.9751243781094526E-3</c:v>
                </c:pt>
                <c:pt idx="14">
                  <c:v>0</c:v>
                </c:pt>
              </c:numCache>
            </c:numRef>
          </c:val>
          <c:extLst xmlns:c16r2="http://schemas.microsoft.com/office/drawing/2015/06/chart">
            <c:ext xmlns:c16="http://schemas.microsoft.com/office/drawing/2014/chart" uri="{C3380CC4-5D6E-409C-BE32-E72D297353CC}">
              <c16:uniqueId val="{00000000-BB70-4CE6-8A2D-C27F9D72404A}"/>
            </c:ext>
          </c:extLst>
        </c:ser>
        <c:ser>
          <c:idx val="3"/>
          <c:order val="1"/>
          <c:tx>
            <c:strRef>
              <c:f>PoAanalysis!$R$72</c:f>
              <c:strCache>
                <c:ptCount val="1"/>
                <c:pt idx="0">
                  <c:v>Normal %</c:v>
                </c:pt>
              </c:strCache>
            </c:strRef>
          </c:tx>
          <c:invertIfNegative val="0"/>
          <c:cat>
            <c:strRef>
              <c:f>PoAanalysis!$N$73:$N$87</c:f>
              <c:strCache>
                <c:ptCount val="15"/>
                <c:pt idx="0">
                  <c:v>EE demand side</c:v>
                </c:pt>
                <c:pt idx="1">
                  <c:v>Waste</c:v>
                </c:pt>
                <c:pt idx="2">
                  <c:v>Solar</c:v>
                </c:pt>
                <c:pt idx="3">
                  <c:v>Hydro</c:v>
                </c:pt>
                <c:pt idx="4">
                  <c:v>Wind</c:v>
                </c:pt>
                <c:pt idx="5">
                  <c:v>Biomass energy</c:v>
                </c:pt>
                <c:pt idx="6">
                  <c:v>EE supply side</c:v>
                </c:pt>
                <c:pt idx="7">
                  <c:v>Transport</c:v>
                </c:pt>
                <c:pt idx="8">
                  <c:v>Coal Mine Methane</c:v>
                </c:pt>
                <c:pt idx="9">
                  <c:v>Fossil fuel switch</c:v>
                </c:pt>
                <c:pt idx="10">
                  <c:v>Forestry &amp; Agriculture</c:v>
                </c:pt>
                <c:pt idx="11">
                  <c:v>Fugitive</c:v>
                </c:pt>
                <c:pt idx="12">
                  <c:v>Geothermal</c:v>
                </c:pt>
                <c:pt idx="13">
                  <c:v>Mixed renewables</c:v>
                </c:pt>
                <c:pt idx="14">
                  <c:v>Industrial gases</c:v>
                </c:pt>
              </c:strCache>
            </c:strRef>
          </c:cat>
          <c:val>
            <c:numRef>
              <c:f>PoAanalysis!$R$73:$R$87</c:f>
              <c:numCache>
                <c:formatCode>0.0%</c:formatCode>
                <c:ptCount val="15"/>
                <c:pt idx="0">
                  <c:v>3.0353728489483745E-2</c:v>
                </c:pt>
                <c:pt idx="1">
                  <c:v>0.12954110898661567</c:v>
                </c:pt>
                <c:pt idx="2">
                  <c:v>5.461281070745698E-2</c:v>
                </c:pt>
                <c:pt idx="3">
                  <c:v>0.26111376673040154</c:v>
                </c:pt>
                <c:pt idx="4">
                  <c:v>0.3083173996175908</c:v>
                </c:pt>
                <c:pt idx="5">
                  <c:v>8.6639579349904391E-2</c:v>
                </c:pt>
                <c:pt idx="6">
                  <c:v>5.736137667304015E-2</c:v>
                </c:pt>
                <c:pt idx="7">
                  <c:v>3.8240917782026767E-3</c:v>
                </c:pt>
                <c:pt idx="8">
                  <c:v>1.27868068833652E-2</c:v>
                </c:pt>
                <c:pt idx="9">
                  <c:v>1.4937858508604206E-2</c:v>
                </c:pt>
                <c:pt idx="10">
                  <c:v>8.6042065009560229E-3</c:v>
                </c:pt>
                <c:pt idx="11">
                  <c:v>1.015774378585086E-2</c:v>
                </c:pt>
                <c:pt idx="12">
                  <c:v>4.182600382409178E-3</c:v>
                </c:pt>
                <c:pt idx="13" formatCode="0.00%">
                  <c:v>1.1950286806883365E-4</c:v>
                </c:pt>
                <c:pt idx="14">
                  <c:v>1.7208413001912046E-2</c:v>
                </c:pt>
              </c:numCache>
            </c:numRef>
          </c:val>
          <c:extLst xmlns:c16r2="http://schemas.microsoft.com/office/drawing/2015/06/chart">
            <c:ext xmlns:c16="http://schemas.microsoft.com/office/drawing/2014/chart" uri="{C3380CC4-5D6E-409C-BE32-E72D297353CC}">
              <c16:uniqueId val="{00000001-BB70-4CE6-8A2D-C27F9D72404A}"/>
            </c:ext>
          </c:extLst>
        </c:ser>
        <c:dLbls>
          <c:showLegendKey val="0"/>
          <c:showVal val="0"/>
          <c:showCatName val="0"/>
          <c:showSerName val="0"/>
          <c:showPercent val="0"/>
          <c:showBubbleSize val="0"/>
        </c:dLbls>
        <c:gapWidth val="150"/>
        <c:axId val="250162176"/>
        <c:axId val="250168064"/>
      </c:barChart>
      <c:catAx>
        <c:axId val="250162176"/>
        <c:scaling>
          <c:orientation val="minMax"/>
        </c:scaling>
        <c:delete val="0"/>
        <c:axPos val="b"/>
        <c:numFmt formatCode="General" sourceLinked="1"/>
        <c:majorTickMark val="out"/>
        <c:minorTickMark val="none"/>
        <c:tickLblPos val="nextTo"/>
        <c:txPr>
          <a:bodyPr/>
          <a:lstStyle/>
          <a:p>
            <a:pPr>
              <a:defRPr sz="1110" baseline="0"/>
            </a:pPr>
            <a:endParaRPr lang="en-US"/>
          </a:p>
        </c:txPr>
        <c:crossAx val="250168064"/>
        <c:crosses val="autoZero"/>
        <c:auto val="1"/>
        <c:lblAlgn val="ctr"/>
        <c:lblOffset val="100"/>
        <c:noMultiLvlLbl val="0"/>
      </c:catAx>
      <c:valAx>
        <c:axId val="250168064"/>
        <c:scaling>
          <c:orientation val="minMax"/>
          <c:max val="0.35000000000000031"/>
        </c:scaling>
        <c:delete val="0"/>
        <c:axPos val="l"/>
        <c:majorGridlines/>
        <c:numFmt formatCode="0%" sourceLinked="0"/>
        <c:majorTickMark val="out"/>
        <c:minorTickMark val="none"/>
        <c:tickLblPos val="nextTo"/>
        <c:txPr>
          <a:bodyPr/>
          <a:lstStyle/>
          <a:p>
            <a:pPr>
              <a:defRPr sz="1200" baseline="0"/>
            </a:pPr>
            <a:endParaRPr lang="en-US"/>
          </a:p>
        </c:txPr>
        <c:crossAx val="250162176"/>
        <c:crosses val="autoZero"/>
        <c:crossBetween val="between"/>
      </c:valAx>
    </c:plotArea>
    <c:legend>
      <c:legendPos val="r"/>
      <c:layout/>
      <c:overlay val="0"/>
      <c:txPr>
        <a:bodyPr/>
        <a:lstStyle/>
        <a:p>
          <a:pPr>
            <a:defRPr sz="1200" baseline="0"/>
          </a:pPr>
          <a:endParaRPr lang="en-US"/>
        </a:p>
      </c:txPr>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Number of new CPAs included</a:t>
            </a:r>
          </a:p>
        </c:rich>
      </c:tx>
      <c:layout/>
      <c:overlay val="0"/>
    </c:title>
    <c:autoTitleDeleted val="0"/>
    <c:plotArea>
      <c:layout/>
      <c:barChart>
        <c:barDir val="col"/>
        <c:grouping val="clustered"/>
        <c:varyColors val="0"/>
        <c:ser>
          <c:idx val="0"/>
          <c:order val="0"/>
          <c:tx>
            <c:v>New CPAs</c:v>
          </c:tx>
          <c:invertIfNegative val="0"/>
          <c:cat>
            <c:numRef>
              <c:f>PoAanalysis!$AU$64:$EG$64</c:f>
              <c:numCache>
                <c:formatCode>mmm\-yy</c:formatCode>
                <c:ptCount val="91"/>
                <c:pt idx="0">
                  <c:v>40603</c:v>
                </c:pt>
                <c:pt idx="1">
                  <c:v>40634</c:v>
                </c:pt>
                <c:pt idx="2">
                  <c:v>40664</c:v>
                </c:pt>
                <c:pt idx="3">
                  <c:v>40695</c:v>
                </c:pt>
                <c:pt idx="4">
                  <c:v>40725</c:v>
                </c:pt>
                <c:pt idx="5">
                  <c:v>40756</c:v>
                </c:pt>
                <c:pt idx="6">
                  <c:v>40787</c:v>
                </c:pt>
                <c:pt idx="7">
                  <c:v>40817</c:v>
                </c:pt>
                <c:pt idx="8">
                  <c:v>40848</c:v>
                </c:pt>
                <c:pt idx="9">
                  <c:v>40878</c:v>
                </c:pt>
                <c:pt idx="10">
                  <c:v>40909</c:v>
                </c:pt>
                <c:pt idx="11">
                  <c:v>40940</c:v>
                </c:pt>
                <c:pt idx="12">
                  <c:v>40969</c:v>
                </c:pt>
                <c:pt idx="13">
                  <c:v>41000</c:v>
                </c:pt>
                <c:pt idx="14">
                  <c:v>41030</c:v>
                </c:pt>
                <c:pt idx="15">
                  <c:v>41061</c:v>
                </c:pt>
                <c:pt idx="16">
                  <c:v>41091</c:v>
                </c:pt>
                <c:pt idx="17">
                  <c:v>41122</c:v>
                </c:pt>
                <c:pt idx="18">
                  <c:v>41153</c:v>
                </c:pt>
                <c:pt idx="19">
                  <c:v>41183</c:v>
                </c:pt>
                <c:pt idx="20">
                  <c:v>41214</c:v>
                </c:pt>
                <c:pt idx="21">
                  <c:v>41244</c:v>
                </c:pt>
                <c:pt idx="22">
                  <c:v>41275</c:v>
                </c:pt>
                <c:pt idx="23">
                  <c:v>41306</c:v>
                </c:pt>
                <c:pt idx="24">
                  <c:v>41334</c:v>
                </c:pt>
                <c:pt idx="25">
                  <c:v>41365</c:v>
                </c:pt>
                <c:pt idx="26">
                  <c:v>41395</c:v>
                </c:pt>
                <c:pt idx="27">
                  <c:v>41426</c:v>
                </c:pt>
                <c:pt idx="28">
                  <c:v>41456</c:v>
                </c:pt>
                <c:pt idx="29">
                  <c:v>41487</c:v>
                </c:pt>
                <c:pt idx="30">
                  <c:v>41518</c:v>
                </c:pt>
                <c:pt idx="31">
                  <c:v>41548</c:v>
                </c:pt>
                <c:pt idx="32">
                  <c:v>41579</c:v>
                </c:pt>
                <c:pt idx="33">
                  <c:v>41609</c:v>
                </c:pt>
                <c:pt idx="34">
                  <c:v>41640</c:v>
                </c:pt>
                <c:pt idx="35">
                  <c:v>41671</c:v>
                </c:pt>
                <c:pt idx="36">
                  <c:v>41699</c:v>
                </c:pt>
                <c:pt idx="37">
                  <c:v>41730</c:v>
                </c:pt>
                <c:pt idx="38">
                  <c:v>41760</c:v>
                </c:pt>
                <c:pt idx="39">
                  <c:v>41791</c:v>
                </c:pt>
                <c:pt idx="40">
                  <c:v>41821</c:v>
                </c:pt>
                <c:pt idx="41">
                  <c:v>41852</c:v>
                </c:pt>
                <c:pt idx="42">
                  <c:v>41883</c:v>
                </c:pt>
                <c:pt idx="43">
                  <c:v>41913</c:v>
                </c:pt>
                <c:pt idx="44">
                  <c:v>41944</c:v>
                </c:pt>
                <c:pt idx="45">
                  <c:v>41974</c:v>
                </c:pt>
                <c:pt idx="46">
                  <c:v>42005</c:v>
                </c:pt>
                <c:pt idx="47">
                  <c:v>42036</c:v>
                </c:pt>
                <c:pt idx="48">
                  <c:v>42064</c:v>
                </c:pt>
                <c:pt idx="49">
                  <c:v>42095</c:v>
                </c:pt>
                <c:pt idx="50">
                  <c:v>42125</c:v>
                </c:pt>
                <c:pt idx="51">
                  <c:v>42156</c:v>
                </c:pt>
                <c:pt idx="52">
                  <c:v>42186</c:v>
                </c:pt>
                <c:pt idx="53">
                  <c:v>42217</c:v>
                </c:pt>
                <c:pt idx="54">
                  <c:v>42248</c:v>
                </c:pt>
                <c:pt idx="55">
                  <c:v>42278</c:v>
                </c:pt>
                <c:pt idx="56">
                  <c:v>42309</c:v>
                </c:pt>
                <c:pt idx="57">
                  <c:v>42339</c:v>
                </c:pt>
                <c:pt idx="58">
                  <c:v>42370</c:v>
                </c:pt>
                <c:pt idx="59">
                  <c:v>42401</c:v>
                </c:pt>
                <c:pt idx="60">
                  <c:v>42430</c:v>
                </c:pt>
                <c:pt idx="61">
                  <c:v>42461</c:v>
                </c:pt>
                <c:pt idx="62">
                  <c:v>42491</c:v>
                </c:pt>
                <c:pt idx="63">
                  <c:v>42522</c:v>
                </c:pt>
                <c:pt idx="64">
                  <c:v>42552</c:v>
                </c:pt>
                <c:pt idx="65">
                  <c:v>42583</c:v>
                </c:pt>
                <c:pt idx="66">
                  <c:v>42614</c:v>
                </c:pt>
                <c:pt idx="67">
                  <c:v>42644</c:v>
                </c:pt>
                <c:pt idx="68">
                  <c:v>42675</c:v>
                </c:pt>
                <c:pt idx="69">
                  <c:v>42705</c:v>
                </c:pt>
                <c:pt idx="70">
                  <c:v>42736</c:v>
                </c:pt>
                <c:pt idx="71">
                  <c:v>42767</c:v>
                </c:pt>
                <c:pt idx="72">
                  <c:v>42795</c:v>
                </c:pt>
                <c:pt idx="73">
                  <c:v>42826</c:v>
                </c:pt>
                <c:pt idx="74">
                  <c:v>42856</c:v>
                </c:pt>
                <c:pt idx="75">
                  <c:v>42887</c:v>
                </c:pt>
                <c:pt idx="76">
                  <c:v>42917</c:v>
                </c:pt>
                <c:pt idx="77">
                  <c:v>42948</c:v>
                </c:pt>
                <c:pt idx="78">
                  <c:v>42979</c:v>
                </c:pt>
                <c:pt idx="79">
                  <c:v>43009</c:v>
                </c:pt>
                <c:pt idx="80">
                  <c:v>43040</c:v>
                </c:pt>
                <c:pt idx="81">
                  <c:v>43070</c:v>
                </c:pt>
                <c:pt idx="82">
                  <c:v>43101</c:v>
                </c:pt>
                <c:pt idx="83">
                  <c:v>43132</c:v>
                </c:pt>
                <c:pt idx="84">
                  <c:v>43160</c:v>
                </c:pt>
                <c:pt idx="85">
                  <c:v>43191</c:v>
                </c:pt>
                <c:pt idx="86">
                  <c:v>43221</c:v>
                </c:pt>
                <c:pt idx="87">
                  <c:v>43252</c:v>
                </c:pt>
                <c:pt idx="88">
                  <c:v>43282</c:v>
                </c:pt>
                <c:pt idx="89">
                  <c:v>43313</c:v>
                </c:pt>
                <c:pt idx="90">
                  <c:v>43344</c:v>
                </c:pt>
              </c:numCache>
            </c:numRef>
          </c:cat>
          <c:val>
            <c:numRef>
              <c:f>PoAanalysis!$AU$173:$EG$173</c:f>
              <c:numCache>
                <c:formatCode>0</c:formatCode>
                <c:ptCount val="91"/>
                <c:pt idx="0">
                  <c:v>88</c:v>
                </c:pt>
                <c:pt idx="1">
                  <c:v>8</c:v>
                </c:pt>
                <c:pt idx="2">
                  <c:v>26</c:v>
                </c:pt>
                <c:pt idx="3">
                  <c:v>0</c:v>
                </c:pt>
                <c:pt idx="4">
                  <c:v>0</c:v>
                </c:pt>
                <c:pt idx="5">
                  <c:v>5</c:v>
                </c:pt>
                <c:pt idx="6">
                  <c:v>2</c:v>
                </c:pt>
                <c:pt idx="7">
                  <c:v>0</c:v>
                </c:pt>
                <c:pt idx="8">
                  <c:v>7</c:v>
                </c:pt>
                <c:pt idx="9">
                  <c:v>0</c:v>
                </c:pt>
                <c:pt idx="10">
                  <c:v>0</c:v>
                </c:pt>
                <c:pt idx="11">
                  <c:v>3</c:v>
                </c:pt>
                <c:pt idx="12">
                  <c:v>8</c:v>
                </c:pt>
                <c:pt idx="13">
                  <c:v>5</c:v>
                </c:pt>
                <c:pt idx="14">
                  <c:v>11</c:v>
                </c:pt>
                <c:pt idx="15">
                  <c:v>4</c:v>
                </c:pt>
                <c:pt idx="16">
                  <c:v>3</c:v>
                </c:pt>
                <c:pt idx="17">
                  <c:v>6</c:v>
                </c:pt>
                <c:pt idx="18">
                  <c:v>2</c:v>
                </c:pt>
                <c:pt idx="19">
                  <c:v>5</c:v>
                </c:pt>
                <c:pt idx="20">
                  <c:v>2</c:v>
                </c:pt>
                <c:pt idx="21">
                  <c:v>15</c:v>
                </c:pt>
                <c:pt idx="22">
                  <c:v>9</c:v>
                </c:pt>
                <c:pt idx="23">
                  <c:v>6</c:v>
                </c:pt>
                <c:pt idx="24">
                  <c:v>2</c:v>
                </c:pt>
                <c:pt idx="25">
                  <c:v>56</c:v>
                </c:pt>
                <c:pt idx="26">
                  <c:v>37</c:v>
                </c:pt>
                <c:pt idx="27">
                  <c:v>16</c:v>
                </c:pt>
                <c:pt idx="28">
                  <c:v>44</c:v>
                </c:pt>
                <c:pt idx="29">
                  <c:v>8</c:v>
                </c:pt>
                <c:pt idx="30">
                  <c:v>1</c:v>
                </c:pt>
                <c:pt idx="31">
                  <c:v>5</c:v>
                </c:pt>
                <c:pt idx="32">
                  <c:v>15</c:v>
                </c:pt>
                <c:pt idx="33">
                  <c:v>3</c:v>
                </c:pt>
                <c:pt idx="34">
                  <c:v>5</c:v>
                </c:pt>
                <c:pt idx="35">
                  <c:v>2</c:v>
                </c:pt>
                <c:pt idx="36">
                  <c:v>26</c:v>
                </c:pt>
                <c:pt idx="37">
                  <c:v>4</c:v>
                </c:pt>
                <c:pt idx="38">
                  <c:v>22</c:v>
                </c:pt>
                <c:pt idx="39">
                  <c:v>3</c:v>
                </c:pt>
                <c:pt idx="40">
                  <c:v>4</c:v>
                </c:pt>
                <c:pt idx="41">
                  <c:v>6</c:v>
                </c:pt>
                <c:pt idx="42">
                  <c:v>61</c:v>
                </c:pt>
                <c:pt idx="43">
                  <c:v>1</c:v>
                </c:pt>
                <c:pt idx="44">
                  <c:v>19</c:v>
                </c:pt>
                <c:pt idx="45">
                  <c:v>16</c:v>
                </c:pt>
                <c:pt idx="46">
                  <c:v>19</c:v>
                </c:pt>
                <c:pt idx="47">
                  <c:v>14</c:v>
                </c:pt>
                <c:pt idx="48">
                  <c:v>10</c:v>
                </c:pt>
                <c:pt idx="49">
                  <c:v>8</c:v>
                </c:pt>
                <c:pt idx="50">
                  <c:v>5</c:v>
                </c:pt>
                <c:pt idx="51">
                  <c:v>3</c:v>
                </c:pt>
                <c:pt idx="52">
                  <c:v>8</c:v>
                </c:pt>
                <c:pt idx="53">
                  <c:v>3</c:v>
                </c:pt>
                <c:pt idx="54">
                  <c:v>7</c:v>
                </c:pt>
                <c:pt idx="55">
                  <c:v>4</c:v>
                </c:pt>
                <c:pt idx="56">
                  <c:v>5</c:v>
                </c:pt>
                <c:pt idx="57">
                  <c:v>16</c:v>
                </c:pt>
                <c:pt idx="58">
                  <c:v>11</c:v>
                </c:pt>
                <c:pt idx="59">
                  <c:v>2</c:v>
                </c:pt>
                <c:pt idx="60">
                  <c:v>4</c:v>
                </c:pt>
                <c:pt idx="61">
                  <c:v>12</c:v>
                </c:pt>
                <c:pt idx="62">
                  <c:v>2</c:v>
                </c:pt>
                <c:pt idx="63">
                  <c:v>6</c:v>
                </c:pt>
                <c:pt idx="64">
                  <c:v>2</c:v>
                </c:pt>
                <c:pt idx="65">
                  <c:v>8</c:v>
                </c:pt>
                <c:pt idx="66">
                  <c:v>13</c:v>
                </c:pt>
                <c:pt idx="67">
                  <c:v>10</c:v>
                </c:pt>
                <c:pt idx="68">
                  <c:v>8</c:v>
                </c:pt>
                <c:pt idx="69">
                  <c:v>6</c:v>
                </c:pt>
                <c:pt idx="70">
                  <c:v>10</c:v>
                </c:pt>
                <c:pt idx="71">
                  <c:v>9</c:v>
                </c:pt>
                <c:pt idx="72">
                  <c:v>2</c:v>
                </c:pt>
                <c:pt idx="73">
                  <c:v>5</c:v>
                </c:pt>
                <c:pt idx="74">
                  <c:v>7</c:v>
                </c:pt>
                <c:pt idx="75">
                  <c:v>5</c:v>
                </c:pt>
                <c:pt idx="76">
                  <c:v>3</c:v>
                </c:pt>
                <c:pt idx="77">
                  <c:v>20</c:v>
                </c:pt>
                <c:pt idx="78">
                  <c:v>4</c:v>
                </c:pt>
                <c:pt idx="79">
                  <c:v>24</c:v>
                </c:pt>
                <c:pt idx="80">
                  <c:v>14</c:v>
                </c:pt>
                <c:pt idx="81">
                  <c:v>6</c:v>
                </c:pt>
                <c:pt idx="82">
                  <c:v>6</c:v>
                </c:pt>
                <c:pt idx="83">
                  <c:v>5</c:v>
                </c:pt>
                <c:pt idx="84">
                  <c:v>1</c:v>
                </c:pt>
                <c:pt idx="85">
                  <c:v>0</c:v>
                </c:pt>
                <c:pt idx="86">
                  <c:v>8</c:v>
                </c:pt>
                <c:pt idx="87">
                  <c:v>12</c:v>
                </c:pt>
                <c:pt idx="88">
                  <c:v>7</c:v>
                </c:pt>
                <c:pt idx="89">
                  <c:v>6</c:v>
                </c:pt>
                <c:pt idx="90">
                  <c:v>13</c:v>
                </c:pt>
              </c:numCache>
            </c:numRef>
          </c:val>
          <c:extLst xmlns:c16r2="http://schemas.microsoft.com/office/drawing/2015/06/chart">
            <c:ext xmlns:c16="http://schemas.microsoft.com/office/drawing/2014/chart" uri="{C3380CC4-5D6E-409C-BE32-E72D297353CC}">
              <c16:uniqueId val="{00000000-80D5-4392-99A0-9692D1167709}"/>
            </c:ext>
          </c:extLst>
        </c:ser>
        <c:dLbls>
          <c:showLegendKey val="0"/>
          <c:showVal val="0"/>
          <c:showCatName val="0"/>
          <c:showSerName val="0"/>
          <c:showPercent val="0"/>
          <c:showBubbleSize val="0"/>
        </c:dLbls>
        <c:gapWidth val="150"/>
        <c:axId val="250419072"/>
        <c:axId val="250420608"/>
      </c:barChart>
      <c:dateAx>
        <c:axId val="250419072"/>
        <c:scaling>
          <c:orientation val="minMax"/>
        </c:scaling>
        <c:delete val="0"/>
        <c:axPos val="b"/>
        <c:numFmt formatCode="mmm\-yy" sourceLinked="1"/>
        <c:majorTickMark val="out"/>
        <c:minorTickMark val="none"/>
        <c:tickLblPos val="nextTo"/>
        <c:txPr>
          <a:bodyPr rot="-5400000" vert="horz"/>
          <a:lstStyle/>
          <a:p>
            <a:pPr>
              <a:defRPr/>
            </a:pPr>
            <a:endParaRPr lang="en-US"/>
          </a:p>
        </c:txPr>
        <c:crossAx val="250420608"/>
        <c:crosses val="autoZero"/>
        <c:auto val="1"/>
        <c:lblOffset val="100"/>
        <c:baseTimeUnit val="months"/>
      </c:dateAx>
      <c:valAx>
        <c:axId val="250420608"/>
        <c:scaling>
          <c:orientation val="minMax"/>
        </c:scaling>
        <c:delete val="0"/>
        <c:axPos val="l"/>
        <c:majorGridlines/>
        <c:numFmt formatCode="0" sourceLinked="1"/>
        <c:majorTickMark val="out"/>
        <c:minorTickMark val="none"/>
        <c:tickLblPos val="nextTo"/>
        <c:crossAx val="2504190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15421</xdr:colOff>
      <xdr:row>25</xdr:row>
      <xdr:rowOff>165100</xdr:rowOff>
    </xdr:from>
    <xdr:to>
      <xdr:col>24</xdr:col>
      <xdr:colOff>762000</xdr:colOff>
      <xdr:row>65</xdr:row>
      <xdr:rowOff>63500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328</xdr:row>
      <xdr:rowOff>25400</xdr:rowOff>
    </xdr:from>
    <xdr:to>
      <xdr:col>18</xdr:col>
      <xdr:colOff>88900</xdr:colOff>
      <xdr:row>364</xdr:row>
      <xdr:rowOff>101600</xdr:rowOff>
    </xdr:to>
    <xdr:graphicFrame macro="">
      <xdr:nvGraphicFramePr>
        <xdr:cNvPr id="3"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15422</xdr:colOff>
      <xdr:row>68</xdr:row>
      <xdr:rowOff>-1</xdr:rowOff>
    </xdr:from>
    <xdr:to>
      <xdr:col>25</xdr:col>
      <xdr:colOff>2462893</xdr:colOff>
      <xdr:row>91</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27215</xdr:colOff>
      <xdr:row>93</xdr:row>
      <xdr:rowOff>10885</xdr:rowOff>
    </xdr:from>
    <xdr:to>
      <xdr:col>22</xdr:col>
      <xdr:colOff>154215</xdr:colOff>
      <xdr:row>124</xdr:row>
      <xdr:rowOff>161470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0</xdr:colOff>
      <xdr:row>181</xdr:row>
      <xdr:rowOff>35381</xdr:rowOff>
    </xdr:from>
    <xdr:to>
      <xdr:col>38</xdr:col>
      <xdr:colOff>517070</xdr:colOff>
      <xdr:row>214</xdr:row>
      <xdr:rowOff>136073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it-pdfs.win.dtu.dk\users\homedir\jqfe\Documents\UNFCCC\Kyoto\CDM\Pipeline\CDMPipeline2018110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s"/>
      <sheetName val="SB"/>
      <sheetName val="MethCharts"/>
      <sheetName val="A-R Methods"/>
      <sheetName val="Approved methods"/>
      <sheetName val="Subtypes"/>
      <sheetName val="CDM_Projects"/>
      <sheetName val="Vol.Cancel"/>
      <sheetName val="Buyers"/>
      <sheetName val="PDDcon"/>
      <sheetName val="PDDcon2"/>
      <sheetName val="TOC_Analysis"/>
      <sheetName val="Analysis"/>
      <sheetName val="Analysis2"/>
      <sheetName val="Indicators"/>
      <sheetName val="Invest"/>
      <sheetName val="Regions"/>
      <sheetName val="DOEs_AIEs"/>
      <sheetName val="Time"/>
      <sheetName val="Timelag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AH21">
            <v>0.3083173996175908</v>
          </cell>
        </row>
        <row r="22">
          <cell r="AH22">
            <v>0.26111376673040154</v>
          </cell>
        </row>
        <row r="23">
          <cell r="AH23">
            <v>8.6639579349904391E-2</v>
          </cell>
        </row>
        <row r="24">
          <cell r="AH24">
            <v>8.1620458891013381E-2</v>
          </cell>
        </row>
        <row r="25">
          <cell r="AH25">
            <v>5.2581261950286805E-2</v>
          </cell>
        </row>
        <row r="26">
          <cell r="AH26">
            <v>4.7920650095602292E-2</v>
          </cell>
        </row>
        <row r="30">
          <cell r="AH30">
            <v>1.27868068833652E-2</v>
          </cell>
        </row>
        <row r="34">
          <cell r="AH34">
            <v>8.4847036328871885E-3</v>
          </cell>
        </row>
        <row r="35">
          <cell r="AH35">
            <v>7.1701720841300188E-3</v>
          </cell>
        </row>
        <row r="37">
          <cell r="AH37">
            <v>4.182600382409178E-3</v>
          </cell>
        </row>
        <row r="39">
          <cell r="AH39">
            <v>2.9875717017208412E-3</v>
          </cell>
        </row>
        <row r="43">
          <cell r="AH43">
            <v>2.0315487571701723E-3</v>
          </cell>
        </row>
        <row r="44">
          <cell r="AH44">
            <v>4.7801147227533459E-4</v>
          </cell>
        </row>
        <row r="45">
          <cell r="AH45">
            <v>1.1950286806883365E-4</v>
          </cell>
        </row>
        <row r="46">
          <cell r="AH46">
            <v>1.1950286806883365E-4</v>
          </cell>
        </row>
        <row r="48">
          <cell r="AH48">
            <v>1.7208413001912046E-2</v>
          </cell>
        </row>
        <row r="51">
          <cell r="AH51">
            <v>5.736137667304015E-2</v>
          </cell>
        </row>
        <row r="52">
          <cell r="AH52">
            <v>1.4937858508604206E-2</v>
          </cell>
        </row>
        <row r="53">
          <cell r="AH53">
            <v>2.9875717017208411E-2</v>
          </cell>
        </row>
        <row r="55">
          <cell r="AH55">
            <v>3.8240917782026767E-3</v>
          </cell>
        </row>
        <row r="94">
          <cell r="K94">
            <v>1096</v>
          </cell>
        </row>
        <row r="120">
          <cell r="K120">
            <v>6830</v>
          </cell>
        </row>
        <row r="144">
          <cell r="K144">
            <v>84</v>
          </cell>
        </row>
        <row r="160">
          <cell r="K160">
            <v>247</v>
          </cell>
        </row>
        <row r="203">
          <cell r="K203">
            <v>111</v>
          </cell>
        </row>
        <row r="218">
          <cell r="K218">
            <v>131</v>
          </cell>
        </row>
      </sheetData>
      <sheetData sheetId="13" refreshError="1"/>
      <sheetData sheetId="14" refreshError="1"/>
      <sheetData sheetId="15" refreshError="1"/>
      <sheetData sheetId="16" refreshError="1"/>
      <sheetData sheetId="17" refreshError="1"/>
      <sheetData sheetId="18">
        <row r="1">
          <cell r="BJ1">
            <v>39417</v>
          </cell>
          <cell r="BK1">
            <v>39448</v>
          </cell>
          <cell r="BL1">
            <v>39479</v>
          </cell>
          <cell r="BM1">
            <v>39508</v>
          </cell>
          <cell r="BN1">
            <v>39539</v>
          </cell>
          <cell r="BO1">
            <v>39569</v>
          </cell>
          <cell r="BP1">
            <v>39600</v>
          </cell>
          <cell r="BQ1">
            <v>39630</v>
          </cell>
          <cell r="BR1">
            <v>39661</v>
          </cell>
          <cell r="BS1">
            <v>39692</v>
          </cell>
          <cell r="BT1">
            <v>39722</v>
          </cell>
          <cell r="BU1">
            <v>39753</v>
          </cell>
          <cell r="BV1">
            <v>39783</v>
          </cell>
          <cell r="BW1">
            <v>39814</v>
          </cell>
          <cell r="BX1">
            <v>39845</v>
          </cell>
          <cell r="BY1">
            <v>39873</v>
          </cell>
          <cell r="BZ1">
            <v>39904</v>
          </cell>
          <cell r="CA1">
            <v>39934</v>
          </cell>
          <cell r="CB1">
            <v>39965</v>
          </cell>
          <cell r="CC1">
            <v>39995</v>
          </cell>
          <cell r="CD1">
            <v>40026</v>
          </cell>
          <cell r="CE1">
            <v>40057</v>
          </cell>
          <cell r="CF1">
            <v>40087</v>
          </cell>
          <cell r="CG1">
            <v>40118</v>
          </cell>
          <cell r="CH1">
            <v>40148</v>
          </cell>
          <cell r="CI1">
            <v>40179</v>
          </cell>
          <cell r="CJ1">
            <v>40210</v>
          </cell>
          <cell r="CK1">
            <v>40238</v>
          </cell>
          <cell r="CL1">
            <v>40269</v>
          </cell>
          <cell r="CM1">
            <v>40299</v>
          </cell>
          <cell r="CN1">
            <v>40330</v>
          </cell>
          <cell r="CO1">
            <v>40360</v>
          </cell>
          <cell r="CP1">
            <v>40391</v>
          </cell>
          <cell r="CQ1">
            <v>40422</v>
          </cell>
          <cell r="CR1">
            <v>40452</v>
          </cell>
          <cell r="CS1">
            <v>40483</v>
          </cell>
          <cell r="CT1">
            <v>40513</v>
          </cell>
          <cell r="CU1">
            <v>40544</v>
          </cell>
          <cell r="CV1">
            <v>40575</v>
          </cell>
          <cell r="CW1">
            <v>40603</v>
          </cell>
          <cell r="CX1">
            <v>40634</v>
          </cell>
          <cell r="CY1">
            <v>40664</v>
          </cell>
          <cell r="CZ1">
            <v>40695</v>
          </cell>
          <cell r="DA1">
            <v>40725</v>
          </cell>
          <cell r="DB1">
            <v>40756</v>
          </cell>
          <cell r="DC1">
            <v>40787</v>
          </cell>
          <cell r="DD1">
            <v>40817</v>
          </cell>
          <cell r="DE1">
            <v>40848</v>
          </cell>
          <cell r="DF1">
            <v>40878</v>
          </cell>
          <cell r="DG1">
            <v>40909</v>
          </cell>
          <cell r="DH1">
            <v>40940</v>
          </cell>
          <cell r="DI1">
            <v>40969</v>
          </cell>
          <cell r="DJ1">
            <v>41000</v>
          </cell>
          <cell r="DK1">
            <v>41030</v>
          </cell>
          <cell r="DL1">
            <v>41061</v>
          </cell>
          <cell r="DM1">
            <v>41091</v>
          </cell>
          <cell r="DN1">
            <v>41122</v>
          </cell>
          <cell r="DO1">
            <v>41153</v>
          </cell>
          <cell r="DP1">
            <v>41183</v>
          </cell>
          <cell r="DQ1">
            <v>41214</v>
          </cell>
          <cell r="DR1">
            <v>41244</v>
          </cell>
          <cell r="DS1">
            <v>41275</v>
          </cell>
          <cell r="DT1">
            <v>41306</v>
          </cell>
          <cell r="DU1">
            <v>41334</v>
          </cell>
          <cell r="DV1">
            <v>41365</v>
          </cell>
          <cell r="DW1">
            <v>41395</v>
          </cell>
          <cell r="DX1">
            <v>41426</v>
          </cell>
          <cell r="DY1">
            <v>41456</v>
          </cell>
          <cell r="DZ1">
            <v>41487</v>
          </cell>
          <cell r="EA1">
            <v>41518</v>
          </cell>
          <cell r="EB1">
            <v>41548</v>
          </cell>
          <cell r="EC1">
            <v>41579</v>
          </cell>
          <cell r="ED1">
            <v>41609</v>
          </cell>
          <cell r="EE1">
            <v>41640</v>
          </cell>
          <cell r="EF1">
            <v>41671</v>
          </cell>
          <cell r="EG1">
            <v>41699</v>
          </cell>
          <cell r="EH1">
            <v>41730</v>
          </cell>
          <cell r="EI1">
            <v>41760</v>
          </cell>
          <cell r="EJ1">
            <v>41791</v>
          </cell>
          <cell r="EK1">
            <v>41821</v>
          </cell>
          <cell r="EL1">
            <v>41852</v>
          </cell>
          <cell r="EM1">
            <v>41883</v>
          </cell>
          <cell r="EN1">
            <v>41913</v>
          </cell>
          <cell r="EO1">
            <v>41944</v>
          </cell>
          <cell r="EP1">
            <v>41974</v>
          </cell>
          <cell r="EQ1">
            <v>42005</v>
          </cell>
          <cell r="ER1">
            <v>42036</v>
          </cell>
          <cell r="ES1">
            <v>42064</v>
          </cell>
          <cell r="ET1">
            <v>42095</v>
          </cell>
          <cell r="EU1">
            <v>42125</v>
          </cell>
          <cell r="EV1">
            <v>42156</v>
          </cell>
          <cell r="EW1">
            <v>42186</v>
          </cell>
          <cell r="EX1">
            <v>42217</v>
          </cell>
          <cell r="EY1">
            <v>42248</v>
          </cell>
          <cell r="EZ1">
            <v>42278</v>
          </cell>
          <cell r="FA1">
            <v>42309</v>
          </cell>
          <cell r="FB1">
            <v>42339</v>
          </cell>
          <cell r="FC1">
            <v>42370</v>
          </cell>
          <cell r="FD1">
            <v>42401</v>
          </cell>
          <cell r="FE1">
            <v>42430</v>
          </cell>
          <cell r="FF1">
            <v>42461</v>
          </cell>
          <cell r="FG1">
            <v>42491</v>
          </cell>
          <cell r="FH1">
            <v>42522</v>
          </cell>
          <cell r="FI1">
            <v>42552</v>
          </cell>
          <cell r="FJ1">
            <v>42583</v>
          </cell>
          <cell r="FK1">
            <v>42614</v>
          </cell>
          <cell r="FL1">
            <v>42644</v>
          </cell>
          <cell r="FM1">
            <v>42675</v>
          </cell>
          <cell r="FN1">
            <v>42705</v>
          </cell>
          <cell r="FO1">
            <v>42736</v>
          </cell>
          <cell r="FP1">
            <v>42767</v>
          </cell>
          <cell r="FQ1">
            <v>42795</v>
          </cell>
          <cell r="FR1">
            <v>42826</v>
          </cell>
          <cell r="FS1">
            <v>42856</v>
          </cell>
          <cell r="FT1">
            <v>42887</v>
          </cell>
          <cell r="FU1">
            <v>42917</v>
          </cell>
          <cell r="FV1">
            <v>42948</v>
          </cell>
          <cell r="FW1">
            <v>42979</v>
          </cell>
          <cell r="FX1">
            <v>43009</v>
          </cell>
          <cell r="FY1">
            <v>43040</v>
          </cell>
          <cell r="FZ1">
            <v>43070</v>
          </cell>
          <cell r="GA1">
            <v>43101</v>
          </cell>
          <cell r="GB1">
            <v>43132</v>
          </cell>
          <cell r="GC1">
            <v>43160</v>
          </cell>
          <cell r="GD1">
            <v>43191</v>
          </cell>
          <cell r="GE1">
            <v>43221</v>
          </cell>
          <cell r="GF1">
            <v>43252</v>
          </cell>
          <cell r="GG1">
            <v>43282</v>
          </cell>
          <cell r="GH1">
            <v>43313</v>
          </cell>
        </row>
        <row r="16">
          <cell r="A16" t="str">
            <v>Number of different PoAs submitted, that are alive</v>
          </cell>
          <cell r="BJ16">
            <v>1</v>
          </cell>
          <cell r="BK16">
            <v>0</v>
          </cell>
          <cell r="BL16">
            <v>1</v>
          </cell>
          <cell r="BM16">
            <v>0</v>
          </cell>
          <cell r="BN16">
            <v>0</v>
          </cell>
          <cell r="BO16">
            <v>0</v>
          </cell>
          <cell r="BP16">
            <v>0</v>
          </cell>
          <cell r="BQ16">
            <v>2</v>
          </cell>
          <cell r="BR16">
            <v>0</v>
          </cell>
          <cell r="BS16">
            <v>1</v>
          </cell>
          <cell r="BT16">
            <v>0</v>
          </cell>
          <cell r="BU16">
            <v>0</v>
          </cell>
          <cell r="BV16">
            <v>2</v>
          </cell>
          <cell r="BW16">
            <v>1</v>
          </cell>
          <cell r="BX16">
            <v>0</v>
          </cell>
          <cell r="BY16">
            <v>0</v>
          </cell>
          <cell r="BZ16">
            <v>0</v>
          </cell>
          <cell r="CA16">
            <v>0</v>
          </cell>
          <cell r="CB16">
            <v>0</v>
          </cell>
          <cell r="CC16">
            <v>1</v>
          </cell>
          <cell r="CD16">
            <v>2</v>
          </cell>
          <cell r="CE16">
            <v>0</v>
          </cell>
          <cell r="CF16">
            <v>0</v>
          </cell>
          <cell r="CG16">
            <v>2</v>
          </cell>
          <cell r="CH16">
            <v>17</v>
          </cell>
          <cell r="CI16">
            <v>1</v>
          </cell>
          <cell r="CJ16">
            <v>1</v>
          </cell>
          <cell r="CK16">
            <v>0</v>
          </cell>
          <cell r="CL16">
            <v>2</v>
          </cell>
          <cell r="CM16">
            <v>1</v>
          </cell>
          <cell r="CN16">
            <v>3</v>
          </cell>
          <cell r="CO16">
            <v>2</v>
          </cell>
          <cell r="CP16">
            <v>3</v>
          </cell>
          <cell r="CQ16">
            <v>0</v>
          </cell>
          <cell r="CR16">
            <v>1</v>
          </cell>
          <cell r="CS16">
            <v>5</v>
          </cell>
          <cell r="CT16">
            <v>6</v>
          </cell>
          <cell r="CU16">
            <v>4</v>
          </cell>
          <cell r="CV16">
            <v>2</v>
          </cell>
          <cell r="CW16">
            <v>2</v>
          </cell>
          <cell r="CX16">
            <v>3</v>
          </cell>
          <cell r="CY16">
            <v>6</v>
          </cell>
          <cell r="CZ16">
            <v>3</v>
          </cell>
          <cell r="DA16">
            <v>9</v>
          </cell>
          <cell r="DB16">
            <v>12</v>
          </cell>
          <cell r="DC16">
            <v>14</v>
          </cell>
          <cell r="DD16">
            <v>21</v>
          </cell>
          <cell r="DE16">
            <v>15</v>
          </cell>
          <cell r="DF16">
            <v>19</v>
          </cell>
          <cell r="DG16">
            <v>21</v>
          </cell>
          <cell r="DH16">
            <v>13</v>
          </cell>
          <cell r="DI16">
            <v>16</v>
          </cell>
          <cell r="DJ16">
            <v>23</v>
          </cell>
          <cell r="DK16">
            <v>21</v>
          </cell>
          <cell r="DL16">
            <v>22</v>
          </cell>
          <cell r="DM16">
            <v>17</v>
          </cell>
          <cell r="DN16">
            <v>8</v>
          </cell>
          <cell r="DO16">
            <v>1</v>
          </cell>
          <cell r="DP16">
            <v>6</v>
          </cell>
          <cell r="DQ16">
            <v>9</v>
          </cell>
          <cell r="DR16">
            <v>1</v>
          </cell>
          <cell r="DS16">
            <v>1</v>
          </cell>
          <cell r="DT16">
            <v>4</v>
          </cell>
          <cell r="DU16">
            <v>2</v>
          </cell>
          <cell r="DV16">
            <v>0</v>
          </cell>
          <cell r="DW16">
            <v>2</v>
          </cell>
          <cell r="DX16">
            <v>1</v>
          </cell>
          <cell r="DY16">
            <v>1</v>
          </cell>
          <cell r="DZ16">
            <v>2</v>
          </cell>
          <cell r="EA16">
            <v>2</v>
          </cell>
          <cell r="EB16">
            <v>2</v>
          </cell>
          <cell r="EC16">
            <v>1</v>
          </cell>
          <cell r="ED16">
            <v>2</v>
          </cell>
          <cell r="EE16">
            <v>2</v>
          </cell>
          <cell r="EF16">
            <v>4</v>
          </cell>
          <cell r="EG16">
            <v>1</v>
          </cell>
          <cell r="EH16">
            <v>1</v>
          </cell>
          <cell r="EI16">
            <v>2</v>
          </cell>
          <cell r="EJ16">
            <v>0</v>
          </cell>
          <cell r="EK16">
            <v>1</v>
          </cell>
          <cell r="EL16">
            <v>2</v>
          </cell>
          <cell r="EM16">
            <v>2</v>
          </cell>
          <cell r="EN16">
            <v>2</v>
          </cell>
          <cell r="EO16">
            <v>0</v>
          </cell>
          <cell r="EP16">
            <v>3</v>
          </cell>
          <cell r="EQ16">
            <v>1</v>
          </cell>
          <cell r="ER16">
            <v>0</v>
          </cell>
          <cell r="ES16">
            <v>0</v>
          </cell>
          <cell r="ET16">
            <v>0</v>
          </cell>
          <cell r="EU16">
            <v>0</v>
          </cell>
          <cell r="EV16">
            <v>0</v>
          </cell>
          <cell r="EW16">
            <v>1</v>
          </cell>
          <cell r="EX16">
            <v>1</v>
          </cell>
          <cell r="EY16">
            <v>0</v>
          </cell>
          <cell r="EZ16">
            <v>2</v>
          </cell>
          <cell r="FA16">
            <v>2</v>
          </cell>
          <cell r="FB16">
            <v>2</v>
          </cell>
          <cell r="FC16">
            <v>0</v>
          </cell>
          <cell r="FD16">
            <v>0</v>
          </cell>
          <cell r="FE16">
            <v>0</v>
          </cell>
          <cell r="FF16">
            <v>1</v>
          </cell>
          <cell r="FG16">
            <v>0</v>
          </cell>
          <cell r="FH16">
            <v>1</v>
          </cell>
          <cell r="FI16">
            <v>1</v>
          </cell>
          <cell r="FJ16">
            <v>1</v>
          </cell>
          <cell r="FK16">
            <v>2</v>
          </cell>
          <cell r="FL16">
            <v>1</v>
          </cell>
          <cell r="FM16">
            <v>1</v>
          </cell>
          <cell r="FN16">
            <v>0</v>
          </cell>
          <cell r="FO16">
            <v>1</v>
          </cell>
          <cell r="FP16">
            <v>1</v>
          </cell>
          <cell r="FQ16">
            <v>1</v>
          </cell>
          <cell r="FR16">
            <v>2</v>
          </cell>
          <cell r="FS16">
            <v>0</v>
          </cell>
          <cell r="FT16">
            <v>1</v>
          </cell>
          <cell r="FU16">
            <v>1</v>
          </cell>
          <cell r="FV16">
            <v>1</v>
          </cell>
          <cell r="FW16">
            <v>0</v>
          </cell>
          <cell r="FX16">
            <v>1</v>
          </cell>
          <cell r="FY16">
            <v>0</v>
          </cell>
          <cell r="FZ16">
            <v>0</v>
          </cell>
          <cell r="GA16">
            <v>0</v>
          </cell>
          <cell r="GB16">
            <v>1</v>
          </cell>
          <cell r="GC16">
            <v>3</v>
          </cell>
          <cell r="GD16">
            <v>2</v>
          </cell>
          <cell r="GE16">
            <v>0</v>
          </cell>
          <cell r="GF16">
            <v>1</v>
          </cell>
          <cell r="GG16">
            <v>1</v>
          </cell>
          <cell r="GH16">
            <v>1</v>
          </cell>
        </row>
      </sheetData>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6" Type="http://schemas.openxmlformats.org/officeDocument/2006/relationships/hyperlink" Target="http://www.xe.com/currency/tmt-turkmenistani-manat" TargetMode="External"/><Relationship Id="rId117" Type="http://schemas.openxmlformats.org/officeDocument/2006/relationships/hyperlink" Target="http://www.xe.com/currency/gel-georgian-lari" TargetMode="External"/><Relationship Id="rId21" Type="http://schemas.openxmlformats.org/officeDocument/2006/relationships/hyperlink" Target="http://www.xe.com/currency/tvd-tuvaluan-dollar" TargetMode="External"/><Relationship Id="rId42" Type="http://schemas.openxmlformats.org/officeDocument/2006/relationships/hyperlink" Target="http://www.xe.com/currency/sbd-solomon-islander-dollar" TargetMode="External"/><Relationship Id="rId47" Type="http://schemas.openxmlformats.org/officeDocument/2006/relationships/hyperlink" Target="http://www.xe.com/currency/ron-romanian-new-leu" TargetMode="External"/><Relationship Id="rId63" Type="http://schemas.openxmlformats.org/officeDocument/2006/relationships/hyperlink" Target="http://www.xe.com/currency/mzn-mozambican-metical" TargetMode="External"/><Relationship Id="rId68" Type="http://schemas.openxmlformats.org/officeDocument/2006/relationships/hyperlink" Target="http://www.xe.com/currency/mur-mauritian-rupee" TargetMode="External"/><Relationship Id="rId84" Type="http://schemas.openxmlformats.org/officeDocument/2006/relationships/hyperlink" Target="http://www.xe.com/currency/lak-lao-or-laotian-kip" TargetMode="External"/><Relationship Id="rId89" Type="http://schemas.openxmlformats.org/officeDocument/2006/relationships/hyperlink" Target="http://www.xe.com/currency/kpw-north-korean-won" TargetMode="External"/><Relationship Id="rId112" Type="http://schemas.openxmlformats.org/officeDocument/2006/relationships/hyperlink" Target="http://www.xe.com/currency/gnf-guinean-franc" TargetMode="External"/><Relationship Id="rId133" Type="http://schemas.openxmlformats.org/officeDocument/2006/relationships/hyperlink" Target="http://www.xe.com/currency/crc-costa-rican-colon" TargetMode="External"/><Relationship Id="rId138" Type="http://schemas.openxmlformats.org/officeDocument/2006/relationships/hyperlink" Target="http://www.xe.com/currency/cdf-congolese-franc" TargetMode="External"/><Relationship Id="rId154" Type="http://schemas.openxmlformats.org/officeDocument/2006/relationships/hyperlink" Target="http://www.xe.com/currency/bam-bosnian-convertible-marka" TargetMode="External"/><Relationship Id="rId159" Type="http://schemas.openxmlformats.org/officeDocument/2006/relationships/hyperlink" Target="http://www.xe.com/currency/aoa-angolan-kwanza" TargetMode="External"/><Relationship Id="rId16" Type="http://schemas.openxmlformats.org/officeDocument/2006/relationships/hyperlink" Target="http://www.xe.com/currency/usd-us-dollar" TargetMode="External"/><Relationship Id="rId107" Type="http://schemas.openxmlformats.org/officeDocument/2006/relationships/hyperlink" Target="http://www.xe.com/currency/hrk-croatian-kuna" TargetMode="External"/><Relationship Id="rId11" Type="http://schemas.openxmlformats.org/officeDocument/2006/relationships/hyperlink" Target="http://www.xe.com/currency/vuv-ni-vanuatu-vatu" TargetMode="External"/><Relationship Id="rId32" Type="http://schemas.openxmlformats.org/officeDocument/2006/relationships/hyperlink" Target="http://www.xe.com/currency/std-sao-tomean-dobra" TargetMode="External"/><Relationship Id="rId37" Type="http://schemas.openxmlformats.org/officeDocument/2006/relationships/hyperlink" Target="http://www.xe.com/currency/shp-saint-helenian-pound" TargetMode="External"/><Relationship Id="rId53" Type="http://schemas.openxmlformats.org/officeDocument/2006/relationships/hyperlink" Target="http://www.xe.com/currency/pgk-papua-new-guinean-kina" TargetMode="External"/><Relationship Id="rId58" Type="http://schemas.openxmlformats.org/officeDocument/2006/relationships/hyperlink" Target="http://www.xe.com/currency/npr-nepalese-rupee" TargetMode="External"/><Relationship Id="rId74" Type="http://schemas.openxmlformats.org/officeDocument/2006/relationships/hyperlink" Target="http://www.xe.com/currency/mga-malagasy-ariary" TargetMode="External"/><Relationship Id="rId79" Type="http://schemas.openxmlformats.org/officeDocument/2006/relationships/hyperlink" Target="http://www.xe.com/currency/ltl-lithuanian-litas" TargetMode="External"/><Relationship Id="rId102" Type="http://schemas.openxmlformats.org/officeDocument/2006/relationships/hyperlink" Target="http://www.xe.com/currency/imp-isle-of-man-pound" TargetMode="External"/><Relationship Id="rId123" Type="http://schemas.openxmlformats.org/officeDocument/2006/relationships/hyperlink" Target="http://www.xe.com/currency/ern-eritrean-nakfa" TargetMode="External"/><Relationship Id="rId128" Type="http://schemas.openxmlformats.org/officeDocument/2006/relationships/hyperlink" Target="http://www.xe.com/currency/djf-djiboutian-franc" TargetMode="External"/><Relationship Id="rId144" Type="http://schemas.openxmlformats.org/officeDocument/2006/relationships/hyperlink" Target="http://www.xe.com/currency/bsd-bahamian-dollar" TargetMode="External"/><Relationship Id="rId149" Type="http://schemas.openxmlformats.org/officeDocument/2006/relationships/hyperlink" Target="http://www.xe.com/currency/bif-burundian-franc" TargetMode="External"/><Relationship Id="rId5" Type="http://schemas.openxmlformats.org/officeDocument/2006/relationships/hyperlink" Target="http://www.xe.com/currency/xpf-cfp-franc" TargetMode="External"/><Relationship Id="rId90" Type="http://schemas.openxmlformats.org/officeDocument/2006/relationships/hyperlink" Target="http://www.xe.com/currency/kmf-comoran-franc" TargetMode="External"/><Relationship Id="rId95" Type="http://schemas.openxmlformats.org/officeDocument/2006/relationships/hyperlink" Target="http://www.xe.com/currency/jod-jordanian-dinar" TargetMode="External"/><Relationship Id="rId160" Type="http://schemas.openxmlformats.org/officeDocument/2006/relationships/hyperlink" Target="http://www.xe.com/currency/ang-dutch-guilder" TargetMode="External"/><Relationship Id="rId22" Type="http://schemas.openxmlformats.org/officeDocument/2006/relationships/hyperlink" Target="http://www.xe.com/currency/ttd-trinidadian-dollar" TargetMode="External"/><Relationship Id="rId27" Type="http://schemas.openxmlformats.org/officeDocument/2006/relationships/hyperlink" Target="http://www.xe.com/currency/tjs-tajikistani-somoni" TargetMode="External"/><Relationship Id="rId43" Type="http://schemas.openxmlformats.org/officeDocument/2006/relationships/hyperlink" Target="http://www.xe.com/currency/sar-saudi-or-saudi-arabian-riyal" TargetMode="External"/><Relationship Id="rId48" Type="http://schemas.openxmlformats.org/officeDocument/2006/relationships/hyperlink" Target="http://www.xe.com/currency/qar-qatari-riyal" TargetMode="External"/><Relationship Id="rId64" Type="http://schemas.openxmlformats.org/officeDocument/2006/relationships/hyperlink" Target="http://www.xe.com/currency/myr-malaysian-ringgit" TargetMode="External"/><Relationship Id="rId69" Type="http://schemas.openxmlformats.org/officeDocument/2006/relationships/hyperlink" Target="http://www.xe.com/currency/mro-mauritanian-ouguiya" TargetMode="External"/><Relationship Id="rId113" Type="http://schemas.openxmlformats.org/officeDocument/2006/relationships/hyperlink" Target="http://www.xe.com/currency/gmd-gambian-dalasi" TargetMode="External"/><Relationship Id="rId118" Type="http://schemas.openxmlformats.org/officeDocument/2006/relationships/hyperlink" Target="http://www.xe.com/currency/gbp-british-pound" TargetMode="External"/><Relationship Id="rId134" Type="http://schemas.openxmlformats.org/officeDocument/2006/relationships/hyperlink" Target="http://www.xe.com/currency/cop-colombian-peso" TargetMode="External"/><Relationship Id="rId139" Type="http://schemas.openxmlformats.org/officeDocument/2006/relationships/hyperlink" Target="http://www.xe.com/currency/cad-canadian-dollar" TargetMode="External"/><Relationship Id="rId80" Type="http://schemas.openxmlformats.org/officeDocument/2006/relationships/hyperlink" Target="http://www.xe.com/currency/lsl-basotho-loti" TargetMode="External"/><Relationship Id="rId85" Type="http://schemas.openxmlformats.org/officeDocument/2006/relationships/hyperlink" Target="http://www.xe.com/currency/kzt-kazakhstani-tenge" TargetMode="External"/><Relationship Id="rId150" Type="http://schemas.openxmlformats.org/officeDocument/2006/relationships/hyperlink" Target="http://www.xe.com/currency/bhd-bahraini-dinar" TargetMode="External"/><Relationship Id="rId155" Type="http://schemas.openxmlformats.org/officeDocument/2006/relationships/hyperlink" Target="http://www.xe.com/currency/azn-azerbaijani-new-manat" TargetMode="External"/><Relationship Id="rId12" Type="http://schemas.openxmlformats.org/officeDocument/2006/relationships/hyperlink" Target="http://www.xe.com/currency/vnd-vietnamese-dong" TargetMode="External"/><Relationship Id="rId17" Type="http://schemas.openxmlformats.org/officeDocument/2006/relationships/hyperlink" Target="http://www.xe.com/currency/ugx-ugandan-shilling" TargetMode="External"/><Relationship Id="rId33" Type="http://schemas.openxmlformats.org/officeDocument/2006/relationships/hyperlink" Target="http://www.xe.com/currency/srd-surinamese-dollar" TargetMode="External"/><Relationship Id="rId38" Type="http://schemas.openxmlformats.org/officeDocument/2006/relationships/hyperlink" Target="http://www.xe.com/currency/sgd-singapore-dollar" TargetMode="External"/><Relationship Id="rId59" Type="http://schemas.openxmlformats.org/officeDocument/2006/relationships/hyperlink" Target="http://www.xe.com/currency/nok-norwegian-krone" TargetMode="External"/><Relationship Id="rId103" Type="http://schemas.openxmlformats.org/officeDocument/2006/relationships/hyperlink" Target="http://www.xe.com/currency/ils-israeli-shekel" TargetMode="External"/><Relationship Id="rId108" Type="http://schemas.openxmlformats.org/officeDocument/2006/relationships/hyperlink" Target="http://www.xe.com/currency/hnl-honduran-lempira" TargetMode="External"/><Relationship Id="rId124" Type="http://schemas.openxmlformats.org/officeDocument/2006/relationships/hyperlink" Target="http://www.xe.com/currency/egp-egyptian-pound" TargetMode="External"/><Relationship Id="rId129" Type="http://schemas.openxmlformats.org/officeDocument/2006/relationships/hyperlink" Target="http://www.xe.com/currency/czk-czech-koruna" TargetMode="External"/><Relationship Id="rId54" Type="http://schemas.openxmlformats.org/officeDocument/2006/relationships/hyperlink" Target="http://www.xe.com/currency/pen-peruvian-nuevo-sol" TargetMode="External"/><Relationship Id="rId70" Type="http://schemas.openxmlformats.org/officeDocument/2006/relationships/hyperlink" Target="http://www.xe.com/currency/mop-macau-pataca" TargetMode="External"/><Relationship Id="rId75" Type="http://schemas.openxmlformats.org/officeDocument/2006/relationships/hyperlink" Target="http://www.xe.com/currency/mdl-moldovan-leu" TargetMode="External"/><Relationship Id="rId91" Type="http://schemas.openxmlformats.org/officeDocument/2006/relationships/hyperlink" Target="http://www.xe.com/currency/khr-cambodian-riel" TargetMode="External"/><Relationship Id="rId96" Type="http://schemas.openxmlformats.org/officeDocument/2006/relationships/hyperlink" Target="http://www.xe.com/currency/jmd-jamaican-dollar" TargetMode="External"/><Relationship Id="rId140" Type="http://schemas.openxmlformats.org/officeDocument/2006/relationships/hyperlink" Target="http://www.xe.com/currency/bzd-belizean-dollar" TargetMode="External"/><Relationship Id="rId145" Type="http://schemas.openxmlformats.org/officeDocument/2006/relationships/hyperlink" Target="http://www.xe.com/currency/brl-brazilian-real" TargetMode="External"/><Relationship Id="rId161" Type="http://schemas.openxmlformats.org/officeDocument/2006/relationships/hyperlink" Target="http://www.xe.com/currency/amd-armenian-dram" TargetMode="External"/><Relationship Id="rId1" Type="http://schemas.openxmlformats.org/officeDocument/2006/relationships/hyperlink" Target="http://www.xe.com/currency/zwd-zimbabwean-dollar" TargetMode="External"/><Relationship Id="rId6" Type="http://schemas.openxmlformats.org/officeDocument/2006/relationships/hyperlink" Target="http://www.xe.com/currency/xof-cfa-franc" TargetMode="External"/><Relationship Id="rId15" Type="http://schemas.openxmlformats.org/officeDocument/2006/relationships/hyperlink" Target="http://www.xe.com/currency/uyu-uruguayan-peso" TargetMode="External"/><Relationship Id="rId23" Type="http://schemas.openxmlformats.org/officeDocument/2006/relationships/hyperlink" Target="http://www.xe.com/currency/try-turkish-lira" TargetMode="External"/><Relationship Id="rId28" Type="http://schemas.openxmlformats.org/officeDocument/2006/relationships/hyperlink" Target="http://www.xe.com/currency/thb-thai-baht" TargetMode="External"/><Relationship Id="rId36" Type="http://schemas.openxmlformats.org/officeDocument/2006/relationships/hyperlink" Target="http://www.xe.com/currency/sll-sierra-leonean-leone" TargetMode="External"/><Relationship Id="rId49" Type="http://schemas.openxmlformats.org/officeDocument/2006/relationships/hyperlink" Target="http://www.xe.com/currency/pyg-paraguayan-guarani" TargetMode="External"/><Relationship Id="rId57" Type="http://schemas.openxmlformats.org/officeDocument/2006/relationships/hyperlink" Target="http://www.xe.com/currency/nzd-new-zealand-dollar" TargetMode="External"/><Relationship Id="rId106" Type="http://schemas.openxmlformats.org/officeDocument/2006/relationships/hyperlink" Target="http://www.xe.com/currency/htg-haitian-gourde" TargetMode="External"/><Relationship Id="rId114" Type="http://schemas.openxmlformats.org/officeDocument/2006/relationships/hyperlink" Target="http://www.xe.com/currency/gip-gibraltar-pound" TargetMode="External"/><Relationship Id="rId119" Type="http://schemas.openxmlformats.org/officeDocument/2006/relationships/hyperlink" Target="http://www.xe.com/currency/fkp-falkland-island-pound" TargetMode="External"/><Relationship Id="rId127" Type="http://schemas.openxmlformats.org/officeDocument/2006/relationships/hyperlink" Target="http://www.xe.com/currency/dkk-danish-krone" TargetMode="External"/><Relationship Id="rId10" Type="http://schemas.openxmlformats.org/officeDocument/2006/relationships/hyperlink" Target="http://www.xe.com/currency/wst-samoan-tala" TargetMode="External"/><Relationship Id="rId31" Type="http://schemas.openxmlformats.org/officeDocument/2006/relationships/hyperlink" Target="http://www.xe.com/currency/svc-salvadoran-colon" TargetMode="External"/><Relationship Id="rId44" Type="http://schemas.openxmlformats.org/officeDocument/2006/relationships/hyperlink" Target="http://www.xe.com/currency/rwf-rwandan-franc" TargetMode="External"/><Relationship Id="rId52" Type="http://schemas.openxmlformats.org/officeDocument/2006/relationships/hyperlink" Target="http://www.xe.com/currency/php-philippine-peso" TargetMode="External"/><Relationship Id="rId60" Type="http://schemas.openxmlformats.org/officeDocument/2006/relationships/hyperlink" Target="http://www.xe.com/currency/nio-nicaraguan-cordoba" TargetMode="External"/><Relationship Id="rId65" Type="http://schemas.openxmlformats.org/officeDocument/2006/relationships/hyperlink" Target="http://www.xe.com/currency/mxn-mexican-peso" TargetMode="External"/><Relationship Id="rId73" Type="http://schemas.openxmlformats.org/officeDocument/2006/relationships/hyperlink" Target="http://www.xe.com/currency/mkd-macedonian-denar" TargetMode="External"/><Relationship Id="rId78" Type="http://schemas.openxmlformats.org/officeDocument/2006/relationships/hyperlink" Target="http://www.xe.com/currency/lvl-latvian-lat" TargetMode="External"/><Relationship Id="rId81" Type="http://schemas.openxmlformats.org/officeDocument/2006/relationships/hyperlink" Target="http://www.xe.com/currency/lrd-liberian-dollar" TargetMode="External"/><Relationship Id="rId86" Type="http://schemas.openxmlformats.org/officeDocument/2006/relationships/hyperlink" Target="http://www.xe.com/currency/kyd-caymanian-dollar" TargetMode="External"/><Relationship Id="rId94" Type="http://schemas.openxmlformats.org/officeDocument/2006/relationships/hyperlink" Target="http://www.xe.com/currency/jpy-japanese-yen" TargetMode="External"/><Relationship Id="rId99" Type="http://schemas.openxmlformats.org/officeDocument/2006/relationships/hyperlink" Target="http://www.xe.com/currency/irr-iranian-rial" TargetMode="External"/><Relationship Id="rId101" Type="http://schemas.openxmlformats.org/officeDocument/2006/relationships/hyperlink" Target="http://www.xe.com/currency/inr-indian-rupee" TargetMode="External"/><Relationship Id="rId122" Type="http://schemas.openxmlformats.org/officeDocument/2006/relationships/hyperlink" Target="http://www.xe.com/currency/etb-ethiopian-birr" TargetMode="External"/><Relationship Id="rId130" Type="http://schemas.openxmlformats.org/officeDocument/2006/relationships/hyperlink" Target="http://www.xe.com/currency/cve-cape-verdean-escudo" TargetMode="External"/><Relationship Id="rId135" Type="http://schemas.openxmlformats.org/officeDocument/2006/relationships/hyperlink" Target="http://www.xe.com/currency/cny-chinese-yuan-renminbi" TargetMode="External"/><Relationship Id="rId143" Type="http://schemas.openxmlformats.org/officeDocument/2006/relationships/hyperlink" Target="http://www.xe.com/currency/btn-bhutanese-ngultrum" TargetMode="External"/><Relationship Id="rId148" Type="http://schemas.openxmlformats.org/officeDocument/2006/relationships/hyperlink" Target="http://www.xe.com/currency/bmd-bermudian-dollar" TargetMode="External"/><Relationship Id="rId151" Type="http://schemas.openxmlformats.org/officeDocument/2006/relationships/hyperlink" Target="http://www.xe.com/currency/bgn-bulgarian-lev" TargetMode="External"/><Relationship Id="rId156" Type="http://schemas.openxmlformats.org/officeDocument/2006/relationships/hyperlink" Target="http://www.xe.com/currency/awg-aruban-or-dutch-guilder" TargetMode="External"/><Relationship Id="rId164" Type="http://schemas.openxmlformats.org/officeDocument/2006/relationships/hyperlink" Target="http://www.xe.com/currency/aed-emirati-dirham" TargetMode="External"/><Relationship Id="rId4" Type="http://schemas.openxmlformats.org/officeDocument/2006/relationships/hyperlink" Target="http://www.xe.com/currency/yer-yemeni-rial" TargetMode="External"/><Relationship Id="rId9" Type="http://schemas.openxmlformats.org/officeDocument/2006/relationships/hyperlink" Target="http://www.xe.com/currency/xaf-central-african-cfa-franc-beac" TargetMode="External"/><Relationship Id="rId13" Type="http://schemas.openxmlformats.org/officeDocument/2006/relationships/hyperlink" Target="http://www.xe.com/currency/vef-venezuelan-bolivar-fuerte" TargetMode="External"/><Relationship Id="rId18" Type="http://schemas.openxmlformats.org/officeDocument/2006/relationships/hyperlink" Target="http://www.xe.com/currency/uah-ukrainian-hryvna" TargetMode="External"/><Relationship Id="rId39" Type="http://schemas.openxmlformats.org/officeDocument/2006/relationships/hyperlink" Target="http://www.xe.com/currency/sek-swedish-krona" TargetMode="External"/><Relationship Id="rId109" Type="http://schemas.openxmlformats.org/officeDocument/2006/relationships/hyperlink" Target="http://www.xe.com/currency/hkd-hong-kong-dollar" TargetMode="External"/><Relationship Id="rId34" Type="http://schemas.openxmlformats.org/officeDocument/2006/relationships/hyperlink" Target="http://www.xe.com/currency/spl-seborgan-luigino" TargetMode="External"/><Relationship Id="rId50" Type="http://schemas.openxmlformats.org/officeDocument/2006/relationships/hyperlink" Target="http://www.xe.com/currency/pln-polish-zloty" TargetMode="External"/><Relationship Id="rId55" Type="http://schemas.openxmlformats.org/officeDocument/2006/relationships/hyperlink" Target="http://www.xe.com/currency/pab-panamanian-balboa" TargetMode="External"/><Relationship Id="rId76" Type="http://schemas.openxmlformats.org/officeDocument/2006/relationships/hyperlink" Target="http://www.xe.com/currency/mad-moroccan-dirham" TargetMode="External"/><Relationship Id="rId97" Type="http://schemas.openxmlformats.org/officeDocument/2006/relationships/hyperlink" Target="http://www.xe.com/currency/jep-jersey-pound" TargetMode="External"/><Relationship Id="rId104" Type="http://schemas.openxmlformats.org/officeDocument/2006/relationships/hyperlink" Target="http://www.xe.com/currency/idr-indonesian-rupiah" TargetMode="External"/><Relationship Id="rId120" Type="http://schemas.openxmlformats.org/officeDocument/2006/relationships/hyperlink" Target="http://www.xe.com/currency/fjd-fijian-dollar" TargetMode="External"/><Relationship Id="rId125" Type="http://schemas.openxmlformats.org/officeDocument/2006/relationships/hyperlink" Target="http://www.xe.com/currency/dzd-algerian-dinar" TargetMode="External"/><Relationship Id="rId141" Type="http://schemas.openxmlformats.org/officeDocument/2006/relationships/hyperlink" Target="http://www.xe.com/currency/byr-belarusian-ruble" TargetMode="External"/><Relationship Id="rId146" Type="http://schemas.openxmlformats.org/officeDocument/2006/relationships/hyperlink" Target="http://www.xe.com/currency/bob-bolivian-boliviano" TargetMode="External"/><Relationship Id="rId7" Type="http://schemas.openxmlformats.org/officeDocument/2006/relationships/hyperlink" Target="http://www.xe.com/currency/xdr-imf-special-drawing-rights" TargetMode="External"/><Relationship Id="rId71" Type="http://schemas.openxmlformats.org/officeDocument/2006/relationships/hyperlink" Target="http://www.xe.com/currency/mnt-mongolian-tughrik" TargetMode="External"/><Relationship Id="rId92" Type="http://schemas.openxmlformats.org/officeDocument/2006/relationships/hyperlink" Target="http://www.xe.com/currency/kgs-kyrgyzstani-som" TargetMode="External"/><Relationship Id="rId162" Type="http://schemas.openxmlformats.org/officeDocument/2006/relationships/hyperlink" Target="http://www.xe.com/currency/all-albanian-lek" TargetMode="External"/><Relationship Id="rId2" Type="http://schemas.openxmlformats.org/officeDocument/2006/relationships/hyperlink" Target="http://www.xe.com/currency/zmk-zambian-kwacha" TargetMode="External"/><Relationship Id="rId29" Type="http://schemas.openxmlformats.org/officeDocument/2006/relationships/hyperlink" Target="http://www.xe.com/currency/szl-swazi-lilangeni" TargetMode="External"/><Relationship Id="rId24" Type="http://schemas.openxmlformats.org/officeDocument/2006/relationships/hyperlink" Target="http://www.xe.com/currency/top-tongan-pa'anga" TargetMode="External"/><Relationship Id="rId40" Type="http://schemas.openxmlformats.org/officeDocument/2006/relationships/hyperlink" Target="http://www.xe.com/currency/sdg-sudanese-pound" TargetMode="External"/><Relationship Id="rId45" Type="http://schemas.openxmlformats.org/officeDocument/2006/relationships/hyperlink" Target="http://www.xe.com/currency/rub-russian-ruble" TargetMode="External"/><Relationship Id="rId66" Type="http://schemas.openxmlformats.org/officeDocument/2006/relationships/hyperlink" Target="http://www.xe.com/currency/mwk-malawian-kwacha" TargetMode="External"/><Relationship Id="rId87" Type="http://schemas.openxmlformats.org/officeDocument/2006/relationships/hyperlink" Target="http://www.xe.com/currency/kwd-kuwaiti-dinar" TargetMode="External"/><Relationship Id="rId110" Type="http://schemas.openxmlformats.org/officeDocument/2006/relationships/hyperlink" Target="http://www.xe.com/currency/gyd-guyanese-dollar" TargetMode="External"/><Relationship Id="rId115" Type="http://schemas.openxmlformats.org/officeDocument/2006/relationships/hyperlink" Target="http://www.xe.com/currency/ghs-ghanaian-cedi" TargetMode="External"/><Relationship Id="rId131" Type="http://schemas.openxmlformats.org/officeDocument/2006/relationships/hyperlink" Target="http://www.xe.com/currency/cup-cuban-peso" TargetMode="External"/><Relationship Id="rId136" Type="http://schemas.openxmlformats.org/officeDocument/2006/relationships/hyperlink" Target="http://www.xe.com/currency/clp-chilean-peso" TargetMode="External"/><Relationship Id="rId157" Type="http://schemas.openxmlformats.org/officeDocument/2006/relationships/hyperlink" Target="http://www.xe.com/currency/aud-australian-dollar" TargetMode="External"/><Relationship Id="rId61" Type="http://schemas.openxmlformats.org/officeDocument/2006/relationships/hyperlink" Target="http://www.xe.com/currency/ngn-nigerian-naira" TargetMode="External"/><Relationship Id="rId82" Type="http://schemas.openxmlformats.org/officeDocument/2006/relationships/hyperlink" Target="http://www.xe.com/currency/lkr-sri-lankan-rupee" TargetMode="External"/><Relationship Id="rId152" Type="http://schemas.openxmlformats.org/officeDocument/2006/relationships/hyperlink" Target="http://www.xe.com/currency/bdt-bangladeshi-taka" TargetMode="External"/><Relationship Id="rId19" Type="http://schemas.openxmlformats.org/officeDocument/2006/relationships/hyperlink" Target="http://www.xe.com/currency/tzs-tanzanian-shilling" TargetMode="External"/><Relationship Id="rId14" Type="http://schemas.openxmlformats.org/officeDocument/2006/relationships/hyperlink" Target="http://www.xe.com/currency/uzs-uzbekistani-som" TargetMode="External"/><Relationship Id="rId30" Type="http://schemas.openxmlformats.org/officeDocument/2006/relationships/hyperlink" Target="http://www.xe.com/currency/syp-syrian-pound" TargetMode="External"/><Relationship Id="rId35" Type="http://schemas.openxmlformats.org/officeDocument/2006/relationships/hyperlink" Target="http://www.xe.com/currency/sos-somali-shilling" TargetMode="External"/><Relationship Id="rId56" Type="http://schemas.openxmlformats.org/officeDocument/2006/relationships/hyperlink" Target="http://www.xe.com/currency/omr-omani-rial" TargetMode="External"/><Relationship Id="rId77" Type="http://schemas.openxmlformats.org/officeDocument/2006/relationships/hyperlink" Target="http://www.xe.com/currency/lyd-libyan-dinar" TargetMode="External"/><Relationship Id="rId100" Type="http://schemas.openxmlformats.org/officeDocument/2006/relationships/hyperlink" Target="http://www.xe.com/currency/iqd-iraqi-dinar" TargetMode="External"/><Relationship Id="rId105" Type="http://schemas.openxmlformats.org/officeDocument/2006/relationships/hyperlink" Target="http://www.xe.com/currency/huf-hungarian-forint" TargetMode="External"/><Relationship Id="rId126" Type="http://schemas.openxmlformats.org/officeDocument/2006/relationships/hyperlink" Target="http://www.xe.com/currency/dop-dominican-peso" TargetMode="External"/><Relationship Id="rId147" Type="http://schemas.openxmlformats.org/officeDocument/2006/relationships/hyperlink" Target="http://www.xe.com/currency/bnd-bruneian-dollar" TargetMode="External"/><Relationship Id="rId8" Type="http://schemas.openxmlformats.org/officeDocument/2006/relationships/hyperlink" Target="http://www.xe.com/currency/xcd-east-caribbean-dollar" TargetMode="External"/><Relationship Id="rId51" Type="http://schemas.openxmlformats.org/officeDocument/2006/relationships/hyperlink" Target="http://www.xe.com/currency/pkr-pakistani-rupee" TargetMode="External"/><Relationship Id="rId72" Type="http://schemas.openxmlformats.org/officeDocument/2006/relationships/hyperlink" Target="http://www.xe.com/currency/mmk-burmese-kyat" TargetMode="External"/><Relationship Id="rId93" Type="http://schemas.openxmlformats.org/officeDocument/2006/relationships/hyperlink" Target="http://www.xe.com/currency/kes-kenyan-shilling" TargetMode="External"/><Relationship Id="rId98" Type="http://schemas.openxmlformats.org/officeDocument/2006/relationships/hyperlink" Target="http://www.xe.com/currency/isk-icelandic-krona" TargetMode="External"/><Relationship Id="rId121" Type="http://schemas.openxmlformats.org/officeDocument/2006/relationships/hyperlink" Target="http://www.xe.com/currency/eur-euro" TargetMode="External"/><Relationship Id="rId142" Type="http://schemas.openxmlformats.org/officeDocument/2006/relationships/hyperlink" Target="http://www.xe.com/currency/bwp-botswana-pula" TargetMode="External"/><Relationship Id="rId163" Type="http://schemas.openxmlformats.org/officeDocument/2006/relationships/hyperlink" Target="http://www.xe.com/currency/afn-afghan-afghani" TargetMode="External"/><Relationship Id="rId3" Type="http://schemas.openxmlformats.org/officeDocument/2006/relationships/hyperlink" Target="http://www.xe.com/currency/zar-south-african-rand" TargetMode="External"/><Relationship Id="rId25" Type="http://schemas.openxmlformats.org/officeDocument/2006/relationships/hyperlink" Target="http://www.xe.com/currency/tnd-tunisian-dinar" TargetMode="External"/><Relationship Id="rId46" Type="http://schemas.openxmlformats.org/officeDocument/2006/relationships/hyperlink" Target="http://www.xe.com/currency/rsd-serbian-dinar" TargetMode="External"/><Relationship Id="rId67" Type="http://schemas.openxmlformats.org/officeDocument/2006/relationships/hyperlink" Target="http://www.xe.com/currency/mvr-maldivian-rufiyaa" TargetMode="External"/><Relationship Id="rId116" Type="http://schemas.openxmlformats.org/officeDocument/2006/relationships/hyperlink" Target="http://www.xe.com/currency/ggp-guernsey-pound" TargetMode="External"/><Relationship Id="rId137" Type="http://schemas.openxmlformats.org/officeDocument/2006/relationships/hyperlink" Target="http://www.xe.com/currency/chf-swiss-franc" TargetMode="External"/><Relationship Id="rId158" Type="http://schemas.openxmlformats.org/officeDocument/2006/relationships/hyperlink" Target="http://www.xe.com/currency/ars-argentine-peso" TargetMode="External"/><Relationship Id="rId20" Type="http://schemas.openxmlformats.org/officeDocument/2006/relationships/hyperlink" Target="http://www.xe.com/currency/twd-taiwan-new-dollar" TargetMode="External"/><Relationship Id="rId41" Type="http://schemas.openxmlformats.org/officeDocument/2006/relationships/hyperlink" Target="http://www.xe.com/currency/scr-seychellois-rupee" TargetMode="External"/><Relationship Id="rId62" Type="http://schemas.openxmlformats.org/officeDocument/2006/relationships/hyperlink" Target="http://www.xe.com/currency/nad-namibian-dollar" TargetMode="External"/><Relationship Id="rId83" Type="http://schemas.openxmlformats.org/officeDocument/2006/relationships/hyperlink" Target="http://www.xe.com/currency/lbp-lebanese-pound" TargetMode="External"/><Relationship Id="rId88" Type="http://schemas.openxmlformats.org/officeDocument/2006/relationships/hyperlink" Target="http://www.xe.com/currency/krw-south-korean-won" TargetMode="External"/><Relationship Id="rId111" Type="http://schemas.openxmlformats.org/officeDocument/2006/relationships/hyperlink" Target="http://www.xe.com/currency/gtq-guatemalan-quetzal" TargetMode="External"/><Relationship Id="rId132" Type="http://schemas.openxmlformats.org/officeDocument/2006/relationships/hyperlink" Target="http://www.xe.com/currency/cuc-cuban-convertible-peso" TargetMode="External"/><Relationship Id="rId153" Type="http://schemas.openxmlformats.org/officeDocument/2006/relationships/hyperlink" Target="http://www.xe.com/currency/bbd-barbadian-or-bajan-dolla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fitToPage="1"/>
  </sheetPr>
  <dimension ref="A1:IT2452"/>
  <sheetViews>
    <sheetView zoomScale="80" zoomScaleNormal="80" workbookViewId="0">
      <pane xSplit="5" ySplit="4" topLeftCell="F1858" activePane="bottomRight" state="frozen"/>
      <selection pane="topRight" activeCell="F1" sqref="F1"/>
      <selection pane="bottomLeft" activeCell="A5" sqref="A5"/>
      <selection pane="bottomRight" activeCell="A1799" sqref="A1799:A1878"/>
    </sheetView>
  </sheetViews>
  <sheetFormatPr defaultColWidth="9.140625" defaultRowHeight="12.75" x14ac:dyDescent="0.2"/>
  <cols>
    <col min="1" max="1" width="6.85546875" style="1" customWidth="1"/>
    <col min="2" max="2" width="12.28515625" customWidth="1"/>
    <col min="3" max="3" width="42.28515625" customWidth="1"/>
    <col min="4" max="4" width="12.140625" customWidth="1"/>
    <col min="5" max="5" width="62.140625" style="362" customWidth="1"/>
    <col min="6" max="6" width="22.140625" style="1" customWidth="1"/>
    <col min="7" max="7" width="22.140625" customWidth="1"/>
    <col min="8" max="8" width="22.140625" style="218" customWidth="1"/>
    <col min="9" max="9" width="17.140625" style="218" customWidth="1"/>
    <col min="10" max="10" width="15.42578125" customWidth="1"/>
    <col min="11" max="11" width="16.28515625" customWidth="1"/>
    <col min="12" max="12" width="26" style="218" customWidth="1"/>
    <col min="13" max="13" width="34.85546875" style="3" customWidth="1"/>
    <col min="14" max="14" width="22" style="219" customWidth="1"/>
    <col min="15" max="15" width="20" style="219" customWidth="1"/>
    <col min="16" max="16" width="25.85546875" customWidth="1"/>
    <col min="17" max="17" width="29.5703125" style="3" customWidth="1"/>
    <col min="18" max="18" width="40.28515625" style="3" customWidth="1"/>
    <col min="19" max="19" width="21.28515625" style="218" customWidth="1"/>
    <col min="20" max="20" width="9.140625" customWidth="1"/>
    <col min="21" max="21" width="10.42578125" customWidth="1"/>
    <col min="22" max="22" width="8.42578125" customWidth="1"/>
    <col min="23" max="23" width="12.140625" style="20" customWidth="1"/>
    <col min="24" max="24" width="8.5703125" style="20" customWidth="1"/>
    <col min="25" max="25" width="7.28515625" customWidth="1"/>
    <col min="26" max="26" width="11" style="211" customWidth="1"/>
    <col min="27" max="27" width="10.140625" customWidth="1"/>
    <col min="28" max="28" width="18.140625" style="26" customWidth="1"/>
    <col min="29" max="29" width="12.42578125" style="20" customWidth="1"/>
    <col min="30" max="30" width="18.42578125" style="20" customWidth="1"/>
    <col min="31" max="31" width="13.7109375" style="3" customWidth="1"/>
    <col min="32" max="32" width="9.28515625" style="294" customWidth="1"/>
    <col min="33" max="33" width="10" style="294" customWidth="1"/>
    <col min="34" max="34" width="9.85546875" style="294" customWidth="1"/>
    <col min="35" max="35" width="9.7109375" style="26" customWidth="1"/>
    <col min="36" max="36" width="12.140625" customWidth="1"/>
    <col min="37" max="37" width="11.140625" customWidth="1"/>
    <col min="38" max="38" width="10.28515625" customWidth="1"/>
    <col min="39" max="39" width="12.140625" customWidth="1"/>
    <col min="40" max="40" width="10.42578125" style="294" customWidth="1"/>
    <col min="41" max="41" width="15" customWidth="1"/>
    <col min="42" max="42" width="45.5703125" customWidth="1"/>
    <col min="43" max="43" width="35.140625" customWidth="1"/>
    <col min="44" max="44" width="31.42578125" style="218" customWidth="1"/>
    <col min="45" max="45" width="12.42578125" style="219" customWidth="1"/>
    <col min="46" max="46" width="10.85546875" customWidth="1"/>
    <col min="47" max="47" width="15" customWidth="1"/>
    <col min="48" max="48" width="11.5703125" customWidth="1"/>
    <col min="49" max="49" width="11.28515625" customWidth="1"/>
    <col min="50" max="50" width="12" customWidth="1"/>
    <col min="51" max="51" width="13.140625" style="374" customWidth="1"/>
    <col min="52" max="52" width="12" style="297" customWidth="1"/>
    <col min="53" max="53" width="11.7109375" customWidth="1"/>
    <col min="54" max="54" width="12.7109375" customWidth="1"/>
    <col min="55" max="55" width="13.5703125" customWidth="1"/>
    <col min="56" max="56" width="17.7109375" customWidth="1"/>
    <col min="57" max="57" width="16.42578125" style="332" customWidth="1"/>
    <col min="58" max="58" width="5.42578125" style="26" customWidth="1"/>
    <col min="59" max="59" width="5.140625" style="26" customWidth="1"/>
    <col min="60" max="60" width="4.85546875" style="26" customWidth="1"/>
    <col min="61" max="61" width="4.42578125" style="26" customWidth="1"/>
    <col min="62" max="62" width="4.5703125" style="26" customWidth="1"/>
    <col min="63" max="63" width="4.42578125" style="26" customWidth="1"/>
    <col min="64" max="64" width="9.5703125" style="426" customWidth="1"/>
    <col min="65" max="65" width="9.85546875" style="3" customWidth="1"/>
    <col min="66" max="66" width="11" customWidth="1"/>
    <col min="67" max="67" width="9.5703125" customWidth="1"/>
    <col min="68" max="68" width="10.140625" customWidth="1"/>
    <col min="69" max="69" width="9.28515625" customWidth="1"/>
    <col min="70" max="70" width="8" customWidth="1"/>
    <col min="71" max="71" width="7.28515625" style="20" customWidth="1"/>
    <col min="72" max="72" width="10.42578125" style="26" customWidth="1"/>
    <col min="73" max="73" width="10.28515625" style="294" customWidth="1"/>
    <col min="74" max="74" width="9.140625" style="20"/>
    <col min="75" max="75" width="12.42578125" style="218" customWidth="1"/>
    <col min="76" max="76" width="19.28515625" style="388" customWidth="1"/>
    <col min="77" max="77" width="14.5703125" style="4" customWidth="1"/>
    <col min="78" max="78" width="14.28515625" style="219" customWidth="1"/>
    <col min="79" max="79" width="13.42578125" style="3" customWidth="1"/>
    <col min="80" max="80" width="11.85546875" style="26" customWidth="1"/>
    <col min="87" max="87" width="12.140625" customWidth="1"/>
    <col min="88" max="88" width="12.42578125" customWidth="1"/>
    <col min="89" max="89" width="11.28515625" customWidth="1"/>
    <col min="90" max="92" width="10.7109375" bestFit="1" customWidth="1"/>
    <col min="93" max="93" width="11.85546875" bestFit="1" customWidth="1"/>
    <col min="94" max="94" width="9.28515625" bestFit="1" customWidth="1"/>
    <col min="95" max="97" width="9.42578125" bestFit="1" customWidth="1"/>
    <col min="98" max="98" width="9.28515625" customWidth="1"/>
    <col min="99" max="99" width="11.42578125" bestFit="1" customWidth="1"/>
    <col min="109" max="109" width="10" customWidth="1"/>
    <col min="110" max="110" width="9.85546875" customWidth="1"/>
    <col min="115" max="115" width="19.42578125" style="814" customWidth="1"/>
  </cols>
  <sheetData>
    <row r="1" spans="1:115" x14ac:dyDescent="0.2">
      <c r="A1" s="526"/>
      <c r="B1" t="s">
        <v>9840</v>
      </c>
      <c r="G1" s="1"/>
      <c r="H1" s="3"/>
      <c r="K1" s="2"/>
      <c r="L1" s="362"/>
      <c r="M1" s="533"/>
      <c r="N1" s="167"/>
      <c r="O1" s="167"/>
      <c r="Q1" s="167"/>
      <c r="R1" s="167"/>
      <c r="T1" s="4"/>
      <c r="AA1" s="4"/>
      <c r="AB1" s="135"/>
      <c r="AC1" s="220"/>
      <c r="AD1" s="221"/>
      <c r="AS1" s="167"/>
      <c r="AW1" s="4"/>
      <c r="AX1" s="4"/>
      <c r="AY1" s="297"/>
      <c r="BA1" s="4"/>
      <c r="BB1" s="4"/>
      <c r="BC1" s="4"/>
      <c r="BD1" s="4"/>
      <c r="BE1" s="745"/>
      <c r="BF1" s="135"/>
      <c r="BG1" s="135"/>
      <c r="BH1" s="135"/>
      <c r="BI1" s="135"/>
      <c r="BJ1" s="135"/>
      <c r="BK1" s="135"/>
      <c r="BL1" s="488"/>
      <c r="BM1" s="167"/>
      <c r="BN1" s="4"/>
      <c r="BO1" s="4"/>
      <c r="BP1" s="4"/>
      <c r="BQ1" s="4"/>
      <c r="BR1" s="4"/>
    </row>
    <row r="2" spans="1:115" x14ac:dyDescent="0.2">
      <c r="A2" s="526"/>
      <c r="G2" s="1"/>
      <c r="H2" s="3"/>
      <c r="K2" s="2"/>
      <c r="L2" s="362"/>
      <c r="M2" s="533"/>
      <c r="N2" s="167"/>
      <c r="O2" s="167"/>
      <c r="Q2" s="167"/>
      <c r="R2" s="167"/>
      <c r="T2" s="4"/>
      <c r="AA2" s="4"/>
      <c r="AB2" s="135"/>
      <c r="AC2" s="220"/>
      <c r="AS2" s="167"/>
      <c r="AW2" s="4"/>
      <c r="AX2" s="4"/>
      <c r="AY2" s="297"/>
      <c r="BA2" s="4"/>
      <c r="BB2" s="4"/>
      <c r="BC2" s="4"/>
      <c r="BD2" s="4"/>
      <c r="BE2" s="745"/>
      <c r="BF2" s="135"/>
      <c r="BG2" s="135"/>
      <c r="BH2" s="135"/>
      <c r="BI2" s="135"/>
      <c r="BJ2" s="135"/>
      <c r="BK2" s="135"/>
      <c r="BL2" s="488"/>
      <c r="BM2" s="167"/>
      <c r="BN2" s="4"/>
      <c r="BO2" s="4"/>
      <c r="BP2" s="4"/>
      <c r="BQ2" s="4"/>
      <c r="BR2" s="4"/>
    </row>
    <row r="3" spans="1:115" x14ac:dyDescent="0.2">
      <c r="A3" s="526"/>
      <c r="E3" s="533"/>
      <c r="G3" s="1"/>
      <c r="J3" s="2"/>
      <c r="K3" s="2"/>
      <c r="L3" s="3"/>
      <c r="P3" s="4"/>
      <c r="S3" s="219"/>
      <c r="T3" s="4"/>
      <c r="W3" s="4"/>
      <c r="X3" s="4"/>
      <c r="AA3" s="20"/>
      <c r="AB3" s="4"/>
      <c r="AF3" s="919" t="s">
        <v>0</v>
      </c>
      <c r="AG3" s="920"/>
      <c r="AH3" s="920"/>
      <c r="AI3" s="920"/>
      <c r="AJ3" s="920"/>
      <c r="AK3" s="920"/>
      <c r="AL3" s="920"/>
      <c r="AM3" s="920"/>
      <c r="AN3" s="920"/>
      <c r="AO3" s="920"/>
      <c r="AP3" s="920"/>
      <c r="AQ3" s="921"/>
      <c r="AR3" s="3"/>
      <c r="AV3" s="4"/>
      <c r="AW3" s="4"/>
      <c r="AX3" s="4"/>
      <c r="AY3" s="297"/>
      <c r="BA3" s="4"/>
      <c r="BB3" s="4"/>
      <c r="BC3" s="4"/>
      <c r="BD3" s="4"/>
      <c r="BE3" s="745"/>
      <c r="BF3" s="135"/>
      <c r="BG3" s="135"/>
      <c r="BH3" s="135"/>
      <c r="BI3" s="135"/>
      <c r="BJ3" s="135"/>
      <c r="BK3" s="135"/>
      <c r="BL3" s="488"/>
      <c r="BM3" s="167"/>
      <c r="BN3" s="4"/>
      <c r="BO3" s="4"/>
      <c r="BP3" s="4"/>
      <c r="BQ3" s="4"/>
      <c r="BR3" s="4"/>
    </row>
    <row r="4" spans="1:115" s="7" customFormat="1" ht="63.75" x14ac:dyDescent="0.2">
      <c r="A4" s="153" t="s">
        <v>1</v>
      </c>
      <c r="B4" s="154" t="s">
        <v>2</v>
      </c>
      <c r="C4" s="493" t="s">
        <v>7419</v>
      </c>
      <c r="D4" s="153" t="s">
        <v>3</v>
      </c>
      <c r="E4" s="157" t="s">
        <v>4</v>
      </c>
      <c r="F4" s="156" t="s">
        <v>1403</v>
      </c>
      <c r="G4" s="156" t="s">
        <v>1660</v>
      </c>
      <c r="H4" s="155" t="s">
        <v>5</v>
      </c>
      <c r="I4" s="155" t="s">
        <v>1665</v>
      </c>
      <c r="J4" s="157" t="s">
        <v>1666</v>
      </c>
      <c r="K4" s="157" t="s">
        <v>1667</v>
      </c>
      <c r="L4" s="153" t="s">
        <v>6</v>
      </c>
      <c r="M4" s="612" t="s">
        <v>3068</v>
      </c>
      <c r="N4" s="158" t="s">
        <v>7</v>
      </c>
      <c r="O4" s="158" t="s">
        <v>4509</v>
      </c>
      <c r="P4" s="155" t="s">
        <v>4336</v>
      </c>
      <c r="Q4" s="6" t="s">
        <v>9</v>
      </c>
      <c r="R4" s="613" t="s">
        <v>3069</v>
      </c>
      <c r="S4" s="155" t="s">
        <v>1655</v>
      </c>
      <c r="T4" s="159" t="s">
        <v>10</v>
      </c>
      <c r="U4" s="159" t="s">
        <v>2120</v>
      </c>
      <c r="V4" s="155" t="s">
        <v>1730</v>
      </c>
      <c r="W4" s="160" t="s">
        <v>1657</v>
      </c>
      <c r="X4" s="612" t="s">
        <v>7303</v>
      </c>
      <c r="Y4" s="158" t="s">
        <v>11</v>
      </c>
      <c r="Z4" s="614" t="s">
        <v>7304</v>
      </c>
      <c r="AA4" s="161" t="s">
        <v>12</v>
      </c>
      <c r="AB4" s="160" t="s">
        <v>1656</v>
      </c>
      <c r="AC4" s="161" t="s">
        <v>13</v>
      </c>
      <c r="AD4" s="161" t="s">
        <v>14</v>
      </c>
      <c r="AE4" s="162" t="s">
        <v>15</v>
      </c>
      <c r="AF4" s="386" t="s">
        <v>4979</v>
      </c>
      <c r="AG4" s="386" t="s">
        <v>5473</v>
      </c>
      <c r="AH4" s="386" t="s">
        <v>5896</v>
      </c>
      <c r="AI4" s="450" t="s">
        <v>1661</v>
      </c>
      <c r="AJ4" s="163" t="s">
        <v>17</v>
      </c>
      <c r="AK4" s="163" t="s">
        <v>18</v>
      </c>
      <c r="AL4" s="163" t="s">
        <v>19</v>
      </c>
      <c r="AM4" s="163" t="s">
        <v>20</v>
      </c>
      <c r="AN4" s="387" t="s">
        <v>6936</v>
      </c>
      <c r="AO4" s="162" t="s">
        <v>21</v>
      </c>
      <c r="AP4" s="155" t="s">
        <v>22</v>
      </c>
      <c r="AQ4" s="493" t="s">
        <v>8086</v>
      </c>
      <c r="AR4" s="158" t="s">
        <v>23</v>
      </c>
      <c r="AS4" s="164" t="s">
        <v>24</v>
      </c>
      <c r="AT4" s="164" t="s">
        <v>25</v>
      </c>
      <c r="AU4" s="164" t="s">
        <v>1446</v>
      </c>
      <c r="AV4" s="6" t="s">
        <v>26</v>
      </c>
      <c r="AW4" s="6" t="s">
        <v>27</v>
      </c>
      <c r="AX4" s="6" t="s">
        <v>2511</v>
      </c>
      <c r="AY4" s="160" t="s">
        <v>1659</v>
      </c>
      <c r="AZ4" s="160" t="s">
        <v>1658</v>
      </c>
      <c r="BA4" s="6" t="s">
        <v>28</v>
      </c>
      <c r="BB4" s="612" t="s">
        <v>7305</v>
      </c>
      <c r="BC4" s="612" t="s">
        <v>7306</v>
      </c>
      <c r="BD4" s="612" t="s">
        <v>7307</v>
      </c>
      <c r="BE4" s="614" t="s">
        <v>6052</v>
      </c>
      <c r="BF4" s="615" t="s">
        <v>3070</v>
      </c>
      <c r="BG4" s="615" t="s">
        <v>3071</v>
      </c>
      <c r="BH4" s="615" t="s">
        <v>3072</v>
      </c>
      <c r="BI4" s="615" t="s">
        <v>3073</v>
      </c>
      <c r="BJ4" s="615" t="s">
        <v>3074</v>
      </c>
      <c r="BK4" s="615" t="s">
        <v>3075</v>
      </c>
      <c r="BL4" s="616" t="s">
        <v>3076</v>
      </c>
      <c r="BM4" s="613" t="s">
        <v>8410</v>
      </c>
      <c r="BN4" s="613" t="s">
        <v>3077</v>
      </c>
      <c r="BO4" s="613" t="s">
        <v>7308</v>
      </c>
      <c r="BP4" s="613" t="s">
        <v>3078</v>
      </c>
      <c r="BQ4" s="613" t="s">
        <v>3079</v>
      </c>
      <c r="BR4" s="613" t="s">
        <v>3080</v>
      </c>
      <c r="BS4" s="438" t="s">
        <v>29</v>
      </c>
      <c r="BT4" s="439" t="s">
        <v>4652</v>
      </c>
      <c r="BU4" s="440" t="s">
        <v>30</v>
      </c>
      <c r="BV4" s="473" t="s">
        <v>3081</v>
      </c>
      <c r="BW4" s="613" t="s">
        <v>8411</v>
      </c>
      <c r="BX4" s="617" t="s">
        <v>6462</v>
      </c>
      <c r="BY4" s="427" t="s">
        <v>7222</v>
      </c>
      <c r="BZ4" s="210" t="s">
        <v>5254</v>
      </c>
      <c r="CA4" s="613" t="s">
        <v>8412</v>
      </c>
      <c r="CB4" s="779" t="s">
        <v>7309</v>
      </c>
      <c r="CC4" s="618" t="s">
        <v>3082</v>
      </c>
      <c r="CD4" s="618" t="s">
        <v>3083</v>
      </c>
      <c r="CE4" s="618" t="s">
        <v>3084</v>
      </c>
      <c r="CF4" s="618" t="s">
        <v>3085</v>
      </c>
      <c r="CG4" s="618" t="s">
        <v>3086</v>
      </c>
      <c r="CH4" s="618" t="s">
        <v>3087</v>
      </c>
      <c r="CI4" s="618" t="s">
        <v>3088</v>
      </c>
      <c r="CJ4" s="618" t="s">
        <v>3089</v>
      </c>
      <c r="CK4" s="618" t="s">
        <v>3090</v>
      </c>
      <c r="CL4" s="618" t="s">
        <v>3091</v>
      </c>
      <c r="CM4" s="618" t="s">
        <v>3092</v>
      </c>
      <c r="CN4" s="618" t="s">
        <v>3093</v>
      </c>
      <c r="CO4" s="618" t="s">
        <v>3094</v>
      </c>
      <c r="CP4" s="618" t="s">
        <v>3095</v>
      </c>
      <c r="CQ4" s="618" t="s">
        <v>3096</v>
      </c>
      <c r="CR4" s="618" t="s">
        <v>3097</v>
      </c>
      <c r="CS4" s="618" t="s">
        <v>3098</v>
      </c>
      <c r="CT4" s="618" t="s">
        <v>3099</v>
      </c>
      <c r="CU4" s="618" t="s">
        <v>3100</v>
      </c>
      <c r="CV4" s="618" t="s">
        <v>3101</v>
      </c>
      <c r="CW4" s="618" t="s">
        <v>3102</v>
      </c>
      <c r="CX4" s="618" t="s">
        <v>3103</v>
      </c>
      <c r="CY4" s="618" t="s">
        <v>3104</v>
      </c>
      <c r="CZ4" s="618" t="s">
        <v>3105</v>
      </c>
      <c r="DA4" s="618" t="s">
        <v>3106</v>
      </c>
      <c r="DB4" s="618" t="s">
        <v>3107</v>
      </c>
      <c r="DC4" s="618" t="s">
        <v>3108</v>
      </c>
      <c r="DD4" s="618" t="s">
        <v>3109</v>
      </c>
      <c r="DE4" s="618" t="s">
        <v>3110</v>
      </c>
      <c r="DF4" s="618" t="s">
        <v>3111</v>
      </c>
      <c r="DG4" s="618" t="s">
        <v>3112</v>
      </c>
      <c r="DH4" s="618" t="s">
        <v>3113</v>
      </c>
      <c r="DI4" s="618" t="s">
        <v>3114</v>
      </c>
      <c r="DJ4" s="618" t="s">
        <v>3115</v>
      </c>
      <c r="DK4" s="900" t="s">
        <v>9761</v>
      </c>
    </row>
    <row r="5" spans="1:115" ht="51" x14ac:dyDescent="0.2">
      <c r="A5" s="295">
        <v>1</v>
      </c>
      <c r="B5" s="390" t="s">
        <v>838</v>
      </c>
      <c r="C5" s="424" t="s">
        <v>7421</v>
      </c>
      <c r="D5" s="391" t="s">
        <v>4980</v>
      </c>
      <c r="E5" s="705" t="s">
        <v>1836</v>
      </c>
      <c r="F5" s="393" t="s">
        <v>1352</v>
      </c>
      <c r="G5" s="393" t="s">
        <v>1673</v>
      </c>
      <c r="H5" s="393" t="s">
        <v>67</v>
      </c>
      <c r="I5" s="392"/>
      <c r="J5" s="392" t="s">
        <v>67</v>
      </c>
      <c r="K5" s="392"/>
      <c r="L5" s="392" t="s">
        <v>165</v>
      </c>
      <c r="M5" s="392" t="s">
        <v>3824</v>
      </c>
      <c r="N5" s="393" t="s">
        <v>44</v>
      </c>
      <c r="O5" s="393" t="s">
        <v>827</v>
      </c>
      <c r="P5" s="393" t="s">
        <v>827</v>
      </c>
      <c r="Q5" s="392" t="s">
        <v>836</v>
      </c>
      <c r="R5" s="392"/>
      <c r="S5" s="392" t="s">
        <v>839</v>
      </c>
      <c r="T5" s="394">
        <v>13</v>
      </c>
      <c r="U5" s="395">
        <v>568.79</v>
      </c>
      <c r="V5" s="395"/>
      <c r="W5" s="452">
        <v>39255</v>
      </c>
      <c r="X5" s="394">
        <v>28</v>
      </c>
      <c r="Y5" s="394"/>
      <c r="Z5" s="394"/>
      <c r="AA5" s="395"/>
      <c r="AB5" s="453"/>
      <c r="AC5" s="398">
        <v>12.141999999999999</v>
      </c>
      <c r="AD5" s="398">
        <v>4149.1837260273969</v>
      </c>
      <c r="AE5" s="393" t="s">
        <v>54</v>
      </c>
      <c r="AF5" s="417">
        <f>SUM(AF6:AF18)</f>
        <v>18.373000000000001</v>
      </c>
      <c r="AG5" s="417">
        <f>SUM(AG6:AG18)</f>
        <v>793.26</v>
      </c>
      <c r="AH5" s="417">
        <v>811.63299999999992</v>
      </c>
      <c r="AI5" s="394">
        <v>2</v>
      </c>
      <c r="AJ5" s="452">
        <v>42017</v>
      </c>
      <c r="AK5" s="452">
        <v>42369</v>
      </c>
      <c r="AL5" s="393"/>
      <c r="AM5" s="393"/>
      <c r="AN5" s="417">
        <f>0.500999987125397+7.685+1.325+7.685+0.712+1.06+6.997+8.479+7.72+1.463+0.786+8.478+1.17+0.357+0.326</f>
        <v>54.743999987125399</v>
      </c>
      <c r="AO5" s="392"/>
      <c r="AP5" s="802" t="s">
        <v>9402</v>
      </c>
      <c r="AQ5" s="392"/>
      <c r="AR5" s="392" t="s">
        <v>68</v>
      </c>
      <c r="AS5" s="479">
        <v>39420</v>
      </c>
      <c r="AT5" s="453"/>
      <c r="AU5" s="453"/>
      <c r="AV5" s="452">
        <v>41052</v>
      </c>
      <c r="AW5" s="452">
        <v>41086</v>
      </c>
      <c r="AX5" s="452">
        <v>41138</v>
      </c>
      <c r="AY5" s="452">
        <v>41086</v>
      </c>
      <c r="AZ5" s="453"/>
      <c r="BA5" s="393"/>
      <c r="BB5" s="393" t="s">
        <v>3116</v>
      </c>
      <c r="BC5" s="393" t="b">
        <v>0</v>
      </c>
      <c r="BD5" s="393" t="s">
        <v>3116</v>
      </c>
      <c r="BE5" s="392"/>
      <c r="BF5" s="394">
        <v>5</v>
      </c>
      <c r="BG5" s="394">
        <v>9</v>
      </c>
      <c r="BH5" s="394">
        <v>7</v>
      </c>
      <c r="BI5" s="394">
        <v>10</v>
      </c>
      <c r="BJ5" s="394">
        <v>6</v>
      </c>
      <c r="BK5" s="394"/>
      <c r="BL5" s="444"/>
      <c r="BM5" s="392"/>
      <c r="BN5" s="393"/>
      <c r="BO5" s="393"/>
      <c r="BP5" s="399"/>
      <c r="BQ5" s="400"/>
      <c r="BR5" s="401"/>
      <c r="BS5" s="399">
        <v>123.46879000000001</v>
      </c>
      <c r="BT5" s="394"/>
      <c r="BU5" s="417"/>
      <c r="BV5" s="399"/>
      <c r="BW5" s="393"/>
      <c r="BX5" s="392"/>
      <c r="BY5" s="393"/>
      <c r="BZ5" s="393"/>
      <c r="CA5" s="441"/>
      <c r="CB5" s="400"/>
      <c r="CC5" s="398"/>
      <c r="CD5" s="398"/>
      <c r="CE5" s="398"/>
      <c r="CF5" s="398"/>
      <c r="CG5" s="398"/>
      <c r="CH5" s="398"/>
      <c r="CI5" s="398"/>
      <c r="CJ5" s="398"/>
      <c r="CK5" s="398"/>
      <c r="CL5" s="398"/>
      <c r="CM5" s="398"/>
      <c r="CN5" s="398"/>
      <c r="CO5" s="398"/>
      <c r="CP5" s="398"/>
      <c r="CQ5" s="398"/>
      <c r="CR5" s="398"/>
      <c r="CS5" s="398"/>
      <c r="CT5" s="398"/>
      <c r="CU5" s="398"/>
      <c r="CV5" s="398"/>
      <c r="CW5" s="398"/>
      <c r="CX5" s="398"/>
      <c r="CY5" s="398"/>
      <c r="CZ5" s="398"/>
      <c r="DA5" s="398"/>
      <c r="DB5" s="398"/>
      <c r="DC5" s="398"/>
      <c r="DD5" s="398"/>
      <c r="DE5" s="393"/>
      <c r="DF5" s="393"/>
      <c r="DG5" s="393"/>
      <c r="DH5" s="393"/>
      <c r="DI5" s="393"/>
      <c r="DJ5" s="393"/>
      <c r="DK5" s="897"/>
    </row>
    <row r="6" spans="1:115" ht="153" x14ac:dyDescent="0.2">
      <c r="A6" s="295">
        <v>2</v>
      </c>
      <c r="B6" s="390" t="s">
        <v>2512</v>
      </c>
      <c r="C6" s="390"/>
      <c r="D6" s="391" t="s">
        <v>2970</v>
      </c>
      <c r="E6" s="704" t="s">
        <v>4981</v>
      </c>
      <c r="F6" s="393" t="s">
        <v>1352</v>
      </c>
      <c r="G6" s="393" t="s">
        <v>1673</v>
      </c>
      <c r="H6" s="393" t="s">
        <v>67</v>
      </c>
      <c r="I6" s="392"/>
      <c r="J6" s="392"/>
      <c r="K6" s="392" t="s">
        <v>67</v>
      </c>
      <c r="L6" s="392" t="s">
        <v>165</v>
      </c>
      <c r="M6" s="392"/>
      <c r="N6" s="393" t="s">
        <v>44</v>
      </c>
      <c r="O6" s="393" t="s">
        <v>827</v>
      </c>
      <c r="P6" s="393" t="s">
        <v>827</v>
      </c>
      <c r="Q6" s="392" t="s">
        <v>836</v>
      </c>
      <c r="R6" s="392" t="s">
        <v>3825</v>
      </c>
      <c r="S6" s="392" t="s">
        <v>839</v>
      </c>
      <c r="T6" s="394">
        <v>1</v>
      </c>
      <c r="U6" s="395">
        <v>45.713000000000001</v>
      </c>
      <c r="V6" s="395"/>
      <c r="W6" s="453"/>
      <c r="X6" s="394"/>
      <c r="Y6" s="394">
        <v>7</v>
      </c>
      <c r="Z6" s="394">
        <v>25</v>
      </c>
      <c r="AA6" s="395">
        <v>9</v>
      </c>
      <c r="AB6" s="452">
        <v>41091</v>
      </c>
      <c r="AC6" s="398">
        <v>12.141999999999999</v>
      </c>
      <c r="AD6" s="398">
        <v>388.87360273972598</v>
      </c>
      <c r="AE6" s="393" t="s">
        <v>54</v>
      </c>
      <c r="AF6" s="417">
        <v>18.373000000000001</v>
      </c>
      <c r="AG6" s="417">
        <f>55.307+40.175</f>
        <v>95.481999999999999</v>
      </c>
      <c r="AH6" s="417">
        <v>113.855</v>
      </c>
      <c r="AI6" s="394">
        <v>2</v>
      </c>
      <c r="AJ6" s="452">
        <v>42017</v>
      </c>
      <c r="AK6" s="452">
        <v>42369</v>
      </c>
      <c r="AL6" s="393"/>
      <c r="AM6" s="393"/>
      <c r="AN6" s="417"/>
      <c r="AO6" s="392"/>
      <c r="AP6" s="703" t="s">
        <v>8890</v>
      </c>
      <c r="AQ6" s="392"/>
      <c r="AR6" s="392" t="s">
        <v>68</v>
      </c>
      <c r="AS6" s="479">
        <v>39420</v>
      </c>
      <c r="AT6" s="453"/>
      <c r="AU6" s="453"/>
      <c r="AV6" s="453"/>
      <c r="AW6" s="453"/>
      <c r="AX6" s="453"/>
      <c r="AY6" s="453"/>
      <c r="AZ6" s="452">
        <v>41086</v>
      </c>
      <c r="BA6" s="393"/>
      <c r="BB6" s="393"/>
      <c r="BC6" s="393" t="b">
        <v>0</v>
      </c>
      <c r="BD6" s="393" t="s">
        <v>3116</v>
      </c>
      <c r="BE6" s="392"/>
      <c r="BF6" s="394">
        <v>5</v>
      </c>
      <c r="BG6" s="394">
        <v>9</v>
      </c>
      <c r="BH6" s="394">
        <v>7</v>
      </c>
      <c r="BI6" s="394">
        <v>10</v>
      </c>
      <c r="BJ6" s="394">
        <v>6</v>
      </c>
      <c r="BK6" s="394"/>
      <c r="BL6" s="444" t="s">
        <v>6981</v>
      </c>
      <c r="BM6" s="392"/>
      <c r="BN6" s="393"/>
      <c r="BO6" s="393"/>
      <c r="BP6" s="399"/>
      <c r="BQ6" s="400"/>
      <c r="BR6" s="401"/>
      <c r="BS6" s="399">
        <v>10</v>
      </c>
      <c r="BT6" s="394"/>
      <c r="BU6" s="417"/>
      <c r="BV6" s="399"/>
      <c r="BW6" s="393" t="s">
        <v>3165</v>
      </c>
      <c r="BX6" s="392" t="s">
        <v>3223</v>
      </c>
      <c r="BY6" s="393" t="s">
        <v>7227</v>
      </c>
      <c r="BZ6" s="393"/>
      <c r="CA6" s="441" t="s">
        <v>1663</v>
      </c>
      <c r="CB6" s="400"/>
      <c r="CC6" s="398"/>
      <c r="CD6" s="398"/>
      <c r="CE6" s="398"/>
      <c r="CF6" s="398"/>
      <c r="CG6" s="398"/>
      <c r="CH6" s="398">
        <v>22.856999999999999</v>
      </c>
      <c r="CI6" s="398">
        <v>45.713000000000001</v>
      </c>
      <c r="CJ6" s="398">
        <v>45.713000000000001</v>
      </c>
      <c r="CK6" s="398">
        <v>45.713000000000001</v>
      </c>
      <c r="CL6" s="398">
        <v>45.713000000000001</v>
      </c>
      <c r="CM6" s="398">
        <v>45.713000000000001</v>
      </c>
      <c r="CN6" s="398">
        <v>45.713000000000001</v>
      </c>
      <c r="CO6" s="398">
        <v>22.856999999999999</v>
      </c>
      <c r="CP6" s="398"/>
      <c r="CQ6" s="398"/>
      <c r="CR6" s="398"/>
      <c r="CS6" s="398"/>
      <c r="CT6" s="398"/>
      <c r="CU6" s="398"/>
      <c r="CV6" s="398"/>
      <c r="CW6" s="398"/>
      <c r="CX6" s="398"/>
      <c r="CY6" s="398"/>
      <c r="CZ6" s="398"/>
      <c r="DA6" s="398"/>
      <c r="DB6" s="398"/>
      <c r="DC6" s="398"/>
      <c r="DD6" s="398"/>
      <c r="DE6" s="393"/>
      <c r="DF6" s="393"/>
      <c r="DG6" s="393"/>
      <c r="DH6" s="393"/>
      <c r="DI6" s="393"/>
      <c r="DJ6" s="393"/>
      <c r="DK6" s="897"/>
    </row>
    <row r="7" spans="1:115" ht="38.25" x14ac:dyDescent="0.2">
      <c r="A7" s="295">
        <v>3</v>
      </c>
      <c r="B7" s="390" t="s">
        <v>4982</v>
      </c>
      <c r="C7" s="390"/>
      <c r="D7" s="391" t="s">
        <v>4983</v>
      </c>
      <c r="E7" s="704" t="s">
        <v>4984</v>
      </c>
      <c r="F7" s="393" t="s">
        <v>1352</v>
      </c>
      <c r="G7" s="393" t="s">
        <v>1673</v>
      </c>
      <c r="H7" s="393" t="s">
        <v>67</v>
      </c>
      <c r="I7" s="392"/>
      <c r="J7" s="392"/>
      <c r="K7" s="392" t="s">
        <v>67</v>
      </c>
      <c r="L7" s="392" t="s">
        <v>165</v>
      </c>
      <c r="M7" s="392"/>
      <c r="N7" s="393" t="s">
        <v>44</v>
      </c>
      <c r="O7" s="393" t="s">
        <v>827</v>
      </c>
      <c r="P7" s="393" t="s">
        <v>827</v>
      </c>
      <c r="Q7" s="392" t="s">
        <v>836</v>
      </c>
      <c r="R7" s="392" t="s">
        <v>4985</v>
      </c>
      <c r="S7" s="392" t="s">
        <v>839</v>
      </c>
      <c r="T7" s="394">
        <v>1</v>
      </c>
      <c r="U7" s="395">
        <v>47.771999999999998</v>
      </c>
      <c r="V7" s="395"/>
      <c r="W7" s="453"/>
      <c r="X7" s="394"/>
      <c r="Y7" s="394">
        <v>7</v>
      </c>
      <c r="Z7" s="394">
        <v>25</v>
      </c>
      <c r="AA7" s="395">
        <v>9</v>
      </c>
      <c r="AB7" s="452">
        <v>41456</v>
      </c>
      <c r="AC7" s="398">
        <v>0</v>
      </c>
      <c r="AD7" s="398">
        <v>358.61720547945202</v>
      </c>
      <c r="AE7" s="393" t="s">
        <v>54</v>
      </c>
      <c r="AF7" s="417"/>
      <c r="AG7" s="417">
        <f>38.983+39.266</f>
        <v>78.248999999999995</v>
      </c>
      <c r="AH7" s="417">
        <v>78.248999999999995</v>
      </c>
      <c r="AI7" s="394">
        <v>1</v>
      </c>
      <c r="AJ7" s="452">
        <v>42223</v>
      </c>
      <c r="AK7" s="452">
        <v>42369</v>
      </c>
      <c r="AL7" s="393"/>
      <c r="AM7" s="393"/>
      <c r="AN7" s="417"/>
      <c r="AO7" s="392"/>
      <c r="AP7" s="392"/>
      <c r="AQ7" s="392"/>
      <c r="AR7" s="392" t="s">
        <v>68</v>
      </c>
      <c r="AS7" s="480"/>
      <c r="AT7" s="453"/>
      <c r="AU7" s="453"/>
      <c r="AV7" s="453"/>
      <c r="AW7" s="453"/>
      <c r="AX7" s="453"/>
      <c r="AY7" s="453"/>
      <c r="AZ7" s="452">
        <v>41453</v>
      </c>
      <c r="BA7" s="393"/>
      <c r="BB7" s="393"/>
      <c r="BC7" s="393" t="b">
        <v>0</v>
      </c>
      <c r="BD7" s="393"/>
      <c r="BE7" s="392"/>
      <c r="BF7" s="394">
        <v>5</v>
      </c>
      <c r="BG7" s="394">
        <v>9</v>
      </c>
      <c r="BH7" s="394">
        <v>7</v>
      </c>
      <c r="BI7" s="394">
        <v>10</v>
      </c>
      <c r="BJ7" s="394">
        <v>6</v>
      </c>
      <c r="BK7" s="394"/>
      <c r="BL7" s="444" t="s">
        <v>6981</v>
      </c>
      <c r="BM7" s="392"/>
      <c r="BN7" s="393"/>
      <c r="BO7" s="393"/>
      <c r="BP7" s="399"/>
      <c r="BQ7" s="400"/>
      <c r="BR7" s="401"/>
      <c r="BS7" s="399">
        <v>10.5</v>
      </c>
      <c r="BT7" s="394"/>
      <c r="BU7" s="417"/>
      <c r="BV7" s="399"/>
      <c r="BW7" s="393" t="s">
        <v>3165</v>
      </c>
      <c r="BX7" s="392" t="s">
        <v>3223</v>
      </c>
      <c r="BY7" s="393" t="s">
        <v>7227</v>
      </c>
      <c r="BZ7" s="393"/>
      <c r="CA7" s="441" t="s">
        <v>1663</v>
      </c>
      <c r="CB7" s="400"/>
      <c r="CC7" s="398"/>
      <c r="CD7" s="398"/>
      <c r="CE7" s="398"/>
      <c r="CF7" s="398"/>
      <c r="CG7" s="398"/>
      <c r="CH7" s="398"/>
      <c r="CI7" s="398">
        <v>23.885999999999999</v>
      </c>
      <c r="CJ7" s="398">
        <v>47.771999999999998</v>
      </c>
      <c r="CK7" s="398">
        <v>47.771999999999998</v>
      </c>
      <c r="CL7" s="398">
        <v>47.771999999999998</v>
      </c>
      <c r="CM7" s="398">
        <v>47.771999999999998</v>
      </c>
      <c r="CN7" s="398">
        <v>47.771999999999998</v>
      </c>
      <c r="CO7" s="398">
        <v>47.771999999999998</v>
      </c>
      <c r="CP7" s="398">
        <v>23.885999999999999</v>
      </c>
      <c r="CQ7" s="398"/>
      <c r="CR7" s="398"/>
      <c r="CS7" s="398"/>
      <c r="CT7" s="398"/>
      <c r="CU7" s="398"/>
      <c r="CV7" s="398"/>
      <c r="CW7" s="398"/>
      <c r="CX7" s="398"/>
      <c r="CY7" s="398"/>
      <c r="CZ7" s="398"/>
      <c r="DA7" s="398"/>
      <c r="DB7" s="398"/>
      <c r="DC7" s="398"/>
      <c r="DD7" s="398"/>
      <c r="DE7" s="393"/>
      <c r="DF7" s="393"/>
      <c r="DG7" s="393"/>
      <c r="DH7" s="393"/>
      <c r="DI7" s="393"/>
      <c r="DJ7" s="393"/>
      <c r="DK7" s="897"/>
    </row>
    <row r="8" spans="1:115" ht="38.25" x14ac:dyDescent="0.2">
      <c r="A8" s="295">
        <v>4</v>
      </c>
      <c r="B8" s="390" t="s">
        <v>4986</v>
      </c>
      <c r="C8" s="390"/>
      <c r="D8" s="391" t="s">
        <v>4987</v>
      </c>
      <c r="E8" s="704" t="s">
        <v>4988</v>
      </c>
      <c r="F8" s="393" t="s">
        <v>1352</v>
      </c>
      <c r="G8" s="393" t="s">
        <v>1673</v>
      </c>
      <c r="H8" s="393" t="s">
        <v>67</v>
      </c>
      <c r="I8" s="392"/>
      <c r="J8" s="392"/>
      <c r="K8" s="392" t="s">
        <v>67</v>
      </c>
      <c r="L8" s="392" t="s">
        <v>165</v>
      </c>
      <c r="M8" s="392"/>
      <c r="N8" s="393" t="s">
        <v>44</v>
      </c>
      <c r="O8" s="393" t="s">
        <v>827</v>
      </c>
      <c r="P8" s="393" t="s">
        <v>827</v>
      </c>
      <c r="Q8" s="392" t="s">
        <v>836</v>
      </c>
      <c r="R8" s="392" t="s">
        <v>4989</v>
      </c>
      <c r="S8" s="392" t="s">
        <v>839</v>
      </c>
      <c r="T8" s="394">
        <v>1</v>
      </c>
      <c r="U8" s="395">
        <v>39.109000000000002</v>
      </c>
      <c r="V8" s="395"/>
      <c r="W8" s="453"/>
      <c r="X8" s="394"/>
      <c r="Y8" s="394">
        <v>7</v>
      </c>
      <c r="Z8" s="394">
        <v>25</v>
      </c>
      <c r="AA8" s="395">
        <v>9</v>
      </c>
      <c r="AB8" s="452">
        <v>41456</v>
      </c>
      <c r="AC8" s="398">
        <v>0</v>
      </c>
      <c r="AD8" s="398">
        <v>293.58536986301368</v>
      </c>
      <c r="AE8" s="393" t="s">
        <v>54</v>
      </c>
      <c r="AF8" s="417"/>
      <c r="AG8" s="417">
        <f>35.517+35.908</f>
        <v>71.425000000000011</v>
      </c>
      <c r="AH8" s="417">
        <v>71.425000000000011</v>
      </c>
      <c r="AI8" s="394">
        <v>1</v>
      </c>
      <c r="AJ8" s="452">
        <v>42223</v>
      </c>
      <c r="AK8" s="452">
        <v>42369</v>
      </c>
      <c r="AL8" s="393"/>
      <c r="AM8" s="393"/>
      <c r="AN8" s="417"/>
      <c r="AO8" s="392"/>
      <c r="AP8" s="392"/>
      <c r="AQ8" s="392"/>
      <c r="AR8" s="392" t="s">
        <v>68</v>
      </c>
      <c r="AS8" s="480"/>
      <c r="AT8" s="453"/>
      <c r="AU8" s="453"/>
      <c r="AV8" s="453"/>
      <c r="AW8" s="453"/>
      <c r="AX8" s="453"/>
      <c r="AY8" s="453"/>
      <c r="AZ8" s="452">
        <v>41453</v>
      </c>
      <c r="BA8" s="393"/>
      <c r="BB8" s="393"/>
      <c r="BC8" s="393" t="b">
        <v>0</v>
      </c>
      <c r="BD8" s="393"/>
      <c r="BE8" s="392"/>
      <c r="BF8" s="394">
        <v>5</v>
      </c>
      <c r="BG8" s="394">
        <v>9</v>
      </c>
      <c r="BH8" s="394">
        <v>7</v>
      </c>
      <c r="BI8" s="394">
        <v>10</v>
      </c>
      <c r="BJ8" s="394">
        <v>6</v>
      </c>
      <c r="BK8" s="394"/>
      <c r="BL8" s="444" t="s">
        <v>6981</v>
      </c>
      <c r="BM8" s="392"/>
      <c r="BN8" s="393"/>
      <c r="BO8" s="393"/>
      <c r="BP8" s="399"/>
      <c r="BQ8" s="400"/>
      <c r="BR8" s="401"/>
      <c r="BS8" s="399">
        <v>8.91</v>
      </c>
      <c r="BT8" s="394"/>
      <c r="BU8" s="417"/>
      <c r="BV8" s="399"/>
      <c r="BW8" s="393" t="s">
        <v>3165</v>
      </c>
      <c r="BX8" s="392" t="s">
        <v>3223</v>
      </c>
      <c r="BY8" s="393" t="s">
        <v>7227</v>
      </c>
      <c r="BZ8" s="393"/>
      <c r="CA8" s="441" t="s">
        <v>1663</v>
      </c>
      <c r="CB8" s="400"/>
      <c r="CC8" s="398"/>
      <c r="CD8" s="398"/>
      <c r="CE8" s="398"/>
      <c r="CF8" s="398"/>
      <c r="CG8" s="398"/>
      <c r="CH8" s="398"/>
      <c r="CI8" s="398">
        <v>19.555</v>
      </c>
      <c r="CJ8" s="398">
        <v>39.109000000000002</v>
      </c>
      <c r="CK8" s="398">
        <v>39.109000000000002</v>
      </c>
      <c r="CL8" s="398">
        <v>39.109000000000002</v>
      </c>
      <c r="CM8" s="398">
        <v>39.109000000000002</v>
      </c>
      <c r="CN8" s="398">
        <v>39.109000000000002</v>
      </c>
      <c r="CO8" s="398">
        <v>39.109000000000002</v>
      </c>
      <c r="CP8" s="398">
        <v>19.555</v>
      </c>
      <c r="CQ8" s="398"/>
      <c r="CR8" s="398"/>
      <c r="CS8" s="398"/>
      <c r="CT8" s="398"/>
      <c r="CU8" s="398"/>
      <c r="CV8" s="398"/>
      <c r="CW8" s="398"/>
      <c r="CX8" s="398"/>
      <c r="CY8" s="398"/>
      <c r="CZ8" s="398"/>
      <c r="DA8" s="398"/>
      <c r="DB8" s="398"/>
      <c r="DC8" s="398"/>
      <c r="DD8" s="398"/>
      <c r="DE8" s="393"/>
      <c r="DF8" s="393"/>
      <c r="DG8" s="393"/>
      <c r="DH8" s="393"/>
      <c r="DI8" s="393"/>
      <c r="DJ8" s="393"/>
      <c r="DK8" s="897"/>
    </row>
    <row r="9" spans="1:115" ht="38.25" x14ac:dyDescent="0.2">
      <c r="A9" s="295">
        <v>5</v>
      </c>
      <c r="B9" s="390" t="s">
        <v>4990</v>
      </c>
      <c r="C9" s="390"/>
      <c r="D9" s="391" t="s">
        <v>4991</v>
      </c>
      <c r="E9" s="704" t="s">
        <v>4992</v>
      </c>
      <c r="F9" s="393" t="s">
        <v>1352</v>
      </c>
      <c r="G9" s="393" t="s">
        <v>1673</v>
      </c>
      <c r="H9" s="393" t="s">
        <v>67</v>
      </c>
      <c r="I9" s="392"/>
      <c r="J9" s="392"/>
      <c r="K9" s="392" t="s">
        <v>67</v>
      </c>
      <c r="L9" s="392" t="s">
        <v>165</v>
      </c>
      <c r="M9" s="392"/>
      <c r="N9" s="393" t="s">
        <v>44</v>
      </c>
      <c r="O9" s="393" t="s">
        <v>827</v>
      </c>
      <c r="P9" s="393" t="s">
        <v>827</v>
      </c>
      <c r="Q9" s="392" t="s">
        <v>836</v>
      </c>
      <c r="R9" s="392" t="s">
        <v>4993</v>
      </c>
      <c r="S9" s="392" t="s">
        <v>839</v>
      </c>
      <c r="T9" s="394">
        <v>1</v>
      </c>
      <c r="U9" s="395">
        <v>35.326999999999998</v>
      </c>
      <c r="V9" s="395"/>
      <c r="W9" s="453"/>
      <c r="X9" s="394"/>
      <c r="Y9" s="394">
        <v>7</v>
      </c>
      <c r="Z9" s="394">
        <v>25</v>
      </c>
      <c r="AA9" s="395">
        <v>9</v>
      </c>
      <c r="AB9" s="452">
        <v>41456</v>
      </c>
      <c r="AC9" s="398">
        <v>0</v>
      </c>
      <c r="AD9" s="398">
        <v>265.19446575342465</v>
      </c>
      <c r="AE9" s="393" t="s">
        <v>54</v>
      </c>
      <c r="AF9" s="417"/>
      <c r="AG9" s="417">
        <f>28.301+28.326</f>
        <v>56.626999999999995</v>
      </c>
      <c r="AH9" s="417">
        <v>56.626999999999995</v>
      </c>
      <c r="AI9" s="394">
        <v>1</v>
      </c>
      <c r="AJ9" s="452">
        <v>42223</v>
      </c>
      <c r="AK9" s="452">
        <v>42369</v>
      </c>
      <c r="AL9" s="393"/>
      <c r="AM9" s="393"/>
      <c r="AN9" s="417"/>
      <c r="AO9" s="392"/>
      <c r="AP9" s="392"/>
      <c r="AQ9" s="392"/>
      <c r="AR9" s="392" t="s">
        <v>68</v>
      </c>
      <c r="AS9" s="480"/>
      <c r="AT9" s="453"/>
      <c r="AU9" s="453"/>
      <c r="AV9" s="453"/>
      <c r="AW9" s="453"/>
      <c r="AX9" s="453"/>
      <c r="AY9" s="453"/>
      <c r="AZ9" s="452">
        <v>41453</v>
      </c>
      <c r="BA9" s="393"/>
      <c r="BB9" s="393"/>
      <c r="BC9" s="393" t="b">
        <v>0</v>
      </c>
      <c r="BD9" s="393"/>
      <c r="BE9" s="392"/>
      <c r="BF9" s="394">
        <v>5</v>
      </c>
      <c r="BG9" s="394">
        <v>9</v>
      </c>
      <c r="BH9" s="394">
        <v>7</v>
      </c>
      <c r="BI9" s="394">
        <v>10</v>
      </c>
      <c r="BJ9" s="394">
        <v>6</v>
      </c>
      <c r="BK9" s="394"/>
      <c r="BL9" s="444" t="s">
        <v>6981</v>
      </c>
      <c r="BM9" s="392"/>
      <c r="BN9" s="393"/>
      <c r="BO9" s="393"/>
      <c r="BP9" s="399"/>
      <c r="BQ9" s="400"/>
      <c r="BR9" s="401"/>
      <c r="BS9" s="399">
        <v>7.5987900000000002</v>
      </c>
      <c r="BT9" s="394"/>
      <c r="BU9" s="417"/>
      <c r="BV9" s="399"/>
      <c r="BW9" s="393" t="s">
        <v>3165</v>
      </c>
      <c r="BX9" s="392" t="s">
        <v>3223</v>
      </c>
      <c r="BY9" s="393" t="s">
        <v>7227</v>
      </c>
      <c r="BZ9" s="393"/>
      <c r="CA9" s="441" t="s">
        <v>1663</v>
      </c>
      <c r="CB9" s="400"/>
      <c r="CC9" s="398"/>
      <c r="CD9" s="398"/>
      <c r="CE9" s="398"/>
      <c r="CF9" s="398"/>
      <c r="CG9" s="398"/>
      <c r="CH9" s="398"/>
      <c r="CI9" s="398">
        <v>17.664000000000001</v>
      </c>
      <c r="CJ9" s="398">
        <v>35.326999999999998</v>
      </c>
      <c r="CK9" s="398">
        <v>35.326999999999998</v>
      </c>
      <c r="CL9" s="398">
        <v>35.326999999999998</v>
      </c>
      <c r="CM9" s="398">
        <v>35.326999999999998</v>
      </c>
      <c r="CN9" s="398">
        <v>35.326999999999998</v>
      </c>
      <c r="CO9" s="398">
        <v>35.326999999999998</v>
      </c>
      <c r="CP9" s="398">
        <v>17.664000000000001</v>
      </c>
      <c r="CQ9" s="398"/>
      <c r="CR9" s="398"/>
      <c r="CS9" s="398"/>
      <c r="CT9" s="398"/>
      <c r="CU9" s="398"/>
      <c r="CV9" s="398"/>
      <c r="CW9" s="398"/>
      <c r="CX9" s="398"/>
      <c r="CY9" s="398"/>
      <c r="CZ9" s="398"/>
      <c r="DA9" s="398"/>
      <c r="DB9" s="398"/>
      <c r="DC9" s="398"/>
      <c r="DD9" s="398"/>
      <c r="DE9" s="393"/>
      <c r="DF9" s="393"/>
      <c r="DG9" s="393"/>
      <c r="DH9" s="393"/>
      <c r="DI9" s="393"/>
      <c r="DJ9" s="393"/>
      <c r="DK9" s="897"/>
    </row>
    <row r="10" spans="1:115" ht="38.25" x14ac:dyDescent="0.2">
      <c r="A10" s="295">
        <v>6</v>
      </c>
      <c r="B10" s="390" t="s">
        <v>4994</v>
      </c>
      <c r="C10" s="390"/>
      <c r="D10" s="391" t="s">
        <v>4995</v>
      </c>
      <c r="E10" s="704" t="s">
        <v>4996</v>
      </c>
      <c r="F10" s="393" t="s">
        <v>1352</v>
      </c>
      <c r="G10" s="393" t="s">
        <v>1673</v>
      </c>
      <c r="H10" s="393" t="s">
        <v>67</v>
      </c>
      <c r="I10" s="392"/>
      <c r="J10" s="392"/>
      <c r="K10" s="392" t="s">
        <v>67</v>
      </c>
      <c r="L10" s="392" t="s">
        <v>165</v>
      </c>
      <c r="M10" s="392"/>
      <c r="N10" s="393" t="s">
        <v>44</v>
      </c>
      <c r="O10" s="393" t="s">
        <v>827</v>
      </c>
      <c r="P10" s="393" t="s">
        <v>827</v>
      </c>
      <c r="Q10" s="392" t="s">
        <v>836</v>
      </c>
      <c r="R10" s="392" t="s">
        <v>4997</v>
      </c>
      <c r="S10" s="392" t="s">
        <v>839</v>
      </c>
      <c r="T10" s="394">
        <v>1</v>
      </c>
      <c r="U10" s="395">
        <v>45.892000000000003</v>
      </c>
      <c r="V10" s="395"/>
      <c r="W10" s="453"/>
      <c r="X10" s="394"/>
      <c r="Y10" s="394">
        <v>7</v>
      </c>
      <c r="Z10" s="394">
        <v>25</v>
      </c>
      <c r="AA10" s="395">
        <v>9</v>
      </c>
      <c r="AB10" s="452">
        <v>41456</v>
      </c>
      <c r="AC10" s="398">
        <v>0</v>
      </c>
      <c r="AD10" s="398">
        <v>344.5043287671233</v>
      </c>
      <c r="AE10" s="393" t="s">
        <v>54</v>
      </c>
      <c r="AF10" s="417"/>
      <c r="AG10" s="417">
        <f>37.828+38.102</f>
        <v>75.930000000000007</v>
      </c>
      <c r="AH10" s="417">
        <v>75.930000000000007</v>
      </c>
      <c r="AI10" s="394">
        <v>1</v>
      </c>
      <c r="AJ10" s="452">
        <v>42223</v>
      </c>
      <c r="AK10" s="452">
        <v>42369</v>
      </c>
      <c r="AL10" s="393"/>
      <c r="AM10" s="393"/>
      <c r="AN10" s="417"/>
      <c r="AO10" s="392"/>
      <c r="AP10" s="392"/>
      <c r="AQ10" s="392"/>
      <c r="AR10" s="392" t="s">
        <v>68</v>
      </c>
      <c r="AS10" s="480"/>
      <c r="AT10" s="453"/>
      <c r="AU10" s="453"/>
      <c r="AV10" s="453"/>
      <c r="AW10" s="453"/>
      <c r="AX10" s="453"/>
      <c r="AY10" s="453"/>
      <c r="AZ10" s="452">
        <v>41453</v>
      </c>
      <c r="BA10" s="393"/>
      <c r="BB10" s="393"/>
      <c r="BC10" s="393" t="b">
        <v>0</v>
      </c>
      <c r="BD10" s="393"/>
      <c r="BE10" s="392"/>
      <c r="BF10" s="394">
        <v>5</v>
      </c>
      <c r="BG10" s="394">
        <v>9</v>
      </c>
      <c r="BH10" s="394">
        <v>7</v>
      </c>
      <c r="BI10" s="394">
        <v>10</v>
      </c>
      <c r="BJ10" s="394">
        <v>6</v>
      </c>
      <c r="BK10" s="394"/>
      <c r="BL10" s="444" t="s">
        <v>6981</v>
      </c>
      <c r="BM10" s="392"/>
      <c r="BN10" s="393"/>
      <c r="BO10" s="393"/>
      <c r="BP10" s="399"/>
      <c r="BQ10" s="400"/>
      <c r="BR10" s="401"/>
      <c r="BS10" s="399">
        <v>9.74</v>
      </c>
      <c r="BT10" s="394"/>
      <c r="BU10" s="417"/>
      <c r="BV10" s="399"/>
      <c r="BW10" s="393" t="s">
        <v>3165</v>
      </c>
      <c r="BX10" s="392" t="s">
        <v>3223</v>
      </c>
      <c r="BY10" s="393" t="s">
        <v>7227</v>
      </c>
      <c r="BZ10" s="393"/>
      <c r="CA10" s="441" t="s">
        <v>1663</v>
      </c>
      <c r="CB10" s="400"/>
      <c r="CC10" s="398"/>
      <c r="CD10" s="398"/>
      <c r="CE10" s="398"/>
      <c r="CF10" s="398"/>
      <c r="CG10" s="398"/>
      <c r="CH10" s="398"/>
      <c r="CI10" s="398">
        <v>22.946000000000002</v>
      </c>
      <c r="CJ10" s="398">
        <v>45.892000000000003</v>
      </c>
      <c r="CK10" s="398">
        <v>45.892000000000003</v>
      </c>
      <c r="CL10" s="398">
        <v>45.892000000000003</v>
      </c>
      <c r="CM10" s="398">
        <v>45.892000000000003</v>
      </c>
      <c r="CN10" s="398">
        <v>45.892000000000003</v>
      </c>
      <c r="CO10" s="398">
        <v>45.892000000000003</v>
      </c>
      <c r="CP10" s="398">
        <v>22.946000000000002</v>
      </c>
      <c r="CQ10" s="398"/>
      <c r="CR10" s="398"/>
      <c r="CS10" s="398"/>
      <c r="CT10" s="398"/>
      <c r="CU10" s="398"/>
      <c r="CV10" s="398"/>
      <c r="CW10" s="398"/>
      <c r="CX10" s="398"/>
      <c r="CY10" s="398"/>
      <c r="CZ10" s="398"/>
      <c r="DA10" s="398"/>
      <c r="DB10" s="398"/>
      <c r="DC10" s="398"/>
      <c r="DD10" s="398"/>
      <c r="DE10" s="393"/>
      <c r="DF10" s="393"/>
      <c r="DG10" s="393"/>
      <c r="DH10" s="393"/>
      <c r="DI10" s="393"/>
      <c r="DJ10" s="393"/>
      <c r="DK10" s="897"/>
    </row>
    <row r="11" spans="1:115" ht="38.25" x14ac:dyDescent="0.2">
      <c r="A11" s="295">
        <v>7</v>
      </c>
      <c r="B11" s="390" t="s">
        <v>4998</v>
      </c>
      <c r="C11" s="390"/>
      <c r="D11" s="391" t="s">
        <v>4999</v>
      </c>
      <c r="E11" s="704" t="s">
        <v>5000</v>
      </c>
      <c r="F11" s="393" t="s">
        <v>1352</v>
      </c>
      <c r="G11" s="393" t="s">
        <v>1673</v>
      </c>
      <c r="H11" s="393" t="s">
        <v>67</v>
      </c>
      <c r="I11" s="392"/>
      <c r="J11" s="392"/>
      <c r="K11" s="392" t="s">
        <v>67</v>
      </c>
      <c r="L11" s="392" t="s">
        <v>165</v>
      </c>
      <c r="M11" s="392"/>
      <c r="N11" s="393" t="s">
        <v>44</v>
      </c>
      <c r="O11" s="393" t="s">
        <v>827</v>
      </c>
      <c r="P11" s="393" t="s">
        <v>827</v>
      </c>
      <c r="Q11" s="392" t="s">
        <v>836</v>
      </c>
      <c r="R11" s="392" t="s">
        <v>5001</v>
      </c>
      <c r="S11" s="392" t="s">
        <v>839</v>
      </c>
      <c r="T11" s="394">
        <v>1</v>
      </c>
      <c r="U11" s="395">
        <v>47.633000000000003</v>
      </c>
      <c r="V11" s="395"/>
      <c r="W11" s="453"/>
      <c r="X11" s="394"/>
      <c r="Y11" s="394">
        <v>7</v>
      </c>
      <c r="Z11" s="394">
        <v>25</v>
      </c>
      <c r="AA11" s="395">
        <v>9</v>
      </c>
      <c r="AB11" s="452">
        <v>41456</v>
      </c>
      <c r="AC11" s="398">
        <v>0</v>
      </c>
      <c r="AD11" s="398">
        <v>357.57375342465758</v>
      </c>
      <c r="AE11" s="393" t="s">
        <v>54</v>
      </c>
      <c r="AF11" s="417"/>
      <c r="AG11" s="417">
        <f>39.307+39.099</f>
        <v>78.406000000000006</v>
      </c>
      <c r="AH11" s="417">
        <v>78.406000000000006</v>
      </c>
      <c r="AI11" s="394">
        <v>1</v>
      </c>
      <c r="AJ11" s="452">
        <v>42223</v>
      </c>
      <c r="AK11" s="452">
        <v>42369</v>
      </c>
      <c r="AL11" s="393"/>
      <c r="AM11" s="393"/>
      <c r="AN11" s="417"/>
      <c r="AO11" s="392"/>
      <c r="AP11" s="392"/>
      <c r="AQ11" s="392"/>
      <c r="AR11" s="392" t="s">
        <v>68</v>
      </c>
      <c r="AS11" s="480"/>
      <c r="AT11" s="453"/>
      <c r="AU11" s="453"/>
      <c r="AV11" s="453"/>
      <c r="AW11" s="453"/>
      <c r="AX11" s="453"/>
      <c r="AY11" s="453"/>
      <c r="AZ11" s="452">
        <v>41453</v>
      </c>
      <c r="BA11" s="393"/>
      <c r="BB11" s="393"/>
      <c r="BC11" s="393" t="b">
        <v>0</v>
      </c>
      <c r="BD11" s="393"/>
      <c r="BE11" s="392"/>
      <c r="BF11" s="394">
        <v>5</v>
      </c>
      <c r="BG11" s="394">
        <v>9</v>
      </c>
      <c r="BH11" s="394">
        <v>7</v>
      </c>
      <c r="BI11" s="394">
        <v>10</v>
      </c>
      <c r="BJ11" s="394">
        <v>6</v>
      </c>
      <c r="BK11" s="394"/>
      <c r="BL11" s="444" t="s">
        <v>6981</v>
      </c>
      <c r="BM11" s="392"/>
      <c r="BN11" s="393"/>
      <c r="BO11" s="393"/>
      <c r="BP11" s="399"/>
      <c r="BQ11" s="400"/>
      <c r="BR11" s="401"/>
      <c r="BS11" s="399">
        <v>10.26</v>
      </c>
      <c r="BT11" s="394"/>
      <c r="BU11" s="417"/>
      <c r="BV11" s="399"/>
      <c r="BW11" s="393" t="s">
        <v>3165</v>
      </c>
      <c r="BX11" s="392" t="s">
        <v>3223</v>
      </c>
      <c r="BY11" s="393" t="s">
        <v>7227</v>
      </c>
      <c r="BZ11" s="393"/>
      <c r="CA11" s="441" t="s">
        <v>1663</v>
      </c>
      <c r="CB11" s="400"/>
      <c r="CC11" s="398"/>
      <c r="CD11" s="398"/>
      <c r="CE11" s="398"/>
      <c r="CF11" s="398"/>
      <c r="CG11" s="398"/>
      <c r="CH11" s="398"/>
      <c r="CI11" s="398">
        <v>23.817</v>
      </c>
      <c r="CJ11" s="398">
        <v>47.633000000000003</v>
      </c>
      <c r="CK11" s="398">
        <v>47.633000000000003</v>
      </c>
      <c r="CL11" s="398">
        <v>47.633000000000003</v>
      </c>
      <c r="CM11" s="398">
        <v>47.633000000000003</v>
      </c>
      <c r="CN11" s="398">
        <v>47.633000000000003</v>
      </c>
      <c r="CO11" s="398">
        <v>47.633000000000003</v>
      </c>
      <c r="CP11" s="398">
        <v>23.817</v>
      </c>
      <c r="CQ11" s="398"/>
      <c r="CR11" s="398"/>
      <c r="CS11" s="398"/>
      <c r="CT11" s="398"/>
      <c r="CU11" s="398"/>
      <c r="CV11" s="398"/>
      <c r="CW11" s="398"/>
      <c r="CX11" s="398"/>
      <c r="CY11" s="398"/>
      <c r="CZ11" s="398"/>
      <c r="DA11" s="398"/>
      <c r="DB11" s="398"/>
      <c r="DC11" s="398"/>
      <c r="DD11" s="398"/>
      <c r="DE11" s="393"/>
      <c r="DF11" s="393"/>
      <c r="DG11" s="393"/>
      <c r="DH11" s="393"/>
      <c r="DI11" s="393"/>
      <c r="DJ11" s="393"/>
      <c r="DK11" s="897"/>
    </row>
    <row r="12" spans="1:115" ht="38.25" x14ac:dyDescent="0.2">
      <c r="A12" s="295">
        <v>8</v>
      </c>
      <c r="B12" s="390" t="s">
        <v>5002</v>
      </c>
      <c r="C12" s="390"/>
      <c r="D12" s="391" t="s">
        <v>5003</v>
      </c>
      <c r="E12" s="704" t="s">
        <v>5004</v>
      </c>
      <c r="F12" s="393" t="s">
        <v>1352</v>
      </c>
      <c r="G12" s="393" t="s">
        <v>1673</v>
      </c>
      <c r="H12" s="393" t="s">
        <v>67</v>
      </c>
      <c r="I12" s="392"/>
      <c r="J12" s="392"/>
      <c r="K12" s="392" t="s">
        <v>67</v>
      </c>
      <c r="L12" s="392" t="s">
        <v>165</v>
      </c>
      <c r="M12" s="392"/>
      <c r="N12" s="393" t="s">
        <v>44</v>
      </c>
      <c r="O12" s="393" t="s">
        <v>827</v>
      </c>
      <c r="P12" s="393" t="s">
        <v>827</v>
      </c>
      <c r="Q12" s="392" t="s">
        <v>836</v>
      </c>
      <c r="R12" s="392" t="s">
        <v>5005</v>
      </c>
      <c r="S12" s="392" t="s">
        <v>839</v>
      </c>
      <c r="T12" s="394">
        <v>1</v>
      </c>
      <c r="U12" s="395">
        <v>36.712000000000003</v>
      </c>
      <c r="V12" s="395"/>
      <c r="W12" s="453"/>
      <c r="X12" s="394"/>
      <c r="Y12" s="394">
        <v>7</v>
      </c>
      <c r="Z12" s="394">
        <v>25</v>
      </c>
      <c r="AA12" s="395">
        <v>9</v>
      </c>
      <c r="AB12" s="452">
        <v>41456</v>
      </c>
      <c r="AC12" s="398">
        <v>0</v>
      </c>
      <c r="AD12" s="398">
        <v>275.59145205479456</v>
      </c>
      <c r="AE12" s="393" t="s">
        <v>54</v>
      </c>
      <c r="AF12" s="417"/>
      <c r="AG12" s="417">
        <f>29.57+29.459</f>
        <v>59.028999999999996</v>
      </c>
      <c r="AH12" s="417">
        <v>59.028999999999996</v>
      </c>
      <c r="AI12" s="394">
        <v>1</v>
      </c>
      <c r="AJ12" s="452">
        <v>42223</v>
      </c>
      <c r="AK12" s="452">
        <v>42369</v>
      </c>
      <c r="AL12" s="393"/>
      <c r="AM12" s="393"/>
      <c r="AN12" s="417"/>
      <c r="AO12" s="392"/>
      <c r="AP12" s="392"/>
      <c r="AQ12" s="392"/>
      <c r="AR12" s="392" t="s">
        <v>68</v>
      </c>
      <c r="AS12" s="480"/>
      <c r="AT12" s="453"/>
      <c r="AU12" s="453"/>
      <c r="AV12" s="453"/>
      <c r="AW12" s="453"/>
      <c r="AX12" s="453"/>
      <c r="AY12" s="453"/>
      <c r="AZ12" s="452">
        <v>41453</v>
      </c>
      <c r="BA12" s="393"/>
      <c r="BB12" s="393"/>
      <c r="BC12" s="393" t="b">
        <v>0</v>
      </c>
      <c r="BD12" s="393"/>
      <c r="BE12" s="392"/>
      <c r="BF12" s="394">
        <v>5</v>
      </c>
      <c r="BG12" s="394">
        <v>9</v>
      </c>
      <c r="BH12" s="394">
        <v>7</v>
      </c>
      <c r="BI12" s="394">
        <v>10</v>
      </c>
      <c r="BJ12" s="394">
        <v>6</v>
      </c>
      <c r="BK12" s="394"/>
      <c r="BL12" s="444" t="s">
        <v>6981</v>
      </c>
      <c r="BM12" s="392"/>
      <c r="BN12" s="393"/>
      <c r="BO12" s="393"/>
      <c r="BP12" s="399"/>
      <c r="BQ12" s="400"/>
      <c r="BR12" s="401"/>
      <c r="BS12" s="399">
        <v>7.75</v>
      </c>
      <c r="BT12" s="394"/>
      <c r="BU12" s="417"/>
      <c r="BV12" s="399"/>
      <c r="BW12" s="393" t="s">
        <v>3165</v>
      </c>
      <c r="BX12" s="392" t="s">
        <v>3223</v>
      </c>
      <c r="BY12" s="393" t="s">
        <v>7227</v>
      </c>
      <c r="BZ12" s="393"/>
      <c r="CA12" s="441" t="s">
        <v>1663</v>
      </c>
      <c r="CB12" s="400"/>
      <c r="CC12" s="398"/>
      <c r="CD12" s="398"/>
      <c r="CE12" s="398"/>
      <c r="CF12" s="398"/>
      <c r="CG12" s="398"/>
      <c r="CH12" s="398"/>
      <c r="CI12" s="398">
        <v>18.356000000000002</v>
      </c>
      <c r="CJ12" s="398">
        <v>36.712000000000003</v>
      </c>
      <c r="CK12" s="398">
        <v>36.712000000000003</v>
      </c>
      <c r="CL12" s="398">
        <v>36.712000000000003</v>
      </c>
      <c r="CM12" s="398">
        <v>36.712000000000003</v>
      </c>
      <c r="CN12" s="398">
        <v>36.712000000000003</v>
      </c>
      <c r="CO12" s="398">
        <v>36.712000000000003</v>
      </c>
      <c r="CP12" s="398">
        <v>18.356000000000002</v>
      </c>
      <c r="CQ12" s="398"/>
      <c r="CR12" s="398"/>
      <c r="CS12" s="398"/>
      <c r="CT12" s="398"/>
      <c r="CU12" s="398"/>
      <c r="CV12" s="398"/>
      <c r="CW12" s="398"/>
      <c r="CX12" s="398"/>
      <c r="CY12" s="398"/>
      <c r="CZ12" s="398"/>
      <c r="DA12" s="398"/>
      <c r="DB12" s="398"/>
      <c r="DC12" s="398"/>
      <c r="DD12" s="398"/>
      <c r="DE12" s="393"/>
      <c r="DF12" s="393"/>
      <c r="DG12" s="393"/>
      <c r="DH12" s="393"/>
      <c r="DI12" s="393"/>
      <c r="DJ12" s="393"/>
      <c r="DK12" s="897"/>
    </row>
    <row r="13" spans="1:115" ht="38.25" x14ac:dyDescent="0.2">
      <c r="A13" s="295">
        <v>9</v>
      </c>
      <c r="B13" s="390" t="s">
        <v>5006</v>
      </c>
      <c r="C13" s="390"/>
      <c r="D13" s="391" t="s">
        <v>5007</v>
      </c>
      <c r="E13" s="704" t="s">
        <v>5008</v>
      </c>
      <c r="F13" s="393" t="s">
        <v>1352</v>
      </c>
      <c r="G13" s="393" t="s">
        <v>1673</v>
      </c>
      <c r="H13" s="393" t="s">
        <v>67</v>
      </c>
      <c r="I13" s="392"/>
      <c r="J13" s="392"/>
      <c r="K13" s="392" t="s">
        <v>67</v>
      </c>
      <c r="L13" s="392" t="s">
        <v>165</v>
      </c>
      <c r="M13" s="392"/>
      <c r="N13" s="393" t="s">
        <v>44</v>
      </c>
      <c r="O13" s="393" t="s">
        <v>827</v>
      </c>
      <c r="P13" s="393" t="s">
        <v>827</v>
      </c>
      <c r="Q13" s="392" t="s">
        <v>836</v>
      </c>
      <c r="R13" s="392" t="s">
        <v>5009</v>
      </c>
      <c r="S13" s="392" t="s">
        <v>839</v>
      </c>
      <c r="T13" s="394">
        <v>1</v>
      </c>
      <c r="U13" s="395">
        <v>34.719000000000001</v>
      </c>
      <c r="V13" s="395"/>
      <c r="W13" s="453"/>
      <c r="X13" s="394"/>
      <c r="Y13" s="394">
        <v>7</v>
      </c>
      <c r="Z13" s="394">
        <v>25</v>
      </c>
      <c r="AA13" s="395">
        <v>9</v>
      </c>
      <c r="AB13" s="452">
        <v>41456</v>
      </c>
      <c r="AC13" s="398">
        <v>0</v>
      </c>
      <c r="AD13" s="398">
        <v>260.63030136986299</v>
      </c>
      <c r="AE13" s="393" t="s">
        <v>54</v>
      </c>
      <c r="AF13" s="417"/>
      <c r="AG13" s="417">
        <f>39.795+32.276</f>
        <v>72.070999999999998</v>
      </c>
      <c r="AH13" s="417">
        <v>72.070999999999998</v>
      </c>
      <c r="AI13" s="394">
        <v>1</v>
      </c>
      <c r="AJ13" s="452">
        <v>42223</v>
      </c>
      <c r="AK13" s="452">
        <v>42369</v>
      </c>
      <c r="AL13" s="393"/>
      <c r="AM13" s="393"/>
      <c r="AN13" s="417"/>
      <c r="AO13" s="392"/>
      <c r="AP13" s="392"/>
      <c r="AQ13" s="392"/>
      <c r="AR13" s="392" t="s">
        <v>68</v>
      </c>
      <c r="AS13" s="480"/>
      <c r="AT13" s="453"/>
      <c r="AU13" s="453"/>
      <c r="AV13" s="453"/>
      <c r="AW13" s="453"/>
      <c r="AX13" s="453"/>
      <c r="AY13" s="453"/>
      <c r="AZ13" s="452">
        <v>41453</v>
      </c>
      <c r="BA13" s="393"/>
      <c r="BB13" s="393"/>
      <c r="BC13" s="393" t="b">
        <v>0</v>
      </c>
      <c r="BD13" s="393"/>
      <c r="BE13" s="392"/>
      <c r="BF13" s="394">
        <v>5</v>
      </c>
      <c r="BG13" s="394">
        <v>9</v>
      </c>
      <c r="BH13" s="394">
        <v>7</v>
      </c>
      <c r="BI13" s="394">
        <v>10</v>
      </c>
      <c r="BJ13" s="394">
        <v>6</v>
      </c>
      <c r="BK13" s="394"/>
      <c r="BL13" s="444" t="s">
        <v>6981</v>
      </c>
      <c r="BM13" s="392"/>
      <c r="BN13" s="393"/>
      <c r="BO13" s="393"/>
      <c r="BP13" s="399"/>
      <c r="BQ13" s="400"/>
      <c r="BR13" s="401"/>
      <c r="BS13" s="399">
        <v>8</v>
      </c>
      <c r="BT13" s="394"/>
      <c r="BU13" s="417"/>
      <c r="BV13" s="399"/>
      <c r="BW13" s="393" t="s">
        <v>3165</v>
      </c>
      <c r="BX13" s="392" t="s">
        <v>3223</v>
      </c>
      <c r="BY13" s="393" t="s">
        <v>7227</v>
      </c>
      <c r="BZ13" s="393"/>
      <c r="CA13" s="441" t="s">
        <v>1663</v>
      </c>
      <c r="CB13" s="400"/>
      <c r="CC13" s="398"/>
      <c r="CD13" s="398"/>
      <c r="CE13" s="398"/>
      <c r="CF13" s="398"/>
      <c r="CG13" s="398"/>
      <c r="CH13" s="398"/>
      <c r="CI13" s="398">
        <v>17.36</v>
      </c>
      <c r="CJ13" s="398">
        <v>34.719000000000001</v>
      </c>
      <c r="CK13" s="398">
        <v>34.719000000000001</v>
      </c>
      <c r="CL13" s="398">
        <v>34.719000000000001</v>
      </c>
      <c r="CM13" s="398">
        <v>34.719000000000001</v>
      </c>
      <c r="CN13" s="398">
        <v>34.719000000000001</v>
      </c>
      <c r="CO13" s="398">
        <v>34.719000000000001</v>
      </c>
      <c r="CP13" s="398">
        <v>17.36</v>
      </c>
      <c r="CQ13" s="398"/>
      <c r="CR13" s="398"/>
      <c r="CS13" s="398"/>
      <c r="CT13" s="398"/>
      <c r="CU13" s="398"/>
      <c r="CV13" s="398"/>
      <c r="CW13" s="398"/>
      <c r="CX13" s="398"/>
      <c r="CY13" s="398"/>
      <c r="CZ13" s="398"/>
      <c r="DA13" s="398"/>
      <c r="DB13" s="398"/>
      <c r="DC13" s="398"/>
      <c r="DD13" s="398"/>
      <c r="DE13" s="393"/>
      <c r="DF13" s="393"/>
      <c r="DG13" s="393"/>
      <c r="DH13" s="393"/>
      <c r="DI13" s="393"/>
      <c r="DJ13" s="393"/>
      <c r="DK13" s="897"/>
    </row>
    <row r="14" spans="1:115" ht="38.25" x14ac:dyDescent="0.2">
      <c r="A14" s="295">
        <v>10</v>
      </c>
      <c r="B14" s="390" t="s">
        <v>5492</v>
      </c>
      <c r="C14" s="390"/>
      <c r="D14" s="391" t="s">
        <v>5493</v>
      </c>
      <c r="E14" s="704" t="s">
        <v>5494</v>
      </c>
      <c r="F14" s="393" t="s">
        <v>1352</v>
      </c>
      <c r="G14" s="393" t="s">
        <v>1673</v>
      </c>
      <c r="H14" s="393" t="s">
        <v>67</v>
      </c>
      <c r="I14" s="392"/>
      <c r="J14" s="392"/>
      <c r="K14" s="392" t="s">
        <v>67</v>
      </c>
      <c r="L14" s="392" t="s">
        <v>165</v>
      </c>
      <c r="M14" s="392"/>
      <c r="N14" s="393" t="s">
        <v>44</v>
      </c>
      <c r="O14" s="393" t="s">
        <v>827</v>
      </c>
      <c r="P14" s="393" t="s">
        <v>827</v>
      </c>
      <c r="Q14" s="392" t="s">
        <v>836</v>
      </c>
      <c r="R14" s="392" t="s">
        <v>5495</v>
      </c>
      <c r="S14" s="392" t="s">
        <v>839</v>
      </c>
      <c r="T14" s="394">
        <v>1</v>
      </c>
      <c r="U14" s="395">
        <v>41.475000000000001</v>
      </c>
      <c r="V14" s="395"/>
      <c r="W14" s="453"/>
      <c r="X14" s="394"/>
      <c r="Y14" s="394">
        <v>7</v>
      </c>
      <c r="Z14" s="394">
        <v>25</v>
      </c>
      <c r="AA14" s="395">
        <v>0</v>
      </c>
      <c r="AB14" s="452">
        <v>41518</v>
      </c>
      <c r="AC14" s="398">
        <v>0</v>
      </c>
      <c r="AD14" s="398">
        <v>304.3015068493151</v>
      </c>
      <c r="AE14" s="393" t="s">
        <v>54</v>
      </c>
      <c r="AF14" s="417"/>
      <c r="AG14" s="417">
        <f>24.074+27.415</f>
        <v>51.489000000000004</v>
      </c>
      <c r="AH14" s="417">
        <v>51.489000000000004</v>
      </c>
      <c r="AI14" s="394">
        <v>1</v>
      </c>
      <c r="AJ14" s="452">
        <v>42223</v>
      </c>
      <c r="AK14" s="452">
        <v>42369</v>
      </c>
      <c r="AL14" s="393"/>
      <c r="AM14" s="393"/>
      <c r="AN14" s="417"/>
      <c r="AO14" s="392"/>
      <c r="AP14" s="392"/>
      <c r="AQ14" s="392"/>
      <c r="AR14" s="392" t="s">
        <v>68</v>
      </c>
      <c r="AS14" s="480"/>
      <c r="AT14" s="453"/>
      <c r="AU14" s="453"/>
      <c r="AV14" s="453"/>
      <c r="AW14" s="453"/>
      <c r="AX14" s="453"/>
      <c r="AY14" s="453"/>
      <c r="AZ14" s="452">
        <v>41516</v>
      </c>
      <c r="BA14" s="393"/>
      <c r="BB14" s="393"/>
      <c r="BC14" s="393" t="b">
        <v>0</v>
      </c>
      <c r="BD14" s="393" t="s">
        <v>3116</v>
      </c>
      <c r="BE14" s="392"/>
      <c r="BF14" s="394">
        <v>5</v>
      </c>
      <c r="BG14" s="394">
        <v>9</v>
      </c>
      <c r="BH14" s="394">
        <v>7</v>
      </c>
      <c r="BI14" s="394">
        <v>10</v>
      </c>
      <c r="BJ14" s="394">
        <v>6</v>
      </c>
      <c r="BK14" s="394"/>
      <c r="BL14" s="444" t="s">
        <v>6981</v>
      </c>
      <c r="BM14" s="392"/>
      <c r="BN14" s="393"/>
      <c r="BO14" s="393"/>
      <c r="BP14" s="399"/>
      <c r="BQ14" s="400"/>
      <c r="BR14" s="401"/>
      <c r="BS14" s="399">
        <v>8.93</v>
      </c>
      <c r="BT14" s="394"/>
      <c r="BU14" s="417"/>
      <c r="BV14" s="399"/>
      <c r="BW14" s="393" t="s">
        <v>3165</v>
      </c>
      <c r="BX14" s="392" t="s">
        <v>3223</v>
      </c>
      <c r="BY14" s="393" t="s">
        <v>7227</v>
      </c>
      <c r="BZ14" s="393"/>
      <c r="CA14" s="441" t="s">
        <v>1663</v>
      </c>
      <c r="CB14" s="400"/>
      <c r="CC14" s="398"/>
      <c r="CD14" s="398"/>
      <c r="CE14" s="398"/>
      <c r="CF14" s="398"/>
      <c r="CG14" s="398"/>
      <c r="CH14" s="398"/>
      <c r="CI14" s="398">
        <v>41.475000000000001</v>
      </c>
      <c r="CJ14" s="398">
        <v>41.475000000000001</v>
      </c>
      <c r="CK14" s="398">
        <v>41.475000000000001</v>
      </c>
      <c r="CL14" s="398">
        <v>41.475000000000001</v>
      </c>
      <c r="CM14" s="398">
        <v>41.475000000000001</v>
      </c>
      <c r="CN14" s="398">
        <v>41.475000000000001</v>
      </c>
      <c r="CO14" s="398">
        <v>41.475000000000001</v>
      </c>
      <c r="CP14" s="398"/>
      <c r="CQ14" s="398"/>
      <c r="CR14" s="398"/>
      <c r="CS14" s="398"/>
      <c r="CT14" s="398"/>
      <c r="CU14" s="398"/>
      <c r="CV14" s="398"/>
      <c r="CW14" s="398"/>
      <c r="CX14" s="398"/>
      <c r="CY14" s="398"/>
      <c r="CZ14" s="398"/>
      <c r="DA14" s="398"/>
      <c r="DB14" s="398"/>
      <c r="DC14" s="398"/>
      <c r="DD14" s="398"/>
      <c r="DE14" s="393"/>
      <c r="DF14" s="393"/>
      <c r="DG14" s="393"/>
      <c r="DH14" s="393"/>
      <c r="DI14" s="393"/>
      <c r="DJ14" s="393"/>
      <c r="DK14" s="897"/>
    </row>
    <row r="15" spans="1:115" ht="38.25" x14ac:dyDescent="0.2">
      <c r="A15" s="295">
        <v>11</v>
      </c>
      <c r="B15" s="390" t="s">
        <v>5496</v>
      </c>
      <c r="C15" s="390"/>
      <c r="D15" s="391" t="s">
        <v>5497</v>
      </c>
      <c r="E15" s="704" t="s">
        <v>5498</v>
      </c>
      <c r="F15" s="393" t="s">
        <v>1352</v>
      </c>
      <c r="G15" s="393" t="s">
        <v>1673</v>
      </c>
      <c r="H15" s="393" t="s">
        <v>67</v>
      </c>
      <c r="I15" s="392"/>
      <c r="J15" s="392"/>
      <c r="K15" s="392" t="s">
        <v>67</v>
      </c>
      <c r="L15" s="392" t="s">
        <v>165</v>
      </c>
      <c r="M15" s="392"/>
      <c r="N15" s="393" t="s">
        <v>44</v>
      </c>
      <c r="O15" s="393" t="s">
        <v>827</v>
      </c>
      <c r="P15" s="393" t="s">
        <v>827</v>
      </c>
      <c r="Q15" s="392" t="s">
        <v>836</v>
      </c>
      <c r="R15" s="392" t="s">
        <v>5499</v>
      </c>
      <c r="S15" s="392" t="s">
        <v>839</v>
      </c>
      <c r="T15" s="394">
        <v>1</v>
      </c>
      <c r="U15" s="395">
        <v>44.067</v>
      </c>
      <c r="V15" s="395"/>
      <c r="W15" s="453"/>
      <c r="X15" s="394"/>
      <c r="Y15" s="394">
        <v>7</v>
      </c>
      <c r="Z15" s="394">
        <v>25</v>
      </c>
      <c r="AA15" s="395">
        <v>0</v>
      </c>
      <c r="AB15" s="452">
        <v>41760</v>
      </c>
      <c r="AC15" s="398">
        <v>0</v>
      </c>
      <c r="AD15" s="398">
        <v>294.10195068493152</v>
      </c>
      <c r="AE15" s="393" t="s">
        <v>54</v>
      </c>
      <c r="AF15" s="417"/>
      <c r="AG15" s="417">
        <f>6.283+18.56</f>
        <v>24.843</v>
      </c>
      <c r="AH15" s="417">
        <v>24.843</v>
      </c>
      <c r="AI15" s="394">
        <v>1</v>
      </c>
      <c r="AJ15" s="452">
        <v>42223</v>
      </c>
      <c r="AK15" s="452">
        <v>42369</v>
      </c>
      <c r="AL15" s="393"/>
      <c r="AM15" s="393"/>
      <c r="AN15" s="417"/>
      <c r="AO15" s="392"/>
      <c r="AP15" s="392"/>
      <c r="AQ15" s="392"/>
      <c r="AR15" s="392" t="s">
        <v>68</v>
      </c>
      <c r="AS15" s="480"/>
      <c r="AT15" s="453"/>
      <c r="AU15" s="453"/>
      <c r="AV15" s="453"/>
      <c r="AW15" s="453"/>
      <c r="AX15" s="453"/>
      <c r="AY15" s="453"/>
      <c r="AZ15" s="452">
        <v>41516</v>
      </c>
      <c r="BA15" s="393"/>
      <c r="BB15" s="393"/>
      <c r="BC15" s="393" t="b">
        <v>0</v>
      </c>
      <c r="BD15" s="393" t="s">
        <v>3116</v>
      </c>
      <c r="BE15" s="392"/>
      <c r="BF15" s="394">
        <v>5</v>
      </c>
      <c r="BG15" s="394">
        <v>9</v>
      </c>
      <c r="BH15" s="394">
        <v>7</v>
      </c>
      <c r="BI15" s="394">
        <v>10</v>
      </c>
      <c r="BJ15" s="394">
        <v>6</v>
      </c>
      <c r="BK15" s="394"/>
      <c r="BL15" s="444" t="s">
        <v>6981</v>
      </c>
      <c r="BM15" s="392"/>
      <c r="BN15" s="393"/>
      <c r="BO15" s="393"/>
      <c r="BP15" s="399"/>
      <c r="BQ15" s="400"/>
      <c r="BR15" s="401"/>
      <c r="BS15" s="399">
        <v>9.49</v>
      </c>
      <c r="BT15" s="394"/>
      <c r="BU15" s="417"/>
      <c r="BV15" s="399"/>
      <c r="BW15" s="393" t="s">
        <v>3165</v>
      </c>
      <c r="BX15" s="392" t="s">
        <v>3223</v>
      </c>
      <c r="BY15" s="393" t="s">
        <v>7227</v>
      </c>
      <c r="BZ15" s="393"/>
      <c r="CA15" s="441" t="s">
        <v>1663</v>
      </c>
      <c r="CB15" s="400"/>
      <c r="CC15" s="398"/>
      <c r="CD15" s="398"/>
      <c r="CE15" s="398"/>
      <c r="CF15" s="398"/>
      <c r="CG15" s="398"/>
      <c r="CH15" s="398"/>
      <c r="CI15" s="398"/>
      <c r="CJ15" s="398">
        <v>44.067</v>
      </c>
      <c r="CK15" s="398">
        <v>44.067</v>
      </c>
      <c r="CL15" s="398">
        <v>44.067</v>
      </c>
      <c r="CM15" s="398">
        <v>44.067</v>
      </c>
      <c r="CN15" s="398">
        <v>44.067</v>
      </c>
      <c r="CO15" s="398">
        <v>44.067</v>
      </c>
      <c r="CP15" s="398">
        <v>44.067</v>
      </c>
      <c r="CQ15" s="398"/>
      <c r="CR15" s="398"/>
      <c r="CS15" s="398"/>
      <c r="CT15" s="398"/>
      <c r="CU15" s="398"/>
      <c r="CV15" s="398"/>
      <c r="CW15" s="398"/>
      <c r="CX15" s="398"/>
      <c r="CY15" s="398"/>
      <c r="CZ15" s="398"/>
      <c r="DA15" s="398"/>
      <c r="DB15" s="398"/>
      <c r="DC15" s="398"/>
      <c r="DD15" s="398"/>
      <c r="DE15" s="393"/>
      <c r="DF15" s="393"/>
      <c r="DG15" s="393"/>
      <c r="DH15" s="393"/>
      <c r="DI15" s="393"/>
      <c r="DJ15" s="393"/>
      <c r="DK15" s="897"/>
    </row>
    <row r="16" spans="1:115" ht="38.25" x14ac:dyDescent="0.2">
      <c r="A16" s="295">
        <v>12</v>
      </c>
      <c r="B16" s="390" t="s">
        <v>5500</v>
      </c>
      <c r="C16" s="390"/>
      <c r="D16" s="391" t="s">
        <v>5501</v>
      </c>
      <c r="E16" s="704" t="s">
        <v>5502</v>
      </c>
      <c r="F16" s="393" t="s">
        <v>1352</v>
      </c>
      <c r="G16" s="393" t="s">
        <v>1673</v>
      </c>
      <c r="H16" s="393" t="s">
        <v>67</v>
      </c>
      <c r="I16" s="392"/>
      <c r="J16" s="392"/>
      <c r="K16" s="392" t="s">
        <v>67</v>
      </c>
      <c r="L16" s="392" t="s">
        <v>165</v>
      </c>
      <c r="M16" s="392"/>
      <c r="N16" s="393" t="s">
        <v>44</v>
      </c>
      <c r="O16" s="393" t="s">
        <v>827</v>
      </c>
      <c r="P16" s="393" t="s">
        <v>827</v>
      </c>
      <c r="Q16" s="392" t="s">
        <v>836</v>
      </c>
      <c r="R16" s="392" t="s">
        <v>5503</v>
      </c>
      <c r="S16" s="392" t="s">
        <v>839</v>
      </c>
      <c r="T16" s="394">
        <v>1</v>
      </c>
      <c r="U16" s="395">
        <v>46.658999999999999</v>
      </c>
      <c r="V16" s="395"/>
      <c r="W16" s="453"/>
      <c r="X16" s="394"/>
      <c r="Y16" s="394">
        <v>7</v>
      </c>
      <c r="Z16" s="394">
        <v>25</v>
      </c>
      <c r="AA16" s="395">
        <v>0</v>
      </c>
      <c r="AB16" s="452">
        <v>42005</v>
      </c>
      <c r="AC16" s="398">
        <v>0</v>
      </c>
      <c r="AD16" s="398">
        <v>280.08183287671233</v>
      </c>
      <c r="AE16" s="393" t="s">
        <v>54</v>
      </c>
      <c r="AF16" s="417"/>
      <c r="AG16" s="417">
        <f>13.77</f>
        <v>13.77</v>
      </c>
      <c r="AH16" s="417">
        <v>13.77</v>
      </c>
      <c r="AI16" s="394">
        <v>1</v>
      </c>
      <c r="AJ16" s="452">
        <v>42223</v>
      </c>
      <c r="AK16" s="452">
        <v>42369</v>
      </c>
      <c r="AL16" s="393"/>
      <c r="AM16" s="393"/>
      <c r="AN16" s="417"/>
      <c r="AO16" s="392"/>
      <c r="AP16" s="392"/>
      <c r="AQ16" s="392"/>
      <c r="AR16" s="392" t="s">
        <v>68</v>
      </c>
      <c r="AS16" s="480"/>
      <c r="AT16" s="453"/>
      <c r="AU16" s="453"/>
      <c r="AV16" s="453"/>
      <c r="AW16" s="453"/>
      <c r="AX16" s="453"/>
      <c r="AY16" s="453"/>
      <c r="AZ16" s="452">
        <v>41516</v>
      </c>
      <c r="BA16" s="393"/>
      <c r="BB16" s="393"/>
      <c r="BC16" s="393" t="b">
        <v>0</v>
      </c>
      <c r="BD16" s="393" t="s">
        <v>3116</v>
      </c>
      <c r="BE16" s="392"/>
      <c r="BF16" s="394">
        <v>5</v>
      </c>
      <c r="BG16" s="394">
        <v>9</v>
      </c>
      <c r="BH16" s="394">
        <v>7</v>
      </c>
      <c r="BI16" s="394">
        <v>10</v>
      </c>
      <c r="BJ16" s="394">
        <v>6</v>
      </c>
      <c r="BK16" s="394"/>
      <c r="BL16" s="444" t="s">
        <v>6981</v>
      </c>
      <c r="BM16" s="392"/>
      <c r="BN16" s="393"/>
      <c r="BO16" s="393"/>
      <c r="BP16" s="399"/>
      <c r="BQ16" s="400"/>
      <c r="BR16" s="401"/>
      <c r="BS16" s="399">
        <v>10.050000000000001</v>
      </c>
      <c r="BT16" s="394"/>
      <c r="BU16" s="417"/>
      <c r="BV16" s="399"/>
      <c r="BW16" s="393" t="s">
        <v>3165</v>
      </c>
      <c r="BX16" s="392" t="s">
        <v>3223</v>
      </c>
      <c r="BY16" s="393" t="s">
        <v>7227</v>
      </c>
      <c r="BZ16" s="393"/>
      <c r="CA16" s="441" t="s">
        <v>1663</v>
      </c>
      <c r="CB16" s="400"/>
      <c r="CC16" s="398"/>
      <c r="CD16" s="398"/>
      <c r="CE16" s="398"/>
      <c r="CF16" s="398"/>
      <c r="CG16" s="398"/>
      <c r="CH16" s="398"/>
      <c r="CI16" s="398"/>
      <c r="CJ16" s="398"/>
      <c r="CK16" s="398">
        <v>46.658999999999999</v>
      </c>
      <c r="CL16" s="398">
        <v>46.658999999999999</v>
      </c>
      <c r="CM16" s="398">
        <v>46.658999999999999</v>
      </c>
      <c r="CN16" s="398">
        <v>46.658999999999999</v>
      </c>
      <c r="CO16" s="398">
        <v>46.658999999999999</v>
      </c>
      <c r="CP16" s="398">
        <v>46.658999999999999</v>
      </c>
      <c r="CQ16" s="398">
        <v>46.658999999999999</v>
      </c>
      <c r="CR16" s="398"/>
      <c r="CS16" s="398"/>
      <c r="CT16" s="398"/>
      <c r="CU16" s="398"/>
      <c r="CV16" s="398"/>
      <c r="CW16" s="398"/>
      <c r="CX16" s="398"/>
      <c r="CY16" s="398"/>
      <c r="CZ16" s="398"/>
      <c r="DA16" s="398"/>
      <c r="DB16" s="398"/>
      <c r="DC16" s="398"/>
      <c r="DD16" s="398"/>
      <c r="DE16" s="393"/>
      <c r="DF16" s="393"/>
      <c r="DG16" s="393"/>
      <c r="DH16" s="393"/>
      <c r="DI16" s="393"/>
      <c r="DJ16" s="393"/>
      <c r="DK16" s="897"/>
    </row>
    <row r="17" spans="1:115" ht="38.25" x14ac:dyDescent="0.2">
      <c r="A17" s="295">
        <v>13</v>
      </c>
      <c r="B17" s="390" t="s">
        <v>5504</v>
      </c>
      <c r="C17" s="390"/>
      <c r="D17" s="391" t="s">
        <v>5505</v>
      </c>
      <c r="E17" s="704" t="s">
        <v>5506</v>
      </c>
      <c r="F17" s="393" t="s">
        <v>1352</v>
      </c>
      <c r="G17" s="393" t="s">
        <v>1673</v>
      </c>
      <c r="H17" s="393" t="s">
        <v>67</v>
      </c>
      <c r="I17" s="392"/>
      <c r="J17" s="392"/>
      <c r="K17" s="392" t="s">
        <v>67</v>
      </c>
      <c r="L17" s="392" t="s">
        <v>165</v>
      </c>
      <c r="M17" s="392"/>
      <c r="N17" s="393" t="s">
        <v>44</v>
      </c>
      <c r="O17" s="393" t="s">
        <v>827</v>
      </c>
      <c r="P17" s="393" t="s">
        <v>827</v>
      </c>
      <c r="Q17" s="392" t="s">
        <v>836</v>
      </c>
      <c r="R17" s="392" t="s">
        <v>5507</v>
      </c>
      <c r="S17" s="392" t="s">
        <v>839</v>
      </c>
      <c r="T17" s="394">
        <v>1</v>
      </c>
      <c r="U17" s="395">
        <v>51.216000000000001</v>
      </c>
      <c r="V17" s="395"/>
      <c r="W17" s="453"/>
      <c r="X17" s="394"/>
      <c r="Y17" s="394">
        <v>7</v>
      </c>
      <c r="Z17" s="394">
        <v>25</v>
      </c>
      <c r="AA17" s="395">
        <v>0</v>
      </c>
      <c r="AB17" s="452">
        <v>41518</v>
      </c>
      <c r="AC17" s="398">
        <v>0</v>
      </c>
      <c r="AD17" s="398">
        <v>375.77109041095889</v>
      </c>
      <c r="AE17" s="393" t="s">
        <v>54</v>
      </c>
      <c r="AF17" s="417"/>
      <c r="AG17" s="417">
        <f>45.912+13.77</f>
        <v>59.682000000000002</v>
      </c>
      <c r="AH17" s="417">
        <v>59.682000000000002</v>
      </c>
      <c r="AI17" s="394">
        <v>1</v>
      </c>
      <c r="AJ17" s="452">
        <v>42223</v>
      </c>
      <c r="AK17" s="452">
        <v>42369</v>
      </c>
      <c r="AL17" s="393"/>
      <c r="AM17" s="393"/>
      <c r="AN17" s="417"/>
      <c r="AO17" s="392"/>
      <c r="AP17" s="392"/>
      <c r="AQ17" s="392"/>
      <c r="AR17" s="392" t="s">
        <v>68</v>
      </c>
      <c r="AS17" s="480"/>
      <c r="AT17" s="453"/>
      <c r="AU17" s="453"/>
      <c r="AV17" s="453"/>
      <c r="AW17" s="453"/>
      <c r="AX17" s="453"/>
      <c r="AY17" s="453"/>
      <c r="AZ17" s="452">
        <v>41516</v>
      </c>
      <c r="BA17" s="393"/>
      <c r="BB17" s="393"/>
      <c r="BC17" s="393" t="b">
        <v>0</v>
      </c>
      <c r="BD17" s="393" t="s">
        <v>3116</v>
      </c>
      <c r="BE17" s="392"/>
      <c r="BF17" s="394">
        <v>5</v>
      </c>
      <c r="BG17" s="394">
        <v>9</v>
      </c>
      <c r="BH17" s="394">
        <v>7</v>
      </c>
      <c r="BI17" s="394">
        <v>10</v>
      </c>
      <c r="BJ17" s="394">
        <v>6</v>
      </c>
      <c r="BK17" s="394"/>
      <c r="BL17" s="444" t="s">
        <v>6981</v>
      </c>
      <c r="BM17" s="392"/>
      <c r="BN17" s="393"/>
      <c r="BO17" s="393"/>
      <c r="BP17" s="399"/>
      <c r="BQ17" s="400"/>
      <c r="BR17" s="401"/>
      <c r="BS17" s="399">
        <v>10.98</v>
      </c>
      <c r="BT17" s="394"/>
      <c r="BU17" s="417"/>
      <c r="BV17" s="399"/>
      <c r="BW17" s="393" t="s">
        <v>3165</v>
      </c>
      <c r="BX17" s="392" t="s">
        <v>3223</v>
      </c>
      <c r="BY17" s="393" t="s">
        <v>7227</v>
      </c>
      <c r="BZ17" s="393"/>
      <c r="CA17" s="441" t="s">
        <v>1663</v>
      </c>
      <c r="CB17" s="400"/>
      <c r="CC17" s="398"/>
      <c r="CD17" s="398"/>
      <c r="CE17" s="398"/>
      <c r="CF17" s="398"/>
      <c r="CG17" s="398"/>
      <c r="CH17" s="398"/>
      <c r="CI17" s="398">
        <v>51.216000000000001</v>
      </c>
      <c r="CJ17" s="398">
        <v>51.216000000000001</v>
      </c>
      <c r="CK17" s="398">
        <v>51.216000000000001</v>
      </c>
      <c r="CL17" s="398">
        <v>51.216000000000001</v>
      </c>
      <c r="CM17" s="398">
        <v>51.216000000000001</v>
      </c>
      <c r="CN17" s="398">
        <v>51.216000000000001</v>
      </c>
      <c r="CO17" s="398">
        <v>51.216000000000001</v>
      </c>
      <c r="CP17" s="398"/>
      <c r="CQ17" s="398"/>
      <c r="CR17" s="398"/>
      <c r="CS17" s="398"/>
      <c r="CT17" s="398"/>
      <c r="CU17" s="398"/>
      <c r="CV17" s="398"/>
      <c r="CW17" s="398"/>
      <c r="CX17" s="398"/>
      <c r="CY17" s="398"/>
      <c r="CZ17" s="398"/>
      <c r="DA17" s="398"/>
      <c r="DB17" s="398"/>
      <c r="DC17" s="398"/>
      <c r="DD17" s="398"/>
      <c r="DE17" s="393"/>
      <c r="DF17" s="393"/>
      <c r="DG17" s="393"/>
      <c r="DH17" s="393"/>
      <c r="DI17" s="393"/>
      <c r="DJ17" s="393"/>
      <c r="DK17" s="897"/>
    </row>
    <row r="18" spans="1:115" ht="38.25" x14ac:dyDescent="0.2">
      <c r="A18" s="295">
        <v>14</v>
      </c>
      <c r="B18" s="390" t="s">
        <v>5508</v>
      </c>
      <c r="C18" s="390"/>
      <c r="D18" s="391" t="s">
        <v>5509</v>
      </c>
      <c r="E18" s="704" t="s">
        <v>5510</v>
      </c>
      <c r="F18" s="393" t="s">
        <v>1352</v>
      </c>
      <c r="G18" s="393" t="s">
        <v>1673</v>
      </c>
      <c r="H18" s="393" t="s">
        <v>67</v>
      </c>
      <c r="I18" s="392"/>
      <c r="J18" s="392"/>
      <c r="K18" s="392" t="s">
        <v>67</v>
      </c>
      <c r="L18" s="392" t="s">
        <v>165</v>
      </c>
      <c r="M18" s="392"/>
      <c r="N18" s="393" t="s">
        <v>44</v>
      </c>
      <c r="O18" s="393" t="s">
        <v>827</v>
      </c>
      <c r="P18" s="393" t="s">
        <v>827</v>
      </c>
      <c r="Q18" s="392" t="s">
        <v>836</v>
      </c>
      <c r="R18" s="392" t="s">
        <v>5511</v>
      </c>
      <c r="S18" s="392" t="s">
        <v>839</v>
      </c>
      <c r="T18" s="394">
        <v>1</v>
      </c>
      <c r="U18" s="395">
        <v>52.496000000000002</v>
      </c>
      <c r="V18" s="395"/>
      <c r="W18" s="453"/>
      <c r="X18" s="394"/>
      <c r="Y18" s="394">
        <v>7</v>
      </c>
      <c r="Z18" s="394">
        <v>25</v>
      </c>
      <c r="AA18" s="395">
        <v>0</v>
      </c>
      <c r="AB18" s="452">
        <v>41760</v>
      </c>
      <c r="AC18" s="398">
        <v>0</v>
      </c>
      <c r="AD18" s="398">
        <v>350.3568657534247</v>
      </c>
      <c r="AE18" s="393" t="s">
        <v>54</v>
      </c>
      <c r="AF18" s="417"/>
      <c r="AG18" s="417">
        <f>14.409+41.848</f>
        <v>56.256999999999998</v>
      </c>
      <c r="AH18" s="417">
        <v>56.256999999999998</v>
      </c>
      <c r="AI18" s="394">
        <v>1</v>
      </c>
      <c r="AJ18" s="452">
        <v>42223</v>
      </c>
      <c r="AK18" s="452">
        <v>42369</v>
      </c>
      <c r="AL18" s="393"/>
      <c r="AM18" s="393"/>
      <c r="AN18" s="417"/>
      <c r="AO18" s="392"/>
      <c r="AP18" s="392"/>
      <c r="AQ18" s="392"/>
      <c r="AR18" s="392" t="s">
        <v>68</v>
      </c>
      <c r="AS18" s="480"/>
      <c r="AT18" s="453"/>
      <c r="AU18" s="453"/>
      <c r="AV18" s="453"/>
      <c r="AW18" s="453"/>
      <c r="AX18" s="453"/>
      <c r="AY18" s="453"/>
      <c r="AZ18" s="452">
        <v>41516</v>
      </c>
      <c r="BA18" s="393"/>
      <c r="BB18" s="393"/>
      <c r="BC18" s="393" t="b">
        <v>0</v>
      </c>
      <c r="BD18" s="393" t="s">
        <v>3116</v>
      </c>
      <c r="BE18" s="392"/>
      <c r="BF18" s="394">
        <v>5</v>
      </c>
      <c r="BG18" s="394">
        <v>9</v>
      </c>
      <c r="BH18" s="394">
        <v>7</v>
      </c>
      <c r="BI18" s="394">
        <v>10</v>
      </c>
      <c r="BJ18" s="394">
        <v>6</v>
      </c>
      <c r="BK18" s="394"/>
      <c r="BL18" s="444" t="s">
        <v>6981</v>
      </c>
      <c r="BM18" s="392"/>
      <c r="BN18" s="393"/>
      <c r="BO18" s="393"/>
      <c r="BP18" s="399"/>
      <c r="BQ18" s="400"/>
      <c r="BR18" s="401"/>
      <c r="BS18" s="399">
        <v>11.26</v>
      </c>
      <c r="BT18" s="394"/>
      <c r="BU18" s="417"/>
      <c r="BV18" s="399"/>
      <c r="BW18" s="393" t="s">
        <v>3165</v>
      </c>
      <c r="BX18" s="392" t="s">
        <v>3223</v>
      </c>
      <c r="BY18" s="393" t="s">
        <v>7227</v>
      </c>
      <c r="BZ18" s="393"/>
      <c r="CA18" s="441" t="s">
        <v>1663</v>
      </c>
      <c r="CB18" s="400"/>
      <c r="CC18" s="398"/>
      <c r="CD18" s="398"/>
      <c r="CE18" s="398"/>
      <c r="CF18" s="398"/>
      <c r="CG18" s="398"/>
      <c r="CH18" s="398"/>
      <c r="CI18" s="398"/>
      <c r="CJ18" s="398">
        <v>52.496000000000002</v>
      </c>
      <c r="CK18" s="398">
        <v>52.496000000000002</v>
      </c>
      <c r="CL18" s="398">
        <v>52.496000000000002</v>
      </c>
      <c r="CM18" s="398">
        <v>52.496000000000002</v>
      </c>
      <c r="CN18" s="398">
        <v>52.496000000000002</v>
      </c>
      <c r="CO18" s="398">
        <v>52.496000000000002</v>
      </c>
      <c r="CP18" s="398">
        <v>52.496000000000002</v>
      </c>
      <c r="CQ18" s="398"/>
      <c r="CR18" s="398"/>
      <c r="CS18" s="398"/>
      <c r="CT18" s="398"/>
      <c r="CU18" s="398"/>
      <c r="CV18" s="398"/>
      <c r="CW18" s="398"/>
      <c r="CX18" s="398"/>
      <c r="CY18" s="398"/>
      <c r="CZ18" s="398"/>
      <c r="DA18" s="398"/>
      <c r="DB18" s="398"/>
      <c r="DC18" s="398"/>
      <c r="DD18" s="398"/>
      <c r="DE18" s="393"/>
      <c r="DF18" s="393"/>
      <c r="DG18" s="393"/>
      <c r="DH18" s="393"/>
      <c r="DI18" s="393"/>
      <c r="DJ18" s="393"/>
      <c r="DK18" s="897"/>
    </row>
    <row r="19" spans="1:115" ht="76.5" x14ac:dyDescent="0.2">
      <c r="A19" s="295">
        <v>15</v>
      </c>
      <c r="B19" s="390" t="s">
        <v>569</v>
      </c>
      <c r="C19" s="424" t="s">
        <v>7422</v>
      </c>
      <c r="D19" s="391" t="s">
        <v>1615</v>
      </c>
      <c r="E19" s="705" t="s">
        <v>7420</v>
      </c>
      <c r="F19" s="393" t="s">
        <v>1340</v>
      </c>
      <c r="G19" s="393" t="s">
        <v>1677</v>
      </c>
      <c r="H19" s="393" t="s">
        <v>151</v>
      </c>
      <c r="I19" s="392"/>
      <c r="J19" s="392" t="s">
        <v>570</v>
      </c>
      <c r="K19" s="392"/>
      <c r="L19" s="392" t="s">
        <v>571</v>
      </c>
      <c r="M19" s="392" t="s">
        <v>3826</v>
      </c>
      <c r="N19" s="393" t="s">
        <v>44</v>
      </c>
      <c r="O19" s="393" t="s">
        <v>69</v>
      </c>
      <c r="P19" s="393" t="s">
        <v>69</v>
      </c>
      <c r="Q19" s="392" t="s">
        <v>572</v>
      </c>
      <c r="R19" s="392"/>
      <c r="S19" s="392" t="s">
        <v>573</v>
      </c>
      <c r="T19" s="394">
        <v>1050</v>
      </c>
      <c r="U19" s="395">
        <v>1030.0309999999999</v>
      </c>
      <c r="V19" s="395"/>
      <c r="W19" s="452">
        <v>40115</v>
      </c>
      <c r="X19" s="394">
        <v>28</v>
      </c>
      <c r="Y19" s="394"/>
      <c r="Z19" s="394"/>
      <c r="AA19" s="395"/>
      <c r="AB19" s="453"/>
      <c r="AC19" s="398">
        <v>2365.115663</v>
      </c>
      <c r="AD19" s="398">
        <v>10616.010989041095</v>
      </c>
      <c r="AE19" s="393" t="s">
        <v>54</v>
      </c>
      <c r="AF19" s="417"/>
      <c r="AG19" s="417"/>
      <c r="AH19" s="417">
        <v>0</v>
      </c>
      <c r="AI19" s="394"/>
      <c r="AJ19" s="453"/>
      <c r="AK19" s="453"/>
      <c r="AL19" s="393"/>
      <c r="AM19" s="393"/>
      <c r="AN19" s="417"/>
      <c r="AO19" s="392"/>
      <c r="AP19" s="392" t="s">
        <v>7034</v>
      </c>
      <c r="AQ19" s="392"/>
      <c r="AR19" s="392" t="s">
        <v>571</v>
      </c>
      <c r="AS19" s="479">
        <v>39500</v>
      </c>
      <c r="AT19" s="453"/>
      <c r="AU19" s="453"/>
      <c r="AV19" s="452">
        <v>41016</v>
      </c>
      <c r="AW19" s="452">
        <v>40030</v>
      </c>
      <c r="AX19" s="453"/>
      <c r="AY19" s="452">
        <v>40115</v>
      </c>
      <c r="AZ19" s="453"/>
      <c r="BA19" s="393" t="s">
        <v>1451</v>
      </c>
      <c r="BB19" s="393" t="s">
        <v>3147</v>
      </c>
      <c r="BC19" s="393" t="b">
        <v>0</v>
      </c>
      <c r="BD19" s="393" t="s">
        <v>3116</v>
      </c>
      <c r="BE19" s="392"/>
      <c r="BF19" s="394">
        <v>3</v>
      </c>
      <c r="BG19" s="394">
        <v>1</v>
      </c>
      <c r="BH19" s="394">
        <v>6</v>
      </c>
      <c r="BI19" s="394">
        <v>8</v>
      </c>
      <c r="BJ19" s="394">
        <v>5</v>
      </c>
      <c r="BK19" s="394">
        <v>9</v>
      </c>
      <c r="BL19" s="444"/>
      <c r="BM19" s="392"/>
      <c r="BN19" s="393"/>
      <c r="BO19" s="393"/>
      <c r="BP19" s="399"/>
      <c r="BQ19" s="400"/>
      <c r="BR19" s="401"/>
      <c r="BS19" s="399">
        <v>0</v>
      </c>
      <c r="BT19" s="394"/>
      <c r="BU19" s="417"/>
      <c r="BV19" s="399"/>
      <c r="BW19" s="393"/>
      <c r="BX19" s="392"/>
      <c r="BY19" s="393"/>
      <c r="BZ19" s="393"/>
      <c r="CA19" s="441"/>
      <c r="CB19" s="400"/>
      <c r="CC19" s="398"/>
      <c r="CD19" s="398"/>
      <c r="CE19" s="398"/>
      <c r="CF19" s="398"/>
      <c r="CG19" s="398"/>
      <c r="CH19" s="398"/>
      <c r="CI19" s="398"/>
      <c r="CJ19" s="398"/>
      <c r="CK19" s="398"/>
      <c r="CL19" s="398"/>
      <c r="CM19" s="398"/>
      <c r="CN19" s="398"/>
      <c r="CO19" s="398"/>
      <c r="CP19" s="398"/>
      <c r="CQ19" s="398"/>
      <c r="CR19" s="398"/>
      <c r="CS19" s="398"/>
      <c r="CT19" s="398"/>
      <c r="CU19" s="398"/>
      <c r="CV19" s="398"/>
      <c r="CW19" s="398"/>
      <c r="CX19" s="398"/>
      <c r="CY19" s="398"/>
      <c r="CZ19" s="398"/>
      <c r="DA19" s="398"/>
      <c r="DB19" s="398"/>
      <c r="DC19" s="398"/>
      <c r="DD19" s="398"/>
      <c r="DE19" s="393"/>
      <c r="DF19" s="393"/>
      <c r="DG19" s="393"/>
      <c r="DH19" s="393"/>
      <c r="DI19" s="393"/>
      <c r="DJ19" s="393"/>
      <c r="DK19" s="897"/>
    </row>
    <row r="20" spans="1:115" ht="38.25" x14ac:dyDescent="0.2">
      <c r="A20" s="295">
        <v>16</v>
      </c>
      <c r="B20" s="390" t="s">
        <v>2513</v>
      </c>
      <c r="C20" s="390"/>
      <c r="D20" s="391" t="s">
        <v>574</v>
      </c>
      <c r="E20" s="704" t="s">
        <v>575</v>
      </c>
      <c r="F20" s="393" t="s">
        <v>1340</v>
      </c>
      <c r="G20" s="393" t="s">
        <v>1677</v>
      </c>
      <c r="H20" s="393" t="s">
        <v>151</v>
      </c>
      <c r="I20" s="392"/>
      <c r="J20" s="392"/>
      <c r="K20" s="392" t="s">
        <v>2121</v>
      </c>
      <c r="L20" s="392" t="s">
        <v>571</v>
      </c>
      <c r="M20" s="392"/>
      <c r="N20" s="393" t="s">
        <v>44</v>
      </c>
      <c r="O20" s="393" t="s">
        <v>69</v>
      </c>
      <c r="P20" s="393" t="s">
        <v>69</v>
      </c>
      <c r="Q20" s="392" t="s">
        <v>572</v>
      </c>
      <c r="R20" s="392" t="s">
        <v>3827</v>
      </c>
      <c r="S20" s="392" t="s">
        <v>573</v>
      </c>
      <c r="T20" s="394">
        <v>1</v>
      </c>
      <c r="U20" s="395">
        <v>0.13100000000000001</v>
      </c>
      <c r="V20" s="395"/>
      <c r="W20" s="453"/>
      <c r="X20" s="394"/>
      <c r="Y20" s="394">
        <v>7</v>
      </c>
      <c r="Z20" s="394">
        <v>21</v>
      </c>
      <c r="AA20" s="395">
        <v>0</v>
      </c>
      <c r="AB20" s="452">
        <v>40115</v>
      </c>
      <c r="AC20" s="398">
        <v>0.415663</v>
      </c>
      <c r="AD20" s="398">
        <v>1.4646876712328767</v>
      </c>
      <c r="AE20" s="393" t="s">
        <v>54</v>
      </c>
      <c r="AF20" s="417"/>
      <c r="AG20" s="417"/>
      <c r="AH20" s="417"/>
      <c r="AI20" s="394"/>
      <c r="AJ20" s="453"/>
      <c r="AK20" s="453"/>
      <c r="AL20" s="393"/>
      <c r="AM20" s="393"/>
      <c r="AN20" s="417"/>
      <c r="AO20" s="392"/>
      <c r="AP20" s="392" t="s">
        <v>7034</v>
      </c>
      <c r="AQ20" s="392"/>
      <c r="AR20" s="392" t="s">
        <v>571</v>
      </c>
      <c r="AS20" s="479">
        <v>39500</v>
      </c>
      <c r="AT20" s="453"/>
      <c r="AU20" s="453"/>
      <c r="AV20" s="452">
        <v>39974</v>
      </c>
      <c r="AW20" s="452">
        <v>40030</v>
      </c>
      <c r="AX20" s="453"/>
      <c r="AY20" s="453"/>
      <c r="AZ20" s="452">
        <v>40115</v>
      </c>
      <c r="BA20" s="393" t="s">
        <v>1451</v>
      </c>
      <c r="BB20" s="393"/>
      <c r="BC20" s="393" t="b">
        <v>0</v>
      </c>
      <c r="BD20" s="393"/>
      <c r="BE20" s="392"/>
      <c r="BF20" s="394">
        <v>3</v>
      </c>
      <c r="BG20" s="394">
        <v>1</v>
      </c>
      <c r="BH20" s="394">
        <v>6</v>
      </c>
      <c r="BI20" s="394">
        <v>8</v>
      </c>
      <c r="BJ20" s="394">
        <v>5</v>
      </c>
      <c r="BK20" s="394">
        <v>9</v>
      </c>
      <c r="BL20" s="444" t="s">
        <v>6981</v>
      </c>
      <c r="BM20" s="392"/>
      <c r="BN20" s="393"/>
      <c r="BO20" s="393"/>
      <c r="BP20" s="399"/>
      <c r="BQ20" s="400"/>
      <c r="BR20" s="401"/>
      <c r="BS20" s="399"/>
      <c r="BT20" s="394"/>
      <c r="BU20" s="417"/>
      <c r="BV20" s="399"/>
      <c r="BW20" s="393" t="s">
        <v>3165</v>
      </c>
      <c r="BX20" s="392" t="s">
        <v>3223</v>
      </c>
      <c r="BY20" s="393"/>
      <c r="BZ20" s="393"/>
      <c r="CA20" s="441" t="s">
        <v>1663</v>
      </c>
      <c r="CB20" s="400"/>
      <c r="CC20" s="398"/>
      <c r="CD20" s="398"/>
      <c r="CE20" s="398">
        <v>0.13100000000000001</v>
      </c>
      <c r="CF20" s="398">
        <v>0.13100000000000001</v>
      </c>
      <c r="CG20" s="398">
        <v>0.13100000000000001</v>
      </c>
      <c r="CH20" s="398">
        <v>0.13100000000000001</v>
      </c>
      <c r="CI20" s="398">
        <v>0.13100000000000001</v>
      </c>
      <c r="CJ20" s="398">
        <v>0.13100000000000001</v>
      </c>
      <c r="CK20" s="398">
        <v>0.13100000000000001</v>
      </c>
      <c r="CL20" s="398">
        <v>0.13100000000000001</v>
      </c>
      <c r="CM20" s="398">
        <v>0.13100000000000001</v>
      </c>
      <c r="CN20" s="398">
        <v>0.13100000000000001</v>
      </c>
      <c r="CO20" s="398">
        <v>0.13100000000000001</v>
      </c>
      <c r="CP20" s="398">
        <v>0.13100000000000001</v>
      </c>
      <c r="CQ20" s="398">
        <v>0.13100000000000001</v>
      </c>
      <c r="CR20" s="398">
        <v>0.13100000000000001</v>
      </c>
      <c r="CS20" s="398">
        <v>0.13100000000000001</v>
      </c>
      <c r="CT20" s="398">
        <v>0.13100000000000001</v>
      </c>
      <c r="CU20" s="398">
        <v>0.13100000000000001</v>
      </c>
      <c r="CV20" s="398">
        <v>0.13100000000000001</v>
      </c>
      <c r="CW20" s="398">
        <v>0.13100000000000001</v>
      </c>
      <c r="CX20" s="398">
        <v>0.13100000000000001</v>
      </c>
      <c r="CY20" s="398">
        <v>0.13100000000000001</v>
      </c>
      <c r="CZ20" s="398"/>
      <c r="DA20" s="398"/>
      <c r="DB20" s="398"/>
      <c r="DC20" s="398"/>
      <c r="DD20" s="398"/>
      <c r="DE20" s="393"/>
      <c r="DF20" s="393"/>
      <c r="DG20" s="393"/>
      <c r="DH20" s="393"/>
      <c r="DI20" s="393"/>
      <c r="DJ20" s="393"/>
      <c r="DK20" s="897"/>
    </row>
    <row r="21" spans="1:115" ht="15" x14ac:dyDescent="0.2">
      <c r="A21" s="295">
        <v>17</v>
      </c>
      <c r="B21" s="390" t="s">
        <v>2514</v>
      </c>
      <c r="C21" s="390"/>
      <c r="D21" s="391" t="s">
        <v>576</v>
      </c>
      <c r="E21" s="704" t="s">
        <v>577</v>
      </c>
      <c r="F21" s="393" t="s">
        <v>1340</v>
      </c>
      <c r="G21" s="393" t="s">
        <v>1677</v>
      </c>
      <c r="H21" s="393" t="s">
        <v>151</v>
      </c>
      <c r="I21" s="392"/>
      <c r="J21" s="392"/>
      <c r="K21" s="392" t="s">
        <v>159</v>
      </c>
      <c r="L21" s="392" t="s">
        <v>571</v>
      </c>
      <c r="M21" s="392"/>
      <c r="N21" s="393" t="s">
        <v>44</v>
      </c>
      <c r="O21" s="393"/>
      <c r="P21" s="393" t="s">
        <v>69</v>
      </c>
      <c r="Q21" s="392" t="s">
        <v>572</v>
      </c>
      <c r="R21" s="392"/>
      <c r="S21" s="392" t="s">
        <v>573</v>
      </c>
      <c r="T21" s="394">
        <v>961</v>
      </c>
      <c r="U21" s="395">
        <v>902.9</v>
      </c>
      <c r="V21" s="395"/>
      <c r="W21" s="453"/>
      <c r="X21" s="394"/>
      <c r="Y21" s="394">
        <v>7</v>
      </c>
      <c r="Z21" s="394"/>
      <c r="AA21" s="395">
        <v>0</v>
      </c>
      <c r="AB21" s="452">
        <v>40410</v>
      </c>
      <c r="AC21" s="398">
        <v>2132.6</v>
      </c>
      <c r="AD21" s="398">
        <v>9365.4230136986298</v>
      </c>
      <c r="AE21" s="393" t="s">
        <v>54</v>
      </c>
      <c r="AF21" s="417"/>
      <c r="AG21" s="417"/>
      <c r="AH21" s="417"/>
      <c r="AI21" s="394"/>
      <c r="AJ21" s="453"/>
      <c r="AK21" s="453"/>
      <c r="AL21" s="393"/>
      <c r="AM21" s="393"/>
      <c r="AN21" s="417"/>
      <c r="AO21" s="392"/>
      <c r="AP21" s="392"/>
      <c r="AQ21" s="392"/>
      <c r="AR21" s="392" t="s">
        <v>571</v>
      </c>
      <c r="AS21" s="479"/>
      <c r="AT21" s="453"/>
      <c r="AU21" s="453"/>
      <c r="AV21" s="453"/>
      <c r="AW21" s="453"/>
      <c r="AX21" s="453"/>
      <c r="AY21" s="453"/>
      <c r="AZ21" s="453">
        <v>40410</v>
      </c>
      <c r="BA21" s="393"/>
      <c r="BB21" s="393"/>
      <c r="BC21" s="393" t="b">
        <v>0</v>
      </c>
      <c r="BD21" s="393"/>
      <c r="BE21" s="392"/>
      <c r="BF21" s="394"/>
      <c r="BG21" s="394"/>
      <c r="BH21" s="394"/>
      <c r="BI21" s="394"/>
      <c r="BJ21" s="394"/>
      <c r="BK21" s="394"/>
      <c r="BL21" s="444"/>
      <c r="BM21" s="392"/>
      <c r="BN21" s="393"/>
      <c r="BO21" s="393"/>
      <c r="BP21" s="399"/>
      <c r="BQ21" s="400"/>
      <c r="BR21" s="401"/>
      <c r="BS21" s="399">
        <v>0</v>
      </c>
      <c r="BT21" s="394"/>
      <c r="BU21" s="417"/>
      <c r="BV21" s="399"/>
      <c r="BW21" s="393"/>
      <c r="BX21" s="392"/>
      <c r="BY21" s="393"/>
      <c r="BZ21" s="393"/>
      <c r="CA21" s="441"/>
      <c r="CB21" s="400"/>
      <c r="CC21" s="398"/>
      <c r="CD21" s="398"/>
      <c r="CE21" s="398"/>
      <c r="CF21" s="398"/>
      <c r="CG21" s="398"/>
      <c r="CH21" s="398"/>
      <c r="CI21" s="398"/>
      <c r="CJ21" s="398"/>
      <c r="CK21" s="398"/>
      <c r="CL21" s="398"/>
      <c r="CM21" s="398"/>
      <c r="CN21" s="398"/>
      <c r="CO21" s="398"/>
      <c r="CP21" s="398"/>
      <c r="CQ21" s="398"/>
      <c r="CR21" s="398"/>
      <c r="CS21" s="398"/>
      <c r="CT21" s="398"/>
      <c r="CU21" s="398"/>
      <c r="CV21" s="398"/>
      <c r="CW21" s="398"/>
      <c r="CX21" s="398"/>
      <c r="CY21" s="398"/>
      <c r="CZ21" s="398"/>
      <c r="DA21" s="398"/>
      <c r="DB21" s="398"/>
      <c r="DC21" s="398"/>
      <c r="DD21" s="398"/>
      <c r="DE21" s="393"/>
      <c r="DF21" s="393"/>
      <c r="DG21" s="393"/>
      <c r="DH21" s="393"/>
      <c r="DI21" s="393"/>
      <c r="DJ21" s="393"/>
      <c r="DK21" s="897"/>
    </row>
    <row r="22" spans="1:115" ht="15" x14ac:dyDescent="0.2">
      <c r="A22" s="295">
        <v>18</v>
      </c>
      <c r="B22" s="390" t="s">
        <v>2515</v>
      </c>
      <c r="C22" s="390"/>
      <c r="D22" s="391" t="s">
        <v>578</v>
      </c>
      <c r="E22" s="704" t="s">
        <v>579</v>
      </c>
      <c r="F22" s="393" t="s">
        <v>1340</v>
      </c>
      <c r="G22" s="393" t="s">
        <v>1677</v>
      </c>
      <c r="H22" s="393" t="s">
        <v>151</v>
      </c>
      <c r="I22" s="392"/>
      <c r="J22" s="392"/>
      <c r="K22" s="392" t="s">
        <v>159</v>
      </c>
      <c r="L22" s="392" t="s">
        <v>571</v>
      </c>
      <c r="M22" s="392"/>
      <c r="N22" s="393" t="s">
        <v>44</v>
      </c>
      <c r="O22" s="393"/>
      <c r="P22" s="393" t="s">
        <v>69</v>
      </c>
      <c r="Q22" s="392" t="s">
        <v>572</v>
      </c>
      <c r="R22" s="392"/>
      <c r="S22" s="392" t="s">
        <v>573</v>
      </c>
      <c r="T22" s="394">
        <v>88</v>
      </c>
      <c r="U22" s="395">
        <v>127</v>
      </c>
      <c r="V22" s="395"/>
      <c r="W22" s="453"/>
      <c r="X22" s="394"/>
      <c r="Y22" s="394">
        <v>7</v>
      </c>
      <c r="Z22" s="394"/>
      <c r="AA22" s="395">
        <v>0</v>
      </c>
      <c r="AB22" s="452">
        <v>40606</v>
      </c>
      <c r="AC22" s="398">
        <v>232.1</v>
      </c>
      <c r="AD22" s="398">
        <v>1249.1232876712329</v>
      </c>
      <c r="AE22" s="393" t="s">
        <v>54</v>
      </c>
      <c r="AF22" s="417"/>
      <c r="AG22" s="417"/>
      <c r="AH22" s="417"/>
      <c r="AI22" s="394"/>
      <c r="AJ22" s="453"/>
      <c r="AK22" s="453"/>
      <c r="AL22" s="393"/>
      <c r="AM22" s="393"/>
      <c r="AN22" s="417"/>
      <c r="AO22" s="392"/>
      <c r="AP22" s="392"/>
      <c r="AQ22" s="392"/>
      <c r="AR22" s="392" t="s">
        <v>571</v>
      </c>
      <c r="AS22" s="479"/>
      <c r="AT22" s="397"/>
      <c r="AU22" s="397"/>
      <c r="AV22" s="453"/>
      <c r="AW22" s="453"/>
      <c r="AX22" s="453"/>
      <c r="AY22" s="453"/>
      <c r="AZ22" s="453">
        <v>40606</v>
      </c>
      <c r="BA22" s="393"/>
      <c r="BB22" s="393"/>
      <c r="BC22" s="393" t="b">
        <v>0</v>
      </c>
      <c r="BD22" s="393"/>
      <c r="BE22" s="392"/>
      <c r="BF22" s="394"/>
      <c r="BG22" s="394"/>
      <c r="BH22" s="394"/>
      <c r="BI22" s="394"/>
      <c r="BJ22" s="394"/>
      <c r="BK22" s="394"/>
      <c r="BL22" s="444"/>
      <c r="BM22" s="392"/>
      <c r="BN22" s="393"/>
      <c r="BO22" s="393"/>
      <c r="BP22" s="399"/>
      <c r="BQ22" s="400"/>
      <c r="BR22" s="401"/>
      <c r="BS22" s="399">
        <v>0</v>
      </c>
      <c r="BT22" s="394"/>
      <c r="BU22" s="417"/>
      <c r="BV22" s="399"/>
      <c r="BW22" s="393"/>
      <c r="BX22" s="392"/>
      <c r="BY22" s="393"/>
      <c r="BZ22" s="393"/>
      <c r="CA22" s="441"/>
      <c r="CB22" s="400"/>
      <c r="CC22" s="398"/>
      <c r="CD22" s="398"/>
      <c r="CE22" s="398"/>
      <c r="CF22" s="398"/>
      <c r="CG22" s="398"/>
      <c r="CH22" s="398"/>
      <c r="CI22" s="398"/>
      <c r="CJ22" s="398"/>
      <c r="CK22" s="398"/>
      <c r="CL22" s="398"/>
      <c r="CM22" s="398"/>
      <c r="CN22" s="398"/>
      <c r="CO22" s="398"/>
      <c r="CP22" s="398"/>
      <c r="CQ22" s="398"/>
      <c r="CR22" s="398"/>
      <c r="CS22" s="398"/>
      <c r="CT22" s="398"/>
      <c r="CU22" s="398"/>
      <c r="CV22" s="398"/>
      <c r="CW22" s="398"/>
      <c r="CX22" s="398"/>
      <c r="CY22" s="398"/>
      <c r="CZ22" s="398"/>
      <c r="DA22" s="398"/>
      <c r="DB22" s="398"/>
      <c r="DC22" s="398"/>
      <c r="DD22" s="398"/>
      <c r="DE22" s="393"/>
      <c r="DF22" s="393"/>
      <c r="DG22" s="393"/>
      <c r="DH22" s="393"/>
      <c r="DI22" s="393"/>
      <c r="DJ22" s="393"/>
      <c r="DK22" s="897"/>
    </row>
    <row r="23" spans="1:115" ht="63.75" x14ac:dyDescent="0.2">
      <c r="A23" s="295">
        <v>19</v>
      </c>
      <c r="B23" s="390" t="s">
        <v>925</v>
      </c>
      <c r="C23" s="424" t="s">
        <v>7423</v>
      </c>
      <c r="D23" s="391"/>
      <c r="E23" s="706" t="s">
        <v>1837</v>
      </c>
      <c r="F23" s="390" t="s">
        <v>1375</v>
      </c>
      <c r="G23" s="390" t="s">
        <v>1361</v>
      </c>
      <c r="H23" s="390" t="s">
        <v>137</v>
      </c>
      <c r="I23" s="402"/>
      <c r="J23" s="402" t="s">
        <v>137</v>
      </c>
      <c r="K23" s="402"/>
      <c r="L23" s="402" t="s">
        <v>926</v>
      </c>
      <c r="M23" s="402" t="s">
        <v>3828</v>
      </c>
      <c r="N23" s="390" t="s">
        <v>33</v>
      </c>
      <c r="O23" s="390" t="s">
        <v>827</v>
      </c>
      <c r="P23" s="390" t="s">
        <v>827</v>
      </c>
      <c r="Q23" s="402" t="s">
        <v>923</v>
      </c>
      <c r="R23" s="402"/>
      <c r="S23" s="402" t="s">
        <v>46</v>
      </c>
      <c r="T23" s="411">
        <v>1</v>
      </c>
      <c r="U23" s="412">
        <v>0.96779999999999999</v>
      </c>
      <c r="V23" s="412"/>
      <c r="W23" s="457">
        <v>39168</v>
      </c>
      <c r="X23" s="411">
        <v>28</v>
      </c>
      <c r="Y23" s="411"/>
      <c r="Z23" s="411"/>
      <c r="AA23" s="412"/>
      <c r="AB23" s="454"/>
      <c r="AC23" s="413">
        <v>4.1131500000000001</v>
      </c>
      <c r="AD23" s="413">
        <v>9.6780000000000008</v>
      </c>
      <c r="AE23" s="390" t="s">
        <v>927</v>
      </c>
      <c r="AF23" s="419"/>
      <c r="AG23" s="419"/>
      <c r="AH23" s="419">
        <v>0</v>
      </c>
      <c r="AI23" s="411"/>
      <c r="AJ23" s="454"/>
      <c r="AK23" s="454"/>
      <c r="AL23" s="390"/>
      <c r="AM23" s="390"/>
      <c r="AN23" s="419"/>
      <c r="AO23" s="402"/>
      <c r="AP23" s="402" t="s">
        <v>7035</v>
      </c>
      <c r="AQ23" s="402"/>
      <c r="AR23" s="402" t="s">
        <v>853</v>
      </c>
      <c r="AS23" s="481">
        <v>39634</v>
      </c>
      <c r="AT23" s="454"/>
      <c r="AU23" s="454"/>
      <c r="AV23" s="454"/>
      <c r="AW23" s="454"/>
      <c r="AX23" s="454"/>
      <c r="AY23" s="454"/>
      <c r="AZ23" s="454"/>
      <c r="BA23" s="390"/>
      <c r="BB23" s="390" t="s">
        <v>3116</v>
      </c>
      <c r="BC23" s="390" t="b">
        <v>0</v>
      </c>
      <c r="BD23" s="390" t="s">
        <v>3116</v>
      </c>
      <c r="BE23" s="402"/>
      <c r="BF23" s="411">
        <v>5</v>
      </c>
      <c r="BG23" s="411">
        <v>8</v>
      </c>
      <c r="BH23" s="411">
        <v>9</v>
      </c>
      <c r="BI23" s="411">
        <v>10</v>
      </c>
      <c r="BJ23" s="411"/>
      <c r="BK23" s="411"/>
      <c r="BL23" s="445"/>
      <c r="BM23" s="402"/>
      <c r="BN23" s="390"/>
      <c r="BO23" s="390"/>
      <c r="BP23" s="414"/>
      <c r="BQ23" s="415"/>
      <c r="BR23" s="416"/>
      <c r="BS23" s="414">
        <v>0</v>
      </c>
      <c r="BT23" s="411"/>
      <c r="BU23" s="419"/>
      <c r="BV23" s="414"/>
      <c r="BW23" s="390"/>
      <c r="BX23" s="402"/>
      <c r="BY23" s="390"/>
      <c r="BZ23" s="390"/>
      <c r="CA23" s="442"/>
      <c r="CB23" s="415"/>
      <c r="CC23" s="413"/>
      <c r="CD23" s="413"/>
      <c r="CE23" s="413"/>
      <c r="CF23" s="413"/>
      <c r="CG23" s="413"/>
      <c r="CH23" s="413"/>
      <c r="CI23" s="413"/>
      <c r="CJ23" s="413"/>
      <c r="CK23" s="413"/>
      <c r="CL23" s="413"/>
      <c r="CM23" s="413"/>
      <c r="CN23" s="413"/>
      <c r="CO23" s="413"/>
      <c r="CP23" s="413"/>
      <c r="CQ23" s="413"/>
      <c r="CR23" s="413"/>
      <c r="CS23" s="413"/>
      <c r="CT23" s="413"/>
      <c r="CU23" s="413"/>
      <c r="CV23" s="413"/>
      <c r="CW23" s="413"/>
      <c r="CX23" s="413"/>
      <c r="CY23" s="413"/>
      <c r="CZ23" s="413"/>
      <c r="DA23" s="413"/>
      <c r="DB23" s="413"/>
      <c r="DC23" s="413"/>
      <c r="DD23" s="413"/>
      <c r="DE23" s="390"/>
      <c r="DF23" s="390"/>
      <c r="DG23" s="390"/>
      <c r="DH23" s="390"/>
      <c r="DI23" s="390"/>
      <c r="DJ23" s="390"/>
      <c r="DK23" s="897"/>
    </row>
    <row r="24" spans="1:115" ht="38.25" x14ac:dyDescent="0.2">
      <c r="A24" s="295">
        <v>20</v>
      </c>
      <c r="B24" s="390" t="s">
        <v>2516</v>
      </c>
      <c r="C24" s="390"/>
      <c r="D24" s="391"/>
      <c r="E24" s="706" t="s">
        <v>1838</v>
      </c>
      <c r="F24" s="390" t="s">
        <v>1375</v>
      </c>
      <c r="G24" s="390" t="s">
        <v>1361</v>
      </c>
      <c r="H24" s="390" t="s">
        <v>137</v>
      </c>
      <c r="I24" s="402"/>
      <c r="J24" s="402"/>
      <c r="K24" s="402" t="s">
        <v>642</v>
      </c>
      <c r="L24" s="402" t="s">
        <v>926</v>
      </c>
      <c r="M24" s="402"/>
      <c r="N24" s="390" t="s">
        <v>33</v>
      </c>
      <c r="O24" s="390" t="s">
        <v>827</v>
      </c>
      <c r="P24" s="390" t="s">
        <v>827</v>
      </c>
      <c r="Q24" s="402" t="s">
        <v>923</v>
      </c>
      <c r="R24" s="402" t="s">
        <v>3491</v>
      </c>
      <c r="S24" s="402" t="s">
        <v>46</v>
      </c>
      <c r="T24" s="411">
        <v>1</v>
      </c>
      <c r="U24" s="412">
        <v>0.96779999999999999</v>
      </c>
      <c r="V24" s="412"/>
      <c r="W24" s="454"/>
      <c r="X24" s="411"/>
      <c r="Y24" s="411">
        <v>10</v>
      </c>
      <c r="Z24" s="411">
        <v>15</v>
      </c>
      <c r="AA24" s="412">
        <v>0</v>
      </c>
      <c r="AB24" s="457">
        <v>39722</v>
      </c>
      <c r="AC24" s="413">
        <v>4.1131500000000001</v>
      </c>
      <c r="AD24" s="413">
        <v>9.6780000000000008</v>
      </c>
      <c r="AE24" s="390" t="s">
        <v>927</v>
      </c>
      <c r="AF24" s="419"/>
      <c r="AG24" s="419"/>
      <c r="AH24" s="419"/>
      <c r="AI24" s="411"/>
      <c r="AJ24" s="454"/>
      <c r="AK24" s="454"/>
      <c r="AL24" s="390"/>
      <c r="AM24" s="390"/>
      <c r="AN24" s="419"/>
      <c r="AO24" s="402"/>
      <c r="AP24" s="402" t="s">
        <v>7035</v>
      </c>
      <c r="AQ24" s="402"/>
      <c r="AR24" s="402" t="s">
        <v>853</v>
      </c>
      <c r="AS24" s="481">
        <v>39634</v>
      </c>
      <c r="AT24" s="454"/>
      <c r="AU24" s="454"/>
      <c r="AV24" s="454"/>
      <c r="AW24" s="454"/>
      <c r="AX24" s="454"/>
      <c r="AY24" s="454"/>
      <c r="AZ24" s="454"/>
      <c r="BA24" s="390"/>
      <c r="BB24" s="390"/>
      <c r="BC24" s="390" t="b">
        <v>0</v>
      </c>
      <c r="BD24" s="390"/>
      <c r="BE24" s="402"/>
      <c r="BF24" s="411">
        <v>5</v>
      </c>
      <c r="BG24" s="411">
        <v>8</v>
      </c>
      <c r="BH24" s="411">
        <v>9</v>
      </c>
      <c r="BI24" s="411">
        <v>10</v>
      </c>
      <c r="BJ24" s="411"/>
      <c r="BK24" s="411"/>
      <c r="BL24" s="445" t="s">
        <v>6981</v>
      </c>
      <c r="BM24" s="402"/>
      <c r="BN24" s="390"/>
      <c r="BO24" s="390"/>
      <c r="BP24" s="414"/>
      <c r="BQ24" s="415"/>
      <c r="BR24" s="416"/>
      <c r="BS24" s="414"/>
      <c r="BT24" s="411"/>
      <c r="BU24" s="419">
        <v>0.93</v>
      </c>
      <c r="BV24" s="414"/>
      <c r="BW24" s="390" t="s">
        <v>3117</v>
      </c>
      <c r="BX24" s="402" t="s">
        <v>3199</v>
      </c>
      <c r="BY24" s="390"/>
      <c r="BZ24" s="390"/>
      <c r="CA24" s="442"/>
      <c r="CB24" s="415"/>
      <c r="CC24" s="413"/>
      <c r="CD24" s="413">
        <v>0.96779999999999999</v>
      </c>
      <c r="CE24" s="413">
        <v>0.96779999999999999</v>
      </c>
      <c r="CF24" s="413">
        <v>0.96779999999999999</v>
      </c>
      <c r="CG24" s="413">
        <v>0.96779999999999999</v>
      </c>
      <c r="CH24" s="413">
        <v>0.96779999999999999</v>
      </c>
      <c r="CI24" s="413">
        <v>0.96779999999999999</v>
      </c>
      <c r="CJ24" s="413">
        <v>0.96779999999999999</v>
      </c>
      <c r="CK24" s="413">
        <v>0.96779999999999999</v>
      </c>
      <c r="CL24" s="413">
        <v>0.96779999999999999</v>
      </c>
      <c r="CM24" s="413">
        <v>0.96779999999999999</v>
      </c>
      <c r="CN24" s="413"/>
      <c r="CO24" s="413"/>
      <c r="CP24" s="413"/>
      <c r="CQ24" s="413"/>
      <c r="CR24" s="413"/>
      <c r="CS24" s="413"/>
      <c r="CT24" s="413"/>
      <c r="CU24" s="413"/>
      <c r="CV24" s="413"/>
      <c r="CW24" s="413"/>
      <c r="CX24" s="413"/>
      <c r="CY24" s="413"/>
      <c r="CZ24" s="413"/>
      <c r="DA24" s="413"/>
      <c r="DB24" s="413"/>
      <c r="DC24" s="413"/>
      <c r="DD24" s="413"/>
      <c r="DE24" s="390"/>
      <c r="DF24" s="390"/>
      <c r="DG24" s="390"/>
      <c r="DH24" s="390"/>
      <c r="DI24" s="390"/>
      <c r="DJ24" s="390"/>
      <c r="DK24" s="897"/>
    </row>
    <row r="25" spans="1:115" ht="51" x14ac:dyDescent="0.2">
      <c r="A25" s="295">
        <v>21</v>
      </c>
      <c r="B25" s="390" t="s">
        <v>507</v>
      </c>
      <c r="C25" s="424" t="s">
        <v>7424</v>
      </c>
      <c r="D25" s="391" t="s">
        <v>5010</v>
      </c>
      <c r="E25" s="705" t="s">
        <v>508</v>
      </c>
      <c r="F25" s="393" t="s">
        <v>1340</v>
      </c>
      <c r="G25" s="393" t="s">
        <v>1676</v>
      </c>
      <c r="H25" s="393" t="s">
        <v>58</v>
      </c>
      <c r="I25" s="392"/>
      <c r="J25" s="392" t="s">
        <v>58</v>
      </c>
      <c r="K25" s="392"/>
      <c r="L25" s="392" t="s">
        <v>509</v>
      </c>
      <c r="M25" s="392" t="s">
        <v>3829</v>
      </c>
      <c r="N25" s="393" t="s">
        <v>44</v>
      </c>
      <c r="O25" s="393" t="s">
        <v>51</v>
      </c>
      <c r="P25" s="393" t="s">
        <v>51</v>
      </c>
      <c r="Q25" s="392" t="s">
        <v>426</v>
      </c>
      <c r="R25" s="392"/>
      <c r="S25" s="392" t="s">
        <v>256</v>
      </c>
      <c r="T25" s="394">
        <v>25</v>
      </c>
      <c r="U25" s="395">
        <v>607.07500000000027</v>
      </c>
      <c r="V25" s="395"/>
      <c r="W25" s="452">
        <v>39965</v>
      </c>
      <c r="X25" s="394">
        <v>28</v>
      </c>
      <c r="Y25" s="394"/>
      <c r="Z25" s="394"/>
      <c r="AA25" s="395"/>
      <c r="AB25" s="453"/>
      <c r="AC25" s="398">
        <v>74.871769999999998</v>
      </c>
      <c r="AD25" s="398">
        <v>6070.7499999999991</v>
      </c>
      <c r="AE25" s="393" t="s">
        <v>54</v>
      </c>
      <c r="AF25" s="417">
        <f>SUM(AF26:AF38)</f>
        <v>19.241</v>
      </c>
      <c r="AG25" s="417">
        <f>SUM(AG26:AG38)</f>
        <v>99.09699999999998</v>
      </c>
      <c r="AH25" s="417">
        <v>243.23000000000002</v>
      </c>
      <c r="AI25" s="394">
        <v>1</v>
      </c>
      <c r="AJ25" s="452">
        <v>41263</v>
      </c>
      <c r="AK25" s="452">
        <v>40512</v>
      </c>
      <c r="AL25" s="393"/>
      <c r="AM25" s="393"/>
      <c r="AN25" s="417"/>
      <c r="AO25" s="392"/>
      <c r="AP25" s="392" t="s">
        <v>7036</v>
      </c>
      <c r="AQ25" s="392"/>
      <c r="AR25" s="392" t="s">
        <v>509</v>
      </c>
      <c r="AS25" s="479">
        <v>39645</v>
      </c>
      <c r="AT25" s="453"/>
      <c r="AU25" s="453"/>
      <c r="AV25" s="452">
        <v>39632</v>
      </c>
      <c r="AW25" s="452">
        <v>39909</v>
      </c>
      <c r="AX25" s="453"/>
      <c r="AY25" s="452">
        <v>40025</v>
      </c>
      <c r="AZ25" s="453"/>
      <c r="BA25" s="393" t="s">
        <v>6982</v>
      </c>
      <c r="BB25" s="393" t="s">
        <v>3116</v>
      </c>
      <c r="BC25" s="393" t="b">
        <v>0</v>
      </c>
      <c r="BD25" s="393" t="s">
        <v>3116</v>
      </c>
      <c r="BE25" s="428" t="s">
        <v>6246</v>
      </c>
      <c r="BF25" s="394">
        <v>4</v>
      </c>
      <c r="BG25" s="394">
        <v>8</v>
      </c>
      <c r="BH25" s="394">
        <v>9</v>
      </c>
      <c r="BI25" s="394">
        <v>5</v>
      </c>
      <c r="BJ25" s="394">
        <v>7</v>
      </c>
      <c r="BK25" s="394"/>
      <c r="BL25" s="444"/>
      <c r="BM25" s="392"/>
      <c r="BN25" s="393"/>
      <c r="BO25" s="393"/>
      <c r="BP25" s="399"/>
      <c r="BQ25" s="400"/>
      <c r="BR25" s="401"/>
      <c r="BS25" s="399">
        <v>0</v>
      </c>
      <c r="BT25" s="394"/>
      <c r="BU25" s="417"/>
      <c r="BV25" s="399"/>
      <c r="BW25" s="393"/>
      <c r="BX25" s="392"/>
      <c r="BY25" s="393"/>
      <c r="BZ25" s="393"/>
      <c r="CA25" s="441"/>
      <c r="CB25" s="400"/>
      <c r="CC25" s="398"/>
      <c r="CD25" s="398"/>
      <c r="CE25" s="398"/>
      <c r="CF25" s="398"/>
      <c r="CG25" s="398"/>
      <c r="CH25" s="398"/>
      <c r="CI25" s="398"/>
      <c r="CJ25" s="398"/>
      <c r="CK25" s="398"/>
      <c r="CL25" s="398"/>
      <c r="CM25" s="398"/>
      <c r="CN25" s="398"/>
      <c r="CO25" s="398"/>
      <c r="CP25" s="398"/>
      <c r="CQ25" s="398"/>
      <c r="CR25" s="398"/>
      <c r="CS25" s="398"/>
      <c r="CT25" s="398"/>
      <c r="CU25" s="398"/>
      <c r="CV25" s="398"/>
      <c r="CW25" s="398"/>
      <c r="CX25" s="398"/>
      <c r="CY25" s="398"/>
      <c r="CZ25" s="398"/>
      <c r="DA25" s="398"/>
      <c r="DB25" s="398"/>
      <c r="DC25" s="398"/>
      <c r="DD25" s="398"/>
      <c r="DE25" s="393"/>
      <c r="DF25" s="393"/>
      <c r="DG25" s="393"/>
      <c r="DH25" s="393"/>
      <c r="DI25" s="393"/>
      <c r="DJ25" s="393"/>
      <c r="DK25" s="897"/>
    </row>
    <row r="26" spans="1:115" ht="25.5" x14ac:dyDescent="0.2">
      <c r="A26" s="295">
        <v>22</v>
      </c>
      <c r="B26" s="390" t="s">
        <v>2517</v>
      </c>
      <c r="C26" s="390"/>
      <c r="D26" s="391" t="s">
        <v>510</v>
      </c>
      <c r="E26" s="704" t="s">
        <v>511</v>
      </c>
      <c r="F26" s="393" t="s">
        <v>1340</v>
      </c>
      <c r="G26" s="393" t="s">
        <v>1676</v>
      </c>
      <c r="H26" s="393" t="s">
        <v>58</v>
      </c>
      <c r="I26" s="392"/>
      <c r="J26" s="392"/>
      <c r="K26" s="392" t="s">
        <v>512</v>
      </c>
      <c r="L26" s="392" t="s">
        <v>509</v>
      </c>
      <c r="M26" s="392"/>
      <c r="N26" s="393" t="s">
        <v>44</v>
      </c>
      <c r="O26" s="393" t="s">
        <v>51</v>
      </c>
      <c r="P26" s="393" t="s">
        <v>51</v>
      </c>
      <c r="Q26" s="392" t="s">
        <v>426</v>
      </c>
      <c r="R26" s="392" t="s">
        <v>3830</v>
      </c>
      <c r="S26" s="392" t="s">
        <v>256</v>
      </c>
      <c r="T26" s="394">
        <v>1</v>
      </c>
      <c r="U26" s="395">
        <v>24.283000000000001</v>
      </c>
      <c r="V26" s="395"/>
      <c r="W26" s="453"/>
      <c r="X26" s="394"/>
      <c r="Y26" s="394">
        <v>10</v>
      </c>
      <c r="Z26" s="394">
        <v>10</v>
      </c>
      <c r="AA26" s="395">
        <v>-0.5</v>
      </c>
      <c r="AB26" s="452">
        <v>40148</v>
      </c>
      <c r="AC26" s="398">
        <v>74.871769999999998</v>
      </c>
      <c r="AD26" s="398">
        <v>242.83</v>
      </c>
      <c r="AE26" s="393" t="s">
        <v>54</v>
      </c>
      <c r="AF26" s="417">
        <v>19.241</v>
      </c>
      <c r="AG26" s="417"/>
      <c r="AH26" s="417">
        <v>19.241</v>
      </c>
      <c r="AI26" s="394">
        <v>1</v>
      </c>
      <c r="AJ26" s="452">
        <v>41264</v>
      </c>
      <c r="AK26" s="452">
        <v>40512</v>
      </c>
      <c r="AL26" s="393"/>
      <c r="AM26" s="393"/>
      <c r="AN26" s="417"/>
      <c r="AO26" s="392" t="s">
        <v>54</v>
      </c>
      <c r="AP26" s="392" t="s">
        <v>7036</v>
      </c>
      <c r="AQ26" s="392"/>
      <c r="AR26" s="392" t="s">
        <v>509</v>
      </c>
      <c r="AS26" s="479">
        <v>39645</v>
      </c>
      <c r="AT26" s="453"/>
      <c r="AU26" s="453"/>
      <c r="AV26" s="453"/>
      <c r="AW26" s="453"/>
      <c r="AX26" s="453"/>
      <c r="AY26" s="453"/>
      <c r="AZ26" s="452">
        <v>40025</v>
      </c>
      <c r="BA26" s="393" t="s">
        <v>6982</v>
      </c>
      <c r="BB26" s="393"/>
      <c r="BC26" s="393" t="b">
        <v>0</v>
      </c>
      <c r="BD26" s="393"/>
      <c r="BE26" s="392"/>
      <c r="BF26" s="394">
        <v>4</v>
      </c>
      <c r="BG26" s="394">
        <v>8</v>
      </c>
      <c r="BH26" s="394">
        <v>9</v>
      </c>
      <c r="BI26" s="394">
        <v>5</v>
      </c>
      <c r="BJ26" s="394">
        <v>7</v>
      </c>
      <c r="BK26" s="394"/>
      <c r="BL26" s="444" t="s">
        <v>1451</v>
      </c>
      <c r="BM26" s="392"/>
      <c r="BN26" s="393" t="s">
        <v>117</v>
      </c>
      <c r="BO26" s="393"/>
      <c r="BP26" s="399"/>
      <c r="BQ26" s="400"/>
      <c r="BR26" s="401"/>
      <c r="BS26" s="399"/>
      <c r="BT26" s="394"/>
      <c r="BU26" s="417">
        <v>0.51400000000000001</v>
      </c>
      <c r="BV26" s="399"/>
      <c r="BW26" s="393" t="s">
        <v>3117</v>
      </c>
      <c r="BX26" s="392" t="s">
        <v>3831</v>
      </c>
      <c r="BY26" s="393"/>
      <c r="BZ26" s="393"/>
      <c r="CA26" s="441" t="s">
        <v>1664</v>
      </c>
      <c r="CB26" s="400">
        <v>3</v>
      </c>
      <c r="CC26" s="398"/>
      <c r="CD26" s="398"/>
      <c r="CE26" s="398">
        <v>27.664999999999999</v>
      </c>
      <c r="CF26" s="398">
        <v>27.385999999999999</v>
      </c>
      <c r="CG26" s="398">
        <v>26.827000000000002</v>
      </c>
      <c r="CH26" s="398">
        <v>26.827000000000002</v>
      </c>
      <c r="CI26" s="398">
        <v>26.268000000000001</v>
      </c>
      <c r="CJ26" s="398">
        <v>25.709</v>
      </c>
      <c r="CK26" s="398">
        <v>25.15</v>
      </c>
      <c r="CL26" s="398">
        <v>22.914000000000001</v>
      </c>
      <c r="CM26" s="398">
        <v>19.561</v>
      </c>
      <c r="CN26" s="398">
        <v>15.369</v>
      </c>
      <c r="CO26" s="398"/>
      <c r="CP26" s="398"/>
      <c r="CQ26" s="398"/>
      <c r="CR26" s="398"/>
      <c r="CS26" s="398"/>
      <c r="CT26" s="398"/>
      <c r="CU26" s="398"/>
      <c r="CV26" s="398"/>
      <c r="CW26" s="398"/>
      <c r="CX26" s="398"/>
      <c r="CY26" s="398"/>
      <c r="CZ26" s="398"/>
      <c r="DA26" s="398"/>
      <c r="DB26" s="398"/>
      <c r="DC26" s="398"/>
      <c r="DD26" s="398"/>
      <c r="DE26" s="393"/>
      <c r="DF26" s="393"/>
      <c r="DG26" s="393"/>
      <c r="DH26" s="393"/>
      <c r="DI26" s="393"/>
      <c r="DJ26" s="393"/>
      <c r="DK26" s="897"/>
    </row>
    <row r="27" spans="1:115" ht="25.5" x14ac:dyDescent="0.2">
      <c r="A27" s="295">
        <v>23</v>
      </c>
      <c r="B27" s="390" t="s">
        <v>4823</v>
      </c>
      <c r="C27" s="390"/>
      <c r="D27" s="391" t="s">
        <v>4824</v>
      </c>
      <c r="E27" s="704" t="s">
        <v>4825</v>
      </c>
      <c r="F27" s="393" t="s">
        <v>1340</v>
      </c>
      <c r="G27" s="393" t="s">
        <v>1676</v>
      </c>
      <c r="H27" s="393" t="s">
        <v>58</v>
      </c>
      <c r="I27" s="392"/>
      <c r="J27" s="392"/>
      <c r="K27" s="392" t="s">
        <v>58</v>
      </c>
      <c r="L27" s="392" t="s">
        <v>509</v>
      </c>
      <c r="M27" s="392"/>
      <c r="N27" s="393" t="s">
        <v>44</v>
      </c>
      <c r="O27" s="393" t="s">
        <v>51</v>
      </c>
      <c r="P27" s="393" t="s">
        <v>51</v>
      </c>
      <c r="Q27" s="392" t="s">
        <v>426</v>
      </c>
      <c r="R27" s="392" t="s">
        <v>3830</v>
      </c>
      <c r="S27" s="392" t="s">
        <v>256</v>
      </c>
      <c r="T27" s="394">
        <v>1</v>
      </c>
      <c r="U27" s="395">
        <v>24.283000000000001</v>
      </c>
      <c r="V27" s="395"/>
      <c r="W27" s="453"/>
      <c r="X27" s="394"/>
      <c r="Y27" s="394">
        <v>10</v>
      </c>
      <c r="Z27" s="394">
        <v>10</v>
      </c>
      <c r="AA27" s="395">
        <v>-0.5</v>
      </c>
      <c r="AB27" s="452">
        <v>41518</v>
      </c>
      <c r="AC27" s="398">
        <v>0</v>
      </c>
      <c r="AD27" s="398">
        <v>242.83</v>
      </c>
      <c r="AE27" s="393" t="s">
        <v>54</v>
      </c>
      <c r="AF27" s="417"/>
      <c r="AG27" s="417">
        <v>7.4909999999999997</v>
      </c>
      <c r="AH27" s="417">
        <v>7.4909999999999997</v>
      </c>
      <c r="AI27" s="394"/>
      <c r="AJ27" s="453"/>
      <c r="AK27" s="453"/>
      <c r="AL27" s="393"/>
      <c r="AM27" s="393"/>
      <c r="AN27" s="417"/>
      <c r="AO27" s="392" t="s">
        <v>54</v>
      </c>
      <c r="AP27" s="392"/>
      <c r="AQ27" s="392"/>
      <c r="AR27" s="392" t="s">
        <v>509</v>
      </c>
      <c r="AS27" s="480"/>
      <c r="AT27" s="453"/>
      <c r="AU27" s="453"/>
      <c r="AV27" s="453"/>
      <c r="AW27" s="453"/>
      <c r="AX27" s="453"/>
      <c r="AY27" s="453"/>
      <c r="AZ27" s="452">
        <v>41416</v>
      </c>
      <c r="BA27" s="393"/>
      <c r="BB27" s="393"/>
      <c r="BC27" s="393" t="b">
        <v>0</v>
      </c>
      <c r="BD27" s="393"/>
      <c r="BE27" s="392"/>
      <c r="BF27" s="394">
        <v>4</v>
      </c>
      <c r="BG27" s="394">
        <v>8</v>
      </c>
      <c r="BH27" s="394">
        <v>9</v>
      </c>
      <c r="BI27" s="394">
        <v>5</v>
      </c>
      <c r="BJ27" s="394">
        <v>7</v>
      </c>
      <c r="BK27" s="394"/>
      <c r="BL27" s="444" t="s">
        <v>1451</v>
      </c>
      <c r="BM27" s="392"/>
      <c r="BN27" s="393" t="s">
        <v>117</v>
      </c>
      <c r="BO27" s="393"/>
      <c r="BP27" s="399"/>
      <c r="BQ27" s="400"/>
      <c r="BR27" s="401"/>
      <c r="BS27" s="399"/>
      <c r="BT27" s="394"/>
      <c r="BU27" s="417"/>
      <c r="BV27" s="399"/>
      <c r="BW27" s="393" t="s">
        <v>3117</v>
      </c>
      <c r="BX27" s="392" t="s">
        <v>3831</v>
      </c>
      <c r="BY27" s="393"/>
      <c r="BZ27" s="393"/>
      <c r="CA27" s="441" t="s">
        <v>1664</v>
      </c>
      <c r="CB27" s="400">
        <v>3</v>
      </c>
      <c r="CC27" s="398"/>
      <c r="CD27" s="398"/>
      <c r="CE27" s="398"/>
      <c r="CF27" s="398"/>
      <c r="CG27" s="398"/>
      <c r="CH27" s="398"/>
      <c r="CI27" s="398">
        <v>26.268000000000001</v>
      </c>
      <c r="CJ27" s="398">
        <v>25.709</v>
      </c>
      <c r="CK27" s="398">
        <v>25.15</v>
      </c>
      <c r="CL27" s="398">
        <v>22.914000000000001</v>
      </c>
      <c r="CM27" s="398">
        <v>19.561</v>
      </c>
      <c r="CN27" s="398">
        <v>15.369</v>
      </c>
      <c r="CO27" s="398"/>
      <c r="CP27" s="398"/>
      <c r="CQ27" s="398"/>
      <c r="CR27" s="398"/>
      <c r="CS27" s="398"/>
      <c r="CT27" s="398"/>
      <c r="CU27" s="398"/>
      <c r="CV27" s="398"/>
      <c r="CW27" s="398"/>
      <c r="CX27" s="398"/>
      <c r="CY27" s="398"/>
      <c r="CZ27" s="398"/>
      <c r="DA27" s="398"/>
      <c r="DB27" s="398"/>
      <c r="DC27" s="398"/>
      <c r="DD27" s="398"/>
      <c r="DE27" s="393"/>
      <c r="DF27" s="393"/>
      <c r="DG27" s="393"/>
      <c r="DH27" s="393"/>
      <c r="DI27" s="393"/>
      <c r="DJ27" s="393"/>
      <c r="DK27" s="897"/>
    </row>
    <row r="28" spans="1:115" ht="25.5" x14ac:dyDescent="0.2">
      <c r="A28" s="295">
        <v>24</v>
      </c>
      <c r="B28" s="390" t="s">
        <v>4826</v>
      </c>
      <c r="C28" s="390"/>
      <c r="D28" s="391" t="s">
        <v>4827</v>
      </c>
      <c r="E28" s="704" t="s">
        <v>4828</v>
      </c>
      <c r="F28" s="393" t="s">
        <v>1340</v>
      </c>
      <c r="G28" s="393" t="s">
        <v>1676</v>
      </c>
      <c r="H28" s="393" t="s">
        <v>58</v>
      </c>
      <c r="I28" s="392"/>
      <c r="J28" s="392"/>
      <c r="K28" s="392" t="s">
        <v>58</v>
      </c>
      <c r="L28" s="392" t="s">
        <v>509</v>
      </c>
      <c r="M28" s="392"/>
      <c r="N28" s="393" t="s">
        <v>44</v>
      </c>
      <c r="O28" s="393" t="s">
        <v>51</v>
      </c>
      <c r="P28" s="393" t="s">
        <v>51</v>
      </c>
      <c r="Q28" s="392" t="s">
        <v>426</v>
      </c>
      <c r="R28" s="392" t="s">
        <v>3830</v>
      </c>
      <c r="S28" s="392" t="s">
        <v>256</v>
      </c>
      <c r="T28" s="394">
        <v>1</v>
      </c>
      <c r="U28" s="395">
        <v>24.283000000000001</v>
      </c>
      <c r="V28" s="395"/>
      <c r="W28" s="453"/>
      <c r="X28" s="394"/>
      <c r="Y28" s="394">
        <v>10</v>
      </c>
      <c r="Z28" s="394">
        <v>10</v>
      </c>
      <c r="AA28" s="395">
        <v>-0.5</v>
      </c>
      <c r="AB28" s="452">
        <v>41518</v>
      </c>
      <c r="AC28" s="398">
        <v>0</v>
      </c>
      <c r="AD28" s="398">
        <v>242.83</v>
      </c>
      <c r="AE28" s="393" t="s">
        <v>54</v>
      </c>
      <c r="AF28" s="417"/>
      <c r="AG28" s="417">
        <v>7.4909999999999997</v>
      </c>
      <c r="AH28" s="417">
        <v>7.4909999999999997</v>
      </c>
      <c r="AI28" s="394"/>
      <c r="AJ28" s="453"/>
      <c r="AK28" s="453"/>
      <c r="AL28" s="393"/>
      <c r="AM28" s="393"/>
      <c r="AN28" s="417"/>
      <c r="AO28" s="392" t="s">
        <v>54</v>
      </c>
      <c r="AP28" s="392"/>
      <c r="AQ28" s="392"/>
      <c r="AR28" s="392" t="s">
        <v>509</v>
      </c>
      <c r="AS28" s="480"/>
      <c r="AT28" s="453"/>
      <c r="AU28" s="453"/>
      <c r="AV28" s="453"/>
      <c r="AW28" s="453"/>
      <c r="AX28" s="453"/>
      <c r="AY28" s="453"/>
      <c r="AZ28" s="452">
        <v>41416</v>
      </c>
      <c r="BA28" s="393"/>
      <c r="BB28" s="393"/>
      <c r="BC28" s="393" t="b">
        <v>0</v>
      </c>
      <c r="BD28" s="393"/>
      <c r="BE28" s="392"/>
      <c r="BF28" s="394">
        <v>4</v>
      </c>
      <c r="BG28" s="394">
        <v>8</v>
      </c>
      <c r="BH28" s="394">
        <v>9</v>
      </c>
      <c r="BI28" s="394">
        <v>5</v>
      </c>
      <c r="BJ28" s="394">
        <v>7</v>
      </c>
      <c r="BK28" s="394"/>
      <c r="BL28" s="444" t="s">
        <v>1451</v>
      </c>
      <c r="BM28" s="392"/>
      <c r="BN28" s="393" t="s">
        <v>117</v>
      </c>
      <c r="BO28" s="393"/>
      <c r="BP28" s="399"/>
      <c r="BQ28" s="400"/>
      <c r="BR28" s="401"/>
      <c r="BS28" s="399"/>
      <c r="BT28" s="394"/>
      <c r="BU28" s="417"/>
      <c r="BV28" s="399"/>
      <c r="BW28" s="393" t="s">
        <v>3117</v>
      </c>
      <c r="BX28" s="392" t="s">
        <v>3831</v>
      </c>
      <c r="BY28" s="393"/>
      <c r="BZ28" s="393"/>
      <c r="CA28" s="441" t="s">
        <v>1664</v>
      </c>
      <c r="CB28" s="400">
        <v>3</v>
      </c>
      <c r="CC28" s="398"/>
      <c r="CD28" s="398"/>
      <c r="CE28" s="398"/>
      <c r="CF28" s="398"/>
      <c r="CG28" s="398"/>
      <c r="CH28" s="398"/>
      <c r="CI28" s="398">
        <v>26.268000000000001</v>
      </c>
      <c r="CJ28" s="398">
        <v>25.709</v>
      </c>
      <c r="CK28" s="398">
        <v>25.15</v>
      </c>
      <c r="CL28" s="398">
        <v>22.914000000000001</v>
      </c>
      <c r="CM28" s="398">
        <v>19.561</v>
      </c>
      <c r="CN28" s="398">
        <v>15.369</v>
      </c>
      <c r="CO28" s="398"/>
      <c r="CP28" s="398"/>
      <c r="CQ28" s="398"/>
      <c r="CR28" s="398"/>
      <c r="CS28" s="398"/>
      <c r="CT28" s="398"/>
      <c r="CU28" s="398"/>
      <c r="CV28" s="398"/>
      <c r="CW28" s="398"/>
      <c r="CX28" s="398"/>
      <c r="CY28" s="398"/>
      <c r="CZ28" s="398"/>
      <c r="DA28" s="398"/>
      <c r="DB28" s="398"/>
      <c r="DC28" s="398"/>
      <c r="DD28" s="398"/>
      <c r="DE28" s="393"/>
      <c r="DF28" s="393"/>
      <c r="DG28" s="393"/>
      <c r="DH28" s="393"/>
      <c r="DI28" s="393"/>
      <c r="DJ28" s="393"/>
      <c r="DK28" s="897"/>
    </row>
    <row r="29" spans="1:115" ht="25.5" x14ac:dyDescent="0.2">
      <c r="A29" s="295">
        <v>25</v>
      </c>
      <c r="B29" s="390" t="s">
        <v>4829</v>
      </c>
      <c r="C29" s="390"/>
      <c r="D29" s="391" t="s">
        <v>4830</v>
      </c>
      <c r="E29" s="704" t="s">
        <v>4831</v>
      </c>
      <c r="F29" s="393" t="s">
        <v>1340</v>
      </c>
      <c r="G29" s="393" t="s">
        <v>1676</v>
      </c>
      <c r="H29" s="393" t="s">
        <v>58</v>
      </c>
      <c r="I29" s="392"/>
      <c r="J29" s="392"/>
      <c r="K29" s="392" t="s">
        <v>58</v>
      </c>
      <c r="L29" s="392" t="s">
        <v>509</v>
      </c>
      <c r="M29" s="392"/>
      <c r="N29" s="393" t="s">
        <v>44</v>
      </c>
      <c r="O29" s="393" t="s">
        <v>51</v>
      </c>
      <c r="P29" s="393" t="s">
        <v>51</v>
      </c>
      <c r="Q29" s="392" t="s">
        <v>426</v>
      </c>
      <c r="R29" s="392" t="s">
        <v>3830</v>
      </c>
      <c r="S29" s="392" t="s">
        <v>256</v>
      </c>
      <c r="T29" s="394">
        <v>1</v>
      </c>
      <c r="U29" s="395">
        <v>24.283000000000001</v>
      </c>
      <c r="V29" s="395"/>
      <c r="W29" s="453"/>
      <c r="X29" s="394"/>
      <c r="Y29" s="394">
        <v>10</v>
      </c>
      <c r="Z29" s="394">
        <v>10</v>
      </c>
      <c r="AA29" s="395">
        <v>-0.5</v>
      </c>
      <c r="AB29" s="452">
        <v>41518</v>
      </c>
      <c r="AC29" s="398">
        <v>0</v>
      </c>
      <c r="AD29" s="398">
        <v>242.83</v>
      </c>
      <c r="AE29" s="393" t="s">
        <v>54</v>
      </c>
      <c r="AF29" s="417"/>
      <c r="AG29" s="417">
        <v>7.4909999999999997</v>
      </c>
      <c r="AH29" s="417">
        <v>7.4909999999999997</v>
      </c>
      <c r="AI29" s="394"/>
      <c r="AJ29" s="453"/>
      <c r="AK29" s="453"/>
      <c r="AL29" s="393"/>
      <c r="AM29" s="393"/>
      <c r="AN29" s="417"/>
      <c r="AO29" s="392" t="s">
        <v>54</v>
      </c>
      <c r="AP29" s="392"/>
      <c r="AQ29" s="392"/>
      <c r="AR29" s="392" t="s">
        <v>509</v>
      </c>
      <c r="AS29" s="480"/>
      <c r="AT29" s="453"/>
      <c r="AU29" s="453"/>
      <c r="AV29" s="453"/>
      <c r="AW29" s="453"/>
      <c r="AX29" s="453"/>
      <c r="AY29" s="453"/>
      <c r="AZ29" s="452">
        <v>41416</v>
      </c>
      <c r="BA29" s="393"/>
      <c r="BB29" s="393"/>
      <c r="BC29" s="393" t="b">
        <v>0</v>
      </c>
      <c r="BD29" s="393"/>
      <c r="BE29" s="392"/>
      <c r="BF29" s="394">
        <v>4</v>
      </c>
      <c r="BG29" s="394">
        <v>8</v>
      </c>
      <c r="BH29" s="394">
        <v>9</v>
      </c>
      <c r="BI29" s="394">
        <v>5</v>
      </c>
      <c r="BJ29" s="394">
        <v>7</v>
      </c>
      <c r="BK29" s="394"/>
      <c r="BL29" s="444" t="s">
        <v>1451</v>
      </c>
      <c r="BM29" s="392"/>
      <c r="BN29" s="393" t="s">
        <v>117</v>
      </c>
      <c r="BO29" s="393"/>
      <c r="BP29" s="399"/>
      <c r="BQ29" s="400"/>
      <c r="BR29" s="401"/>
      <c r="BS29" s="399"/>
      <c r="BT29" s="394"/>
      <c r="BU29" s="417"/>
      <c r="BV29" s="399"/>
      <c r="BW29" s="393" t="s">
        <v>3117</v>
      </c>
      <c r="BX29" s="392" t="s">
        <v>3831</v>
      </c>
      <c r="BY29" s="393"/>
      <c r="BZ29" s="393"/>
      <c r="CA29" s="441" t="s">
        <v>1664</v>
      </c>
      <c r="CB29" s="400">
        <v>3</v>
      </c>
      <c r="CC29" s="398"/>
      <c r="CD29" s="398"/>
      <c r="CE29" s="398"/>
      <c r="CF29" s="398"/>
      <c r="CG29" s="398"/>
      <c r="CH29" s="398"/>
      <c r="CI29" s="398">
        <v>26.268000000000001</v>
      </c>
      <c r="CJ29" s="398">
        <v>25.709</v>
      </c>
      <c r="CK29" s="398">
        <v>25.15</v>
      </c>
      <c r="CL29" s="398">
        <v>22.914000000000001</v>
      </c>
      <c r="CM29" s="398">
        <v>19.561</v>
      </c>
      <c r="CN29" s="398">
        <v>15.369</v>
      </c>
      <c r="CO29" s="398"/>
      <c r="CP29" s="398"/>
      <c r="CQ29" s="398"/>
      <c r="CR29" s="398"/>
      <c r="CS29" s="398"/>
      <c r="CT29" s="398"/>
      <c r="CU29" s="398"/>
      <c r="CV29" s="398"/>
      <c r="CW29" s="398"/>
      <c r="CX29" s="398"/>
      <c r="CY29" s="398"/>
      <c r="CZ29" s="398"/>
      <c r="DA29" s="398"/>
      <c r="DB29" s="398"/>
      <c r="DC29" s="398"/>
      <c r="DD29" s="398"/>
      <c r="DE29" s="393"/>
      <c r="DF29" s="393"/>
      <c r="DG29" s="393"/>
      <c r="DH29" s="393"/>
      <c r="DI29" s="393"/>
      <c r="DJ29" s="393"/>
      <c r="DK29" s="897"/>
    </row>
    <row r="30" spans="1:115" ht="25.5" x14ac:dyDescent="0.2">
      <c r="A30" s="295">
        <v>26</v>
      </c>
      <c r="B30" s="390" t="s">
        <v>4832</v>
      </c>
      <c r="C30" s="390"/>
      <c r="D30" s="391" t="s">
        <v>4833</v>
      </c>
      <c r="E30" s="704" t="s">
        <v>4834</v>
      </c>
      <c r="F30" s="393" t="s">
        <v>1340</v>
      </c>
      <c r="G30" s="393" t="s">
        <v>1676</v>
      </c>
      <c r="H30" s="393" t="s">
        <v>58</v>
      </c>
      <c r="I30" s="392"/>
      <c r="J30" s="392"/>
      <c r="K30" s="392" t="s">
        <v>58</v>
      </c>
      <c r="L30" s="392" t="s">
        <v>509</v>
      </c>
      <c r="M30" s="392"/>
      <c r="N30" s="393" t="s">
        <v>44</v>
      </c>
      <c r="O30" s="393" t="s">
        <v>51</v>
      </c>
      <c r="P30" s="393" t="s">
        <v>51</v>
      </c>
      <c r="Q30" s="392" t="s">
        <v>426</v>
      </c>
      <c r="R30" s="392" t="s">
        <v>3830</v>
      </c>
      <c r="S30" s="392" t="s">
        <v>256</v>
      </c>
      <c r="T30" s="394">
        <v>1</v>
      </c>
      <c r="U30" s="395">
        <v>24.283000000000001</v>
      </c>
      <c r="V30" s="395"/>
      <c r="W30" s="453"/>
      <c r="X30" s="394"/>
      <c r="Y30" s="394">
        <v>10</v>
      </c>
      <c r="Z30" s="394">
        <v>10</v>
      </c>
      <c r="AA30" s="395">
        <v>-0.5</v>
      </c>
      <c r="AB30" s="452">
        <v>41518</v>
      </c>
      <c r="AC30" s="398">
        <v>0</v>
      </c>
      <c r="AD30" s="398">
        <v>242.83</v>
      </c>
      <c r="AE30" s="393" t="s">
        <v>54</v>
      </c>
      <c r="AF30" s="417"/>
      <c r="AG30" s="417">
        <v>7.4909999999999997</v>
      </c>
      <c r="AH30" s="417">
        <v>7.4909999999999997</v>
      </c>
      <c r="AI30" s="394"/>
      <c r="AJ30" s="453"/>
      <c r="AK30" s="453"/>
      <c r="AL30" s="393"/>
      <c r="AM30" s="393"/>
      <c r="AN30" s="417"/>
      <c r="AO30" s="392" t="s">
        <v>54</v>
      </c>
      <c r="AP30" s="392"/>
      <c r="AQ30" s="392"/>
      <c r="AR30" s="392" t="s">
        <v>509</v>
      </c>
      <c r="AS30" s="480"/>
      <c r="AT30" s="453"/>
      <c r="AU30" s="453"/>
      <c r="AV30" s="453"/>
      <c r="AW30" s="453"/>
      <c r="AX30" s="453"/>
      <c r="AY30" s="453"/>
      <c r="AZ30" s="452">
        <v>41416</v>
      </c>
      <c r="BA30" s="393"/>
      <c r="BB30" s="393"/>
      <c r="BC30" s="393" t="b">
        <v>0</v>
      </c>
      <c r="BD30" s="393"/>
      <c r="BE30" s="392"/>
      <c r="BF30" s="394">
        <v>4</v>
      </c>
      <c r="BG30" s="394">
        <v>8</v>
      </c>
      <c r="BH30" s="394">
        <v>9</v>
      </c>
      <c r="BI30" s="394">
        <v>5</v>
      </c>
      <c r="BJ30" s="394">
        <v>7</v>
      </c>
      <c r="BK30" s="394"/>
      <c r="BL30" s="444" t="s">
        <v>1451</v>
      </c>
      <c r="BM30" s="392"/>
      <c r="BN30" s="393" t="s">
        <v>117</v>
      </c>
      <c r="BO30" s="393"/>
      <c r="BP30" s="399"/>
      <c r="BQ30" s="400"/>
      <c r="BR30" s="401"/>
      <c r="BS30" s="399"/>
      <c r="BT30" s="394"/>
      <c r="BU30" s="417"/>
      <c r="BV30" s="399"/>
      <c r="BW30" s="393" t="s">
        <v>3117</v>
      </c>
      <c r="BX30" s="392" t="s">
        <v>3831</v>
      </c>
      <c r="BY30" s="393"/>
      <c r="BZ30" s="393"/>
      <c r="CA30" s="441" t="s">
        <v>1664</v>
      </c>
      <c r="CB30" s="400">
        <v>3</v>
      </c>
      <c r="CC30" s="398"/>
      <c r="CD30" s="398"/>
      <c r="CE30" s="398"/>
      <c r="CF30" s="398"/>
      <c r="CG30" s="398"/>
      <c r="CH30" s="398"/>
      <c r="CI30" s="398">
        <v>26.268000000000001</v>
      </c>
      <c r="CJ30" s="398">
        <v>25.709</v>
      </c>
      <c r="CK30" s="398">
        <v>25.15</v>
      </c>
      <c r="CL30" s="398">
        <v>22.914000000000001</v>
      </c>
      <c r="CM30" s="398">
        <v>19.561</v>
      </c>
      <c r="CN30" s="398">
        <v>15.369</v>
      </c>
      <c r="CO30" s="398"/>
      <c r="CP30" s="398"/>
      <c r="CQ30" s="398"/>
      <c r="CR30" s="398"/>
      <c r="CS30" s="398"/>
      <c r="CT30" s="398"/>
      <c r="CU30" s="398"/>
      <c r="CV30" s="398"/>
      <c r="CW30" s="398"/>
      <c r="CX30" s="398"/>
      <c r="CY30" s="398"/>
      <c r="CZ30" s="398"/>
      <c r="DA30" s="398"/>
      <c r="DB30" s="398"/>
      <c r="DC30" s="398"/>
      <c r="DD30" s="398"/>
      <c r="DE30" s="393"/>
      <c r="DF30" s="393"/>
      <c r="DG30" s="393"/>
      <c r="DH30" s="393"/>
      <c r="DI30" s="393"/>
      <c r="DJ30" s="393"/>
      <c r="DK30" s="897"/>
    </row>
    <row r="31" spans="1:115" ht="25.5" x14ac:dyDescent="0.2">
      <c r="A31" s="295">
        <v>27</v>
      </c>
      <c r="B31" s="390" t="s">
        <v>4835</v>
      </c>
      <c r="C31" s="390"/>
      <c r="D31" s="391" t="s">
        <v>4836</v>
      </c>
      <c r="E31" s="704" t="s">
        <v>4837</v>
      </c>
      <c r="F31" s="393" t="s">
        <v>1340</v>
      </c>
      <c r="G31" s="393" t="s">
        <v>1676</v>
      </c>
      <c r="H31" s="393" t="s">
        <v>58</v>
      </c>
      <c r="I31" s="392"/>
      <c r="J31" s="392"/>
      <c r="K31" s="392" t="s">
        <v>58</v>
      </c>
      <c r="L31" s="392" t="s">
        <v>509</v>
      </c>
      <c r="M31" s="392"/>
      <c r="N31" s="393" t="s">
        <v>44</v>
      </c>
      <c r="O31" s="393" t="s">
        <v>51</v>
      </c>
      <c r="P31" s="393" t="s">
        <v>51</v>
      </c>
      <c r="Q31" s="392" t="s">
        <v>426</v>
      </c>
      <c r="R31" s="392" t="s">
        <v>3830</v>
      </c>
      <c r="S31" s="392" t="s">
        <v>256</v>
      </c>
      <c r="T31" s="394">
        <v>1</v>
      </c>
      <c r="U31" s="395">
        <v>24.283000000000001</v>
      </c>
      <c r="V31" s="395"/>
      <c r="W31" s="453"/>
      <c r="X31" s="394"/>
      <c r="Y31" s="394">
        <v>10</v>
      </c>
      <c r="Z31" s="394">
        <v>10</v>
      </c>
      <c r="AA31" s="395">
        <v>-0.5</v>
      </c>
      <c r="AB31" s="452">
        <v>41518</v>
      </c>
      <c r="AC31" s="398">
        <v>0</v>
      </c>
      <c r="AD31" s="398">
        <v>242.83</v>
      </c>
      <c r="AE31" s="393" t="s">
        <v>54</v>
      </c>
      <c r="AF31" s="417"/>
      <c r="AG31" s="417">
        <v>7.4909999999999997</v>
      </c>
      <c r="AH31" s="417">
        <v>7.4909999999999997</v>
      </c>
      <c r="AI31" s="394"/>
      <c r="AJ31" s="453"/>
      <c r="AK31" s="453"/>
      <c r="AL31" s="393"/>
      <c r="AM31" s="393"/>
      <c r="AN31" s="417"/>
      <c r="AO31" s="392" t="s">
        <v>54</v>
      </c>
      <c r="AP31" s="392"/>
      <c r="AQ31" s="392"/>
      <c r="AR31" s="392" t="s">
        <v>509</v>
      </c>
      <c r="AS31" s="480"/>
      <c r="AT31" s="453"/>
      <c r="AU31" s="453"/>
      <c r="AV31" s="453"/>
      <c r="AW31" s="453"/>
      <c r="AX31" s="453"/>
      <c r="AY31" s="453"/>
      <c r="AZ31" s="452">
        <v>41416</v>
      </c>
      <c r="BA31" s="393"/>
      <c r="BB31" s="393"/>
      <c r="BC31" s="393" t="b">
        <v>0</v>
      </c>
      <c r="BD31" s="393"/>
      <c r="BE31" s="392"/>
      <c r="BF31" s="394">
        <v>4</v>
      </c>
      <c r="BG31" s="394">
        <v>8</v>
      </c>
      <c r="BH31" s="394">
        <v>9</v>
      </c>
      <c r="BI31" s="394">
        <v>5</v>
      </c>
      <c r="BJ31" s="394">
        <v>7</v>
      </c>
      <c r="BK31" s="394"/>
      <c r="BL31" s="444" t="s">
        <v>1451</v>
      </c>
      <c r="BM31" s="392"/>
      <c r="BN31" s="393" t="s">
        <v>117</v>
      </c>
      <c r="BO31" s="393"/>
      <c r="BP31" s="399"/>
      <c r="BQ31" s="400"/>
      <c r="BR31" s="401"/>
      <c r="BS31" s="399"/>
      <c r="BT31" s="394"/>
      <c r="BU31" s="417"/>
      <c r="BV31" s="399"/>
      <c r="BW31" s="393" t="s">
        <v>3117</v>
      </c>
      <c r="BX31" s="392" t="s">
        <v>3831</v>
      </c>
      <c r="BY31" s="393"/>
      <c r="BZ31" s="393"/>
      <c r="CA31" s="441" t="s">
        <v>1664</v>
      </c>
      <c r="CB31" s="400">
        <v>3</v>
      </c>
      <c r="CC31" s="398"/>
      <c r="CD31" s="398"/>
      <c r="CE31" s="398"/>
      <c r="CF31" s="398"/>
      <c r="CG31" s="398"/>
      <c r="CH31" s="398"/>
      <c r="CI31" s="398">
        <v>26.268000000000001</v>
      </c>
      <c r="CJ31" s="398">
        <v>25.709</v>
      </c>
      <c r="CK31" s="398">
        <v>25.15</v>
      </c>
      <c r="CL31" s="398">
        <v>22.914000000000001</v>
      </c>
      <c r="CM31" s="398">
        <v>19.561</v>
      </c>
      <c r="CN31" s="398">
        <v>15.369</v>
      </c>
      <c r="CO31" s="398"/>
      <c r="CP31" s="398"/>
      <c r="CQ31" s="398"/>
      <c r="CR31" s="398"/>
      <c r="CS31" s="398"/>
      <c r="CT31" s="398"/>
      <c r="CU31" s="398"/>
      <c r="CV31" s="398"/>
      <c r="CW31" s="398"/>
      <c r="CX31" s="398"/>
      <c r="CY31" s="398"/>
      <c r="CZ31" s="398"/>
      <c r="DA31" s="398"/>
      <c r="DB31" s="398"/>
      <c r="DC31" s="398"/>
      <c r="DD31" s="398"/>
      <c r="DE31" s="393"/>
      <c r="DF31" s="393"/>
      <c r="DG31" s="393"/>
      <c r="DH31" s="393"/>
      <c r="DI31" s="393"/>
      <c r="DJ31" s="393"/>
      <c r="DK31" s="897"/>
    </row>
    <row r="32" spans="1:115" ht="25.5" x14ac:dyDescent="0.2">
      <c r="A32" s="295">
        <v>28</v>
      </c>
      <c r="B32" s="390" t="s">
        <v>4838</v>
      </c>
      <c r="C32" s="390"/>
      <c r="D32" s="391" t="s">
        <v>4839</v>
      </c>
      <c r="E32" s="704" t="s">
        <v>4840</v>
      </c>
      <c r="F32" s="393" t="s">
        <v>1340</v>
      </c>
      <c r="G32" s="393" t="s">
        <v>1676</v>
      </c>
      <c r="H32" s="393" t="s">
        <v>58</v>
      </c>
      <c r="I32" s="392"/>
      <c r="J32" s="392"/>
      <c r="K32" s="392" t="s">
        <v>58</v>
      </c>
      <c r="L32" s="392" t="s">
        <v>509</v>
      </c>
      <c r="M32" s="392"/>
      <c r="N32" s="393" t="s">
        <v>44</v>
      </c>
      <c r="O32" s="393" t="s">
        <v>51</v>
      </c>
      <c r="P32" s="393" t="s">
        <v>51</v>
      </c>
      <c r="Q32" s="392" t="s">
        <v>426</v>
      </c>
      <c r="R32" s="392" t="s">
        <v>3830</v>
      </c>
      <c r="S32" s="392" t="s">
        <v>256</v>
      </c>
      <c r="T32" s="394">
        <v>1</v>
      </c>
      <c r="U32" s="395">
        <v>24.283000000000001</v>
      </c>
      <c r="V32" s="395"/>
      <c r="W32" s="453"/>
      <c r="X32" s="394"/>
      <c r="Y32" s="394">
        <v>10</v>
      </c>
      <c r="Z32" s="394">
        <v>10</v>
      </c>
      <c r="AA32" s="395">
        <v>-0.5</v>
      </c>
      <c r="AB32" s="452">
        <v>41518</v>
      </c>
      <c r="AC32" s="398">
        <v>0</v>
      </c>
      <c r="AD32" s="398">
        <v>242.83</v>
      </c>
      <c r="AE32" s="393" t="s">
        <v>54</v>
      </c>
      <c r="AF32" s="417"/>
      <c r="AG32" s="417">
        <v>8.8059999999999992</v>
      </c>
      <c r="AH32" s="417">
        <v>8.8059999999999992</v>
      </c>
      <c r="AI32" s="394"/>
      <c r="AJ32" s="453"/>
      <c r="AK32" s="453"/>
      <c r="AL32" s="393"/>
      <c r="AM32" s="393"/>
      <c r="AN32" s="417"/>
      <c r="AO32" s="392" t="s">
        <v>54</v>
      </c>
      <c r="AP32" s="392"/>
      <c r="AQ32" s="392"/>
      <c r="AR32" s="392" t="s">
        <v>509</v>
      </c>
      <c r="AS32" s="480"/>
      <c r="AT32" s="453"/>
      <c r="AU32" s="453"/>
      <c r="AV32" s="453"/>
      <c r="AW32" s="453"/>
      <c r="AX32" s="453"/>
      <c r="AY32" s="453"/>
      <c r="AZ32" s="452">
        <v>41416</v>
      </c>
      <c r="BA32" s="393"/>
      <c r="BB32" s="393"/>
      <c r="BC32" s="393" t="b">
        <v>0</v>
      </c>
      <c r="BD32" s="393"/>
      <c r="BE32" s="392"/>
      <c r="BF32" s="394">
        <v>4</v>
      </c>
      <c r="BG32" s="394">
        <v>8</v>
      </c>
      <c r="BH32" s="394">
        <v>9</v>
      </c>
      <c r="BI32" s="394">
        <v>5</v>
      </c>
      <c r="BJ32" s="394">
        <v>7</v>
      </c>
      <c r="BK32" s="394"/>
      <c r="BL32" s="444" t="s">
        <v>1451</v>
      </c>
      <c r="BM32" s="392"/>
      <c r="BN32" s="393" t="s">
        <v>117</v>
      </c>
      <c r="BO32" s="393"/>
      <c r="BP32" s="399"/>
      <c r="BQ32" s="400"/>
      <c r="BR32" s="401"/>
      <c r="BS32" s="399"/>
      <c r="BT32" s="394"/>
      <c r="BU32" s="417"/>
      <c r="BV32" s="399"/>
      <c r="BW32" s="393" t="s">
        <v>3117</v>
      </c>
      <c r="BX32" s="392" t="s">
        <v>3831</v>
      </c>
      <c r="BY32" s="393"/>
      <c r="BZ32" s="393"/>
      <c r="CA32" s="441" t="s">
        <v>1664</v>
      </c>
      <c r="CB32" s="400">
        <v>3</v>
      </c>
      <c r="CC32" s="398"/>
      <c r="CD32" s="398"/>
      <c r="CE32" s="398"/>
      <c r="CF32" s="398"/>
      <c r="CG32" s="398"/>
      <c r="CH32" s="398"/>
      <c r="CI32" s="398">
        <v>26.268000000000001</v>
      </c>
      <c r="CJ32" s="398">
        <v>25.709</v>
      </c>
      <c r="CK32" s="398">
        <v>25.15</v>
      </c>
      <c r="CL32" s="398">
        <v>22.914000000000001</v>
      </c>
      <c r="CM32" s="398">
        <v>19.561</v>
      </c>
      <c r="CN32" s="398">
        <v>15.369</v>
      </c>
      <c r="CO32" s="398"/>
      <c r="CP32" s="398"/>
      <c r="CQ32" s="398"/>
      <c r="CR32" s="398"/>
      <c r="CS32" s="398"/>
      <c r="CT32" s="398"/>
      <c r="CU32" s="398"/>
      <c r="CV32" s="398"/>
      <c r="CW32" s="398"/>
      <c r="CX32" s="398"/>
      <c r="CY32" s="398"/>
      <c r="CZ32" s="398"/>
      <c r="DA32" s="398"/>
      <c r="DB32" s="398"/>
      <c r="DC32" s="398"/>
      <c r="DD32" s="398"/>
      <c r="DE32" s="393"/>
      <c r="DF32" s="393"/>
      <c r="DG32" s="393"/>
      <c r="DH32" s="393"/>
      <c r="DI32" s="393"/>
      <c r="DJ32" s="393"/>
      <c r="DK32" s="897"/>
    </row>
    <row r="33" spans="1:115" ht="25.5" x14ac:dyDescent="0.2">
      <c r="A33" s="295">
        <v>29</v>
      </c>
      <c r="B33" s="390" t="s">
        <v>4841</v>
      </c>
      <c r="C33" s="390"/>
      <c r="D33" s="391" t="s">
        <v>4842</v>
      </c>
      <c r="E33" s="704" t="s">
        <v>4843</v>
      </c>
      <c r="F33" s="393" t="s">
        <v>1340</v>
      </c>
      <c r="G33" s="393" t="s">
        <v>1676</v>
      </c>
      <c r="H33" s="393" t="s">
        <v>58</v>
      </c>
      <c r="I33" s="392"/>
      <c r="J33" s="392"/>
      <c r="K33" s="392" t="s">
        <v>58</v>
      </c>
      <c r="L33" s="392" t="s">
        <v>509</v>
      </c>
      <c r="M33" s="392"/>
      <c r="N33" s="393" t="s">
        <v>44</v>
      </c>
      <c r="O33" s="393" t="s">
        <v>51</v>
      </c>
      <c r="P33" s="393" t="s">
        <v>51</v>
      </c>
      <c r="Q33" s="392" t="s">
        <v>426</v>
      </c>
      <c r="R33" s="392" t="s">
        <v>3830</v>
      </c>
      <c r="S33" s="392" t="s">
        <v>256</v>
      </c>
      <c r="T33" s="394">
        <v>1</v>
      </c>
      <c r="U33" s="395">
        <v>24.283000000000001</v>
      </c>
      <c r="V33" s="395"/>
      <c r="W33" s="453"/>
      <c r="X33" s="394"/>
      <c r="Y33" s="394">
        <v>10</v>
      </c>
      <c r="Z33" s="394">
        <v>10</v>
      </c>
      <c r="AA33" s="395">
        <v>-0.5</v>
      </c>
      <c r="AB33" s="452">
        <v>41518</v>
      </c>
      <c r="AC33" s="398">
        <v>0</v>
      </c>
      <c r="AD33" s="398">
        <v>242.83</v>
      </c>
      <c r="AE33" s="393" t="s">
        <v>54</v>
      </c>
      <c r="AF33" s="417"/>
      <c r="AG33" s="417">
        <v>8.8059999999999992</v>
      </c>
      <c r="AH33" s="417">
        <v>8.8059999999999992</v>
      </c>
      <c r="AI33" s="394"/>
      <c r="AJ33" s="453"/>
      <c r="AK33" s="453"/>
      <c r="AL33" s="393"/>
      <c r="AM33" s="393"/>
      <c r="AN33" s="417"/>
      <c r="AO33" s="392" t="s">
        <v>54</v>
      </c>
      <c r="AP33" s="392"/>
      <c r="AQ33" s="392"/>
      <c r="AR33" s="392" t="s">
        <v>509</v>
      </c>
      <c r="AS33" s="480"/>
      <c r="AT33" s="453"/>
      <c r="AU33" s="453"/>
      <c r="AV33" s="453"/>
      <c r="AW33" s="453"/>
      <c r="AX33" s="453"/>
      <c r="AY33" s="453"/>
      <c r="AZ33" s="452">
        <v>41416</v>
      </c>
      <c r="BA33" s="393"/>
      <c r="BB33" s="393"/>
      <c r="BC33" s="393" t="b">
        <v>0</v>
      </c>
      <c r="BD33" s="393"/>
      <c r="BE33" s="392"/>
      <c r="BF33" s="394">
        <v>4</v>
      </c>
      <c r="BG33" s="394">
        <v>8</v>
      </c>
      <c r="BH33" s="394">
        <v>9</v>
      </c>
      <c r="BI33" s="394">
        <v>5</v>
      </c>
      <c r="BJ33" s="394">
        <v>7</v>
      </c>
      <c r="BK33" s="394"/>
      <c r="BL33" s="444" t="s">
        <v>1451</v>
      </c>
      <c r="BM33" s="392"/>
      <c r="BN33" s="393" t="s">
        <v>117</v>
      </c>
      <c r="BO33" s="393"/>
      <c r="BP33" s="399"/>
      <c r="BQ33" s="400"/>
      <c r="BR33" s="401"/>
      <c r="BS33" s="399"/>
      <c r="BT33" s="394"/>
      <c r="BU33" s="417"/>
      <c r="BV33" s="399"/>
      <c r="BW33" s="393" t="s">
        <v>3117</v>
      </c>
      <c r="BX33" s="392" t="s">
        <v>3831</v>
      </c>
      <c r="BY33" s="393"/>
      <c r="BZ33" s="393"/>
      <c r="CA33" s="441" t="s">
        <v>1664</v>
      </c>
      <c r="CB33" s="400">
        <v>3</v>
      </c>
      <c r="CC33" s="398"/>
      <c r="CD33" s="398"/>
      <c r="CE33" s="398"/>
      <c r="CF33" s="398"/>
      <c r="CG33" s="398"/>
      <c r="CH33" s="398"/>
      <c r="CI33" s="398">
        <v>26.268000000000001</v>
      </c>
      <c r="CJ33" s="398">
        <v>25.709</v>
      </c>
      <c r="CK33" s="398">
        <v>25.15</v>
      </c>
      <c r="CL33" s="398">
        <v>22.914000000000001</v>
      </c>
      <c r="CM33" s="398">
        <v>19.561</v>
      </c>
      <c r="CN33" s="398">
        <v>15.369</v>
      </c>
      <c r="CO33" s="398"/>
      <c r="CP33" s="398"/>
      <c r="CQ33" s="398"/>
      <c r="CR33" s="398"/>
      <c r="CS33" s="398"/>
      <c r="CT33" s="398"/>
      <c r="CU33" s="398"/>
      <c r="CV33" s="398"/>
      <c r="CW33" s="398"/>
      <c r="CX33" s="398"/>
      <c r="CY33" s="398"/>
      <c r="CZ33" s="398"/>
      <c r="DA33" s="398"/>
      <c r="DB33" s="398"/>
      <c r="DC33" s="398"/>
      <c r="DD33" s="398"/>
      <c r="DE33" s="393"/>
      <c r="DF33" s="393"/>
      <c r="DG33" s="393"/>
      <c r="DH33" s="393"/>
      <c r="DI33" s="393"/>
      <c r="DJ33" s="393"/>
      <c r="DK33" s="897"/>
    </row>
    <row r="34" spans="1:115" ht="25.5" x14ac:dyDescent="0.2">
      <c r="A34" s="295">
        <v>30</v>
      </c>
      <c r="B34" s="390" t="s">
        <v>4844</v>
      </c>
      <c r="C34" s="390"/>
      <c r="D34" s="391" t="s">
        <v>4845</v>
      </c>
      <c r="E34" s="704" t="s">
        <v>4846</v>
      </c>
      <c r="F34" s="393" t="s">
        <v>1340</v>
      </c>
      <c r="G34" s="393" t="s">
        <v>1676</v>
      </c>
      <c r="H34" s="393" t="s">
        <v>58</v>
      </c>
      <c r="I34" s="392"/>
      <c r="J34" s="392"/>
      <c r="K34" s="392" t="s">
        <v>58</v>
      </c>
      <c r="L34" s="392" t="s">
        <v>509</v>
      </c>
      <c r="M34" s="392"/>
      <c r="N34" s="393" t="s">
        <v>44</v>
      </c>
      <c r="O34" s="393" t="s">
        <v>51</v>
      </c>
      <c r="P34" s="393" t="s">
        <v>51</v>
      </c>
      <c r="Q34" s="392" t="s">
        <v>426</v>
      </c>
      <c r="R34" s="392" t="s">
        <v>3830</v>
      </c>
      <c r="S34" s="392" t="s">
        <v>256</v>
      </c>
      <c r="T34" s="394">
        <v>1</v>
      </c>
      <c r="U34" s="395">
        <v>24.283000000000001</v>
      </c>
      <c r="V34" s="395"/>
      <c r="W34" s="453"/>
      <c r="X34" s="394"/>
      <c r="Y34" s="394">
        <v>10</v>
      </c>
      <c r="Z34" s="394">
        <v>10</v>
      </c>
      <c r="AA34" s="395">
        <v>-0.5</v>
      </c>
      <c r="AB34" s="452">
        <v>41518</v>
      </c>
      <c r="AC34" s="398">
        <v>0</v>
      </c>
      <c r="AD34" s="398">
        <v>242.83</v>
      </c>
      <c r="AE34" s="393" t="s">
        <v>54</v>
      </c>
      <c r="AF34" s="417"/>
      <c r="AG34" s="417">
        <v>8.8059999999999992</v>
      </c>
      <c r="AH34" s="417">
        <v>8.8059999999999992</v>
      </c>
      <c r="AI34" s="394"/>
      <c r="AJ34" s="453"/>
      <c r="AK34" s="453"/>
      <c r="AL34" s="393"/>
      <c r="AM34" s="393"/>
      <c r="AN34" s="417"/>
      <c r="AO34" s="392" t="s">
        <v>54</v>
      </c>
      <c r="AP34" s="392"/>
      <c r="AQ34" s="392"/>
      <c r="AR34" s="392" t="s">
        <v>509</v>
      </c>
      <c r="AS34" s="480"/>
      <c r="AT34" s="453"/>
      <c r="AU34" s="453"/>
      <c r="AV34" s="453"/>
      <c r="AW34" s="453"/>
      <c r="AX34" s="453"/>
      <c r="AY34" s="453"/>
      <c r="AZ34" s="452">
        <v>41416</v>
      </c>
      <c r="BA34" s="393"/>
      <c r="BB34" s="393"/>
      <c r="BC34" s="393" t="b">
        <v>0</v>
      </c>
      <c r="BD34" s="393"/>
      <c r="BE34" s="392"/>
      <c r="BF34" s="394">
        <v>4</v>
      </c>
      <c r="BG34" s="394">
        <v>8</v>
      </c>
      <c r="BH34" s="394">
        <v>9</v>
      </c>
      <c r="BI34" s="394">
        <v>5</v>
      </c>
      <c r="BJ34" s="394">
        <v>7</v>
      </c>
      <c r="BK34" s="394"/>
      <c r="BL34" s="444" t="s">
        <v>1451</v>
      </c>
      <c r="BM34" s="392"/>
      <c r="BN34" s="393" t="s">
        <v>117</v>
      </c>
      <c r="BO34" s="393"/>
      <c r="BP34" s="399"/>
      <c r="BQ34" s="400"/>
      <c r="BR34" s="401"/>
      <c r="BS34" s="399"/>
      <c r="BT34" s="394"/>
      <c r="BU34" s="417"/>
      <c r="BV34" s="399"/>
      <c r="BW34" s="393" t="s">
        <v>3117</v>
      </c>
      <c r="BX34" s="392" t="s">
        <v>3831</v>
      </c>
      <c r="BY34" s="393"/>
      <c r="BZ34" s="393"/>
      <c r="CA34" s="441" t="s">
        <v>1664</v>
      </c>
      <c r="CB34" s="400">
        <v>3</v>
      </c>
      <c r="CC34" s="398"/>
      <c r="CD34" s="398"/>
      <c r="CE34" s="398"/>
      <c r="CF34" s="398"/>
      <c r="CG34" s="398"/>
      <c r="CH34" s="398"/>
      <c r="CI34" s="398">
        <v>26.268000000000001</v>
      </c>
      <c r="CJ34" s="398">
        <v>25.709</v>
      </c>
      <c r="CK34" s="398">
        <v>25.15</v>
      </c>
      <c r="CL34" s="398">
        <v>22.914000000000001</v>
      </c>
      <c r="CM34" s="398">
        <v>19.561</v>
      </c>
      <c r="CN34" s="398">
        <v>15.369</v>
      </c>
      <c r="CO34" s="398"/>
      <c r="CP34" s="398"/>
      <c r="CQ34" s="398"/>
      <c r="CR34" s="398"/>
      <c r="CS34" s="398"/>
      <c r="CT34" s="398"/>
      <c r="CU34" s="398"/>
      <c r="CV34" s="398"/>
      <c r="CW34" s="398"/>
      <c r="CX34" s="398"/>
      <c r="CY34" s="398"/>
      <c r="CZ34" s="398"/>
      <c r="DA34" s="398"/>
      <c r="DB34" s="398"/>
      <c r="DC34" s="398"/>
      <c r="DD34" s="398"/>
      <c r="DE34" s="393"/>
      <c r="DF34" s="393"/>
      <c r="DG34" s="393"/>
      <c r="DH34" s="393"/>
      <c r="DI34" s="393"/>
      <c r="DJ34" s="393"/>
      <c r="DK34" s="897"/>
    </row>
    <row r="35" spans="1:115" ht="25.5" x14ac:dyDescent="0.2">
      <c r="A35" s="295">
        <v>31</v>
      </c>
      <c r="B35" s="390" t="s">
        <v>4847</v>
      </c>
      <c r="C35" s="390"/>
      <c r="D35" s="391" t="s">
        <v>4848</v>
      </c>
      <c r="E35" s="704" t="s">
        <v>4849</v>
      </c>
      <c r="F35" s="393" t="s">
        <v>1340</v>
      </c>
      <c r="G35" s="393" t="s">
        <v>1676</v>
      </c>
      <c r="H35" s="393" t="s">
        <v>58</v>
      </c>
      <c r="I35" s="392"/>
      <c r="J35" s="392"/>
      <c r="K35" s="392" t="s">
        <v>58</v>
      </c>
      <c r="L35" s="392" t="s">
        <v>509</v>
      </c>
      <c r="M35" s="392"/>
      <c r="N35" s="393" t="s">
        <v>44</v>
      </c>
      <c r="O35" s="393" t="s">
        <v>51</v>
      </c>
      <c r="P35" s="393" t="s">
        <v>51</v>
      </c>
      <c r="Q35" s="392" t="s">
        <v>426</v>
      </c>
      <c r="R35" s="392" t="s">
        <v>3830</v>
      </c>
      <c r="S35" s="392" t="s">
        <v>256</v>
      </c>
      <c r="T35" s="394">
        <v>1</v>
      </c>
      <c r="U35" s="395">
        <v>24.283000000000001</v>
      </c>
      <c r="V35" s="395"/>
      <c r="W35" s="453"/>
      <c r="X35" s="394"/>
      <c r="Y35" s="394">
        <v>10</v>
      </c>
      <c r="Z35" s="394">
        <v>10</v>
      </c>
      <c r="AA35" s="395">
        <v>-0.5</v>
      </c>
      <c r="AB35" s="452">
        <v>41518</v>
      </c>
      <c r="AC35" s="398">
        <v>0</v>
      </c>
      <c r="AD35" s="398">
        <v>242.83</v>
      </c>
      <c r="AE35" s="393" t="s">
        <v>54</v>
      </c>
      <c r="AF35" s="417"/>
      <c r="AG35" s="417">
        <v>8.8059999999999992</v>
      </c>
      <c r="AH35" s="417">
        <v>8.8059999999999992</v>
      </c>
      <c r="AI35" s="394"/>
      <c r="AJ35" s="453"/>
      <c r="AK35" s="453"/>
      <c r="AL35" s="393"/>
      <c r="AM35" s="393"/>
      <c r="AN35" s="417"/>
      <c r="AO35" s="392" t="s">
        <v>54</v>
      </c>
      <c r="AP35" s="392"/>
      <c r="AQ35" s="392"/>
      <c r="AR35" s="392" t="s">
        <v>509</v>
      </c>
      <c r="AS35" s="480"/>
      <c r="AT35" s="453"/>
      <c r="AU35" s="453"/>
      <c r="AV35" s="453"/>
      <c r="AW35" s="453"/>
      <c r="AX35" s="453"/>
      <c r="AY35" s="453"/>
      <c r="AZ35" s="452">
        <v>41416</v>
      </c>
      <c r="BA35" s="393"/>
      <c r="BB35" s="393"/>
      <c r="BC35" s="393" t="b">
        <v>0</v>
      </c>
      <c r="BD35" s="393"/>
      <c r="BE35" s="392"/>
      <c r="BF35" s="394">
        <v>4</v>
      </c>
      <c r="BG35" s="394">
        <v>8</v>
      </c>
      <c r="BH35" s="394">
        <v>9</v>
      </c>
      <c r="BI35" s="394">
        <v>5</v>
      </c>
      <c r="BJ35" s="394">
        <v>7</v>
      </c>
      <c r="BK35" s="394"/>
      <c r="BL35" s="444" t="s">
        <v>1451</v>
      </c>
      <c r="BM35" s="392"/>
      <c r="BN35" s="393" t="s">
        <v>117</v>
      </c>
      <c r="BO35" s="393"/>
      <c r="BP35" s="399"/>
      <c r="BQ35" s="400"/>
      <c r="BR35" s="401"/>
      <c r="BS35" s="399"/>
      <c r="BT35" s="394"/>
      <c r="BU35" s="417"/>
      <c r="BV35" s="399"/>
      <c r="BW35" s="393" t="s">
        <v>3117</v>
      </c>
      <c r="BX35" s="392" t="s">
        <v>3831</v>
      </c>
      <c r="BY35" s="393"/>
      <c r="BZ35" s="393"/>
      <c r="CA35" s="441" t="s">
        <v>1664</v>
      </c>
      <c r="CB35" s="400">
        <v>3</v>
      </c>
      <c r="CC35" s="398"/>
      <c r="CD35" s="398"/>
      <c r="CE35" s="398"/>
      <c r="CF35" s="398"/>
      <c r="CG35" s="398"/>
      <c r="CH35" s="398"/>
      <c r="CI35" s="398">
        <v>26.268000000000001</v>
      </c>
      <c r="CJ35" s="398">
        <v>25.709</v>
      </c>
      <c r="CK35" s="398">
        <v>25.15</v>
      </c>
      <c r="CL35" s="398">
        <v>22.914000000000001</v>
      </c>
      <c r="CM35" s="398">
        <v>19.561</v>
      </c>
      <c r="CN35" s="398">
        <v>15.369</v>
      </c>
      <c r="CO35" s="398"/>
      <c r="CP35" s="398"/>
      <c r="CQ35" s="398"/>
      <c r="CR35" s="398"/>
      <c r="CS35" s="398"/>
      <c r="CT35" s="398"/>
      <c r="CU35" s="398"/>
      <c r="CV35" s="398"/>
      <c r="CW35" s="398"/>
      <c r="CX35" s="398"/>
      <c r="CY35" s="398"/>
      <c r="CZ35" s="398"/>
      <c r="DA35" s="398"/>
      <c r="DB35" s="398"/>
      <c r="DC35" s="398"/>
      <c r="DD35" s="398"/>
      <c r="DE35" s="393"/>
      <c r="DF35" s="393"/>
      <c r="DG35" s="393"/>
      <c r="DH35" s="393"/>
      <c r="DI35" s="393"/>
      <c r="DJ35" s="393"/>
      <c r="DK35" s="897"/>
    </row>
    <row r="36" spans="1:115" ht="25.5" x14ac:dyDescent="0.2">
      <c r="A36" s="295">
        <v>32</v>
      </c>
      <c r="B36" s="390" t="s">
        <v>4850</v>
      </c>
      <c r="C36" s="390"/>
      <c r="D36" s="391" t="s">
        <v>4851</v>
      </c>
      <c r="E36" s="704" t="s">
        <v>4852</v>
      </c>
      <c r="F36" s="393" t="s">
        <v>1340</v>
      </c>
      <c r="G36" s="393" t="s">
        <v>1676</v>
      </c>
      <c r="H36" s="393" t="s">
        <v>58</v>
      </c>
      <c r="I36" s="392"/>
      <c r="J36" s="392"/>
      <c r="K36" s="392" t="s">
        <v>58</v>
      </c>
      <c r="L36" s="392" t="s">
        <v>509</v>
      </c>
      <c r="M36" s="392"/>
      <c r="N36" s="393" t="s">
        <v>44</v>
      </c>
      <c r="O36" s="393" t="s">
        <v>51</v>
      </c>
      <c r="P36" s="393" t="s">
        <v>51</v>
      </c>
      <c r="Q36" s="392" t="s">
        <v>426</v>
      </c>
      <c r="R36" s="392" t="s">
        <v>3830</v>
      </c>
      <c r="S36" s="392" t="s">
        <v>256</v>
      </c>
      <c r="T36" s="394">
        <v>1</v>
      </c>
      <c r="U36" s="395">
        <v>24.283000000000001</v>
      </c>
      <c r="V36" s="395"/>
      <c r="W36" s="453"/>
      <c r="X36" s="394"/>
      <c r="Y36" s="394">
        <v>10</v>
      </c>
      <c r="Z36" s="394">
        <v>10</v>
      </c>
      <c r="AA36" s="395">
        <v>-0.5</v>
      </c>
      <c r="AB36" s="452">
        <v>41518</v>
      </c>
      <c r="AC36" s="398">
        <v>0</v>
      </c>
      <c r="AD36" s="398">
        <v>242.83</v>
      </c>
      <c r="AE36" s="393" t="s">
        <v>54</v>
      </c>
      <c r="AF36" s="417"/>
      <c r="AG36" s="417">
        <v>8.8059999999999992</v>
      </c>
      <c r="AH36" s="417">
        <v>8.8059999999999992</v>
      </c>
      <c r="AI36" s="394"/>
      <c r="AJ36" s="453"/>
      <c r="AK36" s="453"/>
      <c r="AL36" s="393"/>
      <c r="AM36" s="393"/>
      <c r="AN36" s="417"/>
      <c r="AO36" s="392" t="s">
        <v>54</v>
      </c>
      <c r="AP36" s="392"/>
      <c r="AQ36" s="392"/>
      <c r="AR36" s="392" t="s">
        <v>509</v>
      </c>
      <c r="AS36" s="480"/>
      <c r="AT36" s="453"/>
      <c r="AU36" s="453"/>
      <c r="AV36" s="453"/>
      <c r="AW36" s="453"/>
      <c r="AX36" s="453"/>
      <c r="AY36" s="453"/>
      <c r="AZ36" s="452">
        <v>41416</v>
      </c>
      <c r="BA36" s="393"/>
      <c r="BB36" s="393"/>
      <c r="BC36" s="393" t="b">
        <v>0</v>
      </c>
      <c r="BD36" s="393"/>
      <c r="BE36" s="392"/>
      <c r="BF36" s="394">
        <v>4</v>
      </c>
      <c r="BG36" s="394">
        <v>8</v>
      </c>
      <c r="BH36" s="394">
        <v>9</v>
      </c>
      <c r="BI36" s="394">
        <v>5</v>
      </c>
      <c r="BJ36" s="394">
        <v>7</v>
      </c>
      <c r="BK36" s="394"/>
      <c r="BL36" s="444" t="s">
        <v>1451</v>
      </c>
      <c r="BM36" s="392"/>
      <c r="BN36" s="393" t="s">
        <v>117</v>
      </c>
      <c r="BO36" s="393"/>
      <c r="BP36" s="399"/>
      <c r="BQ36" s="400"/>
      <c r="BR36" s="401"/>
      <c r="BS36" s="399"/>
      <c r="BT36" s="394"/>
      <c r="BU36" s="417"/>
      <c r="BV36" s="399"/>
      <c r="BW36" s="393" t="s">
        <v>3117</v>
      </c>
      <c r="BX36" s="392" t="s">
        <v>3831</v>
      </c>
      <c r="BY36" s="393"/>
      <c r="BZ36" s="393"/>
      <c r="CA36" s="441" t="s">
        <v>1664</v>
      </c>
      <c r="CB36" s="400">
        <v>3</v>
      </c>
      <c r="CC36" s="398"/>
      <c r="CD36" s="398"/>
      <c r="CE36" s="398"/>
      <c r="CF36" s="398"/>
      <c r="CG36" s="398"/>
      <c r="CH36" s="398"/>
      <c r="CI36" s="398">
        <v>26.268000000000001</v>
      </c>
      <c r="CJ36" s="398">
        <v>25.709</v>
      </c>
      <c r="CK36" s="398">
        <v>25.15</v>
      </c>
      <c r="CL36" s="398">
        <v>22.914000000000001</v>
      </c>
      <c r="CM36" s="398">
        <v>19.561</v>
      </c>
      <c r="CN36" s="398">
        <v>15.369</v>
      </c>
      <c r="CO36" s="398"/>
      <c r="CP36" s="398"/>
      <c r="CQ36" s="398"/>
      <c r="CR36" s="398"/>
      <c r="CS36" s="398"/>
      <c r="CT36" s="398"/>
      <c r="CU36" s="398"/>
      <c r="CV36" s="398"/>
      <c r="CW36" s="398"/>
      <c r="CX36" s="398"/>
      <c r="CY36" s="398"/>
      <c r="CZ36" s="398"/>
      <c r="DA36" s="398"/>
      <c r="DB36" s="398"/>
      <c r="DC36" s="398"/>
      <c r="DD36" s="398"/>
      <c r="DE36" s="393"/>
      <c r="DF36" s="393"/>
      <c r="DG36" s="393"/>
      <c r="DH36" s="393"/>
      <c r="DI36" s="393"/>
      <c r="DJ36" s="393"/>
      <c r="DK36" s="897"/>
    </row>
    <row r="37" spans="1:115" ht="25.5" x14ac:dyDescent="0.2">
      <c r="A37" s="295">
        <v>33</v>
      </c>
      <c r="B37" s="390" t="s">
        <v>4853</v>
      </c>
      <c r="C37" s="390"/>
      <c r="D37" s="391" t="s">
        <v>4854</v>
      </c>
      <c r="E37" s="704" t="s">
        <v>4855</v>
      </c>
      <c r="F37" s="393" t="s">
        <v>1340</v>
      </c>
      <c r="G37" s="393" t="s">
        <v>1676</v>
      </c>
      <c r="H37" s="393" t="s">
        <v>58</v>
      </c>
      <c r="I37" s="392"/>
      <c r="J37" s="392"/>
      <c r="K37" s="392" t="s">
        <v>58</v>
      </c>
      <c r="L37" s="392" t="s">
        <v>509</v>
      </c>
      <c r="M37" s="392"/>
      <c r="N37" s="393" t="s">
        <v>44</v>
      </c>
      <c r="O37" s="393" t="s">
        <v>51</v>
      </c>
      <c r="P37" s="393" t="s">
        <v>51</v>
      </c>
      <c r="Q37" s="392" t="s">
        <v>426</v>
      </c>
      <c r="R37" s="392" t="s">
        <v>3830</v>
      </c>
      <c r="S37" s="392" t="s">
        <v>256</v>
      </c>
      <c r="T37" s="394">
        <v>1</v>
      </c>
      <c r="U37" s="395">
        <v>24.283000000000001</v>
      </c>
      <c r="V37" s="395"/>
      <c r="W37" s="453"/>
      <c r="X37" s="394"/>
      <c r="Y37" s="394">
        <v>10</v>
      </c>
      <c r="Z37" s="394">
        <v>10</v>
      </c>
      <c r="AA37" s="395">
        <v>-0.5</v>
      </c>
      <c r="AB37" s="452">
        <v>41518</v>
      </c>
      <c r="AC37" s="398">
        <v>0</v>
      </c>
      <c r="AD37" s="398">
        <v>242.83</v>
      </c>
      <c r="AE37" s="393" t="s">
        <v>54</v>
      </c>
      <c r="AF37" s="417"/>
      <c r="AG37" s="417">
        <v>8.8059999999999992</v>
      </c>
      <c r="AH37" s="417">
        <v>8.8059999999999992</v>
      </c>
      <c r="AI37" s="394"/>
      <c r="AJ37" s="453"/>
      <c r="AK37" s="453"/>
      <c r="AL37" s="393"/>
      <c r="AM37" s="393"/>
      <c r="AN37" s="417"/>
      <c r="AO37" s="392" t="s">
        <v>54</v>
      </c>
      <c r="AP37" s="392"/>
      <c r="AQ37" s="392"/>
      <c r="AR37" s="392" t="s">
        <v>509</v>
      </c>
      <c r="AS37" s="480"/>
      <c r="AT37" s="453"/>
      <c r="AU37" s="453"/>
      <c r="AV37" s="453"/>
      <c r="AW37" s="453"/>
      <c r="AX37" s="453"/>
      <c r="AY37" s="453"/>
      <c r="AZ37" s="452">
        <v>41416</v>
      </c>
      <c r="BA37" s="393"/>
      <c r="BB37" s="393"/>
      <c r="BC37" s="393" t="b">
        <v>0</v>
      </c>
      <c r="BD37" s="393"/>
      <c r="BE37" s="392"/>
      <c r="BF37" s="394">
        <v>4</v>
      </c>
      <c r="BG37" s="394">
        <v>8</v>
      </c>
      <c r="BH37" s="394">
        <v>9</v>
      </c>
      <c r="BI37" s="394">
        <v>5</v>
      </c>
      <c r="BJ37" s="394">
        <v>7</v>
      </c>
      <c r="BK37" s="394"/>
      <c r="BL37" s="444" t="s">
        <v>1451</v>
      </c>
      <c r="BM37" s="392"/>
      <c r="BN37" s="393" t="s">
        <v>117</v>
      </c>
      <c r="BO37" s="393"/>
      <c r="BP37" s="399"/>
      <c r="BQ37" s="400"/>
      <c r="BR37" s="401"/>
      <c r="BS37" s="399"/>
      <c r="BT37" s="394"/>
      <c r="BU37" s="417"/>
      <c r="BV37" s="399"/>
      <c r="BW37" s="393" t="s">
        <v>3117</v>
      </c>
      <c r="BX37" s="392" t="s">
        <v>3831</v>
      </c>
      <c r="BY37" s="393"/>
      <c r="BZ37" s="393"/>
      <c r="CA37" s="441" t="s">
        <v>1664</v>
      </c>
      <c r="CB37" s="400">
        <v>3</v>
      </c>
      <c r="CC37" s="398"/>
      <c r="CD37" s="398"/>
      <c r="CE37" s="398"/>
      <c r="CF37" s="398"/>
      <c r="CG37" s="398"/>
      <c r="CH37" s="398"/>
      <c r="CI37" s="398">
        <v>26.268000000000001</v>
      </c>
      <c r="CJ37" s="398">
        <v>25.709</v>
      </c>
      <c r="CK37" s="398">
        <v>25.15</v>
      </c>
      <c r="CL37" s="398">
        <v>22.914000000000001</v>
      </c>
      <c r="CM37" s="398">
        <v>19.561</v>
      </c>
      <c r="CN37" s="398">
        <v>15.369</v>
      </c>
      <c r="CO37" s="398"/>
      <c r="CP37" s="398"/>
      <c r="CQ37" s="398"/>
      <c r="CR37" s="398"/>
      <c r="CS37" s="398"/>
      <c r="CT37" s="398"/>
      <c r="CU37" s="398"/>
      <c r="CV37" s="398"/>
      <c r="CW37" s="398"/>
      <c r="CX37" s="398"/>
      <c r="CY37" s="398"/>
      <c r="CZ37" s="398"/>
      <c r="DA37" s="398"/>
      <c r="DB37" s="398"/>
      <c r="DC37" s="398"/>
      <c r="DD37" s="398"/>
      <c r="DE37" s="393"/>
      <c r="DF37" s="393"/>
      <c r="DG37" s="393"/>
      <c r="DH37" s="393"/>
      <c r="DI37" s="393"/>
      <c r="DJ37" s="393"/>
      <c r="DK37" s="897"/>
    </row>
    <row r="38" spans="1:115" ht="25.5" x14ac:dyDescent="0.2">
      <c r="A38" s="295">
        <v>34</v>
      </c>
      <c r="B38" s="390" t="s">
        <v>4856</v>
      </c>
      <c r="C38" s="390"/>
      <c r="D38" s="391" t="s">
        <v>4857</v>
      </c>
      <c r="E38" s="704" t="s">
        <v>4858</v>
      </c>
      <c r="F38" s="393" t="s">
        <v>1340</v>
      </c>
      <c r="G38" s="393" t="s">
        <v>1676</v>
      </c>
      <c r="H38" s="393" t="s">
        <v>58</v>
      </c>
      <c r="I38" s="392"/>
      <c r="J38" s="392"/>
      <c r="K38" s="392" t="s">
        <v>58</v>
      </c>
      <c r="L38" s="392" t="s">
        <v>509</v>
      </c>
      <c r="M38" s="392"/>
      <c r="N38" s="393" t="s">
        <v>44</v>
      </c>
      <c r="O38" s="393" t="s">
        <v>51</v>
      </c>
      <c r="P38" s="393" t="s">
        <v>51</v>
      </c>
      <c r="Q38" s="392" t="s">
        <v>426</v>
      </c>
      <c r="R38" s="392" t="s">
        <v>3830</v>
      </c>
      <c r="S38" s="392" t="s">
        <v>256</v>
      </c>
      <c r="T38" s="394">
        <v>1</v>
      </c>
      <c r="U38" s="395">
        <v>24.283000000000001</v>
      </c>
      <c r="V38" s="395"/>
      <c r="W38" s="453"/>
      <c r="X38" s="394"/>
      <c r="Y38" s="394">
        <v>10</v>
      </c>
      <c r="Z38" s="394">
        <v>10</v>
      </c>
      <c r="AA38" s="395">
        <v>-0.5</v>
      </c>
      <c r="AB38" s="452">
        <v>41518</v>
      </c>
      <c r="AC38" s="398">
        <v>0</v>
      </c>
      <c r="AD38" s="398">
        <v>242.83</v>
      </c>
      <c r="AE38" s="393" t="s">
        <v>54</v>
      </c>
      <c r="AF38" s="417"/>
      <c r="AG38" s="417">
        <v>8.8059999999999992</v>
      </c>
      <c r="AH38" s="417">
        <v>8.8059999999999992</v>
      </c>
      <c r="AI38" s="394"/>
      <c r="AJ38" s="453"/>
      <c r="AK38" s="453"/>
      <c r="AL38" s="393"/>
      <c r="AM38" s="393"/>
      <c r="AN38" s="417"/>
      <c r="AO38" s="392" t="s">
        <v>54</v>
      </c>
      <c r="AP38" s="392"/>
      <c r="AQ38" s="392"/>
      <c r="AR38" s="392" t="s">
        <v>509</v>
      </c>
      <c r="AS38" s="480"/>
      <c r="AT38" s="397"/>
      <c r="AU38" s="397"/>
      <c r="AV38" s="453"/>
      <c r="AW38" s="453"/>
      <c r="AX38" s="397"/>
      <c r="AY38" s="453"/>
      <c r="AZ38" s="452">
        <v>41416</v>
      </c>
      <c r="BA38" s="393"/>
      <c r="BB38" s="393"/>
      <c r="BC38" s="393" t="b">
        <v>0</v>
      </c>
      <c r="BD38" s="393"/>
      <c r="BE38" s="392"/>
      <c r="BF38" s="394">
        <v>4</v>
      </c>
      <c r="BG38" s="394">
        <v>8</v>
      </c>
      <c r="BH38" s="394">
        <v>9</v>
      </c>
      <c r="BI38" s="394">
        <v>5</v>
      </c>
      <c r="BJ38" s="394">
        <v>7</v>
      </c>
      <c r="BK38" s="394"/>
      <c r="BL38" s="444" t="s">
        <v>1451</v>
      </c>
      <c r="BM38" s="392"/>
      <c r="BN38" s="393" t="s">
        <v>117</v>
      </c>
      <c r="BO38" s="393"/>
      <c r="BP38" s="399"/>
      <c r="BQ38" s="400"/>
      <c r="BR38" s="401"/>
      <c r="BS38" s="399"/>
      <c r="BT38" s="394"/>
      <c r="BU38" s="417"/>
      <c r="BV38" s="399"/>
      <c r="BW38" s="393" t="s">
        <v>3117</v>
      </c>
      <c r="BX38" s="392" t="s">
        <v>3831</v>
      </c>
      <c r="BY38" s="393"/>
      <c r="BZ38" s="393"/>
      <c r="CA38" s="441" t="s">
        <v>1664</v>
      </c>
      <c r="CB38" s="400">
        <v>3</v>
      </c>
      <c r="CC38" s="398"/>
      <c r="CD38" s="398"/>
      <c r="CE38" s="398"/>
      <c r="CF38" s="398"/>
      <c r="CG38" s="398"/>
      <c r="CH38" s="398"/>
      <c r="CI38" s="398">
        <v>26.268000000000001</v>
      </c>
      <c r="CJ38" s="398">
        <v>25.709</v>
      </c>
      <c r="CK38" s="398">
        <v>25.15</v>
      </c>
      <c r="CL38" s="398">
        <v>22.914000000000001</v>
      </c>
      <c r="CM38" s="398">
        <v>19.561</v>
      </c>
      <c r="CN38" s="398">
        <v>15.369</v>
      </c>
      <c r="CO38" s="398"/>
      <c r="CP38" s="398"/>
      <c r="CQ38" s="398"/>
      <c r="CR38" s="398"/>
      <c r="CS38" s="398"/>
      <c r="CT38" s="398"/>
      <c r="CU38" s="398"/>
      <c r="CV38" s="398"/>
      <c r="CW38" s="398"/>
      <c r="CX38" s="398"/>
      <c r="CY38" s="398"/>
      <c r="CZ38" s="398"/>
      <c r="DA38" s="398"/>
      <c r="DB38" s="398"/>
      <c r="DC38" s="398"/>
      <c r="DD38" s="398"/>
      <c r="DE38" s="393"/>
      <c r="DF38" s="393"/>
      <c r="DG38" s="393"/>
      <c r="DH38" s="393"/>
      <c r="DI38" s="393"/>
      <c r="DJ38" s="393"/>
      <c r="DK38" s="897"/>
    </row>
    <row r="39" spans="1:115" ht="25.5" x14ac:dyDescent="0.2">
      <c r="A39" s="295">
        <v>35</v>
      </c>
      <c r="B39" s="390" t="s">
        <v>4859</v>
      </c>
      <c r="C39" s="390"/>
      <c r="D39" s="391" t="s">
        <v>4860</v>
      </c>
      <c r="E39" s="704" t="s">
        <v>4861</v>
      </c>
      <c r="F39" s="393" t="s">
        <v>1340</v>
      </c>
      <c r="G39" s="393" t="s">
        <v>1676</v>
      </c>
      <c r="H39" s="393" t="s">
        <v>58</v>
      </c>
      <c r="I39" s="392"/>
      <c r="J39" s="392"/>
      <c r="K39" s="392" t="s">
        <v>58</v>
      </c>
      <c r="L39" s="392" t="s">
        <v>509</v>
      </c>
      <c r="M39" s="392"/>
      <c r="N39" s="393" t="s">
        <v>44</v>
      </c>
      <c r="O39" s="393" t="s">
        <v>51</v>
      </c>
      <c r="P39" s="393" t="s">
        <v>51</v>
      </c>
      <c r="Q39" s="392" t="s">
        <v>426</v>
      </c>
      <c r="R39" s="392" t="s">
        <v>3830</v>
      </c>
      <c r="S39" s="392" t="s">
        <v>256</v>
      </c>
      <c r="T39" s="394">
        <v>1</v>
      </c>
      <c r="U39" s="395">
        <v>24.283000000000001</v>
      </c>
      <c r="V39" s="395"/>
      <c r="W39" s="453"/>
      <c r="X39" s="394"/>
      <c r="Y39" s="394">
        <v>10</v>
      </c>
      <c r="Z39" s="394">
        <v>10</v>
      </c>
      <c r="AA39" s="395">
        <v>-0.5</v>
      </c>
      <c r="AB39" s="452">
        <v>41518</v>
      </c>
      <c r="AC39" s="398">
        <v>0</v>
      </c>
      <c r="AD39" s="398">
        <v>242.83</v>
      </c>
      <c r="AE39" s="393" t="s">
        <v>54</v>
      </c>
      <c r="AF39" s="417"/>
      <c r="AG39" s="417">
        <v>8.8059999999999992</v>
      </c>
      <c r="AH39" s="417">
        <v>8.8059999999999992</v>
      </c>
      <c r="AI39" s="394"/>
      <c r="AJ39" s="453"/>
      <c r="AK39" s="453"/>
      <c r="AL39" s="393"/>
      <c r="AM39" s="393"/>
      <c r="AN39" s="417"/>
      <c r="AO39" s="392" t="s">
        <v>54</v>
      </c>
      <c r="AP39" s="392"/>
      <c r="AQ39" s="392"/>
      <c r="AR39" s="392" t="s">
        <v>509</v>
      </c>
      <c r="AS39" s="480"/>
      <c r="AT39" s="453"/>
      <c r="AU39" s="453"/>
      <c r="AV39" s="453"/>
      <c r="AW39" s="453"/>
      <c r="AX39" s="453"/>
      <c r="AY39" s="453"/>
      <c r="AZ39" s="452">
        <v>41416</v>
      </c>
      <c r="BA39" s="393"/>
      <c r="BB39" s="393"/>
      <c r="BC39" s="393" t="b">
        <v>0</v>
      </c>
      <c r="BD39" s="393"/>
      <c r="BE39" s="392"/>
      <c r="BF39" s="394">
        <v>4</v>
      </c>
      <c r="BG39" s="394">
        <v>8</v>
      </c>
      <c r="BH39" s="394">
        <v>9</v>
      </c>
      <c r="BI39" s="394">
        <v>5</v>
      </c>
      <c r="BJ39" s="394">
        <v>7</v>
      </c>
      <c r="BK39" s="394"/>
      <c r="BL39" s="444" t="s">
        <v>1451</v>
      </c>
      <c r="BM39" s="392"/>
      <c r="BN39" s="393" t="s">
        <v>117</v>
      </c>
      <c r="BO39" s="393"/>
      <c r="BP39" s="399"/>
      <c r="BQ39" s="400"/>
      <c r="BR39" s="401"/>
      <c r="BS39" s="399"/>
      <c r="BT39" s="394"/>
      <c r="BU39" s="417"/>
      <c r="BV39" s="399"/>
      <c r="BW39" s="393" t="s">
        <v>3117</v>
      </c>
      <c r="BX39" s="392" t="s">
        <v>3831</v>
      </c>
      <c r="BY39" s="393"/>
      <c r="BZ39" s="393"/>
      <c r="CA39" s="441" t="s">
        <v>1664</v>
      </c>
      <c r="CB39" s="400">
        <v>3</v>
      </c>
      <c r="CC39" s="398"/>
      <c r="CD39" s="398"/>
      <c r="CE39" s="398"/>
      <c r="CF39" s="398"/>
      <c r="CG39" s="398"/>
      <c r="CH39" s="398"/>
      <c r="CI39" s="398">
        <v>26.268000000000001</v>
      </c>
      <c r="CJ39" s="398">
        <v>25.709</v>
      </c>
      <c r="CK39" s="398">
        <v>25.15</v>
      </c>
      <c r="CL39" s="398">
        <v>22.914000000000001</v>
      </c>
      <c r="CM39" s="398">
        <v>19.561</v>
      </c>
      <c r="CN39" s="398">
        <v>15.369</v>
      </c>
      <c r="CO39" s="398"/>
      <c r="CP39" s="398"/>
      <c r="CQ39" s="398"/>
      <c r="CR39" s="398"/>
      <c r="CS39" s="398"/>
      <c r="CT39" s="398"/>
      <c r="CU39" s="398"/>
      <c r="CV39" s="398"/>
      <c r="CW39" s="398"/>
      <c r="CX39" s="398"/>
      <c r="CY39" s="398"/>
      <c r="CZ39" s="398"/>
      <c r="DA39" s="398"/>
      <c r="DB39" s="398"/>
      <c r="DC39" s="398"/>
      <c r="DD39" s="398"/>
      <c r="DE39" s="393"/>
      <c r="DF39" s="393"/>
      <c r="DG39" s="393"/>
      <c r="DH39" s="393"/>
      <c r="DI39" s="393"/>
      <c r="DJ39" s="393"/>
      <c r="DK39" s="897"/>
    </row>
    <row r="40" spans="1:115" ht="25.5" x14ac:dyDescent="0.2">
      <c r="A40" s="295">
        <v>36</v>
      </c>
      <c r="B40" s="390" t="s">
        <v>4862</v>
      </c>
      <c r="C40" s="390"/>
      <c r="D40" s="391" t="s">
        <v>4863</v>
      </c>
      <c r="E40" s="704" t="s">
        <v>4864</v>
      </c>
      <c r="F40" s="393" t="s">
        <v>1340</v>
      </c>
      <c r="G40" s="393" t="s">
        <v>1676</v>
      </c>
      <c r="H40" s="393" t="s">
        <v>58</v>
      </c>
      <c r="I40" s="392"/>
      <c r="J40" s="392"/>
      <c r="K40" s="392" t="s">
        <v>58</v>
      </c>
      <c r="L40" s="392" t="s">
        <v>509</v>
      </c>
      <c r="M40" s="392"/>
      <c r="N40" s="393" t="s">
        <v>44</v>
      </c>
      <c r="O40" s="393" t="s">
        <v>51</v>
      </c>
      <c r="P40" s="393" t="s">
        <v>51</v>
      </c>
      <c r="Q40" s="392" t="s">
        <v>426</v>
      </c>
      <c r="R40" s="392" t="s">
        <v>3830</v>
      </c>
      <c r="S40" s="392" t="s">
        <v>256</v>
      </c>
      <c r="T40" s="394">
        <v>1</v>
      </c>
      <c r="U40" s="395">
        <v>24.283000000000001</v>
      </c>
      <c r="V40" s="395"/>
      <c r="W40" s="453"/>
      <c r="X40" s="394"/>
      <c r="Y40" s="394">
        <v>10</v>
      </c>
      <c r="Z40" s="394">
        <v>10</v>
      </c>
      <c r="AA40" s="395">
        <v>-0.5</v>
      </c>
      <c r="AB40" s="452">
        <v>41518</v>
      </c>
      <c r="AC40" s="398">
        <v>0</v>
      </c>
      <c r="AD40" s="398">
        <v>242.83</v>
      </c>
      <c r="AE40" s="393" t="s">
        <v>54</v>
      </c>
      <c r="AF40" s="417"/>
      <c r="AG40" s="417">
        <v>8.8059999999999992</v>
      </c>
      <c r="AH40" s="417">
        <v>8.8059999999999992</v>
      </c>
      <c r="AI40" s="394"/>
      <c r="AJ40" s="453"/>
      <c r="AK40" s="453"/>
      <c r="AL40" s="393"/>
      <c r="AM40" s="393"/>
      <c r="AN40" s="417"/>
      <c r="AO40" s="392" t="s">
        <v>54</v>
      </c>
      <c r="AP40" s="392"/>
      <c r="AQ40" s="392"/>
      <c r="AR40" s="392" t="s">
        <v>509</v>
      </c>
      <c r="AS40" s="480"/>
      <c r="AT40" s="397"/>
      <c r="AU40" s="397"/>
      <c r="AV40" s="453"/>
      <c r="AW40" s="453"/>
      <c r="AX40" s="453"/>
      <c r="AY40" s="453"/>
      <c r="AZ40" s="452">
        <v>41416</v>
      </c>
      <c r="BA40" s="393"/>
      <c r="BB40" s="393"/>
      <c r="BC40" s="393" t="b">
        <v>0</v>
      </c>
      <c r="BD40" s="393"/>
      <c r="BE40" s="392"/>
      <c r="BF40" s="394">
        <v>4</v>
      </c>
      <c r="BG40" s="394">
        <v>8</v>
      </c>
      <c r="BH40" s="394">
        <v>9</v>
      </c>
      <c r="BI40" s="394">
        <v>5</v>
      </c>
      <c r="BJ40" s="394">
        <v>7</v>
      </c>
      <c r="BK40" s="394"/>
      <c r="BL40" s="444" t="s">
        <v>1451</v>
      </c>
      <c r="BM40" s="392"/>
      <c r="BN40" s="393" t="s">
        <v>117</v>
      </c>
      <c r="BO40" s="393"/>
      <c r="BP40" s="399"/>
      <c r="BQ40" s="400"/>
      <c r="BR40" s="401"/>
      <c r="BS40" s="399"/>
      <c r="BT40" s="394"/>
      <c r="BU40" s="417"/>
      <c r="BV40" s="399"/>
      <c r="BW40" s="393" t="s">
        <v>3117</v>
      </c>
      <c r="BX40" s="392" t="s">
        <v>3831</v>
      </c>
      <c r="BY40" s="393"/>
      <c r="BZ40" s="393"/>
      <c r="CA40" s="441" t="s">
        <v>1664</v>
      </c>
      <c r="CB40" s="400">
        <v>3</v>
      </c>
      <c r="CC40" s="398"/>
      <c r="CD40" s="398"/>
      <c r="CE40" s="398"/>
      <c r="CF40" s="398"/>
      <c r="CG40" s="398"/>
      <c r="CH40" s="398"/>
      <c r="CI40" s="398">
        <v>26.268000000000001</v>
      </c>
      <c r="CJ40" s="398">
        <v>25.709</v>
      </c>
      <c r="CK40" s="398">
        <v>25.15</v>
      </c>
      <c r="CL40" s="398">
        <v>22.914000000000001</v>
      </c>
      <c r="CM40" s="398">
        <v>19.561</v>
      </c>
      <c r="CN40" s="398">
        <v>15.369</v>
      </c>
      <c r="CO40" s="398"/>
      <c r="CP40" s="398"/>
      <c r="CQ40" s="398"/>
      <c r="CR40" s="398"/>
      <c r="CS40" s="398"/>
      <c r="CT40" s="398"/>
      <c r="CU40" s="398"/>
      <c r="CV40" s="398"/>
      <c r="CW40" s="398"/>
      <c r="CX40" s="398"/>
      <c r="CY40" s="398"/>
      <c r="CZ40" s="398"/>
      <c r="DA40" s="398"/>
      <c r="DB40" s="398"/>
      <c r="DC40" s="398"/>
      <c r="DD40" s="398"/>
      <c r="DE40" s="393"/>
      <c r="DF40" s="393"/>
      <c r="DG40" s="393"/>
      <c r="DH40" s="393"/>
      <c r="DI40" s="393"/>
      <c r="DJ40" s="393"/>
      <c r="DK40" s="897"/>
    </row>
    <row r="41" spans="1:115" ht="25.5" x14ac:dyDescent="0.2">
      <c r="A41" s="295">
        <v>37</v>
      </c>
      <c r="B41" s="390" t="s">
        <v>4865</v>
      </c>
      <c r="C41" s="390"/>
      <c r="D41" s="391" t="s">
        <v>4866</v>
      </c>
      <c r="E41" s="704" t="s">
        <v>4867</v>
      </c>
      <c r="F41" s="393" t="s">
        <v>1340</v>
      </c>
      <c r="G41" s="393" t="s">
        <v>1676</v>
      </c>
      <c r="H41" s="393" t="s">
        <v>58</v>
      </c>
      <c r="I41" s="392"/>
      <c r="J41" s="392"/>
      <c r="K41" s="392" t="s">
        <v>58</v>
      </c>
      <c r="L41" s="392" t="s">
        <v>509</v>
      </c>
      <c r="M41" s="392"/>
      <c r="N41" s="393" t="s">
        <v>44</v>
      </c>
      <c r="O41" s="393" t="s">
        <v>51</v>
      </c>
      <c r="P41" s="393" t="s">
        <v>51</v>
      </c>
      <c r="Q41" s="392" t="s">
        <v>426</v>
      </c>
      <c r="R41" s="392" t="s">
        <v>3830</v>
      </c>
      <c r="S41" s="392" t="s">
        <v>256</v>
      </c>
      <c r="T41" s="394">
        <v>1</v>
      </c>
      <c r="U41" s="395">
        <v>24.283000000000001</v>
      </c>
      <c r="V41" s="395"/>
      <c r="W41" s="453"/>
      <c r="X41" s="394"/>
      <c r="Y41" s="394">
        <v>10</v>
      </c>
      <c r="Z41" s="394">
        <v>10</v>
      </c>
      <c r="AA41" s="395">
        <v>-0.5</v>
      </c>
      <c r="AB41" s="452">
        <v>41518</v>
      </c>
      <c r="AC41" s="398">
        <v>0</v>
      </c>
      <c r="AD41" s="398">
        <v>242.83</v>
      </c>
      <c r="AE41" s="393" t="s">
        <v>54</v>
      </c>
      <c r="AF41" s="417"/>
      <c r="AG41" s="417">
        <v>8.8059999999999992</v>
      </c>
      <c r="AH41" s="417">
        <v>8.8059999999999992</v>
      </c>
      <c r="AI41" s="394"/>
      <c r="AJ41" s="453"/>
      <c r="AK41" s="453"/>
      <c r="AL41" s="393"/>
      <c r="AM41" s="393"/>
      <c r="AN41" s="417"/>
      <c r="AO41" s="392" t="s">
        <v>54</v>
      </c>
      <c r="AP41" s="392"/>
      <c r="AQ41" s="392"/>
      <c r="AR41" s="392" t="s">
        <v>509</v>
      </c>
      <c r="AS41" s="480"/>
      <c r="AT41" s="453"/>
      <c r="AU41" s="453"/>
      <c r="AV41" s="453"/>
      <c r="AW41" s="453"/>
      <c r="AX41" s="453"/>
      <c r="AY41" s="453"/>
      <c r="AZ41" s="452">
        <v>41416</v>
      </c>
      <c r="BA41" s="393"/>
      <c r="BB41" s="393"/>
      <c r="BC41" s="393" t="b">
        <v>0</v>
      </c>
      <c r="BD41" s="393"/>
      <c r="BE41" s="392"/>
      <c r="BF41" s="394">
        <v>4</v>
      </c>
      <c r="BG41" s="394">
        <v>8</v>
      </c>
      <c r="BH41" s="394">
        <v>9</v>
      </c>
      <c r="BI41" s="394">
        <v>5</v>
      </c>
      <c r="BJ41" s="394">
        <v>7</v>
      </c>
      <c r="BK41" s="394"/>
      <c r="BL41" s="444" t="s">
        <v>1451</v>
      </c>
      <c r="BM41" s="392"/>
      <c r="BN41" s="393" t="s">
        <v>117</v>
      </c>
      <c r="BO41" s="393"/>
      <c r="BP41" s="399"/>
      <c r="BQ41" s="400"/>
      <c r="BR41" s="401"/>
      <c r="BS41" s="399"/>
      <c r="BT41" s="394"/>
      <c r="BU41" s="417"/>
      <c r="BV41" s="399"/>
      <c r="BW41" s="393" t="s">
        <v>3117</v>
      </c>
      <c r="BX41" s="392" t="s">
        <v>3831</v>
      </c>
      <c r="BY41" s="393"/>
      <c r="BZ41" s="393"/>
      <c r="CA41" s="441" t="s">
        <v>1664</v>
      </c>
      <c r="CB41" s="400">
        <v>3</v>
      </c>
      <c r="CC41" s="398"/>
      <c r="CD41" s="398"/>
      <c r="CE41" s="398"/>
      <c r="CF41" s="398"/>
      <c r="CG41" s="398"/>
      <c r="CH41" s="398"/>
      <c r="CI41" s="398">
        <v>26.268000000000001</v>
      </c>
      <c r="CJ41" s="398">
        <v>25.709</v>
      </c>
      <c r="CK41" s="398">
        <v>25.15</v>
      </c>
      <c r="CL41" s="398">
        <v>22.914000000000001</v>
      </c>
      <c r="CM41" s="398">
        <v>19.561</v>
      </c>
      <c r="CN41" s="398">
        <v>15.369</v>
      </c>
      <c r="CO41" s="398"/>
      <c r="CP41" s="398"/>
      <c r="CQ41" s="398"/>
      <c r="CR41" s="398"/>
      <c r="CS41" s="398"/>
      <c r="CT41" s="398"/>
      <c r="CU41" s="398"/>
      <c r="CV41" s="398"/>
      <c r="CW41" s="398"/>
      <c r="CX41" s="398"/>
      <c r="CY41" s="398"/>
      <c r="CZ41" s="398"/>
      <c r="DA41" s="398"/>
      <c r="DB41" s="398"/>
      <c r="DC41" s="398"/>
      <c r="DD41" s="398"/>
      <c r="DE41" s="393"/>
      <c r="DF41" s="393"/>
      <c r="DG41" s="393"/>
      <c r="DH41" s="393"/>
      <c r="DI41" s="393"/>
      <c r="DJ41" s="393"/>
      <c r="DK41" s="897"/>
    </row>
    <row r="42" spans="1:115" ht="25.5" x14ac:dyDescent="0.2">
      <c r="A42" s="295">
        <v>38</v>
      </c>
      <c r="B42" s="390" t="s">
        <v>4868</v>
      </c>
      <c r="C42" s="390"/>
      <c r="D42" s="391" t="s">
        <v>4869</v>
      </c>
      <c r="E42" s="704" t="s">
        <v>4870</v>
      </c>
      <c r="F42" s="393" t="s">
        <v>1340</v>
      </c>
      <c r="G42" s="393" t="s">
        <v>1676</v>
      </c>
      <c r="H42" s="393" t="s">
        <v>58</v>
      </c>
      <c r="I42" s="392"/>
      <c r="J42" s="392"/>
      <c r="K42" s="392" t="s">
        <v>58</v>
      </c>
      <c r="L42" s="392" t="s">
        <v>509</v>
      </c>
      <c r="M42" s="392"/>
      <c r="N42" s="393" t="s">
        <v>44</v>
      </c>
      <c r="O42" s="393" t="s">
        <v>51</v>
      </c>
      <c r="P42" s="393" t="s">
        <v>51</v>
      </c>
      <c r="Q42" s="392" t="s">
        <v>426</v>
      </c>
      <c r="R42" s="392" t="s">
        <v>3830</v>
      </c>
      <c r="S42" s="392" t="s">
        <v>256</v>
      </c>
      <c r="T42" s="394">
        <v>1</v>
      </c>
      <c r="U42" s="395">
        <v>24.283000000000001</v>
      </c>
      <c r="V42" s="395"/>
      <c r="W42" s="453"/>
      <c r="X42" s="394"/>
      <c r="Y42" s="394">
        <v>10</v>
      </c>
      <c r="Z42" s="394">
        <v>10</v>
      </c>
      <c r="AA42" s="395">
        <v>-0.5</v>
      </c>
      <c r="AB42" s="452">
        <v>41518</v>
      </c>
      <c r="AC42" s="398">
        <v>0</v>
      </c>
      <c r="AD42" s="398">
        <v>242.83</v>
      </c>
      <c r="AE42" s="393" t="s">
        <v>54</v>
      </c>
      <c r="AF42" s="417"/>
      <c r="AG42" s="417">
        <v>12.191000000000001</v>
      </c>
      <c r="AH42" s="417">
        <v>12.191000000000001</v>
      </c>
      <c r="AI42" s="394"/>
      <c r="AJ42" s="453"/>
      <c r="AK42" s="453"/>
      <c r="AL42" s="393"/>
      <c r="AM42" s="393"/>
      <c r="AN42" s="417"/>
      <c r="AO42" s="392" t="s">
        <v>54</v>
      </c>
      <c r="AP42" s="392"/>
      <c r="AQ42" s="392"/>
      <c r="AR42" s="392" t="s">
        <v>509</v>
      </c>
      <c r="AS42" s="480"/>
      <c r="AT42" s="453"/>
      <c r="AU42" s="453"/>
      <c r="AV42" s="453"/>
      <c r="AW42" s="453"/>
      <c r="AX42" s="453"/>
      <c r="AY42" s="453"/>
      <c r="AZ42" s="452">
        <v>41416</v>
      </c>
      <c r="BA42" s="393"/>
      <c r="BB42" s="393"/>
      <c r="BC42" s="393" t="b">
        <v>0</v>
      </c>
      <c r="BD42" s="393"/>
      <c r="BE42" s="392"/>
      <c r="BF42" s="394">
        <v>4</v>
      </c>
      <c r="BG42" s="394">
        <v>8</v>
      </c>
      <c r="BH42" s="394">
        <v>9</v>
      </c>
      <c r="BI42" s="394">
        <v>5</v>
      </c>
      <c r="BJ42" s="394">
        <v>7</v>
      </c>
      <c r="BK42" s="394"/>
      <c r="BL42" s="444" t="s">
        <v>1451</v>
      </c>
      <c r="BM42" s="392"/>
      <c r="BN42" s="393" t="s">
        <v>117</v>
      </c>
      <c r="BO42" s="393"/>
      <c r="BP42" s="399"/>
      <c r="BQ42" s="400"/>
      <c r="BR42" s="401"/>
      <c r="BS42" s="399"/>
      <c r="BT42" s="394"/>
      <c r="BU42" s="417"/>
      <c r="BV42" s="399"/>
      <c r="BW42" s="393" t="s">
        <v>3117</v>
      </c>
      <c r="BX42" s="392" t="s">
        <v>3831</v>
      </c>
      <c r="BY42" s="393"/>
      <c r="BZ42" s="393"/>
      <c r="CA42" s="441" t="s">
        <v>1664</v>
      </c>
      <c r="CB42" s="400">
        <v>3</v>
      </c>
      <c r="CC42" s="398"/>
      <c r="CD42" s="398"/>
      <c r="CE42" s="398"/>
      <c r="CF42" s="398"/>
      <c r="CG42" s="398"/>
      <c r="CH42" s="398"/>
      <c r="CI42" s="398">
        <v>26.268000000000001</v>
      </c>
      <c r="CJ42" s="398">
        <v>25.709</v>
      </c>
      <c r="CK42" s="398">
        <v>25.15</v>
      </c>
      <c r="CL42" s="398">
        <v>22.914000000000001</v>
      </c>
      <c r="CM42" s="398">
        <v>19.561</v>
      </c>
      <c r="CN42" s="398">
        <v>15.369</v>
      </c>
      <c r="CO42" s="398"/>
      <c r="CP42" s="398"/>
      <c r="CQ42" s="398"/>
      <c r="CR42" s="398"/>
      <c r="CS42" s="398"/>
      <c r="CT42" s="398"/>
      <c r="CU42" s="398"/>
      <c r="CV42" s="398"/>
      <c r="CW42" s="398"/>
      <c r="CX42" s="398"/>
      <c r="CY42" s="398"/>
      <c r="CZ42" s="398"/>
      <c r="DA42" s="398"/>
      <c r="DB42" s="398"/>
      <c r="DC42" s="398"/>
      <c r="DD42" s="398"/>
      <c r="DE42" s="393"/>
      <c r="DF42" s="393"/>
      <c r="DG42" s="393"/>
      <c r="DH42" s="393"/>
      <c r="DI42" s="393"/>
      <c r="DJ42" s="393"/>
      <c r="DK42" s="897"/>
    </row>
    <row r="43" spans="1:115" ht="25.5" x14ac:dyDescent="0.2">
      <c r="A43" s="295">
        <v>39</v>
      </c>
      <c r="B43" s="390" t="s">
        <v>4871</v>
      </c>
      <c r="C43" s="390"/>
      <c r="D43" s="391" t="s">
        <v>4872</v>
      </c>
      <c r="E43" s="704" t="s">
        <v>4873</v>
      </c>
      <c r="F43" s="393" t="s">
        <v>1340</v>
      </c>
      <c r="G43" s="393" t="s">
        <v>1676</v>
      </c>
      <c r="H43" s="393" t="s">
        <v>58</v>
      </c>
      <c r="I43" s="392"/>
      <c r="J43" s="392"/>
      <c r="K43" s="392" t="s">
        <v>58</v>
      </c>
      <c r="L43" s="392" t="s">
        <v>509</v>
      </c>
      <c r="M43" s="392"/>
      <c r="N43" s="393" t="s">
        <v>44</v>
      </c>
      <c r="O43" s="393" t="s">
        <v>51</v>
      </c>
      <c r="P43" s="393" t="s">
        <v>51</v>
      </c>
      <c r="Q43" s="392" t="s">
        <v>426</v>
      </c>
      <c r="R43" s="392" t="s">
        <v>3830</v>
      </c>
      <c r="S43" s="392" t="s">
        <v>256</v>
      </c>
      <c r="T43" s="394">
        <v>1</v>
      </c>
      <c r="U43" s="395">
        <v>24.283000000000001</v>
      </c>
      <c r="V43" s="395"/>
      <c r="W43" s="453"/>
      <c r="X43" s="394"/>
      <c r="Y43" s="394">
        <v>10</v>
      </c>
      <c r="Z43" s="394">
        <v>10</v>
      </c>
      <c r="AA43" s="395">
        <v>-0.5</v>
      </c>
      <c r="AB43" s="452">
        <v>41518</v>
      </c>
      <c r="AC43" s="398">
        <v>0</v>
      </c>
      <c r="AD43" s="398">
        <v>242.83</v>
      </c>
      <c r="AE43" s="393" t="s">
        <v>54</v>
      </c>
      <c r="AF43" s="417"/>
      <c r="AG43" s="417">
        <v>12.191000000000001</v>
      </c>
      <c r="AH43" s="417">
        <v>12.191000000000001</v>
      </c>
      <c r="AI43" s="394"/>
      <c r="AJ43" s="453"/>
      <c r="AK43" s="453"/>
      <c r="AL43" s="393"/>
      <c r="AM43" s="393"/>
      <c r="AN43" s="417"/>
      <c r="AO43" s="392" t="s">
        <v>54</v>
      </c>
      <c r="AP43" s="392"/>
      <c r="AQ43" s="392"/>
      <c r="AR43" s="392" t="s">
        <v>509</v>
      </c>
      <c r="AS43" s="480"/>
      <c r="AT43" s="453"/>
      <c r="AU43" s="397"/>
      <c r="AV43" s="453"/>
      <c r="AW43" s="453"/>
      <c r="AX43" s="453"/>
      <c r="AY43" s="453"/>
      <c r="AZ43" s="452">
        <v>41416</v>
      </c>
      <c r="BA43" s="393"/>
      <c r="BB43" s="393"/>
      <c r="BC43" s="393" t="b">
        <v>0</v>
      </c>
      <c r="BD43" s="393"/>
      <c r="BE43" s="392"/>
      <c r="BF43" s="394">
        <v>4</v>
      </c>
      <c r="BG43" s="394">
        <v>8</v>
      </c>
      <c r="BH43" s="394">
        <v>9</v>
      </c>
      <c r="BI43" s="394">
        <v>5</v>
      </c>
      <c r="BJ43" s="394">
        <v>7</v>
      </c>
      <c r="BK43" s="394"/>
      <c r="BL43" s="444" t="s">
        <v>1451</v>
      </c>
      <c r="BM43" s="392"/>
      <c r="BN43" s="393" t="s">
        <v>117</v>
      </c>
      <c r="BO43" s="393"/>
      <c r="BP43" s="399"/>
      <c r="BQ43" s="400"/>
      <c r="BR43" s="401"/>
      <c r="BS43" s="399"/>
      <c r="BT43" s="394"/>
      <c r="BU43" s="417"/>
      <c r="BV43" s="399"/>
      <c r="BW43" s="393" t="s">
        <v>3117</v>
      </c>
      <c r="BX43" s="392" t="s">
        <v>3831</v>
      </c>
      <c r="BY43" s="393"/>
      <c r="BZ43" s="393"/>
      <c r="CA43" s="441" t="s">
        <v>1664</v>
      </c>
      <c r="CB43" s="400">
        <v>3</v>
      </c>
      <c r="CC43" s="398"/>
      <c r="CD43" s="398"/>
      <c r="CE43" s="398"/>
      <c r="CF43" s="398"/>
      <c r="CG43" s="398"/>
      <c r="CH43" s="398"/>
      <c r="CI43" s="398">
        <v>26.268000000000001</v>
      </c>
      <c r="CJ43" s="398">
        <v>25.709</v>
      </c>
      <c r="CK43" s="398">
        <v>25.15</v>
      </c>
      <c r="CL43" s="398">
        <v>22.914000000000001</v>
      </c>
      <c r="CM43" s="398">
        <v>19.561</v>
      </c>
      <c r="CN43" s="398">
        <v>15.369</v>
      </c>
      <c r="CO43" s="398"/>
      <c r="CP43" s="398"/>
      <c r="CQ43" s="398"/>
      <c r="CR43" s="398"/>
      <c r="CS43" s="398"/>
      <c r="CT43" s="398"/>
      <c r="CU43" s="398"/>
      <c r="CV43" s="398"/>
      <c r="CW43" s="398"/>
      <c r="CX43" s="398"/>
      <c r="CY43" s="398"/>
      <c r="CZ43" s="398"/>
      <c r="DA43" s="398"/>
      <c r="DB43" s="398"/>
      <c r="DC43" s="398"/>
      <c r="DD43" s="398"/>
      <c r="DE43" s="393"/>
      <c r="DF43" s="393"/>
      <c r="DG43" s="393"/>
      <c r="DH43" s="393"/>
      <c r="DI43" s="393"/>
      <c r="DJ43" s="393"/>
      <c r="DK43" s="897"/>
    </row>
    <row r="44" spans="1:115" ht="25.5" x14ac:dyDescent="0.2">
      <c r="A44" s="295">
        <v>40</v>
      </c>
      <c r="B44" s="390" t="s">
        <v>4874</v>
      </c>
      <c r="C44" s="390"/>
      <c r="D44" s="391" t="s">
        <v>4875</v>
      </c>
      <c r="E44" s="704" t="s">
        <v>4876</v>
      </c>
      <c r="F44" s="393" t="s">
        <v>1340</v>
      </c>
      <c r="G44" s="393" t="s">
        <v>1676</v>
      </c>
      <c r="H44" s="393" t="s">
        <v>58</v>
      </c>
      <c r="I44" s="392"/>
      <c r="J44" s="392"/>
      <c r="K44" s="392" t="s">
        <v>58</v>
      </c>
      <c r="L44" s="392" t="s">
        <v>509</v>
      </c>
      <c r="M44" s="392"/>
      <c r="N44" s="393" t="s">
        <v>44</v>
      </c>
      <c r="O44" s="393" t="s">
        <v>51</v>
      </c>
      <c r="P44" s="393" t="s">
        <v>51</v>
      </c>
      <c r="Q44" s="392" t="s">
        <v>426</v>
      </c>
      <c r="R44" s="392" t="s">
        <v>3830</v>
      </c>
      <c r="S44" s="392" t="s">
        <v>256</v>
      </c>
      <c r="T44" s="394">
        <v>1</v>
      </c>
      <c r="U44" s="395">
        <v>24.283000000000001</v>
      </c>
      <c r="V44" s="395"/>
      <c r="W44" s="453"/>
      <c r="X44" s="394"/>
      <c r="Y44" s="394">
        <v>10</v>
      </c>
      <c r="Z44" s="394">
        <v>10</v>
      </c>
      <c r="AA44" s="395">
        <v>-0.5</v>
      </c>
      <c r="AB44" s="452">
        <v>41518</v>
      </c>
      <c r="AC44" s="398">
        <v>0</v>
      </c>
      <c r="AD44" s="398">
        <v>242.83</v>
      </c>
      <c r="AE44" s="393" t="s">
        <v>54</v>
      </c>
      <c r="AF44" s="417"/>
      <c r="AG44" s="417">
        <v>12.191000000000001</v>
      </c>
      <c r="AH44" s="417">
        <v>12.191000000000001</v>
      </c>
      <c r="AI44" s="394"/>
      <c r="AJ44" s="453"/>
      <c r="AK44" s="453"/>
      <c r="AL44" s="393"/>
      <c r="AM44" s="393"/>
      <c r="AN44" s="417"/>
      <c r="AO44" s="392" t="s">
        <v>54</v>
      </c>
      <c r="AP44" s="392"/>
      <c r="AQ44" s="392"/>
      <c r="AR44" s="392" t="s">
        <v>509</v>
      </c>
      <c r="AS44" s="480"/>
      <c r="AT44" s="453"/>
      <c r="AU44" s="453"/>
      <c r="AV44" s="453"/>
      <c r="AW44" s="453"/>
      <c r="AX44" s="453"/>
      <c r="AY44" s="453"/>
      <c r="AZ44" s="452">
        <v>41416</v>
      </c>
      <c r="BA44" s="393"/>
      <c r="BB44" s="393"/>
      <c r="BC44" s="393" t="b">
        <v>0</v>
      </c>
      <c r="BD44" s="393"/>
      <c r="BE44" s="392"/>
      <c r="BF44" s="394">
        <v>4</v>
      </c>
      <c r="BG44" s="394">
        <v>8</v>
      </c>
      <c r="BH44" s="394">
        <v>9</v>
      </c>
      <c r="BI44" s="394">
        <v>5</v>
      </c>
      <c r="BJ44" s="394">
        <v>7</v>
      </c>
      <c r="BK44" s="394"/>
      <c r="BL44" s="444" t="s">
        <v>1451</v>
      </c>
      <c r="BM44" s="392"/>
      <c r="BN44" s="393" t="s">
        <v>117</v>
      </c>
      <c r="BO44" s="393"/>
      <c r="BP44" s="399"/>
      <c r="BQ44" s="400"/>
      <c r="BR44" s="401"/>
      <c r="BS44" s="399"/>
      <c r="BT44" s="394"/>
      <c r="BU44" s="417"/>
      <c r="BV44" s="399"/>
      <c r="BW44" s="393" t="s">
        <v>3117</v>
      </c>
      <c r="BX44" s="392" t="s">
        <v>3831</v>
      </c>
      <c r="BY44" s="393"/>
      <c r="BZ44" s="393"/>
      <c r="CA44" s="441" t="s">
        <v>1664</v>
      </c>
      <c r="CB44" s="400">
        <v>3</v>
      </c>
      <c r="CC44" s="398"/>
      <c r="CD44" s="398"/>
      <c r="CE44" s="398"/>
      <c r="CF44" s="398"/>
      <c r="CG44" s="398"/>
      <c r="CH44" s="398"/>
      <c r="CI44" s="398">
        <v>26.268000000000001</v>
      </c>
      <c r="CJ44" s="398">
        <v>25.709</v>
      </c>
      <c r="CK44" s="398">
        <v>25.15</v>
      </c>
      <c r="CL44" s="398">
        <v>22.914000000000001</v>
      </c>
      <c r="CM44" s="398">
        <v>19.561</v>
      </c>
      <c r="CN44" s="398">
        <v>15.369</v>
      </c>
      <c r="CO44" s="398"/>
      <c r="CP44" s="398"/>
      <c r="CQ44" s="398"/>
      <c r="CR44" s="398"/>
      <c r="CS44" s="398"/>
      <c r="CT44" s="398"/>
      <c r="CU44" s="398"/>
      <c r="CV44" s="398"/>
      <c r="CW44" s="398"/>
      <c r="CX44" s="398"/>
      <c r="CY44" s="398"/>
      <c r="CZ44" s="398"/>
      <c r="DA44" s="398"/>
      <c r="DB44" s="398"/>
      <c r="DC44" s="398"/>
      <c r="DD44" s="398"/>
      <c r="DE44" s="393"/>
      <c r="DF44" s="393"/>
      <c r="DG44" s="393"/>
      <c r="DH44" s="393"/>
      <c r="DI44" s="393"/>
      <c r="DJ44" s="393"/>
      <c r="DK44" s="897"/>
    </row>
    <row r="45" spans="1:115" ht="25.5" x14ac:dyDescent="0.2">
      <c r="A45" s="295">
        <v>41</v>
      </c>
      <c r="B45" s="390" t="s">
        <v>4877</v>
      </c>
      <c r="C45" s="390"/>
      <c r="D45" s="391" t="s">
        <v>4878</v>
      </c>
      <c r="E45" s="704" t="s">
        <v>4879</v>
      </c>
      <c r="F45" s="393" t="s">
        <v>1340</v>
      </c>
      <c r="G45" s="393" t="s">
        <v>1676</v>
      </c>
      <c r="H45" s="393" t="s">
        <v>58</v>
      </c>
      <c r="I45" s="392"/>
      <c r="J45" s="392"/>
      <c r="K45" s="392" t="s">
        <v>58</v>
      </c>
      <c r="L45" s="392" t="s">
        <v>509</v>
      </c>
      <c r="M45" s="392"/>
      <c r="N45" s="393" t="s">
        <v>44</v>
      </c>
      <c r="O45" s="393" t="s">
        <v>51</v>
      </c>
      <c r="P45" s="393" t="s">
        <v>51</v>
      </c>
      <c r="Q45" s="392" t="s">
        <v>426</v>
      </c>
      <c r="R45" s="392" t="s">
        <v>3830</v>
      </c>
      <c r="S45" s="392" t="s">
        <v>256</v>
      </c>
      <c r="T45" s="394">
        <v>1</v>
      </c>
      <c r="U45" s="395">
        <v>24.283000000000001</v>
      </c>
      <c r="V45" s="395"/>
      <c r="W45" s="453"/>
      <c r="X45" s="394"/>
      <c r="Y45" s="394">
        <v>10</v>
      </c>
      <c r="Z45" s="394">
        <v>10</v>
      </c>
      <c r="AA45" s="395">
        <v>-0.5</v>
      </c>
      <c r="AB45" s="452">
        <v>41518</v>
      </c>
      <c r="AC45" s="398">
        <v>0</v>
      </c>
      <c r="AD45" s="398">
        <v>242.83</v>
      </c>
      <c r="AE45" s="393" t="s">
        <v>54</v>
      </c>
      <c r="AF45" s="417"/>
      <c r="AG45" s="417">
        <v>12.191000000000001</v>
      </c>
      <c r="AH45" s="417">
        <v>12.191000000000001</v>
      </c>
      <c r="AI45" s="394"/>
      <c r="AJ45" s="453"/>
      <c r="AK45" s="453"/>
      <c r="AL45" s="393"/>
      <c r="AM45" s="393"/>
      <c r="AN45" s="417"/>
      <c r="AO45" s="392" t="s">
        <v>54</v>
      </c>
      <c r="AP45" s="392"/>
      <c r="AQ45" s="392"/>
      <c r="AR45" s="392" t="s">
        <v>509</v>
      </c>
      <c r="AS45" s="480"/>
      <c r="AT45" s="397"/>
      <c r="AU45" s="397"/>
      <c r="AV45" s="453"/>
      <c r="AW45" s="453"/>
      <c r="AX45" s="453"/>
      <c r="AY45" s="453"/>
      <c r="AZ45" s="452">
        <v>41416</v>
      </c>
      <c r="BA45" s="393"/>
      <c r="BB45" s="393"/>
      <c r="BC45" s="393" t="b">
        <v>0</v>
      </c>
      <c r="BD45" s="393"/>
      <c r="BE45" s="392"/>
      <c r="BF45" s="394">
        <v>4</v>
      </c>
      <c r="BG45" s="394">
        <v>8</v>
      </c>
      <c r="BH45" s="394">
        <v>9</v>
      </c>
      <c r="BI45" s="394">
        <v>5</v>
      </c>
      <c r="BJ45" s="394">
        <v>7</v>
      </c>
      <c r="BK45" s="394"/>
      <c r="BL45" s="444" t="s">
        <v>1451</v>
      </c>
      <c r="BM45" s="392"/>
      <c r="BN45" s="393" t="s">
        <v>117</v>
      </c>
      <c r="BO45" s="393"/>
      <c r="BP45" s="399"/>
      <c r="BQ45" s="400"/>
      <c r="BR45" s="401"/>
      <c r="BS45" s="399"/>
      <c r="BT45" s="394"/>
      <c r="BU45" s="417"/>
      <c r="BV45" s="399"/>
      <c r="BW45" s="393" t="s">
        <v>3117</v>
      </c>
      <c r="BX45" s="392" t="s">
        <v>3831</v>
      </c>
      <c r="BY45" s="393"/>
      <c r="BZ45" s="393"/>
      <c r="CA45" s="441" t="s">
        <v>1664</v>
      </c>
      <c r="CB45" s="400">
        <v>3</v>
      </c>
      <c r="CC45" s="398"/>
      <c r="CD45" s="398"/>
      <c r="CE45" s="398"/>
      <c r="CF45" s="398"/>
      <c r="CG45" s="398"/>
      <c r="CH45" s="398"/>
      <c r="CI45" s="398">
        <v>26.268000000000001</v>
      </c>
      <c r="CJ45" s="398">
        <v>25.709</v>
      </c>
      <c r="CK45" s="398">
        <v>25.15</v>
      </c>
      <c r="CL45" s="398">
        <v>22.914000000000001</v>
      </c>
      <c r="CM45" s="398">
        <v>19.561</v>
      </c>
      <c r="CN45" s="398">
        <v>15.369</v>
      </c>
      <c r="CO45" s="398"/>
      <c r="CP45" s="398"/>
      <c r="CQ45" s="398"/>
      <c r="CR45" s="398"/>
      <c r="CS45" s="398"/>
      <c r="CT45" s="398"/>
      <c r="CU45" s="398"/>
      <c r="CV45" s="398"/>
      <c r="CW45" s="398"/>
      <c r="CX45" s="398"/>
      <c r="CY45" s="398"/>
      <c r="CZ45" s="398"/>
      <c r="DA45" s="398"/>
      <c r="DB45" s="398"/>
      <c r="DC45" s="398"/>
      <c r="DD45" s="398"/>
      <c r="DE45" s="393"/>
      <c r="DF45" s="393"/>
      <c r="DG45" s="393"/>
      <c r="DH45" s="393"/>
      <c r="DI45" s="393"/>
      <c r="DJ45" s="393"/>
      <c r="DK45" s="897"/>
    </row>
    <row r="46" spans="1:115" ht="25.5" x14ac:dyDescent="0.2">
      <c r="A46" s="295">
        <v>42</v>
      </c>
      <c r="B46" s="390" t="s">
        <v>4880</v>
      </c>
      <c r="C46" s="390"/>
      <c r="D46" s="391" t="s">
        <v>4881</v>
      </c>
      <c r="E46" s="704" t="s">
        <v>4882</v>
      </c>
      <c r="F46" s="393" t="s">
        <v>1340</v>
      </c>
      <c r="G46" s="393" t="s">
        <v>1676</v>
      </c>
      <c r="H46" s="393" t="s">
        <v>58</v>
      </c>
      <c r="I46" s="392"/>
      <c r="J46" s="392"/>
      <c r="K46" s="392" t="s">
        <v>58</v>
      </c>
      <c r="L46" s="392" t="s">
        <v>509</v>
      </c>
      <c r="M46" s="392"/>
      <c r="N46" s="393" t="s">
        <v>44</v>
      </c>
      <c r="O46" s="393" t="s">
        <v>51</v>
      </c>
      <c r="P46" s="393" t="s">
        <v>51</v>
      </c>
      <c r="Q46" s="392" t="s">
        <v>426</v>
      </c>
      <c r="R46" s="392" t="s">
        <v>3830</v>
      </c>
      <c r="S46" s="392" t="s">
        <v>256</v>
      </c>
      <c r="T46" s="394">
        <v>1</v>
      </c>
      <c r="U46" s="395">
        <v>24.283000000000001</v>
      </c>
      <c r="V46" s="395"/>
      <c r="W46" s="453"/>
      <c r="X46" s="394"/>
      <c r="Y46" s="394">
        <v>10</v>
      </c>
      <c r="Z46" s="394">
        <v>10</v>
      </c>
      <c r="AA46" s="395">
        <v>-0.5</v>
      </c>
      <c r="AB46" s="452">
        <v>41518</v>
      </c>
      <c r="AC46" s="398">
        <v>0</v>
      </c>
      <c r="AD46" s="398">
        <v>242.83</v>
      </c>
      <c r="AE46" s="393" t="s">
        <v>54</v>
      </c>
      <c r="AF46" s="417"/>
      <c r="AG46" s="417">
        <v>12.191000000000001</v>
      </c>
      <c r="AH46" s="417">
        <v>12.191000000000001</v>
      </c>
      <c r="AI46" s="394"/>
      <c r="AJ46" s="453"/>
      <c r="AK46" s="453"/>
      <c r="AL46" s="393"/>
      <c r="AM46" s="393"/>
      <c r="AN46" s="417"/>
      <c r="AO46" s="392" t="s">
        <v>54</v>
      </c>
      <c r="AP46" s="392"/>
      <c r="AQ46" s="392"/>
      <c r="AR46" s="392" t="s">
        <v>509</v>
      </c>
      <c r="AS46" s="480"/>
      <c r="AT46" s="453"/>
      <c r="AU46" s="453"/>
      <c r="AV46" s="453"/>
      <c r="AW46" s="453"/>
      <c r="AX46" s="453"/>
      <c r="AY46" s="453"/>
      <c r="AZ46" s="452">
        <v>41416</v>
      </c>
      <c r="BA46" s="393"/>
      <c r="BB46" s="393"/>
      <c r="BC46" s="393" t="b">
        <v>0</v>
      </c>
      <c r="BD46" s="393"/>
      <c r="BE46" s="392"/>
      <c r="BF46" s="394">
        <v>4</v>
      </c>
      <c r="BG46" s="394">
        <v>8</v>
      </c>
      <c r="BH46" s="394">
        <v>9</v>
      </c>
      <c r="BI46" s="394">
        <v>5</v>
      </c>
      <c r="BJ46" s="394">
        <v>7</v>
      </c>
      <c r="BK46" s="394"/>
      <c r="BL46" s="444" t="s">
        <v>1451</v>
      </c>
      <c r="BM46" s="392"/>
      <c r="BN46" s="393" t="s">
        <v>117</v>
      </c>
      <c r="BO46" s="393"/>
      <c r="BP46" s="399"/>
      <c r="BQ46" s="400"/>
      <c r="BR46" s="401"/>
      <c r="BS46" s="399"/>
      <c r="BT46" s="394"/>
      <c r="BU46" s="417"/>
      <c r="BV46" s="399"/>
      <c r="BW46" s="393" t="s">
        <v>3117</v>
      </c>
      <c r="BX46" s="392" t="s">
        <v>3831</v>
      </c>
      <c r="BY46" s="393"/>
      <c r="BZ46" s="393"/>
      <c r="CA46" s="441" t="s">
        <v>1664</v>
      </c>
      <c r="CB46" s="400">
        <v>3</v>
      </c>
      <c r="CC46" s="398"/>
      <c r="CD46" s="398"/>
      <c r="CE46" s="398"/>
      <c r="CF46" s="398"/>
      <c r="CG46" s="398"/>
      <c r="CH46" s="398"/>
      <c r="CI46" s="398">
        <v>26.268000000000001</v>
      </c>
      <c r="CJ46" s="398">
        <v>25.709</v>
      </c>
      <c r="CK46" s="398">
        <v>25.15</v>
      </c>
      <c r="CL46" s="398">
        <v>22.914000000000001</v>
      </c>
      <c r="CM46" s="398">
        <v>19.561</v>
      </c>
      <c r="CN46" s="398">
        <v>15.369</v>
      </c>
      <c r="CO46" s="398"/>
      <c r="CP46" s="398"/>
      <c r="CQ46" s="398"/>
      <c r="CR46" s="398"/>
      <c r="CS46" s="398"/>
      <c r="CT46" s="398"/>
      <c r="CU46" s="398"/>
      <c r="CV46" s="398"/>
      <c r="CW46" s="398"/>
      <c r="CX46" s="398"/>
      <c r="CY46" s="398"/>
      <c r="CZ46" s="398"/>
      <c r="DA46" s="398"/>
      <c r="DB46" s="398"/>
      <c r="DC46" s="398"/>
      <c r="DD46" s="398"/>
      <c r="DE46" s="393"/>
      <c r="DF46" s="393"/>
      <c r="DG46" s="393"/>
      <c r="DH46" s="393"/>
      <c r="DI46" s="393"/>
      <c r="DJ46" s="393"/>
      <c r="DK46" s="897"/>
    </row>
    <row r="47" spans="1:115" ht="25.5" x14ac:dyDescent="0.2">
      <c r="A47" s="295">
        <v>43</v>
      </c>
      <c r="B47" s="390" t="s">
        <v>4883</v>
      </c>
      <c r="C47" s="390"/>
      <c r="D47" s="391" t="s">
        <v>4884</v>
      </c>
      <c r="E47" s="704" t="s">
        <v>4885</v>
      </c>
      <c r="F47" s="393" t="s">
        <v>1340</v>
      </c>
      <c r="G47" s="393" t="s">
        <v>1676</v>
      </c>
      <c r="H47" s="393" t="s">
        <v>58</v>
      </c>
      <c r="I47" s="392"/>
      <c r="J47" s="392"/>
      <c r="K47" s="392" t="s">
        <v>58</v>
      </c>
      <c r="L47" s="392" t="s">
        <v>509</v>
      </c>
      <c r="M47" s="392"/>
      <c r="N47" s="393" t="s">
        <v>44</v>
      </c>
      <c r="O47" s="393" t="s">
        <v>51</v>
      </c>
      <c r="P47" s="393" t="s">
        <v>51</v>
      </c>
      <c r="Q47" s="392" t="s">
        <v>426</v>
      </c>
      <c r="R47" s="392" t="s">
        <v>3830</v>
      </c>
      <c r="S47" s="392" t="s">
        <v>256</v>
      </c>
      <c r="T47" s="394">
        <v>1</v>
      </c>
      <c r="U47" s="395">
        <v>24.283000000000001</v>
      </c>
      <c r="V47" s="395"/>
      <c r="W47" s="453"/>
      <c r="X47" s="394"/>
      <c r="Y47" s="394">
        <v>10</v>
      </c>
      <c r="Z47" s="394">
        <v>10</v>
      </c>
      <c r="AA47" s="395">
        <v>-0.5</v>
      </c>
      <c r="AB47" s="452">
        <v>41518</v>
      </c>
      <c r="AC47" s="398">
        <v>0</v>
      </c>
      <c r="AD47" s="398">
        <v>242.83</v>
      </c>
      <c r="AE47" s="393" t="s">
        <v>54</v>
      </c>
      <c r="AF47" s="417"/>
      <c r="AG47" s="417">
        <v>12.191000000000001</v>
      </c>
      <c r="AH47" s="417">
        <v>12.191000000000001</v>
      </c>
      <c r="AI47" s="394"/>
      <c r="AJ47" s="453"/>
      <c r="AK47" s="453"/>
      <c r="AL47" s="393"/>
      <c r="AM47" s="393"/>
      <c r="AN47" s="417"/>
      <c r="AO47" s="392" t="s">
        <v>54</v>
      </c>
      <c r="AP47" s="392"/>
      <c r="AQ47" s="392"/>
      <c r="AR47" s="392" t="s">
        <v>509</v>
      </c>
      <c r="AS47" s="480"/>
      <c r="AT47" s="453"/>
      <c r="AU47" s="453"/>
      <c r="AV47" s="453"/>
      <c r="AW47" s="453"/>
      <c r="AX47" s="453"/>
      <c r="AY47" s="453"/>
      <c r="AZ47" s="452">
        <v>41416</v>
      </c>
      <c r="BA47" s="393"/>
      <c r="BB47" s="393"/>
      <c r="BC47" s="393" t="b">
        <v>0</v>
      </c>
      <c r="BD47" s="393"/>
      <c r="BE47" s="392"/>
      <c r="BF47" s="394">
        <v>4</v>
      </c>
      <c r="BG47" s="394">
        <v>8</v>
      </c>
      <c r="BH47" s="394">
        <v>9</v>
      </c>
      <c r="BI47" s="394">
        <v>5</v>
      </c>
      <c r="BJ47" s="394">
        <v>7</v>
      </c>
      <c r="BK47" s="394"/>
      <c r="BL47" s="444" t="s">
        <v>1451</v>
      </c>
      <c r="BM47" s="392"/>
      <c r="BN47" s="393" t="s">
        <v>117</v>
      </c>
      <c r="BO47" s="393"/>
      <c r="BP47" s="399"/>
      <c r="BQ47" s="400"/>
      <c r="BR47" s="401"/>
      <c r="BS47" s="399"/>
      <c r="BT47" s="394"/>
      <c r="BU47" s="417"/>
      <c r="BV47" s="399"/>
      <c r="BW47" s="393" t="s">
        <v>3117</v>
      </c>
      <c r="BX47" s="392" t="s">
        <v>3831</v>
      </c>
      <c r="BY47" s="393"/>
      <c r="BZ47" s="393"/>
      <c r="CA47" s="441" t="s">
        <v>1664</v>
      </c>
      <c r="CB47" s="400">
        <v>3</v>
      </c>
      <c r="CC47" s="398"/>
      <c r="CD47" s="398"/>
      <c r="CE47" s="398"/>
      <c r="CF47" s="398"/>
      <c r="CG47" s="398"/>
      <c r="CH47" s="398"/>
      <c r="CI47" s="398">
        <v>26.268000000000001</v>
      </c>
      <c r="CJ47" s="398">
        <v>25.709</v>
      </c>
      <c r="CK47" s="398">
        <v>25.15</v>
      </c>
      <c r="CL47" s="398">
        <v>22.914000000000001</v>
      </c>
      <c r="CM47" s="398">
        <v>19.561</v>
      </c>
      <c r="CN47" s="398">
        <v>15.369</v>
      </c>
      <c r="CO47" s="398"/>
      <c r="CP47" s="398"/>
      <c r="CQ47" s="398"/>
      <c r="CR47" s="398"/>
      <c r="CS47" s="398"/>
      <c r="CT47" s="398"/>
      <c r="CU47" s="398"/>
      <c r="CV47" s="398"/>
      <c r="CW47" s="398"/>
      <c r="CX47" s="398"/>
      <c r="CY47" s="398"/>
      <c r="CZ47" s="398"/>
      <c r="DA47" s="398"/>
      <c r="DB47" s="398"/>
      <c r="DC47" s="398"/>
      <c r="DD47" s="398"/>
      <c r="DE47" s="393"/>
      <c r="DF47" s="393"/>
      <c r="DG47" s="393"/>
      <c r="DH47" s="393"/>
      <c r="DI47" s="393"/>
      <c r="DJ47" s="393"/>
      <c r="DK47" s="897"/>
    </row>
    <row r="48" spans="1:115" ht="25.5" x14ac:dyDescent="0.2">
      <c r="A48" s="295">
        <v>44</v>
      </c>
      <c r="B48" s="390" t="s">
        <v>4886</v>
      </c>
      <c r="C48" s="390"/>
      <c r="D48" s="391" t="s">
        <v>4887</v>
      </c>
      <c r="E48" s="704" t="s">
        <v>4888</v>
      </c>
      <c r="F48" s="393" t="s">
        <v>1340</v>
      </c>
      <c r="G48" s="393" t="s">
        <v>1676</v>
      </c>
      <c r="H48" s="393" t="s">
        <v>58</v>
      </c>
      <c r="I48" s="392"/>
      <c r="J48" s="392"/>
      <c r="K48" s="392" t="s">
        <v>58</v>
      </c>
      <c r="L48" s="392" t="s">
        <v>509</v>
      </c>
      <c r="M48" s="392"/>
      <c r="N48" s="393" t="s">
        <v>44</v>
      </c>
      <c r="O48" s="393" t="s">
        <v>51</v>
      </c>
      <c r="P48" s="393" t="s">
        <v>51</v>
      </c>
      <c r="Q48" s="392" t="s">
        <v>426</v>
      </c>
      <c r="R48" s="392" t="s">
        <v>3830</v>
      </c>
      <c r="S48" s="392" t="s">
        <v>256</v>
      </c>
      <c r="T48" s="394">
        <v>1</v>
      </c>
      <c r="U48" s="395">
        <v>24.283000000000001</v>
      </c>
      <c r="V48" s="395"/>
      <c r="W48" s="453"/>
      <c r="X48" s="394"/>
      <c r="Y48" s="394">
        <v>10</v>
      </c>
      <c r="Z48" s="394">
        <v>10</v>
      </c>
      <c r="AA48" s="395">
        <v>-0.5</v>
      </c>
      <c r="AB48" s="452">
        <v>41518</v>
      </c>
      <c r="AC48" s="398">
        <v>0</v>
      </c>
      <c r="AD48" s="398">
        <v>242.83</v>
      </c>
      <c r="AE48" s="393" t="s">
        <v>54</v>
      </c>
      <c r="AF48" s="417"/>
      <c r="AG48" s="417">
        <v>12.191000000000001</v>
      </c>
      <c r="AH48" s="417">
        <v>12.191000000000001</v>
      </c>
      <c r="AI48" s="394"/>
      <c r="AJ48" s="453"/>
      <c r="AK48" s="453"/>
      <c r="AL48" s="393"/>
      <c r="AM48" s="393"/>
      <c r="AN48" s="417"/>
      <c r="AO48" s="392" t="s">
        <v>54</v>
      </c>
      <c r="AP48" s="392"/>
      <c r="AQ48" s="392"/>
      <c r="AR48" s="392" t="s">
        <v>509</v>
      </c>
      <c r="AS48" s="480"/>
      <c r="AT48" s="453"/>
      <c r="AU48" s="453"/>
      <c r="AV48" s="453"/>
      <c r="AW48" s="453"/>
      <c r="AX48" s="453"/>
      <c r="AY48" s="453"/>
      <c r="AZ48" s="452">
        <v>41416</v>
      </c>
      <c r="BA48" s="393"/>
      <c r="BB48" s="393"/>
      <c r="BC48" s="393" t="b">
        <v>0</v>
      </c>
      <c r="BD48" s="393"/>
      <c r="BE48" s="392"/>
      <c r="BF48" s="394">
        <v>4</v>
      </c>
      <c r="BG48" s="394">
        <v>8</v>
      </c>
      <c r="BH48" s="394">
        <v>9</v>
      </c>
      <c r="BI48" s="394">
        <v>5</v>
      </c>
      <c r="BJ48" s="394">
        <v>7</v>
      </c>
      <c r="BK48" s="394"/>
      <c r="BL48" s="444" t="s">
        <v>1451</v>
      </c>
      <c r="BM48" s="392"/>
      <c r="BN48" s="393" t="s">
        <v>117</v>
      </c>
      <c r="BO48" s="393"/>
      <c r="BP48" s="399"/>
      <c r="BQ48" s="400"/>
      <c r="BR48" s="401"/>
      <c r="BS48" s="399"/>
      <c r="BT48" s="394"/>
      <c r="BU48" s="417"/>
      <c r="BV48" s="399"/>
      <c r="BW48" s="393" t="s">
        <v>3117</v>
      </c>
      <c r="BX48" s="392" t="s">
        <v>3831</v>
      </c>
      <c r="BY48" s="393"/>
      <c r="BZ48" s="393"/>
      <c r="CA48" s="441" t="s">
        <v>1664</v>
      </c>
      <c r="CB48" s="400">
        <v>3</v>
      </c>
      <c r="CC48" s="398"/>
      <c r="CD48" s="398"/>
      <c r="CE48" s="398"/>
      <c r="CF48" s="398"/>
      <c r="CG48" s="398"/>
      <c r="CH48" s="398"/>
      <c r="CI48" s="398">
        <v>26.268000000000001</v>
      </c>
      <c r="CJ48" s="398">
        <v>25.709</v>
      </c>
      <c r="CK48" s="398">
        <v>25.15</v>
      </c>
      <c r="CL48" s="398">
        <v>22.914000000000001</v>
      </c>
      <c r="CM48" s="398">
        <v>19.561</v>
      </c>
      <c r="CN48" s="398">
        <v>15.369</v>
      </c>
      <c r="CO48" s="398"/>
      <c r="CP48" s="398"/>
      <c r="CQ48" s="398"/>
      <c r="CR48" s="398"/>
      <c r="CS48" s="398"/>
      <c r="CT48" s="398"/>
      <c r="CU48" s="398"/>
      <c r="CV48" s="398"/>
      <c r="CW48" s="398"/>
      <c r="CX48" s="398"/>
      <c r="CY48" s="398"/>
      <c r="CZ48" s="398"/>
      <c r="DA48" s="398"/>
      <c r="DB48" s="398"/>
      <c r="DC48" s="398"/>
      <c r="DD48" s="398"/>
      <c r="DE48" s="393"/>
      <c r="DF48" s="393"/>
      <c r="DG48" s="393"/>
      <c r="DH48" s="393"/>
      <c r="DI48" s="393"/>
      <c r="DJ48" s="393"/>
      <c r="DK48" s="897"/>
    </row>
    <row r="49" spans="1:115" ht="25.5" x14ac:dyDescent="0.2">
      <c r="A49" s="295">
        <v>45</v>
      </c>
      <c r="B49" s="390" t="s">
        <v>4889</v>
      </c>
      <c r="C49" s="390"/>
      <c r="D49" s="391" t="s">
        <v>4890</v>
      </c>
      <c r="E49" s="704" t="s">
        <v>4891</v>
      </c>
      <c r="F49" s="393" t="s">
        <v>1340</v>
      </c>
      <c r="G49" s="393" t="s">
        <v>1676</v>
      </c>
      <c r="H49" s="393" t="s">
        <v>58</v>
      </c>
      <c r="I49" s="392"/>
      <c r="J49" s="392"/>
      <c r="K49" s="392" t="s">
        <v>58</v>
      </c>
      <c r="L49" s="392" t="s">
        <v>509</v>
      </c>
      <c r="M49" s="392"/>
      <c r="N49" s="393" t="s">
        <v>44</v>
      </c>
      <c r="O49" s="393" t="s">
        <v>51</v>
      </c>
      <c r="P49" s="393" t="s">
        <v>51</v>
      </c>
      <c r="Q49" s="392" t="s">
        <v>426</v>
      </c>
      <c r="R49" s="392" t="s">
        <v>3830</v>
      </c>
      <c r="S49" s="392" t="s">
        <v>256</v>
      </c>
      <c r="T49" s="394">
        <v>1</v>
      </c>
      <c r="U49" s="395">
        <v>24.283000000000001</v>
      </c>
      <c r="V49" s="395"/>
      <c r="W49" s="453"/>
      <c r="X49" s="394"/>
      <c r="Y49" s="394">
        <v>10</v>
      </c>
      <c r="Z49" s="394">
        <v>10</v>
      </c>
      <c r="AA49" s="395">
        <v>-0.5</v>
      </c>
      <c r="AB49" s="452">
        <v>41518</v>
      </c>
      <c r="AC49" s="398">
        <v>0</v>
      </c>
      <c r="AD49" s="398">
        <v>242.83</v>
      </c>
      <c r="AE49" s="393" t="s">
        <v>54</v>
      </c>
      <c r="AF49" s="417"/>
      <c r="AG49" s="417">
        <v>6.6680000000000001</v>
      </c>
      <c r="AH49" s="417">
        <v>6.6680000000000001</v>
      </c>
      <c r="AI49" s="394"/>
      <c r="AJ49" s="453"/>
      <c r="AK49" s="453"/>
      <c r="AL49" s="393"/>
      <c r="AM49" s="393"/>
      <c r="AN49" s="417"/>
      <c r="AO49" s="392" t="s">
        <v>54</v>
      </c>
      <c r="AP49" s="392"/>
      <c r="AQ49" s="392"/>
      <c r="AR49" s="392" t="s">
        <v>509</v>
      </c>
      <c r="AS49" s="480"/>
      <c r="AT49" s="453"/>
      <c r="AU49" s="453"/>
      <c r="AV49" s="453"/>
      <c r="AW49" s="453"/>
      <c r="AX49" s="453"/>
      <c r="AY49" s="453"/>
      <c r="AZ49" s="452">
        <v>41416</v>
      </c>
      <c r="BA49" s="393"/>
      <c r="BB49" s="393"/>
      <c r="BC49" s="393" t="b">
        <v>0</v>
      </c>
      <c r="BD49" s="393"/>
      <c r="BE49" s="392"/>
      <c r="BF49" s="394">
        <v>4</v>
      </c>
      <c r="BG49" s="394">
        <v>8</v>
      </c>
      <c r="BH49" s="394">
        <v>9</v>
      </c>
      <c r="BI49" s="394">
        <v>5</v>
      </c>
      <c r="BJ49" s="394">
        <v>7</v>
      </c>
      <c r="BK49" s="394"/>
      <c r="BL49" s="444" t="s">
        <v>1451</v>
      </c>
      <c r="BM49" s="392"/>
      <c r="BN49" s="393" t="s">
        <v>117</v>
      </c>
      <c r="BO49" s="393"/>
      <c r="BP49" s="399"/>
      <c r="BQ49" s="400"/>
      <c r="BR49" s="401"/>
      <c r="BS49" s="399"/>
      <c r="BT49" s="394"/>
      <c r="BU49" s="417"/>
      <c r="BV49" s="399"/>
      <c r="BW49" s="393" t="s">
        <v>3117</v>
      </c>
      <c r="BX49" s="392" t="s">
        <v>3831</v>
      </c>
      <c r="BY49" s="393"/>
      <c r="BZ49" s="393"/>
      <c r="CA49" s="441" t="s">
        <v>1664</v>
      </c>
      <c r="CB49" s="400">
        <v>3</v>
      </c>
      <c r="CC49" s="398"/>
      <c r="CD49" s="398"/>
      <c r="CE49" s="398"/>
      <c r="CF49" s="398"/>
      <c r="CG49" s="398"/>
      <c r="CH49" s="398"/>
      <c r="CI49" s="398">
        <v>26.268000000000001</v>
      </c>
      <c r="CJ49" s="398">
        <v>25.709</v>
      </c>
      <c r="CK49" s="398">
        <v>25.15</v>
      </c>
      <c r="CL49" s="398">
        <v>22.914000000000001</v>
      </c>
      <c r="CM49" s="398">
        <v>19.561</v>
      </c>
      <c r="CN49" s="398">
        <v>15.369</v>
      </c>
      <c r="CO49" s="398"/>
      <c r="CP49" s="398"/>
      <c r="CQ49" s="398"/>
      <c r="CR49" s="398"/>
      <c r="CS49" s="398"/>
      <c r="CT49" s="398"/>
      <c r="CU49" s="398"/>
      <c r="CV49" s="398"/>
      <c r="CW49" s="398"/>
      <c r="CX49" s="398"/>
      <c r="CY49" s="398"/>
      <c r="CZ49" s="398"/>
      <c r="DA49" s="398"/>
      <c r="DB49" s="398"/>
      <c r="DC49" s="398"/>
      <c r="DD49" s="398"/>
      <c r="DE49" s="393"/>
      <c r="DF49" s="393"/>
      <c r="DG49" s="393"/>
      <c r="DH49" s="393"/>
      <c r="DI49" s="393"/>
      <c r="DJ49" s="393"/>
      <c r="DK49" s="897"/>
    </row>
    <row r="50" spans="1:115" ht="25.5" x14ac:dyDescent="0.2">
      <c r="A50" s="295">
        <v>46</v>
      </c>
      <c r="B50" s="390" t="s">
        <v>4892</v>
      </c>
      <c r="C50" s="390"/>
      <c r="D50" s="391" t="s">
        <v>4893</v>
      </c>
      <c r="E50" s="704" t="s">
        <v>4894</v>
      </c>
      <c r="F50" s="393" t="s">
        <v>1340</v>
      </c>
      <c r="G50" s="393" t="s">
        <v>1676</v>
      </c>
      <c r="H50" s="393" t="s">
        <v>58</v>
      </c>
      <c r="I50" s="392"/>
      <c r="J50" s="392"/>
      <c r="K50" s="392" t="s">
        <v>58</v>
      </c>
      <c r="L50" s="392" t="s">
        <v>509</v>
      </c>
      <c r="M50" s="392"/>
      <c r="N50" s="393" t="s">
        <v>44</v>
      </c>
      <c r="O50" s="393" t="s">
        <v>51</v>
      </c>
      <c r="P50" s="393" t="s">
        <v>51</v>
      </c>
      <c r="Q50" s="392" t="s">
        <v>426</v>
      </c>
      <c r="R50" s="392" t="s">
        <v>3830</v>
      </c>
      <c r="S50" s="392" t="s">
        <v>256</v>
      </c>
      <c r="T50" s="394">
        <v>1</v>
      </c>
      <c r="U50" s="395">
        <v>24.283000000000001</v>
      </c>
      <c r="V50" s="395"/>
      <c r="W50" s="453"/>
      <c r="X50" s="394"/>
      <c r="Y50" s="394">
        <v>10</v>
      </c>
      <c r="Z50" s="394">
        <v>10</v>
      </c>
      <c r="AA50" s="395">
        <v>-0.5</v>
      </c>
      <c r="AB50" s="452">
        <v>41518</v>
      </c>
      <c r="AC50" s="398">
        <v>0</v>
      </c>
      <c r="AD50" s="398">
        <v>242.83</v>
      </c>
      <c r="AE50" s="393" t="s">
        <v>54</v>
      </c>
      <c r="AF50" s="417"/>
      <c r="AG50" s="417">
        <v>6.4690000000000003</v>
      </c>
      <c r="AH50" s="417">
        <v>6.4690000000000003</v>
      </c>
      <c r="AI50" s="394"/>
      <c r="AJ50" s="453"/>
      <c r="AK50" s="453"/>
      <c r="AL50" s="393"/>
      <c r="AM50" s="393"/>
      <c r="AN50" s="417"/>
      <c r="AO50" s="392" t="s">
        <v>54</v>
      </c>
      <c r="AP50" s="392"/>
      <c r="AQ50" s="392"/>
      <c r="AR50" s="392" t="s">
        <v>509</v>
      </c>
      <c r="AS50" s="480"/>
      <c r="AT50" s="453"/>
      <c r="AU50" s="453"/>
      <c r="AV50" s="453"/>
      <c r="AW50" s="453"/>
      <c r="AX50" s="453"/>
      <c r="AY50" s="453"/>
      <c r="AZ50" s="452">
        <v>41416</v>
      </c>
      <c r="BA50" s="393"/>
      <c r="BB50" s="393"/>
      <c r="BC50" s="393" t="b">
        <v>0</v>
      </c>
      <c r="BD50" s="393"/>
      <c r="BE50" s="392"/>
      <c r="BF50" s="394">
        <v>4</v>
      </c>
      <c r="BG50" s="394">
        <v>8</v>
      </c>
      <c r="BH50" s="394">
        <v>9</v>
      </c>
      <c r="BI50" s="394">
        <v>5</v>
      </c>
      <c r="BJ50" s="394">
        <v>7</v>
      </c>
      <c r="BK50" s="394"/>
      <c r="BL50" s="444" t="s">
        <v>1451</v>
      </c>
      <c r="BM50" s="392"/>
      <c r="BN50" s="393" t="s">
        <v>117</v>
      </c>
      <c r="BO50" s="393"/>
      <c r="BP50" s="399"/>
      <c r="BQ50" s="400"/>
      <c r="BR50" s="401"/>
      <c r="BS50" s="399"/>
      <c r="BT50" s="394"/>
      <c r="BU50" s="417"/>
      <c r="BV50" s="399"/>
      <c r="BW50" s="393" t="s">
        <v>3117</v>
      </c>
      <c r="BX50" s="392" t="s">
        <v>3831</v>
      </c>
      <c r="BY50" s="393"/>
      <c r="BZ50" s="393"/>
      <c r="CA50" s="441" t="s">
        <v>1664</v>
      </c>
      <c r="CB50" s="400">
        <v>3</v>
      </c>
      <c r="CC50" s="398"/>
      <c r="CD50" s="398"/>
      <c r="CE50" s="398"/>
      <c r="CF50" s="398"/>
      <c r="CG50" s="398"/>
      <c r="CH50" s="398"/>
      <c r="CI50" s="398">
        <v>26.268000000000001</v>
      </c>
      <c r="CJ50" s="398">
        <v>25.709</v>
      </c>
      <c r="CK50" s="398">
        <v>25.15</v>
      </c>
      <c r="CL50" s="398">
        <v>22.914000000000001</v>
      </c>
      <c r="CM50" s="398">
        <v>19.561</v>
      </c>
      <c r="CN50" s="398">
        <v>15.369</v>
      </c>
      <c r="CO50" s="398"/>
      <c r="CP50" s="398"/>
      <c r="CQ50" s="398"/>
      <c r="CR50" s="398"/>
      <c r="CS50" s="398"/>
      <c r="CT50" s="398"/>
      <c r="CU50" s="398"/>
      <c r="CV50" s="398"/>
      <c r="CW50" s="398"/>
      <c r="CX50" s="398"/>
      <c r="CY50" s="398"/>
      <c r="CZ50" s="398"/>
      <c r="DA50" s="398"/>
      <c r="DB50" s="398"/>
      <c r="DC50" s="398"/>
      <c r="DD50" s="398"/>
      <c r="DE50" s="393"/>
      <c r="DF50" s="393"/>
      <c r="DG50" s="393"/>
      <c r="DH50" s="393"/>
      <c r="DI50" s="393"/>
      <c r="DJ50" s="393"/>
      <c r="DK50" s="897"/>
    </row>
    <row r="51" spans="1:115" ht="63.75" x14ac:dyDescent="0.2">
      <c r="A51" s="295">
        <v>47</v>
      </c>
      <c r="B51" s="390" t="s">
        <v>386</v>
      </c>
      <c r="C51" s="424" t="s">
        <v>7425</v>
      </c>
      <c r="D51" s="391" t="s">
        <v>5011</v>
      </c>
      <c r="E51" s="705" t="s">
        <v>387</v>
      </c>
      <c r="F51" s="393" t="s">
        <v>1375</v>
      </c>
      <c r="G51" s="393" t="s">
        <v>998</v>
      </c>
      <c r="H51" s="393" t="s">
        <v>245</v>
      </c>
      <c r="I51" s="392"/>
      <c r="J51" s="392" t="s">
        <v>245</v>
      </c>
      <c r="K51" s="392"/>
      <c r="L51" s="392" t="s">
        <v>388</v>
      </c>
      <c r="M51" s="392" t="s">
        <v>3832</v>
      </c>
      <c r="N51" s="393" t="s">
        <v>44</v>
      </c>
      <c r="O51" s="393" t="s">
        <v>80</v>
      </c>
      <c r="P51" s="393" t="s">
        <v>80</v>
      </c>
      <c r="Q51" s="392" t="s">
        <v>380</v>
      </c>
      <c r="R51" s="392"/>
      <c r="S51" s="392" t="s">
        <v>153</v>
      </c>
      <c r="T51" s="394">
        <v>12</v>
      </c>
      <c r="U51" s="395">
        <v>116.988</v>
      </c>
      <c r="V51" s="395"/>
      <c r="W51" s="452">
        <v>40280</v>
      </c>
      <c r="X51" s="394">
        <v>21</v>
      </c>
      <c r="Y51" s="394"/>
      <c r="Z51" s="394"/>
      <c r="AA51" s="395"/>
      <c r="AB51" s="453"/>
      <c r="AC51" s="398">
        <v>136.84700000000001</v>
      </c>
      <c r="AD51" s="398">
        <v>1018.5257095890408</v>
      </c>
      <c r="AE51" s="393" t="s">
        <v>225</v>
      </c>
      <c r="AF51" s="417">
        <f>SUM(AF52:AF63)</f>
        <v>16.548999999999999</v>
      </c>
      <c r="AG51" s="417">
        <f>SUM(AG52:AG63)</f>
        <v>0</v>
      </c>
      <c r="AH51" s="417">
        <v>16.548999999999999</v>
      </c>
      <c r="AI51" s="394">
        <v>1</v>
      </c>
      <c r="AJ51" s="452">
        <v>42011</v>
      </c>
      <c r="AK51" s="452">
        <v>41029</v>
      </c>
      <c r="AL51" s="393"/>
      <c r="AM51" s="393"/>
      <c r="AN51" s="417">
        <f>0.322</f>
        <v>0.32200000000000001</v>
      </c>
      <c r="AO51" s="392"/>
      <c r="AP51" s="428" t="s">
        <v>9425</v>
      </c>
      <c r="AQ51" s="392"/>
      <c r="AR51" s="392" t="s">
        <v>274</v>
      </c>
      <c r="AS51" s="479">
        <v>39715</v>
      </c>
      <c r="AT51" s="453"/>
      <c r="AU51" s="453"/>
      <c r="AV51" s="452">
        <v>39483</v>
      </c>
      <c r="AW51" s="452">
        <v>40067</v>
      </c>
      <c r="AX51" s="453"/>
      <c r="AY51" s="452">
        <v>40280</v>
      </c>
      <c r="AZ51" s="453"/>
      <c r="BA51" s="393" t="s">
        <v>6982</v>
      </c>
      <c r="BB51" s="393" t="s">
        <v>3147</v>
      </c>
      <c r="BC51" s="393" t="b">
        <v>1</v>
      </c>
      <c r="BD51" s="393" t="s">
        <v>3116</v>
      </c>
      <c r="BE51" s="392"/>
      <c r="BF51" s="394">
        <v>1</v>
      </c>
      <c r="BG51" s="394">
        <v>6</v>
      </c>
      <c r="BH51" s="394">
        <v>5</v>
      </c>
      <c r="BI51" s="394">
        <v>9</v>
      </c>
      <c r="BJ51" s="394">
        <v>8</v>
      </c>
      <c r="BK51" s="394"/>
      <c r="BL51" s="444"/>
      <c r="BM51" s="392"/>
      <c r="BN51" s="393"/>
      <c r="BO51" s="393"/>
      <c r="BP51" s="399"/>
      <c r="BQ51" s="400"/>
      <c r="BR51" s="401"/>
      <c r="BS51" s="399">
        <v>0</v>
      </c>
      <c r="BT51" s="394"/>
      <c r="BU51" s="417"/>
      <c r="BV51" s="399"/>
      <c r="BW51" s="393"/>
      <c r="BX51" s="392"/>
      <c r="BY51" s="393"/>
      <c r="BZ51" s="393"/>
      <c r="CA51" s="441"/>
      <c r="CB51" s="400"/>
      <c r="CC51" s="398"/>
      <c r="CD51" s="398"/>
      <c r="CE51" s="398"/>
      <c r="CF51" s="398"/>
      <c r="CG51" s="398"/>
      <c r="CH51" s="398"/>
      <c r="CI51" s="398"/>
      <c r="CJ51" s="398"/>
      <c r="CK51" s="398"/>
      <c r="CL51" s="398"/>
      <c r="CM51" s="398"/>
      <c r="CN51" s="398"/>
      <c r="CO51" s="398"/>
      <c r="CP51" s="398"/>
      <c r="CQ51" s="398"/>
      <c r="CR51" s="398"/>
      <c r="CS51" s="398"/>
      <c r="CT51" s="398"/>
      <c r="CU51" s="398"/>
      <c r="CV51" s="398"/>
      <c r="CW51" s="398"/>
      <c r="CX51" s="398"/>
      <c r="CY51" s="398"/>
      <c r="CZ51" s="398"/>
      <c r="DA51" s="398"/>
      <c r="DB51" s="398"/>
      <c r="DC51" s="398"/>
      <c r="DD51" s="398"/>
      <c r="DE51" s="393"/>
      <c r="DF51" s="393"/>
      <c r="DG51" s="393"/>
      <c r="DH51" s="393"/>
      <c r="DI51" s="393"/>
      <c r="DJ51" s="393"/>
      <c r="DK51" s="896" t="s">
        <v>9701</v>
      </c>
    </row>
    <row r="52" spans="1:115" ht="38.25" x14ac:dyDescent="0.2">
      <c r="A52" s="295">
        <v>48</v>
      </c>
      <c r="B52" s="390" t="s">
        <v>2518</v>
      </c>
      <c r="C52" s="390"/>
      <c r="D52" s="391" t="s">
        <v>389</v>
      </c>
      <c r="E52" s="704" t="s">
        <v>390</v>
      </c>
      <c r="F52" s="393" t="s">
        <v>1375</v>
      </c>
      <c r="G52" s="393" t="s">
        <v>998</v>
      </c>
      <c r="H52" s="393" t="s">
        <v>245</v>
      </c>
      <c r="I52" s="392"/>
      <c r="J52" s="392"/>
      <c r="K52" s="392" t="s">
        <v>2222</v>
      </c>
      <c r="L52" s="392" t="s">
        <v>388</v>
      </c>
      <c r="M52" s="392"/>
      <c r="N52" s="393" t="s">
        <v>44</v>
      </c>
      <c r="O52" s="393" t="s">
        <v>80</v>
      </c>
      <c r="P52" s="393" t="s">
        <v>80</v>
      </c>
      <c r="Q52" s="392" t="s">
        <v>380</v>
      </c>
      <c r="R52" s="392" t="s">
        <v>3833</v>
      </c>
      <c r="S52" s="392" t="s">
        <v>153</v>
      </c>
      <c r="T52" s="394">
        <v>1</v>
      </c>
      <c r="U52" s="395">
        <v>8.3699999999999992</v>
      </c>
      <c r="V52" s="395"/>
      <c r="W52" s="453"/>
      <c r="X52" s="394"/>
      <c r="Y52" s="394">
        <v>7</v>
      </c>
      <c r="Z52" s="394">
        <v>15</v>
      </c>
      <c r="AA52" s="395">
        <v>1</v>
      </c>
      <c r="AB52" s="452">
        <v>39915</v>
      </c>
      <c r="AC52" s="398">
        <v>23.492000000000001</v>
      </c>
      <c r="AD52" s="398">
        <v>98.169780821917797</v>
      </c>
      <c r="AE52" s="393" t="s">
        <v>225</v>
      </c>
      <c r="AF52" s="417">
        <v>7.944</v>
      </c>
      <c r="AG52" s="417"/>
      <c r="AH52" s="417">
        <v>7.944</v>
      </c>
      <c r="AI52" s="394">
        <v>1</v>
      </c>
      <c r="AJ52" s="452">
        <v>42011</v>
      </c>
      <c r="AK52" s="452">
        <v>41029</v>
      </c>
      <c r="AL52" s="393"/>
      <c r="AM52" s="393"/>
      <c r="AN52" s="417"/>
      <c r="AO52" s="392"/>
      <c r="AP52" s="428" t="s">
        <v>9425</v>
      </c>
      <c r="AQ52" s="392"/>
      <c r="AR52" s="392" t="s">
        <v>274</v>
      </c>
      <c r="AS52" s="479">
        <v>39715</v>
      </c>
      <c r="AT52" s="397"/>
      <c r="AU52" s="397"/>
      <c r="AV52" s="453"/>
      <c r="AW52" s="453"/>
      <c r="AX52" s="453"/>
      <c r="AY52" s="453"/>
      <c r="AZ52" s="452">
        <v>40280</v>
      </c>
      <c r="BA52" s="393" t="s">
        <v>6982</v>
      </c>
      <c r="BB52" s="393"/>
      <c r="BC52" s="393" t="b">
        <v>0</v>
      </c>
      <c r="BD52" s="393"/>
      <c r="BE52" s="392"/>
      <c r="BF52" s="394">
        <v>1</v>
      </c>
      <c r="BG52" s="394">
        <v>6</v>
      </c>
      <c r="BH52" s="394">
        <v>5</v>
      </c>
      <c r="BI52" s="394">
        <v>9</v>
      </c>
      <c r="BJ52" s="394">
        <v>8</v>
      </c>
      <c r="BK52" s="394"/>
      <c r="BL52" s="444" t="s">
        <v>6981</v>
      </c>
      <c r="BM52" s="392"/>
      <c r="BN52" s="393"/>
      <c r="BO52" s="393"/>
      <c r="BP52" s="399"/>
      <c r="BQ52" s="400"/>
      <c r="BR52" s="401"/>
      <c r="BS52" s="399"/>
      <c r="BT52" s="394"/>
      <c r="BU52" s="417"/>
      <c r="BV52" s="399"/>
      <c r="BW52" s="393" t="s">
        <v>3165</v>
      </c>
      <c r="BX52" s="392" t="s">
        <v>3185</v>
      </c>
      <c r="BY52" s="393"/>
      <c r="BZ52" s="393"/>
      <c r="CA52" s="441"/>
      <c r="CB52" s="400"/>
      <c r="CC52" s="398"/>
      <c r="CD52" s="398"/>
      <c r="CE52" s="398">
        <v>2.0430000000000001</v>
      </c>
      <c r="CF52" s="398">
        <v>5.01</v>
      </c>
      <c r="CG52" s="398">
        <v>7.3120000000000003</v>
      </c>
      <c r="CH52" s="398">
        <v>9.1270000000000007</v>
      </c>
      <c r="CI52" s="398">
        <v>10.583</v>
      </c>
      <c r="CJ52" s="398">
        <v>11.768000000000001</v>
      </c>
      <c r="CK52" s="398">
        <v>12.747</v>
      </c>
      <c r="CL52" s="398"/>
      <c r="CM52" s="398"/>
      <c r="CN52" s="398"/>
      <c r="CO52" s="398"/>
      <c r="CP52" s="398"/>
      <c r="CQ52" s="398"/>
      <c r="CR52" s="398"/>
      <c r="CS52" s="398"/>
      <c r="CT52" s="398"/>
      <c r="CU52" s="398"/>
      <c r="CV52" s="398"/>
      <c r="CW52" s="398"/>
      <c r="CX52" s="398"/>
      <c r="CY52" s="398"/>
      <c r="CZ52" s="398"/>
      <c r="DA52" s="398"/>
      <c r="DB52" s="398"/>
      <c r="DC52" s="398"/>
      <c r="DD52" s="398"/>
      <c r="DE52" s="393"/>
      <c r="DF52" s="393"/>
      <c r="DG52" s="393"/>
      <c r="DH52" s="393"/>
      <c r="DI52" s="393"/>
      <c r="DJ52" s="393"/>
      <c r="DK52" s="897"/>
    </row>
    <row r="53" spans="1:115" ht="38.25" x14ac:dyDescent="0.2">
      <c r="A53" s="295">
        <v>49</v>
      </c>
      <c r="B53" s="390" t="s">
        <v>2519</v>
      </c>
      <c r="C53" s="390"/>
      <c r="D53" s="391" t="s">
        <v>391</v>
      </c>
      <c r="E53" s="704" t="s">
        <v>1839</v>
      </c>
      <c r="F53" s="393" t="s">
        <v>1375</v>
      </c>
      <c r="G53" s="393" t="s">
        <v>998</v>
      </c>
      <c r="H53" s="393" t="s">
        <v>245</v>
      </c>
      <c r="I53" s="392"/>
      <c r="J53" s="392"/>
      <c r="K53" s="392"/>
      <c r="L53" s="392" t="s">
        <v>388</v>
      </c>
      <c r="M53" s="392"/>
      <c r="N53" s="393" t="s">
        <v>44</v>
      </c>
      <c r="O53" s="393" t="s">
        <v>80</v>
      </c>
      <c r="P53" s="393" t="s">
        <v>80</v>
      </c>
      <c r="Q53" s="392" t="s">
        <v>380</v>
      </c>
      <c r="R53" s="392" t="s">
        <v>3833</v>
      </c>
      <c r="S53" s="392" t="s">
        <v>153</v>
      </c>
      <c r="T53" s="394">
        <v>1</v>
      </c>
      <c r="U53" s="395">
        <v>10.173</v>
      </c>
      <c r="V53" s="395"/>
      <c r="W53" s="453"/>
      <c r="X53" s="394"/>
      <c r="Y53" s="394">
        <v>7</v>
      </c>
      <c r="Z53" s="394">
        <v>15</v>
      </c>
      <c r="AA53" s="395">
        <v>1.5</v>
      </c>
      <c r="AB53" s="452">
        <v>40652</v>
      </c>
      <c r="AC53" s="398">
        <v>17.303999999999998</v>
      </c>
      <c r="AD53" s="398">
        <v>98.775649315068492</v>
      </c>
      <c r="AE53" s="393" t="s">
        <v>225</v>
      </c>
      <c r="AF53" s="417">
        <v>0.89200000000000002</v>
      </c>
      <c r="AG53" s="417"/>
      <c r="AH53" s="417">
        <v>0.89200000000000002</v>
      </c>
      <c r="AI53" s="394">
        <v>1</v>
      </c>
      <c r="AJ53" s="452">
        <v>42011</v>
      </c>
      <c r="AK53" s="452">
        <v>41029</v>
      </c>
      <c r="AL53" s="393"/>
      <c r="AM53" s="393"/>
      <c r="AN53" s="417"/>
      <c r="AO53" s="392"/>
      <c r="AP53" s="392"/>
      <c r="AQ53" s="392"/>
      <c r="AR53" s="392" t="s">
        <v>274</v>
      </c>
      <c r="AS53" s="480"/>
      <c r="AT53" s="397"/>
      <c r="AU53" s="397"/>
      <c r="AV53" s="453"/>
      <c r="AW53" s="453"/>
      <c r="AX53" s="453"/>
      <c r="AY53" s="453"/>
      <c r="AZ53" s="452">
        <v>40287</v>
      </c>
      <c r="BA53" s="393" t="s">
        <v>6982</v>
      </c>
      <c r="BB53" s="393"/>
      <c r="BC53" s="393" t="b">
        <v>0</v>
      </c>
      <c r="BD53" s="393"/>
      <c r="BE53" s="392"/>
      <c r="BF53" s="394">
        <v>1</v>
      </c>
      <c r="BG53" s="394">
        <v>6</v>
      </c>
      <c r="BH53" s="394">
        <v>5</v>
      </c>
      <c r="BI53" s="394">
        <v>9</v>
      </c>
      <c r="BJ53" s="394">
        <v>8</v>
      </c>
      <c r="BK53" s="394"/>
      <c r="BL53" s="444" t="s">
        <v>6981</v>
      </c>
      <c r="BM53" s="392"/>
      <c r="BN53" s="393"/>
      <c r="BO53" s="393"/>
      <c r="BP53" s="399"/>
      <c r="BQ53" s="400"/>
      <c r="BR53" s="401"/>
      <c r="BS53" s="399"/>
      <c r="BT53" s="394"/>
      <c r="BU53" s="417"/>
      <c r="BV53" s="399"/>
      <c r="BW53" s="393" t="s">
        <v>3165</v>
      </c>
      <c r="BX53" s="392" t="s">
        <v>3185</v>
      </c>
      <c r="BY53" s="393"/>
      <c r="BZ53" s="393"/>
      <c r="CA53" s="441"/>
      <c r="CB53" s="400"/>
      <c r="CC53" s="398"/>
      <c r="CD53" s="398"/>
      <c r="CE53" s="398"/>
      <c r="CF53" s="398"/>
      <c r="CG53" s="398">
        <v>5.258</v>
      </c>
      <c r="CH53" s="398">
        <v>7.5709999999999997</v>
      </c>
      <c r="CI53" s="398">
        <v>9.3610000000000007</v>
      </c>
      <c r="CJ53" s="398">
        <v>10.77</v>
      </c>
      <c r="CK53" s="398">
        <v>11.894</v>
      </c>
      <c r="CL53" s="398">
        <v>12.805</v>
      </c>
      <c r="CM53" s="398">
        <v>13.553000000000001</v>
      </c>
      <c r="CN53" s="398"/>
      <c r="CO53" s="398"/>
      <c r="CP53" s="398"/>
      <c r="CQ53" s="398"/>
      <c r="CR53" s="398"/>
      <c r="CS53" s="398"/>
      <c r="CT53" s="398"/>
      <c r="CU53" s="398"/>
      <c r="CV53" s="398"/>
      <c r="CW53" s="398"/>
      <c r="CX53" s="398"/>
      <c r="CY53" s="398"/>
      <c r="CZ53" s="398"/>
      <c r="DA53" s="398"/>
      <c r="DB53" s="398"/>
      <c r="DC53" s="398"/>
      <c r="DD53" s="398"/>
      <c r="DE53" s="393"/>
      <c r="DF53" s="393"/>
      <c r="DG53" s="393"/>
      <c r="DH53" s="393"/>
      <c r="DI53" s="393"/>
      <c r="DJ53" s="393"/>
      <c r="DK53" s="897"/>
    </row>
    <row r="54" spans="1:115" ht="38.25" x14ac:dyDescent="0.2">
      <c r="A54" s="295">
        <v>50</v>
      </c>
      <c r="B54" s="390" t="s">
        <v>2520</v>
      </c>
      <c r="C54" s="390"/>
      <c r="D54" s="391" t="s">
        <v>1840</v>
      </c>
      <c r="E54" s="704" t="s">
        <v>1841</v>
      </c>
      <c r="F54" s="393" t="s">
        <v>1375</v>
      </c>
      <c r="G54" s="393" t="s">
        <v>998</v>
      </c>
      <c r="H54" s="393" t="s">
        <v>245</v>
      </c>
      <c r="I54" s="392"/>
      <c r="J54" s="392"/>
      <c r="K54" s="392" t="s">
        <v>2150</v>
      </c>
      <c r="L54" s="392" t="s">
        <v>388</v>
      </c>
      <c r="M54" s="392"/>
      <c r="N54" s="393" t="s">
        <v>44</v>
      </c>
      <c r="O54" s="393" t="s">
        <v>80</v>
      </c>
      <c r="P54" s="393" t="s">
        <v>80</v>
      </c>
      <c r="Q54" s="392" t="s">
        <v>380</v>
      </c>
      <c r="R54" s="392" t="s">
        <v>3833</v>
      </c>
      <c r="S54" s="392" t="s">
        <v>153</v>
      </c>
      <c r="T54" s="394">
        <v>1</v>
      </c>
      <c r="U54" s="395">
        <v>10.173</v>
      </c>
      <c r="V54" s="395"/>
      <c r="W54" s="453"/>
      <c r="X54" s="394"/>
      <c r="Y54" s="394">
        <v>7</v>
      </c>
      <c r="Z54" s="394">
        <v>15</v>
      </c>
      <c r="AA54" s="395">
        <v>1.833</v>
      </c>
      <c r="AB54" s="452">
        <v>40652</v>
      </c>
      <c r="AC54" s="398">
        <v>14.326000000000001</v>
      </c>
      <c r="AD54" s="398">
        <v>98.775649315068492</v>
      </c>
      <c r="AE54" s="393" t="s">
        <v>225</v>
      </c>
      <c r="AF54" s="417">
        <v>1.4159999999999999</v>
      </c>
      <c r="AG54" s="417"/>
      <c r="AH54" s="417">
        <v>1.4159999999999999</v>
      </c>
      <c r="AI54" s="394">
        <v>1</v>
      </c>
      <c r="AJ54" s="452">
        <v>42011</v>
      </c>
      <c r="AK54" s="452">
        <v>41029</v>
      </c>
      <c r="AL54" s="393"/>
      <c r="AM54" s="393"/>
      <c r="AN54" s="417"/>
      <c r="AO54" s="392"/>
      <c r="AP54" s="392"/>
      <c r="AQ54" s="392"/>
      <c r="AR54" s="392" t="s">
        <v>274</v>
      </c>
      <c r="AS54" s="480"/>
      <c r="AT54" s="453"/>
      <c r="AU54" s="453"/>
      <c r="AV54" s="453"/>
      <c r="AW54" s="453"/>
      <c r="AX54" s="453"/>
      <c r="AY54" s="453"/>
      <c r="AZ54" s="452">
        <v>40652</v>
      </c>
      <c r="BA54" s="393"/>
      <c r="BB54" s="393"/>
      <c r="BC54" s="393" t="b">
        <v>0</v>
      </c>
      <c r="BD54" s="393"/>
      <c r="BE54" s="392"/>
      <c r="BF54" s="394">
        <v>1</v>
      </c>
      <c r="BG54" s="394">
        <v>6</v>
      </c>
      <c r="BH54" s="394">
        <v>5</v>
      </c>
      <c r="BI54" s="394">
        <v>9</v>
      </c>
      <c r="BJ54" s="394">
        <v>8</v>
      </c>
      <c r="BK54" s="394"/>
      <c r="BL54" s="444" t="s">
        <v>6981</v>
      </c>
      <c r="BM54" s="392"/>
      <c r="BN54" s="393"/>
      <c r="BO54" s="393"/>
      <c r="BP54" s="399"/>
      <c r="BQ54" s="400"/>
      <c r="BR54" s="401"/>
      <c r="BS54" s="399"/>
      <c r="BT54" s="394"/>
      <c r="BU54" s="417"/>
      <c r="BV54" s="399"/>
      <c r="BW54" s="393" t="s">
        <v>3165</v>
      </c>
      <c r="BX54" s="392" t="s">
        <v>3185</v>
      </c>
      <c r="BY54" s="393"/>
      <c r="BZ54" s="393"/>
      <c r="CA54" s="441"/>
      <c r="CB54" s="400"/>
      <c r="CC54" s="398"/>
      <c r="CD54" s="398"/>
      <c r="CE54" s="398"/>
      <c r="CF54" s="398"/>
      <c r="CG54" s="398">
        <v>2.2349999999999999</v>
      </c>
      <c r="CH54" s="398">
        <v>5.2389999999999999</v>
      </c>
      <c r="CI54" s="398">
        <v>7.5010000000000003</v>
      </c>
      <c r="CJ54" s="398">
        <v>9.2319999999999993</v>
      </c>
      <c r="CK54" s="398">
        <v>10.581</v>
      </c>
      <c r="CL54" s="398">
        <v>11.651999999999999</v>
      </c>
      <c r="CM54" s="398">
        <v>12.515000000000001</v>
      </c>
      <c r="CN54" s="398"/>
      <c r="CO54" s="398"/>
      <c r="CP54" s="398"/>
      <c r="CQ54" s="398"/>
      <c r="CR54" s="398"/>
      <c r="CS54" s="398"/>
      <c r="CT54" s="398"/>
      <c r="CU54" s="398"/>
      <c r="CV54" s="398"/>
      <c r="CW54" s="398"/>
      <c r="CX54" s="398"/>
      <c r="CY54" s="398"/>
      <c r="CZ54" s="398"/>
      <c r="DA54" s="398"/>
      <c r="DB54" s="398"/>
      <c r="DC54" s="398"/>
      <c r="DD54" s="398"/>
      <c r="DE54" s="393"/>
      <c r="DF54" s="393"/>
      <c r="DG54" s="393"/>
      <c r="DH54" s="393"/>
      <c r="DI54" s="393"/>
      <c r="DJ54" s="393"/>
      <c r="DK54" s="897"/>
    </row>
    <row r="55" spans="1:115" ht="38.25" x14ac:dyDescent="0.2">
      <c r="A55" s="295">
        <v>51</v>
      </c>
      <c r="B55" s="390" t="s">
        <v>2521</v>
      </c>
      <c r="C55" s="390"/>
      <c r="D55" s="391" t="s">
        <v>1842</v>
      </c>
      <c r="E55" s="704" t="s">
        <v>1843</v>
      </c>
      <c r="F55" s="393" t="s">
        <v>1375</v>
      </c>
      <c r="G55" s="393" t="s">
        <v>998</v>
      </c>
      <c r="H55" s="393" t="s">
        <v>245</v>
      </c>
      <c r="I55" s="392"/>
      <c r="J55" s="392"/>
      <c r="K55" s="392" t="s">
        <v>2150</v>
      </c>
      <c r="L55" s="392" t="s">
        <v>388</v>
      </c>
      <c r="M55" s="392"/>
      <c r="N55" s="393" t="s">
        <v>44</v>
      </c>
      <c r="O55" s="393" t="s">
        <v>80</v>
      </c>
      <c r="P55" s="393" t="s">
        <v>80</v>
      </c>
      <c r="Q55" s="392" t="s">
        <v>380</v>
      </c>
      <c r="R55" s="392" t="s">
        <v>3833</v>
      </c>
      <c r="S55" s="392" t="s">
        <v>153</v>
      </c>
      <c r="T55" s="394">
        <v>1</v>
      </c>
      <c r="U55" s="395">
        <v>8.8379999999999992</v>
      </c>
      <c r="V55" s="395"/>
      <c r="W55" s="453"/>
      <c r="X55" s="394"/>
      <c r="Y55" s="394">
        <v>7</v>
      </c>
      <c r="Z55" s="394">
        <v>15</v>
      </c>
      <c r="AA55" s="395">
        <v>1.66</v>
      </c>
      <c r="AB55" s="452">
        <v>40652</v>
      </c>
      <c r="AC55" s="398">
        <v>15.032999999999999</v>
      </c>
      <c r="AD55" s="398">
        <v>85.813347945205464</v>
      </c>
      <c r="AE55" s="393" t="s">
        <v>225</v>
      </c>
      <c r="AF55" s="417">
        <v>0.89400000000000002</v>
      </c>
      <c r="AG55" s="417"/>
      <c r="AH55" s="417">
        <v>0.89400000000000002</v>
      </c>
      <c r="AI55" s="394">
        <v>1</v>
      </c>
      <c r="AJ55" s="452">
        <v>42011</v>
      </c>
      <c r="AK55" s="452">
        <v>41029</v>
      </c>
      <c r="AL55" s="393"/>
      <c r="AM55" s="393"/>
      <c r="AN55" s="417"/>
      <c r="AO55" s="392"/>
      <c r="AP55" s="392"/>
      <c r="AQ55" s="392"/>
      <c r="AR55" s="392" t="s">
        <v>274</v>
      </c>
      <c r="AS55" s="480"/>
      <c r="AT55" s="453"/>
      <c r="AU55" s="453"/>
      <c r="AV55" s="453"/>
      <c r="AW55" s="453"/>
      <c r="AX55" s="453"/>
      <c r="AY55" s="453"/>
      <c r="AZ55" s="452">
        <v>40652</v>
      </c>
      <c r="BA55" s="393"/>
      <c r="BB55" s="393"/>
      <c r="BC55" s="393" t="b">
        <v>0</v>
      </c>
      <c r="BD55" s="393"/>
      <c r="BE55" s="392"/>
      <c r="BF55" s="394">
        <v>1</v>
      </c>
      <c r="BG55" s="394">
        <v>6</v>
      </c>
      <c r="BH55" s="394">
        <v>5</v>
      </c>
      <c r="BI55" s="394">
        <v>9</v>
      </c>
      <c r="BJ55" s="394">
        <v>8</v>
      </c>
      <c r="BK55" s="394"/>
      <c r="BL55" s="444" t="s">
        <v>6981</v>
      </c>
      <c r="BM55" s="392"/>
      <c r="BN55" s="393"/>
      <c r="BO55" s="393"/>
      <c r="BP55" s="399"/>
      <c r="BQ55" s="400"/>
      <c r="BR55" s="401"/>
      <c r="BS55" s="399"/>
      <c r="BT55" s="394"/>
      <c r="BU55" s="417"/>
      <c r="BV55" s="399"/>
      <c r="BW55" s="393" t="s">
        <v>3165</v>
      </c>
      <c r="BX55" s="392" t="s">
        <v>3185</v>
      </c>
      <c r="BY55" s="393"/>
      <c r="BZ55" s="393"/>
      <c r="CA55" s="441"/>
      <c r="CB55" s="400"/>
      <c r="CC55" s="398"/>
      <c r="CD55" s="398"/>
      <c r="CE55" s="398"/>
      <c r="CF55" s="398"/>
      <c r="CG55" s="398">
        <v>2.5350000000000001</v>
      </c>
      <c r="CH55" s="398">
        <v>5.6920000000000002</v>
      </c>
      <c r="CI55" s="398">
        <v>8.0060000000000002</v>
      </c>
      <c r="CJ55" s="398">
        <v>9.7289999999999992</v>
      </c>
      <c r="CK55" s="398">
        <v>11.035</v>
      </c>
      <c r="CL55" s="398">
        <v>12.041</v>
      </c>
      <c r="CM55" s="398">
        <v>12.831</v>
      </c>
      <c r="CN55" s="398"/>
      <c r="CO55" s="398"/>
      <c r="CP55" s="398"/>
      <c r="CQ55" s="398"/>
      <c r="CR55" s="398"/>
      <c r="CS55" s="398"/>
      <c r="CT55" s="398"/>
      <c r="CU55" s="398"/>
      <c r="CV55" s="398"/>
      <c r="CW55" s="398"/>
      <c r="CX55" s="398"/>
      <c r="CY55" s="398"/>
      <c r="CZ55" s="398"/>
      <c r="DA55" s="398"/>
      <c r="DB55" s="398"/>
      <c r="DC55" s="398"/>
      <c r="DD55" s="398"/>
      <c r="DE55" s="393"/>
      <c r="DF55" s="393"/>
      <c r="DG55" s="393"/>
      <c r="DH55" s="393"/>
      <c r="DI55" s="393"/>
      <c r="DJ55" s="393"/>
      <c r="DK55" s="897"/>
    </row>
    <row r="56" spans="1:115" ht="38.25" x14ac:dyDescent="0.2">
      <c r="A56" s="295">
        <v>52</v>
      </c>
      <c r="B56" s="390" t="s">
        <v>2522</v>
      </c>
      <c r="C56" s="390"/>
      <c r="D56" s="391" t="s">
        <v>1844</v>
      </c>
      <c r="E56" s="704" t="s">
        <v>1845</v>
      </c>
      <c r="F56" s="393" t="s">
        <v>1375</v>
      </c>
      <c r="G56" s="393" t="s">
        <v>998</v>
      </c>
      <c r="H56" s="393" t="s">
        <v>245</v>
      </c>
      <c r="I56" s="392"/>
      <c r="J56" s="392"/>
      <c r="K56" s="392" t="s">
        <v>2280</v>
      </c>
      <c r="L56" s="392" t="s">
        <v>388</v>
      </c>
      <c r="M56" s="392"/>
      <c r="N56" s="393" t="s">
        <v>44</v>
      </c>
      <c r="O56" s="393" t="s">
        <v>80</v>
      </c>
      <c r="P56" s="393" t="s">
        <v>80</v>
      </c>
      <c r="Q56" s="392" t="s">
        <v>380</v>
      </c>
      <c r="R56" s="392" t="s">
        <v>3833</v>
      </c>
      <c r="S56" s="392" t="s">
        <v>153</v>
      </c>
      <c r="T56" s="394">
        <v>1</v>
      </c>
      <c r="U56" s="395">
        <v>9.6129999999999995</v>
      </c>
      <c r="V56" s="395"/>
      <c r="W56" s="453"/>
      <c r="X56" s="394"/>
      <c r="Y56" s="394">
        <v>7</v>
      </c>
      <c r="Z56" s="394">
        <v>15</v>
      </c>
      <c r="AA56" s="395">
        <v>1.33</v>
      </c>
      <c r="AB56" s="452">
        <v>40652</v>
      </c>
      <c r="AC56" s="398">
        <v>16.352</v>
      </c>
      <c r="AD56" s="398">
        <v>93.338279452054792</v>
      </c>
      <c r="AE56" s="393" t="s">
        <v>225</v>
      </c>
      <c r="AF56" s="417">
        <v>0.81200000000000006</v>
      </c>
      <c r="AG56" s="417"/>
      <c r="AH56" s="417">
        <v>0.81200000000000006</v>
      </c>
      <c r="AI56" s="394">
        <v>1</v>
      </c>
      <c r="AJ56" s="452">
        <v>42011</v>
      </c>
      <c r="AK56" s="452">
        <v>41029</v>
      </c>
      <c r="AL56" s="393"/>
      <c r="AM56" s="393"/>
      <c r="AN56" s="417"/>
      <c r="AO56" s="392"/>
      <c r="AP56" s="392"/>
      <c r="AQ56" s="392"/>
      <c r="AR56" s="392" t="s">
        <v>274</v>
      </c>
      <c r="AS56" s="480"/>
      <c r="AT56" s="453"/>
      <c r="AU56" s="453"/>
      <c r="AV56" s="453"/>
      <c r="AW56" s="453"/>
      <c r="AX56" s="453"/>
      <c r="AY56" s="453"/>
      <c r="AZ56" s="452">
        <v>40652</v>
      </c>
      <c r="BA56" s="393"/>
      <c r="BB56" s="393"/>
      <c r="BC56" s="393" t="b">
        <v>0</v>
      </c>
      <c r="BD56" s="393"/>
      <c r="BE56" s="392"/>
      <c r="BF56" s="394">
        <v>1</v>
      </c>
      <c r="BG56" s="394">
        <v>6</v>
      </c>
      <c r="BH56" s="394">
        <v>5</v>
      </c>
      <c r="BI56" s="394">
        <v>9</v>
      </c>
      <c r="BJ56" s="394">
        <v>8</v>
      </c>
      <c r="BK56" s="394"/>
      <c r="BL56" s="444" t="s">
        <v>6981</v>
      </c>
      <c r="BM56" s="392"/>
      <c r="BN56" s="393"/>
      <c r="BO56" s="393"/>
      <c r="BP56" s="399"/>
      <c r="BQ56" s="400"/>
      <c r="BR56" s="401"/>
      <c r="BS56" s="399"/>
      <c r="BT56" s="394"/>
      <c r="BU56" s="417"/>
      <c r="BV56" s="399"/>
      <c r="BW56" s="393" t="s">
        <v>3165</v>
      </c>
      <c r="BX56" s="392" t="s">
        <v>3185</v>
      </c>
      <c r="BY56" s="393"/>
      <c r="BZ56" s="393"/>
      <c r="CA56" s="441"/>
      <c r="CB56" s="400"/>
      <c r="CC56" s="398"/>
      <c r="CD56" s="398"/>
      <c r="CE56" s="398"/>
      <c r="CF56" s="398"/>
      <c r="CG56" s="398">
        <v>5.0019999999999998</v>
      </c>
      <c r="CH56" s="398">
        <v>7.1840000000000002</v>
      </c>
      <c r="CI56" s="398">
        <v>8.8650000000000002</v>
      </c>
      <c r="CJ56" s="398">
        <v>10.18</v>
      </c>
      <c r="CK56" s="398">
        <v>11.226000000000001</v>
      </c>
      <c r="CL56" s="398">
        <v>12.071</v>
      </c>
      <c r="CM56" s="398">
        <v>12.763</v>
      </c>
      <c r="CN56" s="398"/>
      <c r="CO56" s="398"/>
      <c r="CP56" s="398"/>
      <c r="CQ56" s="398"/>
      <c r="CR56" s="398"/>
      <c r="CS56" s="398"/>
      <c r="CT56" s="398"/>
      <c r="CU56" s="398"/>
      <c r="CV56" s="398"/>
      <c r="CW56" s="398"/>
      <c r="CX56" s="398"/>
      <c r="CY56" s="398"/>
      <c r="CZ56" s="398"/>
      <c r="DA56" s="398"/>
      <c r="DB56" s="398"/>
      <c r="DC56" s="398"/>
      <c r="DD56" s="398"/>
      <c r="DE56" s="393"/>
      <c r="DF56" s="393"/>
      <c r="DG56" s="393"/>
      <c r="DH56" s="393"/>
      <c r="DI56" s="393"/>
      <c r="DJ56" s="393"/>
      <c r="DK56" s="897"/>
    </row>
    <row r="57" spans="1:115" ht="38.25" x14ac:dyDescent="0.2">
      <c r="A57" s="295">
        <v>53</v>
      </c>
      <c r="B57" s="390" t="s">
        <v>2523</v>
      </c>
      <c r="C57" s="390"/>
      <c r="D57" s="391" t="s">
        <v>1846</v>
      </c>
      <c r="E57" s="704" t="s">
        <v>1847</v>
      </c>
      <c r="F57" s="393" t="s">
        <v>1375</v>
      </c>
      <c r="G57" s="393" t="s">
        <v>998</v>
      </c>
      <c r="H57" s="393" t="s">
        <v>245</v>
      </c>
      <c r="I57" s="392"/>
      <c r="J57" s="392"/>
      <c r="K57" s="392" t="s">
        <v>2222</v>
      </c>
      <c r="L57" s="392" t="s">
        <v>388</v>
      </c>
      <c r="M57" s="392"/>
      <c r="N57" s="393" t="s">
        <v>44</v>
      </c>
      <c r="O57" s="393" t="s">
        <v>80</v>
      </c>
      <c r="P57" s="393" t="s">
        <v>80</v>
      </c>
      <c r="Q57" s="392" t="s">
        <v>380</v>
      </c>
      <c r="R57" s="392" t="s">
        <v>3833</v>
      </c>
      <c r="S57" s="392" t="s">
        <v>153</v>
      </c>
      <c r="T57" s="394">
        <v>1</v>
      </c>
      <c r="U57" s="395">
        <v>9.7880000000000003</v>
      </c>
      <c r="V57" s="395"/>
      <c r="W57" s="453"/>
      <c r="X57" s="394"/>
      <c r="Y57" s="394">
        <v>7</v>
      </c>
      <c r="Z57" s="394">
        <v>15</v>
      </c>
      <c r="AA57" s="395">
        <v>1.38</v>
      </c>
      <c r="AB57" s="452">
        <v>40652</v>
      </c>
      <c r="AC57" s="398">
        <v>16.649000000000001</v>
      </c>
      <c r="AD57" s="398">
        <v>95.03745753424657</v>
      </c>
      <c r="AE57" s="393" t="s">
        <v>225</v>
      </c>
      <c r="AF57" s="417">
        <v>2.0910000000000002</v>
      </c>
      <c r="AG57" s="417"/>
      <c r="AH57" s="417">
        <v>2.0910000000000002</v>
      </c>
      <c r="AI57" s="394">
        <v>1</v>
      </c>
      <c r="AJ57" s="452">
        <v>42011</v>
      </c>
      <c r="AK57" s="452">
        <v>41029</v>
      </c>
      <c r="AL57" s="393"/>
      <c r="AM57" s="393"/>
      <c r="AN57" s="417"/>
      <c r="AO57" s="392"/>
      <c r="AP57" s="392"/>
      <c r="AQ57" s="392"/>
      <c r="AR57" s="392" t="s">
        <v>274</v>
      </c>
      <c r="AS57" s="480"/>
      <c r="AT57" s="397"/>
      <c r="AU57" s="397"/>
      <c r="AV57" s="453"/>
      <c r="AW57" s="453"/>
      <c r="AX57" s="453"/>
      <c r="AY57" s="453"/>
      <c r="AZ57" s="452">
        <v>40652</v>
      </c>
      <c r="BA57" s="393"/>
      <c r="BB57" s="393"/>
      <c r="BC57" s="393" t="b">
        <v>0</v>
      </c>
      <c r="BD57" s="393"/>
      <c r="BE57" s="392"/>
      <c r="BF57" s="394">
        <v>1</v>
      </c>
      <c r="BG57" s="394">
        <v>6</v>
      </c>
      <c r="BH57" s="394">
        <v>5</v>
      </c>
      <c r="BI57" s="394">
        <v>9</v>
      </c>
      <c r="BJ57" s="394">
        <v>8</v>
      </c>
      <c r="BK57" s="394"/>
      <c r="BL57" s="444" t="s">
        <v>6981</v>
      </c>
      <c r="BM57" s="392"/>
      <c r="BN57" s="393"/>
      <c r="BO57" s="393"/>
      <c r="BP57" s="399"/>
      <c r="BQ57" s="400"/>
      <c r="BR57" s="401"/>
      <c r="BS57" s="399"/>
      <c r="BT57" s="394"/>
      <c r="BU57" s="417"/>
      <c r="BV57" s="399"/>
      <c r="BW57" s="393" t="s">
        <v>3165</v>
      </c>
      <c r="BX57" s="392" t="s">
        <v>3185</v>
      </c>
      <c r="BY57" s="393"/>
      <c r="BZ57" s="393"/>
      <c r="CA57" s="441"/>
      <c r="CB57" s="400"/>
      <c r="CC57" s="398"/>
      <c r="CD57" s="398"/>
      <c r="CE57" s="398"/>
      <c r="CF57" s="398"/>
      <c r="CG57" s="398">
        <v>4.9290000000000003</v>
      </c>
      <c r="CH57" s="398">
        <v>7.173</v>
      </c>
      <c r="CI57" s="398">
        <v>8.9369999999999994</v>
      </c>
      <c r="CJ57" s="398">
        <v>10.346</v>
      </c>
      <c r="CK57" s="398">
        <v>11.489000000000001</v>
      </c>
      <c r="CL57" s="398">
        <v>12.429</v>
      </c>
      <c r="CM57" s="398">
        <v>13.212999999999999</v>
      </c>
      <c r="CN57" s="398"/>
      <c r="CO57" s="398"/>
      <c r="CP57" s="398"/>
      <c r="CQ57" s="398"/>
      <c r="CR57" s="398"/>
      <c r="CS57" s="398"/>
      <c r="CT57" s="398"/>
      <c r="CU57" s="398"/>
      <c r="CV57" s="398"/>
      <c r="CW57" s="398"/>
      <c r="CX57" s="398"/>
      <c r="CY57" s="398"/>
      <c r="CZ57" s="398"/>
      <c r="DA57" s="398"/>
      <c r="DB57" s="398"/>
      <c r="DC57" s="398"/>
      <c r="DD57" s="398"/>
      <c r="DE57" s="393"/>
      <c r="DF57" s="393"/>
      <c r="DG57" s="393"/>
      <c r="DH57" s="393"/>
      <c r="DI57" s="393"/>
      <c r="DJ57" s="393"/>
      <c r="DK57" s="897"/>
    </row>
    <row r="58" spans="1:115" ht="38.25" x14ac:dyDescent="0.2">
      <c r="A58" s="295">
        <v>54</v>
      </c>
      <c r="B58" s="390" t="s">
        <v>2524</v>
      </c>
      <c r="C58" s="390"/>
      <c r="D58" s="391" t="s">
        <v>1848</v>
      </c>
      <c r="E58" s="704" t="s">
        <v>1849</v>
      </c>
      <c r="F58" s="393" t="s">
        <v>1375</v>
      </c>
      <c r="G58" s="393" t="s">
        <v>998</v>
      </c>
      <c r="H58" s="393" t="s">
        <v>245</v>
      </c>
      <c r="I58" s="392"/>
      <c r="J58" s="392"/>
      <c r="K58" s="392" t="s">
        <v>2166</v>
      </c>
      <c r="L58" s="392" t="s">
        <v>388</v>
      </c>
      <c r="M58" s="392"/>
      <c r="N58" s="393" t="s">
        <v>44</v>
      </c>
      <c r="O58" s="393" t="s">
        <v>80</v>
      </c>
      <c r="P58" s="393" t="s">
        <v>80</v>
      </c>
      <c r="Q58" s="392" t="s">
        <v>380</v>
      </c>
      <c r="R58" s="392" t="s">
        <v>3833</v>
      </c>
      <c r="S58" s="392" t="s">
        <v>153</v>
      </c>
      <c r="T58" s="394">
        <v>1</v>
      </c>
      <c r="U58" s="395">
        <v>10.23</v>
      </c>
      <c r="V58" s="395"/>
      <c r="W58" s="453"/>
      <c r="X58" s="394"/>
      <c r="Y58" s="394">
        <v>7</v>
      </c>
      <c r="Z58" s="394">
        <v>15</v>
      </c>
      <c r="AA58" s="395">
        <v>1.46</v>
      </c>
      <c r="AB58" s="452">
        <v>40652</v>
      </c>
      <c r="AC58" s="398">
        <v>17.401</v>
      </c>
      <c r="AD58" s="398">
        <v>99.329095890410969</v>
      </c>
      <c r="AE58" s="393" t="s">
        <v>225</v>
      </c>
      <c r="AF58" s="417">
        <v>1.302</v>
      </c>
      <c r="AG58" s="417"/>
      <c r="AH58" s="417">
        <v>1.302</v>
      </c>
      <c r="AI58" s="394">
        <v>1</v>
      </c>
      <c r="AJ58" s="452">
        <v>42011</v>
      </c>
      <c r="AK58" s="452">
        <v>41029</v>
      </c>
      <c r="AL58" s="393"/>
      <c r="AM58" s="393"/>
      <c r="AN58" s="417"/>
      <c r="AO58" s="392"/>
      <c r="AP58" s="392"/>
      <c r="AQ58" s="392"/>
      <c r="AR58" s="392" t="s">
        <v>274</v>
      </c>
      <c r="AS58" s="480"/>
      <c r="AT58" s="453"/>
      <c r="AU58" s="453"/>
      <c r="AV58" s="453"/>
      <c r="AW58" s="453"/>
      <c r="AX58" s="453"/>
      <c r="AY58" s="453"/>
      <c r="AZ58" s="452">
        <v>40652</v>
      </c>
      <c r="BA58" s="393"/>
      <c r="BB58" s="393"/>
      <c r="BC58" s="393" t="b">
        <v>0</v>
      </c>
      <c r="BD58" s="393"/>
      <c r="BE58" s="392"/>
      <c r="BF58" s="394">
        <v>1</v>
      </c>
      <c r="BG58" s="394">
        <v>6</v>
      </c>
      <c r="BH58" s="394">
        <v>5</v>
      </c>
      <c r="BI58" s="394">
        <v>9</v>
      </c>
      <c r="BJ58" s="394">
        <v>8</v>
      </c>
      <c r="BK58" s="394"/>
      <c r="BL58" s="444" t="s">
        <v>6981</v>
      </c>
      <c r="BM58" s="392"/>
      <c r="BN58" s="393"/>
      <c r="BO58" s="393"/>
      <c r="BP58" s="399"/>
      <c r="BQ58" s="400"/>
      <c r="BR58" s="401"/>
      <c r="BS58" s="399"/>
      <c r="BT58" s="394"/>
      <c r="BU58" s="417"/>
      <c r="BV58" s="399"/>
      <c r="BW58" s="393" t="s">
        <v>3165</v>
      </c>
      <c r="BX58" s="392" t="s">
        <v>3185</v>
      </c>
      <c r="BY58" s="393"/>
      <c r="BZ58" s="393"/>
      <c r="CA58" s="441"/>
      <c r="CB58" s="400"/>
      <c r="CC58" s="398"/>
      <c r="CD58" s="398"/>
      <c r="CE58" s="398"/>
      <c r="CF58" s="398"/>
      <c r="CG58" s="398">
        <v>5.09</v>
      </c>
      <c r="CH58" s="398">
        <v>7.45</v>
      </c>
      <c r="CI58" s="398">
        <v>9.3179999999999996</v>
      </c>
      <c r="CJ58" s="398">
        <v>10.817</v>
      </c>
      <c r="CK58" s="398">
        <v>12.034000000000001</v>
      </c>
      <c r="CL58" s="398">
        <v>13.035</v>
      </c>
      <c r="CM58" s="398">
        <v>13.866</v>
      </c>
      <c r="CN58" s="398"/>
      <c r="CO58" s="398"/>
      <c r="CP58" s="398"/>
      <c r="CQ58" s="398"/>
      <c r="CR58" s="398"/>
      <c r="CS58" s="398"/>
      <c r="CT58" s="398"/>
      <c r="CU58" s="398"/>
      <c r="CV58" s="398"/>
      <c r="CW58" s="398"/>
      <c r="CX58" s="398"/>
      <c r="CY58" s="398"/>
      <c r="CZ58" s="398"/>
      <c r="DA58" s="398"/>
      <c r="DB58" s="398"/>
      <c r="DC58" s="398"/>
      <c r="DD58" s="398"/>
      <c r="DE58" s="393"/>
      <c r="DF58" s="393"/>
      <c r="DG58" s="393"/>
      <c r="DH58" s="393"/>
      <c r="DI58" s="393"/>
      <c r="DJ58" s="393"/>
      <c r="DK58" s="897"/>
    </row>
    <row r="59" spans="1:115" ht="38.25" x14ac:dyDescent="0.2">
      <c r="A59" s="295">
        <v>55</v>
      </c>
      <c r="B59" s="390" t="s">
        <v>2525</v>
      </c>
      <c r="C59" s="390"/>
      <c r="D59" s="391" t="s">
        <v>1850</v>
      </c>
      <c r="E59" s="704" t="s">
        <v>1851</v>
      </c>
      <c r="F59" s="393" t="s">
        <v>1375</v>
      </c>
      <c r="G59" s="393" t="s">
        <v>998</v>
      </c>
      <c r="H59" s="393" t="s">
        <v>245</v>
      </c>
      <c r="I59" s="392"/>
      <c r="J59" s="392"/>
      <c r="K59" s="392" t="s">
        <v>2222</v>
      </c>
      <c r="L59" s="392" t="s">
        <v>388</v>
      </c>
      <c r="M59" s="392"/>
      <c r="N59" s="393" t="s">
        <v>44</v>
      </c>
      <c r="O59" s="393" t="s">
        <v>80</v>
      </c>
      <c r="P59" s="393" t="s">
        <v>80</v>
      </c>
      <c r="Q59" s="392" t="s">
        <v>380</v>
      </c>
      <c r="R59" s="392" t="s">
        <v>3833</v>
      </c>
      <c r="S59" s="392" t="s">
        <v>153</v>
      </c>
      <c r="T59" s="394">
        <v>1</v>
      </c>
      <c r="U59" s="395">
        <v>9.577</v>
      </c>
      <c r="V59" s="395"/>
      <c r="W59" s="453"/>
      <c r="X59" s="394"/>
      <c r="Y59" s="394">
        <v>7</v>
      </c>
      <c r="Z59" s="394">
        <v>15</v>
      </c>
      <c r="AA59" s="395">
        <v>1.39</v>
      </c>
      <c r="AB59" s="452">
        <v>40652</v>
      </c>
      <c r="AC59" s="398">
        <v>16.29</v>
      </c>
      <c r="AD59" s="398">
        <v>92.988734246575333</v>
      </c>
      <c r="AE59" s="393" t="s">
        <v>225</v>
      </c>
      <c r="AF59" s="417">
        <v>1.198</v>
      </c>
      <c r="AG59" s="417"/>
      <c r="AH59" s="417">
        <v>1.198</v>
      </c>
      <c r="AI59" s="394">
        <v>1</v>
      </c>
      <c r="AJ59" s="452">
        <v>42011</v>
      </c>
      <c r="AK59" s="452">
        <v>41029</v>
      </c>
      <c r="AL59" s="393"/>
      <c r="AM59" s="393"/>
      <c r="AN59" s="417"/>
      <c r="AO59" s="392"/>
      <c r="AP59" s="392"/>
      <c r="AQ59" s="392"/>
      <c r="AR59" s="392" t="s">
        <v>274</v>
      </c>
      <c r="AS59" s="480"/>
      <c r="AT59" s="453"/>
      <c r="AU59" s="453"/>
      <c r="AV59" s="453"/>
      <c r="AW59" s="453"/>
      <c r="AX59" s="453"/>
      <c r="AY59" s="453"/>
      <c r="AZ59" s="452">
        <v>40652</v>
      </c>
      <c r="BA59" s="393"/>
      <c r="BB59" s="393"/>
      <c r="BC59" s="393" t="b">
        <v>0</v>
      </c>
      <c r="BD59" s="393"/>
      <c r="BE59" s="392"/>
      <c r="BF59" s="394">
        <v>1</v>
      </c>
      <c r="BG59" s="394">
        <v>6</v>
      </c>
      <c r="BH59" s="394">
        <v>5</v>
      </c>
      <c r="BI59" s="394">
        <v>9</v>
      </c>
      <c r="BJ59" s="394">
        <v>8</v>
      </c>
      <c r="BK59" s="394"/>
      <c r="BL59" s="444" t="s">
        <v>6981</v>
      </c>
      <c r="BM59" s="392"/>
      <c r="BN59" s="393"/>
      <c r="BO59" s="393"/>
      <c r="BP59" s="399"/>
      <c r="BQ59" s="400"/>
      <c r="BR59" s="401"/>
      <c r="BS59" s="399"/>
      <c r="BT59" s="394"/>
      <c r="BU59" s="417"/>
      <c r="BV59" s="399"/>
      <c r="BW59" s="393" t="s">
        <v>3165</v>
      </c>
      <c r="BX59" s="392" t="s">
        <v>3185</v>
      </c>
      <c r="BY59" s="393"/>
      <c r="BZ59" s="393"/>
      <c r="CA59" s="441"/>
      <c r="CB59" s="400"/>
      <c r="CC59" s="398"/>
      <c r="CD59" s="398"/>
      <c r="CE59" s="398"/>
      <c r="CF59" s="398"/>
      <c r="CG59" s="398">
        <v>4.7309999999999999</v>
      </c>
      <c r="CH59" s="398">
        <v>6.9429999999999996</v>
      </c>
      <c r="CI59" s="398">
        <v>8.6989999999999998</v>
      </c>
      <c r="CJ59" s="398">
        <v>10.116</v>
      </c>
      <c r="CK59" s="398">
        <v>11.275</v>
      </c>
      <c r="CL59" s="398">
        <v>12.236000000000001</v>
      </c>
      <c r="CM59" s="398">
        <v>13.042</v>
      </c>
      <c r="CN59" s="398"/>
      <c r="CO59" s="398"/>
      <c r="CP59" s="398"/>
      <c r="CQ59" s="398"/>
      <c r="CR59" s="398"/>
      <c r="CS59" s="398"/>
      <c r="CT59" s="398"/>
      <c r="CU59" s="398"/>
      <c r="CV59" s="398"/>
      <c r="CW59" s="398"/>
      <c r="CX59" s="398"/>
      <c r="CY59" s="398"/>
      <c r="CZ59" s="398"/>
      <c r="DA59" s="398"/>
      <c r="DB59" s="398"/>
      <c r="DC59" s="398"/>
      <c r="DD59" s="398"/>
      <c r="DE59" s="393"/>
      <c r="DF59" s="393"/>
      <c r="DG59" s="393"/>
      <c r="DH59" s="393"/>
      <c r="DI59" s="393"/>
      <c r="DJ59" s="393"/>
      <c r="DK59" s="897"/>
    </row>
    <row r="60" spans="1:115" ht="38.25" x14ac:dyDescent="0.2">
      <c r="A60" s="295">
        <v>56</v>
      </c>
      <c r="B60" s="390" t="s">
        <v>4338</v>
      </c>
      <c r="C60" s="390"/>
      <c r="D60" s="391" t="s">
        <v>4339</v>
      </c>
      <c r="E60" s="704" t="s">
        <v>4340</v>
      </c>
      <c r="F60" s="393" t="s">
        <v>1375</v>
      </c>
      <c r="G60" s="393" t="s">
        <v>998</v>
      </c>
      <c r="H60" s="393" t="s">
        <v>245</v>
      </c>
      <c r="I60" s="392"/>
      <c r="J60" s="392"/>
      <c r="K60" s="392" t="s">
        <v>2150</v>
      </c>
      <c r="L60" s="392" t="s">
        <v>388</v>
      </c>
      <c r="M60" s="392"/>
      <c r="N60" s="393" t="s">
        <v>44</v>
      </c>
      <c r="O60" s="393" t="s">
        <v>69</v>
      </c>
      <c r="P60" s="393" t="s">
        <v>80</v>
      </c>
      <c r="Q60" s="392" t="s">
        <v>380</v>
      </c>
      <c r="R60" s="392" t="s">
        <v>3833</v>
      </c>
      <c r="S60" s="392" t="s">
        <v>153</v>
      </c>
      <c r="T60" s="394">
        <v>1</v>
      </c>
      <c r="U60" s="395">
        <v>9.2810000000000006</v>
      </c>
      <c r="V60" s="395"/>
      <c r="W60" s="453"/>
      <c r="X60" s="394"/>
      <c r="Y60" s="394">
        <v>7</v>
      </c>
      <c r="Z60" s="394">
        <v>15</v>
      </c>
      <c r="AA60" s="395">
        <v>1.7609999999999999</v>
      </c>
      <c r="AB60" s="452">
        <v>41255</v>
      </c>
      <c r="AC60" s="398"/>
      <c r="AD60" s="398">
        <v>74.781975342465756</v>
      </c>
      <c r="AE60" s="393" t="s">
        <v>225</v>
      </c>
      <c r="AF60" s="417"/>
      <c r="AG60" s="417"/>
      <c r="AH60" s="417"/>
      <c r="AI60" s="394">
        <v>1</v>
      </c>
      <c r="AJ60" s="452">
        <v>42011</v>
      </c>
      <c r="AK60" s="452">
        <v>41029</v>
      </c>
      <c r="AL60" s="393"/>
      <c r="AM60" s="393"/>
      <c r="AN60" s="417"/>
      <c r="AO60" s="392"/>
      <c r="AP60" s="392"/>
      <c r="AQ60" s="392"/>
      <c r="AR60" s="392" t="s">
        <v>274</v>
      </c>
      <c r="AS60" s="480"/>
      <c r="AT60" s="453"/>
      <c r="AU60" s="453"/>
      <c r="AV60" s="453"/>
      <c r="AW60" s="453"/>
      <c r="AX60" s="453"/>
      <c r="AY60" s="453"/>
      <c r="AZ60" s="452">
        <v>41255</v>
      </c>
      <c r="BA60" s="393"/>
      <c r="BB60" s="393"/>
      <c r="BC60" s="393" t="b">
        <v>0</v>
      </c>
      <c r="BD60" s="393"/>
      <c r="BE60" s="392"/>
      <c r="BF60" s="394">
        <v>1</v>
      </c>
      <c r="BG60" s="394">
        <v>6</v>
      </c>
      <c r="BH60" s="394">
        <v>5</v>
      </c>
      <c r="BI60" s="394">
        <v>9</v>
      </c>
      <c r="BJ60" s="394">
        <v>8</v>
      </c>
      <c r="BK60" s="394"/>
      <c r="BL60" s="444" t="s">
        <v>6981</v>
      </c>
      <c r="BM60" s="392"/>
      <c r="BN60" s="393"/>
      <c r="BO60" s="393"/>
      <c r="BP60" s="399"/>
      <c r="BQ60" s="400"/>
      <c r="BR60" s="401"/>
      <c r="BS60" s="399"/>
      <c r="BT60" s="394"/>
      <c r="BU60" s="417"/>
      <c r="BV60" s="399"/>
      <c r="BW60" s="393" t="s">
        <v>3165</v>
      </c>
      <c r="BX60" s="392" t="s">
        <v>3185</v>
      </c>
      <c r="BY60" s="393"/>
      <c r="BZ60" s="393"/>
      <c r="CA60" s="441"/>
      <c r="CB60" s="400"/>
      <c r="CC60" s="398"/>
      <c r="CD60" s="398"/>
      <c r="CE60" s="398"/>
      <c r="CF60" s="398"/>
      <c r="CG60" s="398"/>
      <c r="CH60" s="398"/>
      <c r="CI60" s="398">
        <v>2.7469999999999999</v>
      </c>
      <c r="CJ60" s="398">
        <v>6.0730000000000004</v>
      </c>
      <c r="CK60" s="398">
        <v>8.4779999999999998</v>
      </c>
      <c r="CL60" s="398">
        <v>10.243</v>
      </c>
      <c r="CM60" s="398">
        <v>11.557</v>
      </c>
      <c r="CN60" s="398">
        <v>12.552</v>
      </c>
      <c r="CO60" s="398">
        <v>13.317</v>
      </c>
      <c r="CP60" s="398"/>
      <c r="CQ60" s="398"/>
      <c r="CR60" s="398"/>
      <c r="CS60" s="398"/>
      <c r="CT60" s="398"/>
      <c r="CU60" s="398"/>
      <c r="CV60" s="398"/>
      <c r="CW60" s="398"/>
      <c r="CX60" s="398"/>
      <c r="CY60" s="398"/>
      <c r="CZ60" s="398"/>
      <c r="DA60" s="398"/>
      <c r="DB60" s="398"/>
      <c r="DC60" s="398"/>
      <c r="DD60" s="398"/>
      <c r="DE60" s="393"/>
      <c r="DF60" s="393"/>
      <c r="DG60" s="393"/>
      <c r="DH60" s="393"/>
      <c r="DI60" s="393"/>
      <c r="DJ60" s="393"/>
      <c r="DK60" s="897"/>
    </row>
    <row r="61" spans="1:115" ht="38.25" x14ac:dyDescent="0.2">
      <c r="A61" s="295">
        <v>57</v>
      </c>
      <c r="B61" s="390" t="s">
        <v>6938</v>
      </c>
      <c r="C61" s="390"/>
      <c r="D61" s="391" t="s">
        <v>6939</v>
      </c>
      <c r="E61" s="704" t="s">
        <v>6940</v>
      </c>
      <c r="F61" s="393" t="s">
        <v>1375</v>
      </c>
      <c r="G61" s="393" t="s">
        <v>998</v>
      </c>
      <c r="H61" s="393" t="s">
        <v>245</v>
      </c>
      <c r="I61" s="392"/>
      <c r="J61" s="392"/>
      <c r="K61" s="392" t="s">
        <v>6941</v>
      </c>
      <c r="L61" s="392" t="s">
        <v>388</v>
      </c>
      <c r="M61" s="392"/>
      <c r="N61" s="393" t="s">
        <v>44</v>
      </c>
      <c r="O61" s="393" t="s">
        <v>69</v>
      </c>
      <c r="P61" s="393" t="s">
        <v>80</v>
      </c>
      <c r="Q61" s="392" t="s">
        <v>380</v>
      </c>
      <c r="R61" s="392" t="s">
        <v>3833</v>
      </c>
      <c r="S61" s="392" t="s">
        <v>153</v>
      </c>
      <c r="T61" s="394">
        <v>1</v>
      </c>
      <c r="U61" s="395">
        <v>10.315</v>
      </c>
      <c r="V61" s="395"/>
      <c r="W61" s="453"/>
      <c r="X61" s="394"/>
      <c r="Y61" s="394">
        <v>7</v>
      </c>
      <c r="Z61" s="394">
        <v>15</v>
      </c>
      <c r="AA61" s="395">
        <v>2.0790000000000002</v>
      </c>
      <c r="AB61" s="452">
        <v>42055</v>
      </c>
      <c r="AC61" s="398"/>
      <c r="AD61" s="398">
        <v>60.505246575342461</v>
      </c>
      <c r="AE61" s="393" t="s">
        <v>225</v>
      </c>
      <c r="AF61" s="417"/>
      <c r="AG61" s="417"/>
      <c r="AH61" s="417"/>
      <c r="AI61" s="394"/>
      <c r="AJ61" s="453"/>
      <c r="AK61" s="453"/>
      <c r="AL61" s="393"/>
      <c r="AM61" s="393"/>
      <c r="AN61" s="417"/>
      <c r="AO61" s="392"/>
      <c r="AP61" s="392"/>
      <c r="AQ61" s="392"/>
      <c r="AR61" s="392" t="s">
        <v>274</v>
      </c>
      <c r="AS61" s="480"/>
      <c r="AT61" s="453"/>
      <c r="AU61" s="453"/>
      <c r="AV61" s="453"/>
      <c r="AW61" s="453"/>
      <c r="AX61" s="453"/>
      <c r="AY61" s="453"/>
      <c r="AZ61" s="452">
        <v>42081</v>
      </c>
      <c r="BA61" s="393"/>
      <c r="BB61" s="393"/>
      <c r="BC61" s="393" t="b">
        <v>0</v>
      </c>
      <c r="BD61" s="393"/>
      <c r="BE61" s="392"/>
      <c r="BF61" s="394">
        <v>1</v>
      </c>
      <c r="BG61" s="394">
        <v>6</v>
      </c>
      <c r="BH61" s="394">
        <v>5</v>
      </c>
      <c r="BI61" s="394">
        <v>9</v>
      </c>
      <c r="BJ61" s="394">
        <v>8</v>
      </c>
      <c r="BK61" s="394"/>
      <c r="BL61" s="444" t="s">
        <v>6981</v>
      </c>
      <c r="BM61" s="392"/>
      <c r="BN61" s="393"/>
      <c r="BO61" s="393"/>
      <c r="BP61" s="399"/>
      <c r="BQ61" s="400"/>
      <c r="BR61" s="401"/>
      <c r="BS61" s="399"/>
      <c r="BT61" s="394"/>
      <c r="BU61" s="417"/>
      <c r="BV61" s="399"/>
      <c r="BW61" s="393" t="s">
        <v>3165</v>
      </c>
      <c r="BX61" s="392" t="s">
        <v>3185</v>
      </c>
      <c r="BY61" s="393"/>
      <c r="BZ61" s="393"/>
      <c r="CA61" s="441"/>
      <c r="CB61" s="400"/>
      <c r="CC61" s="398"/>
      <c r="CD61" s="398"/>
      <c r="CE61" s="398"/>
      <c r="CF61" s="398"/>
      <c r="CG61" s="398"/>
      <c r="CH61" s="398"/>
      <c r="CI61" s="398"/>
      <c r="CJ61" s="398"/>
      <c r="CK61" s="398">
        <v>2.7829999999999999</v>
      </c>
      <c r="CL61" s="398">
        <v>6.3159999999999998</v>
      </c>
      <c r="CM61" s="398">
        <v>9.0559999999999992</v>
      </c>
      <c r="CN61" s="398">
        <v>11.217000000000001</v>
      </c>
      <c r="CO61" s="398">
        <v>12.95</v>
      </c>
      <c r="CP61" s="398">
        <v>14.361000000000001</v>
      </c>
      <c r="CQ61" s="398">
        <v>15.526</v>
      </c>
      <c r="CR61" s="398"/>
      <c r="CS61" s="398"/>
      <c r="CT61" s="398"/>
      <c r="CU61" s="398"/>
      <c r="CV61" s="398"/>
      <c r="CW61" s="398"/>
      <c r="CX61" s="398"/>
      <c r="CY61" s="398"/>
      <c r="CZ61" s="398"/>
      <c r="DA61" s="398"/>
      <c r="DB61" s="398"/>
      <c r="DC61" s="398"/>
      <c r="DD61" s="398"/>
      <c r="DE61" s="393"/>
      <c r="DF61" s="393"/>
      <c r="DG61" s="393"/>
      <c r="DH61" s="393"/>
      <c r="DI61" s="393"/>
      <c r="DJ61" s="393"/>
      <c r="DK61" s="897"/>
    </row>
    <row r="62" spans="1:115" ht="38.25" x14ac:dyDescent="0.2">
      <c r="A62" s="295">
        <v>58</v>
      </c>
      <c r="B62" s="390" t="s">
        <v>6942</v>
      </c>
      <c r="C62" s="390"/>
      <c r="D62" s="391" t="s">
        <v>6943</v>
      </c>
      <c r="E62" s="704" t="s">
        <v>6944</v>
      </c>
      <c r="F62" s="393" t="s">
        <v>1375</v>
      </c>
      <c r="G62" s="393" t="s">
        <v>998</v>
      </c>
      <c r="H62" s="393" t="s">
        <v>245</v>
      </c>
      <c r="I62" s="392"/>
      <c r="J62" s="392"/>
      <c r="K62" s="392" t="s">
        <v>6945</v>
      </c>
      <c r="L62" s="392" t="s">
        <v>388</v>
      </c>
      <c r="M62" s="392"/>
      <c r="N62" s="393" t="s">
        <v>44</v>
      </c>
      <c r="O62" s="393" t="s">
        <v>69</v>
      </c>
      <c r="P62" s="393" t="s">
        <v>80</v>
      </c>
      <c r="Q62" s="392" t="s">
        <v>380</v>
      </c>
      <c r="R62" s="392" t="s">
        <v>3833</v>
      </c>
      <c r="S62" s="392" t="s">
        <v>153</v>
      </c>
      <c r="T62" s="394">
        <v>1</v>
      </c>
      <c r="U62" s="395">
        <v>10.315</v>
      </c>
      <c r="V62" s="395"/>
      <c r="W62" s="453"/>
      <c r="X62" s="394"/>
      <c r="Y62" s="394">
        <v>7</v>
      </c>
      <c r="Z62" s="394">
        <v>15</v>
      </c>
      <c r="AA62" s="395">
        <v>2.0790000000000002</v>
      </c>
      <c r="AB62" s="452">
        <v>42055</v>
      </c>
      <c r="AC62" s="398"/>
      <c r="AD62" s="398">
        <v>60.505246575342461</v>
      </c>
      <c r="AE62" s="393" t="s">
        <v>225</v>
      </c>
      <c r="AF62" s="417"/>
      <c r="AG62" s="417"/>
      <c r="AH62" s="417"/>
      <c r="AI62" s="394"/>
      <c r="AJ62" s="453"/>
      <c r="AK62" s="453"/>
      <c r="AL62" s="393"/>
      <c r="AM62" s="393"/>
      <c r="AN62" s="417"/>
      <c r="AO62" s="392"/>
      <c r="AP62" s="392"/>
      <c r="AQ62" s="392"/>
      <c r="AR62" s="392" t="s">
        <v>274</v>
      </c>
      <c r="AS62" s="480"/>
      <c r="AT62" s="453"/>
      <c r="AU62" s="453"/>
      <c r="AV62" s="453"/>
      <c r="AW62" s="453"/>
      <c r="AX62" s="453"/>
      <c r="AY62" s="453"/>
      <c r="AZ62" s="452">
        <v>42081</v>
      </c>
      <c r="BA62" s="393"/>
      <c r="BB62" s="393"/>
      <c r="BC62" s="393" t="b">
        <v>0</v>
      </c>
      <c r="BD62" s="393"/>
      <c r="BE62" s="392"/>
      <c r="BF62" s="394">
        <v>1</v>
      </c>
      <c r="BG62" s="394">
        <v>6</v>
      </c>
      <c r="BH62" s="394">
        <v>5</v>
      </c>
      <c r="BI62" s="394">
        <v>9</v>
      </c>
      <c r="BJ62" s="394">
        <v>8</v>
      </c>
      <c r="BK62" s="394"/>
      <c r="BL62" s="444" t="s">
        <v>6981</v>
      </c>
      <c r="BM62" s="392"/>
      <c r="BN62" s="393"/>
      <c r="BO62" s="393"/>
      <c r="BP62" s="399"/>
      <c r="BQ62" s="400"/>
      <c r="BR62" s="401"/>
      <c r="BS62" s="399"/>
      <c r="BT62" s="394"/>
      <c r="BU62" s="417"/>
      <c r="BV62" s="399"/>
      <c r="BW62" s="393" t="s">
        <v>3165</v>
      </c>
      <c r="BX62" s="392" t="s">
        <v>3185</v>
      </c>
      <c r="BY62" s="393"/>
      <c r="BZ62" s="393"/>
      <c r="CA62" s="441"/>
      <c r="CB62" s="400"/>
      <c r="CC62" s="398"/>
      <c r="CD62" s="398"/>
      <c r="CE62" s="398"/>
      <c r="CF62" s="398"/>
      <c r="CG62" s="398"/>
      <c r="CH62" s="398"/>
      <c r="CI62" s="398"/>
      <c r="CJ62" s="398"/>
      <c r="CK62" s="398">
        <v>2.7829999999999999</v>
      </c>
      <c r="CL62" s="398">
        <v>6.3159999999999998</v>
      </c>
      <c r="CM62" s="398">
        <v>9.0559999999999992</v>
      </c>
      <c r="CN62" s="398">
        <v>11.217000000000001</v>
      </c>
      <c r="CO62" s="398">
        <v>12.95</v>
      </c>
      <c r="CP62" s="398">
        <v>14.361000000000001</v>
      </c>
      <c r="CQ62" s="398">
        <v>15.526</v>
      </c>
      <c r="CR62" s="398"/>
      <c r="CS62" s="398"/>
      <c r="CT62" s="398"/>
      <c r="CU62" s="398"/>
      <c r="CV62" s="398"/>
      <c r="CW62" s="398"/>
      <c r="CX62" s="398"/>
      <c r="CY62" s="398"/>
      <c r="CZ62" s="398"/>
      <c r="DA62" s="398"/>
      <c r="DB62" s="398"/>
      <c r="DC62" s="398"/>
      <c r="DD62" s="398"/>
      <c r="DE62" s="393"/>
      <c r="DF62" s="393"/>
      <c r="DG62" s="393"/>
      <c r="DH62" s="393"/>
      <c r="DI62" s="393"/>
      <c r="DJ62" s="393"/>
      <c r="DK62" s="897"/>
    </row>
    <row r="63" spans="1:115" ht="38.25" x14ac:dyDescent="0.2">
      <c r="A63" s="295">
        <v>59</v>
      </c>
      <c r="B63" s="390" t="s">
        <v>6946</v>
      </c>
      <c r="C63" s="390"/>
      <c r="D63" s="391" t="s">
        <v>6947</v>
      </c>
      <c r="E63" s="704" t="s">
        <v>6948</v>
      </c>
      <c r="F63" s="393" t="s">
        <v>1375</v>
      </c>
      <c r="G63" s="393" t="s">
        <v>998</v>
      </c>
      <c r="H63" s="393" t="s">
        <v>245</v>
      </c>
      <c r="I63" s="392"/>
      <c r="J63" s="392"/>
      <c r="K63" s="392" t="s">
        <v>6949</v>
      </c>
      <c r="L63" s="392" t="s">
        <v>388</v>
      </c>
      <c r="M63" s="392"/>
      <c r="N63" s="393" t="s">
        <v>44</v>
      </c>
      <c r="O63" s="393" t="s">
        <v>69</v>
      </c>
      <c r="P63" s="393" t="s">
        <v>80</v>
      </c>
      <c r="Q63" s="392" t="s">
        <v>380</v>
      </c>
      <c r="R63" s="392" t="s">
        <v>3833</v>
      </c>
      <c r="S63" s="392" t="s">
        <v>153</v>
      </c>
      <c r="T63" s="394">
        <v>1</v>
      </c>
      <c r="U63" s="395">
        <v>10.315</v>
      </c>
      <c r="V63" s="395"/>
      <c r="W63" s="453"/>
      <c r="X63" s="394"/>
      <c r="Y63" s="394">
        <v>7</v>
      </c>
      <c r="Z63" s="394">
        <v>15</v>
      </c>
      <c r="AA63" s="395">
        <v>2.0790000000000002</v>
      </c>
      <c r="AB63" s="452">
        <v>42055</v>
      </c>
      <c r="AC63" s="398"/>
      <c r="AD63" s="398">
        <v>60.505246575342461</v>
      </c>
      <c r="AE63" s="393" t="s">
        <v>225</v>
      </c>
      <c r="AF63" s="417"/>
      <c r="AG63" s="417"/>
      <c r="AH63" s="417"/>
      <c r="AI63" s="394"/>
      <c r="AJ63" s="453"/>
      <c r="AK63" s="453"/>
      <c r="AL63" s="393"/>
      <c r="AM63" s="393"/>
      <c r="AN63" s="417"/>
      <c r="AO63" s="392"/>
      <c r="AP63" s="392"/>
      <c r="AQ63" s="392"/>
      <c r="AR63" s="392" t="s">
        <v>274</v>
      </c>
      <c r="AS63" s="480"/>
      <c r="AT63" s="453"/>
      <c r="AU63" s="453"/>
      <c r="AV63" s="453"/>
      <c r="AW63" s="453"/>
      <c r="AX63" s="453"/>
      <c r="AY63" s="453"/>
      <c r="AZ63" s="452">
        <v>42081</v>
      </c>
      <c r="BA63" s="393"/>
      <c r="BB63" s="393"/>
      <c r="BC63" s="393" t="b">
        <v>0</v>
      </c>
      <c r="BD63" s="393"/>
      <c r="BE63" s="392"/>
      <c r="BF63" s="394">
        <v>1</v>
      </c>
      <c r="BG63" s="394">
        <v>6</v>
      </c>
      <c r="BH63" s="394">
        <v>5</v>
      </c>
      <c r="BI63" s="394">
        <v>9</v>
      </c>
      <c r="BJ63" s="394">
        <v>8</v>
      </c>
      <c r="BK63" s="394"/>
      <c r="BL63" s="444" t="s">
        <v>6981</v>
      </c>
      <c r="BM63" s="392"/>
      <c r="BN63" s="393"/>
      <c r="BO63" s="393"/>
      <c r="BP63" s="399"/>
      <c r="BQ63" s="400"/>
      <c r="BR63" s="401"/>
      <c r="BS63" s="399"/>
      <c r="BT63" s="394"/>
      <c r="BU63" s="417"/>
      <c r="BV63" s="399"/>
      <c r="BW63" s="393" t="s">
        <v>3165</v>
      </c>
      <c r="BX63" s="392" t="s">
        <v>3185</v>
      </c>
      <c r="BY63" s="393"/>
      <c r="BZ63" s="393"/>
      <c r="CA63" s="441"/>
      <c r="CB63" s="400"/>
      <c r="CC63" s="398"/>
      <c r="CD63" s="398"/>
      <c r="CE63" s="398"/>
      <c r="CF63" s="398"/>
      <c r="CG63" s="398"/>
      <c r="CH63" s="398"/>
      <c r="CI63" s="398"/>
      <c r="CJ63" s="398"/>
      <c r="CK63" s="398">
        <v>2.7829999999999999</v>
      </c>
      <c r="CL63" s="398">
        <v>6.3159999999999998</v>
      </c>
      <c r="CM63" s="398">
        <v>9.0559999999999992</v>
      </c>
      <c r="CN63" s="398">
        <v>11.217000000000001</v>
      </c>
      <c r="CO63" s="398">
        <v>12.95</v>
      </c>
      <c r="CP63" s="398">
        <v>14.361000000000001</v>
      </c>
      <c r="CQ63" s="398">
        <v>15.526</v>
      </c>
      <c r="CR63" s="398"/>
      <c r="CS63" s="398"/>
      <c r="CT63" s="398"/>
      <c r="CU63" s="398"/>
      <c r="CV63" s="398"/>
      <c r="CW63" s="398"/>
      <c r="CX63" s="398"/>
      <c r="CY63" s="398"/>
      <c r="CZ63" s="398"/>
      <c r="DA63" s="398"/>
      <c r="DB63" s="398"/>
      <c r="DC63" s="398"/>
      <c r="DD63" s="398"/>
      <c r="DE63" s="393"/>
      <c r="DF63" s="393"/>
      <c r="DG63" s="393"/>
      <c r="DH63" s="393"/>
      <c r="DI63" s="393"/>
      <c r="DJ63" s="393"/>
      <c r="DK63" s="897"/>
    </row>
    <row r="64" spans="1:115" ht="38.25" x14ac:dyDescent="0.2">
      <c r="A64" s="295">
        <v>60</v>
      </c>
      <c r="B64" s="390" t="s">
        <v>522</v>
      </c>
      <c r="C64" s="424" t="s">
        <v>7426</v>
      </c>
      <c r="D64" s="391" t="s">
        <v>5012</v>
      </c>
      <c r="E64" s="704" t="s">
        <v>1852</v>
      </c>
      <c r="F64" s="393" t="s">
        <v>1375</v>
      </c>
      <c r="G64" s="393" t="s">
        <v>1670</v>
      </c>
      <c r="H64" s="393" t="s">
        <v>523</v>
      </c>
      <c r="I64" s="392"/>
      <c r="J64" s="392" t="s">
        <v>523</v>
      </c>
      <c r="K64" s="392"/>
      <c r="L64" s="392" t="s">
        <v>524</v>
      </c>
      <c r="M64" s="392" t="s">
        <v>3834</v>
      </c>
      <c r="N64" s="393" t="s">
        <v>44</v>
      </c>
      <c r="O64" s="393" t="s">
        <v>51</v>
      </c>
      <c r="P64" s="393" t="s">
        <v>51</v>
      </c>
      <c r="Q64" s="392" t="s">
        <v>426</v>
      </c>
      <c r="R64" s="392"/>
      <c r="S64" s="392" t="s">
        <v>256</v>
      </c>
      <c r="T64" s="394">
        <v>1</v>
      </c>
      <c r="U64" s="395">
        <v>4.173</v>
      </c>
      <c r="V64" s="395"/>
      <c r="W64" s="452">
        <v>39814</v>
      </c>
      <c r="X64" s="394">
        <v>28</v>
      </c>
      <c r="Y64" s="394"/>
      <c r="Z64" s="394"/>
      <c r="AA64" s="395"/>
      <c r="AB64" s="453"/>
      <c r="AC64" s="398">
        <v>0</v>
      </c>
      <c r="AD64" s="398">
        <v>41.730000000000004</v>
      </c>
      <c r="AE64" s="393" t="s">
        <v>225</v>
      </c>
      <c r="AF64" s="417"/>
      <c r="AG64" s="417"/>
      <c r="AH64" s="417">
        <v>0</v>
      </c>
      <c r="AI64" s="394"/>
      <c r="AJ64" s="453"/>
      <c r="AK64" s="453"/>
      <c r="AL64" s="393"/>
      <c r="AM64" s="393"/>
      <c r="AN64" s="417"/>
      <c r="AO64" s="392"/>
      <c r="AP64" s="392" t="s">
        <v>7038</v>
      </c>
      <c r="AQ64" s="392"/>
      <c r="AR64" s="392" t="s">
        <v>274</v>
      </c>
      <c r="AS64" s="479">
        <v>39785</v>
      </c>
      <c r="AT64" s="453"/>
      <c r="AU64" s="453"/>
      <c r="AV64" s="452">
        <v>40114</v>
      </c>
      <c r="AW64" s="452">
        <v>41192</v>
      </c>
      <c r="AX64" s="453"/>
      <c r="AY64" s="452">
        <v>41192</v>
      </c>
      <c r="AZ64" s="453"/>
      <c r="BA64" s="393"/>
      <c r="BB64" s="393" t="s">
        <v>3116</v>
      </c>
      <c r="BC64" s="393" t="b">
        <v>0</v>
      </c>
      <c r="BD64" s="393" t="s">
        <v>3116</v>
      </c>
      <c r="BE64" s="392"/>
      <c r="BF64" s="394">
        <v>10</v>
      </c>
      <c r="BG64" s="394">
        <v>9</v>
      </c>
      <c r="BH64" s="394">
        <v>1</v>
      </c>
      <c r="BI64" s="394">
        <v>6</v>
      </c>
      <c r="BJ64" s="394">
        <v>8</v>
      </c>
      <c r="BK64" s="394">
        <v>7</v>
      </c>
      <c r="BL64" s="444"/>
      <c r="BM64" s="392"/>
      <c r="BN64" s="393"/>
      <c r="BO64" s="393"/>
      <c r="BP64" s="399"/>
      <c r="BQ64" s="400"/>
      <c r="BR64" s="401"/>
      <c r="BS64" s="399">
        <v>0</v>
      </c>
      <c r="BT64" s="394"/>
      <c r="BU64" s="417"/>
      <c r="BV64" s="399"/>
      <c r="BW64" s="393"/>
      <c r="BX64" s="392"/>
      <c r="BY64" s="475" t="s">
        <v>7224</v>
      </c>
      <c r="BZ64" s="475" t="s">
        <v>3165</v>
      </c>
      <c r="CA64" s="441"/>
      <c r="CB64" s="400"/>
      <c r="CC64" s="398"/>
      <c r="CD64" s="398"/>
      <c r="CE64" s="398"/>
      <c r="CF64" s="398"/>
      <c r="CG64" s="398"/>
      <c r="CH64" s="398"/>
      <c r="CI64" s="398"/>
      <c r="CJ64" s="398"/>
      <c r="CK64" s="398"/>
      <c r="CL64" s="398"/>
      <c r="CM64" s="398"/>
      <c r="CN64" s="398"/>
      <c r="CO64" s="398"/>
      <c r="CP64" s="398"/>
      <c r="CQ64" s="398"/>
      <c r="CR64" s="398"/>
      <c r="CS64" s="398"/>
      <c r="CT64" s="398"/>
      <c r="CU64" s="398"/>
      <c r="CV64" s="398"/>
      <c r="CW64" s="398"/>
      <c r="CX64" s="398"/>
      <c r="CY64" s="398"/>
      <c r="CZ64" s="398"/>
      <c r="DA64" s="398"/>
      <c r="DB64" s="398"/>
      <c r="DC64" s="398"/>
      <c r="DD64" s="398"/>
      <c r="DE64" s="393"/>
      <c r="DF64" s="393"/>
      <c r="DG64" s="393"/>
      <c r="DH64" s="393"/>
      <c r="DI64" s="393"/>
      <c r="DJ64" s="393"/>
      <c r="DK64" s="896" t="s">
        <v>9719</v>
      </c>
    </row>
    <row r="65" spans="1:115" ht="38.25" x14ac:dyDescent="0.2">
      <c r="A65" s="295">
        <v>61</v>
      </c>
      <c r="B65" s="390" t="s">
        <v>2526</v>
      </c>
      <c r="C65" s="390"/>
      <c r="D65" s="391" t="s">
        <v>4417</v>
      </c>
      <c r="E65" s="704" t="s">
        <v>525</v>
      </c>
      <c r="F65" s="393" t="s">
        <v>1375</v>
      </c>
      <c r="G65" s="393" t="s">
        <v>1670</v>
      </c>
      <c r="H65" s="393" t="s">
        <v>523</v>
      </c>
      <c r="I65" s="392"/>
      <c r="J65" s="392"/>
      <c r="K65" s="392" t="s">
        <v>2122</v>
      </c>
      <c r="L65" s="392" t="s">
        <v>524</v>
      </c>
      <c r="M65" s="392"/>
      <c r="N65" s="393" t="s">
        <v>44</v>
      </c>
      <c r="O65" s="393" t="s">
        <v>51</v>
      </c>
      <c r="P65" s="393" t="s">
        <v>51</v>
      </c>
      <c r="Q65" s="392" t="s">
        <v>426</v>
      </c>
      <c r="R65" s="392" t="s">
        <v>3835</v>
      </c>
      <c r="S65" s="392" t="s">
        <v>256</v>
      </c>
      <c r="T65" s="394">
        <v>1</v>
      </c>
      <c r="U65" s="395">
        <v>4.173</v>
      </c>
      <c r="V65" s="395"/>
      <c r="W65" s="453"/>
      <c r="X65" s="394"/>
      <c r="Y65" s="394">
        <v>10</v>
      </c>
      <c r="Z65" s="394">
        <v>25</v>
      </c>
      <c r="AA65" s="395">
        <v>1</v>
      </c>
      <c r="AB65" s="452">
        <v>41192</v>
      </c>
      <c r="AC65" s="398"/>
      <c r="AD65" s="398">
        <v>41.730000000000004</v>
      </c>
      <c r="AE65" s="393" t="s">
        <v>225</v>
      </c>
      <c r="AF65" s="417"/>
      <c r="AG65" s="417"/>
      <c r="AH65" s="417"/>
      <c r="AI65" s="394"/>
      <c r="AJ65" s="453"/>
      <c r="AK65" s="453"/>
      <c r="AL65" s="393"/>
      <c r="AM65" s="393"/>
      <c r="AN65" s="417"/>
      <c r="AO65" s="392"/>
      <c r="AP65" s="392" t="s">
        <v>7038</v>
      </c>
      <c r="AQ65" s="392"/>
      <c r="AR65" s="392" t="s">
        <v>274</v>
      </c>
      <c r="AS65" s="479">
        <v>39785</v>
      </c>
      <c r="AT65" s="453"/>
      <c r="AU65" s="453"/>
      <c r="AV65" s="453"/>
      <c r="AW65" s="453"/>
      <c r="AX65" s="453"/>
      <c r="AY65" s="453"/>
      <c r="AZ65" s="452">
        <v>41192</v>
      </c>
      <c r="BA65" s="393"/>
      <c r="BB65" s="393"/>
      <c r="BC65" s="393" t="b">
        <v>0</v>
      </c>
      <c r="BD65" s="393"/>
      <c r="BE65" s="392"/>
      <c r="BF65" s="394">
        <v>10</v>
      </c>
      <c r="BG65" s="394">
        <v>9</v>
      </c>
      <c r="BH65" s="394">
        <v>1</v>
      </c>
      <c r="BI65" s="394">
        <v>6</v>
      </c>
      <c r="BJ65" s="394">
        <v>8</v>
      </c>
      <c r="BK65" s="394">
        <v>7</v>
      </c>
      <c r="BL65" s="444" t="s">
        <v>6981</v>
      </c>
      <c r="BM65" s="392"/>
      <c r="BN65" s="393"/>
      <c r="BO65" s="393"/>
      <c r="BP65" s="399"/>
      <c r="BQ65" s="400"/>
      <c r="BR65" s="401"/>
      <c r="BS65" s="399"/>
      <c r="BT65" s="394"/>
      <c r="BU65" s="417">
        <v>0.8</v>
      </c>
      <c r="BV65" s="399">
        <v>5</v>
      </c>
      <c r="BW65" s="393" t="s">
        <v>3117</v>
      </c>
      <c r="BX65" s="392" t="s">
        <v>3177</v>
      </c>
      <c r="BY65" s="475" t="s">
        <v>7224</v>
      </c>
      <c r="BZ65" s="475" t="s">
        <v>3165</v>
      </c>
      <c r="CA65" s="441"/>
      <c r="CB65" s="400"/>
      <c r="CC65" s="398"/>
      <c r="CD65" s="398"/>
      <c r="CE65" s="398">
        <v>0.60699999999999998</v>
      </c>
      <c r="CF65" s="398">
        <v>3.0329999999999999</v>
      </c>
      <c r="CG65" s="398">
        <v>4.0439999999999996</v>
      </c>
      <c r="CH65" s="398">
        <v>4.125</v>
      </c>
      <c r="CI65" s="398">
        <v>4.2080000000000002</v>
      </c>
      <c r="CJ65" s="398">
        <v>4.2919999999999998</v>
      </c>
      <c r="CK65" s="398">
        <v>4.3780000000000001</v>
      </c>
      <c r="CL65" s="398">
        <v>4.4649999999999999</v>
      </c>
      <c r="CM65" s="398">
        <v>4.5549999999999997</v>
      </c>
      <c r="CN65" s="398">
        <v>4.6459999999999999</v>
      </c>
      <c r="CO65" s="398"/>
      <c r="CP65" s="398"/>
      <c r="CQ65" s="398"/>
      <c r="CR65" s="398"/>
      <c r="CS65" s="398"/>
      <c r="CT65" s="398"/>
      <c r="CU65" s="398"/>
      <c r="CV65" s="398"/>
      <c r="CW65" s="398"/>
      <c r="CX65" s="398"/>
      <c r="CY65" s="398"/>
      <c r="CZ65" s="398"/>
      <c r="DA65" s="398"/>
      <c r="DB65" s="398"/>
      <c r="DC65" s="398"/>
      <c r="DD65" s="398"/>
      <c r="DE65" s="393"/>
      <c r="DF65" s="393"/>
      <c r="DG65" s="393"/>
      <c r="DH65" s="393"/>
      <c r="DI65" s="393"/>
      <c r="DJ65" s="393"/>
      <c r="DK65" s="897"/>
    </row>
    <row r="66" spans="1:115" ht="51" x14ac:dyDescent="0.2">
      <c r="A66" s="295">
        <v>62</v>
      </c>
      <c r="B66" s="390" t="s">
        <v>739</v>
      </c>
      <c r="C66" s="424" t="s">
        <v>7427</v>
      </c>
      <c r="D66" s="391" t="s">
        <v>5013</v>
      </c>
      <c r="E66" s="704" t="s">
        <v>740</v>
      </c>
      <c r="F66" s="393" t="s">
        <v>1340</v>
      </c>
      <c r="G66" s="393" t="s">
        <v>1359</v>
      </c>
      <c r="H66" s="393" t="s">
        <v>741</v>
      </c>
      <c r="I66" s="392"/>
      <c r="J66" s="392" t="s">
        <v>741</v>
      </c>
      <c r="K66" s="392"/>
      <c r="L66" s="392" t="s">
        <v>742</v>
      </c>
      <c r="M66" s="392" t="s">
        <v>3836</v>
      </c>
      <c r="N66" s="393" t="s">
        <v>44</v>
      </c>
      <c r="O66" s="393" t="s">
        <v>289</v>
      </c>
      <c r="P66" s="393" t="s">
        <v>289</v>
      </c>
      <c r="Q66" s="392" t="s">
        <v>721</v>
      </c>
      <c r="R66" s="392"/>
      <c r="S66" s="392" t="s">
        <v>291</v>
      </c>
      <c r="T66" s="394">
        <v>4</v>
      </c>
      <c r="U66" s="395">
        <v>36.496000000000002</v>
      </c>
      <c r="V66" s="395"/>
      <c r="W66" s="452">
        <v>40787</v>
      </c>
      <c r="X66" s="394">
        <v>28</v>
      </c>
      <c r="Y66" s="394"/>
      <c r="Z66" s="394"/>
      <c r="AA66" s="395"/>
      <c r="AB66" s="453"/>
      <c r="AC66" s="398">
        <v>5.8453499999999998</v>
      </c>
      <c r="AD66" s="398">
        <v>283.20054520547944</v>
      </c>
      <c r="AE66" s="393" t="s">
        <v>37</v>
      </c>
      <c r="AF66" s="417"/>
      <c r="AG66" s="417"/>
      <c r="AH66" s="417">
        <v>0</v>
      </c>
      <c r="AI66" s="394"/>
      <c r="AJ66" s="453"/>
      <c r="AK66" s="453"/>
      <c r="AL66" s="393"/>
      <c r="AM66" s="393"/>
      <c r="AN66" s="417"/>
      <c r="AO66" s="392"/>
      <c r="AP66" s="392" t="s">
        <v>7039</v>
      </c>
      <c r="AQ66" s="392"/>
      <c r="AR66" s="392" t="s">
        <v>5663</v>
      </c>
      <c r="AS66" s="479">
        <v>39798</v>
      </c>
      <c r="AT66" s="453"/>
      <c r="AU66" s="453"/>
      <c r="AV66" s="452">
        <v>39986</v>
      </c>
      <c r="AW66" s="452">
        <v>40263</v>
      </c>
      <c r="AX66" s="452">
        <v>40383</v>
      </c>
      <c r="AY66" s="452">
        <v>40411</v>
      </c>
      <c r="AZ66" s="453"/>
      <c r="BA66" s="393"/>
      <c r="BB66" s="393" t="s">
        <v>3147</v>
      </c>
      <c r="BC66" s="393" t="b">
        <v>0</v>
      </c>
      <c r="BD66" s="393" t="s">
        <v>3147</v>
      </c>
      <c r="BE66" s="392"/>
      <c r="BF66" s="394">
        <v>5</v>
      </c>
      <c r="BG66" s="394">
        <v>10</v>
      </c>
      <c r="BH66" s="394">
        <v>9</v>
      </c>
      <c r="BI66" s="394"/>
      <c r="BJ66" s="394"/>
      <c r="BK66" s="394"/>
      <c r="BL66" s="444"/>
      <c r="BM66" s="392"/>
      <c r="BN66" s="393"/>
      <c r="BO66" s="393"/>
      <c r="BP66" s="399"/>
      <c r="BQ66" s="400"/>
      <c r="BR66" s="401"/>
      <c r="BS66" s="399">
        <v>12.159000000000001</v>
      </c>
      <c r="BT66" s="394"/>
      <c r="BU66" s="417"/>
      <c r="BV66" s="399"/>
      <c r="BW66" s="393"/>
      <c r="BX66" s="392"/>
      <c r="BY66" s="393"/>
      <c r="BZ66" s="393"/>
      <c r="CA66" s="441"/>
      <c r="CB66" s="400"/>
      <c r="CC66" s="398"/>
      <c r="CD66" s="398"/>
      <c r="CE66" s="398"/>
      <c r="CF66" s="398"/>
      <c r="CG66" s="398"/>
      <c r="CH66" s="398"/>
      <c r="CI66" s="398"/>
      <c r="CJ66" s="398"/>
      <c r="CK66" s="398"/>
      <c r="CL66" s="398"/>
      <c r="CM66" s="398"/>
      <c r="CN66" s="398"/>
      <c r="CO66" s="398"/>
      <c r="CP66" s="398"/>
      <c r="CQ66" s="398"/>
      <c r="CR66" s="398"/>
      <c r="CS66" s="398"/>
      <c r="CT66" s="398"/>
      <c r="CU66" s="398"/>
      <c r="CV66" s="398"/>
      <c r="CW66" s="398"/>
      <c r="CX66" s="398"/>
      <c r="CY66" s="398"/>
      <c r="CZ66" s="398"/>
      <c r="DA66" s="398"/>
      <c r="DB66" s="398"/>
      <c r="DC66" s="398"/>
      <c r="DD66" s="398"/>
      <c r="DE66" s="393"/>
      <c r="DF66" s="393"/>
      <c r="DG66" s="393"/>
      <c r="DH66" s="393"/>
      <c r="DI66" s="393"/>
      <c r="DJ66" s="393"/>
      <c r="DK66" s="896" t="s">
        <v>9700</v>
      </c>
    </row>
    <row r="67" spans="1:115" ht="25.5" x14ac:dyDescent="0.2">
      <c r="A67" s="295">
        <v>63</v>
      </c>
      <c r="B67" s="390" t="s">
        <v>2527</v>
      </c>
      <c r="C67" s="390"/>
      <c r="D67" s="391" t="s">
        <v>743</v>
      </c>
      <c r="E67" s="704" t="s">
        <v>744</v>
      </c>
      <c r="F67" s="393" t="s">
        <v>1340</v>
      </c>
      <c r="G67" s="393" t="s">
        <v>1359</v>
      </c>
      <c r="H67" s="393" t="s">
        <v>741</v>
      </c>
      <c r="I67" s="392"/>
      <c r="J67" s="392"/>
      <c r="K67" s="392" t="s">
        <v>2123</v>
      </c>
      <c r="L67" s="392" t="s">
        <v>742</v>
      </c>
      <c r="M67" s="392"/>
      <c r="N67" s="393" t="s">
        <v>44</v>
      </c>
      <c r="O67" s="393" t="s">
        <v>289</v>
      </c>
      <c r="P67" s="393" t="s">
        <v>289</v>
      </c>
      <c r="Q67" s="392" t="s">
        <v>721</v>
      </c>
      <c r="R67" s="392" t="s">
        <v>3837</v>
      </c>
      <c r="S67" s="392" t="s">
        <v>291</v>
      </c>
      <c r="T67" s="394">
        <v>1</v>
      </c>
      <c r="U67" s="395">
        <v>4.3949999999999996</v>
      </c>
      <c r="V67" s="395"/>
      <c r="W67" s="453"/>
      <c r="X67" s="394"/>
      <c r="Y67" s="394">
        <v>7</v>
      </c>
      <c r="Z67" s="394">
        <v>30</v>
      </c>
      <c r="AA67" s="395">
        <v>0</v>
      </c>
      <c r="AB67" s="452">
        <v>40787</v>
      </c>
      <c r="AC67" s="398">
        <v>5.8453499999999998</v>
      </c>
      <c r="AD67" s="398">
        <v>41.048095890410956</v>
      </c>
      <c r="AE67" s="393" t="s">
        <v>37</v>
      </c>
      <c r="AF67" s="417"/>
      <c r="AG67" s="417"/>
      <c r="AH67" s="417"/>
      <c r="AI67" s="394"/>
      <c r="AJ67" s="453"/>
      <c r="AK67" s="453"/>
      <c r="AL67" s="393"/>
      <c r="AM67" s="393"/>
      <c r="AN67" s="417"/>
      <c r="AO67" s="392"/>
      <c r="AP67" s="392" t="s">
        <v>7039</v>
      </c>
      <c r="AQ67" s="392"/>
      <c r="AR67" s="392" t="s">
        <v>5663</v>
      </c>
      <c r="AS67" s="479">
        <v>39798</v>
      </c>
      <c r="AT67" s="453"/>
      <c r="AU67" s="453"/>
      <c r="AV67" s="453"/>
      <c r="AW67" s="453"/>
      <c r="AX67" s="453"/>
      <c r="AY67" s="453"/>
      <c r="AZ67" s="452">
        <v>40411</v>
      </c>
      <c r="BA67" s="393"/>
      <c r="BB67" s="393"/>
      <c r="BC67" s="393" t="b">
        <v>0</v>
      </c>
      <c r="BD67" s="393"/>
      <c r="BE67" s="392"/>
      <c r="BF67" s="394">
        <v>5</v>
      </c>
      <c r="BG67" s="394">
        <v>10</v>
      </c>
      <c r="BH67" s="394">
        <v>9</v>
      </c>
      <c r="BI67" s="394"/>
      <c r="BJ67" s="394"/>
      <c r="BK67" s="394"/>
      <c r="BL67" s="444" t="s">
        <v>6981</v>
      </c>
      <c r="BM67" s="392"/>
      <c r="BN67" s="393"/>
      <c r="BO67" s="393"/>
      <c r="BP67" s="399"/>
      <c r="BQ67" s="400"/>
      <c r="BR67" s="401"/>
      <c r="BS67" s="399">
        <v>1.1499999999999999</v>
      </c>
      <c r="BT67" s="394">
        <v>6983</v>
      </c>
      <c r="BU67" s="417">
        <v>0.62929999999999997</v>
      </c>
      <c r="BV67" s="399"/>
      <c r="BW67" s="393" t="s">
        <v>3117</v>
      </c>
      <c r="BX67" s="392" t="s">
        <v>1520</v>
      </c>
      <c r="BY67" s="393"/>
      <c r="BZ67" s="393"/>
      <c r="CA67" s="441" t="s">
        <v>1662</v>
      </c>
      <c r="CB67" s="400">
        <v>3</v>
      </c>
      <c r="CC67" s="398"/>
      <c r="CD67" s="398"/>
      <c r="CE67" s="398"/>
      <c r="CF67" s="398"/>
      <c r="CG67" s="398">
        <v>1.4650000000000001</v>
      </c>
      <c r="CH67" s="398">
        <v>4.3949999999999996</v>
      </c>
      <c r="CI67" s="398">
        <v>4.3949999999999996</v>
      </c>
      <c r="CJ67" s="398">
        <v>4.3949999999999996</v>
      </c>
      <c r="CK67" s="398">
        <v>4.3949999999999996</v>
      </c>
      <c r="CL67" s="398">
        <v>4.3949999999999996</v>
      </c>
      <c r="CM67" s="398">
        <v>4.3949999999999996</v>
      </c>
      <c r="CN67" s="398">
        <v>2.93</v>
      </c>
      <c r="CO67" s="398"/>
      <c r="CP67" s="398"/>
      <c r="CQ67" s="398"/>
      <c r="CR67" s="398"/>
      <c r="CS67" s="398"/>
      <c r="CT67" s="398"/>
      <c r="CU67" s="398"/>
      <c r="CV67" s="398"/>
      <c r="CW67" s="398"/>
      <c r="CX67" s="398"/>
      <c r="CY67" s="398"/>
      <c r="CZ67" s="398"/>
      <c r="DA67" s="398"/>
      <c r="DB67" s="398"/>
      <c r="DC67" s="398"/>
      <c r="DD67" s="398"/>
      <c r="DE67" s="393"/>
      <c r="DF67" s="393"/>
      <c r="DG67" s="393"/>
      <c r="DH67" s="393"/>
      <c r="DI67" s="393"/>
      <c r="DJ67" s="393"/>
      <c r="DK67" s="897"/>
    </row>
    <row r="68" spans="1:115" ht="25.5" x14ac:dyDescent="0.2">
      <c r="A68" s="295">
        <v>64</v>
      </c>
      <c r="B68" s="390" t="s">
        <v>4895</v>
      </c>
      <c r="C68" s="390"/>
      <c r="D68" s="391" t="s">
        <v>4896</v>
      </c>
      <c r="E68" s="704" t="s">
        <v>4897</v>
      </c>
      <c r="F68" s="393" t="s">
        <v>1340</v>
      </c>
      <c r="G68" s="393" t="s">
        <v>1359</v>
      </c>
      <c r="H68" s="393" t="s">
        <v>741</v>
      </c>
      <c r="I68" s="392"/>
      <c r="J68" s="392"/>
      <c r="K68" s="392" t="s">
        <v>2123</v>
      </c>
      <c r="L68" s="392" t="s">
        <v>742</v>
      </c>
      <c r="M68" s="392"/>
      <c r="N68" s="393" t="s">
        <v>44</v>
      </c>
      <c r="O68" s="393" t="s">
        <v>289</v>
      </c>
      <c r="P68" s="393" t="s">
        <v>289</v>
      </c>
      <c r="Q68" s="392" t="s">
        <v>721</v>
      </c>
      <c r="R68" s="392" t="s">
        <v>4898</v>
      </c>
      <c r="S68" s="392" t="s">
        <v>291</v>
      </c>
      <c r="T68" s="394">
        <v>1</v>
      </c>
      <c r="U68" s="395">
        <v>5.343</v>
      </c>
      <c r="V68" s="395"/>
      <c r="W68" s="453"/>
      <c r="X68" s="394"/>
      <c r="Y68" s="394">
        <v>7</v>
      </c>
      <c r="Z68" s="394">
        <v>30</v>
      </c>
      <c r="AA68" s="395">
        <v>0</v>
      </c>
      <c r="AB68" s="452">
        <v>41410</v>
      </c>
      <c r="AC68" s="398">
        <v>0</v>
      </c>
      <c r="AD68" s="398">
        <v>40.782460273972603</v>
      </c>
      <c r="AE68" s="393" t="s">
        <v>37</v>
      </c>
      <c r="AF68" s="417"/>
      <c r="AG68" s="417"/>
      <c r="AH68" s="417"/>
      <c r="AI68" s="394"/>
      <c r="AJ68" s="453"/>
      <c r="AK68" s="453"/>
      <c r="AL68" s="393"/>
      <c r="AM68" s="393"/>
      <c r="AN68" s="417"/>
      <c r="AO68" s="392"/>
      <c r="AP68" s="392"/>
      <c r="AQ68" s="392"/>
      <c r="AR68" s="392" t="s">
        <v>5663</v>
      </c>
      <c r="AS68" s="480"/>
      <c r="AT68" s="453"/>
      <c r="AU68" s="453"/>
      <c r="AV68" s="453"/>
      <c r="AW68" s="453"/>
      <c r="AX68" s="453"/>
      <c r="AY68" s="453"/>
      <c r="AZ68" s="452">
        <v>41410</v>
      </c>
      <c r="BA68" s="393"/>
      <c r="BB68" s="393"/>
      <c r="BC68" s="393" t="b">
        <v>0</v>
      </c>
      <c r="BD68" s="393"/>
      <c r="BE68" s="392"/>
      <c r="BF68" s="394">
        <v>5</v>
      </c>
      <c r="BG68" s="394">
        <v>10</v>
      </c>
      <c r="BH68" s="394">
        <v>9</v>
      </c>
      <c r="BI68" s="394"/>
      <c r="BJ68" s="394"/>
      <c r="BK68" s="394"/>
      <c r="BL68" s="444" t="s">
        <v>6981</v>
      </c>
      <c r="BM68" s="392"/>
      <c r="BN68" s="393"/>
      <c r="BO68" s="393"/>
      <c r="BP68" s="399"/>
      <c r="BQ68" s="400"/>
      <c r="BR68" s="401"/>
      <c r="BS68" s="399">
        <v>1.5</v>
      </c>
      <c r="BT68" s="394"/>
      <c r="BU68" s="417"/>
      <c r="BV68" s="399"/>
      <c r="BW68" s="393" t="s">
        <v>3117</v>
      </c>
      <c r="BX68" s="392" t="s">
        <v>1520</v>
      </c>
      <c r="BY68" s="393"/>
      <c r="BZ68" s="393"/>
      <c r="CA68" s="441" t="s">
        <v>1662</v>
      </c>
      <c r="CB68" s="400">
        <v>3</v>
      </c>
      <c r="CC68" s="398"/>
      <c r="CD68" s="398"/>
      <c r="CE68" s="398"/>
      <c r="CF68" s="398"/>
      <c r="CG68" s="398"/>
      <c r="CH68" s="398"/>
      <c r="CI68" s="398">
        <v>5.343</v>
      </c>
      <c r="CJ68" s="398">
        <v>5.343</v>
      </c>
      <c r="CK68" s="398">
        <v>5.343</v>
      </c>
      <c r="CL68" s="398">
        <v>5.343</v>
      </c>
      <c r="CM68" s="398">
        <v>5.343</v>
      </c>
      <c r="CN68" s="398">
        <v>5.343</v>
      </c>
      <c r="CO68" s="398">
        <v>5.343</v>
      </c>
      <c r="CP68" s="398"/>
      <c r="CQ68" s="398"/>
      <c r="CR68" s="398"/>
      <c r="CS68" s="398"/>
      <c r="CT68" s="398"/>
      <c r="CU68" s="398"/>
      <c r="CV68" s="398"/>
      <c r="CW68" s="398"/>
      <c r="CX68" s="398"/>
      <c r="CY68" s="398"/>
      <c r="CZ68" s="398"/>
      <c r="DA68" s="398"/>
      <c r="DB68" s="398"/>
      <c r="DC68" s="398"/>
      <c r="DD68" s="398"/>
      <c r="DE68" s="393"/>
      <c r="DF68" s="393"/>
      <c r="DG68" s="393"/>
      <c r="DH68" s="393"/>
      <c r="DI68" s="393"/>
      <c r="DJ68" s="393"/>
      <c r="DK68" s="897"/>
    </row>
    <row r="69" spans="1:115" ht="25.5" x14ac:dyDescent="0.2">
      <c r="A69" s="295">
        <v>65</v>
      </c>
      <c r="B69" s="390" t="s">
        <v>4899</v>
      </c>
      <c r="C69" s="390"/>
      <c r="D69" s="391" t="s">
        <v>4900</v>
      </c>
      <c r="E69" s="704" t="s">
        <v>4901</v>
      </c>
      <c r="F69" s="393" t="s">
        <v>1340</v>
      </c>
      <c r="G69" s="393" t="s">
        <v>1359</v>
      </c>
      <c r="H69" s="393" t="s">
        <v>741</v>
      </c>
      <c r="I69" s="392"/>
      <c r="J69" s="392"/>
      <c r="K69" s="392" t="s">
        <v>4902</v>
      </c>
      <c r="L69" s="392" t="s">
        <v>742</v>
      </c>
      <c r="M69" s="392"/>
      <c r="N69" s="393" t="s">
        <v>44</v>
      </c>
      <c r="O69" s="393" t="s">
        <v>289</v>
      </c>
      <c r="P69" s="393" t="s">
        <v>289</v>
      </c>
      <c r="Q69" s="392" t="s">
        <v>721</v>
      </c>
      <c r="R69" s="392" t="s">
        <v>4903</v>
      </c>
      <c r="S69" s="392" t="s">
        <v>291</v>
      </c>
      <c r="T69" s="394">
        <v>1</v>
      </c>
      <c r="U69" s="395">
        <v>22.777000000000001</v>
      </c>
      <c r="V69" s="395"/>
      <c r="W69" s="453"/>
      <c r="X69" s="394"/>
      <c r="Y69" s="394">
        <v>7</v>
      </c>
      <c r="Z69" s="394">
        <v>30</v>
      </c>
      <c r="AA69" s="395">
        <v>0</v>
      </c>
      <c r="AB69" s="452">
        <v>41456</v>
      </c>
      <c r="AC69" s="398">
        <v>0</v>
      </c>
      <c r="AD69" s="398">
        <v>170.98350684931509</v>
      </c>
      <c r="AE69" s="393" t="s">
        <v>37</v>
      </c>
      <c r="AF69" s="417"/>
      <c r="AG69" s="417"/>
      <c r="AH69" s="417"/>
      <c r="AI69" s="394"/>
      <c r="AJ69" s="453"/>
      <c r="AK69" s="453"/>
      <c r="AL69" s="393"/>
      <c r="AM69" s="393"/>
      <c r="AN69" s="417"/>
      <c r="AO69" s="392"/>
      <c r="AP69" s="392"/>
      <c r="AQ69" s="392"/>
      <c r="AR69" s="392" t="s">
        <v>5663</v>
      </c>
      <c r="AS69" s="480"/>
      <c r="AT69" s="453"/>
      <c r="AU69" s="453"/>
      <c r="AV69" s="453"/>
      <c r="AW69" s="453"/>
      <c r="AX69" s="453"/>
      <c r="AY69" s="453"/>
      <c r="AZ69" s="452">
        <v>41410</v>
      </c>
      <c r="BA69" s="393"/>
      <c r="BB69" s="393"/>
      <c r="BC69" s="393" t="b">
        <v>0</v>
      </c>
      <c r="BD69" s="393"/>
      <c r="BE69" s="392"/>
      <c r="BF69" s="394">
        <v>5</v>
      </c>
      <c r="BG69" s="394">
        <v>10</v>
      </c>
      <c r="BH69" s="394">
        <v>9</v>
      </c>
      <c r="BI69" s="394"/>
      <c r="BJ69" s="394"/>
      <c r="BK69" s="394"/>
      <c r="BL69" s="444" t="s">
        <v>6981</v>
      </c>
      <c r="BM69" s="392"/>
      <c r="BN69" s="393"/>
      <c r="BO69" s="393"/>
      <c r="BP69" s="399"/>
      <c r="BQ69" s="400"/>
      <c r="BR69" s="401"/>
      <c r="BS69" s="399">
        <v>8.6</v>
      </c>
      <c r="BT69" s="394"/>
      <c r="BU69" s="417"/>
      <c r="BV69" s="399"/>
      <c r="BW69" s="393" t="s">
        <v>3117</v>
      </c>
      <c r="BX69" s="392" t="s">
        <v>1520</v>
      </c>
      <c r="BY69" s="393"/>
      <c r="BZ69" s="393"/>
      <c r="CA69" s="441" t="s">
        <v>1662</v>
      </c>
      <c r="CB69" s="400">
        <v>3</v>
      </c>
      <c r="CC69" s="398"/>
      <c r="CD69" s="398"/>
      <c r="CE69" s="398"/>
      <c r="CF69" s="398"/>
      <c r="CG69" s="398"/>
      <c r="CH69" s="398"/>
      <c r="CI69" s="398">
        <v>11.388999999999999</v>
      </c>
      <c r="CJ69" s="398">
        <v>22.777000000000001</v>
      </c>
      <c r="CK69" s="398">
        <v>22.777000000000001</v>
      </c>
      <c r="CL69" s="398">
        <v>22.777000000000001</v>
      </c>
      <c r="CM69" s="398">
        <v>22.777000000000001</v>
      </c>
      <c r="CN69" s="398">
        <v>22.777000000000001</v>
      </c>
      <c r="CO69" s="398">
        <v>22.777000000000001</v>
      </c>
      <c r="CP69" s="398">
        <v>11.388999999999999</v>
      </c>
      <c r="CQ69" s="398"/>
      <c r="CR69" s="398"/>
      <c r="CS69" s="398"/>
      <c r="CT69" s="398"/>
      <c r="CU69" s="398"/>
      <c r="CV69" s="398"/>
      <c r="CW69" s="398"/>
      <c r="CX69" s="398"/>
      <c r="CY69" s="398"/>
      <c r="CZ69" s="398"/>
      <c r="DA69" s="398"/>
      <c r="DB69" s="398"/>
      <c r="DC69" s="398"/>
      <c r="DD69" s="398"/>
      <c r="DE69" s="393"/>
      <c r="DF69" s="393"/>
      <c r="DG69" s="393"/>
      <c r="DH69" s="393"/>
      <c r="DI69" s="393"/>
      <c r="DJ69" s="393"/>
      <c r="DK69" s="897"/>
    </row>
    <row r="70" spans="1:115" ht="25.5" x14ac:dyDescent="0.2">
      <c r="A70" s="295">
        <v>66</v>
      </c>
      <c r="B70" s="390" t="s">
        <v>4904</v>
      </c>
      <c r="C70" s="390"/>
      <c r="D70" s="391" t="s">
        <v>4905</v>
      </c>
      <c r="E70" s="704" t="s">
        <v>4906</v>
      </c>
      <c r="F70" s="393" t="s">
        <v>1340</v>
      </c>
      <c r="G70" s="393" t="s">
        <v>1359</v>
      </c>
      <c r="H70" s="393" t="s">
        <v>741</v>
      </c>
      <c r="I70" s="392"/>
      <c r="J70" s="392"/>
      <c r="K70" s="392" t="s">
        <v>4907</v>
      </c>
      <c r="L70" s="392" t="s">
        <v>742</v>
      </c>
      <c r="M70" s="392"/>
      <c r="N70" s="393" t="s">
        <v>44</v>
      </c>
      <c r="O70" s="393" t="s">
        <v>289</v>
      </c>
      <c r="P70" s="393" t="s">
        <v>289</v>
      </c>
      <c r="Q70" s="392" t="s">
        <v>721</v>
      </c>
      <c r="R70" s="392" t="s">
        <v>4908</v>
      </c>
      <c r="S70" s="392" t="s">
        <v>291</v>
      </c>
      <c r="T70" s="394">
        <v>1</v>
      </c>
      <c r="U70" s="395">
        <v>3.9809999999999999</v>
      </c>
      <c r="V70" s="395"/>
      <c r="W70" s="453"/>
      <c r="X70" s="394"/>
      <c r="Y70" s="394">
        <v>7</v>
      </c>
      <c r="Z70" s="394">
        <v>30</v>
      </c>
      <c r="AA70" s="395">
        <v>0</v>
      </c>
      <c r="AB70" s="452">
        <v>41410</v>
      </c>
      <c r="AC70" s="398">
        <v>0</v>
      </c>
      <c r="AD70" s="398">
        <v>30.386482191780818</v>
      </c>
      <c r="AE70" s="393" t="s">
        <v>37</v>
      </c>
      <c r="AF70" s="417"/>
      <c r="AG70" s="417"/>
      <c r="AH70" s="417"/>
      <c r="AI70" s="394"/>
      <c r="AJ70" s="453"/>
      <c r="AK70" s="453"/>
      <c r="AL70" s="393"/>
      <c r="AM70" s="393"/>
      <c r="AN70" s="417"/>
      <c r="AO70" s="392"/>
      <c r="AP70" s="392"/>
      <c r="AQ70" s="392"/>
      <c r="AR70" s="392" t="s">
        <v>5663</v>
      </c>
      <c r="AS70" s="480"/>
      <c r="AT70" s="453"/>
      <c r="AU70" s="453"/>
      <c r="AV70" s="453"/>
      <c r="AW70" s="453"/>
      <c r="AX70" s="453"/>
      <c r="AY70" s="453"/>
      <c r="AZ70" s="452">
        <v>41410</v>
      </c>
      <c r="BA70" s="393"/>
      <c r="BB70" s="393"/>
      <c r="BC70" s="393" t="b">
        <v>0</v>
      </c>
      <c r="BD70" s="393"/>
      <c r="BE70" s="392"/>
      <c r="BF70" s="394">
        <v>5</v>
      </c>
      <c r="BG70" s="394">
        <v>10</v>
      </c>
      <c r="BH70" s="394">
        <v>9</v>
      </c>
      <c r="BI70" s="394"/>
      <c r="BJ70" s="394"/>
      <c r="BK70" s="394"/>
      <c r="BL70" s="444" t="s">
        <v>6981</v>
      </c>
      <c r="BM70" s="392"/>
      <c r="BN70" s="393"/>
      <c r="BO70" s="393"/>
      <c r="BP70" s="399"/>
      <c r="BQ70" s="400"/>
      <c r="BR70" s="401"/>
      <c r="BS70" s="399">
        <v>0.90900000000000003</v>
      </c>
      <c r="BT70" s="394"/>
      <c r="BU70" s="417"/>
      <c r="BV70" s="399"/>
      <c r="BW70" s="393" t="s">
        <v>3117</v>
      </c>
      <c r="BX70" s="392" t="s">
        <v>1520</v>
      </c>
      <c r="BY70" s="393"/>
      <c r="BZ70" s="393"/>
      <c r="CA70" s="441" t="s">
        <v>1662</v>
      </c>
      <c r="CB70" s="400">
        <v>3</v>
      </c>
      <c r="CC70" s="398"/>
      <c r="CD70" s="398"/>
      <c r="CE70" s="398"/>
      <c r="CF70" s="398"/>
      <c r="CG70" s="398"/>
      <c r="CH70" s="398"/>
      <c r="CI70" s="398">
        <v>3.9809999999999999</v>
      </c>
      <c r="CJ70" s="398">
        <v>3.9809999999999999</v>
      </c>
      <c r="CK70" s="398">
        <v>3.9809999999999999</v>
      </c>
      <c r="CL70" s="398">
        <v>3.9809999999999999</v>
      </c>
      <c r="CM70" s="398">
        <v>3.9809999999999999</v>
      </c>
      <c r="CN70" s="398">
        <v>3.9809999999999999</v>
      </c>
      <c r="CO70" s="398">
        <v>3.9809999999999999</v>
      </c>
      <c r="CP70" s="398"/>
      <c r="CQ70" s="398"/>
      <c r="CR70" s="398"/>
      <c r="CS70" s="398"/>
      <c r="CT70" s="398"/>
      <c r="CU70" s="398"/>
      <c r="CV70" s="398"/>
      <c r="CW70" s="398"/>
      <c r="CX70" s="398"/>
      <c r="CY70" s="398"/>
      <c r="CZ70" s="398"/>
      <c r="DA70" s="398"/>
      <c r="DB70" s="398"/>
      <c r="DC70" s="398"/>
      <c r="DD70" s="398"/>
      <c r="DE70" s="393"/>
      <c r="DF70" s="393"/>
      <c r="DG70" s="393"/>
      <c r="DH70" s="393"/>
      <c r="DI70" s="393"/>
      <c r="DJ70" s="393"/>
      <c r="DK70" s="897"/>
    </row>
    <row r="71" spans="1:115" ht="76.5" x14ac:dyDescent="0.2">
      <c r="A71" s="295">
        <v>67</v>
      </c>
      <c r="B71" s="390" t="s">
        <v>958</v>
      </c>
      <c r="C71" s="424" t="s">
        <v>7428</v>
      </c>
      <c r="D71" s="391" t="s">
        <v>5014</v>
      </c>
      <c r="E71" s="704" t="s">
        <v>1853</v>
      </c>
      <c r="F71" s="393" t="s">
        <v>1375</v>
      </c>
      <c r="G71" s="393" t="s">
        <v>1669</v>
      </c>
      <c r="H71" s="393" t="s">
        <v>959</v>
      </c>
      <c r="I71" s="392"/>
      <c r="J71" s="392" t="s">
        <v>959</v>
      </c>
      <c r="K71" s="392"/>
      <c r="L71" s="392" t="s">
        <v>960</v>
      </c>
      <c r="M71" s="392" t="s">
        <v>3838</v>
      </c>
      <c r="N71" s="393" t="s">
        <v>44</v>
      </c>
      <c r="O71" s="393" t="s">
        <v>827</v>
      </c>
      <c r="P71" s="393" t="s">
        <v>827</v>
      </c>
      <c r="Q71" s="392" t="s">
        <v>923</v>
      </c>
      <c r="R71" s="392"/>
      <c r="S71" s="392" t="s">
        <v>46</v>
      </c>
      <c r="T71" s="394">
        <v>8</v>
      </c>
      <c r="U71" s="395">
        <v>41.763000000000005</v>
      </c>
      <c r="V71" s="395"/>
      <c r="W71" s="452">
        <v>39105</v>
      </c>
      <c r="X71" s="394">
        <v>28</v>
      </c>
      <c r="Y71" s="394"/>
      <c r="Z71" s="394"/>
      <c r="AA71" s="395"/>
      <c r="AB71" s="453"/>
      <c r="AC71" s="398">
        <v>15.719000000000001</v>
      </c>
      <c r="AD71" s="398">
        <v>417.63</v>
      </c>
      <c r="AE71" s="393" t="s">
        <v>37</v>
      </c>
      <c r="AF71" s="417"/>
      <c r="AG71" s="417"/>
      <c r="AH71" s="417">
        <v>90.147999999999996</v>
      </c>
      <c r="AI71" s="394"/>
      <c r="AJ71" s="453">
        <v>43098</v>
      </c>
      <c r="AK71" s="453">
        <v>42004</v>
      </c>
      <c r="AL71" s="393"/>
      <c r="AM71" s="393"/>
      <c r="AN71" s="417"/>
      <c r="AO71" s="428" t="s">
        <v>37</v>
      </c>
      <c r="AP71" s="428" t="s">
        <v>9400</v>
      </c>
      <c r="AQ71" s="392"/>
      <c r="AR71" s="392" t="s">
        <v>853</v>
      </c>
      <c r="AS71" s="479">
        <v>39843</v>
      </c>
      <c r="AT71" s="453"/>
      <c r="AU71" s="453"/>
      <c r="AV71" s="452">
        <v>40544</v>
      </c>
      <c r="AW71" s="452">
        <v>40646</v>
      </c>
      <c r="AX71" s="453"/>
      <c r="AY71" s="452">
        <v>40646</v>
      </c>
      <c r="AZ71" s="453"/>
      <c r="BA71" s="393"/>
      <c r="BB71" s="393" t="s">
        <v>3116</v>
      </c>
      <c r="BC71" s="393" t="b">
        <v>0</v>
      </c>
      <c r="BD71" s="393" t="s">
        <v>3116</v>
      </c>
      <c r="BE71" s="392"/>
      <c r="BF71" s="394">
        <v>1</v>
      </c>
      <c r="BG71" s="394">
        <v>12</v>
      </c>
      <c r="BH71" s="394">
        <v>8</v>
      </c>
      <c r="BI71" s="394">
        <v>5</v>
      </c>
      <c r="BJ71" s="394">
        <v>11</v>
      </c>
      <c r="BK71" s="394">
        <v>9</v>
      </c>
      <c r="BL71" s="444"/>
      <c r="BM71" s="392"/>
      <c r="BN71" s="393"/>
      <c r="BO71" s="393"/>
      <c r="BP71" s="399"/>
      <c r="BQ71" s="400"/>
      <c r="BR71" s="401"/>
      <c r="BS71" s="399">
        <v>0</v>
      </c>
      <c r="BT71" s="394"/>
      <c r="BU71" s="417"/>
      <c r="BV71" s="399"/>
      <c r="BW71" s="393"/>
      <c r="BX71" s="392"/>
      <c r="BY71" s="393"/>
      <c r="BZ71" s="393"/>
      <c r="CA71" s="441"/>
      <c r="CB71" s="400"/>
      <c r="CC71" s="398"/>
      <c r="CD71" s="398"/>
      <c r="CE71" s="398"/>
      <c r="CF71" s="398"/>
      <c r="CG71" s="398"/>
      <c r="CH71" s="398"/>
      <c r="CI71" s="398"/>
      <c r="CJ71" s="398"/>
      <c r="CK71" s="398"/>
      <c r="CL71" s="398"/>
      <c r="CM71" s="398"/>
      <c r="CN71" s="398"/>
      <c r="CO71" s="398"/>
      <c r="CP71" s="398"/>
      <c r="CQ71" s="398"/>
      <c r="CR71" s="398"/>
      <c r="CS71" s="398"/>
      <c r="CT71" s="398"/>
      <c r="CU71" s="398"/>
      <c r="CV71" s="398"/>
      <c r="CW71" s="398"/>
      <c r="CX71" s="398"/>
      <c r="CY71" s="398"/>
      <c r="CZ71" s="398"/>
      <c r="DA71" s="398"/>
      <c r="DB71" s="398"/>
      <c r="DC71" s="398"/>
      <c r="DD71" s="398"/>
      <c r="DE71" s="393"/>
      <c r="DF71" s="393"/>
      <c r="DG71" s="393"/>
      <c r="DH71" s="393"/>
      <c r="DI71" s="393"/>
      <c r="DJ71" s="393"/>
      <c r="DK71" s="896" t="s">
        <v>9706</v>
      </c>
    </row>
    <row r="72" spans="1:115" ht="51" x14ac:dyDescent="0.2">
      <c r="A72" s="295">
        <v>68</v>
      </c>
      <c r="B72" s="390" t="s">
        <v>2528</v>
      </c>
      <c r="C72" s="390"/>
      <c r="D72" s="391" t="s">
        <v>961</v>
      </c>
      <c r="E72" s="704" t="s">
        <v>962</v>
      </c>
      <c r="F72" s="393" t="s">
        <v>1375</v>
      </c>
      <c r="G72" s="393" t="s">
        <v>1669</v>
      </c>
      <c r="H72" s="393" t="s">
        <v>959</v>
      </c>
      <c r="I72" s="392"/>
      <c r="J72" s="392"/>
      <c r="K72" s="392" t="s">
        <v>159</v>
      </c>
      <c r="L72" s="392" t="s">
        <v>960</v>
      </c>
      <c r="M72" s="392"/>
      <c r="N72" s="393" t="s">
        <v>44</v>
      </c>
      <c r="O72" s="393" t="s">
        <v>827</v>
      </c>
      <c r="P72" s="393" t="s">
        <v>827</v>
      </c>
      <c r="Q72" s="392" t="s">
        <v>923</v>
      </c>
      <c r="R72" s="392" t="s">
        <v>3839</v>
      </c>
      <c r="S72" s="392" t="s">
        <v>46</v>
      </c>
      <c r="T72" s="394">
        <v>1</v>
      </c>
      <c r="U72" s="395">
        <v>7.242</v>
      </c>
      <c r="V72" s="395"/>
      <c r="W72" s="453"/>
      <c r="X72" s="394"/>
      <c r="Y72" s="394">
        <v>10</v>
      </c>
      <c r="Z72" s="394">
        <v>15</v>
      </c>
      <c r="AA72" s="395">
        <v>0</v>
      </c>
      <c r="AB72" s="452">
        <v>40646</v>
      </c>
      <c r="AC72" s="398">
        <v>4.6059999999999999</v>
      </c>
      <c r="AD72" s="398">
        <v>72.42</v>
      </c>
      <c r="AE72" s="393" t="s">
        <v>37</v>
      </c>
      <c r="AF72" s="417">
        <f>10.276</f>
        <v>10.276</v>
      </c>
      <c r="AG72" s="417">
        <f>12.524</f>
        <v>12.523999999999999</v>
      </c>
      <c r="AH72" s="417">
        <v>22.799999999999997</v>
      </c>
      <c r="AI72" s="394"/>
      <c r="AJ72" s="453">
        <v>43098</v>
      </c>
      <c r="AK72" s="453">
        <v>42004</v>
      </c>
      <c r="AL72" s="393"/>
      <c r="AM72" s="393"/>
      <c r="AN72" s="417"/>
      <c r="AO72" s="428" t="s">
        <v>37</v>
      </c>
      <c r="AP72" s="428" t="s">
        <v>9400</v>
      </c>
      <c r="AQ72" s="392"/>
      <c r="AR72" s="392" t="s">
        <v>853</v>
      </c>
      <c r="AS72" s="479">
        <v>39843</v>
      </c>
      <c r="AT72" s="453"/>
      <c r="AU72" s="453"/>
      <c r="AV72" s="453"/>
      <c r="AW72" s="453"/>
      <c r="AX72" s="453"/>
      <c r="AY72" s="453"/>
      <c r="AZ72" s="452">
        <v>40646</v>
      </c>
      <c r="BA72" s="393"/>
      <c r="BB72" s="393"/>
      <c r="BC72" s="393" t="b">
        <v>0</v>
      </c>
      <c r="BD72" s="393"/>
      <c r="BE72" s="392"/>
      <c r="BF72" s="394">
        <v>1</v>
      </c>
      <c r="BG72" s="394">
        <v>12</v>
      </c>
      <c r="BH72" s="394">
        <v>8</v>
      </c>
      <c r="BI72" s="394">
        <v>5</v>
      </c>
      <c r="BJ72" s="394">
        <v>11</v>
      </c>
      <c r="BK72" s="394">
        <v>9</v>
      </c>
      <c r="BL72" s="444" t="s">
        <v>6981</v>
      </c>
      <c r="BM72" s="392"/>
      <c r="BN72" s="393"/>
      <c r="BO72" s="393"/>
      <c r="BP72" s="399"/>
      <c r="BQ72" s="400"/>
      <c r="BR72" s="401"/>
      <c r="BS72" s="399"/>
      <c r="BT72" s="394"/>
      <c r="BU72" s="417">
        <v>0.55000000000000004</v>
      </c>
      <c r="BV72" s="399"/>
      <c r="BW72" s="393" t="s">
        <v>3117</v>
      </c>
      <c r="BX72" s="392" t="s">
        <v>3275</v>
      </c>
      <c r="BY72" s="393"/>
      <c r="BZ72" s="393"/>
      <c r="CA72" s="441"/>
      <c r="CB72" s="400"/>
      <c r="CC72" s="398"/>
      <c r="CD72" s="398"/>
      <c r="CE72" s="398"/>
      <c r="CF72" s="398"/>
      <c r="CG72" s="398"/>
      <c r="CH72" s="398">
        <v>7.242</v>
      </c>
      <c r="CI72" s="398">
        <v>7.242</v>
      </c>
      <c r="CJ72" s="398">
        <v>7.242</v>
      </c>
      <c r="CK72" s="398">
        <v>7.242</v>
      </c>
      <c r="CL72" s="398">
        <v>7.242</v>
      </c>
      <c r="CM72" s="398">
        <v>7.242</v>
      </c>
      <c r="CN72" s="398">
        <v>7.242</v>
      </c>
      <c r="CO72" s="398">
        <v>7.242</v>
      </c>
      <c r="CP72" s="398">
        <v>7.242</v>
      </c>
      <c r="CQ72" s="398">
        <v>7.242</v>
      </c>
      <c r="CR72" s="398"/>
      <c r="CS72" s="398"/>
      <c r="CT72" s="398"/>
      <c r="CU72" s="398"/>
      <c r="CV72" s="398"/>
      <c r="CW72" s="398"/>
      <c r="CX72" s="398"/>
      <c r="CY72" s="398"/>
      <c r="CZ72" s="398"/>
      <c r="DA72" s="398"/>
      <c r="DB72" s="398"/>
      <c r="DC72" s="398"/>
      <c r="DD72" s="398"/>
      <c r="DE72" s="393"/>
      <c r="DF72" s="393"/>
      <c r="DG72" s="393"/>
      <c r="DH72" s="393"/>
      <c r="DI72" s="393"/>
      <c r="DJ72" s="393"/>
      <c r="DK72" s="897"/>
    </row>
    <row r="73" spans="1:115" ht="51" x14ac:dyDescent="0.2">
      <c r="A73" s="295">
        <v>69</v>
      </c>
      <c r="B73" s="390" t="s">
        <v>3118</v>
      </c>
      <c r="C73" s="390"/>
      <c r="D73" s="391" t="s">
        <v>3119</v>
      </c>
      <c r="E73" s="704" t="s">
        <v>3120</v>
      </c>
      <c r="F73" s="393" t="s">
        <v>1375</v>
      </c>
      <c r="G73" s="393" t="s">
        <v>1669</v>
      </c>
      <c r="H73" s="393" t="s">
        <v>959</v>
      </c>
      <c r="I73" s="392"/>
      <c r="J73" s="392"/>
      <c r="K73" s="392" t="s">
        <v>159</v>
      </c>
      <c r="L73" s="392" t="s">
        <v>960</v>
      </c>
      <c r="M73" s="392"/>
      <c r="N73" s="393" t="s">
        <v>44</v>
      </c>
      <c r="O73" s="393" t="s">
        <v>827</v>
      </c>
      <c r="P73" s="393" t="s">
        <v>827</v>
      </c>
      <c r="Q73" s="392" t="s">
        <v>923</v>
      </c>
      <c r="R73" s="392" t="s">
        <v>3840</v>
      </c>
      <c r="S73" s="392" t="s">
        <v>46</v>
      </c>
      <c r="T73" s="394">
        <v>1</v>
      </c>
      <c r="U73" s="395">
        <v>4.298</v>
      </c>
      <c r="V73" s="395"/>
      <c r="W73" s="453"/>
      <c r="X73" s="394"/>
      <c r="Y73" s="394">
        <v>10</v>
      </c>
      <c r="Z73" s="394">
        <v>15</v>
      </c>
      <c r="AA73" s="395">
        <v>0</v>
      </c>
      <c r="AB73" s="452">
        <v>41145</v>
      </c>
      <c r="AC73" s="398">
        <v>1.5169999999999999</v>
      </c>
      <c r="AD73" s="398">
        <v>42.980000000000004</v>
      </c>
      <c r="AE73" s="393" t="s">
        <v>37</v>
      </c>
      <c r="AF73" s="417">
        <v>1.363</v>
      </c>
      <c r="AG73" s="417">
        <f>7.659</f>
        <v>7.6589999999999998</v>
      </c>
      <c r="AH73" s="417">
        <v>9.0220000000000002</v>
      </c>
      <c r="AI73" s="394"/>
      <c r="AJ73" s="453">
        <v>43098</v>
      </c>
      <c r="AK73" s="453">
        <v>42004</v>
      </c>
      <c r="AL73" s="393"/>
      <c r="AM73" s="393"/>
      <c r="AN73" s="417"/>
      <c r="AO73" s="428" t="s">
        <v>37</v>
      </c>
      <c r="AP73" s="428"/>
      <c r="AQ73" s="392"/>
      <c r="AR73" s="392" t="s">
        <v>853</v>
      </c>
      <c r="AS73" s="480"/>
      <c r="AT73" s="453"/>
      <c r="AU73" s="453"/>
      <c r="AV73" s="453"/>
      <c r="AW73" s="453"/>
      <c r="AX73" s="453"/>
      <c r="AY73" s="453"/>
      <c r="AZ73" s="452">
        <v>41145</v>
      </c>
      <c r="BA73" s="393"/>
      <c r="BB73" s="393"/>
      <c r="BC73" s="393" t="b">
        <v>0</v>
      </c>
      <c r="BD73" s="393"/>
      <c r="BE73" s="392"/>
      <c r="BF73" s="394">
        <v>1</v>
      </c>
      <c r="BG73" s="394">
        <v>12</v>
      </c>
      <c r="BH73" s="394">
        <v>8</v>
      </c>
      <c r="BI73" s="394">
        <v>5</v>
      </c>
      <c r="BJ73" s="394">
        <v>11</v>
      </c>
      <c r="BK73" s="394">
        <v>9</v>
      </c>
      <c r="BL73" s="444" t="s">
        <v>6981</v>
      </c>
      <c r="BM73" s="392"/>
      <c r="BN73" s="393"/>
      <c r="BO73" s="393"/>
      <c r="BP73" s="399"/>
      <c r="BQ73" s="400"/>
      <c r="BR73" s="401"/>
      <c r="BS73" s="399"/>
      <c r="BT73" s="394"/>
      <c r="BU73" s="417">
        <v>0.55000000000000004</v>
      </c>
      <c r="BV73" s="399"/>
      <c r="BW73" s="393" t="s">
        <v>3117</v>
      </c>
      <c r="BX73" s="392" t="s">
        <v>3275</v>
      </c>
      <c r="BY73" s="393"/>
      <c r="BZ73" s="393"/>
      <c r="CA73" s="441"/>
      <c r="CB73" s="400"/>
      <c r="CC73" s="398"/>
      <c r="CD73" s="398"/>
      <c r="CE73" s="398"/>
      <c r="CF73" s="398"/>
      <c r="CG73" s="398"/>
      <c r="CH73" s="398">
        <v>1.5309999999999999</v>
      </c>
      <c r="CI73" s="398">
        <v>4.298</v>
      </c>
      <c r="CJ73" s="398">
        <v>4.298</v>
      </c>
      <c r="CK73" s="398">
        <v>4.298</v>
      </c>
      <c r="CL73" s="398">
        <v>4.298</v>
      </c>
      <c r="CM73" s="398">
        <v>4.298</v>
      </c>
      <c r="CN73" s="398">
        <v>4.298</v>
      </c>
      <c r="CO73" s="398">
        <v>4.298</v>
      </c>
      <c r="CP73" s="398">
        <v>4.298</v>
      </c>
      <c r="CQ73" s="398">
        <v>4.298</v>
      </c>
      <c r="CR73" s="398">
        <v>2.7669999999999999</v>
      </c>
      <c r="CS73" s="398"/>
      <c r="CT73" s="398"/>
      <c r="CU73" s="398"/>
      <c r="CV73" s="398"/>
      <c r="CW73" s="398"/>
      <c r="CX73" s="398"/>
      <c r="CY73" s="398"/>
      <c r="CZ73" s="398"/>
      <c r="DA73" s="398"/>
      <c r="DB73" s="398"/>
      <c r="DC73" s="398"/>
      <c r="DD73" s="398"/>
      <c r="DE73" s="393"/>
      <c r="DF73" s="393"/>
      <c r="DG73" s="393"/>
      <c r="DH73" s="393"/>
      <c r="DI73" s="393"/>
      <c r="DJ73" s="393"/>
      <c r="DK73" s="897"/>
    </row>
    <row r="74" spans="1:115" ht="51" x14ac:dyDescent="0.2">
      <c r="A74" s="295">
        <v>70</v>
      </c>
      <c r="B74" s="390" t="s">
        <v>3121</v>
      </c>
      <c r="C74" s="390"/>
      <c r="D74" s="391" t="s">
        <v>3122</v>
      </c>
      <c r="E74" s="704" t="s">
        <v>3123</v>
      </c>
      <c r="F74" s="393" t="s">
        <v>1375</v>
      </c>
      <c r="G74" s="393" t="s">
        <v>1669</v>
      </c>
      <c r="H74" s="393" t="s">
        <v>959</v>
      </c>
      <c r="I74" s="392"/>
      <c r="J74" s="392"/>
      <c r="K74" s="392" t="s">
        <v>159</v>
      </c>
      <c r="L74" s="392" t="s">
        <v>960</v>
      </c>
      <c r="M74" s="392"/>
      <c r="N74" s="393" t="s">
        <v>44</v>
      </c>
      <c r="O74" s="393" t="s">
        <v>827</v>
      </c>
      <c r="P74" s="393" t="s">
        <v>827</v>
      </c>
      <c r="Q74" s="392" t="s">
        <v>923</v>
      </c>
      <c r="R74" s="392" t="s">
        <v>3841</v>
      </c>
      <c r="S74" s="392" t="s">
        <v>46</v>
      </c>
      <c r="T74" s="394">
        <v>1</v>
      </c>
      <c r="U74" s="395">
        <v>5.0419999999999998</v>
      </c>
      <c r="V74" s="395"/>
      <c r="W74" s="453"/>
      <c r="X74" s="394"/>
      <c r="Y74" s="394">
        <v>10</v>
      </c>
      <c r="Z74" s="394">
        <v>15</v>
      </c>
      <c r="AA74" s="395">
        <v>0</v>
      </c>
      <c r="AB74" s="452">
        <v>41145</v>
      </c>
      <c r="AC74" s="398">
        <v>1.78</v>
      </c>
      <c r="AD74" s="398">
        <v>50.42</v>
      </c>
      <c r="AE74" s="393" t="s">
        <v>37</v>
      </c>
      <c r="AF74" s="417">
        <v>1.4650000000000001</v>
      </c>
      <c r="AG74" s="417">
        <f>8.226</f>
        <v>8.2260000000000009</v>
      </c>
      <c r="AH74" s="417">
        <v>9.6910000000000007</v>
      </c>
      <c r="AI74" s="394"/>
      <c r="AJ74" s="453">
        <v>43098</v>
      </c>
      <c r="AK74" s="453">
        <v>42004</v>
      </c>
      <c r="AL74" s="393"/>
      <c r="AM74" s="393"/>
      <c r="AN74" s="417"/>
      <c r="AO74" s="428" t="s">
        <v>37</v>
      </c>
      <c r="AP74" s="428"/>
      <c r="AQ74" s="392"/>
      <c r="AR74" s="392" t="s">
        <v>853</v>
      </c>
      <c r="AS74" s="480"/>
      <c r="AT74" s="453"/>
      <c r="AU74" s="453"/>
      <c r="AV74" s="453"/>
      <c r="AW74" s="453"/>
      <c r="AX74" s="453"/>
      <c r="AY74" s="453"/>
      <c r="AZ74" s="452">
        <v>41145</v>
      </c>
      <c r="BA74" s="393"/>
      <c r="BB74" s="393"/>
      <c r="BC74" s="393" t="b">
        <v>0</v>
      </c>
      <c r="BD74" s="393"/>
      <c r="BE74" s="392"/>
      <c r="BF74" s="394">
        <v>1</v>
      </c>
      <c r="BG74" s="394">
        <v>12</v>
      </c>
      <c r="BH74" s="394">
        <v>8</v>
      </c>
      <c r="BI74" s="394">
        <v>5</v>
      </c>
      <c r="BJ74" s="394">
        <v>11</v>
      </c>
      <c r="BK74" s="394">
        <v>9</v>
      </c>
      <c r="BL74" s="444" t="s">
        <v>6981</v>
      </c>
      <c r="BM74" s="392"/>
      <c r="BN74" s="393"/>
      <c r="BO74" s="393"/>
      <c r="BP74" s="399"/>
      <c r="BQ74" s="400"/>
      <c r="BR74" s="401"/>
      <c r="BS74" s="399"/>
      <c r="BT74" s="394"/>
      <c r="BU74" s="417">
        <v>0.54227999999999998</v>
      </c>
      <c r="BV74" s="399"/>
      <c r="BW74" s="393" t="s">
        <v>3117</v>
      </c>
      <c r="BX74" s="392" t="s">
        <v>3275</v>
      </c>
      <c r="BY74" s="393"/>
      <c r="BZ74" s="393"/>
      <c r="CA74" s="441"/>
      <c r="CB74" s="400"/>
      <c r="CC74" s="398"/>
      <c r="CD74" s="398"/>
      <c r="CE74" s="398"/>
      <c r="CF74" s="398"/>
      <c r="CG74" s="398"/>
      <c r="CH74" s="398">
        <v>1.796</v>
      </c>
      <c r="CI74" s="398">
        <v>5.0419999999999998</v>
      </c>
      <c r="CJ74" s="398">
        <v>5.0419999999999998</v>
      </c>
      <c r="CK74" s="398">
        <v>5.0419999999999998</v>
      </c>
      <c r="CL74" s="398">
        <v>5.0419999999999998</v>
      </c>
      <c r="CM74" s="398">
        <v>5.0419999999999998</v>
      </c>
      <c r="CN74" s="398">
        <v>5.0419999999999998</v>
      </c>
      <c r="CO74" s="398">
        <v>5.0419999999999998</v>
      </c>
      <c r="CP74" s="398">
        <v>5.0419999999999998</v>
      </c>
      <c r="CQ74" s="398">
        <v>5.0419999999999998</v>
      </c>
      <c r="CR74" s="398">
        <v>3.246</v>
      </c>
      <c r="CS74" s="398"/>
      <c r="CT74" s="398"/>
      <c r="CU74" s="398"/>
      <c r="CV74" s="398"/>
      <c r="CW74" s="398"/>
      <c r="CX74" s="398"/>
      <c r="CY74" s="398"/>
      <c r="CZ74" s="398"/>
      <c r="DA74" s="398"/>
      <c r="DB74" s="398"/>
      <c r="DC74" s="398"/>
      <c r="DD74" s="398"/>
      <c r="DE74" s="393"/>
      <c r="DF74" s="393"/>
      <c r="DG74" s="393"/>
      <c r="DH74" s="393"/>
      <c r="DI74" s="393"/>
      <c r="DJ74" s="393"/>
      <c r="DK74" s="897"/>
    </row>
    <row r="75" spans="1:115" ht="51" x14ac:dyDescent="0.2">
      <c r="A75" s="295">
        <v>71</v>
      </c>
      <c r="B75" s="390" t="s">
        <v>3124</v>
      </c>
      <c r="C75" s="390"/>
      <c r="D75" s="391" t="s">
        <v>3125</v>
      </c>
      <c r="E75" s="704" t="s">
        <v>3126</v>
      </c>
      <c r="F75" s="393" t="s">
        <v>1375</v>
      </c>
      <c r="G75" s="393" t="s">
        <v>1669</v>
      </c>
      <c r="H75" s="393" t="s">
        <v>959</v>
      </c>
      <c r="I75" s="392"/>
      <c r="J75" s="392"/>
      <c r="K75" s="392" t="s">
        <v>159</v>
      </c>
      <c r="L75" s="392" t="s">
        <v>960</v>
      </c>
      <c r="M75" s="392"/>
      <c r="N75" s="393" t="s">
        <v>44</v>
      </c>
      <c r="O75" s="393" t="s">
        <v>827</v>
      </c>
      <c r="P75" s="393" t="s">
        <v>827</v>
      </c>
      <c r="Q75" s="392" t="s">
        <v>923</v>
      </c>
      <c r="R75" s="392" t="s">
        <v>3842</v>
      </c>
      <c r="S75" s="392" t="s">
        <v>46</v>
      </c>
      <c r="T75" s="394">
        <v>1</v>
      </c>
      <c r="U75" s="395">
        <v>5.3570000000000002</v>
      </c>
      <c r="V75" s="395"/>
      <c r="W75" s="453"/>
      <c r="X75" s="394"/>
      <c r="Y75" s="394">
        <v>10</v>
      </c>
      <c r="Z75" s="394">
        <v>15</v>
      </c>
      <c r="AA75" s="395">
        <v>0</v>
      </c>
      <c r="AB75" s="452">
        <v>41145</v>
      </c>
      <c r="AC75" s="398">
        <v>1.891</v>
      </c>
      <c r="AD75" s="398">
        <v>53.57</v>
      </c>
      <c r="AE75" s="393" t="s">
        <v>37</v>
      </c>
      <c r="AF75" s="417">
        <v>1.49</v>
      </c>
      <c r="AG75" s="417">
        <f>8.367</f>
        <v>8.3670000000000009</v>
      </c>
      <c r="AH75" s="417">
        <v>9.8570000000000011</v>
      </c>
      <c r="AI75" s="394"/>
      <c r="AJ75" s="453">
        <v>43098</v>
      </c>
      <c r="AK75" s="453">
        <v>42004</v>
      </c>
      <c r="AL75" s="393"/>
      <c r="AM75" s="393"/>
      <c r="AN75" s="417"/>
      <c r="AO75" s="428" t="s">
        <v>37</v>
      </c>
      <c r="AP75" s="428"/>
      <c r="AQ75" s="392"/>
      <c r="AR75" s="392" t="s">
        <v>853</v>
      </c>
      <c r="AS75" s="480"/>
      <c r="AT75" s="453"/>
      <c r="AU75" s="453"/>
      <c r="AV75" s="453"/>
      <c r="AW75" s="453"/>
      <c r="AX75" s="453"/>
      <c r="AY75" s="453"/>
      <c r="AZ75" s="452">
        <v>41145</v>
      </c>
      <c r="BA75" s="393"/>
      <c r="BB75" s="393"/>
      <c r="BC75" s="393" t="b">
        <v>0</v>
      </c>
      <c r="BD75" s="393"/>
      <c r="BE75" s="392"/>
      <c r="BF75" s="394">
        <v>1</v>
      </c>
      <c r="BG75" s="394">
        <v>12</v>
      </c>
      <c r="BH75" s="394">
        <v>8</v>
      </c>
      <c r="BI75" s="394">
        <v>5</v>
      </c>
      <c r="BJ75" s="394">
        <v>11</v>
      </c>
      <c r="BK75" s="394">
        <v>9</v>
      </c>
      <c r="BL75" s="444" t="s">
        <v>6981</v>
      </c>
      <c r="BM75" s="392"/>
      <c r="BN75" s="393"/>
      <c r="BO75" s="393"/>
      <c r="BP75" s="399"/>
      <c r="BQ75" s="400"/>
      <c r="BR75" s="401"/>
      <c r="BS75" s="399"/>
      <c r="BT75" s="394"/>
      <c r="BU75" s="417">
        <v>0.54227999999999998</v>
      </c>
      <c r="BV75" s="399"/>
      <c r="BW75" s="393" t="s">
        <v>3117</v>
      </c>
      <c r="BX75" s="392" t="s">
        <v>3275</v>
      </c>
      <c r="BY75" s="393"/>
      <c r="BZ75" s="393"/>
      <c r="CA75" s="441"/>
      <c r="CB75" s="400"/>
      <c r="CC75" s="398"/>
      <c r="CD75" s="398"/>
      <c r="CE75" s="398"/>
      <c r="CF75" s="398"/>
      <c r="CG75" s="398"/>
      <c r="CH75" s="398">
        <v>1.9079999999999999</v>
      </c>
      <c r="CI75" s="398">
        <v>5.3570000000000002</v>
      </c>
      <c r="CJ75" s="398">
        <v>5.3570000000000002</v>
      </c>
      <c r="CK75" s="398">
        <v>5.3570000000000002</v>
      </c>
      <c r="CL75" s="398">
        <v>5.3570000000000002</v>
      </c>
      <c r="CM75" s="398">
        <v>5.3570000000000002</v>
      </c>
      <c r="CN75" s="398">
        <v>5.3570000000000002</v>
      </c>
      <c r="CO75" s="398">
        <v>5.3570000000000002</v>
      </c>
      <c r="CP75" s="398">
        <v>5.3570000000000002</v>
      </c>
      <c r="CQ75" s="398">
        <v>5.3570000000000002</v>
      </c>
      <c r="CR75" s="398">
        <v>3.4489999999999998</v>
      </c>
      <c r="CS75" s="398"/>
      <c r="CT75" s="398"/>
      <c r="CU75" s="398"/>
      <c r="CV75" s="398"/>
      <c r="CW75" s="398"/>
      <c r="CX75" s="398"/>
      <c r="CY75" s="398"/>
      <c r="CZ75" s="398"/>
      <c r="DA75" s="398"/>
      <c r="DB75" s="398"/>
      <c r="DC75" s="398"/>
      <c r="DD75" s="398"/>
      <c r="DE75" s="393"/>
      <c r="DF75" s="393"/>
      <c r="DG75" s="393"/>
      <c r="DH75" s="393"/>
      <c r="DI75" s="393"/>
      <c r="DJ75" s="393"/>
      <c r="DK75" s="897"/>
    </row>
    <row r="76" spans="1:115" ht="51" x14ac:dyDescent="0.2">
      <c r="A76" s="295">
        <v>72</v>
      </c>
      <c r="B76" s="390" t="s">
        <v>3127</v>
      </c>
      <c r="C76" s="390"/>
      <c r="D76" s="391" t="s">
        <v>3128</v>
      </c>
      <c r="E76" s="704" t="s">
        <v>3129</v>
      </c>
      <c r="F76" s="393" t="s">
        <v>1375</v>
      </c>
      <c r="G76" s="393" t="s">
        <v>1669</v>
      </c>
      <c r="H76" s="393" t="s">
        <v>959</v>
      </c>
      <c r="I76" s="392"/>
      <c r="J76" s="392"/>
      <c r="K76" s="392" t="s">
        <v>159</v>
      </c>
      <c r="L76" s="392" t="s">
        <v>960</v>
      </c>
      <c r="M76" s="392"/>
      <c r="N76" s="393" t="s">
        <v>44</v>
      </c>
      <c r="O76" s="393" t="s">
        <v>827</v>
      </c>
      <c r="P76" s="393" t="s">
        <v>827</v>
      </c>
      <c r="Q76" s="392" t="s">
        <v>923</v>
      </c>
      <c r="R76" s="392" t="s">
        <v>3843</v>
      </c>
      <c r="S76" s="392" t="s">
        <v>46</v>
      </c>
      <c r="T76" s="394">
        <v>1</v>
      </c>
      <c r="U76" s="395">
        <v>5.5819999999999999</v>
      </c>
      <c r="V76" s="395"/>
      <c r="W76" s="453"/>
      <c r="X76" s="394"/>
      <c r="Y76" s="394">
        <v>10</v>
      </c>
      <c r="Z76" s="394">
        <v>15</v>
      </c>
      <c r="AA76" s="395">
        <v>0</v>
      </c>
      <c r="AB76" s="452">
        <v>41145</v>
      </c>
      <c r="AC76" s="398">
        <v>1.97</v>
      </c>
      <c r="AD76" s="398">
        <v>55.82</v>
      </c>
      <c r="AE76" s="393" t="s">
        <v>37</v>
      </c>
      <c r="AF76" s="417">
        <v>1.6220000000000001</v>
      </c>
      <c r="AG76" s="417">
        <f>9.109</f>
        <v>9.109</v>
      </c>
      <c r="AH76" s="417">
        <v>10.731</v>
      </c>
      <c r="AI76" s="394"/>
      <c r="AJ76" s="453">
        <v>43098</v>
      </c>
      <c r="AK76" s="453">
        <v>42004</v>
      </c>
      <c r="AL76" s="393"/>
      <c r="AM76" s="393"/>
      <c r="AN76" s="417"/>
      <c r="AO76" s="428" t="s">
        <v>37</v>
      </c>
      <c r="AP76" s="428"/>
      <c r="AQ76" s="392"/>
      <c r="AR76" s="392" t="s">
        <v>853</v>
      </c>
      <c r="AS76" s="480"/>
      <c r="AT76" s="453"/>
      <c r="AU76" s="453"/>
      <c r="AV76" s="453"/>
      <c r="AW76" s="453"/>
      <c r="AX76" s="453"/>
      <c r="AY76" s="453"/>
      <c r="AZ76" s="452">
        <v>41145</v>
      </c>
      <c r="BA76" s="393"/>
      <c r="BB76" s="393"/>
      <c r="BC76" s="393" t="b">
        <v>0</v>
      </c>
      <c r="BD76" s="393"/>
      <c r="BE76" s="392"/>
      <c r="BF76" s="394">
        <v>1</v>
      </c>
      <c r="BG76" s="394">
        <v>12</v>
      </c>
      <c r="BH76" s="394">
        <v>8</v>
      </c>
      <c r="BI76" s="394">
        <v>5</v>
      </c>
      <c r="BJ76" s="394">
        <v>11</v>
      </c>
      <c r="BK76" s="394">
        <v>9</v>
      </c>
      <c r="BL76" s="444" t="s">
        <v>6981</v>
      </c>
      <c r="BM76" s="392"/>
      <c r="BN76" s="393"/>
      <c r="BO76" s="393"/>
      <c r="BP76" s="399"/>
      <c r="BQ76" s="400"/>
      <c r="BR76" s="401"/>
      <c r="BS76" s="399"/>
      <c r="BT76" s="394"/>
      <c r="BU76" s="417">
        <v>0.54227999999999998</v>
      </c>
      <c r="BV76" s="399"/>
      <c r="BW76" s="393" t="s">
        <v>3117</v>
      </c>
      <c r="BX76" s="392" t="s">
        <v>3275</v>
      </c>
      <c r="BY76" s="393"/>
      <c r="BZ76" s="393"/>
      <c r="CA76" s="441"/>
      <c r="CB76" s="400"/>
      <c r="CC76" s="398"/>
      <c r="CD76" s="398"/>
      <c r="CE76" s="398"/>
      <c r="CF76" s="398"/>
      <c r="CG76" s="398"/>
      <c r="CH76" s="398">
        <v>1.988</v>
      </c>
      <c r="CI76" s="398">
        <v>5.5819999999999999</v>
      </c>
      <c r="CJ76" s="398">
        <v>5.5819999999999999</v>
      </c>
      <c r="CK76" s="398">
        <v>5.5819999999999999</v>
      </c>
      <c r="CL76" s="398">
        <v>5.5819999999999999</v>
      </c>
      <c r="CM76" s="398">
        <v>5.5819999999999999</v>
      </c>
      <c r="CN76" s="398">
        <v>5.5819999999999999</v>
      </c>
      <c r="CO76" s="398">
        <v>5.5819999999999999</v>
      </c>
      <c r="CP76" s="398">
        <v>5.5819999999999999</v>
      </c>
      <c r="CQ76" s="398">
        <v>5.5819999999999999</v>
      </c>
      <c r="CR76" s="398">
        <v>3.5939999999999999</v>
      </c>
      <c r="CS76" s="398"/>
      <c r="CT76" s="398"/>
      <c r="CU76" s="398"/>
      <c r="CV76" s="398"/>
      <c r="CW76" s="398"/>
      <c r="CX76" s="398"/>
      <c r="CY76" s="398"/>
      <c r="CZ76" s="398"/>
      <c r="DA76" s="398"/>
      <c r="DB76" s="398"/>
      <c r="DC76" s="398"/>
      <c r="DD76" s="398"/>
      <c r="DE76" s="393"/>
      <c r="DF76" s="393"/>
      <c r="DG76" s="393"/>
      <c r="DH76" s="393"/>
      <c r="DI76" s="393"/>
      <c r="DJ76" s="393"/>
      <c r="DK76" s="897"/>
    </row>
    <row r="77" spans="1:115" ht="51" x14ac:dyDescent="0.2">
      <c r="A77" s="295">
        <v>73</v>
      </c>
      <c r="B77" s="390" t="s">
        <v>3130</v>
      </c>
      <c r="C77" s="390"/>
      <c r="D77" s="391" t="s">
        <v>3131</v>
      </c>
      <c r="E77" s="704" t="s">
        <v>3132</v>
      </c>
      <c r="F77" s="393" t="s">
        <v>1375</v>
      </c>
      <c r="G77" s="393" t="s">
        <v>1669</v>
      </c>
      <c r="H77" s="393" t="s">
        <v>959</v>
      </c>
      <c r="I77" s="392"/>
      <c r="J77" s="392"/>
      <c r="K77" s="392" t="s">
        <v>159</v>
      </c>
      <c r="L77" s="392" t="s">
        <v>960</v>
      </c>
      <c r="M77" s="392"/>
      <c r="N77" s="393" t="s">
        <v>44</v>
      </c>
      <c r="O77" s="393" t="s">
        <v>827</v>
      </c>
      <c r="P77" s="393" t="s">
        <v>827</v>
      </c>
      <c r="Q77" s="392" t="s">
        <v>923</v>
      </c>
      <c r="R77" s="392" t="s">
        <v>3844</v>
      </c>
      <c r="S77" s="392" t="s">
        <v>46</v>
      </c>
      <c r="T77" s="394">
        <v>1</v>
      </c>
      <c r="U77" s="395">
        <v>4.9870000000000001</v>
      </c>
      <c r="V77" s="395"/>
      <c r="W77" s="453"/>
      <c r="X77" s="394"/>
      <c r="Y77" s="394">
        <v>10</v>
      </c>
      <c r="Z77" s="394">
        <v>15</v>
      </c>
      <c r="AA77" s="395">
        <v>0</v>
      </c>
      <c r="AB77" s="452">
        <v>41145</v>
      </c>
      <c r="AC77" s="398">
        <v>1.76</v>
      </c>
      <c r="AD77" s="398">
        <v>49.870000000000005</v>
      </c>
      <c r="AE77" s="393" t="s">
        <v>37</v>
      </c>
      <c r="AF77" s="417">
        <v>1.5880000000000001</v>
      </c>
      <c r="AG77" s="417">
        <f>8.917</f>
        <v>8.9169999999999998</v>
      </c>
      <c r="AH77" s="417">
        <v>10.504999999999999</v>
      </c>
      <c r="AI77" s="394"/>
      <c r="AJ77" s="453">
        <v>43098</v>
      </c>
      <c r="AK77" s="453">
        <v>42004</v>
      </c>
      <c r="AL77" s="393"/>
      <c r="AM77" s="393"/>
      <c r="AN77" s="417"/>
      <c r="AO77" s="428" t="s">
        <v>37</v>
      </c>
      <c r="AP77" s="428"/>
      <c r="AQ77" s="392"/>
      <c r="AR77" s="392" t="s">
        <v>853</v>
      </c>
      <c r="AS77" s="480"/>
      <c r="AT77" s="453"/>
      <c r="AU77" s="453"/>
      <c r="AV77" s="453"/>
      <c r="AW77" s="453"/>
      <c r="AX77" s="453"/>
      <c r="AY77" s="453"/>
      <c r="AZ77" s="452">
        <v>41145</v>
      </c>
      <c r="BA77" s="393"/>
      <c r="BB77" s="393"/>
      <c r="BC77" s="393" t="b">
        <v>0</v>
      </c>
      <c r="BD77" s="393"/>
      <c r="BE77" s="392"/>
      <c r="BF77" s="394">
        <v>1</v>
      </c>
      <c r="BG77" s="394">
        <v>12</v>
      </c>
      <c r="BH77" s="394">
        <v>8</v>
      </c>
      <c r="BI77" s="394">
        <v>5</v>
      </c>
      <c r="BJ77" s="394">
        <v>11</v>
      </c>
      <c r="BK77" s="394">
        <v>9</v>
      </c>
      <c r="BL77" s="444" t="s">
        <v>6981</v>
      </c>
      <c r="BM77" s="392"/>
      <c r="BN77" s="393"/>
      <c r="BO77" s="393"/>
      <c r="BP77" s="399"/>
      <c r="BQ77" s="400"/>
      <c r="BR77" s="401"/>
      <c r="BS77" s="399"/>
      <c r="BT77" s="394"/>
      <c r="BU77" s="417">
        <v>0.54227999999999998</v>
      </c>
      <c r="BV77" s="399"/>
      <c r="BW77" s="393" t="s">
        <v>3117</v>
      </c>
      <c r="BX77" s="392" t="s">
        <v>3275</v>
      </c>
      <c r="BY77" s="393"/>
      <c r="BZ77" s="393"/>
      <c r="CA77" s="441"/>
      <c r="CB77" s="400"/>
      <c r="CC77" s="398"/>
      <c r="CD77" s="398"/>
      <c r="CE77" s="398"/>
      <c r="CF77" s="398"/>
      <c r="CG77" s="398"/>
      <c r="CH77" s="398">
        <v>1.776</v>
      </c>
      <c r="CI77" s="398">
        <v>4.9870000000000001</v>
      </c>
      <c r="CJ77" s="398">
        <v>4.9870000000000001</v>
      </c>
      <c r="CK77" s="398">
        <v>4.9870000000000001</v>
      </c>
      <c r="CL77" s="398">
        <v>4.9870000000000001</v>
      </c>
      <c r="CM77" s="398">
        <v>4.9870000000000001</v>
      </c>
      <c r="CN77" s="398">
        <v>4.9870000000000001</v>
      </c>
      <c r="CO77" s="398">
        <v>4.9870000000000001</v>
      </c>
      <c r="CP77" s="398">
        <v>4.9870000000000001</v>
      </c>
      <c r="CQ77" s="398">
        <v>4.9870000000000001</v>
      </c>
      <c r="CR77" s="398">
        <v>3.2109999999999999</v>
      </c>
      <c r="CS77" s="398"/>
      <c r="CT77" s="398"/>
      <c r="CU77" s="398"/>
      <c r="CV77" s="398"/>
      <c r="CW77" s="398"/>
      <c r="CX77" s="398"/>
      <c r="CY77" s="398"/>
      <c r="CZ77" s="398"/>
      <c r="DA77" s="398"/>
      <c r="DB77" s="398"/>
      <c r="DC77" s="398"/>
      <c r="DD77" s="398"/>
      <c r="DE77" s="393"/>
      <c r="DF77" s="393"/>
      <c r="DG77" s="393"/>
      <c r="DH77" s="393"/>
      <c r="DI77" s="393"/>
      <c r="DJ77" s="393"/>
      <c r="DK77" s="897"/>
    </row>
    <row r="78" spans="1:115" ht="51" x14ac:dyDescent="0.2">
      <c r="A78" s="295">
        <v>74</v>
      </c>
      <c r="B78" s="390" t="s">
        <v>4341</v>
      </c>
      <c r="C78" s="390"/>
      <c r="D78" s="391" t="s">
        <v>4342</v>
      </c>
      <c r="E78" s="704" t="s">
        <v>4343</v>
      </c>
      <c r="F78" s="393" t="s">
        <v>1375</v>
      </c>
      <c r="G78" s="393" t="s">
        <v>1669</v>
      </c>
      <c r="H78" s="393" t="s">
        <v>959</v>
      </c>
      <c r="I78" s="392"/>
      <c r="J78" s="392"/>
      <c r="K78" s="392" t="s">
        <v>159</v>
      </c>
      <c r="L78" s="392" t="s">
        <v>960</v>
      </c>
      <c r="M78" s="392"/>
      <c r="N78" s="393" t="s">
        <v>44</v>
      </c>
      <c r="O78" s="393" t="s">
        <v>827</v>
      </c>
      <c r="P78" s="393" t="s">
        <v>827</v>
      </c>
      <c r="Q78" s="392" t="s">
        <v>923</v>
      </c>
      <c r="R78" s="392" t="s">
        <v>4344</v>
      </c>
      <c r="S78" s="392" t="s">
        <v>46</v>
      </c>
      <c r="T78" s="394">
        <v>1</v>
      </c>
      <c r="U78" s="395">
        <v>4.3899999999999997</v>
      </c>
      <c r="V78" s="395"/>
      <c r="W78" s="453"/>
      <c r="X78" s="394"/>
      <c r="Y78" s="394">
        <v>10</v>
      </c>
      <c r="Z78" s="394">
        <v>15</v>
      </c>
      <c r="AA78" s="395">
        <v>0</v>
      </c>
      <c r="AB78" s="452">
        <v>41258</v>
      </c>
      <c r="AC78" s="398">
        <v>2.1949999999999998</v>
      </c>
      <c r="AD78" s="398">
        <v>43.9</v>
      </c>
      <c r="AE78" s="393" t="s">
        <v>37</v>
      </c>
      <c r="AF78" s="417">
        <v>0.18099999999999999</v>
      </c>
      <c r="AG78" s="417">
        <f>7.814</f>
        <v>7.8140000000000001</v>
      </c>
      <c r="AH78" s="417">
        <v>7.9950000000000001</v>
      </c>
      <c r="AI78" s="394"/>
      <c r="AJ78" s="453">
        <v>43098</v>
      </c>
      <c r="AK78" s="453">
        <v>42004</v>
      </c>
      <c r="AL78" s="393"/>
      <c r="AM78" s="393"/>
      <c r="AN78" s="417"/>
      <c r="AO78" s="428" t="s">
        <v>37</v>
      </c>
      <c r="AP78" s="428"/>
      <c r="AQ78" s="392"/>
      <c r="AR78" s="392" t="s">
        <v>853</v>
      </c>
      <c r="AS78" s="480"/>
      <c r="AT78" s="453"/>
      <c r="AU78" s="453"/>
      <c r="AV78" s="453"/>
      <c r="AW78" s="453"/>
      <c r="AX78" s="453"/>
      <c r="AY78" s="453"/>
      <c r="AZ78" s="452">
        <v>41258</v>
      </c>
      <c r="BA78" s="393"/>
      <c r="BB78" s="393"/>
      <c r="BC78" s="393" t="b">
        <v>0</v>
      </c>
      <c r="BD78" s="393"/>
      <c r="BE78" s="392"/>
      <c r="BF78" s="394">
        <v>1</v>
      </c>
      <c r="BG78" s="394">
        <v>12</v>
      </c>
      <c r="BH78" s="394">
        <v>8</v>
      </c>
      <c r="BI78" s="394">
        <v>5</v>
      </c>
      <c r="BJ78" s="394">
        <v>11</v>
      </c>
      <c r="BK78" s="394">
        <v>9</v>
      </c>
      <c r="BL78" s="444" t="s">
        <v>6981</v>
      </c>
      <c r="BM78" s="392"/>
      <c r="BN78" s="393"/>
      <c r="BO78" s="393"/>
      <c r="BP78" s="399"/>
      <c r="BQ78" s="400"/>
      <c r="BR78" s="401"/>
      <c r="BS78" s="399"/>
      <c r="BT78" s="394"/>
      <c r="BU78" s="417">
        <v>0.54227999999999998</v>
      </c>
      <c r="BV78" s="399"/>
      <c r="BW78" s="393" t="s">
        <v>3117</v>
      </c>
      <c r="BX78" s="392" t="s">
        <v>3275</v>
      </c>
      <c r="BY78" s="393"/>
      <c r="BZ78" s="393"/>
      <c r="CA78" s="441"/>
      <c r="CB78" s="400"/>
      <c r="CC78" s="398"/>
      <c r="CD78" s="398"/>
      <c r="CE78" s="398"/>
      <c r="CF78" s="398"/>
      <c r="CG78" s="398"/>
      <c r="CH78" s="398">
        <v>0.216</v>
      </c>
      <c r="CI78" s="398">
        <v>4.3899999999999997</v>
      </c>
      <c r="CJ78" s="398">
        <v>4.3899999999999997</v>
      </c>
      <c r="CK78" s="398">
        <v>4.3899999999999997</v>
      </c>
      <c r="CL78" s="398">
        <v>4.3899999999999997</v>
      </c>
      <c r="CM78" s="398">
        <v>4.3899999999999997</v>
      </c>
      <c r="CN78" s="398">
        <v>4.3899999999999997</v>
      </c>
      <c r="CO78" s="398">
        <v>4.3899999999999997</v>
      </c>
      <c r="CP78" s="398">
        <v>4.3899999999999997</v>
      </c>
      <c r="CQ78" s="398">
        <v>4.3899999999999997</v>
      </c>
      <c r="CR78" s="398">
        <v>4.1740000000000004</v>
      </c>
      <c r="CS78" s="398"/>
      <c r="CT78" s="398"/>
      <c r="CU78" s="398"/>
      <c r="CV78" s="398"/>
      <c r="CW78" s="398"/>
      <c r="CX78" s="398"/>
      <c r="CY78" s="398"/>
      <c r="CZ78" s="398"/>
      <c r="DA78" s="398"/>
      <c r="DB78" s="398"/>
      <c r="DC78" s="398"/>
      <c r="DD78" s="398"/>
      <c r="DE78" s="393"/>
      <c r="DF78" s="393"/>
      <c r="DG78" s="393"/>
      <c r="DH78" s="393"/>
      <c r="DI78" s="393"/>
      <c r="DJ78" s="393"/>
      <c r="DK78" s="897"/>
    </row>
    <row r="79" spans="1:115" ht="51" x14ac:dyDescent="0.2">
      <c r="A79" s="295">
        <v>75</v>
      </c>
      <c r="B79" s="390" t="s">
        <v>4418</v>
      </c>
      <c r="C79" s="390"/>
      <c r="D79" s="391" t="s">
        <v>6975</v>
      </c>
      <c r="E79" s="704" t="s">
        <v>4419</v>
      </c>
      <c r="F79" s="393" t="s">
        <v>1375</v>
      </c>
      <c r="G79" s="393" t="s">
        <v>1669</v>
      </c>
      <c r="H79" s="393" t="s">
        <v>959</v>
      </c>
      <c r="I79" s="392"/>
      <c r="J79" s="392"/>
      <c r="K79" s="392" t="s">
        <v>159</v>
      </c>
      <c r="L79" s="392" t="s">
        <v>960</v>
      </c>
      <c r="M79" s="392"/>
      <c r="N79" s="393" t="s">
        <v>44</v>
      </c>
      <c r="O79" s="393" t="s">
        <v>827</v>
      </c>
      <c r="P79" s="393" t="s">
        <v>827</v>
      </c>
      <c r="Q79" s="392" t="s">
        <v>1831</v>
      </c>
      <c r="R79" s="392" t="s">
        <v>4420</v>
      </c>
      <c r="S79" s="392" t="s">
        <v>46</v>
      </c>
      <c r="T79" s="394">
        <v>1</v>
      </c>
      <c r="U79" s="395">
        <v>4.8650000000000002</v>
      </c>
      <c r="V79" s="395"/>
      <c r="W79" s="453"/>
      <c r="X79" s="394"/>
      <c r="Y79" s="394">
        <v>10</v>
      </c>
      <c r="Z79" s="394">
        <v>15</v>
      </c>
      <c r="AA79" s="395">
        <v>0</v>
      </c>
      <c r="AB79" s="452">
        <v>41276</v>
      </c>
      <c r="AC79" s="398">
        <v>0</v>
      </c>
      <c r="AD79" s="398">
        <v>48.650000000000006</v>
      </c>
      <c r="AE79" s="393" t="s">
        <v>37</v>
      </c>
      <c r="AF79" s="417"/>
      <c r="AG79" s="417">
        <f>9.547</f>
        <v>9.5470000000000006</v>
      </c>
      <c r="AH79" s="417">
        <v>9.5470000000000006</v>
      </c>
      <c r="AI79" s="394"/>
      <c r="AJ79" s="453">
        <v>43098</v>
      </c>
      <c r="AK79" s="453">
        <v>42004</v>
      </c>
      <c r="AL79" s="393"/>
      <c r="AM79" s="393"/>
      <c r="AN79" s="417"/>
      <c r="AO79" s="428" t="s">
        <v>37</v>
      </c>
      <c r="AP79" s="428"/>
      <c r="AQ79" s="392"/>
      <c r="AR79" s="392" t="s">
        <v>853</v>
      </c>
      <c r="AS79" s="480"/>
      <c r="AT79" s="453"/>
      <c r="AU79" s="453"/>
      <c r="AV79" s="453"/>
      <c r="AW79" s="453"/>
      <c r="AX79" s="453"/>
      <c r="AY79" s="453"/>
      <c r="AZ79" s="452">
        <v>41276</v>
      </c>
      <c r="BA79" s="393"/>
      <c r="BB79" s="393"/>
      <c r="BC79" s="393" t="b">
        <v>0</v>
      </c>
      <c r="BD79" s="393"/>
      <c r="BE79" s="392"/>
      <c r="BF79" s="394">
        <v>1</v>
      </c>
      <c r="BG79" s="394">
        <v>12</v>
      </c>
      <c r="BH79" s="394">
        <v>8</v>
      </c>
      <c r="BI79" s="394">
        <v>5</v>
      </c>
      <c r="BJ79" s="394">
        <v>11</v>
      </c>
      <c r="BK79" s="394">
        <v>9</v>
      </c>
      <c r="BL79" s="444" t="s">
        <v>6981</v>
      </c>
      <c r="BM79" s="392"/>
      <c r="BN79" s="393"/>
      <c r="BO79" s="393"/>
      <c r="BP79" s="399"/>
      <c r="BQ79" s="400"/>
      <c r="BR79" s="401"/>
      <c r="BS79" s="399"/>
      <c r="BT79" s="394"/>
      <c r="BU79" s="417">
        <v>0.5423</v>
      </c>
      <c r="BV79" s="399"/>
      <c r="BW79" s="393" t="s">
        <v>4421</v>
      </c>
      <c r="BX79" s="392" t="s">
        <v>3275</v>
      </c>
      <c r="BY79" s="393"/>
      <c r="BZ79" s="393"/>
      <c r="CA79" s="441"/>
      <c r="CB79" s="400"/>
      <c r="CC79" s="398"/>
      <c r="CD79" s="398"/>
      <c r="CE79" s="398"/>
      <c r="CF79" s="398"/>
      <c r="CG79" s="398"/>
      <c r="CH79" s="398"/>
      <c r="CI79" s="398">
        <v>4.8650000000000002</v>
      </c>
      <c r="CJ79" s="398">
        <v>4.8650000000000002</v>
      </c>
      <c r="CK79" s="398">
        <v>4.8650000000000002</v>
      </c>
      <c r="CL79" s="398">
        <v>4.8650000000000002</v>
      </c>
      <c r="CM79" s="398">
        <v>4.8650000000000002</v>
      </c>
      <c r="CN79" s="398">
        <v>4.8650000000000002</v>
      </c>
      <c r="CO79" s="398">
        <v>4.8650000000000002</v>
      </c>
      <c r="CP79" s="398">
        <v>4.8650000000000002</v>
      </c>
      <c r="CQ79" s="398">
        <v>4.8650000000000002</v>
      </c>
      <c r="CR79" s="398">
        <v>4.8650000000000002</v>
      </c>
      <c r="CS79" s="398"/>
      <c r="CT79" s="398"/>
      <c r="CU79" s="398"/>
      <c r="CV79" s="398"/>
      <c r="CW79" s="398"/>
      <c r="CX79" s="398"/>
      <c r="CY79" s="398"/>
      <c r="CZ79" s="398"/>
      <c r="DA79" s="398"/>
      <c r="DB79" s="398"/>
      <c r="DC79" s="398"/>
      <c r="DD79" s="398"/>
      <c r="DE79" s="393"/>
      <c r="DF79" s="393"/>
      <c r="DG79" s="393"/>
      <c r="DH79" s="393"/>
      <c r="DI79" s="393"/>
      <c r="DJ79" s="393"/>
      <c r="DK79" s="897"/>
    </row>
    <row r="80" spans="1:115" ht="76.5" x14ac:dyDescent="0.2">
      <c r="A80" s="295">
        <v>76</v>
      </c>
      <c r="B80" s="390" t="s">
        <v>293</v>
      </c>
      <c r="C80" s="424" t="s">
        <v>7429</v>
      </c>
      <c r="D80" s="391"/>
      <c r="E80" s="707" t="s">
        <v>294</v>
      </c>
      <c r="F80" s="404" t="s">
        <v>1352</v>
      </c>
      <c r="G80" s="404" t="s">
        <v>1671</v>
      </c>
      <c r="H80" s="404" t="s">
        <v>107</v>
      </c>
      <c r="I80" s="403"/>
      <c r="J80" s="403" t="s">
        <v>2124</v>
      </c>
      <c r="K80" s="403"/>
      <c r="L80" s="403" t="s">
        <v>295</v>
      </c>
      <c r="M80" s="403" t="s">
        <v>3845</v>
      </c>
      <c r="N80" s="404" t="s">
        <v>3142</v>
      </c>
      <c r="O80" s="404" t="s">
        <v>93</v>
      </c>
      <c r="P80" s="404" t="s">
        <v>93</v>
      </c>
      <c r="Q80" s="403" t="s">
        <v>296</v>
      </c>
      <c r="R80" s="403"/>
      <c r="S80" s="403" t="s">
        <v>102</v>
      </c>
      <c r="T80" s="405">
        <v>1</v>
      </c>
      <c r="U80" s="406">
        <v>2.65</v>
      </c>
      <c r="V80" s="406"/>
      <c r="W80" s="456">
        <v>39596</v>
      </c>
      <c r="X80" s="405">
        <v>28</v>
      </c>
      <c r="Y80" s="405"/>
      <c r="Z80" s="405"/>
      <c r="AA80" s="406"/>
      <c r="AB80" s="455"/>
      <c r="AC80" s="407">
        <v>9.2750000000000004</v>
      </c>
      <c r="AD80" s="407">
        <v>26.5</v>
      </c>
      <c r="AE80" s="404" t="s">
        <v>54</v>
      </c>
      <c r="AF80" s="418"/>
      <c r="AG80" s="418"/>
      <c r="AH80" s="418">
        <v>0</v>
      </c>
      <c r="AI80" s="405"/>
      <c r="AJ80" s="455"/>
      <c r="AK80" s="455"/>
      <c r="AL80" s="404"/>
      <c r="AM80" s="404"/>
      <c r="AN80" s="418"/>
      <c r="AO80" s="403"/>
      <c r="AP80" s="403" t="s">
        <v>7040</v>
      </c>
      <c r="AQ80" s="403"/>
      <c r="AR80" s="403" t="s">
        <v>297</v>
      </c>
      <c r="AS80" s="482">
        <v>39921</v>
      </c>
      <c r="AT80" s="455"/>
      <c r="AU80" s="455"/>
      <c r="AV80" s="455"/>
      <c r="AW80" s="455"/>
      <c r="AX80" s="455"/>
      <c r="AY80" s="455"/>
      <c r="AZ80" s="456">
        <v>41276</v>
      </c>
      <c r="BA80" s="404"/>
      <c r="BB80" s="404" t="s">
        <v>3147</v>
      </c>
      <c r="BC80" s="404" t="b">
        <v>0</v>
      </c>
      <c r="BD80" s="404" t="s">
        <v>3147</v>
      </c>
      <c r="BE80" s="403"/>
      <c r="BF80" s="405">
        <v>4</v>
      </c>
      <c r="BG80" s="405">
        <v>7</v>
      </c>
      <c r="BH80" s="405">
        <v>9</v>
      </c>
      <c r="BI80" s="405"/>
      <c r="BJ80" s="405"/>
      <c r="BK80" s="405"/>
      <c r="BL80" s="446"/>
      <c r="BM80" s="403"/>
      <c r="BN80" s="404"/>
      <c r="BO80" s="404"/>
      <c r="BP80" s="408"/>
      <c r="BQ80" s="409"/>
      <c r="BR80" s="410"/>
      <c r="BS80" s="408">
        <v>0</v>
      </c>
      <c r="BT80" s="405"/>
      <c r="BU80" s="418"/>
      <c r="BV80" s="408"/>
      <c r="BW80" s="404"/>
      <c r="BX80" s="403"/>
      <c r="BY80" s="404"/>
      <c r="BZ80" s="404"/>
      <c r="CA80" s="443"/>
      <c r="CB80" s="409"/>
      <c r="CC80" s="407"/>
      <c r="CD80" s="407"/>
      <c r="CE80" s="407"/>
      <c r="CF80" s="407"/>
      <c r="CG80" s="407"/>
      <c r="CH80" s="407"/>
      <c r="CI80" s="407"/>
      <c r="CJ80" s="407"/>
      <c r="CK80" s="407"/>
      <c r="CL80" s="407"/>
      <c r="CM80" s="407"/>
      <c r="CN80" s="407"/>
      <c r="CO80" s="407"/>
      <c r="CP80" s="407"/>
      <c r="CQ80" s="407"/>
      <c r="CR80" s="407"/>
      <c r="CS80" s="407"/>
      <c r="CT80" s="407"/>
      <c r="CU80" s="407"/>
      <c r="CV80" s="407"/>
      <c r="CW80" s="407"/>
      <c r="CX80" s="407"/>
      <c r="CY80" s="407"/>
      <c r="CZ80" s="407"/>
      <c r="DA80" s="407"/>
      <c r="DB80" s="407"/>
      <c r="DC80" s="407"/>
      <c r="DD80" s="407"/>
      <c r="DE80" s="404"/>
      <c r="DF80" s="404"/>
      <c r="DG80" s="404"/>
      <c r="DH80" s="404"/>
      <c r="DI80" s="404"/>
      <c r="DJ80" s="404"/>
      <c r="DK80" s="897"/>
    </row>
    <row r="81" spans="1:115" ht="38.25" x14ac:dyDescent="0.2">
      <c r="A81" s="295">
        <v>77</v>
      </c>
      <c r="B81" s="390" t="s">
        <v>2529</v>
      </c>
      <c r="C81" s="390"/>
      <c r="D81" s="391"/>
      <c r="E81" s="707" t="s">
        <v>298</v>
      </c>
      <c r="F81" s="404" t="s">
        <v>1352</v>
      </c>
      <c r="G81" s="404" t="s">
        <v>1671</v>
      </c>
      <c r="H81" s="404" t="s">
        <v>107</v>
      </c>
      <c r="I81" s="403"/>
      <c r="J81" s="403"/>
      <c r="K81" s="403" t="s">
        <v>299</v>
      </c>
      <c r="L81" s="403" t="s">
        <v>295</v>
      </c>
      <c r="M81" s="403"/>
      <c r="N81" s="404" t="s">
        <v>3142</v>
      </c>
      <c r="O81" s="404" t="s">
        <v>93</v>
      </c>
      <c r="P81" s="404" t="s">
        <v>93</v>
      </c>
      <c r="Q81" s="403" t="s">
        <v>296</v>
      </c>
      <c r="R81" s="403" t="s">
        <v>3846</v>
      </c>
      <c r="S81" s="403" t="s">
        <v>102</v>
      </c>
      <c r="T81" s="405">
        <v>1</v>
      </c>
      <c r="U81" s="406">
        <v>2.65</v>
      </c>
      <c r="V81" s="406"/>
      <c r="W81" s="455"/>
      <c r="X81" s="405"/>
      <c r="Y81" s="405">
        <v>10</v>
      </c>
      <c r="Z81" s="405">
        <v>15</v>
      </c>
      <c r="AA81" s="406">
        <v>0</v>
      </c>
      <c r="AB81" s="456">
        <v>39639</v>
      </c>
      <c r="AC81" s="407">
        <v>9.2750000000000004</v>
      </c>
      <c r="AD81" s="407">
        <v>26.5</v>
      </c>
      <c r="AE81" s="404" t="s">
        <v>54</v>
      </c>
      <c r="AF81" s="418"/>
      <c r="AG81" s="418"/>
      <c r="AH81" s="418"/>
      <c r="AI81" s="405"/>
      <c r="AJ81" s="455"/>
      <c r="AK81" s="455"/>
      <c r="AL81" s="404"/>
      <c r="AM81" s="404"/>
      <c r="AN81" s="418"/>
      <c r="AO81" s="403"/>
      <c r="AP81" s="403" t="s">
        <v>7040</v>
      </c>
      <c r="AQ81" s="403"/>
      <c r="AR81" s="403" t="s">
        <v>297</v>
      </c>
      <c r="AS81" s="482">
        <v>39921</v>
      </c>
      <c r="AT81" s="455"/>
      <c r="AU81" s="455"/>
      <c r="AV81" s="455"/>
      <c r="AW81" s="455"/>
      <c r="AX81" s="455"/>
      <c r="AY81" s="455"/>
      <c r="AZ81" s="455"/>
      <c r="BA81" s="404"/>
      <c r="BB81" s="404"/>
      <c r="BC81" s="404" t="b">
        <v>0</v>
      </c>
      <c r="BD81" s="404"/>
      <c r="BE81" s="403"/>
      <c r="BF81" s="405">
        <v>4</v>
      </c>
      <c r="BG81" s="405">
        <v>7</v>
      </c>
      <c r="BH81" s="405">
        <v>9</v>
      </c>
      <c r="BI81" s="405"/>
      <c r="BJ81" s="405"/>
      <c r="BK81" s="405"/>
      <c r="BL81" s="446" t="s">
        <v>6981</v>
      </c>
      <c r="BM81" s="403"/>
      <c r="BN81" s="404"/>
      <c r="BO81" s="404"/>
      <c r="BP81" s="408"/>
      <c r="BQ81" s="409"/>
      <c r="BR81" s="410"/>
      <c r="BS81" s="408"/>
      <c r="BT81" s="405"/>
      <c r="BU81" s="418">
        <v>0.52769999999999995</v>
      </c>
      <c r="BV81" s="408">
        <v>32.450000000000003</v>
      </c>
      <c r="BW81" s="404" t="s">
        <v>3117</v>
      </c>
      <c r="BX81" s="403" t="s">
        <v>1447</v>
      </c>
      <c r="BY81" s="404"/>
      <c r="BZ81" s="404"/>
      <c r="CA81" s="443" t="s">
        <v>1662</v>
      </c>
      <c r="CB81" s="409">
        <v>3</v>
      </c>
      <c r="CC81" s="407"/>
      <c r="CD81" s="407"/>
      <c r="CE81" s="407">
        <v>2.65</v>
      </c>
      <c r="CF81" s="407">
        <v>2.65</v>
      </c>
      <c r="CG81" s="407">
        <v>2.65</v>
      </c>
      <c r="CH81" s="407">
        <v>2.65</v>
      </c>
      <c r="CI81" s="407">
        <v>2.65</v>
      </c>
      <c r="CJ81" s="407">
        <v>2.65</v>
      </c>
      <c r="CK81" s="407">
        <v>2.65</v>
      </c>
      <c r="CL81" s="407">
        <v>2.65</v>
      </c>
      <c r="CM81" s="407">
        <v>2.65</v>
      </c>
      <c r="CN81" s="407">
        <v>2.65</v>
      </c>
      <c r="CO81" s="407"/>
      <c r="CP81" s="407"/>
      <c r="CQ81" s="407"/>
      <c r="CR81" s="407"/>
      <c r="CS81" s="407"/>
      <c r="CT81" s="407"/>
      <c r="CU81" s="407"/>
      <c r="CV81" s="407"/>
      <c r="CW81" s="407"/>
      <c r="CX81" s="407"/>
      <c r="CY81" s="407"/>
      <c r="CZ81" s="407"/>
      <c r="DA81" s="407"/>
      <c r="DB81" s="407"/>
      <c r="DC81" s="407"/>
      <c r="DD81" s="407"/>
      <c r="DE81" s="404"/>
      <c r="DF81" s="404"/>
      <c r="DG81" s="404"/>
      <c r="DH81" s="404"/>
      <c r="DI81" s="404"/>
      <c r="DJ81" s="404"/>
      <c r="DK81" s="897"/>
    </row>
    <row r="82" spans="1:115" ht="25.5" x14ac:dyDescent="0.2">
      <c r="A82" s="295">
        <v>78</v>
      </c>
      <c r="B82" s="390" t="s">
        <v>963</v>
      </c>
      <c r="C82" s="424" t="s">
        <v>7430</v>
      </c>
      <c r="D82" s="391"/>
      <c r="E82" s="708" t="s">
        <v>964</v>
      </c>
      <c r="F82" s="404" t="s">
        <v>1352</v>
      </c>
      <c r="G82" s="404" t="s">
        <v>1672</v>
      </c>
      <c r="H82" s="404" t="s">
        <v>89</v>
      </c>
      <c r="I82" s="403"/>
      <c r="J82" s="403" t="s">
        <v>2125</v>
      </c>
      <c r="K82" s="403"/>
      <c r="L82" s="403" t="s">
        <v>965</v>
      </c>
      <c r="M82" s="403" t="s">
        <v>3265</v>
      </c>
      <c r="N82" s="404" t="s">
        <v>2412</v>
      </c>
      <c r="O82" s="404" t="s">
        <v>827</v>
      </c>
      <c r="P82" s="404" t="s">
        <v>827</v>
      </c>
      <c r="Q82" s="403" t="s">
        <v>923</v>
      </c>
      <c r="R82" s="403"/>
      <c r="S82" s="403" t="s">
        <v>46</v>
      </c>
      <c r="T82" s="405"/>
      <c r="U82" s="406"/>
      <c r="V82" s="406"/>
      <c r="W82" s="456">
        <v>39934</v>
      </c>
      <c r="X82" s="405">
        <v>28</v>
      </c>
      <c r="Y82" s="405"/>
      <c r="Z82" s="405"/>
      <c r="AA82" s="406"/>
      <c r="AB82" s="455"/>
      <c r="AC82" s="407"/>
      <c r="AD82" s="407"/>
      <c r="AE82" s="404" t="s">
        <v>167</v>
      </c>
      <c r="AF82" s="418"/>
      <c r="AG82" s="418"/>
      <c r="AH82" s="418"/>
      <c r="AI82" s="405"/>
      <c r="AJ82" s="455"/>
      <c r="AK82" s="455"/>
      <c r="AL82" s="404"/>
      <c r="AM82" s="404"/>
      <c r="AN82" s="418"/>
      <c r="AO82" s="403"/>
      <c r="AP82" s="403" t="s">
        <v>7041</v>
      </c>
      <c r="AQ82" s="403"/>
      <c r="AR82" s="403" t="s">
        <v>966</v>
      </c>
      <c r="AS82" s="482">
        <v>39968</v>
      </c>
      <c r="AT82" s="456">
        <v>40831</v>
      </c>
      <c r="AU82" s="455"/>
      <c r="AV82" s="455"/>
      <c r="AW82" s="455"/>
      <c r="AX82" s="455"/>
      <c r="AY82" s="455"/>
      <c r="AZ82" s="455"/>
      <c r="BA82" s="404"/>
      <c r="BB82" s="404" t="s">
        <v>3116</v>
      </c>
      <c r="BC82" s="404" t="b">
        <v>0</v>
      </c>
      <c r="BD82" s="404" t="s">
        <v>3116</v>
      </c>
      <c r="BE82" s="403"/>
      <c r="BF82" s="405">
        <v>4</v>
      </c>
      <c r="BG82" s="405">
        <v>9</v>
      </c>
      <c r="BH82" s="405">
        <v>7</v>
      </c>
      <c r="BI82" s="405">
        <v>6</v>
      </c>
      <c r="BJ82" s="405">
        <v>8</v>
      </c>
      <c r="BK82" s="405">
        <v>5</v>
      </c>
      <c r="BL82" s="446"/>
      <c r="BM82" s="403"/>
      <c r="BN82" s="404"/>
      <c r="BO82" s="404"/>
      <c r="BP82" s="408"/>
      <c r="BQ82" s="409"/>
      <c r="BR82" s="410"/>
      <c r="BS82" s="408"/>
      <c r="BT82" s="405"/>
      <c r="BU82" s="418"/>
      <c r="BV82" s="408"/>
      <c r="BW82" s="404"/>
      <c r="BX82" s="403"/>
      <c r="BY82" s="404"/>
      <c r="BZ82" s="404"/>
      <c r="CA82" s="443"/>
      <c r="CB82" s="409"/>
      <c r="CC82" s="407"/>
      <c r="CD82" s="407"/>
      <c r="CE82" s="407"/>
      <c r="CF82" s="407"/>
      <c r="CG82" s="407"/>
      <c r="CH82" s="407"/>
      <c r="CI82" s="407"/>
      <c r="CJ82" s="407"/>
      <c r="CK82" s="407"/>
      <c r="CL82" s="407"/>
      <c r="CM82" s="407"/>
      <c r="CN82" s="407"/>
      <c r="CO82" s="407"/>
      <c r="CP82" s="407"/>
      <c r="CQ82" s="407"/>
      <c r="CR82" s="407"/>
      <c r="CS82" s="407"/>
      <c r="CT82" s="407"/>
      <c r="CU82" s="407"/>
      <c r="CV82" s="407"/>
      <c r="CW82" s="407"/>
      <c r="CX82" s="407"/>
      <c r="CY82" s="407"/>
      <c r="CZ82" s="407"/>
      <c r="DA82" s="407"/>
      <c r="DB82" s="407"/>
      <c r="DC82" s="407"/>
      <c r="DD82" s="407"/>
      <c r="DE82" s="404"/>
      <c r="DF82" s="404"/>
      <c r="DG82" s="404"/>
      <c r="DH82" s="404"/>
      <c r="DI82" s="404"/>
      <c r="DJ82" s="404"/>
      <c r="DK82" s="897"/>
    </row>
    <row r="83" spans="1:115" ht="38.25" x14ac:dyDescent="0.2">
      <c r="A83" s="295">
        <v>79</v>
      </c>
      <c r="B83" s="390" t="s">
        <v>2530</v>
      </c>
      <c r="C83" s="390"/>
      <c r="D83" s="391"/>
      <c r="E83" s="707" t="s">
        <v>967</v>
      </c>
      <c r="F83" s="404" t="s">
        <v>1352</v>
      </c>
      <c r="G83" s="404" t="s">
        <v>1672</v>
      </c>
      <c r="H83" s="404" t="s">
        <v>89</v>
      </c>
      <c r="I83" s="403"/>
      <c r="J83" s="403"/>
      <c r="K83" s="403" t="s">
        <v>2125</v>
      </c>
      <c r="L83" s="403" t="s">
        <v>965</v>
      </c>
      <c r="M83" s="403"/>
      <c r="N83" s="404" t="s">
        <v>2412</v>
      </c>
      <c r="O83" s="404" t="s">
        <v>827</v>
      </c>
      <c r="P83" s="404" t="s">
        <v>827</v>
      </c>
      <c r="Q83" s="403" t="s">
        <v>923</v>
      </c>
      <c r="R83" s="403" t="s">
        <v>3847</v>
      </c>
      <c r="S83" s="403" t="s">
        <v>46</v>
      </c>
      <c r="T83" s="405">
        <v>1</v>
      </c>
      <c r="U83" s="406">
        <v>2.5419999999999998</v>
      </c>
      <c r="V83" s="406"/>
      <c r="W83" s="455"/>
      <c r="X83" s="405"/>
      <c r="Y83" s="405">
        <v>7</v>
      </c>
      <c r="Z83" s="405">
        <v>15</v>
      </c>
      <c r="AA83" s="406">
        <v>0</v>
      </c>
      <c r="AB83" s="456">
        <v>40118</v>
      </c>
      <c r="AC83" s="407">
        <v>7.6260000000000003</v>
      </c>
      <c r="AD83" s="407">
        <v>28.400756164383562</v>
      </c>
      <c r="AE83" s="404" t="s">
        <v>167</v>
      </c>
      <c r="AF83" s="418"/>
      <c r="AG83" s="418"/>
      <c r="AH83" s="418"/>
      <c r="AI83" s="405"/>
      <c r="AJ83" s="455"/>
      <c r="AK83" s="455"/>
      <c r="AL83" s="404"/>
      <c r="AM83" s="404"/>
      <c r="AN83" s="418"/>
      <c r="AO83" s="403"/>
      <c r="AP83" s="403" t="s">
        <v>7041</v>
      </c>
      <c r="AQ83" s="403"/>
      <c r="AR83" s="403" t="s">
        <v>966</v>
      </c>
      <c r="AS83" s="482">
        <v>39968</v>
      </c>
      <c r="AT83" s="456">
        <v>40831</v>
      </c>
      <c r="AU83" s="455"/>
      <c r="AV83" s="455"/>
      <c r="AW83" s="455"/>
      <c r="AX83" s="455"/>
      <c r="AY83" s="455"/>
      <c r="AZ83" s="455"/>
      <c r="BA83" s="404"/>
      <c r="BB83" s="404"/>
      <c r="BC83" s="404" t="b">
        <v>0</v>
      </c>
      <c r="BD83" s="404"/>
      <c r="BE83" s="403"/>
      <c r="BF83" s="405">
        <v>4</v>
      </c>
      <c r="BG83" s="405">
        <v>9</v>
      </c>
      <c r="BH83" s="405">
        <v>7</v>
      </c>
      <c r="BI83" s="405">
        <v>6</v>
      </c>
      <c r="BJ83" s="405">
        <v>8</v>
      </c>
      <c r="BK83" s="405">
        <v>5</v>
      </c>
      <c r="BL83" s="446" t="s">
        <v>6981</v>
      </c>
      <c r="BM83" s="403"/>
      <c r="BN83" s="404"/>
      <c r="BO83" s="404"/>
      <c r="BP83" s="408"/>
      <c r="BQ83" s="409"/>
      <c r="BR83" s="410"/>
      <c r="BS83" s="408"/>
      <c r="BT83" s="405"/>
      <c r="BU83" s="418">
        <v>0.52</v>
      </c>
      <c r="BV83" s="408">
        <v>34.223999999999997</v>
      </c>
      <c r="BW83" s="404" t="s">
        <v>3117</v>
      </c>
      <c r="BX83" s="403" t="s">
        <v>3199</v>
      </c>
      <c r="BY83" s="404"/>
      <c r="BZ83" s="404"/>
      <c r="CA83" s="443"/>
      <c r="CB83" s="409"/>
      <c r="CC83" s="407"/>
      <c r="CD83" s="407"/>
      <c r="CE83" s="407">
        <v>2.5419999999999998</v>
      </c>
      <c r="CF83" s="407">
        <v>2.5419999999999998</v>
      </c>
      <c r="CG83" s="407">
        <v>2.5419999999999998</v>
      </c>
      <c r="CH83" s="407">
        <v>2.5419999999999998</v>
      </c>
      <c r="CI83" s="407">
        <v>2.5419999999999998</v>
      </c>
      <c r="CJ83" s="407">
        <v>2.5419999999999998</v>
      </c>
      <c r="CK83" s="407">
        <v>2.5419999999999998</v>
      </c>
      <c r="CL83" s="407"/>
      <c r="CM83" s="407"/>
      <c r="CN83" s="407"/>
      <c r="CO83" s="407"/>
      <c r="CP83" s="407"/>
      <c r="CQ83" s="407"/>
      <c r="CR83" s="407"/>
      <c r="CS83" s="407"/>
      <c r="CT83" s="407"/>
      <c r="CU83" s="407"/>
      <c r="CV83" s="407"/>
      <c r="CW83" s="407"/>
      <c r="CX83" s="407"/>
      <c r="CY83" s="407"/>
      <c r="CZ83" s="407"/>
      <c r="DA83" s="407"/>
      <c r="DB83" s="407"/>
      <c r="DC83" s="407"/>
      <c r="DD83" s="407"/>
      <c r="DE83" s="404"/>
      <c r="DF83" s="404"/>
      <c r="DG83" s="404"/>
      <c r="DH83" s="404"/>
      <c r="DI83" s="404"/>
      <c r="DJ83" s="404"/>
      <c r="DK83" s="897"/>
    </row>
    <row r="84" spans="1:115" ht="63.75" x14ac:dyDescent="0.2">
      <c r="A84" s="295">
        <v>80</v>
      </c>
      <c r="B84" s="390" t="s">
        <v>372</v>
      </c>
      <c r="C84" s="424" t="s">
        <v>7431</v>
      </c>
      <c r="D84" s="391"/>
      <c r="E84" s="707" t="s">
        <v>373</v>
      </c>
      <c r="F84" s="404" t="s">
        <v>1352</v>
      </c>
      <c r="G84" s="404" t="s">
        <v>1671</v>
      </c>
      <c r="H84" s="404" t="s">
        <v>117</v>
      </c>
      <c r="I84" s="403"/>
      <c r="J84" s="403" t="s">
        <v>2126</v>
      </c>
      <c r="K84" s="403"/>
      <c r="L84" s="403" t="s">
        <v>157</v>
      </c>
      <c r="M84" s="403" t="s">
        <v>3848</v>
      </c>
      <c r="N84" s="404" t="s">
        <v>3142</v>
      </c>
      <c r="O84" s="404" t="s">
        <v>374</v>
      </c>
      <c r="P84" s="404" t="s">
        <v>374</v>
      </c>
      <c r="Q84" s="403" t="s">
        <v>375</v>
      </c>
      <c r="R84" s="403"/>
      <c r="S84" s="403" t="s">
        <v>376</v>
      </c>
      <c r="T84" s="405">
        <v>1</v>
      </c>
      <c r="U84" s="406">
        <v>1</v>
      </c>
      <c r="V84" s="406"/>
      <c r="W84" s="456">
        <v>39448</v>
      </c>
      <c r="X84" s="405">
        <v>28</v>
      </c>
      <c r="Y84" s="405"/>
      <c r="Z84" s="405"/>
      <c r="AA84" s="406"/>
      <c r="AB84" s="455"/>
      <c r="AC84" s="407">
        <v>3</v>
      </c>
      <c r="AD84" s="407">
        <v>10</v>
      </c>
      <c r="AE84" s="404" t="s">
        <v>47</v>
      </c>
      <c r="AF84" s="418"/>
      <c r="AG84" s="418"/>
      <c r="AH84" s="418">
        <v>0</v>
      </c>
      <c r="AI84" s="405"/>
      <c r="AJ84" s="455"/>
      <c r="AK84" s="455"/>
      <c r="AL84" s="404"/>
      <c r="AM84" s="404"/>
      <c r="AN84" s="418"/>
      <c r="AO84" s="403"/>
      <c r="AP84" s="403" t="s">
        <v>7042</v>
      </c>
      <c r="AQ84" s="403"/>
      <c r="AR84" s="403" t="s">
        <v>3770</v>
      </c>
      <c r="AS84" s="482">
        <v>39973</v>
      </c>
      <c r="AT84" s="455"/>
      <c r="AU84" s="455"/>
      <c r="AV84" s="455"/>
      <c r="AW84" s="455"/>
      <c r="AX84" s="455"/>
      <c r="AY84" s="455"/>
      <c r="AZ84" s="455"/>
      <c r="BA84" s="404"/>
      <c r="BB84" s="404" t="s">
        <v>3116</v>
      </c>
      <c r="BC84" s="404" t="b">
        <v>0</v>
      </c>
      <c r="BD84" s="404" t="s">
        <v>3116</v>
      </c>
      <c r="BE84" s="403"/>
      <c r="BF84" s="405">
        <v>1</v>
      </c>
      <c r="BG84" s="405">
        <v>8</v>
      </c>
      <c r="BH84" s="405">
        <v>4</v>
      </c>
      <c r="BI84" s="405">
        <v>9</v>
      </c>
      <c r="BJ84" s="405"/>
      <c r="BK84" s="405"/>
      <c r="BL84" s="446"/>
      <c r="BM84" s="403"/>
      <c r="BN84" s="404"/>
      <c r="BO84" s="404"/>
      <c r="BP84" s="408"/>
      <c r="BQ84" s="409"/>
      <c r="BR84" s="410"/>
      <c r="BS84" s="408">
        <v>0</v>
      </c>
      <c r="BT84" s="405"/>
      <c r="BU84" s="418"/>
      <c r="BV84" s="408"/>
      <c r="BW84" s="404"/>
      <c r="BX84" s="403"/>
      <c r="BY84" s="404"/>
      <c r="BZ84" s="404"/>
      <c r="CA84" s="443"/>
      <c r="CB84" s="409"/>
      <c r="CC84" s="407"/>
      <c r="CD84" s="407"/>
      <c r="CE84" s="407"/>
      <c r="CF84" s="407"/>
      <c r="CG84" s="407"/>
      <c r="CH84" s="407"/>
      <c r="CI84" s="407"/>
      <c r="CJ84" s="407"/>
      <c r="CK84" s="407"/>
      <c r="CL84" s="407"/>
      <c r="CM84" s="407"/>
      <c r="CN84" s="407"/>
      <c r="CO84" s="407"/>
      <c r="CP84" s="407"/>
      <c r="CQ84" s="407"/>
      <c r="CR84" s="407"/>
      <c r="CS84" s="407"/>
      <c r="CT84" s="407"/>
      <c r="CU84" s="407"/>
      <c r="CV84" s="407"/>
      <c r="CW84" s="407"/>
      <c r="CX84" s="407"/>
      <c r="CY84" s="407"/>
      <c r="CZ84" s="407"/>
      <c r="DA84" s="407"/>
      <c r="DB84" s="407"/>
      <c r="DC84" s="407"/>
      <c r="DD84" s="407"/>
      <c r="DE84" s="404"/>
      <c r="DF84" s="404"/>
      <c r="DG84" s="404"/>
      <c r="DH84" s="404"/>
      <c r="DI84" s="404"/>
      <c r="DJ84" s="404"/>
      <c r="DK84" s="897"/>
    </row>
    <row r="85" spans="1:115" ht="25.5" x14ac:dyDescent="0.2">
      <c r="A85" s="295">
        <v>81</v>
      </c>
      <c r="B85" s="390" t="s">
        <v>2531</v>
      </c>
      <c r="C85" s="390"/>
      <c r="D85" s="391"/>
      <c r="E85" s="707" t="s">
        <v>377</v>
      </c>
      <c r="F85" s="404" t="s">
        <v>1352</v>
      </c>
      <c r="G85" s="404" t="s">
        <v>1671</v>
      </c>
      <c r="H85" s="404" t="s">
        <v>117</v>
      </c>
      <c r="I85" s="403"/>
      <c r="J85" s="403"/>
      <c r="K85" s="403" t="s">
        <v>1854</v>
      </c>
      <c r="L85" s="403" t="s">
        <v>157</v>
      </c>
      <c r="M85" s="403"/>
      <c r="N85" s="404" t="s">
        <v>3142</v>
      </c>
      <c r="O85" s="404" t="s">
        <v>374</v>
      </c>
      <c r="P85" s="404" t="s">
        <v>374</v>
      </c>
      <c r="Q85" s="403" t="s">
        <v>375</v>
      </c>
      <c r="R85" s="403" t="s">
        <v>3849</v>
      </c>
      <c r="S85" s="403" t="s">
        <v>376</v>
      </c>
      <c r="T85" s="405">
        <v>1</v>
      </c>
      <c r="U85" s="406">
        <v>1</v>
      </c>
      <c r="V85" s="406"/>
      <c r="W85" s="455"/>
      <c r="X85" s="405"/>
      <c r="Y85" s="405">
        <v>10</v>
      </c>
      <c r="Z85" s="405">
        <v>20</v>
      </c>
      <c r="AA85" s="406">
        <v>0</v>
      </c>
      <c r="AB85" s="456">
        <v>39814</v>
      </c>
      <c r="AC85" s="407">
        <v>3</v>
      </c>
      <c r="AD85" s="407">
        <v>10</v>
      </c>
      <c r="AE85" s="404" t="s">
        <v>47</v>
      </c>
      <c r="AF85" s="418"/>
      <c r="AG85" s="418"/>
      <c r="AH85" s="418"/>
      <c r="AI85" s="405"/>
      <c r="AJ85" s="455"/>
      <c r="AK85" s="455"/>
      <c r="AL85" s="404"/>
      <c r="AM85" s="404"/>
      <c r="AN85" s="418"/>
      <c r="AO85" s="403"/>
      <c r="AP85" s="403" t="s">
        <v>7042</v>
      </c>
      <c r="AQ85" s="403"/>
      <c r="AR85" s="403" t="s">
        <v>3770</v>
      </c>
      <c r="AS85" s="482">
        <v>39973</v>
      </c>
      <c r="AT85" s="455"/>
      <c r="AU85" s="455"/>
      <c r="AV85" s="455"/>
      <c r="AW85" s="455"/>
      <c r="AX85" s="455"/>
      <c r="AY85" s="455"/>
      <c r="AZ85" s="455"/>
      <c r="BA85" s="404"/>
      <c r="BB85" s="404"/>
      <c r="BC85" s="404" t="b">
        <v>0</v>
      </c>
      <c r="BD85" s="404"/>
      <c r="BE85" s="403"/>
      <c r="BF85" s="405">
        <v>1</v>
      </c>
      <c r="BG85" s="405">
        <v>8</v>
      </c>
      <c r="BH85" s="405">
        <v>4</v>
      </c>
      <c r="BI85" s="405">
        <v>9</v>
      </c>
      <c r="BJ85" s="405"/>
      <c r="BK85" s="405"/>
      <c r="BL85" s="446" t="s">
        <v>6981</v>
      </c>
      <c r="BM85" s="403"/>
      <c r="BN85" s="404"/>
      <c r="BO85" s="404"/>
      <c r="BP85" s="408"/>
      <c r="BQ85" s="409"/>
      <c r="BR85" s="410"/>
      <c r="BS85" s="408"/>
      <c r="BT85" s="405"/>
      <c r="BU85" s="418"/>
      <c r="BV85" s="408"/>
      <c r="BW85" s="404" t="s">
        <v>3165</v>
      </c>
      <c r="BX85" s="403" t="s">
        <v>3154</v>
      </c>
      <c r="BY85" s="404"/>
      <c r="BZ85" s="404"/>
      <c r="CA85" s="443"/>
      <c r="CB85" s="409"/>
      <c r="CC85" s="407"/>
      <c r="CD85" s="407">
        <v>1</v>
      </c>
      <c r="CE85" s="407">
        <v>1</v>
      </c>
      <c r="CF85" s="407">
        <v>1</v>
      </c>
      <c r="CG85" s="407">
        <v>1</v>
      </c>
      <c r="CH85" s="407">
        <v>1</v>
      </c>
      <c r="CI85" s="407">
        <v>1</v>
      </c>
      <c r="CJ85" s="407">
        <v>1</v>
      </c>
      <c r="CK85" s="407">
        <v>1</v>
      </c>
      <c r="CL85" s="407">
        <v>1</v>
      </c>
      <c r="CM85" s="407">
        <v>1</v>
      </c>
      <c r="CN85" s="407"/>
      <c r="CO85" s="407"/>
      <c r="CP85" s="407"/>
      <c r="CQ85" s="407"/>
      <c r="CR85" s="407"/>
      <c r="CS85" s="407"/>
      <c r="CT85" s="407"/>
      <c r="CU85" s="407"/>
      <c r="CV85" s="407"/>
      <c r="CW85" s="407"/>
      <c r="CX85" s="407"/>
      <c r="CY85" s="407"/>
      <c r="CZ85" s="407"/>
      <c r="DA85" s="407"/>
      <c r="DB85" s="407"/>
      <c r="DC85" s="407"/>
      <c r="DD85" s="407"/>
      <c r="DE85" s="404"/>
      <c r="DF85" s="404"/>
      <c r="DG85" s="404"/>
      <c r="DH85" s="404"/>
      <c r="DI85" s="404"/>
      <c r="DJ85" s="404"/>
      <c r="DK85" s="897"/>
    </row>
    <row r="86" spans="1:115" ht="25.5" x14ac:dyDescent="0.2">
      <c r="A86" s="295">
        <v>82</v>
      </c>
      <c r="B86" s="390" t="s">
        <v>456</v>
      </c>
      <c r="C86" s="424" t="s">
        <v>7432</v>
      </c>
      <c r="D86" s="391" t="s">
        <v>1613</v>
      </c>
      <c r="E86" s="704" t="s">
        <v>457</v>
      </c>
      <c r="F86" s="393" t="s">
        <v>1352</v>
      </c>
      <c r="G86" s="393" t="s">
        <v>1673</v>
      </c>
      <c r="H86" s="393" t="s">
        <v>42</v>
      </c>
      <c r="I86" s="392"/>
      <c r="J86" s="392" t="s">
        <v>42</v>
      </c>
      <c r="K86" s="392"/>
      <c r="L86" s="392" t="s">
        <v>458</v>
      </c>
      <c r="M86" s="392" t="s">
        <v>3850</v>
      </c>
      <c r="N86" s="393" t="s">
        <v>44</v>
      </c>
      <c r="O86" s="393" t="s">
        <v>51</v>
      </c>
      <c r="P86" s="393" t="s">
        <v>51</v>
      </c>
      <c r="Q86" s="392" t="s">
        <v>426</v>
      </c>
      <c r="R86" s="392"/>
      <c r="S86" s="392" t="s">
        <v>427</v>
      </c>
      <c r="T86" s="394">
        <v>50</v>
      </c>
      <c r="U86" s="395">
        <v>1548.9679999999994</v>
      </c>
      <c r="V86" s="395"/>
      <c r="W86" s="452">
        <v>40328</v>
      </c>
      <c r="X86" s="394">
        <v>28</v>
      </c>
      <c r="Y86" s="394"/>
      <c r="Z86" s="394"/>
      <c r="AA86" s="395"/>
      <c r="AB86" s="453"/>
      <c r="AC86" s="398">
        <v>1946.3704429999996</v>
      </c>
      <c r="AD86" s="398">
        <v>17490.580000000009</v>
      </c>
      <c r="AE86" s="393" t="s">
        <v>37</v>
      </c>
      <c r="AF86" s="417">
        <f>SUM(AF87:AF136)</f>
        <v>1520.248</v>
      </c>
      <c r="AG86" s="417">
        <f>SUM(AG87:AG136)</f>
        <v>1172.1920000000002</v>
      </c>
      <c r="AH86" s="417">
        <v>2692.4399999999996</v>
      </c>
      <c r="AI86" s="394">
        <v>2</v>
      </c>
      <c r="AJ86" s="452">
        <v>41845</v>
      </c>
      <c r="AK86" s="452">
        <v>42975</v>
      </c>
      <c r="AL86" s="393"/>
      <c r="AM86" s="393"/>
      <c r="AN86" s="417"/>
      <c r="AO86" s="392" t="s">
        <v>82</v>
      </c>
      <c r="AP86" s="428" t="s">
        <v>7054</v>
      </c>
      <c r="AQ86" s="392"/>
      <c r="AR86" s="392" t="s">
        <v>458</v>
      </c>
      <c r="AS86" s="479">
        <v>40016</v>
      </c>
      <c r="AT86" s="453"/>
      <c r="AU86" s="453"/>
      <c r="AV86" s="452">
        <v>40061</v>
      </c>
      <c r="AW86" s="452">
        <v>40161</v>
      </c>
      <c r="AX86" s="452">
        <v>40267</v>
      </c>
      <c r="AY86" s="452">
        <v>40297</v>
      </c>
      <c r="AZ86" s="453"/>
      <c r="BA86" s="393"/>
      <c r="BB86" s="393" t="s">
        <v>3116</v>
      </c>
      <c r="BC86" s="393" t="b">
        <v>0</v>
      </c>
      <c r="BD86" s="393" t="s">
        <v>3116</v>
      </c>
      <c r="BE86" s="428" t="s">
        <v>6053</v>
      </c>
      <c r="BF86" s="394">
        <v>4</v>
      </c>
      <c r="BG86" s="394">
        <v>8</v>
      </c>
      <c r="BH86" s="394">
        <v>7</v>
      </c>
      <c r="BI86" s="394"/>
      <c r="BJ86" s="394"/>
      <c r="BK86" s="394"/>
      <c r="BL86" s="444"/>
      <c r="BM86" s="392"/>
      <c r="BN86" s="393"/>
      <c r="BO86" s="393"/>
      <c r="BP86" s="399"/>
      <c r="BQ86" s="400"/>
      <c r="BR86" s="401"/>
      <c r="BS86" s="399">
        <v>0</v>
      </c>
      <c r="BT86" s="394"/>
      <c r="BU86" s="417"/>
      <c r="BV86" s="399"/>
      <c r="BW86" s="393"/>
      <c r="BX86" s="392"/>
      <c r="BY86" s="393"/>
      <c r="BZ86" s="393"/>
      <c r="CA86" s="441"/>
      <c r="CB86" s="400"/>
      <c r="CC86" s="398"/>
      <c r="CD86" s="398"/>
      <c r="CE86" s="398"/>
      <c r="CF86" s="398"/>
      <c r="CG86" s="398"/>
      <c r="CH86" s="398"/>
      <c r="CI86" s="398"/>
      <c r="CJ86" s="398"/>
      <c r="CK86" s="398"/>
      <c r="CL86" s="398"/>
      <c r="CM86" s="398"/>
      <c r="CN86" s="398"/>
      <c r="CO86" s="398"/>
      <c r="CP86" s="398"/>
      <c r="CQ86" s="398"/>
      <c r="CR86" s="398"/>
      <c r="CS86" s="398"/>
      <c r="CT86" s="398"/>
      <c r="CU86" s="398"/>
      <c r="CV86" s="398"/>
      <c r="CW86" s="398"/>
      <c r="CX86" s="398"/>
      <c r="CY86" s="398"/>
      <c r="CZ86" s="398"/>
      <c r="DA86" s="398"/>
      <c r="DB86" s="398"/>
      <c r="DC86" s="398"/>
      <c r="DD86" s="398"/>
      <c r="DE86" s="393"/>
      <c r="DF86" s="393"/>
      <c r="DG86" s="393"/>
      <c r="DH86" s="393"/>
      <c r="DI86" s="393"/>
      <c r="DJ86" s="393"/>
      <c r="DK86" s="896" t="s">
        <v>9703</v>
      </c>
    </row>
    <row r="87" spans="1:115" ht="51" x14ac:dyDescent="0.2">
      <c r="A87" s="295">
        <v>83</v>
      </c>
      <c r="B87" s="390" t="s">
        <v>2532</v>
      </c>
      <c r="C87" s="390"/>
      <c r="D87" s="391" t="s">
        <v>459</v>
      </c>
      <c r="E87" s="704" t="s">
        <v>1855</v>
      </c>
      <c r="F87" s="393" t="s">
        <v>1352</v>
      </c>
      <c r="G87" s="393" t="s">
        <v>1673</v>
      </c>
      <c r="H87" s="393" t="s">
        <v>42</v>
      </c>
      <c r="I87" s="392"/>
      <c r="J87" s="392"/>
      <c r="K87" s="392" t="s">
        <v>460</v>
      </c>
      <c r="L87" s="392" t="s">
        <v>458</v>
      </c>
      <c r="M87" s="392"/>
      <c r="N87" s="393" t="s">
        <v>44</v>
      </c>
      <c r="O87" s="393" t="s">
        <v>51</v>
      </c>
      <c r="P87" s="393" t="s">
        <v>51</v>
      </c>
      <c r="Q87" s="392" t="s">
        <v>426</v>
      </c>
      <c r="R87" s="392" t="s">
        <v>3851</v>
      </c>
      <c r="S87" s="392" t="s">
        <v>427</v>
      </c>
      <c r="T87" s="394">
        <v>1</v>
      </c>
      <c r="U87" s="395">
        <v>34.892000000000003</v>
      </c>
      <c r="V87" s="395"/>
      <c r="W87" s="453"/>
      <c r="X87" s="394"/>
      <c r="Y87" s="394">
        <v>10</v>
      </c>
      <c r="Z87" s="394">
        <v>8</v>
      </c>
      <c r="AA87" s="395">
        <v>-3</v>
      </c>
      <c r="AB87" s="452">
        <v>40328</v>
      </c>
      <c r="AC87" s="398">
        <v>90.335387999999995</v>
      </c>
      <c r="AD87" s="398">
        <v>348.92</v>
      </c>
      <c r="AE87" s="393" t="s">
        <v>37</v>
      </c>
      <c r="AF87" s="417">
        <v>42.097000000000001</v>
      </c>
      <c r="AG87" s="417">
        <f>26.027+33.367+24.58+29.201</f>
        <v>113.17499999999998</v>
      </c>
      <c r="AH87" s="417">
        <v>155.27199999999999</v>
      </c>
      <c r="AI87" s="394">
        <v>1</v>
      </c>
      <c r="AJ87" s="452">
        <v>42002</v>
      </c>
      <c r="AK87" s="452">
        <v>42975</v>
      </c>
      <c r="AL87" s="393"/>
      <c r="AM87" s="393"/>
      <c r="AN87" s="417"/>
      <c r="AO87" s="392" t="s">
        <v>82</v>
      </c>
      <c r="AP87" s="428" t="s">
        <v>7054</v>
      </c>
      <c r="AQ87" s="392"/>
      <c r="AR87" s="392" t="s">
        <v>458</v>
      </c>
      <c r="AS87" s="479">
        <v>40016</v>
      </c>
      <c r="AT87" s="453"/>
      <c r="AU87" s="453"/>
      <c r="AV87" s="453"/>
      <c r="AW87" s="453"/>
      <c r="AX87" s="453"/>
      <c r="AY87" s="453"/>
      <c r="AZ87" s="452">
        <v>40297</v>
      </c>
      <c r="BA87" s="393"/>
      <c r="BB87" s="393"/>
      <c r="BC87" s="393" t="b">
        <v>0</v>
      </c>
      <c r="BD87" s="393"/>
      <c r="BE87" s="392"/>
      <c r="BF87" s="394">
        <v>4</v>
      </c>
      <c r="BG87" s="394">
        <v>8</v>
      </c>
      <c r="BH87" s="394">
        <v>7</v>
      </c>
      <c r="BI87" s="394"/>
      <c r="BJ87" s="394"/>
      <c r="BK87" s="394"/>
      <c r="BL87" s="444" t="s">
        <v>6983</v>
      </c>
      <c r="BM87" s="392"/>
      <c r="BN87" s="393"/>
      <c r="BO87" s="393"/>
      <c r="BP87" s="399"/>
      <c r="BQ87" s="400"/>
      <c r="BR87" s="401"/>
      <c r="BS87" s="399"/>
      <c r="BT87" s="394"/>
      <c r="BU87" s="417">
        <v>0.85599999999999998</v>
      </c>
      <c r="BV87" s="399">
        <v>51.6</v>
      </c>
      <c r="BW87" s="393" t="s">
        <v>3117</v>
      </c>
      <c r="BX87" s="392" t="s">
        <v>3205</v>
      </c>
      <c r="BY87" s="393"/>
      <c r="BZ87" s="393"/>
      <c r="CA87" s="441" t="s">
        <v>1664</v>
      </c>
      <c r="CB87" s="400">
        <v>4</v>
      </c>
      <c r="CC87" s="398"/>
      <c r="CD87" s="398"/>
      <c r="CE87" s="398"/>
      <c r="CF87" s="398">
        <v>45.451000000000001</v>
      </c>
      <c r="CG87" s="398">
        <v>42.348999999999997</v>
      </c>
      <c r="CH87" s="398">
        <v>39.247999999999998</v>
      </c>
      <c r="CI87" s="398">
        <v>36.146999999999998</v>
      </c>
      <c r="CJ87" s="398">
        <v>33.045999999999999</v>
      </c>
      <c r="CK87" s="398">
        <v>29.943999999999999</v>
      </c>
      <c r="CL87" s="398">
        <v>26.843</v>
      </c>
      <c r="CM87" s="398">
        <v>20.094999999999999</v>
      </c>
      <c r="CN87" s="398"/>
      <c r="CO87" s="398"/>
      <c r="CP87" s="398"/>
      <c r="CQ87" s="398"/>
      <c r="CR87" s="398"/>
      <c r="CS87" s="398"/>
      <c r="CT87" s="398"/>
      <c r="CU87" s="398"/>
      <c r="CV87" s="398"/>
      <c r="CW87" s="398"/>
      <c r="CX87" s="398"/>
      <c r="CY87" s="398"/>
      <c r="CZ87" s="398"/>
      <c r="DA87" s="398"/>
      <c r="DB87" s="398"/>
      <c r="DC87" s="398"/>
      <c r="DD87" s="398"/>
      <c r="DE87" s="393"/>
      <c r="DF87" s="393"/>
      <c r="DG87" s="393"/>
      <c r="DH87" s="393"/>
      <c r="DI87" s="393"/>
      <c r="DJ87" s="393"/>
      <c r="DK87" s="897"/>
    </row>
    <row r="88" spans="1:115" ht="25.5" x14ac:dyDescent="0.2">
      <c r="A88" s="295">
        <v>84</v>
      </c>
      <c r="B88" s="390" t="s">
        <v>2533</v>
      </c>
      <c r="C88" s="390"/>
      <c r="D88" s="391" t="s">
        <v>461</v>
      </c>
      <c r="E88" s="704" t="s">
        <v>1856</v>
      </c>
      <c r="F88" s="393" t="s">
        <v>1352</v>
      </c>
      <c r="G88" s="393" t="s">
        <v>1673</v>
      </c>
      <c r="H88" s="393" t="s">
        <v>42</v>
      </c>
      <c r="I88" s="392"/>
      <c r="J88" s="392"/>
      <c r="K88" s="392" t="s">
        <v>462</v>
      </c>
      <c r="L88" s="392" t="s">
        <v>458</v>
      </c>
      <c r="M88" s="392"/>
      <c r="N88" s="393" t="s">
        <v>44</v>
      </c>
      <c r="O88" s="393" t="s">
        <v>51</v>
      </c>
      <c r="P88" s="393" t="s">
        <v>51</v>
      </c>
      <c r="Q88" s="392" t="s">
        <v>426</v>
      </c>
      <c r="R88" s="392" t="s">
        <v>3852</v>
      </c>
      <c r="S88" s="392" t="s">
        <v>427</v>
      </c>
      <c r="T88" s="394">
        <v>1</v>
      </c>
      <c r="U88" s="395">
        <v>27.062999999999999</v>
      </c>
      <c r="V88" s="395"/>
      <c r="W88" s="453"/>
      <c r="X88" s="394"/>
      <c r="Y88" s="394">
        <v>4</v>
      </c>
      <c r="Z88" s="394">
        <v>5</v>
      </c>
      <c r="AA88" s="395">
        <v>-6.6660000000000004</v>
      </c>
      <c r="AB88" s="452">
        <v>40664</v>
      </c>
      <c r="AC88" s="398">
        <v>108.252</v>
      </c>
      <c r="AD88" s="398">
        <v>348.92</v>
      </c>
      <c r="AE88" s="393" t="s">
        <v>37</v>
      </c>
      <c r="AF88" s="417">
        <v>46.106000000000002</v>
      </c>
      <c r="AG88" s="417"/>
      <c r="AH88" s="417">
        <v>46.106000000000002</v>
      </c>
      <c r="AI88" s="394">
        <v>1</v>
      </c>
      <c r="AJ88" s="452">
        <v>42002</v>
      </c>
      <c r="AK88" s="452">
        <v>41986</v>
      </c>
      <c r="AL88" s="393"/>
      <c r="AM88" s="393"/>
      <c r="AN88" s="417"/>
      <c r="AO88" s="392"/>
      <c r="AP88" s="392"/>
      <c r="AQ88" s="392"/>
      <c r="AR88" s="392" t="s">
        <v>458</v>
      </c>
      <c r="AS88" s="480"/>
      <c r="AT88" s="453"/>
      <c r="AU88" s="453"/>
      <c r="AV88" s="453"/>
      <c r="AW88" s="453"/>
      <c r="AX88" s="453"/>
      <c r="AY88" s="453"/>
      <c r="AZ88" s="452">
        <v>40659</v>
      </c>
      <c r="BA88" s="393"/>
      <c r="BB88" s="393"/>
      <c r="BC88" s="393" t="b">
        <v>0</v>
      </c>
      <c r="BD88" s="393"/>
      <c r="BE88" s="392"/>
      <c r="BF88" s="394">
        <v>4</v>
      </c>
      <c r="BG88" s="394">
        <v>8</v>
      </c>
      <c r="BH88" s="394">
        <v>7</v>
      </c>
      <c r="BI88" s="394"/>
      <c r="BJ88" s="394"/>
      <c r="BK88" s="394"/>
      <c r="BL88" s="444" t="s">
        <v>6983</v>
      </c>
      <c r="BM88" s="392"/>
      <c r="BN88" s="393"/>
      <c r="BO88" s="393"/>
      <c r="BP88" s="399"/>
      <c r="BQ88" s="400"/>
      <c r="BR88" s="401"/>
      <c r="BS88" s="399"/>
      <c r="BT88" s="394"/>
      <c r="BU88" s="417">
        <v>0.90269999999999995</v>
      </c>
      <c r="BV88" s="399">
        <v>42.524000000000001</v>
      </c>
      <c r="BW88" s="393" t="s">
        <v>3117</v>
      </c>
      <c r="BX88" s="392" t="s">
        <v>3205</v>
      </c>
      <c r="BY88" s="393"/>
      <c r="BZ88" s="393"/>
      <c r="CA88" s="441" t="s">
        <v>1664</v>
      </c>
      <c r="CB88" s="400">
        <v>4</v>
      </c>
      <c r="CC88" s="398"/>
      <c r="CD88" s="398"/>
      <c r="CE88" s="398"/>
      <c r="CF88" s="398"/>
      <c r="CG88" s="398">
        <v>34.579000000000001</v>
      </c>
      <c r="CH88" s="398">
        <v>30.004999999999999</v>
      </c>
      <c r="CI88" s="398">
        <v>25.431999999999999</v>
      </c>
      <c r="CJ88" s="398">
        <v>14.548</v>
      </c>
      <c r="CK88" s="398"/>
      <c r="CL88" s="398"/>
      <c r="CM88" s="398"/>
      <c r="CN88" s="398"/>
      <c r="CO88" s="398"/>
      <c r="CP88" s="398"/>
      <c r="CQ88" s="398"/>
      <c r="CR88" s="398"/>
      <c r="CS88" s="398"/>
      <c r="CT88" s="398"/>
      <c r="CU88" s="398"/>
      <c r="CV88" s="398"/>
      <c r="CW88" s="398"/>
      <c r="CX88" s="398"/>
      <c r="CY88" s="398"/>
      <c r="CZ88" s="398"/>
      <c r="DA88" s="398"/>
      <c r="DB88" s="398"/>
      <c r="DC88" s="398"/>
      <c r="DD88" s="398"/>
      <c r="DE88" s="393"/>
      <c r="DF88" s="393"/>
      <c r="DG88" s="393"/>
      <c r="DH88" s="393"/>
      <c r="DI88" s="393"/>
      <c r="DJ88" s="393"/>
      <c r="DK88" s="897"/>
    </row>
    <row r="89" spans="1:115" ht="25.5" x14ac:dyDescent="0.2">
      <c r="A89" s="295">
        <v>85</v>
      </c>
      <c r="B89" s="390" t="s">
        <v>2534</v>
      </c>
      <c r="C89" s="390"/>
      <c r="D89" s="391" t="s">
        <v>1857</v>
      </c>
      <c r="E89" s="704" t="s">
        <v>1858</v>
      </c>
      <c r="F89" s="393" t="s">
        <v>1352</v>
      </c>
      <c r="G89" s="393" t="s">
        <v>1673</v>
      </c>
      <c r="H89" s="393" t="s">
        <v>42</v>
      </c>
      <c r="I89" s="392"/>
      <c r="J89" s="392"/>
      <c r="K89" s="392" t="s">
        <v>462</v>
      </c>
      <c r="L89" s="392" t="s">
        <v>458</v>
      </c>
      <c r="M89" s="392"/>
      <c r="N89" s="393" t="s">
        <v>44</v>
      </c>
      <c r="O89" s="393" t="s">
        <v>51</v>
      </c>
      <c r="P89" s="393" t="s">
        <v>51</v>
      </c>
      <c r="Q89" s="392" t="s">
        <v>426</v>
      </c>
      <c r="R89" s="392" t="s">
        <v>3853</v>
      </c>
      <c r="S89" s="392" t="s">
        <v>427</v>
      </c>
      <c r="T89" s="394">
        <v>1</v>
      </c>
      <c r="U89" s="395">
        <v>25.719000000000001</v>
      </c>
      <c r="V89" s="395"/>
      <c r="W89" s="453"/>
      <c r="X89" s="394"/>
      <c r="Y89" s="394">
        <v>3.84</v>
      </c>
      <c r="Z89" s="394">
        <v>5</v>
      </c>
      <c r="AA89" s="395">
        <v>-6.6660000000000004</v>
      </c>
      <c r="AB89" s="452">
        <v>40672</v>
      </c>
      <c r="AC89" s="398">
        <v>42.359192999999998</v>
      </c>
      <c r="AD89" s="398">
        <v>348.92</v>
      </c>
      <c r="AE89" s="393" t="s">
        <v>37</v>
      </c>
      <c r="AF89" s="417">
        <v>45.886000000000003</v>
      </c>
      <c r="AG89" s="417"/>
      <c r="AH89" s="417">
        <v>45.886000000000003</v>
      </c>
      <c r="AI89" s="394">
        <v>1</v>
      </c>
      <c r="AJ89" s="452">
        <v>42002</v>
      </c>
      <c r="AK89" s="452">
        <v>41986</v>
      </c>
      <c r="AL89" s="393"/>
      <c r="AM89" s="393"/>
      <c r="AN89" s="417"/>
      <c r="AO89" s="392"/>
      <c r="AP89" s="392"/>
      <c r="AQ89" s="392"/>
      <c r="AR89" s="392" t="s">
        <v>458</v>
      </c>
      <c r="AS89" s="480"/>
      <c r="AT89" s="453"/>
      <c r="AU89" s="453"/>
      <c r="AV89" s="453"/>
      <c r="AW89" s="453"/>
      <c r="AX89" s="453"/>
      <c r="AY89" s="453"/>
      <c r="AZ89" s="452">
        <v>40669</v>
      </c>
      <c r="BA89" s="393"/>
      <c r="BB89" s="393"/>
      <c r="BC89" s="393" t="b">
        <v>0</v>
      </c>
      <c r="BD89" s="393"/>
      <c r="BE89" s="392"/>
      <c r="BF89" s="394">
        <v>4</v>
      </c>
      <c r="BG89" s="394">
        <v>8</v>
      </c>
      <c r="BH89" s="394">
        <v>7</v>
      </c>
      <c r="BI89" s="394"/>
      <c r="BJ89" s="394"/>
      <c r="BK89" s="394"/>
      <c r="BL89" s="444" t="s">
        <v>6983</v>
      </c>
      <c r="BM89" s="392"/>
      <c r="BN89" s="393"/>
      <c r="BO89" s="393"/>
      <c r="BP89" s="399"/>
      <c r="BQ89" s="400"/>
      <c r="BR89" s="401"/>
      <c r="BS89" s="399"/>
      <c r="BT89" s="394"/>
      <c r="BU89" s="417">
        <v>0.90269999999999995</v>
      </c>
      <c r="BV89" s="399">
        <v>42.177</v>
      </c>
      <c r="BW89" s="393" t="s">
        <v>3117</v>
      </c>
      <c r="BX89" s="392" t="s">
        <v>3205</v>
      </c>
      <c r="BY89" s="393"/>
      <c r="BZ89" s="393"/>
      <c r="CA89" s="441" t="s">
        <v>1664</v>
      </c>
      <c r="CB89" s="400">
        <v>4</v>
      </c>
      <c r="CC89" s="398"/>
      <c r="CD89" s="398"/>
      <c r="CE89" s="398"/>
      <c r="CF89" s="398"/>
      <c r="CG89" s="398">
        <v>34.197000000000003</v>
      </c>
      <c r="CH89" s="398">
        <v>29.661000000000001</v>
      </c>
      <c r="CI89" s="398">
        <v>25.123999999999999</v>
      </c>
      <c r="CJ89" s="398">
        <v>13.893000000000001</v>
      </c>
      <c r="CK89" s="398"/>
      <c r="CL89" s="398"/>
      <c r="CM89" s="398"/>
      <c r="CN89" s="398"/>
      <c r="CO89" s="398"/>
      <c r="CP89" s="398"/>
      <c r="CQ89" s="398"/>
      <c r="CR89" s="398"/>
      <c r="CS89" s="398"/>
      <c r="CT89" s="398"/>
      <c r="CU89" s="398"/>
      <c r="CV89" s="398"/>
      <c r="CW89" s="398"/>
      <c r="CX89" s="398"/>
      <c r="CY89" s="398"/>
      <c r="CZ89" s="398"/>
      <c r="DA89" s="398"/>
      <c r="DB89" s="398"/>
      <c r="DC89" s="398"/>
      <c r="DD89" s="398"/>
      <c r="DE89" s="393"/>
      <c r="DF89" s="393"/>
      <c r="DG89" s="393"/>
      <c r="DH89" s="393"/>
      <c r="DI89" s="393"/>
      <c r="DJ89" s="393"/>
      <c r="DK89" s="897"/>
    </row>
    <row r="90" spans="1:115" ht="25.5" x14ac:dyDescent="0.2">
      <c r="A90" s="295">
        <v>86</v>
      </c>
      <c r="B90" s="390" t="s">
        <v>2535</v>
      </c>
      <c r="C90" s="390"/>
      <c r="D90" s="391" t="s">
        <v>1859</v>
      </c>
      <c r="E90" s="704" t="s">
        <v>1860</v>
      </c>
      <c r="F90" s="393" t="s">
        <v>1352</v>
      </c>
      <c r="G90" s="393" t="s">
        <v>1673</v>
      </c>
      <c r="H90" s="393" t="s">
        <v>42</v>
      </c>
      <c r="I90" s="392"/>
      <c r="J90" s="392"/>
      <c r="K90" s="392" t="s">
        <v>462</v>
      </c>
      <c r="L90" s="392" t="s">
        <v>458</v>
      </c>
      <c r="M90" s="392"/>
      <c r="N90" s="393" t="s">
        <v>44</v>
      </c>
      <c r="O90" s="393" t="s">
        <v>51</v>
      </c>
      <c r="P90" s="393" t="s">
        <v>51</v>
      </c>
      <c r="Q90" s="392" t="s">
        <v>426</v>
      </c>
      <c r="R90" s="392" t="s">
        <v>3854</v>
      </c>
      <c r="S90" s="392" t="s">
        <v>427</v>
      </c>
      <c r="T90" s="394">
        <v>1</v>
      </c>
      <c r="U90" s="395">
        <v>18.792999999999999</v>
      </c>
      <c r="V90" s="395"/>
      <c r="W90" s="453"/>
      <c r="X90" s="394"/>
      <c r="Y90" s="394">
        <v>3.88</v>
      </c>
      <c r="Z90" s="394">
        <v>5</v>
      </c>
      <c r="AA90" s="395">
        <v>-4.6660000000000004</v>
      </c>
      <c r="AB90" s="452">
        <v>40672</v>
      </c>
      <c r="AC90" s="398">
        <v>30.952071</v>
      </c>
      <c r="AD90" s="398">
        <v>348.92</v>
      </c>
      <c r="AE90" s="393" t="s">
        <v>37</v>
      </c>
      <c r="AF90" s="417">
        <v>38.255000000000003</v>
      </c>
      <c r="AG90" s="417"/>
      <c r="AH90" s="417">
        <v>38.255000000000003</v>
      </c>
      <c r="AI90" s="394">
        <v>1</v>
      </c>
      <c r="AJ90" s="452">
        <v>42002</v>
      </c>
      <c r="AK90" s="452">
        <v>41986</v>
      </c>
      <c r="AL90" s="393"/>
      <c r="AM90" s="393"/>
      <c r="AN90" s="417"/>
      <c r="AO90" s="392"/>
      <c r="AP90" s="392"/>
      <c r="AQ90" s="392"/>
      <c r="AR90" s="392" t="s">
        <v>458</v>
      </c>
      <c r="AS90" s="480"/>
      <c r="AT90" s="453"/>
      <c r="AU90" s="453"/>
      <c r="AV90" s="453"/>
      <c r="AW90" s="453"/>
      <c r="AX90" s="453"/>
      <c r="AY90" s="453"/>
      <c r="AZ90" s="452">
        <v>40669</v>
      </c>
      <c r="BA90" s="393"/>
      <c r="BB90" s="393"/>
      <c r="BC90" s="393" t="b">
        <v>0</v>
      </c>
      <c r="BD90" s="393"/>
      <c r="BE90" s="392"/>
      <c r="BF90" s="394">
        <v>4</v>
      </c>
      <c r="BG90" s="394">
        <v>8</v>
      </c>
      <c r="BH90" s="394">
        <v>7</v>
      </c>
      <c r="BI90" s="394"/>
      <c r="BJ90" s="394"/>
      <c r="BK90" s="394"/>
      <c r="BL90" s="444" t="s">
        <v>6983</v>
      </c>
      <c r="BM90" s="392"/>
      <c r="BN90" s="393"/>
      <c r="BO90" s="393"/>
      <c r="BP90" s="399"/>
      <c r="BQ90" s="400"/>
      <c r="BR90" s="401"/>
      <c r="BS90" s="399"/>
      <c r="BT90" s="394"/>
      <c r="BU90" s="417">
        <v>0.90269999999999995</v>
      </c>
      <c r="BV90" s="399">
        <v>30.358000000000001</v>
      </c>
      <c r="BW90" s="393" t="s">
        <v>3117</v>
      </c>
      <c r="BX90" s="392" t="s">
        <v>3205</v>
      </c>
      <c r="BY90" s="393"/>
      <c r="BZ90" s="393"/>
      <c r="CA90" s="441" t="s">
        <v>1664</v>
      </c>
      <c r="CB90" s="400">
        <v>4</v>
      </c>
      <c r="CC90" s="398"/>
      <c r="CD90" s="398"/>
      <c r="CE90" s="398"/>
      <c r="CF90" s="398"/>
      <c r="CG90" s="398">
        <v>24.748000000000001</v>
      </c>
      <c r="CH90" s="398">
        <v>21.483000000000001</v>
      </c>
      <c r="CI90" s="398">
        <v>18.218</v>
      </c>
      <c r="CJ90" s="398">
        <v>10.724</v>
      </c>
      <c r="CK90" s="398"/>
      <c r="CL90" s="398"/>
      <c r="CM90" s="398"/>
      <c r="CN90" s="398"/>
      <c r="CO90" s="398"/>
      <c r="CP90" s="398"/>
      <c r="CQ90" s="398"/>
      <c r="CR90" s="398"/>
      <c r="CS90" s="398"/>
      <c r="CT90" s="398"/>
      <c r="CU90" s="398"/>
      <c r="CV90" s="398"/>
      <c r="CW90" s="398"/>
      <c r="CX90" s="398"/>
      <c r="CY90" s="398"/>
      <c r="CZ90" s="398"/>
      <c r="DA90" s="398"/>
      <c r="DB90" s="398"/>
      <c r="DC90" s="398"/>
      <c r="DD90" s="398"/>
      <c r="DE90" s="393"/>
      <c r="DF90" s="393"/>
      <c r="DG90" s="393"/>
      <c r="DH90" s="393"/>
      <c r="DI90" s="393"/>
      <c r="DJ90" s="393"/>
      <c r="DK90" s="897"/>
    </row>
    <row r="91" spans="1:115" ht="25.5" x14ac:dyDescent="0.2">
      <c r="A91" s="295">
        <v>87</v>
      </c>
      <c r="B91" s="390" t="s">
        <v>2536</v>
      </c>
      <c r="C91" s="390"/>
      <c r="D91" s="391" t="s">
        <v>1861</v>
      </c>
      <c r="E91" s="704" t="s">
        <v>1862</v>
      </c>
      <c r="F91" s="393" t="s">
        <v>1352</v>
      </c>
      <c r="G91" s="393" t="s">
        <v>1673</v>
      </c>
      <c r="H91" s="393" t="s">
        <v>42</v>
      </c>
      <c r="I91" s="392"/>
      <c r="J91" s="392"/>
      <c r="K91" s="392" t="s">
        <v>462</v>
      </c>
      <c r="L91" s="392" t="s">
        <v>458</v>
      </c>
      <c r="M91" s="392"/>
      <c r="N91" s="393" t="s">
        <v>44</v>
      </c>
      <c r="O91" s="393" t="s">
        <v>51</v>
      </c>
      <c r="P91" s="393" t="s">
        <v>51</v>
      </c>
      <c r="Q91" s="392" t="s">
        <v>426</v>
      </c>
      <c r="R91" s="392" t="s">
        <v>3855</v>
      </c>
      <c r="S91" s="392" t="s">
        <v>427</v>
      </c>
      <c r="T91" s="394">
        <v>1</v>
      </c>
      <c r="U91" s="395">
        <v>18.760999999999999</v>
      </c>
      <c r="V91" s="395"/>
      <c r="W91" s="453"/>
      <c r="X91" s="394"/>
      <c r="Y91" s="394">
        <v>3.88</v>
      </c>
      <c r="Z91" s="394">
        <v>5</v>
      </c>
      <c r="AA91" s="395">
        <v>-4.6660000000000004</v>
      </c>
      <c r="AB91" s="452">
        <v>40672</v>
      </c>
      <c r="AC91" s="398">
        <v>30.899367000000002</v>
      </c>
      <c r="AD91" s="398">
        <v>348.92</v>
      </c>
      <c r="AE91" s="393" t="s">
        <v>37</v>
      </c>
      <c r="AF91" s="417">
        <v>29.151</v>
      </c>
      <c r="AG91" s="417"/>
      <c r="AH91" s="417">
        <v>29.151</v>
      </c>
      <c r="AI91" s="394">
        <v>1</v>
      </c>
      <c r="AJ91" s="452">
        <v>42002</v>
      </c>
      <c r="AK91" s="452">
        <v>41986</v>
      </c>
      <c r="AL91" s="393"/>
      <c r="AM91" s="393"/>
      <c r="AN91" s="417"/>
      <c r="AO91" s="392"/>
      <c r="AP91" s="392"/>
      <c r="AQ91" s="392"/>
      <c r="AR91" s="392" t="s">
        <v>458</v>
      </c>
      <c r="AS91" s="480"/>
      <c r="AT91" s="453"/>
      <c r="AU91" s="453"/>
      <c r="AV91" s="453"/>
      <c r="AW91" s="453"/>
      <c r="AX91" s="453"/>
      <c r="AY91" s="453"/>
      <c r="AZ91" s="452">
        <v>40669</v>
      </c>
      <c r="BA91" s="393"/>
      <c r="BB91" s="393"/>
      <c r="BC91" s="393" t="b">
        <v>0</v>
      </c>
      <c r="BD91" s="393"/>
      <c r="BE91" s="392"/>
      <c r="BF91" s="394">
        <v>4</v>
      </c>
      <c r="BG91" s="394">
        <v>8</v>
      </c>
      <c r="BH91" s="394">
        <v>7</v>
      </c>
      <c r="BI91" s="394"/>
      <c r="BJ91" s="394"/>
      <c r="BK91" s="394"/>
      <c r="BL91" s="444" t="s">
        <v>6983</v>
      </c>
      <c r="BM91" s="392"/>
      <c r="BN91" s="393"/>
      <c r="BO91" s="393"/>
      <c r="BP91" s="399"/>
      <c r="BQ91" s="400"/>
      <c r="BR91" s="401"/>
      <c r="BS91" s="399"/>
      <c r="BT91" s="394"/>
      <c r="BU91" s="417">
        <v>0.90269999999999995</v>
      </c>
      <c r="BV91" s="399">
        <v>30.305</v>
      </c>
      <c r="BW91" s="393" t="s">
        <v>3117</v>
      </c>
      <c r="BX91" s="392" t="s">
        <v>3205</v>
      </c>
      <c r="BY91" s="393"/>
      <c r="BZ91" s="393"/>
      <c r="CA91" s="441" t="s">
        <v>1664</v>
      </c>
      <c r="CB91" s="400">
        <v>4</v>
      </c>
      <c r="CC91" s="398"/>
      <c r="CD91" s="398"/>
      <c r="CE91" s="398"/>
      <c r="CF91" s="398"/>
      <c r="CG91" s="398">
        <v>24.704999999999998</v>
      </c>
      <c r="CH91" s="398">
        <v>21.446000000000002</v>
      </c>
      <c r="CI91" s="398">
        <v>18.186</v>
      </c>
      <c r="CJ91" s="398">
        <v>10.705</v>
      </c>
      <c r="CK91" s="398"/>
      <c r="CL91" s="398"/>
      <c r="CM91" s="398"/>
      <c r="CN91" s="398"/>
      <c r="CO91" s="398"/>
      <c r="CP91" s="398"/>
      <c r="CQ91" s="398"/>
      <c r="CR91" s="398"/>
      <c r="CS91" s="398"/>
      <c r="CT91" s="398"/>
      <c r="CU91" s="398"/>
      <c r="CV91" s="398"/>
      <c r="CW91" s="398"/>
      <c r="CX91" s="398"/>
      <c r="CY91" s="398"/>
      <c r="CZ91" s="398"/>
      <c r="DA91" s="398"/>
      <c r="DB91" s="398"/>
      <c r="DC91" s="398"/>
      <c r="DD91" s="398"/>
      <c r="DE91" s="393"/>
      <c r="DF91" s="393"/>
      <c r="DG91" s="393"/>
      <c r="DH91" s="393"/>
      <c r="DI91" s="393"/>
      <c r="DJ91" s="393"/>
      <c r="DK91" s="897"/>
    </row>
    <row r="92" spans="1:115" ht="25.5" x14ac:dyDescent="0.2">
      <c r="A92" s="295">
        <v>88</v>
      </c>
      <c r="B92" s="390" t="s">
        <v>2537</v>
      </c>
      <c r="C92" s="390"/>
      <c r="D92" s="391" t="s">
        <v>1863</v>
      </c>
      <c r="E92" s="704" t="s">
        <v>1864</v>
      </c>
      <c r="F92" s="393" t="s">
        <v>1352</v>
      </c>
      <c r="G92" s="393" t="s">
        <v>1673</v>
      </c>
      <c r="H92" s="393" t="s">
        <v>42</v>
      </c>
      <c r="I92" s="392"/>
      <c r="J92" s="392"/>
      <c r="K92" s="392" t="s">
        <v>462</v>
      </c>
      <c r="L92" s="392" t="s">
        <v>458</v>
      </c>
      <c r="M92" s="392"/>
      <c r="N92" s="393" t="s">
        <v>44</v>
      </c>
      <c r="O92" s="393" t="s">
        <v>51</v>
      </c>
      <c r="P92" s="393" t="s">
        <v>51</v>
      </c>
      <c r="Q92" s="392" t="s">
        <v>426</v>
      </c>
      <c r="R92" s="392" t="s">
        <v>3856</v>
      </c>
      <c r="S92" s="392" t="s">
        <v>427</v>
      </c>
      <c r="T92" s="394">
        <v>1</v>
      </c>
      <c r="U92" s="395">
        <v>19.661999999999999</v>
      </c>
      <c r="V92" s="395"/>
      <c r="W92" s="453"/>
      <c r="X92" s="394"/>
      <c r="Y92" s="394">
        <v>3.88</v>
      </c>
      <c r="Z92" s="394">
        <v>5</v>
      </c>
      <c r="AA92" s="395">
        <v>-5</v>
      </c>
      <c r="AB92" s="452">
        <v>40672</v>
      </c>
      <c r="AC92" s="398">
        <v>32.383313999999999</v>
      </c>
      <c r="AD92" s="398">
        <v>348.92</v>
      </c>
      <c r="AE92" s="393" t="s">
        <v>37</v>
      </c>
      <c r="AF92" s="417">
        <v>37.475999999999999</v>
      </c>
      <c r="AG92" s="417"/>
      <c r="AH92" s="417">
        <v>37.475999999999999</v>
      </c>
      <c r="AI92" s="394">
        <v>1</v>
      </c>
      <c r="AJ92" s="452">
        <v>42002</v>
      </c>
      <c r="AK92" s="452">
        <v>41986</v>
      </c>
      <c r="AL92" s="393"/>
      <c r="AM92" s="393"/>
      <c r="AN92" s="417"/>
      <c r="AO92" s="392"/>
      <c r="AP92" s="392"/>
      <c r="AQ92" s="392"/>
      <c r="AR92" s="392" t="s">
        <v>458</v>
      </c>
      <c r="AS92" s="480"/>
      <c r="AT92" s="397"/>
      <c r="AU92" s="397"/>
      <c r="AV92" s="453"/>
      <c r="AW92" s="453"/>
      <c r="AX92" s="453"/>
      <c r="AY92" s="453"/>
      <c r="AZ92" s="452">
        <v>40669</v>
      </c>
      <c r="BA92" s="393"/>
      <c r="BB92" s="393"/>
      <c r="BC92" s="393" t="b">
        <v>0</v>
      </c>
      <c r="BD92" s="393"/>
      <c r="BE92" s="392"/>
      <c r="BF92" s="394">
        <v>4</v>
      </c>
      <c r="BG92" s="394">
        <v>8</v>
      </c>
      <c r="BH92" s="394">
        <v>7</v>
      </c>
      <c r="BI92" s="394"/>
      <c r="BJ92" s="394"/>
      <c r="BK92" s="394"/>
      <c r="BL92" s="444" t="s">
        <v>6983</v>
      </c>
      <c r="BM92" s="392"/>
      <c r="BN92" s="393"/>
      <c r="BO92" s="393"/>
      <c r="BP92" s="399"/>
      <c r="BQ92" s="400"/>
      <c r="BR92" s="401"/>
      <c r="BS92" s="399"/>
      <c r="BT92" s="394"/>
      <c r="BU92" s="417">
        <v>0.90269999999999995</v>
      </c>
      <c r="BV92" s="399">
        <v>32.244</v>
      </c>
      <c r="BW92" s="393" t="s">
        <v>3117</v>
      </c>
      <c r="BX92" s="392" t="s">
        <v>3205</v>
      </c>
      <c r="BY92" s="393"/>
      <c r="BZ92" s="393"/>
      <c r="CA92" s="441" t="s">
        <v>1664</v>
      </c>
      <c r="CB92" s="400">
        <v>4</v>
      </c>
      <c r="CC92" s="398"/>
      <c r="CD92" s="398"/>
      <c r="CE92" s="398"/>
      <c r="CF92" s="398"/>
      <c r="CG92" s="398">
        <v>26.143000000000001</v>
      </c>
      <c r="CH92" s="398">
        <v>22.675000000000001</v>
      </c>
      <c r="CI92" s="398">
        <v>19.207000000000001</v>
      </c>
      <c r="CJ92" s="398">
        <v>10.621</v>
      </c>
      <c r="CK92" s="398"/>
      <c r="CL92" s="398"/>
      <c r="CM92" s="398"/>
      <c r="CN92" s="398"/>
      <c r="CO92" s="398"/>
      <c r="CP92" s="398"/>
      <c r="CQ92" s="398"/>
      <c r="CR92" s="398"/>
      <c r="CS92" s="398"/>
      <c r="CT92" s="398"/>
      <c r="CU92" s="398"/>
      <c r="CV92" s="398"/>
      <c r="CW92" s="398"/>
      <c r="CX92" s="398"/>
      <c r="CY92" s="398"/>
      <c r="CZ92" s="398"/>
      <c r="DA92" s="398"/>
      <c r="DB92" s="398"/>
      <c r="DC92" s="398"/>
      <c r="DD92" s="398"/>
      <c r="DE92" s="393"/>
      <c r="DF92" s="393"/>
      <c r="DG92" s="393"/>
      <c r="DH92" s="393"/>
      <c r="DI92" s="393"/>
      <c r="DJ92" s="393"/>
      <c r="DK92" s="897"/>
    </row>
    <row r="93" spans="1:115" ht="25.5" x14ac:dyDescent="0.2">
      <c r="A93" s="295">
        <v>89</v>
      </c>
      <c r="B93" s="390" t="s">
        <v>2538</v>
      </c>
      <c r="C93" s="390"/>
      <c r="D93" s="391" t="s">
        <v>1865</v>
      </c>
      <c r="E93" s="704" t="s">
        <v>1866</v>
      </c>
      <c r="F93" s="393" t="s">
        <v>1352</v>
      </c>
      <c r="G93" s="393" t="s">
        <v>1673</v>
      </c>
      <c r="H93" s="393" t="s">
        <v>42</v>
      </c>
      <c r="I93" s="392"/>
      <c r="J93" s="392"/>
      <c r="K93" s="392" t="s">
        <v>462</v>
      </c>
      <c r="L93" s="392" t="s">
        <v>458</v>
      </c>
      <c r="M93" s="392"/>
      <c r="N93" s="393" t="s">
        <v>44</v>
      </c>
      <c r="O93" s="393" t="s">
        <v>51</v>
      </c>
      <c r="P93" s="393" t="s">
        <v>51</v>
      </c>
      <c r="Q93" s="392" t="s">
        <v>426</v>
      </c>
      <c r="R93" s="392" t="s">
        <v>3857</v>
      </c>
      <c r="S93" s="392" t="s">
        <v>427</v>
      </c>
      <c r="T93" s="394">
        <v>1</v>
      </c>
      <c r="U93" s="395">
        <v>22.126999999999999</v>
      </c>
      <c r="V93" s="395"/>
      <c r="W93" s="453"/>
      <c r="X93" s="394"/>
      <c r="Y93" s="394">
        <v>3.84</v>
      </c>
      <c r="Z93" s="394">
        <v>5</v>
      </c>
      <c r="AA93" s="395">
        <v>-5.6660000000000004</v>
      </c>
      <c r="AB93" s="452">
        <v>40672</v>
      </c>
      <c r="AC93" s="398">
        <v>36.443168999999997</v>
      </c>
      <c r="AD93" s="398">
        <v>348.92</v>
      </c>
      <c r="AE93" s="393" t="s">
        <v>37</v>
      </c>
      <c r="AF93" s="417">
        <v>39.073</v>
      </c>
      <c r="AG93" s="417"/>
      <c r="AH93" s="417">
        <v>39.073</v>
      </c>
      <c r="AI93" s="394">
        <v>1</v>
      </c>
      <c r="AJ93" s="452">
        <v>42002</v>
      </c>
      <c r="AK93" s="452">
        <v>41986</v>
      </c>
      <c r="AL93" s="393"/>
      <c r="AM93" s="393"/>
      <c r="AN93" s="417"/>
      <c r="AO93" s="392"/>
      <c r="AP93" s="392"/>
      <c r="AQ93" s="392"/>
      <c r="AR93" s="392" t="s">
        <v>458</v>
      </c>
      <c r="AS93" s="480"/>
      <c r="AT93" s="453"/>
      <c r="AU93" s="453"/>
      <c r="AV93" s="453"/>
      <c r="AW93" s="453"/>
      <c r="AX93" s="453"/>
      <c r="AY93" s="453"/>
      <c r="AZ93" s="452">
        <v>40669</v>
      </c>
      <c r="BA93" s="393"/>
      <c r="BB93" s="393"/>
      <c r="BC93" s="393" t="b">
        <v>0</v>
      </c>
      <c r="BD93" s="393"/>
      <c r="BE93" s="392"/>
      <c r="BF93" s="394">
        <v>4</v>
      </c>
      <c r="BG93" s="394">
        <v>8</v>
      </c>
      <c r="BH93" s="394">
        <v>7</v>
      </c>
      <c r="BI93" s="394"/>
      <c r="BJ93" s="394"/>
      <c r="BK93" s="394"/>
      <c r="BL93" s="444" t="s">
        <v>6983</v>
      </c>
      <c r="BM93" s="392"/>
      <c r="BN93" s="393"/>
      <c r="BO93" s="393"/>
      <c r="BP93" s="399"/>
      <c r="BQ93" s="400"/>
      <c r="BR93" s="401"/>
      <c r="BS93" s="399"/>
      <c r="BT93" s="394"/>
      <c r="BU93" s="417">
        <v>0.90269999999999995</v>
      </c>
      <c r="BV93" s="399">
        <v>36.286000000000001</v>
      </c>
      <c r="BW93" s="393" t="s">
        <v>3117</v>
      </c>
      <c r="BX93" s="392" t="s">
        <v>3205</v>
      </c>
      <c r="BY93" s="393"/>
      <c r="BZ93" s="393"/>
      <c r="CA93" s="441" t="s">
        <v>1664</v>
      </c>
      <c r="CB93" s="400">
        <v>4</v>
      </c>
      <c r="CC93" s="398"/>
      <c r="CD93" s="398"/>
      <c r="CE93" s="398"/>
      <c r="CF93" s="398"/>
      <c r="CG93" s="398">
        <v>29.420999999999999</v>
      </c>
      <c r="CH93" s="398">
        <v>25.518000000000001</v>
      </c>
      <c r="CI93" s="398">
        <v>21.614999999999998</v>
      </c>
      <c r="CJ93" s="398">
        <v>11.952999999999999</v>
      </c>
      <c r="CK93" s="398"/>
      <c r="CL93" s="398"/>
      <c r="CM93" s="398"/>
      <c r="CN93" s="398"/>
      <c r="CO93" s="398"/>
      <c r="CP93" s="398"/>
      <c r="CQ93" s="398"/>
      <c r="CR93" s="398"/>
      <c r="CS93" s="398"/>
      <c r="CT93" s="398"/>
      <c r="CU93" s="398"/>
      <c r="CV93" s="398"/>
      <c r="CW93" s="398"/>
      <c r="CX93" s="398"/>
      <c r="CY93" s="398"/>
      <c r="CZ93" s="398"/>
      <c r="DA93" s="398"/>
      <c r="DB93" s="398"/>
      <c r="DC93" s="398"/>
      <c r="DD93" s="398"/>
      <c r="DE93" s="393"/>
      <c r="DF93" s="393"/>
      <c r="DG93" s="393"/>
      <c r="DH93" s="393"/>
      <c r="DI93" s="393"/>
      <c r="DJ93" s="393"/>
      <c r="DK93" s="897"/>
    </row>
    <row r="94" spans="1:115" ht="25.5" x14ac:dyDescent="0.2">
      <c r="A94" s="295">
        <v>90</v>
      </c>
      <c r="B94" s="390" t="s">
        <v>2539</v>
      </c>
      <c r="C94" s="390"/>
      <c r="D94" s="391" t="s">
        <v>1867</v>
      </c>
      <c r="E94" s="704" t="s">
        <v>1868</v>
      </c>
      <c r="F94" s="393" t="s">
        <v>1352</v>
      </c>
      <c r="G94" s="393" t="s">
        <v>1673</v>
      </c>
      <c r="H94" s="393" t="s">
        <v>42</v>
      </c>
      <c r="I94" s="392"/>
      <c r="J94" s="392"/>
      <c r="K94" s="392" t="s">
        <v>462</v>
      </c>
      <c r="L94" s="392" t="s">
        <v>458</v>
      </c>
      <c r="M94" s="392"/>
      <c r="N94" s="393" t="s">
        <v>44</v>
      </c>
      <c r="O94" s="393" t="s">
        <v>51</v>
      </c>
      <c r="P94" s="393" t="s">
        <v>51</v>
      </c>
      <c r="Q94" s="392" t="s">
        <v>426</v>
      </c>
      <c r="R94" s="392" t="s">
        <v>3858</v>
      </c>
      <c r="S94" s="392" t="s">
        <v>427</v>
      </c>
      <c r="T94" s="394">
        <v>1</v>
      </c>
      <c r="U94" s="395">
        <v>23.631</v>
      </c>
      <c r="V94" s="395"/>
      <c r="W94" s="453"/>
      <c r="X94" s="394"/>
      <c r="Y94" s="394">
        <v>4.0529999999999999</v>
      </c>
      <c r="Z94" s="394">
        <v>5</v>
      </c>
      <c r="AA94" s="395">
        <v>-5.6660000000000004</v>
      </c>
      <c r="AB94" s="452">
        <v>40672</v>
      </c>
      <c r="AC94" s="398">
        <v>38.920256999999999</v>
      </c>
      <c r="AD94" s="398">
        <v>348.92</v>
      </c>
      <c r="AE94" s="393" t="s">
        <v>37</v>
      </c>
      <c r="AF94" s="417">
        <v>46.107999999999997</v>
      </c>
      <c r="AG94" s="417"/>
      <c r="AH94" s="417">
        <v>46.107999999999997</v>
      </c>
      <c r="AI94" s="394">
        <v>1</v>
      </c>
      <c r="AJ94" s="452">
        <v>42002</v>
      </c>
      <c r="AK94" s="452">
        <v>41986</v>
      </c>
      <c r="AL94" s="393"/>
      <c r="AM94" s="393"/>
      <c r="AN94" s="417"/>
      <c r="AO94" s="392"/>
      <c r="AP94" s="392"/>
      <c r="AQ94" s="392"/>
      <c r="AR94" s="392" t="s">
        <v>458</v>
      </c>
      <c r="AS94" s="480"/>
      <c r="AT94" s="453"/>
      <c r="AU94" s="453"/>
      <c r="AV94" s="453"/>
      <c r="AW94" s="453"/>
      <c r="AX94" s="453"/>
      <c r="AY94" s="453"/>
      <c r="AZ94" s="452">
        <v>40669</v>
      </c>
      <c r="BA94" s="393"/>
      <c r="BB94" s="393"/>
      <c r="BC94" s="393" t="b">
        <v>0</v>
      </c>
      <c r="BD94" s="393"/>
      <c r="BE94" s="392"/>
      <c r="BF94" s="394">
        <v>4</v>
      </c>
      <c r="BG94" s="394">
        <v>8</v>
      </c>
      <c r="BH94" s="394">
        <v>7</v>
      </c>
      <c r="BI94" s="394"/>
      <c r="BJ94" s="394"/>
      <c r="BK94" s="394"/>
      <c r="BL94" s="444" t="s">
        <v>6983</v>
      </c>
      <c r="BM94" s="392"/>
      <c r="BN94" s="393"/>
      <c r="BO94" s="393"/>
      <c r="BP94" s="399"/>
      <c r="BQ94" s="400"/>
      <c r="BR94" s="401"/>
      <c r="BS94" s="399"/>
      <c r="BT94" s="394"/>
      <c r="BU94" s="417">
        <v>0.90269999999999995</v>
      </c>
      <c r="BV94" s="399">
        <v>36.421999999999997</v>
      </c>
      <c r="BW94" s="393" t="s">
        <v>3117</v>
      </c>
      <c r="BX94" s="392" t="s">
        <v>3205</v>
      </c>
      <c r="BY94" s="393"/>
      <c r="BZ94" s="393"/>
      <c r="CA94" s="441" t="s">
        <v>1664</v>
      </c>
      <c r="CB94" s="400">
        <v>4</v>
      </c>
      <c r="CC94" s="398"/>
      <c r="CD94" s="398"/>
      <c r="CE94" s="398"/>
      <c r="CF94" s="398"/>
      <c r="CG94" s="398">
        <v>30.356999999999999</v>
      </c>
      <c r="CH94" s="398">
        <v>30.356999999999999</v>
      </c>
      <c r="CI94" s="398">
        <v>22.523</v>
      </c>
      <c r="CJ94" s="398">
        <v>13.273999999999999</v>
      </c>
      <c r="CK94" s="398">
        <v>3.18</v>
      </c>
      <c r="CL94" s="398"/>
      <c r="CM94" s="398"/>
      <c r="CN94" s="398"/>
      <c r="CO94" s="398"/>
      <c r="CP94" s="398"/>
      <c r="CQ94" s="398"/>
      <c r="CR94" s="398"/>
      <c r="CS94" s="398"/>
      <c r="CT94" s="398"/>
      <c r="CU94" s="398"/>
      <c r="CV94" s="398"/>
      <c r="CW94" s="398"/>
      <c r="CX94" s="398"/>
      <c r="CY94" s="398"/>
      <c r="CZ94" s="398"/>
      <c r="DA94" s="398"/>
      <c r="DB94" s="398"/>
      <c r="DC94" s="398"/>
      <c r="DD94" s="398"/>
      <c r="DE94" s="393"/>
      <c r="DF94" s="393"/>
      <c r="DG94" s="393"/>
      <c r="DH94" s="393"/>
      <c r="DI94" s="393"/>
      <c r="DJ94" s="393"/>
      <c r="DK94" s="897"/>
    </row>
    <row r="95" spans="1:115" ht="25.5" x14ac:dyDescent="0.2">
      <c r="A95" s="295">
        <v>91</v>
      </c>
      <c r="B95" s="390" t="s">
        <v>2540</v>
      </c>
      <c r="C95" s="390"/>
      <c r="D95" s="391" t="s">
        <v>1869</v>
      </c>
      <c r="E95" s="704" t="s">
        <v>1870</v>
      </c>
      <c r="F95" s="393" t="s">
        <v>1352</v>
      </c>
      <c r="G95" s="393" t="s">
        <v>1673</v>
      </c>
      <c r="H95" s="393" t="s">
        <v>42</v>
      </c>
      <c r="I95" s="392"/>
      <c r="J95" s="392"/>
      <c r="K95" s="392" t="s">
        <v>462</v>
      </c>
      <c r="L95" s="392" t="s">
        <v>458</v>
      </c>
      <c r="M95" s="392"/>
      <c r="N95" s="393" t="s">
        <v>44</v>
      </c>
      <c r="O95" s="393" t="s">
        <v>51</v>
      </c>
      <c r="P95" s="393" t="s">
        <v>51</v>
      </c>
      <c r="Q95" s="392" t="s">
        <v>426</v>
      </c>
      <c r="R95" s="392" t="s">
        <v>3859</v>
      </c>
      <c r="S95" s="392" t="s">
        <v>427</v>
      </c>
      <c r="T95" s="394">
        <v>1</v>
      </c>
      <c r="U95" s="395">
        <v>17.414000000000001</v>
      </c>
      <c r="V95" s="395"/>
      <c r="W95" s="453"/>
      <c r="X95" s="394"/>
      <c r="Y95" s="394">
        <v>4.0529999999999999</v>
      </c>
      <c r="Z95" s="394">
        <v>5</v>
      </c>
      <c r="AA95" s="395">
        <v>2.5150000000000001</v>
      </c>
      <c r="AB95" s="452">
        <v>40672</v>
      </c>
      <c r="AC95" s="398">
        <v>28.680858000000001</v>
      </c>
      <c r="AD95" s="398">
        <v>348.92</v>
      </c>
      <c r="AE95" s="393" t="s">
        <v>37</v>
      </c>
      <c r="AF95" s="417">
        <v>31.992999999999999</v>
      </c>
      <c r="AG95" s="417"/>
      <c r="AH95" s="417">
        <v>31.992999999999999</v>
      </c>
      <c r="AI95" s="394">
        <v>1</v>
      </c>
      <c r="AJ95" s="452">
        <v>42002</v>
      </c>
      <c r="AK95" s="452">
        <v>41986</v>
      </c>
      <c r="AL95" s="393"/>
      <c r="AM95" s="393"/>
      <c r="AN95" s="417"/>
      <c r="AO95" s="392"/>
      <c r="AP95" s="392"/>
      <c r="AQ95" s="392"/>
      <c r="AR95" s="392" t="s">
        <v>458</v>
      </c>
      <c r="AS95" s="480"/>
      <c r="AT95" s="453"/>
      <c r="AU95" s="453"/>
      <c r="AV95" s="453"/>
      <c r="AW95" s="453"/>
      <c r="AX95" s="453"/>
      <c r="AY95" s="453"/>
      <c r="AZ95" s="452">
        <v>40669</v>
      </c>
      <c r="BA95" s="393"/>
      <c r="BB95" s="393"/>
      <c r="BC95" s="393" t="b">
        <v>0</v>
      </c>
      <c r="BD95" s="393"/>
      <c r="BE95" s="392"/>
      <c r="BF95" s="394">
        <v>4</v>
      </c>
      <c r="BG95" s="394">
        <v>8</v>
      </c>
      <c r="BH95" s="394">
        <v>7</v>
      </c>
      <c r="BI95" s="394"/>
      <c r="BJ95" s="394"/>
      <c r="BK95" s="394"/>
      <c r="BL95" s="444" t="s">
        <v>6983</v>
      </c>
      <c r="BM95" s="392"/>
      <c r="BN95" s="393"/>
      <c r="BO95" s="393"/>
      <c r="BP95" s="399"/>
      <c r="BQ95" s="400"/>
      <c r="BR95" s="401"/>
      <c r="BS95" s="399"/>
      <c r="BT95" s="394"/>
      <c r="BU95" s="417">
        <v>0.90269999999999995</v>
      </c>
      <c r="BV95" s="399">
        <v>26.84</v>
      </c>
      <c r="BW95" s="393" t="s">
        <v>3117</v>
      </c>
      <c r="BX95" s="392" t="s">
        <v>3205</v>
      </c>
      <c r="BY95" s="393"/>
      <c r="BZ95" s="393"/>
      <c r="CA95" s="441" t="s">
        <v>1664</v>
      </c>
      <c r="CB95" s="400">
        <v>4</v>
      </c>
      <c r="CC95" s="398"/>
      <c r="CD95" s="398"/>
      <c r="CE95" s="398"/>
      <c r="CF95" s="398"/>
      <c r="CG95" s="398">
        <v>22.370999999999999</v>
      </c>
      <c r="CH95" s="398">
        <v>19.484000000000002</v>
      </c>
      <c r="CI95" s="398">
        <v>16.597000000000001</v>
      </c>
      <c r="CJ95" s="398">
        <v>16.597000000000001</v>
      </c>
      <c r="CK95" s="398">
        <v>2.3439999999999999</v>
      </c>
      <c r="CL95" s="398"/>
      <c r="CM95" s="398"/>
      <c r="CN95" s="398"/>
      <c r="CO95" s="398"/>
      <c r="CP95" s="398"/>
      <c r="CQ95" s="398"/>
      <c r="CR95" s="398"/>
      <c r="CS95" s="398"/>
      <c r="CT95" s="398"/>
      <c r="CU95" s="398"/>
      <c r="CV95" s="398"/>
      <c r="CW95" s="398"/>
      <c r="CX95" s="398"/>
      <c r="CY95" s="398"/>
      <c r="CZ95" s="398"/>
      <c r="DA95" s="398"/>
      <c r="DB95" s="398"/>
      <c r="DC95" s="398"/>
      <c r="DD95" s="398"/>
      <c r="DE95" s="393"/>
      <c r="DF95" s="393"/>
      <c r="DG95" s="393"/>
      <c r="DH95" s="393"/>
      <c r="DI95" s="393"/>
      <c r="DJ95" s="393"/>
      <c r="DK95" s="897"/>
    </row>
    <row r="96" spans="1:115" ht="25.5" x14ac:dyDescent="0.2">
      <c r="A96" s="295">
        <v>92</v>
      </c>
      <c r="B96" s="390" t="s">
        <v>2541</v>
      </c>
      <c r="C96" s="390"/>
      <c r="D96" s="391" t="s">
        <v>1871</v>
      </c>
      <c r="E96" s="704" t="s">
        <v>1872</v>
      </c>
      <c r="F96" s="393" t="s">
        <v>1352</v>
      </c>
      <c r="G96" s="393" t="s">
        <v>1673</v>
      </c>
      <c r="H96" s="393" t="s">
        <v>42</v>
      </c>
      <c r="I96" s="392"/>
      <c r="J96" s="392"/>
      <c r="K96" s="392" t="s">
        <v>462</v>
      </c>
      <c r="L96" s="392" t="s">
        <v>458</v>
      </c>
      <c r="M96" s="392"/>
      <c r="N96" s="393" t="s">
        <v>44</v>
      </c>
      <c r="O96" s="393" t="s">
        <v>51</v>
      </c>
      <c r="P96" s="393" t="s">
        <v>51</v>
      </c>
      <c r="Q96" s="392" t="s">
        <v>426</v>
      </c>
      <c r="R96" s="392" t="s">
        <v>3860</v>
      </c>
      <c r="S96" s="392" t="s">
        <v>427</v>
      </c>
      <c r="T96" s="394">
        <v>1</v>
      </c>
      <c r="U96" s="395">
        <v>21.721</v>
      </c>
      <c r="V96" s="395"/>
      <c r="W96" s="453"/>
      <c r="X96" s="394"/>
      <c r="Y96" s="394">
        <v>4.0529999999999999</v>
      </c>
      <c r="Z96" s="394">
        <v>5</v>
      </c>
      <c r="AA96" s="395">
        <v>-5.2</v>
      </c>
      <c r="AB96" s="452">
        <v>40672</v>
      </c>
      <c r="AC96" s="398">
        <v>35.774487000000001</v>
      </c>
      <c r="AD96" s="398">
        <v>348.92</v>
      </c>
      <c r="AE96" s="393" t="s">
        <v>37</v>
      </c>
      <c r="AF96" s="417">
        <v>41.444000000000003</v>
      </c>
      <c r="AG96" s="417"/>
      <c r="AH96" s="417">
        <v>41.444000000000003</v>
      </c>
      <c r="AI96" s="394">
        <v>1</v>
      </c>
      <c r="AJ96" s="452">
        <v>42002</v>
      </c>
      <c r="AK96" s="452">
        <v>41986</v>
      </c>
      <c r="AL96" s="393"/>
      <c r="AM96" s="393"/>
      <c r="AN96" s="417"/>
      <c r="AO96" s="392"/>
      <c r="AP96" s="392"/>
      <c r="AQ96" s="392"/>
      <c r="AR96" s="392" t="s">
        <v>458</v>
      </c>
      <c r="AS96" s="480"/>
      <c r="AT96" s="453"/>
      <c r="AU96" s="453"/>
      <c r="AV96" s="453"/>
      <c r="AW96" s="453"/>
      <c r="AX96" s="453"/>
      <c r="AY96" s="453"/>
      <c r="AZ96" s="452">
        <v>40669</v>
      </c>
      <c r="BA96" s="393"/>
      <c r="BB96" s="393"/>
      <c r="BC96" s="393" t="b">
        <v>0</v>
      </c>
      <c r="BD96" s="393"/>
      <c r="BE96" s="392"/>
      <c r="BF96" s="394">
        <v>4</v>
      </c>
      <c r="BG96" s="394">
        <v>8</v>
      </c>
      <c r="BH96" s="394">
        <v>7</v>
      </c>
      <c r="BI96" s="394"/>
      <c r="BJ96" s="394"/>
      <c r="BK96" s="394"/>
      <c r="BL96" s="444" t="s">
        <v>6983</v>
      </c>
      <c r="BM96" s="392"/>
      <c r="BN96" s="393"/>
      <c r="BO96" s="393"/>
      <c r="BP96" s="399"/>
      <c r="BQ96" s="400"/>
      <c r="BR96" s="401"/>
      <c r="BS96" s="399"/>
      <c r="BT96" s="394"/>
      <c r="BU96" s="417">
        <v>0.90269999999999995</v>
      </c>
      <c r="BV96" s="399">
        <v>33.478000000000002</v>
      </c>
      <c r="BW96" s="393" t="s">
        <v>3117</v>
      </c>
      <c r="BX96" s="392" t="s">
        <v>3205</v>
      </c>
      <c r="BY96" s="393"/>
      <c r="BZ96" s="393"/>
      <c r="CA96" s="441" t="s">
        <v>1664</v>
      </c>
      <c r="CB96" s="400">
        <v>4</v>
      </c>
      <c r="CC96" s="398"/>
      <c r="CD96" s="398"/>
      <c r="CE96" s="398"/>
      <c r="CF96" s="398"/>
      <c r="CG96" s="398">
        <v>27.902999999999999</v>
      </c>
      <c r="CH96" s="398">
        <v>24.303000000000001</v>
      </c>
      <c r="CI96" s="398">
        <v>20.702000000000002</v>
      </c>
      <c r="CJ96" s="398">
        <v>12.201000000000001</v>
      </c>
      <c r="CK96" s="398">
        <v>2.923</v>
      </c>
      <c r="CL96" s="398"/>
      <c r="CM96" s="398"/>
      <c r="CN96" s="398"/>
      <c r="CO96" s="398"/>
      <c r="CP96" s="398"/>
      <c r="CQ96" s="398"/>
      <c r="CR96" s="398"/>
      <c r="CS96" s="398"/>
      <c r="CT96" s="398"/>
      <c r="CU96" s="398"/>
      <c r="CV96" s="398"/>
      <c r="CW96" s="398"/>
      <c r="CX96" s="398"/>
      <c r="CY96" s="398"/>
      <c r="CZ96" s="398"/>
      <c r="DA96" s="398"/>
      <c r="DB96" s="398"/>
      <c r="DC96" s="398"/>
      <c r="DD96" s="398"/>
      <c r="DE96" s="393"/>
      <c r="DF96" s="393"/>
      <c r="DG96" s="393"/>
      <c r="DH96" s="393"/>
      <c r="DI96" s="393"/>
      <c r="DJ96" s="393"/>
      <c r="DK96" s="897"/>
    </row>
    <row r="97" spans="1:115" ht="25.5" x14ac:dyDescent="0.2">
      <c r="A97" s="295">
        <v>93</v>
      </c>
      <c r="B97" s="390" t="s">
        <v>2542</v>
      </c>
      <c r="C97" s="390"/>
      <c r="D97" s="391" t="s">
        <v>1873</v>
      </c>
      <c r="E97" s="704" t="s">
        <v>1874</v>
      </c>
      <c r="F97" s="393" t="s">
        <v>1352</v>
      </c>
      <c r="G97" s="393" t="s">
        <v>1673</v>
      </c>
      <c r="H97" s="393" t="s">
        <v>42</v>
      </c>
      <c r="I97" s="392"/>
      <c r="J97" s="392"/>
      <c r="K97" s="392" t="s">
        <v>462</v>
      </c>
      <c r="L97" s="392" t="s">
        <v>458</v>
      </c>
      <c r="M97" s="392"/>
      <c r="N97" s="393" t="s">
        <v>44</v>
      </c>
      <c r="O97" s="393" t="s">
        <v>51</v>
      </c>
      <c r="P97" s="393" t="s">
        <v>51</v>
      </c>
      <c r="Q97" s="392" t="s">
        <v>426</v>
      </c>
      <c r="R97" s="392" t="s">
        <v>3861</v>
      </c>
      <c r="S97" s="392" t="s">
        <v>427</v>
      </c>
      <c r="T97" s="394">
        <v>1</v>
      </c>
      <c r="U97" s="395">
        <v>27.867999999999999</v>
      </c>
      <c r="V97" s="395"/>
      <c r="W97" s="453"/>
      <c r="X97" s="394"/>
      <c r="Y97" s="394">
        <v>4.0529999999999999</v>
      </c>
      <c r="Z97" s="394">
        <v>5</v>
      </c>
      <c r="AA97" s="395">
        <v>-6.71</v>
      </c>
      <c r="AB97" s="452">
        <v>40672</v>
      </c>
      <c r="AC97" s="398">
        <v>45.898595999999998</v>
      </c>
      <c r="AD97" s="398">
        <v>348.92</v>
      </c>
      <c r="AE97" s="393" t="s">
        <v>37</v>
      </c>
      <c r="AF97" s="417">
        <v>51.991999999999997</v>
      </c>
      <c r="AG97" s="417"/>
      <c r="AH97" s="417">
        <v>51.991999999999997</v>
      </c>
      <c r="AI97" s="394">
        <v>1</v>
      </c>
      <c r="AJ97" s="452">
        <v>42002</v>
      </c>
      <c r="AK97" s="452">
        <v>41986</v>
      </c>
      <c r="AL97" s="393"/>
      <c r="AM97" s="393"/>
      <c r="AN97" s="417"/>
      <c r="AO97" s="392"/>
      <c r="AP97" s="392"/>
      <c r="AQ97" s="392"/>
      <c r="AR97" s="392" t="s">
        <v>458</v>
      </c>
      <c r="AS97" s="480"/>
      <c r="AT97" s="453"/>
      <c r="AU97" s="453"/>
      <c r="AV97" s="453"/>
      <c r="AW97" s="453"/>
      <c r="AX97" s="453"/>
      <c r="AY97" s="453"/>
      <c r="AZ97" s="452">
        <v>40669</v>
      </c>
      <c r="BA97" s="393"/>
      <c r="BB97" s="393"/>
      <c r="BC97" s="393" t="b">
        <v>0</v>
      </c>
      <c r="BD97" s="393"/>
      <c r="BE97" s="392"/>
      <c r="BF97" s="394">
        <v>4</v>
      </c>
      <c r="BG97" s="394">
        <v>8</v>
      </c>
      <c r="BH97" s="394">
        <v>7</v>
      </c>
      <c r="BI97" s="394"/>
      <c r="BJ97" s="394"/>
      <c r="BK97" s="394"/>
      <c r="BL97" s="444" t="s">
        <v>6983</v>
      </c>
      <c r="BM97" s="392"/>
      <c r="BN97" s="393"/>
      <c r="BO97" s="393"/>
      <c r="BP97" s="399"/>
      <c r="BQ97" s="400"/>
      <c r="BR97" s="401"/>
      <c r="BS97" s="399"/>
      <c r="BT97" s="394"/>
      <c r="BU97" s="417">
        <v>0.90269999999999995</v>
      </c>
      <c r="BV97" s="399">
        <v>42.951000000000001</v>
      </c>
      <c r="BW97" s="393" t="s">
        <v>3117</v>
      </c>
      <c r="BX97" s="392" t="s">
        <v>3205</v>
      </c>
      <c r="BY97" s="393"/>
      <c r="BZ97" s="393"/>
      <c r="CA97" s="441" t="s">
        <v>1664</v>
      </c>
      <c r="CB97" s="400">
        <v>4</v>
      </c>
      <c r="CC97" s="398"/>
      <c r="CD97" s="398"/>
      <c r="CE97" s="398"/>
      <c r="CF97" s="398"/>
      <c r="CG97" s="398">
        <v>35.798999999999999</v>
      </c>
      <c r="CH97" s="398">
        <v>31.18</v>
      </c>
      <c r="CI97" s="398">
        <v>26.56</v>
      </c>
      <c r="CJ97" s="398">
        <v>15.654</v>
      </c>
      <c r="CK97" s="398">
        <v>15.654</v>
      </c>
      <c r="CL97" s="398"/>
      <c r="CM97" s="398"/>
      <c r="CN97" s="398"/>
      <c r="CO97" s="398"/>
      <c r="CP97" s="398"/>
      <c r="CQ97" s="398"/>
      <c r="CR97" s="398"/>
      <c r="CS97" s="398"/>
      <c r="CT97" s="398"/>
      <c r="CU97" s="398"/>
      <c r="CV97" s="398"/>
      <c r="CW97" s="398"/>
      <c r="CX97" s="398"/>
      <c r="CY97" s="398"/>
      <c r="CZ97" s="398"/>
      <c r="DA97" s="398"/>
      <c r="DB97" s="398"/>
      <c r="DC97" s="398"/>
      <c r="DD97" s="398"/>
      <c r="DE97" s="393"/>
      <c r="DF97" s="393"/>
      <c r="DG97" s="393"/>
      <c r="DH97" s="393"/>
      <c r="DI97" s="393"/>
      <c r="DJ97" s="393"/>
      <c r="DK97" s="897"/>
    </row>
    <row r="98" spans="1:115" ht="25.5" x14ac:dyDescent="0.2">
      <c r="A98" s="295">
        <v>94</v>
      </c>
      <c r="B98" s="390" t="s">
        <v>2543</v>
      </c>
      <c r="C98" s="390"/>
      <c r="D98" s="391" t="s">
        <v>1875</v>
      </c>
      <c r="E98" s="704" t="s">
        <v>1876</v>
      </c>
      <c r="F98" s="393" t="s">
        <v>1352</v>
      </c>
      <c r="G98" s="393" t="s">
        <v>1673</v>
      </c>
      <c r="H98" s="393" t="s">
        <v>42</v>
      </c>
      <c r="I98" s="392"/>
      <c r="J98" s="392"/>
      <c r="K98" s="392" t="s">
        <v>462</v>
      </c>
      <c r="L98" s="392" t="s">
        <v>458</v>
      </c>
      <c r="M98" s="392"/>
      <c r="N98" s="393" t="s">
        <v>44</v>
      </c>
      <c r="O98" s="393" t="s">
        <v>51</v>
      </c>
      <c r="P98" s="393" t="s">
        <v>51</v>
      </c>
      <c r="Q98" s="392" t="s">
        <v>426</v>
      </c>
      <c r="R98" s="392" t="s">
        <v>3862</v>
      </c>
      <c r="S98" s="392" t="s">
        <v>427</v>
      </c>
      <c r="T98" s="394">
        <v>1</v>
      </c>
      <c r="U98" s="395">
        <v>31.004999999999999</v>
      </c>
      <c r="V98" s="395"/>
      <c r="W98" s="453"/>
      <c r="X98" s="394"/>
      <c r="Y98" s="394">
        <v>4.0529999999999999</v>
      </c>
      <c r="Z98" s="394">
        <v>5</v>
      </c>
      <c r="AA98" s="395">
        <v>-7.47</v>
      </c>
      <c r="AB98" s="452">
        <v>40672</v>
      </c>
      <c r="AC98" s="398">
        <v>51.065235000000001</v>
      </c>
      <c r="AD98" s="398">
        <v>348.92</v>
      </c>
      <c r="AE98" s="393" t="s">
        <v>37</v>
      </c>
      <c r="AF98" s="417">
        <v>61.935000000000002</v>
      </c>
      <c r="AG98" s="417"/>
      <c r="AH98" s="417">
        <v>61.935000000000002</v>
      </c>
      <c r="AI98" s="394">
        <v>1</v>
      </c>
      <c r="AJ98" s="452">
        <v>42002</v>
      </c>
      <c r="AK98" s="452">
        <v>41986</v>
      </c>
      <c r="AL98" s="393"/>
      <c r="AM98" s="393"/>
      <c r="AN98" s="417"/>
      <c r="AO98" s="392"/>
      <c r="AP98" s="392"/>
      <c r="AQ98" s="392"/>
      <c r="AR98" s="392" t="s">
        <v>458</v>
      </c>
      <c r="AS98" s="480"/>
      <c r="AT98" s="453"/>
      <c r="AU98" s="453"/>
      <c r="AV98" s="453"/>
      <c r="AW98" s="453"/>
      <c r="AX98" s="453"/>
      <c r="AY98" s="453"/>
      <c r="AZ98" s="452">
        <v>40669</v>
      </c>
      <c r="BA98" s="393"/>
      <c r="BB98" s="393"/>
      <c r="BC98" s="393" t="b">
        <v>0</v>
      </c>
      <c r="BD98" s="393"/>
      <c r="BE98" s="392"/>
      <c r="BF98" s="394">
        <v>4</v>
      </c>
      <c r="BG98" s="394">
        <v>8</v>
      </c>
      <c r="BH98" s="394">
        <v>7</v>
      </c>
      <c r="BI98" s="394"/>
      <c r="BJ98" s="394"/>
      <c r="BK98" s="394"/>
      <c r="BL98" s="444" t="s">
        <v>6983</v>
      </c>
      <c r="BM98" s="392"/>
      <c r="BN98" s="393"/>
      <c r="BO98" s="393"/>
      <c r="BP98" s="399"/>
      <c r="BQ98" s="400"/>
      <c r="BR98" s="401"/>
      <c r="BS98" s="399"/>
      <c r="BT98" s="394"/>
      <c r="BU98" s="417">
        <v>0.90269999999999995</v>
      </c>
      <c r="BV98" s="399">
        <v>47.786999999999999</v>
      </c>
      <c r="BW98" s="393" t="s">
        <v>3117</v>
      </c>
      <c r="BX98" s="392" t="s">
        <v>3205</v>
      </c>
      <c r="BY98" s="393"/>
      <c r="BZ98" s="393"/>
      <c r="CA98" s="441" t="s">
        <v>1664</v>
      </c>
      <c r="CB98" s="400">
        <v>4</v>
      </c>
      <c r="CC98" s="398"/>
      <c r="CD98" s="398"/>
      <c r="CE98" s="398"/>
      <c r="CF98" s="398"/>
      <c r="CG98" s="398">
        <v>39.83</v>
      </c>
      <c r="CH98" s="398">
        <v>34.69</v>
      </c>
      <c r="CI98" s="398">
        <v>29.550999999999998</v>
      </c>
      <c r="CJ98" s="398">
        <v>17.416</v>
      </c>
      <c r="CK98" s="398">
        <v>4.173</v>
      </c>
      <c r="CL98" s="398"/>
      <c r="CM98" s="398"/>
      <c r="CN98" s="398"/>
      <c r="CO98" s="398"/>
      <c r="CP98" s="398"/>
      <c r="CQ98" s="398"/>
      <c r="CR98" s="398"/>
      <c r="CS98" s="398"/>
      <c r="CT98" s="398"/>
      <c r="CU98" s="398"/>
      <c r="CV98" s="398"/>
      <c r="CW98" s="398"/>
      <c r="CX98" s="398"/>
      <c r="CY98" s="398"/>
      <c r="CZ98" s="398"/>
      <c r="DA98" s="398"/>
      <c r="DB98" s="398"/>
      <c r="DC98" s="398"/>
      <c r="DD98" s="398"/>
      <c r="DE98" s="393"/>
      <c r="DF98" s="393"/>
      <c r="DG98" s="393"/>
      <c r="DH98" s="393"/>
      <c r="DI98" s="393"/>
      <c r="DJ98" s="393"/>
      <c r="DK98" s="897"/>
    </row>
    <row r="99" spans="1:115" ht="25.5" x14ac:dyDescent="0.2">
      <c r="A99" s="295">
        <v>95</v>
      </c>
      <c r="B99" s="390" t="s">
        <v>2544</v>
      </c>
      <c r="C99" s="390"/>
      <c r="D99" s="391" t="s">
        <v>1877</v>
      </c>
      <c r="E99" s="704" t="s">
        <v>1878</v>
      </c>
      <c r="F99" s="393" t="s">
        <v>1352</v>
      </c>
      <c r="G99" s="393" t="s">
        <v>1673</v>
      </c>
      <c r="H99" s="393" t="s">
        <v>42</v>
      </c>
      <c r="I99" s="392"/>
      <c r="J99" s="392"/>
      <c r="K99" s="392" t="s">
        <v>462</v>
      </c>
      <c r="L99" s="392" t="s">
        <v>458</v>
      </c>
      <c r="M99" s="392"/>
      <c r="N99" s="393" t="s">
        <v>44</v>
      </c>
      <c r="O99" s="393" t="s">
        <v>51</v>
      </c>
      <c r="P99" s="393" t="s">
        <v>51</v>
      </c>
      <c r="Q99" s="392" t="s">
        <v>426</v>
      </c>
      <c r="R99" s="392" t="s">
        <v>3863</v>
      </c>
      <c r="S99" s="392" t="s">
        <v>427</v>
      </c>
      <c r="T99" s="394">
        <v>1</v>
      </c>
      <c r="U99" s="395">
        <v>24.826000000000001</v>
      </c>
      <c r="V99" s="395"/>
      <c r="W99" s="453"/>
      <c r="X99" s="394"/>
      <c r="Y99" s="394">
        <v>4.0529999999999999</v>
      </c>
      <c r="Z99" s="394">
        <v>5</v>
      </c>
      <c r="AA99" s="395">
        <v>-5.9829999999999997</v>
      </c>
      <c r="AB99" s="452">
        <v>40672</v>
      </c>
      <c r="AC99" s="398">
        <v>40.888421999999998</v>
      </c>
      <c r="AD99" s="398">
        <v>348.92</v>
      </c>
      <c r="AE99" s="393" t="s">
        <v>37</v>
      </c>
      <c r="AF99" s="417">
        <v>42.247</v>
      </c>
      <c r="AG99" s="417"/>
      <c r="AH99" s="417">
        <v>42.247</v>
      </c>
      <c r="AI99" s="394">
        <v>1</v>
      </c>
      <c r="AJ99" s="452">
        <v>42002</v>
      </c>
      <c r="AK99" s="452">
        <v>41986</v>
      </c>
      <c r="AL99" s="393"/>
      <c r="AM99" s="393"/>
      <c r="AN99" s="417"/>
      <c r="AO99" s="392"/>
      <c r="AP99" s="392"/>
      <c r="AQ99" s="392"/>
      <c r="AR99" s="392" t="s">
        <v>458</v>
      </c>
      <c r="AS99" s="480"/>
      <c r="AT99" s="453"/>
      <c r="AU99" s="453"/>
      <c r="AV99" s="453"/>
      <c r="AW99" s="453"/>
      <c r="AX99" s="453"/>
      <c r="AY99" s="453"/>
      <c r="AZ99" s="452">
        <v>40669</v>
      </c>
      <c r="BA99" s="393"/>
      <c r="BB99" s="393"/>
      <c r="BC99" s="393" t="b">
        <v>0</v>
      </c>
      <c r="BD99" s="393"/>
      <c r="BE99" s="392"/>
      <c r="BF99" s="394">
        <v>4</v>
      </c>
      <c r="BG99" s="394">
        <v>8</v>
      </c>
      <c r="BH99" s="394">
        <v>7</v>
      </c>
      <c r="BI99" s="394"/>
      <c r="BJ99" s="394"/>
      <c r="BK99" s="394"/>
      <c r="BL99" s="444" t="s">
        <v>6983</v>
      </c>
      <c r="BM99" s="392"/>
      <c r="BN99" s="393"/>
      <c r="BO99" s="393"/>
      <c r="BP99" s="399"/>
      <c r="BQ99" s="400"/>
      <c r="BR99" s="401"/>
      <c r="BS99" s="399"/>
      <c r="BT99" s="394"/>
      <c r="BU99" s="417">
        <v>0.90269999999999995</v>
      </c>
      <c r="BV99" s="399">
        <v>38.264000000000003</v>
      </c>
      <c r="BW99" s="393" t="s">
        <v>3117</v>
      </c>
      <c r="BX99" s="392" t="s">
        <v>3205</v>
      </c>
      <c r="BY99" s="393"/>
      <c r="BZ99" s="393"/>
      <c r="CA99" s="441" t="s">
        <v>1664</v>
      </c>
      <c r="CB99" s="400">
        <v>4</v>
      </c>
      <c r="CC99" s="398"/>
      <c r="CD99" s="398"/>
      <c r="CE99" s="398"/>
      <c r="CF99" s="398"/>
      <c r="CG99" s="398">
        <v>31.891999999999999</v>
      </c>
      <c r="CH99" s="398">
        <v>27.777000000000001</v>
      </c>
      <c r="CI99" s="398">
        <v>23.661999999999999</v>
      </c>
      <c r="CJ99" s="398">
        <v>13.945</v>
      </c>
      <c r="CK99" s="398">
        <v>3.3410000000000002</v>
      </c>
      <c r="CL99" s="398"/>
      <c r="CM99" s="398"/>
      <c r="CN99" s="398"/>
      <c r="CO99" s="398"/>
      <c r="CP99" s="398"/>
      <c r="CQ99" s="398"/>
      <c r="CR99" s="398"/>
      <c r="CS99" s="398"/>
      <c r="CT99" s="398"/>
      <c r="CU99" s="398"/>
      <c r="CV99" s="398"/>
      <c r="CW99" s="398"/>
      <c r="CX99" s="398"/>
      <c r="CY99" s="398"/>
      <c r="CZ99" s="398"/>
      <c r="DA99" s="398"/>
      <c r="DB99" s="398"/>
      <c r="DC99" s="398"/>
      <c r="DD99" s="398"/>
      <c r="DE99" s="393"/>
      <c r="DF99" s="393"/>
      <c r="DG99" s="393"/>
      <c r="DH99" s="393"/>
      <c r="DI99" s="393"/>
      <c r="DJ99" s="393"/>
      <c r="DK99" s="897"/>
    </row>
    <row r="100" spans="1:115" ht="25.5" x14ac:dyDescent="0.2">
      <c r="A100" s="295">
        <v>96</v>
      </c>
      <c r="B100" s="390" t="s">
        <v>2545</v>
      </c>
      <c r="C100" s="390"/>
      <c r="D100" s="391" t="s">
        <v>1879</v>
      </c>
      <c r="E100" s="704" t="s">
        <v>1880</v>
      </c>
      <c r="F100" s="393" t="s">
        <v>1352</v>
      </c>
      <c r="G100" s="393" t="s">
        <v>1673</v>
      </c>
      <c r="H100" s="393" t="s">
        <v>42</v>
      </c>
      <c r="I100" s="392"/>
      <c r="J100" s="392"/>
      <c r="K100" s="392" t="s">
        <v>462</v>
      </c>
      <c r="L100" s="392" t="s">
        <v>458</v>
      </c>
      <c r="M100" s="392"/>
      <c r="N100" s="393" t="s">
        <v>44</v>
      </c>
      <c r="O100" s="393" t="s">
        <v>51</v>
      </c>
      <c r="P100" s="393" t="s">
        <v>51</v>
      </c>
      <c r="Q100" s="392" t="s">
        <v>426</v>
      </c>
      <c r="R100" s="392" t="s">
        <v>3864</v>
      </c>
      <c r="S100" s="392" t="s">
        <v>427</v>
      </c>
      <c r="T100" s="394">
        <v>1</v>
      </c>
      <c r="U100" s="395">
        <v>18.786999999999999</v>
      </c>
      <c r="V100" s="395"/>
      <c r="W100" s="453"/>
      <c r="X100" s="394"/>
      <c r="Y100" s="394">
        <v>4.0529999999999999</v>
      </c>
      <c r="Z100" s="394">
        <v>5</v>
      </c>
      <c r="AA100" s="395">
        <v>-4.5259999999999998</v>
      </c>
      <c r="AB100" s="452">
        <v>40672</v>
      </c>
      <c r="AC100" s="398">
        <v>30.942188999999999</v>
      </c>
      <c r="AD100" s="398">
        <v>348.92</v>
      </c>
      <c r="AE100" s="393" t="s">
        <v>37</v>
      </c>
      <c r="AF100" s="417">
        <v>36.808999999999997</v>
      </c>
      <c r="AG100" s="417"/>
      <c r="AH100" s="417">
        <v>36.808999999999997</v>
      </c>
      <c r="AI100" s="394">
        <v>1</v>
      </c>
      <c r="AJ100" s="452">
        <v>42002</v>
      </c>
      <c r="AK100" s="452">
        <v>41986</v>
      </c>
      <c r="AL100" s="393"/>
      <c r="AM100" s="393"/>
      <c r="AN100" s="417"/>
      <c r="AO100" s="392"/>
      <c r="AP100" s="392"/>
      <c r="AQ100" s="392"/>
      <c r="AR100" s="392" t="s">
        <v>458</v>
      </c>
      <c r="AS100" s="480"/>
      <c r="AT100" s="453"/>
      <c r="AU100" s="453"/>
      <c r="AV100" s="453"/>
      <c r="AW100" s="453"/>
      <c r="AX100" s="453"/>
      <c r="AY100" s="453"/>
      <c r="AZ100" s="452">
        <v>40669</v>
      </c>
      <c r="BA100" s="393"/>
      <c r="BB100" s="393"/>
      <c r="BC100" s="393" t="b">
        <v>0</v>
      </c>
      <c r="BD100" s="393"/>
      <c r="BE100" s="392"/>
      <c r="BF100" s="394">
        <v>4</v>
      </c>
      <c r="BG100" s="394">
        <v>8</v>
      </c>
      <c r="BH100" s="394">
        <v>7</v>
      </c>
      <c r="BI100" s="394"/>
      <c r="BJ100" s="394"/>
      <c r="BK100" s="394"/>
      <c r="BL100" s="444" t="s">
        <v>6983</v>
      </c>
      <c r="BM100" s="392"/>
      <c r="BN100" s="393"/>
      <c r="BO100" s="393"/>
      <c r="BP100" s="399"/>
      <c r="BQ100" s="400"/>
      <c r="BR100" s="401"/>
      <c r="BS100" s="399"/>
      <c r="BT100" s="394"/>
      <c r="BU100" s="417">
        <v>0.90269999999999995</v>
      </c>
      <c r="BV100" s="399">
        <v>28.956</v>
      </c>
      <c r="BW100" s="393" t="s">
        <v>3117</v>
      </c>
      <c r="BX100" s="392" t="s">
        <v>3205</v>
      </c>
      <c r="BY100" s="393"/>
      <c r="BZ100" s="393"/>
      <c r="CA100" s="441" t="s">
        <v>1664</v>
      </c>
      <c r="CB100" s="400">
        <v>4</v>
      </c>
      <c r="CC100" s="398"/>
      <c r="CD100" s="398"/>
      <c r="CE100" s="398"/>
      <c r="CF100" s="398"/>
      <c r="CG100" s="398">
        <v>24.134</v>
      </c>
      <c r="CH100" s="398">
        <v>21.02</v>
      </c>
      <c r="CI100" s="398">
        <v>17.905999999999999</v>
      </c>
      <c r="CJ100" s="398">
        <v>10.553000000000001</v>
      </c>
      <c r="CK100" s="398">
        <v>2.528</v>
      </c>
      <c r="CL100" s="398"/>
      <c r="CM100" s="398"/>
      <c r="CN100" s="398"/>
      <c r="CO100" s="398"/>
      <c r="CP100" s="398"/>
      <c r="CQ100" s="398"/>
      <c r="CR100" s="398"/>
      <c r="CS100" s="398"/>
      <c r="CT100" s="398"/>
      <c r="CU100" s="398"/>
      <c r="CV100" s="398"/>
      <c r="CW100" s="398"/>
      <c r="CX100" s="398"/>
      <c r="CY100" s="398"/>
      <c r="CZ100" s="398"/>
      <c r="DA100" s="398"/>
      <c r="DB100" s="398"/>
      <c r="DC100" s="398"/>
      <c r="DD100" s="398"/>
      <c r="DE100" s="393"/>
      <c r="DF100" s="393"/>
      <c r="DG100" s="393"/>
      <c r="DH100" s="393"/>
      <c r="DI100" s="393"/>
      <c r="DJ100" s="393"/>
      <c r="DK100" s="897"/>
    </row>
    <row r="101" spans="1:115" ht="25.5" x14ac:dyDescent="0.2">
      <c r="A101" s="295">
        <v>97</v>
      </c>
      <c r="B101" s="390" t="s">
        <v>2546</v>
      </c>
      <c r="C101" s="390"/>
      <c r="D101" s="391" t="s">
        <v>1881</v>
      </c>
      <c r="E101" s="704" t="s">
        <v>1882</v>
      </c>
      <c r="F101" s="393" t="s">
        <v>1352</v>
      </c>
      <c r="G101" s="393" t="s">
        <v>1673</v>
      </c>
      <c r="H101" s="393" t="s">
        <v>42</v>
      </c>
      <c r="I101" s="392"/>
      <c r="J101" s="392"/>
      <c r="K101" s="392" t="s">
        <v>462</v>
      </c>
      <c r="L101" s="392" t="s">
        <v>458</v>
      </c>
      <c r="M101" s="392"/>
      <c r="N101" s="393" t="s">
        <v>44</v>
      </c>
      <c r="O101" s="393" t="s">
        <v>51</v>
      </c>
      <c r="P101" s="393" t="s">
        <v>51</v>
      </c>
      <c r="Q101" s="392" t="s">
        <v>426</v>
      </c>
      <c r="R101" s="392" t="s">
        <v>3865</v>
      </c>
      <c r="S101" s="392" t="s">
        <v>427</v>
      </c>
      <c r="T101" s="394">
        <v>1</v>
      </c>
      <c r="U101" s="395">
        <v>31.952000000000002</v>
      </c>
      <c r="V101" s="395"/>
      <c r="W101" s="453"/>
      <c r="X101" s="394"/>
      <c r="Y101" s="394">
        <v>4.0529999999999999</v>
      </c>
      <c r="Z101" s="394">
        <v>5</v>
      </c>
      <c r="AA101" s="395">
        <v>-7.7</v>
      </c>
      <c r="AB101" s="452">
        <v>40672</v>
      </c>
      <c r="AC101" s="398">
        <v>52.624943999999999</v>
      </c>
      <c r="AD101" s="398">
        <v>348.92</v>
      </c>
      <c r="AE101" s="393" t="s">
        <v>37</v>
      </c>
      <c r="AF101" s="417">
        <v>62.914999999999999</v>
      </c>
      <c r="AG101" s="417"/>
      <c r="AH101" s="417">
        <v>62.914999999999999</v>
      </c>
      <c r="AI101" s="394">
        <v>1</v>
      </c>
      <c r="AJ101" s="452">
        <v>42002</v>
      </c>
      <c r="AK101" s="452">
        <v>41986</v>
      </c>
      <c r="AL101" s="393"/>
      <c r="AM101" s="393"/>
      <c r="AN101" s="417"/>
      <c r="AO101" s="392"/>
      <c r="AP101" s="392"/>
      <c r="AQ101" s="392"/>
      <c r="AR101" s="392" t="s">
        <v>458</v>
      </c>
      <c r="AS101" s="480"/>
      <c r="AT101" s="453"/>
      <c r="AU101" s="453"/>
      <c r="AV101" s="453"/>
      <c r="AW101" s="453"/>
      <c r="AX101" s="453"/>
      <c r="AY101" s="453"/>
      <c r="AZ101" s="452">
        <v>40669</v>
      </c>
      <c r="BA101" s="393"/>
      <c r="BB101" s="393"/>
      <c r="BC101" s="393" t="b">
        <v>0</v>
      </c>
      <c r="BD101" s="393"/>
      <c r="BE101" s="392"/>
      <c r="BF101" s="394">
        <v>4</v>
      </c>
      <c r="BG101" s="394">
        <v>8</v>
      </c>
      <c r="BH101" s="394">
        <v>7</v>
      </c>
      <c r="BI101" s="394"/>
      <c r="BJ101" s="394"/>
      <c r="BK101" s="394"/>
      <c r="BL101" s="444" t="s">
        <v>6983</v>
      </c>
      <c r="BM101" s="392"/>
      <c r="BN101" s="393"/>
      <c r="BO101" s="393"/>
      <c r="BP101" s="399"/>
      <c r="BQ101" s="400"/>
      <c r="BR101" s="401"/>
      <c r="BS101" s="399"/>
      <c r="BT101" s="394"/>
      <c r="BU101" s="417">
        <v>0.90269999999999995</v>
      </c>
      <c r="BV101" s="399">
        <v>49.246000000000002</v>
      </c>
      <c r="BW101" s="393" t="s">
        <v>3117</v>
      </c>
      <c r="BX101" s="392" t="s">
        <v>3205</v>
      </c>
      <c r="BY101" s="393"/>
      <c r="BZ101" s="393"/>
      <c r="CA101" s="441" t="s">
        <v>1664</v>
      </c>
      <c r="CB101" s="400">
        <v>4</v>
      </c>
      <c r="CC101" s="398"/>
      <c r="CD101" s="398"/>
      <c r="CE101" s="398"/>
      <c r="CF101" s="398"/>
      <c r="CG101" s="398">
        <v>41.045999999999999</v>
      </c>
      <c r="CH101" s="398">
        <v>35.749000000000002</v>
      </c>
      <c r="CI101" s="398">
        <v>30.452999999999999</v>
      </c>
      <c r="CJ101" s="398">
        <v>17.948</v>
      </c>
      <c r="CK101" s="398">
        <v>4.3</v>
      </c>
      <c r="CL101" s="398"/>
      <c r="CM101" s="398"/>
      <c r="CN101" s="398"/>
      <c r="CO101" s="398"/>
      <c r="CP101" s="398"/>
      <c r="CQ101" s="398"/>
      <c r="CR101" s="398"/>
      <c r="CS101" s="398"/>
      <c r="CT101" s="398"/>
      <c r="CU101" s="398"/>
      <c r="CV101" s="398"/>
      <c r="CW101" s="398"/>
      <c r="CX101" s="398"/>
      <c r="CY101" s="398"/>
      <c r="CZ101" s="398"/>
      <c r="DA101" s="398"/>
      <c r="DB101" s="398"/>
      <c r="DC101" s="398"/>
      <c r="DD101" s="398"/>
      <c r="DE101" s="393"/>
      <c r="DF101" s="393"/>
      <c r="DG101" s="393"/>
      <c r="DH101" s="393"/>
      <c r="DI101" s="393"/>
      <c r="DJ101" s="393"/>
      <c r="DK101" s="897"/>
    </row>
    <row r="102" spans="1:115" ht="25.5" x14ac:dyDescent="0.2">
      <c r="A102" s="295">
        <v>98</v>
      </c>
      <c r="B102" s="390" t="s">
        <v>2547</v>
      </c>
      <c r="C102" s="390"/>
      <c r="D102" s="391" t="s">
        <v>1883</v>
      </c>
      <c r="E102" s="704" t="s">
        <v>1884</v>
      </c>
      <c r="F102" s="393" t="s">
        <v>1352</v>
      </c>
      <c r="G102" s="393" t="s">
        <v>1673</v>
      </c>
      <c r="H102" s="393" t="s">
        <v>42</v>
      </c>
      <c r="I102" s="392"/>
      <c r="J102" s="392"/>
      <c r="K102" s="392" t="s">
        <v>462</v>
      </c>
      <c r="L102" s="392" t="s">
        <v>458</v>
      </c>
      <c r="M102" s="392"/>
      <c r="N102" s="393" t="s">
        <v>44</v>
      </c>
      <c r="O102" s="393" t="s">
        <v>51</v>
      </c>
      <c r="P102" s="393" t="s">
        <v>51</v>
      </c>
      <c r="Q102" s="392" t="s">
        <v>426</v>
      </c>
      <c r="R102" s="392" t="s">
        <v>3866</v>
      </c>
      <c r="S102" s="392" t="s">
        <v>427</v>
      </c>
      <c r="T102" s="394">
        <v>1</v>
      </c>
      <c r="U102" s="395">
        <v>25.756</v>
      </c>
      <c r="V102" s="395"/>
      <c r="W102" s="453"/>
      <c r="X102" s="394"/>
      <c r="Y102" s="394">
        <v>3.93</v>
      </c>
      <c r="Z102" s="394">
        <v>5</v>
      </c>
      <c r="AA102" s="395">
        <v>-6.0229999999999997</v>
      </c>
      <c r="AB102" s="452">
        <v>40672</v>
      </c>
      <c r="AC102" s="398">
        <v>42.420132000000002</v>
      </c>
      <c r="AD102" s="398">
        <v>348.92</v>
      </c>
      <c r="AE102" s="393" t="s">
        <v>37</v>
      </c>
      <c r="AF102" s="417">
        <v>42.313000000000002</v>
      </c>
      <c r="AG102" s="417"/>
      <c r="AH102" s="417">
        <v>42.313000000000002</v>
      </c>
      <c r="AI102" s="394">
        <v>1</v>
      </c>
      <c r="AJ102" s="452">
        <v>42002</v>
      </c>
      <c r="AK102" s="452">
        <v>41986</v>
      </c>
      <c r="AL102" s="393"/>
      <c r="AM102" s="393"/>
      <c r="AN102" s="417"/>
      <c r="AO102" s="392"/>
      <c r="AP102" s="392"/>
      <c r="AQ102" s="392"/>
      <c r="AR102" s="392" t="s">
        <v>458</v>
      </c>
      <c r="AS102" s="480"/>
      <c r="AT102" s="453"/>
      <c r="AU102" s="453"/>
      <c r="AV102" s="453"/>
      <c r="AW102" s="453"/>
      <c r="AX102" s="453"/>
      <c r="AY102" s="453"/>
      <c r="AZ102" s="452">
        <v>40669</v>
      </c>
      <c r="BA102" s="393"/>
      <c r="BB102" s="393"/>
      <c r="BC102" s="393" t="b">
        <v>0</v>
      </c>
      <c r="BD102" s="393"/>
      <c r="BE102" s="392"/>
      <c r="BF102" s="394">
        <v>4</v>
      </c>
      <c r="BG102" s="394">
        <v>8</v>
      </c>
      <c r="BH102" s="394">
        <v>7</v>
      </c>
      <c r="BI102" s="394"/>
      <c r="BJ102" s="394"/>
      <c r="BK102" s="394"/>
      <c r="BL102" s="444" t="s">
        <v>6983</v>
      </c>
      <c r="BM102" s="392"/>
      <c r="BN102" s="393"/>
      <c r="BO102" s="393"/>
      <c r="BP102" s="399"/>
      <c r="BQ102" s="400"/>
      <c r="BR102" s="401"/>
      <c r="BS102" s="399"/>
      <c r="BT102" s="394"/>
      <c r="BU102" s="417">
        <v>0.90269999999999995</v>
      </c>
      <c r="BV102" s="399">
        <v>40.950000000000003</v>
      </c>
      <c r="BW102" s="393" t="s">
        <v>3117</v>
      </c>
      <c r="BX102" s="392" t="s">
        <v>3205</v>
      </c>
      <c r="BY102" s="393"/>
      <c r="BZ102" s="393"/>
      <c r="CA102" s="441" t="s">
        <v>1664</v>
      </c>
      <c r="CB102" s="400">
        <v>4</v>
      </c>
      <c r="CC102" s="398"/>
      <c r="CD102" s="398"/>
      <c r="CE102" s="398"/>
      <c r="CF102" s="398"/>
      <c r="CG102" s="398">
        <v>33.576999999999998</v>
      </c>
      <c r="CH102" s="398">
        <v>29.172000000000001</v>
      </c>
      <c r="CI102" s="398">
        <v>24.768000000000001</v>
      </c>
      <c r="CJ102" s="398">
        <v>15.507</v>
      </c>
      <c r="CK102" s="398"/>
      <c r="CL102" s="398"/>
      <c r="CM102" s="398"/>
      <c r="CN102" s="398"/>
      <c r="CO102" s="398"/>
      <c r="CP102" s="398"/>
      <c r="CQ102" s="398"/>
      <c r="CR102" s="398"/>
      <c r="CS102" s="398"/>
      <c r="CT102" s="398"/>
      <c r="CU102" s="398"/>
      <c r="CV102" s="398"/>
      <c r="CW102" s="398"/>
      <c r="CX102" s="398"/>
      <c r="CY102" s="398"/>
      <c r="CZ102" s="398"/>
      <c r="DA102" s="398"/>
      <c r="DB102" s="398"/>
      <c r="DC102" s="398"/>
      <c r="DD102" s="398"/>
      <c r="DE102" s="393"/>
      <c r="DF102" s="393"/>
      <c r="DG102" s="393"/>
      <c r="DH102" s="393"/>
      <c r="DI102" s="393"/>
      <c r="DJ102" s="393"/>
      <c r="DK102" s="897"/>
    </row>
    <row r="103" spans="1:115" ht="25.5" x14ac:dyDescent="0.2">
      <c r="A103" s="295">
        <v>99</v>
      </c>
      <c r="B103" s="390" t="s">
        <v>2548</v>
      </c>
      <c r="C103" s="390"/>
      <c r="D103" s="391" t="s">
        <v>1885</v>
      </c>
      <c r="E103" s="704" t="s">
        <v>1886</v>
      </c>
      <c r="F103" s="393" t="s">
        <v>1352</v>
      </c>
      <c r="G103" s="393" t="s">
        <v>1673</v>
      </c>
      <c r="H103" s="393" t="s">
        <v>42</v>
      </c>
      <c r="I103" s="392"/>
      <c r="J103" s="392"/>
      <c r="K103" s="392" t="s">
        <v>462</v>
      </c>
      <c r="L103" s="392" t="s">
        <v>458</v>
      </c>
      <c r="M103" s="392"/>
      <c r="N103" s="393" t="s">
        <v>44</v>
      </c>
      <c r="O103" s="393" t="s">
        <v>51</v>
      </c>
      <c r="P103" s="393" t="s">
        <v>51</v>
      </c>
      <c r="Q103" s="392" t="s">
        <v>426</v>
      </c>
      <c r="R103" s="392" t="s">
        <v>3867</v>
      </c>
      <c r="S103" s="392" t="s">
        <v>427</v>
      </c>
      <c r="T103" s="394">
        <v>1</v>
      </c>
      <c r="U103" s="395">
        <v>17.295000000000002</v>
      </c>
      <c r="V103" s="395"/>
      <c r="W103" s="453"/>
      <c r="X103" s="394"/>
      <c r="Y103" s="394">
        <v>3.93</v>
      </c>
      <c r="Z103" s="394">
        <v>5</v>
      </c>
      <c r="AA103" s="395">
        <v>-4.0460000000000003</v>
      </c>
      <c r="AB103" s="452">
        <v>40672</v>
      </c>
      <c r="AC103" s="398">
        <v>28.484864999999999</v>
      </c>
      <c r="AD103" s="398">
        <v>348.92</v>
      </c>
      <c r="AE103" s="393" t="s">
        <v>37</v>
      </c>
      <c r="AF103" s="417">
        <v>28.896000000000001</v>
      </c>
      <c r="AG103" s="417"/>
      <c r="AH103" s="417">
        <v>28.896000000000001</v>
      </c>
      <c r="AI103" s="394">
        <v>1</v>
      </c>
      <c r="AJ103" s="452">
        <v>42002</v>
      </c>
      <c r="AK103" s="452">
        <v>41986</v>
      </c>
      <c r="AL103" s="393"/>
      <c r="AM103" s="393"/>
      <c r="AN103" s="417"/>
      <c r="AO103" s="392"/>
      <c r="AP103" s="392"/>
      <c r="AQ103" s="392"/>
      <c r="AR103" s="392" t="s">
        <v>458</v>
      </c>
      <c r="AS103" s="480"/>
      <c r="AT103" s="453"/>
      <c r="AU103" s="453"/>
      <c r="AV103" s="453"/>
      <c r="AW103" s="453"/>
      <c r="AX103" s="453"/>
      <c r="AY103" s="453"/>
      <c r="AZ103" s="452">
        <v>40669</v>
      </c>
      <c r="BA103" s="393"/>
      <c r="BB103" s="393"/>
      <c r="BC103" s="393" t="b">
        <v>0</v>
      </c>
      <c r="BD103" s="393"/>
      <c r="BE103" s="392"/>
      <c r="BF103" s="394">
        <v>4</v>
      </c>
      <c r="BG103" s="394">
        <v>8</v>
      </c>
      <c r="BH103" s="394">
        <v>7</v>
      </c>
      <c r="BI103" s="394"/>
      <c r="BJ103" s="394"/>
      <c r="BK103" s="394"/>
      <c r="BL103" s="444" t="s">
        <v>6983</v>
      </c>
      <c r="BM103" s="392"/>
      <c r="BN103" s="393"/>
      <c r="BO103" s="393"/>
      <c r="BP103" s="399"/>
      <c r="BQ103" s="400"/>
      <c r="BR103" s="401"/>
      <c r="BS103" s="399"/>
      <c r="BT103" s="394"/>
      <c r="BU103" s="417">
        <v>0.90269999999999995</v>
      </c>
      <c r="BV103" s="399">
        <v>27.498000000000001</v>
      </c>
      <c r="BW103" s="393" t="s">
        <v>3117</v>
      </c>
      <c r="BX103" s="392" t="s">
        <v>3205</v>
      </c>
      <c r="BY103" s="393"/>
      <c r="BZ103" s="393"/>
      <c r="CA103" s="441" t="s">
        <v>1664</v>
      </c>
      <c r="CB103" s="400">
        <v>4</v>
      </c>
      <c r="CC103" s="398"/>
      <c r="CD103" s="398"/>
      <c r="CE103" s="398"/>
      <c r="CF103" s="398"/>
      <c r="CG103" s="398">
        <v>22.547000000000001</v>
      </c>
      <c r="CH103" s="398">
        <v>19.588999999999999</v>
      </c>
      <c r="CI103" s="398">
        <v>16.632000000000001</v>
      </c>
      <c r="CJ103" s="398">
        <v>10.413</v>
      </c>
      <c r="CK103" s="398"/>
      <c r="CL103" s="398"/>
      <c r="CM103" s="398"/>
      <c r="CN103" s="398"/>
      <c r="CO103" s="398"/>
      <c r="CP103" s="398"/>
      <c r="CQ103" s="398"/>
      <c r="CR103" s="398"/>
      <c r="CS103" s="398"/>
      <c r="CT103" s="398"/>
      <c r="CU103" s="398"/>
      <c r="CV103" s="398"/>
      <c r="CW103" s="398"/>
      <c r="CX103" s="398"/>
      <c r="CY103" s="398"/>
      <c r="CZ103" s="398"/>
      <c r="DA103" s="398"/>
      <c r="DB103" s="398"/>
      <c r="DC103" s="398"/>
      <c r="DD103" s="398"/>
      <c r="DE103" s="393"/>
      <c r="DF103" s="393"/>
      <c r="DG103" s="393"/>
      <c r="DH103" s="393"/>
      <c r="DI103" s="393"/>
      <c r="DJ103" s="393"/>
      <c r="DK103" s="897"/>
    </row>
    <row r="104" spans="1:115" ht="25.5" x14ac:dyDescent="0.2">
      <c r="A104" s="295">
        <v>100</v>
      </c>
      <c r="B104" s="390" t="s">
        <v>2549</v>
      </c>
      <c r="C104" s="390"/>
      <c r="D104" s="391" t="s">
        <v>1887</v>
      </c>
      <c r="E104" s="704" t="s">
        <v>1888</v>
      </c>
      <c r="F104" s="393" t="s">
        <v>1352</v>
      </c>
      <c r="G104" s="393" t="s">
        <v>1673</v>
      </c>
      <c r="H104" s="393" t="s">
        <v>42</v>
      </c>
      <c r="I104" s="392"/>
      <c r="J104" s="392"/>
      <c r="K104" s="392" t="s">
        <v>462</v>
      </c>
      <c r="L104" s="392" t="s">
        <v>458</v>
      </c>
      <c r="M104" s="392"/>
      <c r="N104" s="393" t="s">
        <v>44</v>
      </c>
      <c r="O104" s="393" t="s">
        <v>51</v>
      </c>
      <c r="P104" s="393" t="s">
        <v>51</v>
      </c>
      <c r="Q104" s="392" t="s">
        <v>426</v>
      </c>
      <c r="R104" s="392" t="s">
        <v>3868</v>
      </c>
      <c r="S104" s="392" t="s">
        <v>427</v>
      </c>
      <c r="T104" s="394">
        <v>1</v>
      </c>
      <c r="U104" s="395">
        <v>22.169</v>
      </c>
      <c r="V104" s="395"/>
      <c r="W104" s="453"/>
      <c r="X104" s="394"/>
      <c r="Y104" s="394">
        <v>3.93</v>
      </c>
      <c r="Z104" s="394">
        <v>5</v>
      </c>
      <c r="AA104" s="395">
        <v>-5.1829999999999998</v>
      </c>
      <c r="AB104" s="452">
        <v>40672</v>
      </c>
      <c r="AC104" s="398">
        <v>36.512343000000001</v>
      </c>
      <c r="AD104" s="398">
        <v>348.92</v>
      </c>
      <c r="AE104" s="393" t="s">
        <v>37</v>
      </c>
      <c r="AF104" s="417">
        <v>38.533999999999999</v>
      </c>
      <c r="AG104" s="417"/>
      <c r="AH104" s="417">
        <v>38.533999999999999</v>
      </c>
      <c r="AI104" s="394">
        <v>1</v>
      </c>
      <c r="AJ104" s="452">
        <v>42002</v>
      </c>
      <c r="AK104" s="452">
        <v>41986</v>
      </c>
      <c r="AL104" s="393"/>
      <c r="AM104" s="393"/>
      <c r="AN104" s="417"/>
      <c r="AO104" s="392"/>
      <c r="AP104" s="392"/>
      <c r="AQ104" s="392"/>
      <c r="AR104" s="392" t="s">
        <v>458</v>
      </c>
      <c r="AS104" s="480"/>
      <c r="AT104" s="453"/>
      <c r="AU104" s="453"/>
      <c r="AV104" s="453"/>
      <c r="AW104" s="453"/>
      <c r="AX104" s="453"/>
      <c r="AY104" s="453"/>
      <c r="AZ104" s="452">
        <v>40669</v>
      </c>
      <c r="BA104" s="393"/>
      <c r="BB104" s="393"/>
      <c r="BC104" s="393" t="b">
        <v>0</v>
      </c>
      <c r="BD104" s="393"/>
      <c r="BE104" s="392"/>
      <c r="BF104" s="394">
        <v>4</v>
      </c>
      <c r="BG104" s="394">
        <v>8</v>
      </c>
      <c r="BH104" s="394">
        <v>7</v>
      </c>
      <c r="BI104" s="394"/>
      <c r="BJ104" s="394"/>
      <c r="BK104" s="394"/>
      <c r="BL104" s="444" t="s">
        <v>6983</v>
      </c>
      <c r="BM104" s="392"/>
      <c r="BN104" s="393"/>
      <c r="BO104" s="393"/>
      <c r="BP104" s="399"/>
      <c r="BQ104" s="400"/>
      <c r="BR104" s="401"/>
      <c r="BS104" s="399"/>
      <c r="BT104" s="394"/>
      <c r="BU104" s="417">
        <v>0.90269999999999995</v>
      </c>
      <c r="BV104" s="399">
        <v>35.247999999999998</v>
      </c>
      <c r="BW104" s="393" t="s">
        <v>3117</v>
      </c>
      <c r="BX104" s="392" t="s">
        <v>3205</v>
      </c>
      <c r="BY104" s="393"/>
      <c r="BZ104" s="393"/>
      <c r="CA104" s="441" t="s">
        <v>1664</v>
      </c>
      <c r="CB104" s="400">
        <v>4</v>
      </c>
      <c r="CC104" s="398"/>
      <c r="CD104" s="398"/>
      <c r="CE104" s="398"/>
      <c r="CF104" s="398"/>
      <c r="CG104" s="398">
        <v>28.901</v>
      </c>
      <c r="CH104" s="398">
        <v>25.11</v>
      </c>
      <c r="CI104" s="398">
        <v>21.318999999999999</v>
      </c>
      <c r="CJ104" s="398">
        <v>21.318999999999999</v>
      </c>
      <c r="CK104" s="398"/>
      <c r="CL104" s="398"/>
      <c r="CM104" s="398"/>
      <c r="CN104" s="398"/>
      <c r="CO104" s="398"/>
      <c r="CP104" s="398"/>
      <c r="CQ104" s="398"/>
      <c r="CR104" s="398"/>
      <c r="CS104" s="398"/>
      <c r="CT104" s="398"/>
      <c r="CU104" s="398"/>
      <c r="CV104" s="398"/>
      <c r="CW104" s="398"/>
      <c r="CX104" s="398"/>
      <c r="CY104" s="398"/>
      <c r="CZ104" s="398"/>
      <c r="DA104" s="398"/>
      <c r="DB104" s="398"/>
      <c r="DC104" s="398"/>
      <c r="DD104" s="398"/>
      <c r="DE104" s="393"/>
      <c r="DF104" s="393"/>
      <c r="DG104" s="393"/>
      <c r="DH104" s="393"/>
      <c r="DI104" s="393"/>
      <c r="DJ104" s="393"/>
      <c r="DK104" s="897"/>
    </row>
    <row r="105" spans="1:115" ht="25.5" x14ac:dyDescent="0.2">
      <c r="A105" s="295">
        <v>101</v>
      </c>
      <c r="B105" s="390" t="s">
        <v>2550</v>
      </c>
      <c r="C105" s="390"/>
      <c r="D105" s="391" t="s">
        <v>1889</v>
      </c>
      <c r="E105" s="704" t="s">
        <v>1890</v>
      </c>
      <c r="F105" s="393" t="s">
        <v>1352</v>
      </c>
      <c r="G105" s="393" t="s">
        <v>1673</v>
      </c>
      <c r="H105" s="393" t="s">
        <v>42</v>
      </c>
      <c r="I105" s="392"/>
      <c r="J105" s="392"/>
      <c r="K105" s="392" t="s">
        <v>462</v>
      </c>
      <c r="L105" s="392" t="s">
        <v>458</v>
      </c>
      <c r="M105" s="392"/>
      <c r="N105" s="393" t="s">
        <v>44</v>
      </c>
      <c r="O105" s="393" t="s">
        <v>51</v>
      </c>
      <c r="P105" s="393" t="s">
        <v>51</v>
      </c>
      <c r="Q105" s="392" t="s">
        <v>426</v>
      </c>
      <c r="R105" s="392" t="s">
        <v>3869</v>
      </c>
      <c r="S105" s="392" t="s">
        <v>427</v>
      </c>
      <c r="T105" s="394">
        <v>1</v>
      </c>
      <c r="U105" s="395">
        <v>27.704999999999998</v>
      </c>
      <c r="V105" s="395"/>
      <c r="W105" s="453"/>
      <c r="X105" s="394"/>
      <c r="Y105" s="394">
        <v>3.93</v>
      </c>
      <c r="Z105" s="394">
        <v>5</v>
      </c>
      <c r="AA105" s="395">
        <v>-6.48</v>
      </c>
      <c r="AB105" s="452">
        <v>40672</v>
      </c>
      <c r="AC105" s="398">
        <v>45.630135000000003</v>
      </c>
      <c r="AD105" s="398">
        <v>348.92</v>
      </c>
      <c r="AE105" s="393" t="s">
        <v>37</v>
      </c>
      <c r="AF105" s="417">
        <v>45.901000000000003</v>
      </c>
      <c r="AG105" s="417"/>
      <c r="AH105" s="417">
        <v>45.901000000000003</v>
      </c>
      <c r="AI105" s="394">
        <v>1</v>
      </c>
      <c r="AJ105" s="452">
        <v>42002</v>
      </c>
      <c r="AK105" s="452">
        <v>41986</v>
      </c>
      <c r="AL105" s="393"/>
      <c r="AM105" s="393"/>
      <c r="AN105" s="417"/>
      <c r="AO105" s="392"/>
      <c r="AP105" s="392"/>
      <c r="AQ105" s="392"/>
      <c r="AR105" s="392" t="s">
        <v>458</v>
      </c>
      <c r="AS105" s="480"/>
      <c r="AT105" s="453"/>
      <c r="AU105" s="453"/>
      <c r="AV105" s="453"/>
      <c r="AW105" s="453"/>
      <c r="AX105" s="453"/>
      <c r="AY105" s="453"/>
      <c r="AZ105" s="452">
        <v>40669</v>
      </c>
      <c r="BA105" s="393"/>
      <c r="BB105" s="393"/>
      <c r="BC105" s="393" t="b">
        <v>0</v>
      </c>
      <c r="BD105" s="393"/>
      <c r="BE105" s="392"/>
      <c r="BF105" s="394">
        <v>4</v>
      </c>
      <c r="BG105" s="394">
        <v>8</v>
      </c>
      <c r="BH105" s="394">
        <v>7</v>
      </c>
      <c r="BI105" s="394"/>
      <c r="BJ105" s="394"/>
      <c r="BK105" s="394"/>
      <c r="BL105" s="444" t="s">
        <v>6983</v>
      </c>
      <c r="BM105" s="392"/>
      <c r="BN105" s="393"/>
      <c r="BO105" s="393"/>
      <c r="BP105" s="399"/>
      <c r="BQ105" s="400"/>
      <c r="BR105" s="401"/>
      <c r="BS105" s="399"/>
      <c r="BT105" s="394"/>
      <c r="BU105" s="417">
        <v>0.90269999999999995</v>
      </c>
      <c r="BV105" s="399">
        <v>44.048999999999999</v>
      </c>
      <c r="BW105" s="393" t="s">
        <v>3117</v>
      </c>
      <c r="BX105" s="392" t="s">
        <v>3205</v>
      </c>
      <c r="BY105" s="393"/>
      <c r="BZ105" s="393"/>
      <c r="CA105" s="441" t="s">
        <v>1664</v>
      </c>
      <c r="CB105" s="400">
        <v>4</v>
      </c>
      <c r="CC105" s="398"/>
      <c r="CD105" s="398"/>
      <c r="CE105" s="398"/>
      <c r="CF105" s="398"/>
      <c r="CG105" s="398">
        <v>36.118000000000002</v>
      </c>
      <c r="CH105" s="398">
        <v>31.38</v>
      </c>
      <c r="CI105" s="398">
        <v>26.641999999999999</v>
      </c>
      <c r="CJ105" s="398">
        <v>16.68</v>
      </c>
      <c r="CK105" s="398"/>
      <c r="CL105" s="398"/>
      <c r="CM105" s="398"/>
      <c r="CN105" s="398"/>
      <c r="CO105" s="398"/>
      <c r="CP105" s="398"/>
      <c r="CQ105" s="398"/>
      <c r="CR105" s="398"/>
      <c r="CS105" s="398"/>
      <c r="CT105" s="398"/>
      <c r="CU105" s="398"/>
      <c r="CV105" s="398"/>
      <c r="CW105" s="398"/>
      <c r="CX105" s="398"/>
      <c r="CY105" s="398"/>
      <c r="CZ105" s="398"/>
      <c r="DA105" s="398"/>
      <c r="DB105" s="398"/>
      <c r="DC105" s="398"/>
      <c r="DD105" s="398"/>
      <c r="DE105" s="393"/>
      <c r="DF105" s="393"/>
      <c r="DG105" s="393"/>
      <c r="DH105" s="393"/>
      <c r="DI105" s="393"/>
      <c r="DJ105" s="393"/>
      <c r="DK105" s="897"/>
    </row>
    <row r="106" spans="1:115" ht="25.5" x14ac:dyDescent="0.2">
      <c r="A106" s="295">
        <v>102</v>
      </c>
      <c r="B106" s="390" t="s">
        <v>2551</v>
      </c>
      <c r="C106" s="390"/>
      <c r="D106" s="391" t="s">
        <v>1891</v>
      </c>
      <c r="E106" s="704" t="s">
        <v>1892</v>
      </c>
      <c r="F106" s="393" t="s">
        <v>1352</v>
      </c>
      <c r="G106" s="393" t="s">
        <v>1673</v>
      </c>
      <c r="H106" s="393" t="s">
        <v>42</v>
      </c>
      <c r="I106" s="392"/>
      <c r="J106" s="392"/>
      <c r="K106" s="392" t="s">
        <v>462</v>
      </c>
      <c r="L106" s="392" t="s">
        <v>458</v>
      </c>
      <c r="M106" s="392"/>
      <c r="N106" s="393" t="s">
        <v>44</v>
      </c>
      <c r="O106" s="393" t="s">
        <v>51</v>
      </c>
      <c r="P106" s="393" t="s">
        <v>51</v>
      </c>
      <c r="Q106" s="392" t="s">
        <v>426</v>
      </c>
      <c r="R106" s="392" t="s">
        <v>3870</v>
      </c>
      <c r="S106" s="392" t="s">
        <v>427</v>
      </c>
      <c r="T106" s="394">
        <v>1</v>
      </c>
      <c r="U106" s="395">
        <v>29.917999999999999</v>
      </c>
      <c r="V106" s="395"/>
      <c r="W106" s="453"/>
      <c r="X106" s="394"/>
      <c r="Y106" s="394">
        <v>3.93</v>
      </c>
      <c r="Z106" s="394">
        <v>5</v>
      </c>
      <c r="AA106" s="395">
        <v>-6.9960000000000004</v>
      </c>
      <c r="AB106" s="452">
        <v>40672</v>
      </c>
      <c r="AC106" s="398">
        <v>49.274946</v>
      </c>
      <c r="AD106" s="398">
        <v>348.92</v>
      </c>
      <c r="AE106" s="393" t="s">
        <v>37</v>
      </c>
      <c r="AF106" s="417">
        <v>47.545999999999999</v>
      </c>
      <c r="AG106" s="417"/>
      <c r="AH106" s="417">
        <v>47.545999999999999</v>
      </c>
      <c r="AI106" s="394">
        <v>1</v>
      </c>
      <c r="AJ106" s="452">
        <v>42002</v>
      </c>
      <c r="AK106" s="452">
        <v>41986</v>
      </c>
      <c r="AL106" s="393"/>
      <c r="AM106" s="393"/>
      <c r="AN106" s="417"/>
      <c r="AO106" s="392"/>
      <c r="AP106" s="392"/>
      <c r="AQ106" s="392"/>
      <c r="AR106" s="392" t="s">
        <v>458</v>
      </c>
      <c r="AS106" s="480"/>
      <c r="AT106" s="453"/>
      <c r="AU106" s="453"/>
      <c r="AV106" s="453"/>
      <c r="AW106" s="453"/>
      <c r="AX106" s="453"/>
      <c r="AY106" s="453"/>
      <c r="AZ106" s="452">
        <v>40669</v>
      </c>
      <c r="BA106" s="393"/>
      <c r="BB106" s="393"/>
      <c r="BC106" s="393" t="b">
        <v>0</v>
      </c>
      <c r="BD106" s="393"/>
      <c r="BE106" s="392"/>
      <c r="BF106" s="394">
        <v>4</v>
      </c>
      <c r="BG106" s="394">
        <v>8</v>
      </c>
      <c r="BH106" s="394">
        <v>7</v>
      </c>
      <c r="BI106" s="394"/>
      <c r="BJ106" s="394"/>
      <c r="BK106" s="394"/>
      <c r="BL106" s="444" t="s">
        <v>6983</v>
      </c>
      <c r="BM106" s="392"/>
      <c r="BN106" s="393"/>
      <c r="BO106" s="393"/>
      <c r="BP106" s="399"/>
      <c r="BQ106" s="400"/>
      <c r="BR106" s="401"/>
      <c r="BS106" s="399"/>
      <c r="BT106" s="394"/>
      <c r="BU106" s="417">
        <v>0.90269999999999995</v>
      </c>
      <c r="BV106" s="399">
        <v>47.567999999999998</v>
      </c>
      <c r="BW106" s="393" t="s">
        <v>3117</v>
      </c>
      <c r="BX106" s="392" t="s">
        <v>3205</v>
      </c>
      <c r="BY106" s="393"/>
      <c r="BZ106" s="393"/>
      <c r="CA106" s="441" t="s">
        <v>1664</v>
      </c>
      <c r="CB106" s="400">
        <v>4</v>
      </c>
      <c r="CC106" s="398"/>
      <c r="CD106" s="398"/>
      <c r="CE106" s="398"/>
      <c r="CF106" s="398"/>
      <c r="CG106" s="398">
        <v>39.003</v>
      </c>
      <c r="CH106" s="398">
        <v>33.887</v>
      </c>
      <c r="CI106" s="398">
        <v>28.77</v>
      </c>
      <c r="CJ106" s="398">
        <v>18.013000000000002</v>
      </c>
      <c r="CK106" s="398"/>
      <c r="CL106" s="398"/>
      <c r="CM106" s="398"/>
      <c r="CN106" s="398"/>
      <c r="CO106" s="398"/>
      <c r="CP106" s="398"/>
      <c r="CQ106" s="398"/>
      <c r="CR106" s="398"/>
      <c r="CS106" s="398"/>
      <c r="CT106" s="398"/>
      <c r="CU106" s="398"/>
      <c r="CV106" s="398"/>
      <c r="CW106" s="398"/>
      <c r="CX106" s="398"/>
      <c r="CY106" s="398"/>
      <c r="CZ106" s="398"/>
      <c r="DA106" s="398"/>
      <c r="DB106" s="398"/>
      <c r="DC106" s="398"/>
      <c r="DD106" s="398"/>
      <c r="DE106" s="393"/>
      <c r="DF106" s="393"/>
      <c r="DG106" s="393"/>
      <c r="DH106" s="393"/>
      <c r="DI106" s="393"/>
      <c r="DJ106" s="393"/>
      <c r="DK106" s="897"/>
    </row>
    <row r="107" spans="1:115" ht="25.5" x14ac:dyDescent="0.2">
      <c r="A107" s="295">
        <v>103</v>
      </c>
      <c r="B107" s="390" t="s">
        <v>2552</v>
      </c>
      <c r="C107" s="390"/>
      <c r="D107" s="391" t="s">
        <v>1893</v>
      </c>
      <c r="E107" s="704" t="s">
        <v>1894</v>
      </c>
      <c r="F107" s="393" t="s">
        <v>1352</v>
      </c>
      <c r="G107" s="393" t="s">
        <v>1673</v>
      </c>
      <c r="H107" s="393" t="s">
        <v>42</v>
      </c>
      <c r="I107" s="392"/>
      <c r="J107" s="392"/>
      <c r="K107" s="392" t="s">
        <v>462</v>
      </c>
      <c r="L107" s="392" t="s">
        <v>458</v>
      </c>
      <c r="M107" s="392"/>
      <c r="N107" s="393" t="s">
        <v>44</v>
      </c>
      <c r="O107" s="393" t="s">
        <v>51</v>
      </c>
      <c r="P107" s="393" t="s">
        <v>51</v>
      </c>
      <c r="Q107" s="392" t="s">
        <v>426</v>
      </c>
      <c r="R107" s="392" t="s">
        <v>3871</v>
      </c>
      <c r="S107" s="392" t="s">
        <v>427</v>
      </c>
      <c r="T107" s="394">
        <v>1</v>
      </c>
      <c r="U107" s="395">
        <v>32.392000000000003</v>
      </c>
      <c r="V107" s="395"/>
      <c r="W107" s="453"/>
      <c r="X107" s="394"/>
      <c r="Y107" s="394">
        <v>3.93</v>
      </c>
      <c r="Z107" s="394">
        <v>5</v>
      </c>
      <c r="AA107" s="395">
        <v>-7.577</v>
      </c>
      <c r="AB107" s="452">
        <v>40672</v>
      </c>
      <c r="AC107" s="398">
        <v>53.349623999999999</v>
      </c>
      <c r="AD107" s="398">
        <v>348.92</v>
      </c>
      <c r="AE107" s="393" t="s">
        <v>37</v>
      </c>
      <c r="AF107" s="417">
        <v>52.465000000000003</v>
      </c>
      <c r="AG107" s="417"/>
      <c r="AH107" s="417">
        <v>52.465000000000003</v>
      </c>
      <c r="AI107" s="394">
        <v>1</v>
      </c>
      <c r="AJ107" s="452">
        <v>42002</v>
      </c>
      <c r="AK107" s="452">
        <v>41986</v>
      </c>
      <c r="AL107" s="393"/>
      <c r="AM107" s="393"/>
      <c r="AN107" s="417"/>
      <c r="AO107" s="392"/>
      <c r="AP107" s="392"/>
      <c r="AQ107" s="392"/>
      <c r="AR107" s="392" t="s">
        <v>458</v>
      </c>
      <c r="AS107" s="480"/>
      <c r="AT107" s="453"/>
      <c r="AU107" s="453"/>
      <c r="AV107" s="453"/>
      <c r="AW107" s="453"/>
      <c r="AX107" s="453"/>
      <c r="AY107" s="453"/>
      <c r="AZ107" s="452">
        <v>40669</v>
      </c>
      <c r="BA107" s="393"/>
      <c r="BB107" s="393"/>
      <c r="BC107" s="393" t="b">
        <v>0</v>
      </c>
      <c r="BD107" s="393"/>
      <c r="BE107" s="392"/>
      <c r="BF107" s="394">
        <v>4</v>
      </c>
      <c r="BG107" s="394">
        <v>8</v>
      </c>
      <c r="BH107" s="394">
        <v>7</v>
      </c>
      <c r="BI107" s="394"/>
      <c r="BJ107" s="394"/>
      <c r="BK107" s="394"/>
      <c r="BL107" s="444" t="s">
        <v>6983</v>
      </c>
      <c r="BM107" s="392"/>
      <c r="BN107" s="393"/>
      <c r="BO107" s="393"/>
      <c r="BP107" s="399"/>
      <c r="BQ107" s="400"/>
      <c r="BR107" s="401"/>
      <c r="BS107" s="399"/>
      <c r="BT107" s="394"/>
      <c r="BU107" s="417">
        <v>0.90269999999999995</v>
      </c>
      <c r="BV107" s="399">
        <v>51.502000000000002</v>
      </c>
      <c r="BW107" s="393" t="s">
        <v>3117</v>
      </c>
      <c r="BX107" s="392" t="s">
        <v>3205</v>
      </c>
      <c r="BY107" s="393"/>
      <c r="BZ107" s="393"/>
      <c r="CA107" s="441" t="s">
        <v>1664</v>
      </c>
      <c r="CB107" s="400">
        <v>4</v>
      </c>
      <c r="CC107" s="398"/>
      <c r="CD107" s="398"/>
      <c r="CE107" s="398"/>
      <c r="CF107" s="398"/>
      <c r="CG107" s="398">
        <v>42.228000000000002</v>
      </c>
      <c r="CH107" s="398">
        <v>36.689</v>
      </c>
      <c r="CI107" s="398">
        <v>31.15</v>
      </c>
      <c r="CJ107" s="398">
        <v>19.501999999999999</v>
      </c>
      <c r="CK107" s="398"/>
      <c r="CL107" s="398"/>
      <c r="CM107" s="398"/>
      <c r="CN107" s="398"/>
      <c r="CO107" s="398"/>
      <c r="CP107" s="398"/>
      <c r="CQ107" s="398"/>
      <c r="CR107" s="398"/>
      <c r="CS107" s="398"/>
      <c r="CT107" s="398"/>
      <c r="CU107" s="398"/>
      <c r="CV107" s="398"/>
      <c r="CW107" s="398"/>
      <c r="CX107" s="398"/>
      <c r="CY107" s="398"/>
      <c r="CZ107" s="398"/>
      <c r="DA107" s="398"/>
      <c r="DB107" s="398"/>
      <c r="DC107" s="398"/>
      <c r="DD107" s="398"/>
      <c r="DE107" s="393"/>
      <c r="DF107" s="393"/>
      <c r="DG107" s="393"/>
      <c r="DH107" s="393"/>
      <c r="DI107" s="393"/>
      <c r="DJ107" s="393"/>
      <c r="DK107" s="897"/>
    </row>
    <row r="108" spans="1:115" ht="38.25" x14ac:dyDescent="0.2">
      <c r="A108" s="295">
        <v>104</v>
      </c>
      <c r="B108" s="390" t="s">
        <v>2553</v>
      </c>
      <c r="C108" s="390"/>
      <c r="D108" s="391" t="s">
        <v>1895</v>
      </c>
      <c r="E108" s="704" t="s">
        <v>1896</v>
      </c>
      <c r="F108" s="393" t="s">
        <v>1352</v>
      </c>
      <c r="G108" s="393" t="s">
        <v>1673</v>
      </c>
      <c r="H108" s="393" t="s">
        <v>42</v>
      </c>
      <c r="I108" s="392"/>
      <c r="J108" s="392"/>
      <c r="K108" s="392" t="s">
        <v>2116</v>
      </c>
      <c r="L108" s="392" t="s">
        <v>458</v>
      </c>
      <c r="M108" s="392"/>
      <c r="N108" s="393" t="s">
        <v>44</v>
      </c>
      <c r="O108" s="393" t="s">
        <v>51</v>
      </c>
      <c r="P108" s="393" t="s">
        <v>51</v>
      </c>
      <c r="Q108" s="392" t="s">
        <v>426</v>
      </c>
      <c r="R108" s="392" t="s">
        <v>3872</v>
      </c>
      <c r="S108" s="392" t="s">
        <v>427</v>
      </c>
      <c r="T108" s="394">
        <v>1</v>
      </c>
      <c r="U108" s="395">
        <v>39.817999999999998</v>
      </c>
      <c r="V108" s="395"/>
      <c r="W108" s="453"/>
      <c r="X108" s="394"/>
      <c r="Y108" s="394">
        <v>7.83</v>
      </c>
      <c r="Z108" s="394">
        <v>8</v>
      </c>
      <c r="AA108" s="395">
        <v>-4.8230000000000004</v>
      </c>
      <c r="AB108" s="452">
        <v>40328</v>
      </c>
      <c r="AC108" s="398">
        <v>57.497191999999998</v>
      </c>
      <c r="AD108" s="398">
        <v>348.92</v>
      </c>
      <c r="AE108" s="393" t="s">
        <v>37</v>
      </c>
      <c r="AF108" s="417">
        <v>79.584000000000003</v>
      </c>
      <c r="AG108" s="417"/>
      <c r="AH108" s="417">
        <v>79.584000000000003</v>
      </c>
      <c r="AI108" s="394">
        <v>1</v>
      </c>
      <c r="AJ108" s="452">
        <v>41845</v>
      </c>
      <c r="AK108" s="452">
        <v>41986</v>
      </c>
      <c r="AL108" s="393"/>
      <c r="AM108" s="393"/>
      <c r="AN108" s="417"/>
      <c r="AO108" s="392"/>
      <c r="AP108" s="392"/>
      <c r="AQ108" s="392"/>
      <c r="AR108" s="392" t="s">
        <v>458</v>
      </c>
      <c r="AS108" s="480"/>
      <c r="AT108" s="453"/>
      <c r="AU108" s="453"/>
      <c r="AV108" s="453"/>
      <c r="AW108" s="453"/>
      <c r="AX108" s="453"/>
      <c r="AY108" s="453"/>
      <c r="AZ108" s="452">
        <v>40669</v>
      </c>
      <c r="BA108" s="393"/>
      <c r="BB108" s="393"/>
      <c r="BC108" s="393" t="b">
        <v>0</v>
      </c>
      <c r="BD108" s="393"/>
      <c r="BE108" s="392"/>
      <c r="BF108" s="394">
        <v>4</v>
      </c>
      <c r="BG108" s="394">
        <v>8</v>
      </c>
      <c r="BH108" s="394">
        <v>7</v>
      </c>
      <c r="BI108" s="394"/>
      <c r="BJ108" s="394"/>
      <c r="BK108" s="394"/>
      <c r="BL108" s="444" t="s">
        <v>6983</v>
      </c>
      <c r="BM108" s="392"/>
      <c r="BN108" s="393"/>
      <c r="BO108" s="393"/>
      <c r="BP108" s="399"/>
      <c r="BQ108" s="400"/>
      <c r="BR108" s="401"/>
      <c r="BS108" s="399"/>
      <c r="BT108" s="394"/>
      <c r="BU108" s="417">
        <v>0.90269999999999995</v>
      </c>
      <c r="BV108" s="399">
        <v>57.5</v>
      </c>
      <c r="BW108" s="393" t="s">
        <v>3117</v>
      </c>
      <c r="BX108" s="392" t="s">
        <v>3205</v>
      </c>
      <c r="BY108" s="393"/>
      <c r="BZ108" s="393"/>
      <c r="CA108" s="441" t="s">
        <v>1664</v>
      </c>
      <c r="CB108" s="400">
        <v>4</v>
      </c>
      <c r="CC108" s="398"/>
      <c r="CD108" s="398"/>
      <c r="CE108" s="398"/>
      <c r="CF108" s="398"/>
      <c r="CG108" s="398">
        <v>51.869</v>
      </c>
      <c r="CH108" s="398">
        <v>48.329000000000001</v>
      </c>
      <c r="CI108" s="398">
        <v>44.79</v>
      </c>
      <c r="CJ108" s="398">
        <v>41.250999999999998</v>
      </c>
      <c r="CK108" s="398">
        <v>37.712000000000003</v>
      </c>
      <c r="CL108" s="398">
        <v>34.173000000000002</v>
      </c>
      <c r="CM108" s="398">
        <v>30.634</v>
      </c>
      <c r="CN108" s="398">
        <v>22.933</v>
      </c>
      <c r="CO108" s="398"/>
      <c r="CP108" s="398"/>
      <c r="CQ108" s="398"/>
      <c r="CR108" s="398"/>
      <c r="CS108" s="398"/>
      <c r="CT108" s="398"/>
      <c r="CU108" s="398"/>
      <c r="CV108" s="398"/>
      <c r="CW108" s="398"/>
      <c r="CX108" s="398"/>
      <c r="CY108" s="398"/>
      <c r="CZ108" s="398"/>
      <c r="DA108" s="398"/>
      <c r="DB108" s="398"/>
      <c r="DC108" s="398"/>
      <c r="DD108" s="398"/>
      <c r="DE108" s="393"/>
      <c r="DF108" s="393"/>
      <c r="DG108" s="393"/>
      <c r="DH108" s="393"/>
      <c r="DI108" s="393"/>
      <c r="DJ108" s="393"/>
      <c r="DK108" s="897"/>
    </row>
    <row r="109" spans="1:115" ht="51" x14ac:dyDescent="0.2">
      <c r="A109" s="295">
        <v>105</v>
      </c>
      <c r="B109" s="390" t="s">
        <v>2554</v>
      </c>
      <c r="C109" s="390"/>
      <c r="D109" s="391" t="s">
        <v>1897</v>
      </c>
      <c r="E109" s="704" t="s">
        <v>1898</v>
      </c>
      <c r="F109" s="393" t="s">
        <v>1352</v>
      </c>
      <c r="G109" s="393" t="s">
        <v>1673</v>
      </c>
      <c r="H109" s="393" t="s">
        <v>42</v>
      </c>
      <c r="I109" s="392"/>
      <c r="J109" s="392"/>
      <c r="K109" s="392" t="s">
        <v>2116</v>
      </c>
      <c r="L109" s="392" t="s">
        <v>458</v>
      </c>
      <c r="M109" s="392"/>
      <c r="N109" s="393" t="s">
        <v>44</v>
      </c>
      <c r="O109" s="393" t="s">
        <v>51</v>
      </c>
      <c r="P109" s="393" t="s">
        <v>51</v>
      </c>
      <c r="Q109" s="392" t="s">
        <v>426</v>
      </c>
      <c r="R109" s="392" t="s">
        <v>3873</v>
      </c>
      <c r="S109" s="392" t="s">
        <v>427</v>
      </c>
      <c r="T109" s="394">
        <v>1</v>
      </c>
      <c r="U109" s="395">
        <v>39.881999999999998</v>
      </c>
      <c r="V109" s="395"/>
      <c r="W109" s="453"/>
      <c r="X109" s="394"/>
      <c r="Y109" s="394">
        <v>7.83</v>
      </c>
      <c r="Z109" s="394">
        <v>8</v>
      </c>
      <c r="AA109" s="395">
        <v>-4.1399999999999997</v>
      </c>
      <c r="AB109" s="452">
        <v>40328</v>
      </c>
      <c r="AC109" s="398">
        <v>57.589607999999998</v>
      </c>
      <c r="AD109" s="398">
        <v>348.92</v>
      </c>
      <c r="AE109" s="393" t="s">
        <v>37</v>
      </c>
      <c r="AF109" s="417">
        <v>64.957999999999998</v>
      </c>
      <c r="AG109" s="417"/>
      <c r="AH109" s="417">
        <v>64.957999999999998</v>
      </c>
      <c r="AI109" s="394">
        <v>1</v>
      </c>
      <c r="AJ109" s="452">
        <v>41845</v>
      </c>
      <c r="AK109" s="452">
        <v>41986</v>
      </c>
      <c r="AL109" s="393"/>
      <c r="AM109" s="393"/>
      <c r="AN109" s="417"/>
      <c r="AO109" s="392"/>
      <c r="AP109" s="392"/>
      <c r="AQ109" s="392"/>
      <c r="AR109" s="392" t="s">
        <v>458</v>
      </c>
      <c r="AS109" s="480"/>
      <c r="AT109" s="453"/>
      <c r="AU109" s="453"/>
      <c r="AV109" s="453"/>
      <c r="AW109" s="453"/>
      <c r="AX109" s="453"/>
      <c r="AY109" s="453"/>
      <c r="AZ109" s="452">
        <v>40669</v>
      </c>
      <c r="BA109" s="393"/>
      <c r="BB109" s="393"/>
      <c r="BC109" s="393" t="b">
        <v>0</v>
      </c>
      <c r="BD109" s="393"/>
      <c r="BE109" s="392"/>
      <c r="BF109" s="394">
        <v>4</v>
      </c>
      <c r="BG109" s="394">
        <v>8</v>
      </c>
      <c r="BH109" s="394">
        <v>7</v>
      </c>
      <c r="BI109" s="394"/>
      <c r="BJ109" s="394"/>
      <c r="BK109" s="394"/>
      <c r="BL109" s="444" t="s">
        <v>6983</v>
      </c>
      <c r="BM109" s="392"/>
      <c r="BN109" s="393"/>
      <c r="BO109" s="393"/>
      <c r="BP109" s="399"/>
      <c r="BQ109" s="400"/>
      <c r="BR109" s="401"/>
      <c r="BS109" s="399"/>
      <c r="BT109" s="394"/>
      <c r="BU109" s="417">
        <v>0.90269999999999995</v>
      </c>
      <c r="BV109" s="399">
        <v>57.5</v>
      </c>
      <c r="BW109" s="393" t="s">
        <v>3117</v>
      </c>
      <c r="BX109" s="392" t="s">
        <v>3205</v>
      </c>
      <c r="BY109" s="393"/>
      <c r="BZ109" s="393"/>
      <c r="CA109" s="441" t="s">
        <v>1664</v>
      </c>
      <c r="CB109" s="400">
        <v>4</v>
      </c>
      <c r="CC109" s="398"/>
      <c r="CD109" s="398"/>
      <c r="CE109" s="398"/>
      <c r="CF109" s="398"/>
      <c r="CG109" s="398">
        <v>51.951999999999998</v>
      </c>
      <c r="CH109" s="398">
        <v>48.406999999999996</v>
      </c>
      <c r="CI109" s="398">
        <v>44.862000000000002</v>
      </c>
      <c r="CJ109" s="398">
        <v>41.317</v>
      </c>
      <c r="CK109" s="398">
        <v>37.773000000000003</v>
      </c>
      <c r="CL109" s="398">
        <v>34.228000000000002</v>
      </c>
      <c r="CM109" s="398">
        <v>30.683</v>
      </c>
      <c r="CN109" s="398">
        <v>22.97</v>
      </c>
      <c r="CO109" s="398"/>
      <c r="CP109" s="398"/>
      <c r="CQ109" s="398"/>
      <c r="CR109" s="398"/>
      <c r="CS109" s="398"/>
      <c r="CT109" s="398"/>
      <c r="CU109" s="398"/>
      <c r="CV109" s="398"/>
      <c r="CW109" s="398"/>
      <c r="CX109" s="398"/>
      <c r="CY109" s="398"/>
      <c r="CZ109" s="398"/>
      <c r="DA109" s="398"/>
      <c r="DB109" s="398"/>
      <c r="DC109" s="398"/>
      <c r="DD109" s="398"/>
      <c r="DE109" s="393"/>
      <c r="DF109" s="393"/>
      <c r="DG109" s="393"/>
      <c r="DH109" s="393"/>
      <c r="DI109" s="393"/>
      <c r="DJ109" s="393"/>
      <c r="DK109" s="897"/>
    </row>
    <row r="110" spans="1:115" ht="38.25" x14ac:dyDescent="0.2">
      <c r="A110" s="295">
        <v>106</v>
      </c>
      <c r="B110" s="390" t="s">
        <v>2555</v>
      </c>
      <c r="C110" s="390"/>
      <c r="D110" s="391" t="s">
        <v>1899</v>
      </c>
      <c r="E110" s="704" t="s">
        <v>1900</v>
      </c>
      <c r="F110" s="393" t="s">
        <v>1352</v>
      </c>
      <c r="G110" s="393" t="s">
        <v>1673</v>
      </c>
      <c r="H110" s="393" t="s">
        <v>42</v>
      </c>
      <c r="I110" s="392"/>
      <c r="J110" s="392"/>
      <c r="K110" s="392" t="s">
        <v>2116</v>
      </c>
      <c r="L110" s="392" t="s">
        <v>458</v>
      </c>
      <c r="M110" s="392"/>
      <c r="N110" s="393" t="s">
        <v>44</v>
      </c>
      <c r="O110" s="393" t="s">
        <v>51</v>
      </c>
      <c r="P110" s="393" t="s">
        <v>51</v>
      </c>
      <c r="Q110" s="392" t="s">
        <v>426</v>
      </c>
      <c r="R110" s="392" t="s">
        <v>3874</v>
      </c>
      <c r="S110" s="392" t="s">
        <v>427</v>
      </c>
      <c r="T110" s="394">
        <v>1</v>
      </c>
      <c r="U110" s="395">
        <v>37.488999999999997</v>
      </c>
      <c r="V110" s="395"/>
      <c r="W110" s="453"/>
      <c r="X110" s="394"/>
      <c r="Y110" s="394">
        <v>7.83</v>
      </c>
      <c r="Z110" s="394">
        <v>8</v>
      </c>
      <c r="AA110" s="395">
        <v>-3.891</v>
      </c>
      <c r="AB110" s="452">
        <v>40328</v>
      </c>
      <c r="AC110" s="398">
        <v>54.134115999999999</v>
      </c>
      <c r="AD110" s="398">
        <v>348.92</v>
      </c>
      <c r="AE110" s="393" t="s">
        <v>37</v>
      </c>
      <c r="AF110" s="417">
        <v>65.087000000000003</v>
      </c>
      <c r="AG110" s="417"/>
      <c r="AH110" s="417">
        <v>65.087000000000003</v>
      </c>
      <c r="AI110" s="394">
        <v>1</v>
      </c>
      <c r="AJ110" s="452">
        <v>41845</v>
      </c>
      <c r="AK110" s="452">
        <v>41986</v>
      </c>
      <c r="AL110" s="393"/>
      <c r="AM110" s="393"/>
      <c r="AN110" s="417"/>
      <c r="AO110" s="392"/>
      <c r="AP110" s="392"/>
      <c r="AQ110" s="392"/>
      <c r="AR110" s="392" t="s">
        <v>458</v>
      </c>
      <c r="AS110" s="480"/>
      <c r="AT110" s="453"/>
      <c r="AU110" s="453"/>
      <c r="AV110" s="453"/>
      <c r="AW110" s="453"/>
      <c r="AX110" s="453"/>
      <c r="AY110" s="453"/>
      <c r="AZ110" s="452">
        <v>40669</v>
      </c>
      <c r="BA110" s="393"/>
      <c r="BB110" s="393"/>
      <c r="BC110" s="393" t="b">
        <v>0</v>
      </c>
      <c r="BD110" s="393"/>
      <c r="BE110" s="392"/>
      <c r="BF110" s="394">
        <v>4</v>
      </c>
      <c r="BG110" s="394">
        <v>8</v>
      </c>
      <c r="BH110" s="394">
        <v>7</v>
      </c>
      <c r="BI110" s="394"/>
      <c r="BJ110" s="394"/>
      <c r="BK110" s="394"/>
      <c r="BL110" s="444" t="s">
        <v>6983</v>
      </c>
      <c r="BM110" s="392"/>
      <c r="BN110" s="393"/>
      <c r="BO110" s="393"/>
      <c r="BP110" s="399"/>
      <c r="BQ110" s="400"/>
      <c r="BR110" s="401"/>
      <c r="BS110" s="399"/>
      <c r="BT110" s="394"/>
      <c r="BU110" s="417">
        <v>0.90269999999999995</v>
      </c>
      <c r="BV110" s="399">
        <v>54.1</v>
      </c>
      <c r="BW110" s="393" t="s">
        <v>3117</v>
      </c>
      <c r="BX110" s="392" t="s">
        <v>3205</v>
      </c>
      <c r="BY110" s="393"/>
      <c r="BZ110" s="393"/>
      <c r="CA110" s="441" t="s">
        <v>1664</v>
      </c>
      <c r="CB110" s="400">
        <v>4</v>
      </c>
      <c r="CC110" s="398"/>
      <c r="CD110" s="398"/>
      <c r="CE110" s="398"/>
      <c r="CF110" s="398"/>
      <c r="CG110" s="398">
        <v>48.834000000000003</v>
      </c>
      <c r="CH110" s="398">
        <v>45.500999999999998</v>
      </c>
      <c r="CI110" s="398">
        <v>42.168999999999997</v>
      </c>
      <c r="CJ110" s="398">
        <v>38.837000000000003</v>
      </c>
      <c r="CK110" s="398">
        <v>35.505000000000003</v>
      </c>
      <c r="CL110" s="398">
        <v>32.173000000000002</v>
      </c>
      <c r="CM110" s="398">
        <v>28.841000000000001</v>
      </c>
      <c r="CN110" s="398">
        <v>21.591000000000001</v>
      </c>
      <c r="CO110" s="398"/>
      <c r="CP110" s="398"/>
      <c r="CQ110" s="398"/>
      <c r="CR110" s="398"/>
      <c r="CS110" s="398"/>
      <c r="CT110" s="398"/>
      <c r="CU110" s="398"/>
      <c r="CV110" s="398"/>
      <c r="CW110" s="398"/>
      <c r="CX110" s="398"/>
      <c r="CY110" s="398"/>
      <c r="CZ110" s="398"/>
      <c r="DA110" s="398"/>
      <c r="DB110" s="398"/>
      <c r="DC110" s="398"/>
      <c r="DD110" s="398"/>
      <c r="DE110" s="393"/>
      <c r="DF110" s="393"/>
      <c r="DG110" s="393"/>
      <c r="DH110" s="393"/>
      <c r="DI110" s="393"/>
      <c r="DJ110" s="393"/>
      <c r="DK110" s="897"/>
    </row>
    <row r="111" spans="1:115" ht="38.25" x14ac:dyDescent="0.2">
      <c r="A111" s="295">
        <v>107</v>
      </c>
      <c r="B111" s="390" t="s">
        <v>2556</v>
      </c>
      <c r="C111" s="390"/>
      <c r="D111" s="391" t="s">
        <v>1901</v>
      </c>
      <c r="E111" s="704" t="s">
        <v>1902</v>
      </c>
      <c r="F111" s="393" t="s">
        <v>1352</v>
      </c>
      <c r="G111" s="393" t="s">
        <v>1673</v>
      </c>
      <c r="H111" s="393" t="s">
        <v>42</v>
      </c>
      <c r="I111" s="392"/>
      <c r="J111" s="392"/>
      <c r="K111" s="392" t="s">
        <v>2116</v>
      </c>
      <c r="L111" s="392" t="s">
        <v>458</v>
      </c>
      <c r="M111" s="392"/>
      <c r="N111" s="393" t="s">
        <v>44</v>
      </c>
      <c r="O111" s="393" t="s">
        <v>51</v>
      </c>
      <c r="P111" s="393" t="s">
        <v>51</v>
      </c>
      <c r="Q111" s="392" t="s">
        <v>426</v>
      </c>
      <c r="R111" s="392" t="s">
        <v>3873</v>
      </c>
      <c r="S111" s="392" t="s">
        <v>427</v>
      </c>
      <c r="T111" s="394">
        <v>1</v>
      </c>
      <c r="U111" s="395">
        <v>39.881999999999998</v>
      </c>
      <c r="V111" s="395"/>
      <c r="W111" s="453"/>
      <c r="X111" s="394"/>
      <c r="Y111" s="394">
        <v>7.83</v>
      </c>
      <c r="Z111" s="394">
        <v>8</v>
      </c>
      <c r="AA111" s="395">
        <v>-4.1399999999999997</v>
      </c>
      <c r="AB111" s="452">
        <v>40328</v>
      </c>
      <c r="AC111" s="398">
        <v>57.589607999999998</v>
      </c>
      <c r="AD111" s="398">
        <v>348.92</v>
      </c>
      <c r="AE111" s="393" t="s">
        <v>37</v>
      </c>
      <c r="AF111" s="417">
        <v>60.622</v>
      </c>
      <c r="AG111" s="417"/>
      <c r="AH111" s="417">
        <v>60.622</v>
      </c>
      <c r="AI111" s="394">
        <v>1</v>
      </c>
      <c r="AJ111" s="452">
        <v>41845</v>
      </c>
      <c r="AK111" s="452">
        <v>41986</v>
      </c>
      <c r="AL111" s="393"/>
      <c r="AM111" s="393"/>
      <c r="AN111" s="417"/>
      <c r="AO111" s="392"/>
      <c r="AP111" s="392"/>
      <c r="AQ111" s="392"/>
      <c r="AR111" s="392" t="s">
        <v>458</v>
      </c>
      <c r="AS111" s="480"/>
      <c r="AT111" s="453"/>
      <c r="AU111" s="453"/>
      <c r="AV111" s="453"/>
      <c r="AW111" s="453"/>
      <c r="AX111" s="453"/>
      <c r="AY111" s="453"/>
      <c r="AZ111" s="452">
        <v>40669</v>
      </c>
      <c r="BA111" s="393"/>
      <c r="BB111" s="393"/>
      <c r="BC111" s="393" t="b">
        <v>0</v>
      </c>
      <c r="BD111" s="393"/>
      <c r="BE111" s="392"/>
      <c r="BF111" s="394">
        <v>4</v>
      </c>
      <c r="BG111" s="394">
        <v>8</v>
      </c>
      <c r="BH111" s="394">
        <v>7</v>
      </c>
      <c r="BI111" s="394"/>
      <c r="BJ111" s="394"/>
      <c r="BK111" s="394"/>
      <c r="BL111" s="444" t="s">
        <v>6983</v>
      </c>
      <c r="BM111" s="392"/>
      <c r="BN111" s="393"/>
      <c r="BO111" s="393"/>
      <c r="BP111" s="399"/>
      <c r="BQ111" s="400"/>
      <c r="BR111" s="401"/>
      <c r="BS111" s="399"/>
      <c r="BT111" s="394"/>
      <c r="BU111" s="417">
        <v>0.90269999999999995</v>
      </c>
      <c r="BV111" s="399">
        <v>57.5</v>
      </c>
      <c r="BW111" s="393" t="s">
        <v>3117</v>
      </c>
      <c r="BX111" s="392" t="s">
        <v>3205</v>
      </c>
      <c r="BY111" s="393"/>
      <c r="BZ111" s="393"/>
      <c r="CA111" s="441" t="s">
        <v>1664</v>
      </c>
      <c r="CB111" s="400">
        <v>4</v>
      </c>
      <c r="CC111" s="398"/>
      <c r="CD111" s="398"/>
      <c r="CE111" s="398"/>
      <c r="CF111" s="398"/>
      <c r="CG111" s="398">
        <v>51.951999999999998</v>
      </c>
      <c r="CH111" s="398">
        <v>48.406999999999996</v>
      </c>
      <c r="CI111" s="398">
        <v>44.862000000000002</v>
      </c>
      <c r="CJ111" s="398">
        <v>41.317</v>
      </c>
      <c r="CK111" s="398">
        <v>37.773000000000003</v>
      </c>
      <c r="CL111" s="398">
        <v>34.228000000000002</v>
      </c>
      <c r="CM111" s="398">
        <v>30.683</v>
      </c>
      <c r="CN111" s="398">
        <v>22.97</v>
      </c>
      <c r="CO111" s="398"/>
      <c r="CP111" s="398"/>
      <c r="CQ111" s="398"/>
      <c r="CR111" s="398"/>
      <c r="CS111" s="398"/>
      <c r="CT111" s="398"/>
      <c r="CU111" s="398"/>
      <c r="CV111" s="398"/>
      <c r="CW111" s="398"/>
      <c r="CX111" s="398"/>
      <c r="CY111" s="398"/>
      <c r="CZ111" s="398"/>
      <c r="DA111" s="398"/>
      <c r="DB111" s="398"/>
      <c r="DC111" s="398"/>
      <c r="DD111" s="398"/>
      <c r="DE111" s="393"/>
      <c r="DF111" s="393"/>
      <c r="DG111" s="393"/>
      <c r="DH111" s="393"/>
      <c r="DI111" s="393"/>
      <c r="DJ111" s="393"/>
      <c r="DK111" s="897"/>
    </row>
    <row r="112" spans="1:115" ht="38.25" x14ac:dyDescent="0.2">
      <c r="A112" s="295">
        <v>108</v>
      </c>
      <c r="B112" s="390" t="s">
        <v>2557</v>
      </c>
      <c r="C112" s="390"/>
      <c r="D112" s="391" t="s">
        <v>1903</v>
      </c>
      <c r="E112" s="704" t="s">
        <v>1904</v>
      </c>
      <c r="F112" s="393" t="s">
        <v>1352</v>
      </c>
      <c r="G112" s="393" t="s">
        <v>1673</v>
      </c>
      <c r="H112" s="393" t="s">
        <v>42</v>
      </c>
      <c r="I112" s="392"/>
      <c r="J112" s="392"/>
      <c r="K112" s="392" t="s">
        <v>2116</v>
      </c>
      <c r="L112" s="392" t="s">
        <v>458</v>
      </c>
      <c r="M112" s="392"/>
      <c r="N112" s="393" t="s">
        <v>44</v>
      </c>
      <c r="O112" s="393" t="s">
        <v>51</v>
      </c>
      <c r="P112" s="393" t="s">
        <v>51</v>
      </c>
      <c r="Q112" s="392" t="s">
        <v>426</v>
      </c>
      <c r="R112" s="392" t="s">
        <v>3873</v>
      </c>
      <c r="S112" s="392" t="s">
        <v>427</v>
      </c>
      <c r="T112" s="394">
        <v>1</v>
      </c>
      <c r="U112" s="395">
        <v>39.881999999999998</v>
      </c>
      <c r="V112" s="395"/>
      <c r="W112" s="453"/>
      <c r="X112" s="394"/>
      <c r="Y112" s="394">
        <v>7.83</v>
      </c>
      <c r="Z112" s="394">
        <v>8</v>
      </c>
      <c r="AA112" s="395">
        <v>-4.1399999999999997</v>
      </c>
      <c r="AB112" s="452">
        <v>40328</v>
      </c>
      <c r="AC112" s="398">
        <v>57.589607999999998</v>
      </c>
      <c r="AD112" s="398">
        <v>348.92</v>
      </c>
      <c r="AE112" s="393" t="s">
        <v>37</v>
      </c>
      <c r="AF112" s="417">
        <v>64.655000000000001</v>
      </c>
      <c r="AG112" s="417"/>
      <c r="AH112" s="417">
        <v>64.655000000000001</v>
      </c>
      <c r="AI112" s="394">
        <v>1</v>
      </c>
      <c r="AJ112" s="452">
        <v>41845</v>
      </c>
      <c r="AK112" s="452">
        <v>41986</v>
      </c>
      <c r="AL112" s="393"/>
      <c r="AM112" s="393"/>
      <c r="AN112" s="417"/>
      <c r="AO112" s="392"/>
      <c r="AP112" s="392"/>
      <c r="AQ112" s="392"/>
      <c r="AR112" s="392" t="s">
        <v>458</v>
      </c>
      <c r="AS112" s="480"/>
      <c r="AT112" s="453"/>
      <c r="AU112" s="453"/>
      <c r="AV112" s="453"/>
      <c r="AW112" s="453"/>
      <c r="AX112" s="453"/>
      <c r="AY112" s="453"/>
      <c r="AZ112" s="452">
        <v>40669</v>
      </c>
      <c r="BA112" s="393"/>
      <c r="BB112" s="393"/>
      <c r="BC112" s="393" t="b">
        <v>0</v>
      </c>
      <c r="BD112" s="393"/>
      <c r="BE112" s="392"/>
      <c r="BF112" s="394">
        <v>4</v>
      </c>
      <c r="BG112" s="394">
        <v>8</v>
      </c>
      <c r="BH112" s="394">
        <v>7</v>
      </c>
      <c r="BI112" s="394"/>
      <c r="BJ112" s="394"/>
      <c r="BK112" s="394"/>
      <c r="BL112" s="444" t="s">
        <v>6983</v>
      </c>
      <c r="BM112" s="392"/>
      <c r="BN112" s="393"/>
      <c r="BO112" s="393"/>
      <c r="BP112" s="399"/>
      <c r="BQ112" s="400"/>
      <c r="BR112" s="401"/>
      <c r="BS112" s="399"/>
      <c r="BT112" s="394"/>
      <c r="BU112" s="417">
        <v>0.90269999999999995</v>
      </c>
      <c r="BV112" s="399">
        <v>57.5</v>
      </c>
      <c r="BW112" s="393" t="s">
        <v>3117</v>
      </c>
      <c r="BX112" s="392" t="s">
        <v>3205</v>
      </c>
      <c r="BY112" s="393"/>
      <c r="BZ112" s="393"/>
      <c r="CA112" s="441" t="s">
        <v>1664</v>
      </c>
      <c r="CB112" s="400">
        <v>4</v>
      </c>
      <c r="CC112" s="398"/>
      <c r="CD112" s="398"/>
      <c r="CE112" s="398"/>
      <c r="CF112" s="398"/>
      <c r="CG112" s="398">
        <v>51.951999999999998</v>
      </c>
      <c r="CH112" s="398">
        <v>48.406999999999996</v>
      </c>
      <c r="CI112" s="398">
        <v>44.862000000000002</v>
      </c>
      <c r="CJ112" s="398">
        <v>41.317</v>
      </c>
      <c r="CK112" s="398">
        <v>37.773000000000003</v>
      </c>
      <c r="CL112" s="398">
        <v>34.228000000000002</v>
      </c>
      <c r="CM112" s="398">
        <v>30.683</v>
      </c>
      <c r="CN112" s="398">
        <v>22.97</v>
      </c>
      <c r="CO112" s="398"/>
      <c r="CP112" s="398"/>
      <c r="CQ112" s="398"/>
      <c r="CR112" s="398"/>
      <c r="CS112" s="398"/>
      <c r="CT112" s="398"/>
      <c r="CU112" s="398"/>
      <c r="CV112" s="398"/>
      <c r="CW112" s="398"/>
      <c r="CX112" s="398"/>
      <c r="CY112" s="398"/>
      <c r="CZ112" s="398"/>
      <c r="DA112" s="398"/>
      <c r="DB112" s="398"/>
      <c r="DC112" s="398"/>
      <c r="DD112" s="398"/>
      <c r="DE112" s="393"/>
      <c r="DF112" s="393"/>
      <c r="DG112" s="393"/>
      <c r="DH112" s="393"/>
      <c r="DI112" s="393"/>
      <c r="DJ112" s="393"/>
      <c r="DK112" s="897"/>
    </row>
    <row r="113" spans="1:115" ht="38.25" x14ac:dyDescent="0.2">
      <c r="A113" s="295">
        <v>109</v>
      </c>
      <c r="B113" s="390" t="s">
        <v>2558</v>
      </c>
      <c r="C113" s="390"/>
      <c r="D113" s="391" t="s">
        <v>1905</v>
      </c>
      <c r="E113" s="704" t="s">
        <v>1906</v>
      </c>
      <c r="F113" s="393" t="s">
        <v>1352</v>
      </c>
      <c r="G113" s="393" t="s">
        <v>1673</v>
      </c>
      <c r="H113" s="393" t="s">
        <v>42</v>
      </c>
      <c r="I113" s="392"/>
      <c r="J113" s="392"/>
      <c r="K113" s="392" t="s">
        <v>2116</v>
      </c>
      <c r="L113" s="392" t="s">
        <v>458</v>
      </c>
      <c r="M113" s="392"/>
      <c r="N113" s="393" t="s">
        <v>44</v>
      </c>
      <c r="O113" s="393" t="s">
        <v>51</v>
      </c>
      <c r="P113" s="393" t="s">
        <v>51</v>
      </c>
      <c r="Q113" s="392" t="s">
        <v>426</v>
      </c>
      <c r="R113" s="392" t="s">
        <v>3875</v>
      </c>
      <c r="S113" s="392" t="s">
        <v>427</v>
      </c>
      <c r="T113" s="394">
        <v>1</v>
      </c>
      <c r="U113" s="395">
        <v>39.191000000000003</v>
      </c>
      <c r="V113" s="395"/>
      <c r="W113" s="453"/>
      <c r="X113" s="394"/>
      <c r="Y113" s="394">
        <v>7.83</v>
      </c>
      <c r="Z113" s="394">
        <v>8</v>
      </c>
      <c r="AA113" s="395">
        <v>-4.0679999999999996</v>
      </c>
      <c r="AB113" s="452">
        <v>40328</v>
      </c>
      <c r="AC113" s="398">
        <v>56.591804000000003</v>
      </c>
      <c r="AD113" s="398">
        <v>348.92</v>
      </c>
      <c r="AE113" s="393" t="s">
        <v>37</v>
      </c>
      <c r="AF113" s="417">
        <v>63.218000000000004</v>
      </c>
      <c r="AG113" s="417"/>
      <c r="AH113" s="417">
        <v>63.218000000000004</v>
      </c>
      <c r="AI113" s="394">
        <v>1</v>
      </c>
      <c r="AJ113" s="452">
        <v>41845</v>
      </c>
      <c r="AK113" s="452">
        <v>41986</v>
      </c>
      <c r="AL113" s="393"/>
      <c r="AM113" s="393"/>
      <c r="AN113" s="417"/>
      <c r="AO113" s="392"/>
      <c r="AP113" s="392"/>
      <c r="AQ113" s="392"/>
      <c r="AR113" s="392" t="s">
        <v>458</v>
      </c>
      <c r="AS113" s="480"/>
      <c r="AT113" s="453"/>
      <c r="AU113" s="453"/>
      <c r="AV113" s="453"/>
      <c r="AW113" s="453"/>
      <c r="AX113" s="453"/>
      <c r="AY113" s="453"/>
      <c r="AZ113" s="452">
        <v>40669</v>
      </c>
      <c r="BA113" s="393"/>
      <c r="BB113" s="393"/>
      <c r="BC113" s="393" t="b">
        <v>0</v>
      </c>
      <c r="BD113" s="393"/>
      <c r="BE113" s="392"/>
      <c r="BF113" s="394">
        <v>4</v>
      </c>
      <c r="BG113" s="394">
        <v>8</v>
      </c>
      <c r="BH113" s="394">
        <v>7</v>
      </c>
      <c r="BI113" s="394"/>
      <c r="BJ113" s="394"/>
      <c r="BK113" s="394"/>
      <c r="BL113" s="444" t="s">
        <v>6983</v>
      </c>
      <c r="BM113" s="392"/>
      <c r="BN113" s="393"/>
      <c r="BO113" s="393"/>
      <c r="BP113" s="399"/>
      <c r="BQ113" s="400"/>
      <c r="BR113" s="401"/>
      <c r="BS113" s="399"/>
      <c r="BT113" s="394"/>
      <c r="BU113" s="417">
        <v>0.90269999999999995</v>
      </c>
      <c r="BV113" s="399">
        <v>56.5</v>
      </c>
      <c r="BW113" s="393" t="s">
        <v>3117</v>
      </c>
      <c r="BX113" s="392" t="s">
        <v>3205</v>
      </c>
      <c r="BY113" s="393"/>
      <c r="BZ113" s="393"/>
      <c r="CA113" s="441" t="s">
        <v>1664</v>
      </c>
      <c r="CB113" s="400">
        <v>4</v>
      </c>
      <c r="CC113" s="398"/>
      <c r="CD113" s="398"/>
      <c r="CE113" s="398"/>
      <c r="CF113" s="398"/>
      <c r="CG113" s="398">
        <v>51.052</v>
      </c>
      <c r="CH113" s="398">
        <v>47.567999999999998</v>
      </c>
      <c r="CI113" s="398">
        <v>44.085000000000001</v>
      </c>
      <c r="CJ113" s="398">
        <v>40.600999999999999</v>
      </c>
      <c r="CK113" s="398">
        <v>37.118000000000002</v>
      </c>
      <c r="CL113" s="398">
        <v>33.634999999999998</v>
      </c>
      <c r="CM113" s="398">
        <v>30.151</v>
      </c>
      <c r="CN113" s="398">
        <v>22.571999999999999</v>
      </c>
      <c r="CO113" s="398"/>
      <c r="CP113" s="398"/>
      <c r="CQ113" s="398"/>
      <c r="CR113" s="398"/>
      <c r="CS113" s="398"/>
      <c r="CT113" s="398"/>
      <c r="CU113" s="398"/>
      <c r="CV113" s="398"/>
      <c r="CW113" s="398"/>
      <c r="CX113" s="398"/>
      <c r="CY113" s="398"/>
      <c r="CZ113" s="398"/>
      <c r="DA113" s="398"/>
      <c r="DB113" s="398"/>
      <c r="DC113" s="398"/>
      <c r="DD113" s="398"/>
      <c r="DE113" s="393"/>
      <c r="DF113" s="393"/>
      <c r="DG113" s="393"/>
      <c r="DH113" s="393"/>
      <c r="DI113" s="393"/>
      <c r="DJ113" s="393"/>
      <c r="DK113" s="897"/>
    </row>
    <row r="114" spans="1:115" ht="38.25" x14ac:dyDescent="0.2">
      <c r="A114" s="295">
        <v>110</v>
      </c>
      <c r="B114" s="390" t="s">
        <v>2559</v>
      </c>
      <c r="C114" s="390"/>
      <c r="D114" s="391" t="s">
        <v>1907</v>
      </c>
      <c r="E114" s="704" t="s">
        <v>1908</v>
      </c>
      <c r="F114" s="393" t="s">
        <v>1352</v>
      </c>
      <c r="G114" s="393" t="s">
        <v>1673</v>
      </c>
      <c r="H114" s="393" t="s">
        <v>42</v>
      </c>
      <c r="I114" s="392"/>
      <c r="J114" s="392"/>
      <c r="K114" s="392" t="s">
        <v>2116</v>
      </c>
      <c r="L114" s="392" t="s">
        <v>458</v>
      </c>
      <c r="M114" s="392"/>
      <c r="N114" s="393" t="s">
        <v>44</v>
      </c>
      <c r="O114" s="393" t="s">
        <v>51</v>
      </c>
      <c r="P114" s="393" t="s">
        <v>51</v>
      </c>
      <c r="Q114" s="392" t="s">
        <v>426</v>
      </c>
      <c r="R114" s="392" t="s">
        <v>3873</v>
      </c>
      <c r="S114" s="392" t="s">
        <v>427</v>
      </c>
      <c r="T114" s="394">
        <v>1</v>
      </c>
      <c r="U114" s="395">
        <v>39.881999999999998</v>
      </c>
      <c r="V114" s="395"/>
      <c r="W114" s="453"/>
      <c r="X114" s="394"/>
      <c r="Y114" s="394">
        <v>7.83</v>
      </c>
      <c r="Z114" s="394">
        <v>8</v>
      </c>
      <c r="AA114" s="395">
        <v>-4.1399999999999997</v>
      </c>
      <c r="AB114" s="452">
        <v>40328</v>
      </c>
      <c r="AC114" s="398">
        <v>57.589607999999998</v>
      </c>
      <c r="AD114" s="398">
        <v>348.92</v>
      </c>
      <c r="AE114" s="393" t="s">
        <v>37</v>
      </c>
      <c r="AF114" s="417">
        <v>61.228000000000002</v>
      </c>
      <c r="AG114" s="417"/>
      <c r="AH114" s="417">
        <v>61.228000000000002</v>
      </c>
      <c r="AI114" s="394">
        <v>1</v>
      </c>
      <c r="AJ114" s="452">
        <v>41845</v>
      </c>
      <c r="AK114" s="452">
        <v>41986</v>
      </c>
      <c r="AL114" s="393"/>
      <c r="AM114" s="393"/>
      <c r="AN114" s="417"/>
      <c r="AO114" s="392"/>
      <c r="AP114" s="392"/>
      <c r="AQ114" s="392"/>
      <c r="AR114" s="392" t="s">
        <v>458</v>
      </c>
      <c r="AS114" s="480"/>
      <c r="AT114" s="453"/>
      <c r="AU114" s="453"/>
      <c r="AV114" s="453"/>
      <c r="AW114" s="453"/>
      <c r="AX114" s="453"/>
      <c r="AY114" s="453"/>
      <c r="AZ114" s="452">
        <v>40669</v>
      </c>
      <c r="BA114" s="393"/>
      <c r="BB114" s="393"/>
      <c r="BC114" s="393" t="b">
        <v>0</v>
      </c>
      <c r="BD114" s="393"/>
      <c r="BE114" s="392"/>
      <c r="BF114" s="394">
        <v>4</v>
      </c>
      <c r="BG114" s="394">
        <v>8</v>
      </c>
      <c r="BH114" s="394">
        <v>7</v>
      </c>
      <c r="BI114" s="394"/>
      <c r="BJ114" s="394"/>
      <c r="BK114" s="394"/>
      <c r="BL114" s="444" t="s">
        <v>6983</v>
      </c>
      <c r="BM114" s="392"/>
      <c r="BN114" s="393"/>
      <c r="BO114" s="393"/>
      <c r="BP114" s="399"/>
      <c r="BQ114" s="400"/>
      <c r="BR114" s="401"/>
      <c r="BS114" s="399"/>
      <c r="BT114" s="394"/>
      <c r="BU114" s="417">
        <v>0.90269999999999995</v>
      </c>
      <c r="BV114" s="399">
        <v>57.5</v>
      </c>
      <c r="BW114" s="393" t="s">
        <v>3117</v>
      </c>
      <c r="BX114" s="392" t="s">
        <v>3205</v>
      </c>
      <c r="BY114" s="393"/>
      <c r="BZ114" s="393"/>
      <c r="CA114" s="441" t="s">
        <v>1664</v>
      </c>
      <c r="CB114" s="400">
        <v>4</v>
      </c>
      <c r="CC114" s="398"/>
      <c r="CD114" s="398"/>
      <c r="CE114" s="398"/>
      <c r="CF114" s="398"/>
      <c r="CG114" s="398">
        <v>51.951999999999998</v>
      </c>
      <c r="CH114" s="398">
        <v>48.406999999999996</v>
      </c>
      <c r="CI114" s="398">
        <v>44.862000000000002</v>
      </c>
      <c r="CJ114" s="398">
        <v>41.317</v>
      </c>
      <c r="CK114" s="398">
        <v>37.773000000000003</v>
      </c>
      <c r="CL114" s="398">
        <v>34.228000000000002</v>
      </c>
      <c r="CM114" s="398">
        <v>30.683</v>
      </c>
      <c r="CN114" s="398">
        <v>22.97</v>
      </c>
      <c r="CO114" s="398"/>
      <c r="CP114" s="398"/>
      <c r="CQ114" s="398"/>
      <c r="CR114" s="398"/>
      <c r="CS114" s="398"/>
      <c r="CT114" s="398"/>
      <c r="CU114" s="398"/>
      <c r="CV114" s="398"/>
      <c r="CW114" s="398"/>
      <c r="CX114" s="398"/>
      <c r="CY114" s="398"/>
      <c r="CZ114" s="398"/>
      <c r="DA114" s="398"/>
      <c r="DB114" s="398"/>
      <c r="DC114" s="398"/>
      <c r="DD114" s="398"/>
      <c r="DE114" s="393"/>
      <c r="DF114" s="393"/>
      <c r="DG114" s="393"/>
      <c r="DH114" s="393"/>
      <c r="DI114" s="393"/>
      <c r="DJ114" s="393"/>
      <c r="DK114" s="897"/>
    </row>
    <row r="115" spans="1:115" ht="38.25" x14ac:dyDescent="0.2">
      <c r="A115" s="295">
        <v>111</v>
      </c>
      <c r="B115" s="390" t="s">
        <v>2560</v>
      </c>
      <c r="C115" s="390"/>
      <c r="D115" s="391" t="s">
        <v>463</v>
      </c>
      <c r="E115" s="704" t="s">
        <v>1909</v>
      </c>
      <c r="F115" s="393" t="s">
        <v>1352</v>
      </c>
      <c r="G115" s="393" t="s">
        <v>1673</v>
      </c>
      <c r="H115" s="393" t="s">
        <v>42</v>
      </c>
      <c r="I115" s="392"/>
      <c r="J115" s="392"/>
      <c r="K115" s="392" t="s">
        <v>464</v>
      </c>
      <c r="L115" s="392" t="s">
        <v>458</v>
      </c>
      <c r="M115" s="392"/>
      <c r="N115" s="393" t="s">
        <v>44</v>
      </c>
      <c r="O115" s="393" t="s">
        <v>51</v>
      </c>
      <c r="P115" s="393" t="s">
        <v>51</v>
      </c>
      <c r="Q115" s="392" t="s">
        <v>426</v>
      </c>
      <c r="R115" s="392" t="s">
        <v>3876</v>
      </c>
      <c r="S115" s="392" t="s">
        <v>427</v>
      </c>
      <c r="T115" s="394">
        <v>1</v>
      </c>
      <c r="U115" s="395">
        <v>33.159999999999997</v>
      </c>
      <c r="V115" s="395"/>
      <c r="W115" s="453"/>
      <c r="X115" s="394"/>
      <c r="Y115" s="394">
        <v>7.83</v>
      </c>
      <c r="Z115" s="394">
        <v>8</v>
      </c>
      <c r="AA115" s="395">
        <v>-3.5249999999999999</v>
      </c>
      <c r="AB115" s="452">
        <v>40328</v>
      </c>
      <c r="AC115" s="398">
        <v>34.718519999999998</v>
      </c>
      <c r="AD115" s="398">
        <v>348.92</v>
      </c>
      <c r="AE115" s="393" t="s">
        <v>37</v>
      </c>
      <c r="AF115" s="417">
        <v>16.338999999999999</v>
      </c>
      <c r="AG115" s="417">
        <f>17.8+22.949+16.732</f>
        <v>57.481000000000002</v>
      </c>
      <c r="AH115" s="417">
        <v>73.819999999999993</v>
      </c>
      <c r="AI115" s="394">
        <v>1</v>
      </c>
      <c r="AJ115" s="452">
        <v>41845</v>
      </c>
      <c r="AK115" s="452">
        <v>42369</v>
      </c>
      <c r="AL115" s="393"/>
      <c r="AM115" s="393"/>
      <c r="AN115" s="417"/>
      <c r="AO115" s="392"/>
      <c r="AP115" s="392"/>
      <c r="AQ115" s="392"/>
      <c r="AR115" s="392" t="s">
        <v>458</v>
      </c>
      <c r="AS115" s="480"/>
      <c r="AT115" s="453"/>
      <c r="AU115" s="453"/>
      <c r="AV115" s="453"/>
      <c r="AW115" s="453"/>
      <c r="AX115" s="453"/>
      <c r="AY115" s="453"/>
      <c r="AZ115" s="452">
        <v>40785</v>
      </c>
      <c r="BA115" s="393"/>
      <c r="BB115" s="393"/>
      <c r="BC115" s="393" t="b">
        <v>0</v>
      </c>
      <c r="BD115" s="393"/>
      <c r="BE115" s="392"/>
      <c r="BF115" s="394">
        <v>4</v>
      </c>
      <c r="BG115" s="394">
        <v>8</v>
      </c>
      <c r="BH115" s="394">
        <v>7</v>
      </c>
      <c r="BI115" s="394"/>
      <c r="BJ115" s="394"/>
      <c r="BK115" s="394"/>
      <c r="BL115" s="444" t="s">
        <v>6983</v>
      </c>
      <c r="BM115" s="392"/>
      <c r="BN115" s="393"/>
      <c r="BO115" s="393"/>
      <c r="BP115" s="399"/>
      <c r="BQ115" s="400"/>
      <c r="BR115" s="401"/>
      <c r="BS115" s="399"/>
      <c r="BT115" s="394"/>
      <c r="BU115" s="417">
        <v>0.90300000000000002</v>
      </c>
      <c r="BV115" s="399">
        <v>48.045000000000002</v>
      </c>
      <c r="BW115" s="393" t="s">
        <v>3117</v>
      </c>
      <c r="BX115" s="392" t="s">
        <v>3205</v>
      </c>
      <c r="BY115" s="393"/>
      <c r="BZ115" s="393"/>
      <c r="CA115" s="441" t="s">
        <v>1664</v>
      </c>
      <c r="CB115" s="400">
        <v>4</v>
      </c>
      <c r="CC115" s="398"/>
      <c r="CD115" s="398"/>
      <c r="CE115" s="398"/>
      <c r="CF115" s="398"/>
      <c r="CG115" s="398">
        <v>43.395000000000003</v>
      </c>
      <c r="CH115" s="398">
        <v>40.433999999999997</v>
      </c>
      <c r="CI115" s="398">
        <v>37.472999999999999</v>
      </c>
      <c r="CJ115" s="398">
        <v>34.512</v>
      </c>
      <c r="CK115" s="398">
        <v>31.550999999999998</v>
      </c>
      <c r="CL115" s="398">
        <v>28.59</v>
      </c>
      <c r="CM115" s="398">
        <v>24.988</v>
      </c>
      <c r="CN115" s="398">
        <v>18.707000000000001</v>
      </c>
      <c r="CO115" s="398"/>
      <c r="CP115" s="398"/>
      <c r="CQ115" s="398"/>
      <c r="CR115" s="398"/>
      <c r="CS115" s="398"/>
      <c r="CT115" s="398"/>
      <c r="CU115" s="398"/>
      <c r="CV115" s="398"/>
      <c r="CW115" s="398"/>
      <c r="CX115" s="398"/>
      <c r="CY115" s="398"/>
      <c r="CZ115" s="398"/>
      <c r="DA115" s="398"/>
      <c r="DB115" s="398"/>
      <c r="DC115" s="398"/>
      <c r="DD115" s="398"/>
      <c r="DE115" s="393"/>
      <c r="DF115" s="393"/>
      <c r="DG115" s="393"/>
      <c r="DH115" s="393"/>
      <c r="DI115" s="393"/>
      <c r="DJ115" s="393"/>
      <c r="DK115" s="897"/>
    </row>
    <row r="116" spans="1:115" ht="38.25" x14ac:dyDescent="0.2">
      <c r="A116" s="295">
        <v>112</v>
      </c>
      <c r="B116" s="390" t="s">
        <v>2561</v>
      </c>
      <c r="C116" s="390"/>
      <c r="D116" s="391" t="s">
        <v>465</v>
      </c>
      <c r="E116" s="704" t="s">
        <v>1910</v>
      </c>
      <c r="F116" s="393" t="s">
        <v>1352</v>
      </c>
      <c r="G116" s="393" t="s">
        <v>1673</v>
      </c>
      <c r="H116" s="393" t="s">
        <v>42</v>
      </c>
      <c r="I116" s="392"/>
      <c r="J116" s="392"/>
      <c r="K116" s="392" t="s">
        <v>464</v>
      </c>
      <c r="L116" s="392" t="s">
        <v>458</v>
      </c>
      <c r="M116" s="392"/>
      <c r="N116" s="393" t="s">
        <v>44</v>
      </c>
      <c r="O116" s="393" t="s">
        <v>51</v>
      </c>
      <c r="P116" s="393" t="s">
        <v>51</v>
      </c>
      <c r="Q116" s="392" t="s">
        <v>426</v>
      </c>
      <c r="R116" s="392" t="s">
        <v>3877</v>
      </c>
      <c r="S116" s="392" t="s">
        <v>427</v>
      </c>
      <c r="T116" s="394">
        <v>1</v>
      </c>
      <c r="U116" s="395">
        <v>28.474</v>
      </c>
      <c r="V116" s="395"/>
      <c r="W116" s="453"/>
      <c r="X116" s="394"/>
      <c r="Y116" s="394">
        <v>7.83</v>
      </c>
      <c r="Z116" s="394">
        <v>8</v>
      </c>
      <c r="AA116" s="395">
        <v>-2.9569999999999999</v>
      </c>
      <c r="AB116" s="452">
        <v>40328</v>
      </c>
      <c r="AC116" s="398">
        <v>22.722252000000001</v>
      </c>
      <c r="AD116" s="398">
        <v>348.92</v>
      </c>
      <c r="AE116" s="393" t="s">
        <v>37</v>
      </c>
      <c r="AF116" s="417"/>
      <c r="AG116" s="417"/>
      <c r="AH116" s="417">
        <f>SUM(AF116:AG116)</f>
        <v>0</v>
      </c>
      <c r="AI116" s="394"/>
      <c r="AJ116" s="453"/>
      <c r="AK116" s="452"/>
      <c r="AL116" s="393"/>
      <c r="AM116" s="393"/>
      <c r="AN116" s="417"/>
      <c r="AO116" s="392"/>
      <c r="AP116" s="392"/>
      <c r="AQ116" s="392"/>
      <c r="AR116" s="392" t="s">
        <v>458</v>
      </c>
      <c r="AS116" s="480"/>
      <c r="AT116" s="453"/>
      <c r="AU116" s="453"/>
      <c r="AV116" s="453"/>
      <c r="AW116" s="453"/>
      <c r="AX116" s="453"/>
      <c r="AY116" s="453"/>
      <c r="AZ116" s="452">
        <v>40785</v>
      </c>
      <c r="BA116" s="393"/>
      <c r="BB116" s="393"/>
      <c r="BC116" s="393" t="b">
        <v>0</v>
      </c>
      <c r="BD116" s="393"/>
      <c r="BE116" s="392"/>
      <c r="BF116" s="394">
        <v>4</v>
      </c>
      <c r="BG116" s="394">
        <v>8</v>
      </c>
      <c r="BH116" s="394">
        <v>7</v>
      </c>
      <c r="BI116" s="394"/>
      <c r="BJ116" s="394"/>
      <c r="BK116" s="394"/>
      <c r="BL116" s="444" t="s">
        <v>6983</v>
      </c>
      <c r="BM116" s="392"/>
      <c r="BN116" s="393"/>
      <c r="BO116" s="393"/>
      <c r="BP116" s="399"/>
      <c r="BQ116" s="400"/>
      <c r="BR116" s="401"/>
      <c r="BS116" s="399"/>
      <c r="BT116" s="394"/>
      <c r="BU116" s="417">
        <v>0.90300000000000002</v>
      </c>
      <c r="BV116" s="399">
        <v>41.078000000000003</v>
      </c>
      <c r="BW116" s="393" t="s">
        <v>3117</v>
      </c>
      <c r="BX116" s="392" t="s">
        <v>3205</v>
      </c>
      <c r="BY116" s="393"/>
      <c r="BZ116" s="393"/>
      <c r="CA116" s="441" t="s">
        <v>1664</v>
      </c>
      <c r="CB116" s="400">
        <v>4</v>
      </c>
      <c r="CC116" s="398"/>
      <c r="CD116" s="398"/>
      <c r="CE116" s="398"/>
      <c r="CF116" s="398"/>
      <c r="CG116" s="398"/>
      <c r="CH116" s="398">
        <v>37.101999999999997</v>
      </c>
      <c r="CI116" s="398">
        <v>34.570999999999998</v>
      </c>
      <c r="CJ116" s="398">
        <v>32.039000000000001</v>
      </c>
      <c r="CK116" s="398">
        <v>29.507000000000001</v>
      </c>
      <c r="CL116" s="398">
        <v>26.975999999999999</v>
      </c>
      <c r="CM116" s="398">
        <v>24.443999999999999</v>
      </c>
      <c r="CN116" s="398">
        <v>24.443999999999999</v>
      </c>
      <c r="CO116" s="398">
        <v>24.443999999999999</v>
      </c>
      <c r="CP116" s="398"/>
      <c r="CQ116" s="398"/>
      <c r="CR116" s="398"/>
      <c r="CS116" s="398"/>
      <c r="CT116" s="398"/>
      <c r="CU116" s="398"/>
      <c r="CV116" s="398"/>
      <c r="CW116" s="398"/>
      <c r="CX116" s="398"/>
      <c r="CY116" s="398"/>
      <c r="CZ116" s="398"/>
      <c r="DA116" s="398"/>
      <c r="DB116" s="398"/>
      <c r="DC116" s="398"/>
      <c r="DD116" s="398"/>
      <c r="DE116" s="393"/>
      <c r="DF116" s="393"/>
      <c r="DG116" s="393"/>
      <c r="DH116" s="393"/>
      <c r="DI116" s="393"/>
      <c r="DJ116" s="393"/>
      <c r="DK116" s="897"/>
    </row>
    <row r="117" spans="1:115" ht="38.25" x14ac:dyDescent="0.2">
      <c r="A117" s="295">
        <v>113</v>
      </c>
      <c r="B117" s="390" t="s">
        <v>2562</v>
      </c>
      <c r="C117" s="390"/>
      <c r="D117" s="391" t="s">
        <v>466</v>
      </c>
      <c r="E117" s="704" t="s">
        <v>1911</v>
      </c>
      <c r="F117" s="393" t="s">
        <v>1352</v>
      </c>
      <c r="G117" s="393" t="s">
        <v>1673</v>
      </c>
      <c r="H117" s="393" t="s">
        <v>42</v>
      </c>
      <c r="I117" s="392"/>
      <c r="J117" s="392"/>
      <c r="K117" s="392" t="s">
        <v>464</v>
      </c>
      <c r="L117" s="392" t="s">
        <v>458</v>
      </c>
      <c r="M117" s="392"/>
      <c r="N117" s="393" t="s">
        <v>44</v>
      </c>
      <c r="O117" s="393" t="s">
        <v>51</v>
      </c>
      <c r="P117" s="393" t="s">
        <v>51</v>
      </c>
      <c r="Q117" s="392" t="s">
        <v>426</v>
      </c>
      <c r="R117" s="392" t="s">
        <v>3878</v>
      </c>
      <c r="S117" s="392" t="s">
        <v>427</v>
      </c>
      <c r="T117" s="394">
        <v>1</v>
      </c>
      <c r="U117" s="395">
        <v>30.637</v>
      </c>
      <c r="V117" s="395"/>
      <c r="W117" s="453"/>
      <c r="X117" s="394"/>
      <c r="Y117" s="394">
        <v>7.83</v>
      </c>
      <c r="Z117" s="394">
        <v>8</v>
      </c>
      <c r="AA117" s="395">
        <v>-3.181</v>
      </c>
      <c r="AB117" s="452">
        <v>40328</v>
      </c>
      <c r="AC117" s="398">
        <v>34.589173000000002</v>
      </c>
      <c r="AD117" s="398">
        <v>348.92</v>
      </c>
      <c r="AE117" s="393" t="s">
        <v>37</v>
      </c>
      <c r="AF117" s="417">
        <v>4.9180000000000001</v>
      </c>
      <c r="AG117" s="417">
        <f>8.169+9.75+7.674</f>
        <v>25.593</v>
      </c>
      <c r="AH117" s="417">
        <v>30.510999999999999</v>
      </c>
      <c r="AI117" s="394">
        <v>1</v>
      </c>
      <c r="AJ117" s="452">
        <v>41845</v>
      </c>
      <c r="AK117" s="452">
        <v>42369</v>
      </c>
      <c r="AL117" s="393"/>
      <c r="AM117" s="393"/>
      <c r="AN117" s="417"/>
      <c r="AO117" s="392"/>
      <c r="AP117" s="392"/>
      <c r="AQ117" s="392"/>
      <c r="AR117" s="392" t="s">
        <v>458</v>
      </c>
      <c r="AS117" s="480"/>
      <c r="AT117" s="453"/>
      <c r="AU117" s="453"/>
      <c r="AV117" s="453"/>
      <c r="AW117" s="453"/>
      <c r="AX117" s="453"/>
      <c r="AY117" s="453"/>
      <c r="AZ117" s="452">
        <v>40785</v>
      </c>
      <c r="BA117" s="393"/>
      <c r="BB117" s="393"/>
      <c r="BC117" s="393" t="b">
        <v>0</v>
      </c>
      <c r="BD117" s="393"/>
      <c r="BE117" s="392"/>
      <c r="BF117" s="394">
        <v>4</v>
      </c>
      <c r="BG117" s="394">
        <v>8</v>
      </c>
      <c r="BH117" s="394">
        <v>7</v>
      </c>
      <c r="BI117" s="394"/>
      <c r="BJ117" s="394"/>
      <c r="BK117" s="394"/>
      <c r="BL117" s="444" t="s">
        <v>6983</v>
      </c>
      <c r="BM117" s="392"/>
      <c r="BN117" s="393"/>
      <c r="BO117" s="393"/>
      <c r="BP117" s="399"/>
      <c r="BQ117" s="400"/>
      <c r="BR117" s="401"/>
      <c r="BS117" s="399"/>
      <c r="BT117" s="394"/>
      <c r="BU117" s="417">
        <v>0.90300000000000002</v>
      </c>
      <c r="BV117" s="399">
        <v>44.198</v>
      </c>
      <c r="BW117" s="393" t="s">
        <v>3117</v>
      </c>
      <c r="BX117" s="392" t="s">
        <v>3205</v>
      </c>
      <c r="BY117" s="393"/>
      <c r="BZ117" s="393"/>
      <c r="CA117" s="441" t="s">
        <v>1664</v>
      </c>
      <c r="CB117" s="400">
        <v>4</v>
      </c>
      <c r="CC117" s="398"/>
      <c r="CD117" s="398"/>
      <c r="CE117" s="398"/>
      <c r="CF117" s="398"/>
      <c r="CG117" s="398">
        <v>39.920999999999999</v>
      </c>
      <c r="CH117" s="398">
        <v>37.197000000000003</v>
      </c>
      <c r="CI117" s="398">
        <v>34.472999999999999</v>
      </c>
      <c r="CJ117" s="398">
        <v>31.748999999999999</v>
      </c>
      <c r="CK117" s="398">
        <v>29.024999999999999</v>
      </c>
      <c r="CL117" s="398">
        <v>26.300999999999998</v>
      </c>
      <c r="CM117" s="398">
        <v>23.577000000000002</v>
      </c>
      <c r="CN117" s="398">
        <v>17.649999999999999</v>
      </c>
      <c r="CO117" s="398"/>
      <c r="CP117" s="398"/>
      <c r="CQ117" s="398"/>
      <c r="CR117" s="398"/>
      <c r="CS117" s="398"/>
      <c r="CT117" s="398"/>
      <c r="CU117" s="398"/>
      <c r="CV117" s="398"/>
      <c r="CW117" s="398"/>
      <c r="CX117" s="398"/>
      <c r="CY117" s="398"/>
      <c r="CZ117" s="398"/>
      <c r="DA117" s="398"/>
      <c r="DB117" s="398"/>
      <c r="DC117" s="398"/>
      <c r="DD117" s="398"/>
      <c r="DE117" s="393"/>
      <c r="DF117" s="393"/>
      <c r="DG117" s="393"/>
      <c r="DH117" s="393"/>
      <c r="DI117" s="393"/>
      <c r="DJ117" s="393"/>
      <c r="DK117" s="897"/>
    </row>
    <row r="118" spans="1:115" ht="25.5" x14ac:dyDescent="0.2">
      <c r="A118" s="295">
        <v>114</v>
      </c>
      <c r="B118" s="390" t="s">
        <v>2563</v>
      </c>
      <c r="C118" s="390"/>
      <c r="D118" s="391" t="s">
        <v>467</v>
      </c>
      <c r="E118" s="704" t="s">
        <v>1912</v>
      </c>
      <c r="F118" s="393" t="s">
        <v>1352</v>
      </c>
      <c r="G118" s="393" t="s">
        <v>1673</v>
      </c>
      <c r="H118" s="393" t="s">
        <v>42</v>
      </c>
      <c r="I118" s="392"/>
      <c r="J118" s="392"/>
      <c r="K118" s="392" t="s">
        <v>464</v>
      </c>
      <c r="L118" s="392" t="s">
        <v>458</v>
      </c>
      <c r="M118" s="392"/>
      <c r="N118" s="393" t="s">
        <v>44</v>
      </c>
      <c r="O118" s="393" t="s">
        <v>51</v>
      </c>
      <c r="P118" s="393" t="s">
        <v>51</v>
      </c>
      <c r="Q118" s="392" t="s">
        <v>426</v>
      </c>
      <c r="R118" s="392" t="s">
        <v>3879</v>
      </c>
      <c r="S118" s="392" t="s">
        <v>427</v>
      </c>
      <c r="T118" s="394">
        <v>1</v>
      </c>
      <c r="U118" s="395">
        <v>35.445</v>
      </c>
      <c r="V118" s="395"/>
      <c r="W118" s="453"/>
      <c r="X118" s="394"/>
      <c r="Y118" s="394">
        <v>7.83</v>
      </c>
      <c r="Z118" s="394">
        <v>8</v>
      </c>
      <c r="AA118" s="395">
        <v>-3.681</v>
      </c>
      <c r="AB118" s="452">
        <v>40983</v>
      </c>
      <c r="AC118" s="398">
        <v>28.28511</v>
      </c>
      <c r="AD118" s="398">
        <v>348.92</v>
      </c>
      <c r="AE118" s="393" t="s">
        <v>37</v>
      </c>
      <c r="AF118" s="417">
        <v>32.884999999999998</v>
      </c>
      <c r="AG118" s="417">
        <f>26.274+33.311+24.286</f>
        <v>83.871000000000009</v>
      </c>
      <c r="AH118" s="417">
        <v>116.756</v>
      </c>
      <c r="AI118" s="394">
        <v>1</v>
      </c>
      <c r="AJ118" s="452">
        <v>41845</v>
      </c>
      <c r="AK118" s="452">
        <v>42369</v>
      </c>
      <c r="AL118" s="393"/>
      <c r="AM118" s="393"/>
      <c r="AN118" s="417"/>
      <c r="AO118" s="392"/>
      <c r="AP118" s="392"/>
      <c r="AQ118" s="392"/>
      <c r="AR118" s="392" t="s">
        <v>458</v>
      </c>
      <c r="AS118" s="480"/>
      <c r="AT118" s="453"/>
      <c r="AU118" s="453"/>
      <c r="AV118" s="453"/>
      <c r="AW118" s="453"/>
      <c r="AX118" s="453"/>
      <c r="AY118" s="453"/>
      <c r="AZ118" s="452">
        <v>40785</v>
      </c>
      <c r="BA118" s="393"/>
      <c r="BB118" s="393"/>
      <c r="BC118" s="393" t="b">
        <v>0</v>
      </c>
      <c r="BD118" s="393"/>
      <c r="BE118" s="392"/>
      <c r="BF118" s="394">
        <v>4</v>
      </c>
      <c r="BG118" s="394">
        <v>8</v>
      </c>
      <c r="BH118" s="394">
        <v>7</v>
      </c>
      <c r="BI118" s="394"/>
      <c r="BJ118" s="394"/>
      <c r="BK118" s="394"/>
      <c r="BL118" s="444" t="s">
        <v>6983</v>
      </c>
      <c r="BM118" s="392"/>
      <c r="BN118" s="393"/>
      <c r="BO118" s="393"/>
      <c r="BP118" s="399"/>
      <c r="BQ118" s="400"/>
      <c r="BR118" s="401"/>
      <c r="BS118" s="399"/>
      <c r="BT118" s="394"/>
      <c r="BU118" s="417">
        <v>0.90300000000000002</v>
      </c>
      <c r="BV118" s="399">
        <v>51.134</v>
      </c>
      <c r="BW118" s="393" t="s">
        <v>3117</v>
      </c>
      <c r="BX118" s="392" t="s">
        <v>3205</v>
      </c>
      <c r="BY118" s="393"/>
      <c r="BZ118" s="393"/>
      <c r="CA118" s="441" t="s">
        <v>1664</v>
      </c>
      <c r="CB118" s="400">
        <v>4</v>
      </c>
      <c r="CC118" s="398"/>
      <c r="CD118" s="398"/>
      <c r="CE118" s="398"/>
      <c r="CF118" s="398"/>
      <c r="CG118" s="398"/>
      <c r="CH118" s="398">
        <v>46.186</v>
      </c>
      <c r="CI118" s="398">
        <v>43.033999999999999</v>
      </c>
      <c r="CJ118" s="398">
        <v>39.883000000000003</v>
      </c>
      <c r="CK118" s="398">
        <v>36.731999999999999</v>
      </c>
      <c r="CL118" s="398">
        <v>33.58</v>
      </c>
      <c r="CM118" s="398">
        <v>30.428999999999998</v>
      </c>
      <c r="CN118" s="398">
        <v>27.277000000000001</v>
      </c>
      <c r="CO118" s="398">
        <v>20.420000000000002</v>
      </c>
      <c r="CP118" s="398"/>
      <c r="CQ118" s="398"/>
      <c r="CR118" s="398"/>
      <c r="CS118" s="398"/>
      <c r="CT118" s="398"/>
      <c r="CU118" s="398"/>
      <c r="CV118" s="398"/>
      <c r="CW118" s="398"/>
      <c r="CX118" s="398"/>
      <c r="CY118" s="398"/>
      <c r="CZ118" s="398"/>
      <c r="DA118" s="398"/>
      <c r="DB118" s="398"/>
      <c r="DC118" s="398"/>
      <c r="DD118" s="398"/>
      <c r="DE118" s="393"/>
      <c r="DF118" s="393"/>
      <c r="DG118" s="393"/>
      <c r="DH118" s="393"/>
      <c r="DI118" s="393"/>
      <c r="DJ118" s="393"/>
      <c r="DK118" s="897"/>
    </row>
    <row r="119" spans="1:115" ht="38.25" x14ac:dyDescent="0.2">
      <c r="A119" s="295">
        <v>115</v>
      </c>
      <c r="B119" s="390" t="s">
        <v>2564</v>
      </c>
      <c r="C119" s="390"/>
      <c r="D119" s="391" t="s">
        <v>468</v>
      </c>
      <c r="E119" s="704" t="s">
        <v>1913</v>
      </c>
      <c r="F119" s="393" t="s">
        <v>1352</v>
      </c>
      <c r="G119" s="393" t="s">
        <v>1673</v>
      </c>
      <c r="H119" s="393" t="s">
        <v>42</v>
      </c>
      <c r="I119" s="392"/>
      <c r="J119" s="392"/>
      <c r="K119" s="392" t="s">
        <v>464</v>
      </c>
      <c r="L119" s="392" t="s">
        <v>458</v>
      </c>
      <c r="M119" s="392"/>
      <c r="N119" s="393" t="s">
        <v>44</v>
      </c>
      <c r="O119" s="393" t="s">
        <v>51</v>
      </c>
      <c r="P119" s="393" t="s">
        <v>51</v>
      </c>
      <c r="Q119" s="392" t="s">
        <v>426</v>
      </c>
      <c r="R119" s="392" t="s">
        <v>3880</v>
      </c>
      <c r="S119" s="392" t="s">
        <v>427</v>
      </c>
      <c r="T119" s="394">
        <v>1</v>
      </c>
      <c r="U119" s="395">
        <v>35.451999999999998</v>
      </c>
      <c r="V119" s="395"/>
      <c r="W119" s="453"/>
      <c r="X119" s="394"/>
      <c r="Y119" s="394">
        <v>10</v>
      </c>
      <c r="Z119" s="394">
        <v>8</v>
      </c>
      <c r="AA119" s="395">
        <v>-3.681</v>
      </c>
      <c r="AB119" s="452">
        <v>40328</v>
      </c>
      <c r="AC119" s="398">
        <v>40.025308000000003</v>
      </c>
      <c r="AD119" s="398">
        <v>354.52</v>
      </c>
      <c r="AE119" s="393" t="s">
        <v>37</v>
      </c>
      <c r="AF119" s="417"/>
      <c r="AG119" s="417"/>
      <c r="AH119" s="417">
        <f>SUM(AF119:AG119)</f>
        <v>0</v>
      </c>
      <c r="AI119" s="394"/>
      <c r="AJ119" s="453"/>
      <c r="AK119" s="452"/>
      <c r="AL119" s="393"/>
      <c r="AM119" s="393"/>
      <c r="AN119" s="417"/>
      <c r="AO119" s="392"/>
      <c r="AP119" s="392"/>
      <c r="AQ119" s="392"/>
      <c r="AR119" s="392" t="s">
        <v>458</v>
      </c>
      <c r="AS119" s="480"/>
      <c r="AT119" s="453"/>
      <c r="AU119" s="453"/>
      <c r="AV119" s="453"/>
      <c r="AW119" s="453"/>
      <c r="AX119" s="453"/>
      <c r="AY119" s="453"/>
      <c r="AZ119" s="452">
        <v>40785</v>
      </c>
      <c r="BA119" s="393"/>
      <c r="BB119" s="393"/>
      <c r="BC119" s="393" t="b">
        <v>0</v>
      </c>
      <c r="BD119" s="393"/>
      <c r="BE119" s="392"/>
      <c r="BF119" s="394">
        <v>4</v>
      </c>
      <c r="BG119" s="394">
        <v>8</v>
      </c>
      <c r="BH119" s="394">
        <v>7</v>
      </c>
      <c r="BI119" s="394"/>
      <c r="BJ119" s="394"/>
      <c r="BK119" s="394"/>
      <c r="BL119" s="444" t="s">
        <v>6983</v>
      </c>
      <c r="BM119" s="392"/>
      <c r="BN119" s="393"/>
      <c r="BO119" s="393"/>
      <c r="BP119" s="399"/>
      <c r="BQ119" s="400"/>
      <c r="BR119" s="401"/>
      <c r="BS119" s="399"/>
      <c r="BT119" s="394"/>
      <c r="BU119" s="417">
        <v>0.90300000000000002</v>
      </c>
      <c r="BV119" s="399">
        <v>51.143999999999998</v>
      </c>
      <c r="BW119" s="393" t="s">
        <v>3117</v>
      </c>
      <c r="BX119" s="392" t="s">
        <v>3205</v>
      </c>
      <c r="BY119" s="393"/>
      <c r="BZ119" s="393"/>
      <c r="CA119" s="441" t="s">
        <v>1664</v>
      </c>
      <c r="CB119" s="400">
        <v>4</v>
      </c>
      <c r="CC119" s="398"/>
      <c r="CD119" s="398"/>
      <c r="CE119" s="398"/>
      <c r="CF119" s="398"/>
      <c r="CG119" s="398">
        <v>46.194000000000003</v>
      </c>
      <c r="CH119" s="398">
        <v>46.194000000000003</v>
      </c>
      <c r="CI119" s="398">
        <v>39.89</v>
      </c>
      <c r="CJ119" s="398">
        <v>39.89</v>
      </c>
      <c r="CK119" s="398">
        <v>33.585999999999999</v>
      </c>
      <c r="CL119" s="398">
        <v>30.434000000000001</v>
      </c>
      <c r="CM119" s="398">
        <v>27.282</v>
      </c>
      <c r="CN119" s="398">
        <v>20.423999999999999</v>
      </c>
      <c r="CO119" s="398"/>
      <c r="CP119" s="398"/>
      <c r="CQ119" s="398"/>
      <c r="CR119" s="398"/>
      <c r="CS119" s="398"/>
      <c r="CT119" s="398"/>
      <c r="CU119" s="398"/>
      <c r="CV119" s="398"/>
      <c r="CW119" s="398"/>
      <c r="CX119" s="398"/>
      <c r="CY119" s="398"/>
      <c r="CZ119" s="398"/>
      <c r="DA119" s="398"/>
      <c r="DB119" s="398"/>
      <c r="DC119" s="398"/>
      <c r="DD119" s="398"/>
      <c r="DE119" s="393"/>
      <c r="DF119" s="393"/>
      <c r="DG119" s="393"/>
      <c r="DH119" s="393"/>
      <c r="DI119" s="393"/>
      <c r="DJ119" s="393"/>
      <c r="DK119" s="897"/>
    </row>
    <row r="120" spans="1:115" ht="38.25" x14ac:dyDescent="0.2">
      <c r="A120" s="295">
        <v>116</v>
      </c>
      <c r="B120" s="390" t="s">
        <v>2565</v>
      </c>
      <c r="C120" s="390"/>
      <c r="D120" s="391" t="s">
        <v>1914</v>
      </c>
      <c r="E120" s="704" t="s">
        <v>1915</v>
      </c>
      <c r="F120" s="393" t="s">
        <v>1352</v>
      </c>
      <c r="G120" s="393" t="s">
        <v>1673</v>
      </c>
      <c r="H120" s="393" t="s">
        <v>42</v>
      </c>
      <c r="I120" s="392"/>
      <c r="J120" s="392"/>
      <c r="K120" s="392" t="s">
        <v>2117</v>
      </c>
      <c r="L120" s="392" t="s">
        <v>458</v>
      </c>
      <c r="M120" s="392"/>
      <c r="N120" s="393" t="s">
        <v>44</v>
      </c>
      <c r="O120" s="393" t="s">
        <v>51</v>
      </c>
      <c r="P120" s="393" t="s">
        <v>51</v>
      </c>
      <c r="Q120" s="392" t="s">
        <v>426</v>
      </c>
      <c r="R120" s="392" t="s">
        <v>3881</v>
      </c>
      <c r="S120" s="392" t="s">
        <v>427</v>
      </c>
      <c r="T120" s="394">
        <v>1</v>
      </c>
      <c r="U120" s="395">
        <v>36.999000000000002</v>
      </c>
      <c r="V120" s="395"/>
      <c r="W120" s="453"/>
      <c r="X120" s="394"/>
      <c r="Y120" s="394">
        <v>7.83</v>
      </c>
      <c r="Z120" s="394">
        <v>8</v>
      </c>
      <c r="AA120" s="395">
        <v>-3.84</v>
      </c>
      <c r="AB120" s="452">
        <v>40328</v>
      </c>
      <c r="AC120" s="398">
        <v>43.44</v>
      </c>
      <c r="AD120" s="398">
        <v>354.52</v>
      </c>
      <c r="AE120" s="393" t="s">
        <v>37</v>
      </c>
      <c r="AF120" s="417"/>
      <c r="AG120" s="417"/>
      <c r="AH120" s="417">
        <f>SUM(AF120:AG120)</f>
        <v>0</v>
      </c>
      <c r="AI120" s="394"/>
      <c r="AJ120" s="453"/>
      <c r="AK120" s="452"/>
      <c r="AL120" s="393"/>
      <c r="AM120" s="393"/>
      <c r="AN120" s="417"/>
      <c r="AO120" s="392"/>
      <c r="AP120" s="392"/>
      <c r="AQ120" s="392"/>
      <c r="AR120" s="392"/>
      <c r="AS120" s="480"/>
      <c r="AT120" s="453"/>
      <c r="AU120" s="453"/>
      <c r="AV120" s="453"/>
      <c r="AW120" s="453"/>
      <c r="AX120" s="453"/>
      <c r="AY120" s="453"/>
      <c r="AZ120" s="452">
        <v>40787</v>
      </c>
      <c r="BA120" s="393"/>
      <c r="BB120" s="393"/>
      <c r="BC120" s="393" t="b">
        <v>0</v>
      </c>
      <c r="BD120" s="393"/>
      <c r="BE120" s="392"/>
      <c r="BF120" s="394">
        <v>4</v>
      </c>
      <c r="BG120" s="394">
        <v>8</v>
      </c>
      <c r="BH120" s="394">
        <v>7</v>
      </c>
      <c r="BI120" s="394"/>
      <c r="BJ120" s="394"/>
      <c r="BK120" s="394"/>
      <c r="BL120" s="444" t="s">
        <v>6983</v>
      </c>
      <c r="BM120" s="392"/>
      <c r="BN120" s="393"/>
      <c r="BO120" s="393"/>
      <c r="BP120" s="399"/>
      <c r="BQ120" s="400"/>
      <c r="BR120" s="401"/>
      <c r="BS120" s="399"/>
      <c r="BT120" s="394"/>
      <c r="BU120" s="417">
        <v>0.90349999999999997</v>
      </c>
      <c r="BV120" s="399">
        <v>53.3</v>
      </c>
      <c r="BW120" s="393" t="s">
        <v>3117</v>
      </c>
      <c r="BX120" s="392" t="s">
        <v>3205</v>
      </c>
      <c r="BY120" s="393"/>
      <c r="BZ120" s="393"/>
      <c r="CA120" s="441" t="s">
        <v>1664</v>
      </c>
      <c r="CB120" s="400">
        <v>4</v>
      </c>
      <c r="CC120" s="398"/>
      <c r="CD120" s="398"/>
      <c r="CE120" s="398"/>
      <c r="CF120" s="398"/>
      <c r="CG120" s="398">
        <v>48.197000000000003</v>
      </c>
      <c r="CH120" s="398">
        <v>44.908000000000001</v>
      </c>
      <c r="CI120" s="398">
        <v>41.619</v>
      </c>
      <c r="CJ120" s="398">
        <v>38.331000000000003</v>
      </c>
      <c r="CK120" s="398">
        <v>35.042000000000002</v>
      </c>
      <c r="CL120" s="398">
        <v>31.753</v>
      </c>
      <c r="CM120" s="398">
        <v>28.465</v>
      </c>
      <c r="CN120" s="398">
        <v>21.309000000000001</v>
      </c>
      <c r="CO120" s="398"/>
      <c r="CP120" s="398"/>
      <c r="CQ120" s="398"/>
      <c r="CR120" s="398"/>
      <c r="CS120" s="398"/>
      <c r="CT120" s="398"/>
      <c r="CU120" s="398"/>
      <c r="CV120" s="398"/>
      <c r="CW120" s="398"/>
      <c r="CX120" s="398"/>
      <c r="CY120" s="398"/>
      <c r="CZ120" s="398"/>
      <c r="DA120" s="398"/>
      <c r="DB120" s="398"/>
      <c r="DC120" s="398"/>
      <c r="DD120" s="398"/>
      <c r="DE120" s="393"/>
      <c r="DF120" s="393"/>
      <c r="DG120" s="393"/>
      <c r="DH120" s="393"/>
      <c r="DI120" s="393"/>
      <c r="DJ120" s="393"/>
      <c r="DK120" s="897"/>
    </row>
    <row r="121" spans="1:115" ht="38.25" x14ac:dyDescent="0.2">
      <c r="A121" s="295">
        <v>117</v>
      </c>
      <c r="B121" s="390" t="s">
        <v>2566</v>
      </c>
      <c r="C121" s="390"/>
      <c r="D121" s="391" t="s">
        <v>1916</v>
      </c>
      <c r="E121" s="704" t="s">
        <v>1917</v>
      </c>
      <c r="F121" s="393" t="s">
        <v>1352</v>
      </c>
      <c r="G121" s="393" t="s">
        <v>1673</v>
      </c>
      <c r="H121" s="393" t="s">
        <v>42</v>
      </c>
      <c r="I121" s="392"/>
      <c r="J121" s="392"/>
      <c r="K121" s="392" t="s">
        <v>2117</v>
      </c>
      <c r="L121" s="392" t="s">
        <v>458</v>
      </c>
      <c r="M121" s="392"/>
      <c r="N121" s="393" t="s">
        <v>44</v>
      </c>
      <c r="O121" s="393" t="s">
        <v>51</v>
      </c>
      <c r="P121" s="393" t="s">
        <v>51</v>
      </c>
      <c r="Q121" s="392" t="s">
        <v>426</v>
      </c>
      <c r="R121" s="392" t="s">
        <v>3882</v>
      </c>
      <c r="S121" s="392" t="s">
        <v>427</v>
      </c>
      <c r="T121" s="394">
        <v>1</v>
      </c>
      <c r="U121" s="395">
        <v>37.128</v>
      </c>
      <c r="V121" s="395"/>
      <c r="W121" s="453"/>
      <c r="X121" s="394"/>
      <c r="Y121" s="394">
        <v>7.83</v>
      </c>
      <c r="Z121" s="394">
        <v>8</v>
      </c>
      <c r="AA121" s="395">
        <v>-3.8540000000000001</v>
      </c>
      <c r="AB121" s="452">
        <v>40328</v>
      </c>
      <c r="AC121" s="398">
        <v>41.899000000000001</v>
      </c>
      <c r="AD121" s="398">
        <v>354.52</v>
      </c>
      <c r="AE121" s="393" t="s">
        <v>37</v>
      </c>
      <c r="AF121" s="417"/>
      <c r="AG121" s="417"/>
      <c r="AH121" s="417">
        <f>SUM(AF121:AG121)</f>
        <v>0</v>
      </c>
      <c r="AI121" s="394"/>
      <c r="AJ121" s="453"/>
      <c r="AK121" s="452"/>
      <c r="AL121" s="393"/>
      <c r="AM121" s="393"/>
      <c r="AN121" s="417"/>
      <c r="AO121" s="392"/>
      <c r="AP121" s="392"/>
      <c r="AQ121" s="392"/>
      <c r="AR121" s="392"/>
      <c r="AS121" s="480"/>
      <c r="AT121" s="453"/>
      <c r="AU121" s="453"/>
      <c r="AV121" s="453"/>
      <c r="AW121" s="453"/>
      <c r="AX121" s="453"/>
      <c r="AY121" s="453"/>
      <c r="AZ121" s="452">
        <v>40787</v>
      </c>
      <c r="BA121" s="393"/>
      <c r="BB121" s="393"/>
      <c r="BC121" s="393" t="b">
        <v>0</v>
      </c>
      <c r="BD121" s="393"/>
      <c r="BE121" s="392"/>
      <c r="BF121" s="394">
        <v>4</v>
      </c>
      <c r="BG121" s="394">
        <v>8</v>
      </c>
      <c r="BH121" s="394">
        <v>7</v>
      </c>
      <c r="BI121" s="394"/>
      <c r="BJ121" s="394"/>
      <c r="BK121" s="394"/>
      <c r="BL121" s="444" t="s">
        <v>6983</v>
      </c>
      <c r="BM121" s="392"/>
      <c r="BN121" s="393"/>
      <c r="BO121" s="393"/>
      <c r="BP121" s="399"/>
      <c r="BQ121" s="400"/>
      <c r="BR121" s="401"/>
      <c r="BS121" s="399"/>
      <c r="BT121" s="394"/>
      <c r="BU121" s="417">
        <v>0.90349999999999997</v>
      </c>
      <c r="BV121" s="399">
        <v>53.5</v>
      </c>
      <c r="BW121" s="393" t="s">
        <v>3117</v>
      </c>
      <c r="BX121" s="392" t="s">
        <v>3205</v>
      </c>
      <c r="BY121" s="393"/>
      <c r="BZ121" s="393"/>
      <c r="CA121" s="441" t="s">
        <v>1664</v>
      </c>
      <c r="CB121" s="400">
        <v>4</v>
      </c>
      <c r="CC121" s="398"/>
      <c r="CD121" s="398"/>
      <c r="CE121" s="398"/>
      <c r="CF121" s="398"/>
      <c r="CG121" s="398">
        <v>48.363999999999997</v>
      </c>
      <c r="CH121" s="398">
        <v>45.064</v>
      </c>
      <c r="CI121" s="398">
        <v>41.764000000000003</v>
      </c>
      <c r="CJ121" s="398">
        <v>38.463999999999999</v>
      </c>
      <c r="CK121" s="398">
        <v>35.164000000000001</v>
      </c>
      <c r="CL121" s="398">
        <v>31.864000000000001</v>
      </c>
      <c r="CM121" s="398">
        <v>28.564</v>
      </c>
      <c r="CN121" s="398">
        <v>21.384</v>
      </c>
      <c r="CO121" s="398"/>
      <c r="CP121" s="398"/>
      <c r="CQ121" s="398"/>
      <c r="CR121" s="398"/>
      <c r="CS121" s="398"/>
      <c r="CT121" s="398"/>
      <c r="CU121" s="398"/>
      <c r="CV121" s="398"/>
      <c r="CW121" s="398"/>
      <c r="CX121" s="398"/>
      <c r="CY121" s="398"/>
      <c r="CZ121" s="398"/>
      <c r="DA121" s="398"/>
      <c r="DB121" s="398"/>
      <c r="DC121" s="398"/>
      <c r="DD121" s="398"/>
      <c r="DE121" s="393"/>
      <c r="DF121" s="393"/>
      <c r="DG121" s="393"/>
      <c r="DH121" s="393"/>
      <c r="DI121" s="393"/>
      <c r="DJ121" s="393"/>
      <c r="DK121" s="897"/>
    </row>
    <row r="122" spans="1:115" ht="25.5" x14ac:dyDescent="0.2">
      <c r="A122" s="295">
        <v>118</v>
      </c>
      <c r="B122" s="390" t="s">
        <v>2567</v>
      </c>
      <c r="C122" s="390"/>
      <c r="D122" s="391" t="s">
        <v>469</v>
      </c>
      <c r="E122" s="704" t="s">
        <v>470</v>
      </c>
      <c r="F122" s="393" t="s">
        <v>1352</v>
      </c>
      <c r="G122" s="393" t="s">
        <v>1673</v>
      </c>
      <c r="H122" s="393" t="s">
        <v>42</v>
      </c>
      <c r="I122" s="392"/>
      <c r="J122" s="392"/>
      <c r="K122" s="392" t="s">
        <v>242</v>
      </c>
      <c r="L122" s="392" t="s">
        <v>458</v>
      </c>
      <c r="M122" s="392"/>
      <c r="N122" s="393" t="s">
        <v>44</v>
      </c>
      <c r="O122" s="393" t="s">
        <v>51</v>
      </c>
      <c r="P122" s="393" t="s">
        <v>51</v>
      </c>
      <c r="Q122" s="392" t="s">
        <v>426</v>
      </c>
      <c r="R122" s="392" t="s">
        <v>3883</v>
      </c>
      <c r="S122" s="392" t="s">
        <v>427</v>
      </c>
      <c r="T122" s="394">
        <v>1</v>
      </c>
      <c r="U122" s="395">
        <v>35.811</v>
      </c>
      <c r="V122" s="395"/>
      <c r="W122" s="453"/>
      <c r="X122" s="394"/>
      <c r="Y122" s="394">
        <v>7.83</v>
      </c>
      <c r="Z122" s="394">
        <v>8</v>
      </c>
      <c r="AA122" s="395">
        <v>-3.7189999999999999</v>
      </c>
      <c r="AB122" s="452">
        <v>40328</v>
      </c>
      <c r="AC122" s="398">
        <v>26.894061000000001</v>
      </c>
      <c r="AD122" s="398">
        <v>354.52</v>
      </c>
      <c r="AE122" s="393" t="s">
        <v>37</v>
      </c>
      <c r="AF122" s="417">
        <v>24.155999999999999</v>
      </c>
      <c r="AG122" s="417">
        <f>22.348+28.933+21.056</f>
        <v>72.337000000000003</v>
      </c>
      <c r="AH122" s="417">
        <v>96.492999999999995</v>
      </c>
      <c r="AI122" s="394">
        <v>1</v>
      </c>
      <c r="AJ122" s="452">
        <v>41845</v>
      </c>
      <c r="AK122" s="452">
        <v>42369</v>
      </c>
      <c r="AL122" s="393"/>
      <c r="AM122" s="393"/>
      <c r="AN122" s="417"/>
      <c r="AO122" s="392"/>
      <c r="AP122" s="392"/>
      <c r="AQ122" s="392"/>
      <c r="AR122" s="392" t="s">
        <v>458</v>
      </c>
      <c r="AS122" s="480"/>
      <c r="AT122" s="453"/>
      <c r="AU122" s="453"/>
      <c r="AV122" s="453"/>
      <c r="AW122" s="453"/>
      <c r="AX122" s="453"/>
      <c r="AY122" s="453"/>
      <c r="AZ122" s="452">
        <v>40877</v>
      </c>
      <c r="BA122" s="393"/>
      <c r="BB122" s="393"/>
      <c r="BC122" s="393" t="b">
        <v>0</v>
      </c>
      <c r="BD122" s="393"/>
      <c r="BE122" s="392"/>
      <c r="BF122" s="394">
        <v>4</v>
      </c>
      <c r="BG122" s="394">
        <v>8</v>
      </c>
      <c r="BH122" s="394">
        <v>7</v>
      </c>
      <c r="BI122" s="394"/>
      <c r="BJ122" s="394"/>
      <c r="BK122" s="394"/>
      <c r="BL122" s="444" t="s">
        <v>6983</v>
      </c>
      <c r="BM122" s="392"/>
      <c r="BN122" s="393"/>
      <c r="BO122" s="393"/>
      <c r="BP122" s="399"/>
      <c r="BQ122" s="400"/>
      <c r="BR122" s="401"/>
      <c r="BS122" s="399"/>
      <c r="BT122" s="394"/>
      <c r="BU122" s="417">
        <v>0.90300000000000002</v>
      </c>
      <c r="BV122" s="399">
        <v>51.661000000000001</v>
      </c>
      <c r="BW122" s="393" t="s">
        <v>3117</v>
      </c>
      <c r="BX122" s="392" t="s">
        <v>3205</v>
      </c>
      <c r="BY122" s="393"/>
      <c r="BZ122" s="393"/>
      <c r="CA122" s="441" t="s">
        <v>1664</v>
      </c>
      <c r="CB122" s="400">
        <v>4</v>
      </c>
      <c r="CC122" s="398"/>
      <c r="CD122" s="398"/>
      <c r="CE122" s="398"/>
      <c r="CF122" s="398"/>
      <c r="CG122" s="398"/>
      <c r="CH122" s="398">
        <v>46.661999999999999</v>
      </c>
      <c r="CI122" s="398">
        <v>43.478000000000002</v>
      </c>
      <c r="CJ122" s="398">
        <v>40.293999999999997</v>
      </c>
      <c r="CK122" s="398">
        <v>37.11</v>
      </c>
      <c r="CL122" s="398">
        <v>33.926000000000002</v>
      </c>
      <c r="CM122" s="398">
        <v>30.742000000000001</v>
      </c>
      <c r="CN122" s="398">
        <v>27.558</v>
      </c>
      <c r="CO122" s="398">
        <v>20.631</v>
      </c>
      <c r="CP122" s="398"/>
      <c r="CQ122" s="398"/>
      <c r="CR122" s="398"/>
      <c r="CS122" s="398"/>
      <c r="CT122" s="398"/>
      <c r="CU122" s="398"/>
      <c r="CV122" s="398"/>
      <c r="CW122" s="398"/>
      <c r="CX122" s="398"/>
      <c r="CY122" s="398"/>
      <c r="CZ122" s="398"/>
      <c r="DA122" s="398"/>
      <c r="DB122" s="398"/>
      <c r="DC122" s="398"/>
      <c r="DD122" s="398"/>
      <c r="DE122" s="393"/>
      <c r="DF122" s="393"/>
      <c r="DG122" s="393"/>
      <c r="DH122" s="393"/>
      <c r="DI122" s="393"/>
      <c r="DJ122" s="393"/>
      <c r="DK122" s="897"/>
    </row>
    <row r="123" spans="1:115" ht="25.5" x14ac:dyDescent="0.2">
      <c r="A123" s="295">
        <v>119</v>
      </c>
      <c r="B123" s="390" t="s">
        <v>2568</v>
      </c>
      <c r="C123" s="390"/>
      <c r="D123" s="391" t="s">
        <v>471</v>
      </c>
      <c r="E123" s="704" t="s">
        <v>470</v>
      </c>
      <c r="F123" s="393" t="s">
        <v>1352</v>
      </c>
      <c r="G123" s="393" t="s">
        <v>1673</v>
      </c>
      <c r="H123" s="393" t="s">
        <v>42</v>
      </c>
      <c r="I123" s="392"/>
      <c r="J123" s="392"/>
      <c r="K123" s="392" t="s">
        <v>242</v>
      </c>
      <c r="L123" s="392" t="s">
        <v>458</v>
      </c>
      <c r="M123" s="392"/>
      <c r="N123" s="393" t="s">
        <v>44</v>
      </c>
      <c r="O123" s="393" t="s">
        <v>51</v>
      </c>
      <c r="P123" s="393" t="s">
        <v>51</v>
      </c>
      <c r="Q123" s="392" t="s">
        <v>426</v>
      </c>
      <c r="R123" s="392" t="s">
        <v>3884</v>
      </c>
      <c r="S123" s="392" t="s">
        <v>427</v>
      </c>
      <c r="T123" s="394">
        <v>1</v>
      </c>
      <c r="U123" s="395">
        <v>32.917999999999999</v>
      </c>
      <c r="V123" s="395"/>
      <c r="W123" s="453"/>
      <c r="X123" s="394"/>
      <c r="Y123" s="394">
        <v>7.83</v>
      </c>
      <c r="Z123" s="394">
        <v>8</v>
      </c>
      <c r="AA123" s="395">
        <v>-3.419</v>
      </c>
      <c r="AB123" s="452">
        <v>40328</v>
      </c>
      <c r="AC123" s="398">
        <v>35.814784000000003</v>
      </c>
      <c r="AD123" s="398">
        <v>354.52</v>
      </c>
      <c r="AE123" s="393" t="s">
        <v>37</v>
      </c>
      <c r="AF123" s="417">
        <v>15.731</v>
      </c>
      <c r="AG123" s="417">
        <f>18.594+23.972+17.468</f>
        <v>60.034000000000006</v>
      </c>
      <c r="AH123" s="417">
        <v>75.765000000000001</v>
      </c>
      <c r="AI123" s="394">
        <v>1</v>
      </c>
      <c r="AJ123" s="452">
        <v>41845</v>
      </c>
      <c r="AK123" s="452">
        <v>42369</v>
      </c>
      <c r="AL123" s="393"/>
      <c r="AM123" s="393"/>
      <c r="AN123" s="417"/>
      <c r="AO123" s="392"/>
      <c r="AP123" s="392"/>
      <c r="AQ123" s="392"/>
      <c r="AR123" s="392" t="s">
        <v>458</v>
      </c>
      <c r="AS123" s="480"/>
      <c r="AT123" s="453"/>
      <c r="AU123" s="453"/>
      <c r="AV123" s="453"/>
      <c r="AW123" s="453"/>
      <c r="AX123" s="453"/>
      <c r="AY123" s="453"/>
      <c r="AZ123" s="452">
        <v>40877</v>
      </c>
      <c r="BA123" s="393"/>
      <c r="BB123" s="393"/>
      <c r="BC123" s="393" t="b">
        <v>0</v>
      </c>
      <c r="BD123" s="393"/>
      <c r="BE123" s="392"/>
      <c r="BF123" s="394">
        <v>4</v>
      </c>
      <c r="BG123" s="394">
        <v>8</v>
      </c>
      <c r="BH123" s="394">
        <v>7</v>
      </c>
      <c r="BI123" s="394"/>
      <c r="BJ123" s="394"/>
      <c r="BK123" s="394"/>
      <c r="BL123" s="444" t="s">
        <v>6983</v>
      </c>
      <c r="BM123" s="392"/>
      <c r="BN123" s="393"/>
      <c r="BO123" s="393"/>
      <c r="BP123" s="399"/>
      <c r="BQ123" s="400"/>
      <c r="BR123" s="401"/>
      <c r="BS123" s="399"/>
      <c r="BT123" s="394"/>
      <c r="BU123" s="417">
        <v>0.90300000000000002</v>
      </c>
      <c r="BV123" s="399">
        <v>47.488</v>
      </c>
      <c r="BW123" s="393" t="s">
        <v>3117</v>
      </c>
      <c r="BX123" s="392" t="s">
        <v>3205</v>
      </c>
      <c r="BY123" s="393"/>
      <c r="BZ123" s="393"/>
      <c r="CA123" s="441" t="s">
        <v>1664</v>
      </c>
      <c r="CB123" s="400">
        <v>4</v>
      </c>
      <c r="CC123" s="398"/>
      <c r="CD123" s="398"/>
      <c r="CE123" s="398"/>
      <c r="CF123" s="398"/>
      <c r="CG123" s="398"/>
      <c r="CH123" s="398">
        <v>42.892000000000003</v>
      </c>
      <c r="CI123" s="398">
        <v>39.965000000000003</v>
      </c>
      <c r="CJ123" s="398">
        <v>37.039000000000001</v>
      </c>
      <c r="CK123" s="398">
        <v>34.112000000000002</v>
      </c>
      <c r="CL123" s="398">
        <v>31.184999999999999</v>
      </c>
      <c r="CM123" s="398">
        <v>28.259</v>
      </c>
      <c r="CN123" s="398">
        <v>25.332000000000001</v>
      </c>
      <c r="CO123" s="398">
        <v>18.963999999999999</v>
      </c>
      <c r="CP123" s="398"/>
      <c r="CQ123" s="398"/>
      <c r="CR123" s="398"/>
      <c r="CS123" s="398"/>
      <c r="CT123" s="398"/>
      <c r="CU123" s="398"/>
      <c r="CV123" s="398"/>
      <c r="CW123" s="398"/>
      <c r="CX123" s="398"/>
      <c r="CY123" s="398"/>
      <c r="CZ123" s="398"/>
      <c r="DA123" s="398"/>
      <c r="DB123" s="398"/>
      <c r="DC123" s="398"/>
      <c r="DD123" s="398"/>
      <c r="DE123" s="393"/>
      <c r="DF123" s="393"/>
      <c r="DG123" s="393"/>
      <c r="DH123" s="393"/>
      <c r="DI123" s="393"/>
      <c r="DJ123" s="393"/>
      <c r="DK123" s="897"/>
    </row>
    <row r="124" spans="1:115" ht="25.5" x14ac:dyDescent="0.2">
      <c r="A124" s="295">
        <v>120</v>
      </c>
      <c r="B124" s="390" t="s">
        <v>2569</v>
      </c>
      <c r="C124" s="390"/>
      <c r="D124" s="391" t="s">
        <v>472</v>
      </c>
      <c r="E124" s="704" t="s">
        <v>470</v>
      </c>
      <c r="F124" s="393" t="s">
        <v>1352</v>
      </c>
      <c r="G124" s="393" t="s">
        <v>1673</v>
      </c>
      <c r="H124" s="393" t="s">
        <v>42</v>
      </c>
      <c r="I124" s="392"/>
      <c r="J124" s="392"/>
      <c r="K124" s="392" t="s">
        <v>242</v>
      </c>
      <c r="L124" s="392" t="s">
        <v>458</v>
      </c>
      <c r="M124" s="392"/>
      <c r="N124" s="393" t="s">
        <v>44</v>
      </c>
      <c r="O124" s="393" t="s">
        <v>51</v>
      </c>
      <c r="P124" s="393" t="s">
        <v>51</v>
      </c>
      <c r="Q124" s="392" t="s">
        <v>426</v>
      </c>
      <c r="R124" s="392" t="s">
        <v>3885</v>
      </c>
      <c r="S124" s="392" t="s">
        <v>427</v>
      </c>
      <c r="T124" s="394">
        <v>1</v>
      </c>
      <c r="U124" s="395">
        <v>38.338999999999999</v>
      </c>
      <c r="V124" s="395"/>
      <c r="W124" s="453"/>
      <c r="X124" s="394"/>
      <c r="Y124" s="394">
        <v>7.83</v>
      </c>
      <c r="Z124" s="394">
        <v>8</v>
      </c>
      <c r="AA124" s="395">
        <v>-3.9809999999999999</v>
      </c>
      <c r="AB124" s="452">
        <v>40328</v>
      </c>
      <c r="AC124" s="398">
        <v>35.080185</v>
      </c>
      <c r="AD124" s="398">
        <v>354.52</v>
      </c>
      <c r="AE124" s="393" t="s">
        <v>37</v>
      </c>
      <c r="AF124" s="417">
        <v>5.8609999999999998</v>
      </c>
      <c r="AG124" s="417">
        <f>26.634+31.357+24.824</f>
        <v>82.814999999999998</v>
      </c>
      <c r="AH124" s="417">
        <v>88.676000000000002</v>
      </c>
      <c r="AI124" s="394">
        <v>1</v>
      </c>
      <c r="AJ124" s="452">
        <v>41845</v>
      </c>
      <c r="AK124" s="452">
        <v>42369</v>
      </c>
      <c r="AL124" s="393"/>
      <c r="AM124" s="393"/>
      <c r="AN124" s="417"/>
      <c r="AO124" s="392"/>
      <c r="AP124" s="392"/>
      <c r="AQ124" s="392"/>
      <c r="AR124" s="392" t="s">
        <v>458</v>
      </c>
      <c r="AS124" s="480"/>
      <c r="AT124" s="453"/>
      <c r="AU124" s="453"/>
      <c r="AV124" s="453"/>
      <c r="AW124" s="453"/>
      <c r="AX124" s="453"/>
      <c r="AY124" s="453"/>
      <c r="AZ124" s="452">
        <v>40877</v>
      </c>
      <c r="BA124" s="393"/>
      <c r="BB124" s="393"/>
      <c r="BC124" s="393" t="b">
        <v>0</v>
      </c>
      <c r="BD124" s="393"/>
      <c r="BE124" s="392"/>
      <c r="BF124" s="394">
        <v>4</v>
      </c>
      <c r="BG124" s="394">
        <v>8</v>
      </c>
      <c r="BH124" s="394">
        <v>7</v>
      </c>
      <c r="BI124" s="394"/>
      <c r="BJ124" s="394"/>
      <c r="BK124" s="394"/>
      <c r="BL124" s="444" t="s">
        <v>6983</v>
      </c>
      <c r="BM124" s="392"/>
      <c r="BN124" s="393"/>
      <c r="BO124" s="393"/>
      <c r="BP124" s="399"/>
      <c r="BQ124" s="400"/>
      <c r="BR124" s="401"/>
      <c r="BS124" s="399"/>
      <c r="BT124" s="394"/>
      <c r="BU124" s="417">
        <v>0.90300000000000002</v>
      </c>
      <c r="BV124" s="399">
        <v>55.308999999999997</v>
      </c>
      <c r="BW124" s="393" t="s">
        <v>3117</v>
      </c>
      <c r="BX124" s="392" t="s">
        <v>3205</v>
      </c>
      <c r="BY124" s="393"/>
      <c r="BZ124" s="393"/>
      <c r="CA124" s="441" t="s">
        <v>1664</v>
      </c>
      <c r="CB124" s="400">
        <v>4</v>
      </c>
      <c r="CC124" s="398"/>
      <c r="CD124" s="398"/>
      <c r="CE124" s="398"/>
      <c r="CF124" s="398"/>
      <c r="CG124" s="398"/>
      <c r="CH124" s="398">
        <v>49.957000000000001</v>
      </c>
      <c r="CI124" s="398">
        <v>46.548000000000002</v>
      </c>
      <c r="CJ124" s="398">
        <v>43.139000000000003</v>
      </c>
      <c r="CK124" s="398">
        <v>39.729999999999997</v>
      </c>
      <c r="CL124" s="398">
        <v>36.322000000000003</v>
      </c>
      <c r="CM124" s="398">
        <v>32.912999999999997</v>
      </c>
      <c r="CN124" s="398">
        <v>29.504000000000001</v>
      </c>
      <c r="CO124" s="398">
        <v>22.087</v>
      </c>
      <c r="CP124" s="398"/>
      <c r="CQ124" s="398"/>
      <c r="CR124" s="398"/>
      <c r="CS124" s="398"/>
      <c r="CT124" s="398"/>
      <c r="CU124" s="398"/>
      <c r="CV124" s="398"/>
      <c r="CW124" s="398"/>
      <c r="CX124" s="398"/>
      <c r="CY124" s="398"/>
      <c r="CZ124" s="398"/>
      <c r="DA124" s="398"/>
      <c r="DB124" s="398"/>
      <c r="DC124" s="398"/>
      <c r="DD124" s="398"/>
      <c r="DE124" s="393"/>
      <c r="DF124" s="393"/>
      <c r="DG124" s="393"/>
      <c r="DH124" s="393"/>
      <c r="DI124" s="393"/>
      <c r="DJ124" s="393"/>
      <c r="DK124" s="897"/>
    </row>
    <row r="125" spans="1:115" ht="25.5" x14ac:dyDescent="0.2">
      <c r="A125" s="295">
        <v>121</v>
      </c>
      <c r="B125" s="390" t="s">
        <v>2570</v>
      </c>
      <c r="C125" s="390"/>
      <c r="D125" s="391" t="s">
        <v>473</v>
      </c>
      <c r="E125" s="704" t="s">
        <v>470</v>
      </c>
      <c r="F125" s="393" t="s">
        <v>1352</v>
      </c>
      <c r="G125" s="393" t="s">
        <v>1673</v>
      </c>
      <c r="H125" s="393" t="s">
        <v>42</v>
      </c>
      <c r="I125" s="392"/>
      <c r="J125" s="392"/>
      <c r="K125" s="392" t="s">
        <v>242</v>
      </c>
      <c r="L125" s="392" t="s">
        <v>458</v>
      </c>
      <c r="M125" s="392"/>
      <c r="N125" s="393" t="s">
        <v>44</v>
      </c>
      <c r="O125" s="393" t="s">
        <v>51</v>
      </c>
      <c r="P125" s="393" t="s">
        <v>51</v>
      </c>
      <c r="Q125" s="392" t="s">
        <v>426</v>
      </c>
      <c r="R125" s="392" t="s">
        <v>3886</v>
      </c>
      <c r="S125" s="392" t="s">
        <v>427</v>
      </c>
      <c r="T125" s="394">
        <v>1</v>
      </c>
      <c r="U125" s="395">
        <v>31.577999999999999</v>
      </c>
      <c r="V125" s="395"/>
      <c r="W125" s="453"/>
      <c r="X125" s="394"/>
      <c r="Y125" s="394">
        <v>7.83</v>
      </c>
      <c r="Z125" s="394">
        <v>8</v>
      </c>
      <c r="AA125" s="395">
        <v>-3.28</v>
      </c>
      <c r="AB125" s="452">
        <v>40328</v>
      </c>
      <c r="AC125" s="398">
        <v>15.883734</v>
      </c>
      <c r="AD125" s="398">
        <v>354.52</v>
      </c>
      <c r="AE125" s="393" t="s">
        <v>37</v>
      </c>
      <c r="AF125" s="417">
        <v>3.948</v>
      </c>
      <c r="AG125" s="417">
        <f>29.645+35.146+27.757</f>
        <v>92.548000000000002</v>
      </c>
      <c r="AH125" s="417">
        <v>96.495999999999995</v>
      </c>
      <c r="AI125" s="394">
        <v>1</v>
      </c>
      <c r="AJ125" s="452">
        <v>41845</v>
      </c>
      <c r="AK125" s="452">
        <v>42369</v>
      </c>
      <c r="AL125" s="393"/>
      <c r="AM125" s="393"/>
      <c r="AN125" s="417"/>
      <c r="AO125" s="392"/>
      <c r="AP125" s="392"/>
      <c r="AQ125" s="392"/>
      <c r="AR125" s="392" t="s">
        <v>458</v>
      </c>
      <c r="AS125" s="480"/>
      <c r="AT125" s="453"/>
      <c r="AU125" s="453"/>
      <c r="AV125" s="453"/>
      <c r="AW125" s="453"/>
      <c r="AX125" s="453"/>
      <c r="AY125" s="453"/>
      <c r="AZ125" s="452">
        <v>40877</v>
      </c>
      <c r="BA125" s="393"/>
      <c r="BB125" s="393"/>
      <c r="BC125" s="393" t="b">
        <v>0</v>
      </c>
      <c r="BD125" s="393"/>
      <c r="BE125" s="392"/>
      <c r="BF125" s="394">
        <v>4</v>
      </c>
      <c r="BG125" s="394">
        <v>8</v>
      </c>
      <c r="BH125" s="394">
        <v>7</v>
      </c>
      <c r="BI125" s="394"/>
      <c r="BJ125" s="394"/>
      <c r="BK125" s="394"/>
      <c r="BL125" s="444" t="s">
        <v>6983</v>
      </c>
      <c r="BM125" s="392"/>
      <c r="BN125" s="393"/>
      <c r="BO125" s="393"/>
      <c r="BP125" s="399"/>
      <c r="BQ125" s="400"/>
      <c r="BR125" s="401"/>
      <c r="BS125" s="399"/>
      <c r="BT125" s="394"/>
      <c r="BU125" s="417">
        <v>0.90300000000000002</v>
      </c>
      <c r="BV125" s="399">
        <v>45.555</v>
      </c>
      <c r="BW125" s="393" t="s">
        <v>3117</v>
      </c>
      <c r="BX125" s="392" t="s">
        <v>3205</v>
      </c>
      <c r="BY125" s="393"/>
      <c r="BZ125" s="393"/>
      <c r="CA125" s="441" t="s">
        <v>1664</v>
      </c>
      <c r="CB125" s="400">
        <v>4</v>
      </c>
      <c r="CC125" s="398"/>
      <c r="CD125" s="398"/>
      <c r="CE125" s="398"/>
      <c r="CF125" s="398"/>
      <c r="CG125" s="398"/>
      <c r="CH125" s="398">
        <v>41.146000000000001</v>
      </c>
      <c r="CI125" s="398">
        <v>38.338999999999999</v>
      </c>
      <c r="CJ125" s="398">
        <v>35.530999999999999</v>
      </c>
      <c r="CK125" s="398">
        <v>32.723999999999997</v>
      </c>
      <c r="CL125" s="398">
        <v>29.916</v>
      </c>
      <c r="CM125" s="398">
        <v>27.108000000000001</v>
      </c>
      <c r="CN125" s="398">
        <v>24.300999999999998</v>
      </c>
      <c r="CO125" s="398">
        <v>18.192</v>
      </c>
      <c r="CP125" s="398"/>
      <c r="CQ125" s="398"/>
      <c r="CR125" s="398"/>
      <c r="CS125" s="398"/>
      <c r="CT125" s="398"/>
      <c r="CU125" s="398"/>
      <c r="CV125" s="398"/>
      <c r="CW125" s="398"/>
      <c r="CX125" s="398"/>
      <c r="CY125" s="398"/>
      <c r="CZ125" s="398"/>
      <c r="DA125" s="398"/>
      <c r="DB125" s="398"/>
      <c r="DC125" s="398"/>
      <c r="DD125" s="398"/>
      <c r="DE125" s="393"/>
      <c r="DF125" s="393"/>
      <c r="DG125" s="393"/>
      <c r="DH125" s="393"/>
      <c r="DI125" s="393"/>
      <c r="DJ125" s="393"/>
      <c r="DK125" s="897"/>
    </row>
    <row r="126" spans="1:115" ht="25.5" x14ac:dyDescent="0.2">
      <c r="A126" s="295">
        <v>122</v>
      </c>
      <c r="B126" s="390" t="s">
        <v>2571</v>
      </c>
      <c r="C126" s="390"/>
      <c r="D126" s="391" t="s">
        <v>474</v>
      </c>
      <c r="E126" s="704" t="s">
        <v>470</v>
      </c>
      <c r="F126" s="393" t="s">
        <v>1352</v>
      </c>
      <c r="G126" s="393" t="s">
        <v>1673</v>
      </c>
      <c r="H126" s="393" t="s">
        <v>42</v>
      </c>
      <c r="I126" s="392"/>
      <c r="J126" s="392"/>
      <c r="K126" s="392" t="s">
        <v>242</v>
      </c>
      <c r="L126" s="392" t="s">
        <v>458</v>
      </c>
      <c r="M126" s="392"/>
      <c r="N126" s="393" t="s">
        <v>44</v>
      </c>
      <c r="O126" s="393" t="s">
        <v>51</v>
      </c>
      <c r="P126" s="393" t="s">
        <v>51</v>
      </c>
      <c r="Q126" s="392" t="s">
        <v>426</v>
      </c>
      <c r="R126" s="392" t="s">
        <v>3887</v>
      </c>
      <c r="S126" s="392" t="s">
        <v>427</v>
      </c>
      <c r="T126" s="394">
        <v>1</v>
      </c>
      <c r="U126" s="395">
        <v>37.08</v>
      </c>
      <c r="V126" s="395"/>
      <c r="W126" s="453"/>
      <c r="X126" s="394"/>
      <c r="Y126" s="394">
        <v>7.83</v>
      </c>
      <c r="Z126" s="394">
        <v>8</v>
      </c>
      <c r="AA126" s="395">
        <v>-3.851</v>
      </c>
      <c r="AB126" s="452">
        <v>40328</v>
      </c>
      <c r="AC126" s="398">
        <v>27.958320000000001</v>
      </c>
      <c r="AD126" s="398">
        <v>354.52</v>
      </c>
      <c r="AE126" s="393" t="s">
        <v>37</v>
      </c>
      <c r="AF126" s="417"/>
      <c r="AG126" s="417"/>
      <c r="AH126" s="417">
        <f>SUM(AF126:AG126)</f>
        <v>0</v>
      </c>
      <c r="AI126" s="394"/>
      <c r="AJ126" s="453"/>
      <c r="AK126" s="452">
        <v>41986</v>
      </c>
      <c r="AL126" s="393"/>
      <c r="AM126" s="393"/>
      <c r="AN126" s="417"/>
      <c r="AO126" s="392"/>
      <c r="AP126" s="392"/>
      <c r="AQ126" s="392"/>
      <c r="AR126" s="392" t="s">
        <v>458</v>
      </c>
      <c r="AS126" s="480"/>
      <c r="AT126" s="453"/>
      <c r="AU126" s="453"/>
      <c r="AV126" s="453"/>
      <c r="AW126" s="453"/>
      <c r="AX126" s="453"/>
      <c r="AY126" s="453"/>
      <c r="AZ126" s="452">
        <v>40877</v>
      </c>
      <c r="BA126" s="393"/>
      <c r="BB126" s="393"/>
      <c r="BC126" s="393" t="b">
        <v>0</v>
      </c>
      <c r="BD126" s="393"/>
      <c r="BE126" s="392"/>
      <c r="BF126" s="394">
        <v>4</v>
      </c>
      <c r="BG126" s="394">
        <v>8</v>
      </c>
      <c r="BH126" s="394">
        <v>7</v>
      </c>
      <c r="BI126" s="394"/>
      <c r="BJ126" s="394"/>
      <c r="BK126" s="394"/>
      <c r="BL126" s="444" t="s">
        <v>6983</v>
      </c>
      <c r="BM126" s="392"/>
      <c r="BN126" s="393"/>
      <c r="BO126" s="393"/>
      <c r="BP126" s="399"/>
      <c r="BQ126" s="400"/>
      <c r="BR126" s="401"/>
      <c r="BS126" s="399"/>
      <c r="BT126" s="394"/>
      <c r="BU126" s="417">
        <v>0.90300000000000002</v>
      </c>
      <c r="BV126" s="399">
        <v>53.491999999999997</v>
      </c>
      <c r="BW126" s="393" t="s">
        <v>3117</v>
      </c>
      <c r="BX126" s="392" t="s">
        <v>3205</v>
      </c>
      <c r="BY126" s="393"/>
      <c r="BZ126" s="393"/>
      <c r="CA126" s="441" t="s">
        <v>1664</v>
      </c>
      <c r="CB126" s="400">
        <v>4</v>
      </c>
      <c r="CC126" s="398"/>
      <c r="CD126" s="398"/>
      <c r="CE126" s="398"/>
      <c r="CF126" s="398"/>
      <c r="CG126" s="398"/>
      <c r="CH126" s="398">
        <v>48.316000000000003</v>
      </c>
      <c r="CI126" s="398">
        <v>45.018999999999998</v>
      </c>
      <c r="CJ126" s="398">
        <v>41.722000000000001</v>
      </c>
      <c r="CK126" s="398">
        <v>38.424999999999997</v>
      </c>
      <c r="CL126" s="398">
        <v>35.128999999999998</v>
      </c>
      <c r="CM126" s="398">
        <v>31.832000000000001</v>
      </c>
      <c r="CN126" s="398">
        <v>28.535</v>
      </c>
      <c r="CO126" s="398">
        <v>21.361999999999998</v>
      </c>
      <c r="CP126" s="398"/>
      <c r="CQ126" s="398"/>
      <c r="CR126" s="398"/>
      <c r="CS126" s="398"/>
      <c r="CT126" s="398"/>
      <c r="CU126" s="398"/>
      <c r="CV126" s="398"/>
      <c r="CW126" s="398"/>
      <c r="CX126" s="398"/>
      <c r="CY126" s="398"/>
      <c r="CZ126" s="398"/>
      <c r="DA126" s="398"/>
      <c r="DB126" s="398"/>
      <c r="DC126" s="398"/>
      <c r="DD126" s="398"/>
      <c r="DE126" s="393"/>
      <c r="DF126" s="393"/>
      <c r="DG126" s="393"/>
      <c r="DH126" s="393"/>
      <c r="DI126" s="393"/>
      <c r="DJ126" s="393"/>
      <c r="DK126" s="897"/>
    </row>
    <row r="127" spans="1:115" ht="25.5" x14ac:dyDescent="0.2">
      <c r="A127" s="295">
        <v>123</v>
      </c>
      <c r="B127" s="390" t="s">
        <v>2572</v>
      </c>
      <c r="C127" s="390"/>
      <c r="D127" s="391" t="s">
        <v>475</v>
      </c>
      <c r="E127" s="704" t="s">
        <v>470</v>
      </c>
      <c r="F127" s="393" t="s">
        <v>1352</v>
      </c>
      <c r="G127" s="393" t="s">
        <v>1673</v>
      </c>
      <c r="H127" s="393" t="s">
        <v>42</v>
      </c>
      <c r="I127" s="392"/>
      <c r="J127" s="392"/>
      <c r="K127" s="392" t="s">
        <v>242</v>
      </c>
      <c r="L127" s="392" t="s">
        <v>458</v>
      </c>
      <c r="M127" s="392"/>
      <c r="N127" s="393" t="s">
        <v>44</v>
      </c>
      <c r="O127" s="393" t="s">
        <v>51</v>
      </c>
      <c r="P127" s="393" t="s">
        <v>51</v>
      </c>
      <c r="Q127" s="392" t="s">
        <v>426</v>
      </c>
      <c r="R127" s="392" t="s">
        <v>3888</v>
      </c>
      <c r="S127" s="392" t="s">
        <v>427</v>
      </c>
      <c r="T127" s="394">
        <v>1</v>
      </c>
      <c r="U127" s="395">
        <v>33.561999999999998</v>
      </c>
      <c r="V127" s="395"/>
      <c r="W127" s="453"/>
      <c r="X127" s="394"/>
      <c r="Y127" s="394">
        <v>7.83</v>
      </c>
      <c r="Z127" s="394">
        <v>8</v>
      </c>
      <c r="AA127" s="395">
        <v>-3.484</v>
      </c>
      <c r="AB127" s="452">
        <v>40328</v>
      </c>
      <c r="AC127" s="398">
        <v>22.553664000000001</v>
      </c>
      <c r="AD127" s="398">
        <v>354.52</v>
      </c>
      <c r="AE127" s="393" t="s">
        <v>37</v>
      </c>
      <c r="AF127" s="417">
        <v>11.763</v>
      </c>
      <c r="AG127" s="417">
        <f>24.709+29.29+23.107</f>
        <v>77.105999999999995</v>
      </c>
      <c r="AH127" s="417">
        <v>88.869</v>
      </c>
      <c r="AI127" s="394">
        <v>1</v>
      </c>
      <c r="AJ127" s="452">
        <v>41845</v>
      </c>
      <c r="AK127" s="452">
        <v>42369</v>
      </c>
      <c r="AL127" s="393"/>
      <c r="AM127" s="393"/>
      <c r="AN127" s="417"/>
      <c r="AO127" s="392"/>
      <c r="AP127" s="392"/>
      <c r="AQ127" s="392"/>
      <c r="AR127" s="392" t="s">
        <v>458</v>
      </c>
      <c r="AS127" s="480"/>
      <c r="AT127" s="453"/>
      <c r="AU127" s="453"/>
      <c r="AV127" s="453"/>
      <c r="AW127" s="453"/>
      <c r="AX127" s="453"/>
      <c r="AY127" s="453"/>
      <c r="AZ127" s="452">
        <v>40877</v>
      </c>
      <c r="BA127" s="393"/>
      <c r="BB127" s="393"/>
      <c r="BC127" s="393" t="b">
        <v>0</v>
      </c>
      <c r="BD127" s="393"/>
      <c r="BE127" s="392"/>
      <c r="BF127" s="394">
        <v>4</v>
      </c>
      <c r="BG127" s="394">
        <v>8</v>
      </c>
      <c r="BH127" s="394">
        <v>7</v>
      </c>
      <c r="BI127" s="394"/>
      <c r="BJ127" s="394"/>
      <c r="BK127" s="394"/>
      <c r="BL127" s="444" t="s">
        <v>6983</v>
      </c>
      <c r="BM127" s="392"/>
      <c r="BN127" s="393"/>
      <c r="BO127" s="393"/>
      <c r="BP127" s="399"/>
      <c r="BQ127" s="400"/>
      <c r="BR127" s="401"/>
      <c r="BS127" s="399"/>
      <c r="BT127" s="394"/>
      <c r="BU127" s="417">
        <v>0.90300000000000002</v>
      </c>
      <c r="BV127" s="399">
        <v>48.417999999999999</v>
      </c>
      <c r="BW127" s="393" t="s">
        <v>3117</v>
      </c>
      <c r="BX127" s="392" t="s">
        <v>3205</v>
      </c>
      <c r="BY127" s="393"/>
      <c r="BZ127" s="393"/>
      <c r="CA127" s="441" t="s">
        <v>1664</v>
      </c>
      <c r="CB127" s="400">
        <v>4</v>
      </c>
      <c r="CC127" s="398"/>
      <c r="CD127" s="398"/>
      <c r="CE127" s="398"/>
      <c r="CF127" s="398"/>
      <c r="CG127" s="398"/>
      <c r="CH127" s="398">
        <v>43.731999999999999</v>
      </c>
      <c r="CI127" s="398">
        <v>40.747999999999998</v>
      </c>
      <c r="CJ127" s="398">
        <v>37.764000000000003</v>
      </c>
      <c r="CK127" s="398">
        <v>34.78</v>
      </c>
      <c r="CL127" s="398">
        <v>31.795999999999999</v>
      </c>
      <c r="CM127" s="398">
        <v>28.812000000000001</v>
      </c>
      <c r="CN127" s="398">
        <v>25.827999999999999</v>
      </c>
      <c r="CO127" s="398">
        <v>19.335000000000001</v>
      </c>
      <c r="CP127" s="398"/>
      <c r="CQ127" s="398"/>
      <c r="CR127" s="398"/>
      <c r="CS127" s="398"/>
      <c r="CT127" s="398"/>
      <c r="CU127" s="398"/>
      <c r="CV127" s="398"/>
      <c r="CW127" s="398"/>
      <c r="CX127" s="398"/>
      <c r="CY127" s="398"/>
      <c r="CZ127" s="398"/>
      <c r="DA127" s="398"/>
      <c r="DB127" s="398"/>
      <c r="DC127" s="398"/>
      <c r="DD127" s="398"/>
      <c r="DE127" s="393"/>
      <c r="DF127" s="393"/>
      <c r="DG127" s="393"/>
      <c r="DH127" s="393"/>
      <c r="DI127" s="393"/>
      <c r="DJ127" s="393"/>
      <c r="DK127" s="897"/>
    </row>
    <row r="128" spans="1:115" ht="25.5" x14ac:dyDescent="0.2">
      <c r="A128" s="295">
        <v>124</v>
      </c>
      <c r="B128" s="390" t="s">
        <v>2573</v>
      </c>
      <c r="C128" s="390"/>
      <c r="D128" s="391" t="s">
        <v>476</v>
      </c>
      <c r="E128" s="704" t="s">
        <v>470</v>
      </c>
      <c r="F128" s="393" t="s">
        <v>1352</v>
      </c>
      <c r="G128" s="393" t="s">
        <v>1673</v>
      </c>
      <c r="H128" s="393" t="s">
        <v>42</v>
      </c>
      <c r="I128" s="392"/>
      <c r="J128" s="392"/>
      <c r="K128" s="392" t="s">
        <v>242</v>
      </c>
      <c r="L128" s="392" t="s">
        <v>458</v>
      </c>
      <c r="M128" s="392"/>
      <c r="N128" s="393" t="s">
        <v>44</v>
      </c>
      <c r="O128" s="393" t="s">
        <v>51</v>
      </c>
      <c r="P128" s="393" t="s">
        <v>51</v>
      </c>
      <c r="Q128" s="392" t="s">
        <v>426</v>
      </c>
      <c r="R128" s="392" t="s">
        <v>3889</v>
      </c>
      <c r="S128" s="392" t="s">
        <v>427</v>
      </c>
      <c r="T128" s="394">
        <v>1</v>
      </c>
      <c r="U128" s="395">
        <v>38.6</v>
      </c>
      <c r="V128" s="395"/>
      <c r="W128" s="453"/>
      <c r="X128" s="394"/>
      <c r="Y128" s="394">
        <v>7.83</v>
      </c>
      <c r="Z128" s="394">
        <v>8</v>
      </c>
      <c r="AA128" s="395">
        <v>-3.4359999999999999</v>
      </c>
      <c r="AB128" s="452">
        <v>40328</v>
      </c>
      <c r="AC128" s="398">
        <v>24.947597999999999</v>
      </c>
      <c r="AD128" s="398">
        <v>354.52</v>
      </c>
      <c r="AE128" s="393" t="s">
        <v>37</v>
      </c>
      <c r="AF128" s="417"/>
      <c r="AG128" s="417"/>
      <c r="AH128" s="417">
        <f>SUM(AF128:AG128)</f>
        <v>0</v>
      </c>
      <c r="AI128" s="394"/>
      <c r="AJ128" s="453"/>
      <c r="AK128" s="452">
        <v>41986</v>
      </c>
      <c r="AL128" s="393"/>
      <c r="AM128" s="393"/>
      <c r="AN128" s="417"/>
      <c r="AO128" s="392"/>
      <c r="AP128" s="392"/>
      <c r="AQ128" s="392"/>
      <c r="AR128" s="392" t="s">
        <v>458</v>
      </c>
      <c r="AS128" s="480"/>
      <c r="AT128" s="453"/>
      <c r="AU128" s="453"/>
      <c r="AV128" s="453"/>
      <c r="AW128" s="453"/>
      <c r="AX128" s="453"/>
      <c r="AY128" s="453"/>
      <c r="AZ128" s="452">
        <v>40877</v>
      </c>
      <c r="BA128" s="393"/>
      <c r="BB128" s="393"/>
      <c r="BC128" s="393" t="b">
        <v>0</v>
      </c>
      <c r="BD128" s="393"/>
      <c r="BE128" s="392"/>
      <c r="BF128" s="394">
        <v>4</v>
      </c>
      <c r="BG128" s="394">
        <v>8</v>
      </c>
      <c r="BH128" s="394">
        <v>7</v>
      </c>
      <c r="BI128" s="394"/>
      <c r="BJ128" s="394"/>
      <c r="BK128" s="394"/>
      <c r="BL128" s="444" t="s">
        <v>6983</v>
      </c>
      <c r="BM128" s="392"/>
      <c r="BN128" s="393"/>
      <c r="BO128" s="393"/>
      <c r="BP128" s="399"/>
      <c r="BQ128" s="400"/>
      <c r="BR128" s="401"/>
      <c r="BS128" s="399"/>
      <c r="BT128" s="394"/>
      <c r="BU128" s="417">
        <v>0.90300000000000002</v>
      </c>
      <c r="BV128" s="399">
        <v>47.731999999999999</v>
      </c>
      <c r="BW128" s="393" t="s">
        <v>3117</v>
      </c>
      <c r="BX128" s="392" t="s">
        <v>3205</v>
      </c>
      <c r="BY128" s="393"/>
      <c r="BZ128" s="393"/>
      <c r="CA128" s="441" t="s">
        <v>1664</v>
      </c>
      <c r="CB128" s="400">
        <v>4</v>
      </c>
      <c r="CC128" s="398"/>
      <c r="CD128" s="398"/>
      <c r="CE128" s="398"/>
      <c r="CF128" s="398"/>
      <c r="CG128" s="398"/>
      <c r="CH128" s="398">
        <v>43.113</v>
      </c>
      <c r="CI128" s="398">
        <v>40.170999999999999</v>
      </c>
      <c r="CJ128" s="398">
        <v>37.228999999999999</v>
      </c>
      <c r="CK128" s="398">
        <v>34.286999999999999</v>
      </c>
      <c r="CL128" s="398">
        <v>31.346</v>
      </c>
      <c r="CM128" s="398">
        <v>28.404</v>
      </c>
      <c r="CN128" s="398">
        <v>25.462</v>
      </c>
      <c r="CO128" s="398">
        <v>19.061</v>
      </c>
      <c r="CP128" s="398"/>
      <c r="CQ128" s="398"/>
      <c r="CR128" s="398"/>
      <c r="CS128" s="398"/>
      <c r="CT128" s="398"/>
      <c r="CU128" s="398"/>
      <c r="CV128" s="398"/>
      <c r="CW128" s="398"/>
      <c r="CX128" s="398"/>
      <c r="CY128" s="398"/>
      <c r="CZ128" s="398"/>
      <c r="DA128" s="398"/>
      <c r="DB128" s="398"/>
      <c r="DC128" s="398"/>
      <c r="DD128" s="398"/>
      <c r="DE128" s="393"/>
      <c r="DF128" s="393"/>
      <c r="DG128" s="393"/>
      <c r="DH128" s="393"/>
      <c r="DI128" s="393"/>
      <c r="DJ128" s="393"/>
      <c r="DK128" s="897"/>
    </row>
    <row r="129" spans="1:115" ht="51" x14ac:dyDescent="0.2">
      <c r="A129" s="295">
        <v>125</v>
      </c>
      <c r="B129" s="390" t="s">
        <v>2574</v>
      </c>
      <c r="C129" s="390"/>
      <c r="D129" s="391" t="s">
        <v>2111</v>
      </c>
      <c r="E129" s="704" t="s">
        <v>2115</v>
      </c>
      <c r="F129" s="393" t="s">
        <v>1352</v>
      </c>
      <c r="G129" s="393" t="s">
        <v>1673</v>
      </c>
      <c r="H129" s="393" t="s">
        <v>42</v>
      </c>
      <c r="I129" s="392"/>
      <c r="J129" s="392"/>
      <c r="K129" s="392" t="s">
        <v>460</v>
      </c>
      <c r="L129" s="392" t="s">
        <v>458</v>
      </c>
      <c r="M129" s="392"/>
      <c r="N129" s="393" t="s">
        <v>44</v>
      </c>
      <c r="O129" s="393" t="s">
        <v>51</v>
      </c>
      <c r="P129" s="393" t="s">
        <v>51</v>
      </c>
      <c r="Q129" s="392" t="s">
        <v>426</v>
      </c>
      <c r="R129" s="392" t="s">
        <v>3890</v>
      </c>
      <c r="S129" s="392" t="s">
        <v>427</v>
      </c>
      <c r="T129" s="394">
        <v>1</v>
      </c>
      <c r="U129" s="395">
        <v>31.305</v>
      </c>
      <c r="V129" s="395"/>
      <c r="W129" s="453"/>
      <c r="X129" s="394"/>
      <c r="Y129" s="394">
        <v>7.83</v>
      </c>
      <c r="Z129" s="394">
        <v>8</v>
      </c>
      <c r="AA129" s="395">
        <v>-2.78</v>
      </c>
      <c r="AB129" s="452">
        <v>40328</v>
      </c>
      <c r="AC129" s="398">
        <v>11.212</v>
      </c>
      <c r="AD129" s="398">
        <v>354.52</v>
      </c>
      <c r="AE129" s="393" t="s">
        <v>37</v>
      </c>
      <c r="AF129" s="417">
        <v>6.9390000000000001</v>
      </c>
      <c r="AG129" s="417">
        <f>12.561+15.264+12.03</f>
        <v>39.854999999999997</v>
      </c>
      <c r="AH129" s="417">
        <v>46.793999999999997</v>
      </c>
      <c r="AI129" s="394">
        <v>1</v>
      </c>
      <c r="AJ129" s="452">
        <v>41845</v>
      </c>
      <c r="AK129" s="452">
        <v>42369</v>
      </c>
      <c r="AL129" s="393"/>
      <c r="AM129" s="393"/>
      <c r="AN129" s="417"/>
      <c r="AO129" s="392"/>
      <c r="AP129" s="392"/>
      <c r="AQ129" s="392"/>
      <c r="AR129" s="392" t="s">
        <v>458</v>
      </c>
      <c r="AS129" s="480"/>
      <c r="AT129" s="453"/>
      <c r="AU129" s="453"/>
      <c r="AV129" s="453"/>
      <c r="AW129" s="453"/>
      <c r="AX129" s="453"/>
      <c r="AY129" s="453"/>
      <c r="AZ129" s="452">
        <v>40961</v>
      </c>
      <c r="BA129" s="393"/>
      <c r="BB129" s="393"/>
      <c r="BC129" s="393" t="b">
        <v>0</v>
      </c>
      <c r="BD129" s="393"/>
      <c r="BE129" s="392"/>
      <c r="BF129" s="394">
        <v>4</v>
      </c>
      <c r="BG129" s="394">
        <v>8</v>
      </c>
      <c r="BH129" s="394">
        <v>7</v>
      </c>
      <c r="BI129" s="394"/>
      <c r="BJ129" s="394"/>
      <c r="BK129" s="394"/>
      <c r="BL129" s="444" t="s">
        <v>6983</v>
      </c>
      <c r="BM129" s="392"/>
      <c r="BN129" s="393"/>
      <c r="BO129" s="393"/>
      <c r="BP129" s="399"/>
      <c r="BQ129" s="400"/>
      <c r="BR129" s="401"/>
      <c r="BS129" s="399"/>
      <c r="BT129" s="394"/>
      <c r="BU129" s="417">
        <v>0.86499999999999999</v>
      </c>
      <c r="BV129" s="399">
        <v>40.301000000000002</v>
      </c>
      <c r="BW129" s="393" t="s">
        <v>3117</v>
      </c>
      <c r="BX129" s="392" t="s">
        <v>3205</v>
      </c>
      <c r="BY129" s="393"/>
      <c r="BZ129" s="393"/>
      <c r="CA129" s="441" t="s">
        <v>1664</v>
      </c>
      <c r="CB129" s="400">
        <v>4</v>
      </c>
      <c r="CC129" s="398"/>
      <c r="CD129" s="398"/>
      <c r="CE129" s="398"/>
      <c r="CF129" s="398"/>
      <c r="CG129" s="398"/>
      <c r="CH129" s="398">
        <v>34.869</v>
      </c>
      <c r="CI129" s="398">
        <v>32.49</v>
      </c>
      <c r="CJ129" s="398">
        <v>30.11</v>
      </c>
      <c r="CK129" s="398">
        <v>27.731000000000002</v>
      </c>
      <c r="CL129" s="398">
        <v>25.352</v>
      </c>
      <c r="CM129" s="398">
        <v>22.972999999999999</v>
      </c>
      <c r="CN129" s="398">
        <v>20.593</v>
      </c>
      <c r="CO129" s="398">
        <v>15.416</v>
      </c>
      <c r="CP129" s="398"/>
      <c r="CQ129" s="398"/>
      <c r="CR129" s="398"/>
      <c r="CS129" s="398"/>
      <c r="CT129" s="398"/>
      <c r="CU129" s="398"/>
      <c r="CV129" s="398"/>
      <c r="CW129" s="398"/>
      <c r="CX129" s="398"/>
      <c r="CY129" s="398"/>
      <c r="CZ129" s="398"/>
      <c r="DA129" s="398"/>
      <c r="DB129" s="398"/>
      <c r="DC129" s="398"/>
      <c r="DD129" s="398"/>
      <c r="DE129" s="393"/>
      <c r="DF129" s="393"/>
      <c r="DG129" s="393"/>
      <c r="DH129" s="393"/>
      <c r="DI129" s="393"/>
      <c r="DJ129" s="393"/>
      <c r="DK129" s="897"/>
    </row>
    <row r="130" spans="1:115" ht="51" x14ac:dyDescent="0.2">
      <c r="A130" s="295">
        <v>126</v>
      </c>
      <c r="B130" s="390" t="s">
        <v>2575</v>
      </c>
      <c r="C130" s="390"/>
      <c r="D130" s="391" t="s">
        <v>2112</v>
      </c>
      <c r="E130" s="704" t="s">
        <v>2114</v>
      </c>
      <c r="F130" s="393" t="s">
        <v>1352</v>
      </c>
      <c r="G130" s="393" t="s">
        <v>1673</v>
      </c>
      <c r="H130" s="393" t="s">
        <v>42</v>
      </c>
      <c r="I130" s="392"/>
      <c r="J130" s="392"/>
      <c r="K130" s="392" t="s">
        <v>460</v>
      </c>
      <c r="L130" s="392" t="s">
        <v>458</v>
      </c>
      <c r="M130" s="392"/>
      <c r="N130" s="393" t="s">
        <v>44</v>
      </c>
      <c r="O130" s="393" t="s">
        <v>51</v>
      </c>
      <c r="P130" s="393" t="s">
        <v>51</v>
      </c>
      <c r="Q130" s="392" t="s">
        <v>426</v>
      </c>
      <c r="R130" s="392" t="s">
        <v>3891</v>
      </c>
      <c r="S130" s="392" t="s">
        <v>427</v>
      </c>
      <c r="T130" s="394">
        <v>1</v>
      </c>
      <c r="U130" s="395">
        <v>26.76</v>
      </c>
      <c r="V130" s="395"/>
      <c r="W130" s="453"/>
      <c r="X130" s="394"/>
      <c r="Y130" s="394">
        <v>7.83</v>
      </c>
      <c r="Z130" s="394">
        <v>8</v>
      </c>
      <c r="AA130" s="395">
        <v>3.2509999999999999</v>
      </c>
      <c r="AB130" s="452">
        <v>40328</v>
      </c>
      <c r="AC130" s="398">
        <v>11.212</v>
      </c>
      <c r="AD130" s="398">
        <v>354.52</v>
      </c>
      <c r="AE130" s="393" t="s">
        <v>37</v>
      </c>
      <c r="AF130" s="417">
        <v>13.151999999999999</v>
      </c>
      <c r="AG130" s="417">
        <f>14.537+17.769+13.939</f>
        <v>46.244999999999997</v>
      </c>
      <c r="AH130" s="417">
        <v>59.396999999999998</v>
      </c>
      <c r="AI130" s="394">
        <v>1</v>
      </c>
      <c r="AJ130" s="452">
        <v>41845</v>
      </c>
      <c r="AK130" s="452">
        <v>42369</v>
      </c>
      <c r="AL130" s="393"/>
      <c r="AM130" s="393"/>
      <c r="AN130" s="417"/>
      <c r="AO130" s="392"/>
      <c r="AP130" s="392"/>
      <c r="AQ130" s="392"/>
      <c r="AR130" s="392" t="s">
        <v>458</v>
      </c>
      <c r="AS130" s="480"/>
      <c r="AT130" s="453"/>
      <c r="AU130" s="453"/>
      <c r="AV130" s="453"/>
      <c r="AW130" s="453"/>
      <c r="AX130" s="453"/>
      <c r="AY130" s="453"/>
      <c r="AZ130" s="452">
        <v>40961</v>
      </c>
      <c r="BA130" s="393"/>
      <c r="BB130" s="393"/>
      <c r="BC130" s="393" t="b">
        <v>0</v>
      </c>
      <c r="BD130" s="393"/>
      <c r="BE130" s="392"/>
      <c r="BF130" s="394">
        <v>4</v>
      </c>
      <c r="BG130" s="394">
        <v>8</v>
      </c>
      <c r="BH130" s="394">
        <v>7</v>
      </c>
      <c r="BI130" s="394"/>
      <c r="BJ130" s="394"/>
      <c r="BK130" s="394"/>
      <c r="BL130" s="444" t="s">
        <v>6983</v>
      </c>
      <c r="BM130" s="392"/>
      <c r="BN130" s="393"/>
      <c r="BO130" s="393"/>
      <c r="BP130" s="399"/>
      <c r="BQ130" s="400"/>
      <c r="BR130" s="401"/>
      <c r="BS130" s="399"/>
      <c r="BT130" s="394"/>
      <c r="BU130" s="417">
        <v>0.86499999999999999</v>
      </c>
      <c r="BV130" s="399">
        <v>47.143000000000001</v>
      </c>
      <c r="BW130" s="393" t="s">
        <v>3117</v>
      </c>
      <c r="BX130" s="392" t="s">
        <v>3205</v>
      </c>
      <c r="BY130" s="393"/>
      <c r="BZ130" s="393"/>
      <c r="CA130" s="441" t="s">
        <v>1664</v>
      </c>
      <c r="CB130" s="400">
        <v>4</v>
      </c>
      <c r="CC130" s="398"/>
      <c r="CD130" s="398"/>
      <c r="CE130" s="398"/>
      <c r="CF130" s="398"/>
      <c r="CG130" s="398"/>
      <c r="CH130" s="398">
        <v>40.789000000000001</v>
      </c>
      <c r="CI130" s="398">
        <v>38.005000000000003</v>
      </c>
      <c r="CJ130" s="398">
        <v>35.222000000000001</v>
      </c>
      <c r="CK130" s="398">
        <v>32.439</v>
      </c>
      <c r="CL130" s="398">
        <v>29.655999999999999</v>
      </c>
      <c r="CM130" s="398">
        <v>26.873000000000001</v>
      </c>
      <c r="CN130" s="398">
        <v>24.088999999999999</v>
      </c>
      <c r="CO130" s="398">
        <v>18.033999999999999</v>
      </c>
      <c r="CP130" s="398"/>
      <c r="CQ130" s="398"/>
      <c r="CR130" s="398"/>
      <c r="CS130" s="398"/>
      <c r="CT130" s="398"/>
      <c r="CU130" s="398"/>
      <c r="CV130" s="398"/>
      <c r="CW130" s="398"/>
      <c r="CX130" s="398"/>
      <c r="CY130" s="398"/>
      <c r="CZ130" s="398"/>
      <c r="DA130" s="398"/>
      <c r="DB130" s="398"/>
      <c r="DC130" s="398"/>
      <c r="DD130" s="398"/>
      <c r="DE130" s="393"/>
      <c r="DF130" s="393"/>
      <c r="DG130" s="393"/>
      <c r="DH130" s="393"/>
      <c r="DI130" s="393"/>
      <c r="DJ130" s="393"/>
      <c r="DK130" s="897"/>
    </row>
    <row r="131" spans="1:115" ht="38.25" x14ac:dyDescent="0.2">
      <c r="A131" s="295">
        <v>127</v>
      </c>
      <c r="B131" s="390" t="s">
        <v>2576</v>
      </c>
      <c r="C131" s="390"/>
      <c r="D131" s="391" t="s">
        <v>2113</v>
      </c>
      <c r="E131" s="704" t="s">
        <v>2281</v>
      </c>
      <c r="F131" s="393" t="s">
        <v>1352</v>
      </c>
      <c r="G131" s="393" t="s">
        <v>1673</v>
      </c>
      <c r="H131" s="393" t="s">
        <v>42</v>
      </c>
      <c r="I131" s="392"/>
      <c r="J131" s="392"/>
      <c r="K131" s="392" t="s">
        <v>460</v>
      </c>
      <c r="L131" s="392" t="s">
        <v>458</v>
      </c>
      <c r="M131" s="392"/>
      <c r="N131" s="393" t="s">
        <v>44</v>
      </c>
      <c r="O131" s="393" t="s">
        <v>51</v>
      </c>
      <c r="P131" s="393" t="s">
        <v>51</v>
      </c>
      <c r="Q131" s="392" t="s">
        <v>426</v>
      </c>
      <c r="R131" s="392" t="s">
        <v>3892</v>
      </c>
      <c r="S131" s="392" t="s">
        <v>427</v>
      </c>
      <c r="T131" s="394">
        <v>1</v>
      </c>
      <c r="U131" s="395">
        <v>38.6</v>
      </c>
      <c r="V131" s="395"/>
      <c r="W131" s="453"/>
      <c r="X131" s="394"/>
      <c r="Y131" s="394">
        <v>7.83</v>
      </c>
      <c r="Z131" s="394">
        <v>8</v>
      </c>
      <c r="AA131" s="395">
        <v>-4.0129999999999999</v>
      </c>
      <c r="AB131" s="452">
        <v>40328</v>
      </c>
      <c r="AC131" s="398">
        <v>9.0180000000000007</v>
      </c>
      <c r="AD131" s="398">
        <v>354.52</v>
      </c>
      <c r="AE131" s="393" t="s">
        <v>37</v>
      </c>
      <c r="AF131" s="417">
        <v>6.1180000000000003</v>
      </c>
      <c r="AG131" s="417">
        <f>21.478+25.974+20.545</f>
        <v>67.997</v>
      </c>
      <c r="AH131" s="417">
        <v>74.114999999999995</v>
      </c>
      <c r="AI131" s="394">
        <v>1</v>
      </c>
      <c r="AJ131" s="452">
        <v>41845</v>
      </c>
      <c r="AK131" s="452">
        <v>42369</v>
      </c>
      <c r="AL131" s="393"/>
      <c r="AM131" s="393"/>
      <c r="AN131" s="417"/>
      <c r="AO131" s="392"/>
      <c r="AP131" s="392"/>
      <c r="AQ131" s="392"/>
      <c r="AR131" s="392" t="s">
        <v>458</v>
      </c>
      <c r="AS131" s="480"/>
      <c r="AT131" s="453"/>
      <c r="AU131" s="453"/>
      <c r="AV131" s="453"/>
      <c r="AW131" s="453"/>
      <c r="AX131" s="453"/>
      <c r="AY131" s="453"/>
      <c r="AZ131" s="452">
        <v>40961</v>
      </c>
      <c r="BA131" s="393"/>
      <c r="BB131" s="393"/>
      <c r="BC131" s="393" t="b">
        <v>0</v>
      </c>
      <c r="BD131" s="393"/>
      <c r="BE131" s="392"/>
      <c r="BF131" s="394">
        <v>4</v>
      </c>
      <c r="BG131" s="394">
        <v>8</v>
      </c>
      <c r="BH131" s="394">
        <v>7</v>
      </c>
      <c r="BI131" s="394"/>
      <c r="BJ131" s="394"/>
      <c r="BK131" s="394"/>
      <c r="BL131" s="444" t="s">
        <v>6983</v>
      </c>
      <c r="BM131" s="392"/>
      <c r="BN131" s="393"/>
      <c r="BO131" s="393"/>
      <c r="BP131" s="399"/>
      <c r="BQ131" s="400"/>
      <c r="BR131" s="401"/>
      <c r="BS131" s="399"/>
      <c r="BT131" s="394"/>
      <c r="BU131" s="417">
        <v>0.86499999999999999</v>
      </c>
      <c r="BV131" s="399">
        <v>58.198</v>
      </c>
      <c r="BW131" s="393" t="s">
        <v>3117</v>
      </c>
      <c r="BX131" s="392" t="s">
        <v>3205</v>
      </c>
      <c r="BY131" s="393"/>
      <c r="BZ131" s="393"/>
      <c r="CA131" s="441" t="s">
        <v>1664</v>
      </c>
      <c r="CB131" s="400">
        <v>4</v>
      </c>
      <c r="CC131" s="398"/>
      <c r="CD131" s="398"/>
      <c r="CE131" s="398"/>
      <c r="CF131" s="398"/>
      <c r="CG131" s="398"/>
      <c r="CH131" s="398">
        <v>50.353999999999999</v>
      </c>
      <c r="CI131" s="398">
        <v>46.917999999999999</v>
      </c>
      <c r="CJ131" s="398">
        <v>43.481999999999999</v>
      </c>
      <c r="CK131" s="398">
        <v>40.045999999999999</v>
      </c>
      <c r="CL131" s="398">
        <v>36.610999999999997</v>
      </c>
      <c r="CM131" s="398">
        <v>33.174999999999997</v>
      </c>
      <c r="CN131" s="398">
        <v>29.739000000000001</v>
      </c>
      <c r="CO131" s="398">
        <v>22.263000000000002</v>
      </c>
      <c r="CP131" s="398"/>
      <c r="CQ131" s="398"/>
      <c r="CR131" s="398"/>
      <c r="CS131" s="398"/>
      <c r="CT131" s="398"/>
      <c r="CU131" s="398"/>
      <c r="CV131" s="398"/>
      <c r="CW131" s="398"/>
      <c r="CX131" s="398"/>
      <c r="CY131" s="398"/>
      <c r="CZ131" s="398"/>
      <c r="DA131" s="398"/>
      <c r="DB131" s="398"/>
      <c r="DC131" s="398"/>
      <c r="DD131" s="398"/>
      <c r="DE131" s="393"/>
      <c r="DF131" s="393"/>
      <c r="DG131" s="393"/>
      <c r="DH131" s="393"/>
      <c r="DI131" s="393"/>
      <c r="DJ131" s="393"/>
      <c r="DK131" s="897"/>
    </row>
    <row r="132" spans="1:115" ht="51" x14ac:dyDescent="0.2">
      <c r="A132" s="295">
        <v>128</v>
      </c>
      <c r="B132" s="390" t="s">
        <v>2577</v>
      </c>
      <c r="C132" s="390"/>
      <c r="D132" s="391" t="s">
        <v>1918</v>
      </c>
      <c r="E132" s="704" t="s">
        <v>2119</v>
      </c>
      <c r="F132" s="393" t="s">
        <v>1352</v>
      </c>
      <c r="G132" s="393" t="s">
        <v>1673</v>
      </c>
      <c r="H132" s="393" t="s">
        <v>42</v>
      </c>
      <c r="I132" s="392"/>
      <c r="J132" s="392"/>
      <c r="K132" s="392" t="s">
        <v>460</v>
      </c>
      <c r="L132" s="392" t="s">
        <v>458</v>
      </c>
      <c r="M132" s="392"/>
      <c r="N132" s="393" t="s">
        <v>44</v>
      </c>
      <c r="O132" s="393" t="s">
        <v>51</v>
      </c>
      <c r="P132" s="393" t="s">
        <v>51</v>
      </c>
      <c r="Q132" s="392" t="s">
        <v>426</v>
      </c>
      <c r="R132" s="392" t="s">
        <v>3893</v>
      </c>
      <c r="S132" s="392" t="s">
        <v>427</v>
      </c>
      <c r="T132" s="394">
        <v>1</v>
      </c>
      <c r="U132" s="395">
        <v>34.061999999999998</v>
      </c>
      <c r="V132" s="395"/>
      <c r="W132" s="453"/>
      <c r="X132" s="394"/>
      <c r="Y132" s="394">
        <v>10</v>
      </c>
      <c r="Z132" s="394">
        <v>8</v>
      </c>
      <c r="AA132" s="395">
        <v>-3.4279999999999999</v>
      </c>
      <c r="AB132" s="452">
        <v>40328</v>
      </c>
      <c r="AC132" s="398">
        <v>23.759736</v>
      </c>
      <c r="AD132" s="398">
        <v>340.62</v>
      </c>
      <c r="AE132" s="393" t="s">
        <v>37</v>
      </c>
      <c r="AF132" s="417"/>
      <c r="AG132" s="417">
        <f>15.973+36.467+28.83</f>
        <v>81.27</v>
      </c>
      <c r="AH132" s="417">
        <v>81.27</v>
      </c>
      <c r="AI132" s="394"/>
      <c r="AJ132" s="452">
        <v>41275</v>
      </c>
      <c r="AK132" s="452">
        <v>42369</v>
      </c>
      <c r="AL132" s="393"/>
      <c r="AM132" s="393"/>
      <c r="AN132" s="417"/>
      <c r="AO132" s="392"/>
      <c r="AP132" s="392"/>
      <c r="AQ132" s="392"/>
      <c r="AR132" s="392" t="s">
        <v>458</v>
      </c>
      <c r="AS132" s="480"/>
      <c r="AT132" s="453"/>
      <c r="AU132" s="453"/>
      <c r="AV132" s="453"/>
      <c r="AW132" s="453"/>
      <c r="AX132" s="453"/>
      <c r="AY132" s="453"/>
      <c r="AZ132" s="452">
        <v>40997</v>
      </c>
      <c r="BA132" s="393"/>
      <c r="BB132" s="393"/>
      <c r="BC132" s="393" t="b">
        <v>0</v>
      </c>
      <c r="BD132" s="393"/>
      <c r="BE132" s="392"/>
      <c r="BF132" s="394">
        <v>4</v>
      </c>
      <c r="BG132" s="394">
        <v>8</v>
      </c>
      <c r="BH132" s="394">
        <v>7</v>
      </c>
      <c r="BI132" s="394"/>
      <c r="BJ132" s="394"/>
      <c r="BK132" s="394"/>
      <c r="BL132" s="444" t="s">
        <v>6983</v>
      </c>
      <c r="BM132" s="392"/>
      <c r="BN132" s="393"/>
      <c r="BO132" s="393"/>
      <c r="BP132" s="399"/>
      <c r="BQ132" s="400"/>
      <c r="BR132" s="401"/>
      <c r="BS132" s="399"/>
      <c r="BT132" s="394"/>
      <c r="BU132" s="417">
        <v>0.86499999999999999</v>
      </c>
      <c r="BV132" s="399">
        <v>51.296999999999997</v>
      </c>
      <c r="BW132" s="393" t="s">
        <v>3117</v>
      </c>
      <c r="BX132" s="392" t="s">
        <v>3205</v>
      </c>
      <c r="BY132" s="393"/>
      <c r="BZ132" s="393"/>
      <c r="CA132" s="441" t="s">
        <v>1664</v>
      </c>
      <c r="CB132" s="400">
        <v>4</v>
      </c>
      <c r="CC132" s="398"/>
      <c r="CD132" s="398"/>
      <c r="CE132" s="398"/>
      <c r="CF132" s="398"/>
      <c r="CG132" s="398"/>
      <c r="CH132" s="398"/>
      <c r="CI132" s="398">
        <v>44.383000000000003</v>
      </c>
      <c r="CJ132" s="398">
        <v>41.354999999999997</v>
      </c>
      <c r="CK132" s="398">
        <v>38.326000000000001</v>
      </c>
      <c r="CL132" s="398">
        <v>35.298000000000002</v>
      </c>
      <c r="CM132" s="398">
        <v>32.270000000000003</v>
      </c>
      <c r="CN132" s="398">
        <v>29.241</v>
      </c>
      <c r="CO132" s="398">
        <v>26.213000000000001</v>
      </c>
      <c r="CP132" s="398">
        <v>19.623000000000001</v>
      </c>
      <c r="CQ132" s="398"/>
      <c r="CR132" s="398"/>
      <c r="CS132" s="398"/>
      <c r="CT132" s="398"/>
      <c r="CU132" s="398"/>
      <c r="CV132" s="398"/>
      <c r="CW132" s="398"/>
      <c r="CX132" s="398"/>
      <c r="CY132" s="398"/>
      <c r="CZ132" s="398"/>
      <c r="DA132" s="398"/>
      <c r="DB132" s="398"/>
      <c r="DC132" s="398"/>
      <c r="DD132" s="398"/>
      <c r="DE132" s="393"/>
      <c r="DF132" s="393"/>
      <c r="DG132" s="393"/>
      <c r="DH132" s="393"/>
      <c r="DI132" s="393"/>
      <c r="DJ132" s="393"/>
      <c r="DK132" s="897"/>
    </row>
    <row r="133" spans="1:115" ht="51" x14ac:dyDescent="0.2">
      <c r="A133" s="295">
        <v>129</v>
      </c>
      <c r="B133" s="390" t="s">
        <v>2578</v>
      </c>
      <c r="C133" s="390"/>
      <c r="D133" s="391" t="s">
        <v>1919</v>
      </c>
      <c r="E133" s="704" t="s">
        <v>2282</v>
      </c>
      <c r="F133" s="393" t="s">
        <v>1352</v>
      </c>
      <c r="G133" s="393" t="s">
        <v>1673</v>
      </c>
      <c r="H133" s="393" t="s">
        <v>42</v>
      </c>
      <c r="I133" s="392"/>
      <c r="J133" s="392"/>
      <c r="K133" s="392" t="s">
        <v>460</v>
      </c>
      <c r="L133" s="392" t="s">
        <v>458</v>
      </c>
      <c r="M133" s="392"/>
      <c r="N133" s="393" t="s">
        <v>44</v>
      </c>
      <c r="O133" s="393" t="s">
        <v>51</v>
      </c>
      <c r="P133" s="393" t="s">
        <v>51</v>
      </c>
      <c r="Q133" s="392" t="s">
        <v>426</v>
      </c>
      <c r="R133" s="392" t="s">
        <v>3894</v>
      </c>
      <c r="S133" s="392" t="s">
        <v>427</v>
      </c>
      <c r="T133" s="394">
        <v>1</v>
      </c>
      <c r="U133" s="395">
        <v>30.47</v>
      </c>
      <c r="V133" s="395"/>
      <c r="W133" s="453"/>
      <c r="X133" s="394"/>
      <c r="Y133" s="394">
        <v>10</v>
      </c>
      <c r="Z133" s="394">
        <v>8</v>
      </c>
      <c r="AA133" s="395">
        <v>-3.1419999999999999</v>
      </c>
      <c r="AB133" s="452">
        <v>40328</v>
      </c>
      <c r="AC133" s="398">
        <v>29.331555000000002</v>
      </c>
      <c r="AD133" s="398">
        <v>304.7</v>
      </c>
      <c r="AE133" s="393" t="s">
        <v>37</v>
      </c>
      <c r="AF133" s="417"/>
      <c r="AG133" s="417">
        <f>15.677+25.079+19.764</f>
        <v>60.519999999999996</v>
      </c>
      <c r="AH133" s="417">
        <v>60.519999999999996</v>
      </c>
      <c r="AI133" s="394"/>
      <c r="AJ133" s="452">
        <v>41275</v>
      </c>
      <c r="AK133" s="452">
        <v>42369</v>
      </c>
      <c r="AL133" s="393"/>
      <c r="AM133" s="393"/>
      <c r="AN133" s="417"/>
      <c r="AO133" s="392"/>
      <c r="AP133" s="392"/>
      <c r="AQ133" s="392"/>
      <c r="AR133" s="392" t="s">
        <v>458</v>
      </c>
      <c r="AS133" s="480"/>
      <c r="AT133" s="453"/>
      <c r="AU133" s="453"/>
      <c r="AV133" s="453"/>
      <c r="AW133" s="453"/>
      <c r="AX133" s="453"/>
      <c r="AY133" s="453"/>
      <c r="AZ133" s="452">
        <v>40997</v>
      </c>
      <c r="BA133" s="393"/>
      <c r="BB133" s="393"/>
      <c r="BC133" s="393" t="b">
        <v>0</v>
      </c>
      <c r="BD133" s="393"/>
      <c r="BE133" s="392"/>
      <c r="BF133" s="394">
        <v>4</v>
      </c>
      <c r="BG133" s="394">
        <v>8</v>
      </c>
      <c r="BH133" s="394">
        <v>7</v>
      </c>
      <c r="BI133" s="394"/>
      <c r="BJ133" s="394"/>
      <c r="BK133" s="394"/>
      <c r="BL133" s="444" t="s">
        <v>6983</v>
      </c>
      <c r="BM133" s="392"/>
      <c r="BN133" s="393"/>
      <c r="BO133" s="393"/>
      <c r="BP133" s="399"/>
      <c r="BQ133" s="400"/>
      <c r="BR133" s="401"/>
      <c r="BS133" s="399"/>
      <c r="BT133" s="394"/>
      <c r="BU133" s="417">
        <v>0.86499999999999999</v>
      </c>
      <c r="BV133" s="399">
        <v>45.887999999999998</v>
      </c>
      <c r="BW133" s="393" t="s">
        <v>3117</v>
      </c>
      <c r="BX133" s="392" t="s">
        <v>3205</v>
      </c>
      <c r="BY133" s="393"/>
      <c r="BZ133" s="393"/>
      <c r="CA133" s="441" t="s">
        <v>1664</v>
      </c>
      <c r="CB133" s="400">
        <v>4</v>
      </c>
      <c r="CC133" s="398"/>
      <c r="CD133" s="398"/>
      <c r="CE133" s="398"/>
      <c r="CF133" s="398"/>
      <c r="CG133" s="398"/>
      <c r="CH133" s="398"/>
      <c r="CI133" s="398">
        <v>39.703000000000003</v>
      </c>
      <c r="CJ133" s="398">
        <v>36.993000000000002</v>
      </c>
      <c r="CK133" s="398">
        <v>34.283999999999999</v>
      </c>
      <c r="CL133" s="398">
        <v>31.574999999999999</v>
      </c>
      <c r="CM133" s="398">
        <v>28.866</v>
      </c>
      <c r="CN133" s="398">
        <v>26.157</v>
      </c>
      <c r="CO133" s="398">
        <v>23.448</v>
      </c>
      <c r="CP133" s="398">
        <v>17.553999999999998</v>
      </c>
      <c r="CQ133" s="398"/>
      <c r="CR133" s="398"/>
      <c r="CS133" s="398"/>
      <c r="CT133" s="398"/>
      <c r="CU133" s="398"/>
      <c r="CV133" s="398"/>
      <c r="CW133" s="398"/>
      <c r="CX133" s="398"/>
      <c r="CY133" s="398"/>
      <c r="CZ133" s="398"/>
      <c r="DA133" s="398"/>
      <c r="DB133" s="398"/>
      <c r="DC133" s="398"/>
      <c r="DD133" s="398"/>
      <c r="DE133" s="393"/>
      <c r="DF133" s="393"/>
      <c r="DG133" s="393"/>
      <c r="DH133" s="393"/>
      <c r="DI133" s="393"/>
      <c r="DJ133" s="393"/>
      <c r="DK133" s="897"/>
    </row>
    <row r="134" spans="1:115" ht="51" x14ac:dyDescent="0.2">
      <c r="A134" s="295">
        <v>130</v>
      </c>
      <c r="B134" s="390" t="s">
        <v>2579</v>
      </c>
      <c r="C134" s="390"/>
      <c r="D134" s="391" t="s">
        <v>1920</v>
      </c>
      <c r="E134" s="704" t="s">
        <v>2118</v>
      </c>
      <c r="F134" s="393" t="s">
        <v>1352</v>
      </c>
      <c r="G134" s="393" t="s">
        <v>1673</v>
      </c>
      <c r="H134" s="393" t="s">
        <v>42</v>
      </c>
      <c r="I134" s="392"/>
      <c r="J134" s="392"/>
      <c r="K134" s="392" t="s">
        <v>460</v>
      </c>
      <c r="L134" s="392" t="s">
        <v>458</v>
      </c>
      <c r="M134" s="392"/>
      <c r="N134" s="393" t="s">
        <v>44</v>
      </c>
      <c r="O134" s="393" t="s">
        <v>51</v>
      </c>
      <c r="P134" s="393" t="s">
        <v>51</v>
      </c>
      <c r="Q134" s="392" t="s">
        <v>426</v>
      </c>
      <c r="R134" s="392" t="s">
        <v>3895</v>
      </c>
      <c r="S134" s="392" t="s">
        <v>427</v>
      </c>
      <c r="T134" s="394">
        <v>1</v>
      </c>
      <c r="U134" s="395">
        <v>36.064</v>
      </c>
      <c r="V134" s="395"/>
      <c r="W134" s="453"/>
      <c r="X134" s="394"/>
      <c r="Y134" s="394">
        <v>10</v>
      </c>
      <c r="Z134" s="394">
        <v>8</v>
      </c>
      <c r="AA134" s="395">
        <v>-3.714</v>
      </c>
      <c r="AB134" s="452">
        <v>40328</v>
      </c>
      <c r="AC134" s="398">
        <v>25.853058000000001</v>
      </c>
      <c r="AD134" s="398">
        <v>360.64</v>
      </c>
      <c r="AE134" s="393" t="s">
        <v>37</v>
      </c>
      <c r="AF134" s="417">
        <v>0.69499999999999995</v>
      </c>
      <c r="AG134" s="417">
        <f>22.914+28.17+22.162</f>
        <v>73.246000000000009</v>
      </c>
      <c r="AH134" s="417">
        <v>73.941000000000003</v>
      </c>
      <c r="AI134" s="394">
        <v>1</v>
      </c>
      <c r="AJ134" s="452">
        <v>41845</v>
      </c>
      <c r="AK134" s="452">
        <v>42369</v>
      </c>
      <c r="AL134" s="393"/>
      <c r="AM134" s="393"/>
      <c r="AN134" s="417"/>
      <c r="AO134" s="392"/>
      <c r="AP134" s="392"/>
      <c r="AQ134" s="392"/>
      <c r="AR134" s="392" t="s">
        <v>458</v>
      </c>
      <c r="AS134" s="480"/>
      <c r="AT134" s="453"/>
      <c r="AU134" s="453"/>
      <c r="AV134" s="453"/>
      <c r="AW134" s="453"/>
      <c r="AX134" s="453"/>
      <c r="AY134" s="453"/>
      <c r="AZ134" s="452">
        <v>40997</v>
      </c>
      <c r="BA134" s="393"/>
      <c r="BB134" s="393"/>
      <c r="BC134" s="393" t="b">
        <v>0</v>
      </c>
      <c r="BD134" s="393"/>
      <c r="BE134" s="392"/>
      <c r="BF134" s="394">
        <v>4</v>
      </c>
      <c r="BG134" s="394">
        <v>8</v>
      </c>
      <c r="BH134" s="394">
        <v>7</v>
      </c>
      <c r="BI134" s="394"/>
      <c r="BJ134" s="394"/>
      <c r="BK134" s="394"/>
      <c r="BL134" s="444" t="s">
        <v>6983</v>
      </c>
      <c r="BM134" s="392"/>
      <c r="BN134" s="393"/>
      <c r="BO134" s="393"/>
      <c r="BP134" s="399"/>
      <c r="BQ134" s="400"/>
      <c r="BR134" s="401"/>
      <c r="BS134" s="399"/>
      <c r="BT134" s="394"/>
      <c r="BU134" s="417">
        <v>0.86499999999999999</v>
      </c>
      <c r="BV134" s="399">
        <v>54.311999999999998</v>
      </c>
      <c r="BW134" s="393" t="s">
        <v>3117</v>
      </c>
      <c r="BX134" s="392" t="s">
        <v>3205</v>
      </c>
      <c r="BY134" s="393"/>
      <c r="BZ134" s="393"/>
      <c r="CA134" s="441" t="s">
        <v>1664</v>
      </c>
      <c r="CB134" s="400">
        <v>4</v>
      </c>
      <c r="CC134" s="398"/>
      <c r="CD134" s="398"/>
      <c r="CE134" s="398"/>
      <c r="CF134" s="398"/>
      <c r="CG134" s="398"/>
      <c r="CH134" s="398"/>
      <c r="CI134" s="398">
        <v>46.991999999999997</v>
      </c>
      <c r="CJ134" s="398">
        <v>43.784999999999997</v>
      </c>
      <c r="CK134" s="398">
        <v>40.579000000000001</v>
      </c>
      <c r="CL134" s="398">
        <v>37.372</v>
      </c>
      <c r="CM134" s="398">
        <v>34.165999999999997</v>
      </c>
      <c r="CN134" s="398">
        <v>30.96</v>
      </c>
      <c r="CO134" s="398">
        <v>27.753</v>
      </c>
      <c r="CP134" s="398">
        <v>20.776</v>
      </c>
      <c r="CQ134" s="398"/>
      <c r="CR134" s="398"/>
      <c r="CS134" s="398"/>
      <c r="CT134" s="398"/>
      <c r="CU134" s="398"/>
      <c r="CV134" s="398"/>
      <c r="CW134" s="398"/>
      <c r="CX134" s="398"/>
      <c r="CY134" s="398"/>
      <c r="CZ134" s="398"/>
      <c r="DA134" s="398"/>
      <c r="DB134" s="398"/>
      <c r="DC134" s="398"/>
      <c r="DD134" s="398"/>
      <c r="DE134" s="393"/>
      <c r="DF134" s="393"/>
      <c r="DG134" s="393"/>
      <c r="DH134" s="393"/>
      <c r="DI134" s="393"/>
      <c r="DJ134" s="393"/>
      <c r="DK134" s="897"/>
    </row>
    <row r="135" spans="1:115" ht="51" x14ac:dyDescent="0.2">
      <c r="A135" s="295">
        <v>131</v>
      </c>
      <c r="B135" s="390" t="s">
        <v>2580</v>
      </c>
      <c r="C135" s="390"/>
      <c r="D135" s="391" t="s">
        <v>1921</v>
      </c>
      <c r="E135" s="704" t="s">
        <v>2118</v>
      </c>
      <c r="F135" s="393" t="s">
        <v>1352</v>
      </c>
      <c r="G135" s="393" t="s">
        <v>1673</v>
      </c>
      <c r="H135" s="393" t="s">
        <v>42</v>
      </c>
      <c r="I135" s="392"/>
      <c r="J135" s="392"/>
      <c r="K135" s="392" t="s">
        <v>460</v>
      </c>
      <c r="L135" s="392" t="s">
        <v>458</v>
      </c>
      <c r="M135" s="392"/>
      <c r="N135" s="393" t="s">
        <v>44</v>
      </c>
      <c r="O135" s="393" t="s">
        <v>51</v>
      </c>
      <c r="P135" s="393" t="s">
        <v>51</v>
      </c>
      <c r="Q135" s="392" t="s">
        <v>426</v>
      </c>
      <c r="R135" s="392" t="s">
        <v>3896</v>
      </c>
      <c r="S135" s="392" t="s">
        <v>427</v>
      </c>
      <c r="T135" s="394">
        <v>1</v>
      </c>
      <c r="U135" s="395">
        <v>39.374000000000002</v>
      </c>
      <c r="V135" s="395"/>
      <c r="W135" s="453"/>
      <c r="X135" s="394"/>
      <c r="Y135" s="394">
        <v>10</v>
      </c>
      <c r="Z135" s="394">
        <v>8</v>
      </c>
      <c r="AA135" s="395">
        <v>-4</v>
      </c>
      <c r="AB135" s="452">
        <v>40328</v>
      </c>
      <c r="AC135" s="398">
        <v>23.126729999999998</v>
      </c>
      <c r="AD135" s="398">
        <v>393.74</v>
      </c>
      <c r="AE135" s="393" t="s">
        <v>37</v>
      </c>
      <c r="AF135" s="417"/>
      <c r="AG135" s="417">
        <f>15.587+35.81+28.311</f>
        <v>79.707999999999998</v>
      </c>
      <c r="AH135" s="417">
        <v>79.707999999999998</v>
      </c>
      <c r="AI135" s="394"/>
      <c r="AJ135" s="452">
        <v>41275</v>
      </c>
      <c r="AK135" s="452">
        <v>42369</v>
      </c>
      <c r="AL135" s="393"/>
      <c r="AM135" s="393"/>
      <c r="AN135" s="417"/>
      <c r="AO135" s="392"/>
      <c r="AP135" s="392"/>
      <c r="AQ135" s="392"/>
      <c r="AR135" s="392" t="s">
        <v>458</v>
      </c>
      <c r="AS135" s="480"/>
      <c r="AT135" s="453"/>
      <c r="AU135" s="453"/>
      <c r="AV135" s="453"/>
      <c r="AW135" s="453"/>
      <c r="AX135" s="453"/>
      <c r="AY135" s="453"/>
      <c r="AZ135" s="452">
        <v>40997</v>
      </c>
      <c r="BA135" s="393"/>
      <c r="BB135" s="393"/>
      <c r="BC135" s="393" t="b">
        <v>0</v>
      </c>
      <c r="BD135" s="393"/>
      <c r="BE135" s="392"/>
      <c r="BF135" s="394">
        <v>4</v>
      </c>
      <c r="BG135" s="394">
        <v>8</v>
      </c>
      <c r="BH135" s="394">
        <v>7</v>
      </c>
      <c r="BI135" s="394"/>
      <c r="BJ135" s="394"/>
      <c r="BK135" s="394"/>
      <c r="BL135" s="444" t="s">
        <v>6983</v>
      </c>
      <c r="BM135" s="392"/>
      <c r="BN135" s="393"/>
      <c r="BO135" s="393"/>
      <c r="BP135" s="399"/>
      <c r="BQ135" s="400"/>
      <c r="BR135" s="401"/>
      <c r="BS135" s="399"/>
      <c r="BT135" s="394"/>
      <c r="BU135" s="417">
        <v>0.86499999999999999</v>
      </c>
      <c r="BV135" s="399">
        <v>59.296999999999997</v>
      </c>
      <c r="BW135" s="393" t="s">
        <v>3117</v>
      </c>
      <c r="BX135" s="392" t="s">
        <v>3205</v>
      </c>
      <c r="BY135" s="393"/>
      <c r="BZ135" s="393"/>
      <c r="CA135" s="441" t="s">
        <v>1664</v>
      </c>
      <c r="CB135" s="400">
        <v>4</v>
      </c>
      <c r="CC135" s="398"/>
      <c r="CD135" s="398"/>
      <c r="CE135" s="398"/>
      <c r="CF135" s="398"/>
      <c r="CG135" s="398"/>
      <c r="CH135" s="398"/>
      <c r="CI135" s="398">
        <v>51.305</v>
      </c>
      <c r="CJ135" s="398">
        <v>47.804000000000002</v>
      </c>
      <c r="CK135" s="398">
        <v>44.302999999999997</v>
      </c>
      <c r="CL135" s="398">
        <v>40.802</v>
      </c>
      <c r="CM135" s="398">
        <v>37.302</v>
      </c>
      <c r="CN135" s="398">
        <v>33.801000000000002</v>
      </c>
      <c r="CO135" s="398">
        <v>30.3</v>
      </c>
      <c r="CP135" s="398">
        <v>22.683</v>
      </c>
      <c r="CQ135" s="398"/>
      <c r="CR135" s="398"/>
      <c r="CS135" s="398"/>
      <c r="CT135" s="398"/>
      <c r="CU135" s="398"/>
      <c r="CV135" s="398"/>
      <c r="CW135" s="398"/>
      <c r="CX135" s="398"/>
      <c r="CY135" s="398"/>
      <c r="CZ135" s="398"/>
      <c r="DA135" s="398"/>
      <c r="DB135" s="398"/>
      <c r="DC135" s="398"/>
      <c r="DD135" s="398"/>
      <c r="DE135" s="393"/>
      <c r="DF135" s="393"/>
      <c r="DG135" s="393"/>
      <c r="DH135" s="393"/>
      <c r="DI135" s="393"/>
      <c r="DJ135" s="393"/>
      <c r="DK135" s="897"/>
    </row>
    <row r="136" spans="1:115" ht="63.75" x14ac:dyDescent="0.2">
      <c r="A136" s="295">
        <v>132</v>
      </c>
      <c r="B136" s="390" t="s">
        <v>2581</v>
      </c>
      <c r="C136" s="390"/>
      <c r="D136" s="391" t="s">
        <v>1922</v>
      </c>
      <c r="E136" s="704" t="s">
        <v>2283</v>
      </c>
      <c r="F136" s="393" t="s">
        <v>1352</v>
      </c>
      <c r="G136" s="393" t="s">
        <v>1673</v>
      </c>
      <c r="H136" s="393" t="s">
        <v>42</v>
      </c>
      <c r="I136" s="392"/>
      <c r="J136" s="392"/>
      <c r="K136" s="392" t="s">
        <v>460</v>
      </c>
      <c r="L136" s="392" t="s">
        <v>458</v>
      </c>
      <c r="M136" s="392"/>
      <c r="N136" s="393" t="s">
        <v>44</v>
      </c>
      <c r="O136" s="393" t="s">
        <v>51</v>
      </c>
      <c r="P136" s="393" t="s">
        <v>51</v>
      </c>
      <c r="Q136" s="392" t="s">
        <v>426</v>
      </c>
      <c r="R136" s="392" t="s">
        <v>3897</v>
      </c>
      <c r="S136" s="392" t="s">
        <v>427</v>
      </c>
      <c r="T136" s="394">
        <v>1</v>
      </c>
      <c r="U136" s="395">
        <v>31.667999999999999</v>
      </c>
      <c r="V136" s="395"/>
      <c r="W136" s="453"/>
      <c r="X136" s="394"/>
      <c r="Y136" s="394">
        <v>10</v>
      </c>
      <c r="Z136" s="394">
        <v>8</v>
      </c>
      <c r="AA136" s="395">
        <v>-3.2850000000000001</v>
      </c>
      <c r="AB136" s="452">
        <v>40996</v>
      </c>
      <c r="AC136" s="398">
        <v>27.372575999999999</v>
      </c>
      <c r="AD136" s="398">
        <v>316.68</v>
      </c>
      <c r="AE136" s="393" t="s">
        <v>37</v>
      </c>
      <c r="AF136" s="417">
        <v>9.2490000000000006</v>
      </c>
      <c r="AG136" s="417">
        <f>18.413+22.351+17.627</f>
        <v>58.390999999999991</v>
      </c>
      <c r="AH136" s="417">
        <v>67.639999999999986</v>
      </c>
      <c r="AI136" s="394">
        <v>1</v>
      </c>
      <c r="AJ136" s="452">
        <v>41845</v>
      </c>
      <c r="AK136" s="452">
        <v>42369</v>
      </c>
      <c r="AL136" s="393"/>
      <c r="AM136" s="393"/>
      <c r="AN136" s="417"/>
      <c r="AO136" s="392"/>
      <c r="AP136" s="392"/>
      <c r="AQ136" s="392"/>
      <c r="AR136" s="392" t="s">
        <v>458</v>
      </c>
      <c r="AS136" s="480"/>
      <c r="AT136" s="453"/>
      <c r="AU136" s="453"/>
      <c r="AV136" s="453"/>
      <c r="AW136" s="453"/>
      <c r="AX136" s="453"/>
      <c r="AY136" s="453"/>
      <c r="AZ136" s="452">
        <v>40997</v>
      </c>
      <c r="BA136" s="393"/>
      <c r="BB136" s="393"/>
      <c r="BC136" s="393" t="b">
        <v>0</v>
      </c>
      <c r="BD136" s="393"/>
      <c r="BE136" s="392"/>
      <c r="BF136" s="394">
        <v>4</v>
      </c>
      <c r="BG136" s="394">
        <v>8</v>
      </c>
      <c r="BH136" s="394">
        <v>7</v>
      </c>
      <c r="BI136" s="394"/>
      <c r="BJ136" s="394"/>
      <c r="BK136" s="394"/>
      <c r="BL136" s="444" t="s">
        <v>6983</v>
      </c>
      <c r="BM136" s="392"/>
      <c r="BN136" s="393"/>
      <c r="BO136" s="393"/>
      <c r="BP136" s="399"/>
      <c r="BQ136" s="400"/>
      <c r="BR136" s="401"/>
      <c r="BS136" s="399"/>
      <c r="BT136" s="394"/>
      <c r="BU136" s="417">
        <v>0.86499999999999999</v>
      </c>
      <c r="BV136" s="399">
        <v>47.692</v>
      </c>
      <c r="BW136" s="393" t="s">
        <v>3117</v>
      </c>
      <c r="BX136" s="392" t="s">
        <v>3205</v>
      </c>
      <c r="BY136" s="393"/>
      <c r="BZ136" s="393"/>
      <c r="CA136" s="441" t="s">
        <v>1664</v>
      </c>
      <c r="CB136" s="400">
        <v>4</v>
      </c>
      <c r="CC136" s="398"/>
      <c r="CD136" s="398"/>
      <c r="CE136" s="398"/>
      <c r="CF136" s="398"/>
      <c r="CG136" s="398"/>
      <c r="CH136" s="398"/>
      <c r="CI136" s="398">
        <v>51.305</v>
      </c>
      <c r="CJ136" s="398">
        <v>47.804000000000002</v>
      </c>
      <c r="CK136" s="398">
        <v>44.302999999999997</v>
      </c>
      <c r="CL136" s="398">
        <v>40.802</v>
      </c>
      <c r="CM136" s="398">
        <v>37.302</v>
      </c>
      <c r="CN136" s="398">
        <v>33.801000000000002</v>
      </c>
      <c r="CO136" s="398">
        <v>30.3</v>
      </c>
      <c r="CP136" s="398">
        <v>22.683</v>
      </c>
      <c r="CQ136" s="398"/>
      <c r="CR136" s="398"/>
      <c r="CS136" s="398"/>
      <c r="CT136" s="398"/>
      <c r="CU136" s="398"/>
      <c r="CV136" s="398"/>
      <c r="CW136" s="398"/>
      <c r="CX136" s="398"/>
      <c r="CY136" s="398"/>
      <c r="CZ136" s="398"/>
      <c r="DA136" s="398"/>
      <c r="DB136" s="398"/>
      <c r="DC136" s="398"/>
      <c r="DD136" s="398"/>
      <c r="DE136" s="393"/>
      <c r="DF136" s="393"/>
      <c r="DG136" s="393"/>
      <c r="DH136" s="393"/>
      <c r="DI136" s="393"/>
      <c r="DJ136" s="393"/>
      <c r="DK136" s="897"/>
    </row>
    <row r="137" spans="1:115" ht="76.5" x14ac:dyDescent="0.2">
      <c r="A137" s="295">
        <v>133</v>
      </c>
      <c r="B137" s="390" t="s">
        <v>40</v>
      </c>
      <c r="C137" s="424" t="s">
        <v>7433</v>
      </c>
      <c r="D137" s="391" t="s">
        <v>1616</v>
      </c>
      <c r="E137" s="704" t="s">
        <v>41</v>
      </c>
      <c r="F137" s="393" t="s">
        <v>1352</v>
      </c>
      <c r="G137" s="393" t="s">
        <v>1673</v>
      </c>
      <c r="H137" s="393" t="s">
        <v>42</v>
      </c>
      <c r="I137" s="392"/>
      <c r="J137" s="392" t="s">
        <v>42</v>
      </c>
      <c r="K137" s="392"/>
      <c r="L137" s="392" t="s">
        <v>43</v>
      </c>
      <c r="M137" s="392" t="s">
        <v>3898</v>
      </c>
      <c r="N137" s="393" t="s">
        <v>44</v>
      </c>
      <c r="O137" s="393" t="s">
        <v>45</v>
      </c>
      <c r="P137" s="393" t="s">
        <v>45</v>
      </c>
      <c r="Q137" s="392" t="s">
        <v>1210</v>
      </c>
      <c r="R137" s="392"/>
      <c r="S137" s="392" t="s">
        <v>46</v>
      </c>
      <c r="T137" s="394">
        <v>32</v>
      </c>
      <c r="U137" s="395">
        <v>471.75599999999991</v>
      </c>
      <c r="V137" s="395"/>
      <c r="W137" s="452">
        <v>40513</v>
      </c>
      <c r="X137" s="394">
        <v>28</v>
      </c>
      <c r="Y137" s="394"/>
      <c r="Z137" s="394"/>
      <c r="AA137" s="395"/>
      <c r="AB137" s="453"/>
      <c r="AC137" s="398">
        <v>147.54400000000001</v>
      </c>
      <c r="AD137" s="398">
        <v>4717.5599999999995</v>
      </c>
      <c r="AE137" s="393" t="s">
        <v>47</v>
      </c>
      <c r="AF137" s="417">
        <f>SUM(AF138:AF169)</f>
        <v>9.5909999999999993</v>
      </c>
      <c r="AG137" s="417">
        <f>SUM(AG138:AG169)</f>
        <v>0</v>
      </c>
      <c r="AH137" s="417">
        <v>9.5909999999999993</v>
      </c>
      <c r="AI137" s="394">
        <v>1</v>
      </c>
      <c r="AJ137" s="452">
        <v>41386</v>
      </c>
      <c r="AK137" s="452">
        <v>41152</v>
      </c>
      <c r="AL137" s="393"/>
      <c r="AM137" s="393"/>
      <c r="AN137" s="417"/>
      <c r="AO137" s="392"/>
      <c r="AP137" s="428" t="s">
        <v>8083</v>
      </c>
      <c r="AQ137" s="428"/>
      <c r="AR137" s="392" t="s">
        <v>48</v>
      </c>
      <c r="AS137" s="479">
        <v>40038</v>
      </c>
      <c r="AT137" s="453"/>
      <c r="AU137" s="453"/>
      <c r="AV137" s="452">
        <v>39938</v>
      </c>
      <c r="AW137" s="452">
        <v>40476</v>
      </c>
      <c r="AX137" s="452">
        <v>40527</v>
      </c>
      <c r="AY137" s="452">
        <v>40555</v>
      </c>
      <c r="AZ137" s="453"/>
      <c r="BA137" s="393"/>
      <c r="BB137" s="393" t="s">
        <v>3147</v>
      </c>
      <c r="BC137" s="393" t="b">
        <v>0</v>
      </c>
      <c r="BD137" s="393" t="s">
        <v>3147</v>
      </c>
      <c r="BE137" s="392"/>
      <c r="BF137" s="394">
        <v>5</v>
      </c>
      <c r="BG137" s="394">
        <v>8</v>
      </c>
      <c r="BH137" s="394">
        <v>9</v>
      </c>
      <c r="BI137" s="394">
        <v>4</v>
      </c>
      <c r="BJ137" s="394"/>
      <c r="BK137" s="394"/>
      <c r="BL137" s="444"/>
      <c r="BM137" s="392"/>
      <c r="BN137" s="393"/>
      <c r="BO137" s="393"/>
      <c r="BP137" s="399"/>
      <c r="BQ137" s="400"/>
      <c r="BR137" s="401"/>
      <c r="BS137" s="399">
        <v>0</v>
      </c>
      <c r="BT137" s="394"/>
      <c r="BU137" s="417"/>
      <c r="BV137" s="399"/>
      <c r="BW137" s="393"/>
      <c r="BX137" s="392"/>
      <c r="BY137" s="393"/>
      <c r="BZ137" s="393"/>
      <c r="CA137" s="441"/>
      <c r="CB137" s="400"/>
      <c r="CC137" s="398"/>
      <c r="CD137" s="398"/>
      <c r="CE137" s="398"/>
      <c r="CF137" s="398"/>
      <c r="CG137" s="398"/>
      <c r="CH137" s="398"/>
      <c r="CI137" s="398"/>
      <c r="CJ137" s="398"/>
      <c r="CK137" s="398"/>
      <c r="CL137" s="398"/>
      <c r="CM137" s="398"/>
      <c r="CN137" s="398"/>
      <c r="CO137" s="398"/>
      <c r="CP137" s="398"/>
      <c r="CQ137" s="398"/>
      <c r="CR137" s="398"/>
      <c r="CS137" s="398"/>
      <c r="CT137" s="398"/>
      <c r="CU137" s="398"/>
      <c r="CV137" s="398"/>
      <c r="CW137" s="398"/>
      <c r="CX137" s="398"/>
      <c r="CY137" s="398"/>
      <c r="CZ137" s="398"/>
      <c r="DA137" s="398"/>
      <c r="DB137" s="398"/>
      <c r="DC137" s="398"/>
      <c r="DD137" s="398"/>
      <c r="DE137" s="393"/>
      <c r="DF137" s="393"/>
      <c r="DG137" s="393"/>
      <c r="DH137" s="393"/>
      <c r="DI137" s="393"/>
      <c r="DJ137" s="393"/>
      <c r="DK137" s="896" t="s">
        <v>9704</v>
      </c>
    </row>
    <row r="138" spans="1:115" ht="38.25" x14ac:dyDescent="0.2">
      <c r="A138" s="295">
        <v>134</v>
      </c>
      <c r="B138" s="390" t="s">
        <v>2582</v>
      </c>
      <c r="C138" s="390"/>
      <c r="D138" s="391" t="s">
        <v>84</v>
      </c>
      <c r="E138" s="704" t="s">
        <v>1923</v>
      </c>
      <c r="F138" s="393" t="s">
        <v>1352</v>
      </c>
      <c r="G138" s="393" t="s">
        <v>1673</v>
      </c>
      <c r="H138" s="393" t="s">
        <v>42</v>
      </c>
      <c r="I138" s="392"/>
      <c r="J138" s="392"/>
      <c r="K138" s="392" t="s">
        <v>85</v>
      </c>
      <c r="L138" s="392" t="s">
        <v>43</v>
      </c>
      <c r="M138" s="392"/>
      <c r="N138" s="393" t="s">
        <v>44</v>
      </c>
      <c r="O138" s="393" t="s">
        <v>45</v>
      </c>
      <c r="P138" s="393" t="s">
        <v>45</v>
      </c>
      <c r="Q138" s="392" t="s">
        <v>86</v>
      </c>
      <c r="R138" s="392" t="s">
        <v>3899</v>
      </c>
      <c r="S138" s="392" t="s">
        <v>46</v>
      </c>
      <c r="T138" s="394">
        <v>1</v>
      </c>
      <c r="U138" s="395">
        <v>5.2030000000000003</v>
      </c>
      <c r="V138" s="395"/>
      <c r="W138" s="453"/>
      <c r="X138" s="394"/>
      <c r="Y138" s="394">
        <v>10</v>
      </c>
      <c r="Z138" s="394">
        <v>25</v>
      </c>
      <c r="AA138" s="395">
        <v>0</v>
      </c>
      <c r="AB138" s="452">
        <v>40555</v>
      </c>
      <c r="AC138" s="398">
        <v>10.249000000000001</v>
      </c>
      <c r="AD138" s="398">
        <v>52.03</v>
      </c>
      <c r="AE138" s="393" t="s">
        <v>47</v>
      </c>
      <c r="AF138" s="417">
        <f>0.912</f>
        <v>0.91200000000000003</v>
      </c>
      <c r="AG138" s="417"/>
      <c r="AH138" s="417">
        <v>0.91200000000000003</v>
      </c>
      <c r="AI138" s="394">
        <v>1</v>
      </c>
      <c r="AJ138" s="452">
        <v>41386</v>
      </c>
      <c r="AK138" s="452">
        <v>41152</v>
      </c>
      <c r="AL138" s="393"/>
      <c r="AM138" s="393"/>
      <c r="AN138" s="417"/>
      <c r="AO138" s="392" t="s">
        <v>1606</v>
      </c>
      <c r="AP138" s="428" t="s">
        <v>8083</v>
      </c>
      <c r="AQ138" s="392"/>
      <c r="AR138" s="392" t="s">
        <v>48</v>
      </c>
      <c r="AS138" s="479">
        <v>40038</v>
      </c>
      <c r="AT138" s="453"/>
      <c r="AU138" s="453"/>
      <c r="AV138" s="453"/>
      <c r="AW138" s="453"/>
      <c r="AX138" s="453"/>
      <c r="AY138" s="453"/>
      <c r="AZ138" s="452">
        <v>40555</v>
      </c>
      <c r="BA138" s="393"/>
      <c r="BB138" s="393"/>
      <c r="BC138" s="393" t="b">
        <v>0</v>
      </c>
      <c r="BD138" s="393"/>
      <c r="BE138" s="392"/>
      <c r="BF138" s="394">
        <v>5</v>
      </c>
      <c r="BG138" s="394">
        <v>8</v>
      </c>
      <c r="BH138" s="394">
        <v>9</v>
      </c>
      <c r="BI138" s="394">
        <v>4</v>
      </c>
      <c r="BJ138" s="394"/>
      <c r="BK138" s="394"/>
      <c r="BL138" s="444" t="s">
        <v>6981</v>
      </c>
      <c r="BM138" s="392" t="s">
        <v>3900</v>
      </c>
      <c r="BN138" s="393" t="s">
        <v>42</v>
      </c>
      <c r="BO138" s="393"/>
      <c r="BP138" s="399"/>
      <c r="BQ138" s="400"/>
      <c r="BR138" s="401"/>
      <c r="BS138" s="399"/>
      <c r="BT138" s="394"/>
      <c r="BU138" s="417">
        <v>0.8</v>
      </c>
      <c r="BV138" s="399"/>
      <c r="BW138" s="393" t="s">
        <v>3117</v>
      </c>
      <c r="BX138" s="392" t="s">
        <v>1447</v>
      </c>
      <c r="BY138" s="393"/>
      <c r="BZ138" s="393"/>
      <c r="CA138" s="441" t="s">
        <v>1663</v>
      </c>
      <c r="CB138" s="400">
        <v>2</v>
      </c>
      <c r="CC138" s="398"/>
      <c r="CD138" s="398"/>
      <c r="CE138" s="398"/>
      <c r="CF138" s="398"/>
      <c r="CG138" s="398">
        <v>5.2030000000000003</v>
      </c>
      <c r="CH138" s="398">
        <v>5.2030000000000003</v>
      </c>
      <c r="CI138" s="398">
        <v>5.2030000000000003</v>
      </c>
      <c r="CJ138" s="398">
        <v>5.2030000000000003</v>
      </c>
      <c r="CK138" s="398">
        <v>5.2030000000000003</v>
      </c>
      <c r="CL138" s="398">
        <v>5.2030000000000003</v>
      </c>
      <c r="CM138" s="398">
        <v>5.2030000000000003</v>
      </c>
      <c r="CN138" s="398">
        <v>5.2030000000000003</v>
      </c>
      <c r="CO138" s="398">
        <v>5.2030000000000003</v>
      </c>
      <c r="CP138" s="398">
        <v>5.2030000000000003</v>
      </c>
      <c r="CQ138" s="398"/>
      <c r="CR138" s="398"/>
      <c r="CS138" s="398"/>
      <c r="CT138" s="398"/>
      <c r="CU138" s="398"/>
      <c r="CV138" s="398"/>
      <c r="CW138" s="398"/>
      <c r="CX138" s="398"/>
      <c r="CY138" s="398"/>
      <c r="CZ138" s="398"/>
      <c r="DA138" s="398"/>
      <c r="DB138" s="398"/>
      <c r="DC138" s="398"/>
      <c r="DD138" s="398"/>
      <c r="DE138" s="393"/>
      <c r="DF138" s="393"/>
      <c r="DG138" s="393"/>
      <c r="DH138" s="393"/>
      <c r="DI138" s="393"/>
      <c r="DJ138" s="393"/>
      <c r="DK138" s="897"/>
    </row>
    <row r="139" spans="1:115" ht="38.25" x14ac:dyDescent="0.2">
      <c r="A139" s="295">
        <v>135</v>
      </c>
      <c r="B139" s="390" t="s">
        <v>2583</v>
      </c>
      <c r="C139" s="390"/>
      <c r="D139" s="391" t="s">
        <v>2284</v>
      </c>
      <c r="E139" s="704" t="s">
        <v>2285</v>
      </c>
      <c r="F139" s="393" t="s">
        <v>1352</v>
      </c>
      <c r="G139" s="393" t="s">
        <v>1673</v>
      </c>
      <c r="H139" s="393" t="s">
        <v>42</v>
      </c>
      <c r="I139" s="392"/>
      <c r="J139" s="392"/>
      <c r="K139" s="392" t="s">
        <v>85</v>
      </c>
      <c r="L139" s="392" t="s">
        <v>43</v>
      </c>
      <c r="M139" s="392"/>
      <c r="N139" s="393" t="s">
        <v>44</v>
      </c>
      <c r="O139" s="393" t="s">
        <v>45</v>
      </c>
      <c r="P139" s="393" t="s">
        <v>45</v>
      </c>
      <c r="Q139" s="392" t="s">
        <v>1212</v>
      </c>
      <c r="R139" s="392" t="s">
        <v>3901</v>
      </c>
      <c r="S139" s="392" t="s">
        <v>46</v>
      </c>
      <c r="T139" s="394">
        <v>1</v>
      </c>
      <c r="U139" s="395">
        <v>12.536</v>
      </c>
      <c r="V139" s="395"/>
      <c r="W139" s="453"/>
      <c r="X139" s="394"/>
      <c r="Y139" s="394">
        <v>10</v>
      </c>
      <c r="Z139" s="394">
        <v>25</v>
      </c>
      <c r="AA139" s="395">
        <v>0</v>
      </c>
      <c r="AB139" s="452">
        <v>40999</v>
      </c>
      <c r="AC139" s="398">
        <v>10.475</v>
      </c>
      <c r="AD139" s="398">
        <v>125.36</v>
      </c>
      <c r="AE139" s="393" t="s">
        <v>47</v>
      </c>
      <c r="AF139" s="417">
        <f>2.624</f>
        <v>2.6240000000000001</v>
      </c>
      <c r="AG139" s="417"/>
      <c r="AH139" s="417">
        <v>2.6240000000000001</v>
      </c>
      <c r="AI139" s="394">
        <v>1</v>
      </c>
      <c r="AJ139" s="452">
        <v>41386</v>
      </c>
      <c r="AK139" s="452">
        <v>41152</v>
      </c>
      <c r="AL139" s="393"/>
      <c r="AM139" s="393"/>
      <c r="AN139" s="417"/>
      <c r="AO139" s="392" t="s">
        <v>1606</v>
      </c>
      <c r="AP139" s="392"/>
      <c r="AQ139" s="392"/>
      <c r="AR139" s="392" t="s">
        <v>48</v>
      </c>
      <c r="AS139" s="480"/>
      <c r="AT139" s="453"/>
      <c r="AU139" s="453"/>
      <c r="AV139" s="453"/>
      <c r="AW139" s="453"/>
      <c r="AX139" s="453"/>
      <c r="AY139" s="453"/>
      <c r="AZ139" s="452">
        <v>40991</v>
      </c>
      <c r="BA139" s="393"/>
      <c r="BB139" s="393"/>
      <c r="BC139" s="393" t="b">
        <v>0</v>
      </c>
      <c r="BD139" s="393"/>
      <c r="BE139" s="392"/>
      <c r="BF139" s="394">
        <v>5</v>
      </c>
      <c r="BG139" s="394">
        <v>8</v>
      </c>
      <c r="BH139" s="394">
        <v>9</v>
      </c>
      <c r="BI139" s="394">
        <v>4</v>
      </c>
      <c r="BJ139" s="394"/>
      <c r="BK139" s="394"/>
      <c r="BL139" s="444" t="s">
        <v>6981</v>
      </c>
      <c r="BM139" s="392" t="s">
        <v>3900</v>
      </c>
      <c r="BN139" s="393" t="s">
        <v>42</v>
      </c>
      <c r="BO139" s="393"/>
      <c r="BP139" s="399"/>
      <c r="BQ139" s="400"/>
      <c r="BR139" s="401"/>
      <c r="BS139" s="399"/>
      <c r="BT139" s="394"/>
      <c r="BU139" s="417">
        <v>0.8</v>
      </c>
      <c r="BV139" s="399"/>
      <c r="BW139" s="393" t="s">
        <v>3117</v>
      </c>
      <c r="BX139" s="392" t="s">
        <v>1447</v>
      </c>
      <c r="BY139" s="393"/>
      <c r="BZ139" s="393"/>
      <c r="CA139" s="441" t="s">
        <v>1663</v>
      </c>
      <c r="CB139" s="400">
        <v>2</v>
      </c>
      <c r="CC139" s="398"/>
      <c r="CD139" s="398"/>
      <c r="CE139" s="398"/>
      <c r="CF139" s="398"/>
      <c r="CG139" s="398"/>
      <c r="CH139" s="398">
        <v>12.536</v>
      </c>
      <c r="CI139" s="398">
        <v>12.536</v>
      </c>
      <c r="CJ139" s="398">
        <v>12.536</v>
      </c>
      <c r="CK139" s="398">
        <v>12.536</v>
      </c>
      <c r="CL139" s="398">
        <v>12.536</v>
      </c>
      <c r="CM139" s="398">
        <v>12.536</v>
      </c>
      <c r="CN139" s="398">
        <v>12.536</v>
      </c>
      <c r="CO139" s="398">
        <v>12.536</v>
      </c>
      <c r="CP139" s="398">
        <v>12.536</v>
      </c>
      <c r="CQ139" s="398">
        <v>12.536</v>
      </c>
      <c r="CR139" s="398"/>
      <c r="CS139" s="398"/>
      <c r="CT139" s="398"/>
      <c r="CU139" s="398"/>
      <c r="CV139" s="398"/>
      <c r="CW139" s="398"/>
      <c r="CX139" s="398"/>
      <c r="CY139" s="398"/>
      <c r="CZ139" s="398"/>
      <c r="DA139" s="398"/>
      <c r="DB139" s="398"/>
      <c r="DC139" s="398"/>
      <c r="DD139" s="398"/>
      <c r="DE139" s="393"/>
      <c r="DF139" s="393"/>
      <c r="DG139" s="393"/>
      <c r="DH139" s="393"/>
      <c r="DI139" s="393"/>
      <c r="DJ139" s="393"/>
      <c r="DK139" s="897"/>
    </row>
    <row r="140" spans="1:115" ht="38.25" x14ac:dyDescent="0.2">
      <c r="A140" s="295">
        <v>136</v>
      </c>
      <c r="B140" s="390" t="s">
        <v>2584</v>
      </c>
      <c r="C140" s="390"/>
      <c r="D140" s="391" t="s">
        <v>2286</v>
      </c>
      <c r="E140" s="704" t="s">
        <v>2287</v>
      </c>
      <c r="F140" s="393" t="s">
        <v>1352</v>
      </c>
      <c r="G140" s="393" t="s">
        <v>1673</v>
      </c>
      <c r="H140" s="393" t="s">
        <v>42</v>
      </c>
      <c r="I140" s="392"/>
      <c r="J140" s="392"/>
      <c r="K140" s="392" t="s">
        <v>460</v>
      </c>
      <c r="L140" s="392" t="s">
        <v>43</v>
      </c>
      <c r="M140" s="392"/>
      <c r="N140" s="393" t="s">
        <v>44</v>
      </c>
      <c r="O140" s="393" t="s">
        <v>45</v>
      </c>
      <c r="P140" s="393" t="s">
        <v>45</v>
      </c>
      <c r="Q140" s="392" t="s">
        <v>1212</v>
      </c>
      <c r="R140" s="392" t="s">
        <v>3901</v>
      </c>
      <c r="S140" s="392" t="s">
        <v>46</v>
      </c>
      <c r="T140" s="394">
        <v>1</v>
      </c>
      <c r="U140" s="395">
        <v>11.022</v>
      </c>
      <c r="V140" s="395"/>
      <c r="W140" s="453"/>
      <c r="X140" s="394"/>
      <c r="Y140" s="394">
        <v>10</v>
      </c>
      <c r="Z140" s="394">
        <v>25</v>
      </c>
      <c r="AA140" s="395">
        <v>0</v>
      </c>
      <c r="AB140" s="452">
        <v>40999</v>
      </c>
      <c r="AC140" s="398">
        <v>9.2100000000000009</v>
      </c>
      <c r="AD140" s="398">
        <v>110.22</v>
      </c>
      <c r="AE140" s="393" t="s">
        <v>47</v>
      </c>
      <c r="AF140" s="417"/>
      <c r="AG140" s="417"/>
      <c r="AH140" s="417"/>
      <c r="AI140" s="394"/>
      <c r="AJ140" s="452"/>
      <c r="AK140" s="452"/>
      <c r="AL140" s="393"/>
      <c r="AM140" s="393"/>
      <c r="AN140" s="417"/>
      <c r="AO140" s="392" t="s">
        <v>1606</v>
      </c>
      <c r="AP140" s="392"/>
      <c r="AQ140" s="392"/>
      <c r="AR140" s="392" t="s">
        <v>48</v>
      </c>
      <c r="AS140" s="480"/>
      <c r="AT140" s="453"/>
      <c r="AU140" s="453"/>
      <c r="AV140" s="453"/>
      <c r="AW140" s="453"/>
      <c r="AX140" s="453"/>
      <c r="AY140" s="453"/>
      <c r="AZ140" s="452">
        <v>40991</v>
      </c>
      <c r="BA140" s="393"/>
      <c r="BB140" s="393"/>
      <c r="BC140" s="393" t="b">
        <v>0</v>
      </c>
      <c r="BD140" s="393"/>
      <c r="BE140" s="392"/>
      <c r="BF140" s="394">
        <v>5</v>
      </c>
      <c r="BG140" s="394">
        <v>8</v>
      </c>
      <c r="BH140" s="394">
        <v>9</v>
      </c>
      <c r="BI140" s="394">
        <v>4</v>
      </c>
      <c r="BJ140" s="394"/>
      <c r="BK140" s="394"/>
      <c r="BL140" s="444" t="s">
        <v>6981</v>
      </c>
      <c r="BM140" s="392" t="s">
        <v>3900</v>
      </c>
      <c r="BN140" s="393" t="s">
        <v>42</v>
      </c>
      <c r="BO140" s="393"/>
      <c r="BP140" s="399"/>
      <c r="BQ140" s="400"/>
      <c r="BR140" s="401"/>
      <c r="BS140" s="399"/>
      <c r="BT140" s="394"/>
      <c r="BU140" s="417">
        <v>0.86</v>
      </c>
      <c r="BV140" s="399"/>
      <c r="BW140" s="393" t="s">
        <v>3117</v>
      </c>
      <c r="BX140" s="392" t="s">
        <v>1447</v>
      </c>
      <c r="BY140" s="393"/>
      <c r="BZ140" s="393"/>
      <c r="CA140" s="441" t="s">
        <v>1663</v>
      </c>
      <c r="CB140" s="400">
        <v>2</v>
      </c>
      <c r="CC140" s="398"/>
      <c r="CD140" s="398"/>
      <c r="CE140" s="398"/>
      <c r="CF140" s="398"/>
      <c r="CG140" s="398"/>
      <c r="CH140" s="398">
        <v>11.022</v>
      </c>
      <c r="CI140" s="398">
        <v>11.022</v>
      </c>
      <c r="CJ140" s="398">
        <v>11.022</v>
      </c>
      <c r="CK140" s="398">
        <v>11.022</v>
      </c>
      <c r="CL140" s="398">
        <v>11.022</v>
      </c>
      <c r="CM140" s="398">
        <v>11.022</v>
      </c>
      <c r="CN140" s="398">
        <v>11.022</v>
      </c>
      <c r="CO140" s="398">
        <v>11.022</v>
      </c>
      <c r="CP140" s="398">
        <v>11.022</v>
      </c>
      <c r="CQ140" s="398">
        <v>11.022</v>
      </c>
      <c r="CR140" s="398"/>
      <c r="CS140" s="398"/>
      <c r="CT140" s="398"/>
      <c r="CU140" s="398"/>
      <c r="CV140" s="398"/>
      <c r="CW140" s="398"/>
      <c r="CX140" s="398"/>
      <c r="CY140" s="398"/>
      <c r="CZ140" s="398"/>
      <c r="DA140" s="398"/>
      <c r="DB140" s="398"/>
      <c r="DC140" s="398"/>
      <c r="DD140" s="398"/>
      <c r="DE140" s="393"/>
      <c r="DF140" s="393"/>
      <c r="DG140" s="393"/>
      <c r="DH140" s="393"/>
      <c r="DI140" s="393"/>
      <c r="DJ140" s="393"/>
      <c r="DK140" s="897"/>
    </row>
    <row r="141" spans="1:115" ht="38.25" x14ac:dyDescent="0.2">
      <c r="A141" s="295">
        <v>137</v>
      </c>
      <c r="B141" s="390" t="s">
        <v>2585</v>
      </c>
      <c r="C141" s="390"/>
      <c r="D141" s="391" t="s">
        <v>2288</v>
      </c>
      <c r="E141" s="704" t="s">
        <v>2289</v>
      </c>
      <c r="F141" s="393" t="s">
        <v>1352</v>
      </c>
      <c r="G141" s="393" t="s">
        <v>1673</v>
      </c>
      <c r="H141" s="393" t="s">
        <v>42</v>
      </c>
      <c r="I141" s="392"/>
      <c r="J141" s="392"/>
      <c r="K141" s="392" t="s">
        <v>85</v>
      </c>
      <c r="L141" s="392" t="s">
        <v>43</v>
      </c>
      <c r="M141" s="392"/>
      <c r="N141" s="393" t="s">
        <v>44</v>
      </c>
      <c r="O141" s="393" t="s">
        <v>45</v>
      </c>
      <c r="P141" s="393" t="s">
        <v>45</v>
      </c>
      <c r="Q141" s="392" t="s">
        <v>1212</v>
      </c>
      <c r="R141" s="392" t="s">
        <v>3901</v>
      </c>
      <c r="S141" s="392" t="s">
        <v>46</v>
      </c>
      <c r="T141" s="394">
        <v>1</v>
      </c>
      <c r="U141" s="395">
        <v>13.962</v>
      </c>
      <c r="V141" s="395"/>
      <c r="W141" s="453"/>
      <c r="X141" s="394"/>
      <c r="Y141" s="394">
        <v>10</v>
      </c>
      <c r="Z141" s="394">
        <v>25</v>
      </c>
      <c r="AA141" s="395">
        <v>0</v>
      </c>
      <c r="AB141" s="452">
        <v>41030</v>
      </c>
      <c r="AC141" s="398">
        <v>9.3339999999999996</v>
      </c>
      <c r="AD141" s="398">
        <v>139.62</v>
      </c>
      <c r="AE141" s="393" t="s">
        <v>47</v>
      </c>
      <c r="AF141" s="417">
        <f>0.467</f>
        <v>0.46700000000000003</v>
      </c>
      <c r="AG141" s="417"/>
      <c r="AH141" s="417">
        <v>0.46700000000000003</v>
      </c>
      <c r="AI141" s="394">
        <v>1</v>
      </c>
      <c r="AJ141" s="452">
        <v>41386</v>
      </c>
      <c r="AK141" s="452">
        <v>41152</v>
      </c>
      <c r="AL141" s="393"/>
      <c r="AM141" s="393"/>
      <c r="AN141" s="417"/>
      <c r="AO141" s="392" t="s">
        <v>1606</v>
      </c>
      <c r="AP141" s="392"/>
      <c r="AQ141" s="392"/>
      <c r="AR141" s="392" t="s">
        <v>48</v>
      </c>
      <c r="AS141" s="480"/>
      <c r="AT141" s="453"/>
      <c r="AU141" s="453"/>
      <c r="AV141" s="453"/>
      <c r="AW141" s="453"/>
      <c r="AX141" s="453"/>
      <c r="AY141" s="453"/>
      <c r="AZ141" s="452">
        <v>40991</v>
      </c>
      <c r="BA141" s="393"/>
      <c r="BB141" s="393"/>
      <c r="BC141" s="393" t="b">
        <v>0</v>
      </c>
      <c r="BD141" s="393"/>
      <c r="BE141" s="392"/>
      <c r="BF141" s="394">
        <v>5</v>
      </c>
      <c r="BG141" s="394">
        <v>8</v>
      </c>
      <c r="BH141" s="394">
        <v>9</v>
      </c>
      <c r="BI141" s="394">
        <v>4</v>
      </c>
      <c r="BJ141" s="394"/>
      <c r="BK141" s="394"/>
      <c r="BL141" s="444" t="s">
        <v>6981</v>
      </c>
      <c r="BM141" s="392" t="s">
        <v>3900</v>
      </c>
      <c r="BN141" s="393" t="s">
        <v>42</v>
      </c>
      <c r="BO141" s="393"/>
      <c r="BP141" s="399"/>
      <c r="BQ141" s="400"/>
      <c r="BR141" s="401"/>
      <c r="BS141" s="399"/>
      <c r="BT141" s="394"/>
      <c r="BU141" s="417">
        <v>0.8</v>
      </c>
      <c r="BV141" s="399"/>
      <c r="BW141" s="393" t="s">
        <v>3117</v>
      </c>
      <c r="BX141" s="392" t="s">
        <v>1447</v>
      </c>
      <c r="BY141" s="393"/>
      <c r="BZ141" s="393"/>
      <c r="CA141" s="441" t="s">
        <v>1663</v>
      </c>
      <c r="CB141" s="400">
        <v>2</v>
      </c>
      <c r="CC141" s="398"/>
      <c r="CD141" s="398"/>
      <c r="CE141" s="398"/>
      <c r="CF141" s="398"/>
      <c r="CG141" s="398"/>
      <c r="CH141" s="398">
        <v>13.962</v>
      </c>
      <c r="CI141" s="398">
        <v>13.962</v>
      </c>
      <c r="CJ141" s="398">
        <v>13.962</v>
      </c>
      <c r="CK141" s="398">
        <v>13.962</v>
      </c>
      <c r="CL141" s="398">
        <v>13.962</v>
      </c>
      <c r="CM141" s="398">
        <v>13.962</v>
      </c>
      <c r="CN141" s="398">
        <v>13.962</v>
      </c>
      <c r="CO141" s="398">
        <v>13.962</v>
      </c>
      <c r="CP141" s="398">
        <v>13.962</v>
      </c>
      <c r="CQ141" s="398">
        <v>13.962</v>
      </c>
      <c r="CR141" s="398"/>
      <c r="CS141" s="398"/>
      <c r="CT141" s="398"/>
      <c r="CU141" s="398"/>
      <c r="CV141" s="398"/>
      <c r="CW141" s="398"/>
      <c r="CX141" s="398"/>
      <c r="CY141" s="398"/>
      <c r="CZ141" s="398"/>
      <c r="DA141" s="398"/>
      <c r="DB141" s="398"/>
      <c r="DC141" s="398"/>
      <c r="DD141" s="398"/>
      <c r="DE141" s="393"/>
      <c r="DF141" s="393"/>
      <c r="DG141" s="393"/>
      <c r="DH141" s="393"/>
      <c r="DI141" s="393"/>
      <c r="DJ141" s="393"/>
      <c r="DK141" s="897"/>
    </row>
    <row r="142" spans="1:115" ht="38.25" x14ac:dyDescent="0.2">
      <c r="A142" s="295">
        <v>138</v>
      </c>
      <c r="B142" s="390" t="s">
        <v>2586</v>
      </c>
      <c r="C142" s="390"/>
      <c r="D142" s="391" t="s">
        <v>2290</v>
      </c>
      <c r="E142" s="704" t="s">
        <v>2291</v>
      </c>
      <c r="F142" s="393" t="s">
        <v>1352</v>
      </c>
      <c r="G142" s="393" t="s">
        <v>1673</v>
      </c>
      <c r="H142" s="393" t="s">
        <v>42</v>
      </c>
      <c r="I142" s="392"/>
      <c r="J142" s="392"/>
      <c r="K142" s="392" t="s">
        <v>2172</v>
      </c>
      <c r="L142" s="392" t="s">
        <v>43</v>
      </c>
      <c r="M142" s="392"/>
      <c r="N142" s="393" t="s">
        <v>44</v>
      </c>
      <c r="O142" s="393" t="s">
        <v>45</v>
      </c>
      <c r="P142" s="393" t="s">
        <v>45</v>
      </c>
      <c r="Q142" s="392" t="s">
        <v>86</v>
      </c>
      <c r="R142" s="392" t="s">
        <v>3899</v>
      </c>
      <c r="S142" s="392" t="s">
        <v>46</v>
      </c>
      <c r="T142" s="394">
        <v>1</v>
      </c>
      <c r="U142" s="395">
        <v>3.5569999999999999</v>
      </c>
      <c r="V142" s="395"/>
      <c r="W142" s="453"/>
      <c r="X142" s="394"/>
      <c r="Y142" s="394">
        <v>10</v>
      </c>
      <c r="Z142" s="394">
        <v>25</v>
      </c>
      <c r="AA142" s="395">
        <v>0</v>
      </c>
      <c r="AB142" s="452">
        <v>41030</v>
      </c>
      <c r="AC142" s="398">
        <v>2.3780000000000001</v>
      </c>
      <c r="AD142" s="398">
        <v>35.57</v>
      </c>
      <c r="AE142" s="393" t="s">
        <v>47</v>
      </c>
      <c r="AF142" s="417">
        <f>1.202</f>
        <v>1.202</v>
      </c>
      <c r="AG142" s="417"/>
      <c r="AH142" s="417">
        <v>1.202</v>
      </c>
      <c r="AI142" s="394">
        <v>1</v>
      </c>
      <c r="AJ142" s="452">
        <v>41386</v>
      </c>
      <c r="AK142" s="452">
        <v>41152</v>
      </c>
      <c r="AL142" s="393"/>
      <c r="AM142" s="393"/>
      <c r="AN142" s="417"/>
      <c r="AO142" s="392" t="s">
        <v>1606</v>
      </c>
      <c r="AP142" s="392"/>
      <c r="AQ142" s="392"/>
      <c r="AR142" s="392" t="s">
        <v>48</v>
      </c>
      <c r="AS142" s="480"/>
      <c r="AT142" s="453"/>
      <c r="AU142" s="453"/>
      <c r="AV142" s="453"/>
      <c r="AW142" s="453"/>
      <c r="AX142" s="453"/>
      <c r="AY142" s="453"/>
      <c r="AZ142" s="452">
        <v>40991</v>
      </c>
      <c r="BA142" s="393"/>
      <c r="BB142" s="393"/>
      <c r="BC142" s="393" t="b">
        <v>0</v>
      </c>
      <c r="BD142" s="393"/>
      <c r="BE142" s="392"/>
      <c r="BF142" s="394">
        <v>5</v>
      </c>
      <c r="BG142" s="394">
        <v>8</v>
      </c>
      <c r="BH142" s="394">
        <v>9</v>
      </c>
      <c r="BI142" s="394">
        <v>4</v>
      </c>
      <c r="BJ142" s="394"/>
      <c r="BK142" s="394"/>
      <c r="BL142" s="444" t="s">
        <v>6981</v>
      </c>
      <c r="BM142" s="392" t="s">
        <v>3900</v>
      </c>
      <c r="BN142" s="393" t="s">
        <v>42</v>
      </c>
      <c r="BO142" s="393"/>
      <c r="BP142" s="399"/>
      <c r="BQ142" s="400"/>
      <c r="BR142" s="401"/>
      <c r="BS142" s="399"/>
      <c r="BT142" s="394"/>
      <c r="BU142" s="417">
        <v>0.8</v>
      </c>
      <c r="BV142" s="399"/>
      <c r="BW142" s="393" t="s">
        <v>3117</v>
      </c>
      <c r="BX142" s="392" t="s">
        <v>1447</v>
      </c>
      <c r="BY142" s="393"/>
      <c r="BZ142" s="393"/>
      <c r="CA142" s="441" t="s">
        <v>1663</v>
      </c>
      <c r="CB142" s="400">
        <v>2</v>
      </c>
      <c r="CC142" s="398"/>
      <c r="CD142" s="398"/>
      <c r="CE142" s="398"/>
      <c r="CF142" s="398"/>
      <c r="CG142" s="398"/>
      <c r="CH142" s="398">
        <v>3.5569999999999999</v>
      </c>
      <c r="CI142" s="398">
        <v>3.5569999999999999</v>
      </c>
      <c r="CJ142" s="398">
        <v>3.5569999999999999</v>
      </c>
      <c r="CK142" s="398">
        <v>3.5569999999999999</v>
      </c>
      <c r="CL142" s="398">
        <v>3.5569999999999999</v>
      </c>
      <c r="CM142" s="398">
        <v>3.5569999999999999</v>
      </c>
      <c r="CN142" s="398">
        <v>3.5569999999999999</v>
      </c>
      <c r="CO142" s="398">
        <v>3.5569999999999999</v>
      </c>
      <c r="CP142" s="398">
        <v>3.5569999999999999</v>
      </c>
      <c r="CQ142" s="398">
        <v>3.5569999999999999</v>
      </c>
      <c r="CR142" s="398"/>
      <c r="CS142" s="398"/>
      <c r="CT142" s="398"/>
      <c r="CU142" s="398"/>
      <c r="CV142" s="398"/>
      <c r="CW142" s="398"/>
      <c r="CX142" s="398"/>
      <c r="CY142" s="398"/>
      <c r="CZ142" s="398"/>
      <c r="DA142" s="398"/>
      <c r="DB142" s="398"/>
      <c r="DC142" s="398"/>
      <c r="DD142" s="398"/>
      <c r="DE142" s="393"/>
      <c r="DF142" s="393"/>
      <c r="DG142" s="393"/>
      <c r="DH142" s="393"/>
      <c r="DI142" s="393"/>
      <c r="DJ142" s="393"/>
      <c r="DK142" s="897"/>
    </row>
    <row r="143" spans="1:115" ht="38.25" x14ac:dyDescent="0.2">
      <c r="A143" s="295">
        <v>139</v>
      </c>
      <c r="B143" s="390" t="s">
        <v>2587</v>
      </c>
      <c r="C143" s="390"/>
      <c r="D143" s="391" t="s">
        <v>2292</v>
      </c>
      <c r="E143" s="704" t="s">
        <v>2293</v>
      </c>
      <c r="F143" s="393" t="s">
        <v>1352</v>
      </c>
      <c r="G143" s="393" t="s">
        <v>1673</v>
      </c>
      <c r="H143" s="393" t="s">
        <v>42</v>
      </c>
      <c r="I143" s="392"/>
      <c r="J143" s="392"/>
      <c r="K143" s="392" t="s">
        <v>460</v>
      </c>
      <c r="L143" s="392" t="s">
        <v>43</v>
      </c>
      <c r="M143" s="392"/>
      <c r="N143" s="393" t="s">
        <v>44</v>
      </c>
      <c r="O143" s="393" t="s">
        <v>45</v>
      </c>
      <c r="P143" s="393" t="s">
        <v>45</v>
      </c>
      <c r="Q143" s="392" t="s">
        <v>1212</v>
      </c>
      <c r="R143" s="392" t="s">
        <v>3901</v>
      </c>
      <c r="S143" s="392" t="s">
        <v>46</v>
      </c>
      <c r="T143" s="394">
        <v>1</v>
      </c>
      <c r="U143" s="395">
        <v>3.9169999999999998</v>
      </c>
      <c r="V143" s="395"/>
      <c r="W143" s="453"/>
      <c r="X143" s="394"/>
      <c r="Y143" s="394">
        <v>10</v>
      </c>
      <c r="Z143" s="394">
        <v>25</v>
      </c>
      <c r="AA143" s="395">
        <v>0</v>
      </c>
      <c r="AB143" s="452">
        <v>41030</v>
      </c>
      <c r="AC143" s="398">
        <v>2.6179999999999999</v>
      </c>
      <c r="AD143" s="398">
        <v>39.17</v>
      </c>
      <c r="AE143" s="393" t="s">
        <v>47</v>
      </c>
      <c r="AF143" s="417">
        <f>0.398</f>
        <v>0.39800000000000002</v>
      </c>
      <c r="AG143" s="417"/>
      <c r="AH143" s="417">
        <v>0.39800000000000002</v>
      </c>
      <c r="AI143" s="394">
        <v>1</v>
      </c>
      <c r="AJ143" s="452">
        <v>41386</v>
      </c>
      <c r="AK143" s="452">
        <v>41152</v>
      </c>
      <c r="AL143" s="393"/>
      <c r="AM143" s="393"/>
      <c r="AN143" s="417"/>
      <c r="AO143" s="392" t="s">
        <v>1606</v>
      </c>
      <c r="AP143" s="392"/>
      <c r="AQ143" s="392"/>
      <c r="AR143" s="392" t="s">
        <v>48</v>
      </c>
      <c r="AS143" s="480"/>
      <c r="AT143" s="397"/>
      <c r="AU143" s="397"/>
      <c r="AV143" s="453"/>
      <c r="AW143" s="453"/>
      <c r="AX143" s="453"/>
      <c r="AY143" s="453"/>
      <c r="AZ143" s="452">
        <v>40991</v>
      </c>
      <c r="BA143" s="393"/>
      <c r="BB143" s="393"/>
      <c r="BC143" s="393" t="b">
        <v>0</v>
      </c>
      <c r="BD143" s="393"/>
      <c r="BE143" s="392"/>
      <c r="BF143" s="394">
        <v>5</v>
      </c>
      <c r="BG143" s="394">
        <v>8</v>
      </c>
      <c r="BH143" s="394">
        <v>9</v>
      </c>
      <c r="BI143" s="394">
        <v>4</v>
      </c>
      <c r="BJ143" s="394"/>
      <c r="BK143" s="394"/>
      <c r="BL143" s="444" t="s">
        <v>6981</v>
      </c>
      <c r="BM143" s="392" t="s">
        <v>3900</v>
      </c>
      <c r="BN143" s="393" t="s">
        <v>42</v>
      </c>
      <c r="BO143" s="393"/>
      <c r="BP143" s="399"/>
      <c r="BQ143" s="400"/>
      <c r="BR143" s="401"/>
      <c r="BS143" s="399"/>
      <c r="BT143" s="394"/>
      <c r="BU143" s="417">
        <v>0.86</v>
      </c>
      <c r="BV143" s="399"/>
      <c r="BW143" s="393" t="s">
        <v>3117</v>
      </c>
      <c r="BX143" s="392" t="s">
        <v>1447</v>
      </c>
      <c r="BY143" s="393"/>
      <c r="BZ143" s="393"/>
      <c r="CA143" s="441" t="s">
        <v>1663</v>
      </c>
      <c r="CB143" s="400">
        <v>2</v>
      </c>
      <c r="CC143" s="398"/>
      <c r="CD143" s="398"/>
      <c r="CE143" s="398"/>
      <c r="CF143" s="398"/>
      <c r="CG143" s="398"/>
      <c r="CH143" s="398">
        <v>3.9169999999999998</v>
      </c>
      <c r="CI143" s="398">
        <v>3.9169999999999998</v>
      </c>
      <c r="CJ143" s="398">
        <v>3.9169999999999998</v>
      </c>
      <c r="CK143" s="398">
        <v>3.9169999999999998</v>
      </c>
      <c r="CL143" s="398">
        <v>3.9169999999999998</v>
      </c>
      <c r="CM143" s="398">
        <v>3.9169999999999998</v>
      </c>
      <c r="CN143" s="398">
        <v>3.9169999999999998</v>
      </c>
      <c r="CO143" s="398">
        <v>3.9169999999999998</v>
      </c>
      <c r="CP143" s="398">
        <v>3.9169999999999998</v>
      </c>
      <c r="CQ143" s="398">
        <v>3.9169999999999998</v>
      </c>
      <c r="CR143" s="398"/>
      <c r="CS143" s="398"/>
      <c r="CT143" s="398"/>
      <c r="CU143" s="398"/>
      <c r="CV143" s="398"/>
      <c r="CW143" s="398"/>
      <c r="CX143" s="398"/>
      <c r="CY143" s="398"/>
      <c r="CZ143" s="398"/>
      <c r="DA143" s="398"/>
      <c r="DB143" s="398"/>
      <c r="DC143" s="398"/>
      <c r="DD143" s="398"/>
      <c r="DE143" s="393"/>
      <c r="DF143" s="393"/>
      <c r="DG143" s="393"/>
      <c r="DH143" s="393"/>
      <c r="DI143" s="393"/>
      <c r="DJ143" s="393"/>
      <c r="DK143" s="897"/>
    </row>
    <row r="144" spans="1:115" ht="38.25" x14ac:dyDescent="0.2">
      <c r="A144" s="295">
        <v>140</v>
      </c>
      <c r="B144" s="390" t="s">
        <v>2588</v>
      </c>
      <c r="C144" s="390"/>
      <c r="D144" s="391" t="s">
        <v>2294</v>
      </c>
      <c r="E144" s="704" t="s">
        <v>2295</v>
      </c>
      <c r="F144" s="393" t="s">
        <v>1352</v>
      </c>
      <c r="G144" s="393" t="s">
        <v>1673</v>
      </c>
      <c r="H144" s="393" t="s">
        <v>42</v>
      </c>
      <c r="I144" s="392"/>
      <c r="J144" s="392"/>
      <c r="K144" s="392" t="s">
        <v>2168</v>
      </c>
      <c r="L144" s="392" t="s">
        <v>43</v>
      </c>
      <c r="M144" s="392"/>
      <c r="N144" s="393" t="s">
        <v>44</v>
      </c>
      <c r="O144" s="393" t="s">
        <v>45</v>
      </c>
      <c r="P144" s="393" t="s">
        <v>45</v>
      </c>
      <c r="Q144" s="392" t="s">
        <v>1212</v>
      </c>
      <c r="R144" s="392" t="s">
        <v>3901</v>
      </c>
      <c r="S144" s="392" t="s">
        <v>46</v>
      </c>
      <c r="T144" s="394">
        <v>1</v>
      </c>
      <c r="U144" s="395">
        <v>17.03</v>
      </c>
      <c r="V144" s="395"/>
      <c r="W144" s="453"/>
      <c r="X144" s="394"/>
      <c r="Y144" s="394">
        <v>10</v>
      </c>
      <c r="Z144" s="394">
        <v>25</v>
      </c>
      <c r="AA144" s="395">
        <v>0</v>
      </c>
      <c r="AB144" s="452">
        <v>41030</v>
      </c>
      <c r="AC144" s="398">
        <v>11.384</v>
      </c>
      <c r="AD144" s="398">
        <v>170.3</v>
      </c>
      <c r="AE144" s="393" t="s">
        <v>47</v>
      </c>
      <c r="AF144" s="417">
        <f>0.773</f>
        <v>0.77300000000000002</v>
      </c>
      <c r="AG144" s="417"/>
      <c r="AH144" s="417">
        <v>0.77300000000000002</v>
      </c>
      <c r="AI144" s="394">
        <v>1</v>
      </c>
      <c r="AJ144" s="452">
        <v>41386</v>
      </c>
      <c r="AK144" s="452">
        <v>41152</v>
      </c>
      <c r="AL144" s="393"/>
      <c r="AM144" s="393"/>
      <c r="AN144" s="417"/>
      <c r="AO144" s="392" t="s">
        <v>1606</v>
      </c>
      <c r="AP144" s="392"/>
      <c r="AQ144" s="392"/>
      <c r="AR144" s="392" t="s">
        <v>48</v>
      </c>
      <c r="AS144" s="480"/>
      <c r="AT144" s="453"/>
      <c r="AU144" s="453"/>
      <c r="AV144" s="453"/>
      <c r="AW144" s="453"/>
      <c r="AX144" s="453"/>
      <c r="AY144" s="453"/>
      <c r="AZ144" s="452">
        <v>40991</v>
      </c>
      <c r="BA144" s="393"/>
      <c r="BB144" s="393"/>
      <c r="BC144" s="393" t="b">
        <v>0</v>
      </c>
      <c r="BD144" s="393"/>
      <c r="BE144" s="392"/>
      <c r="BF144" s="394">
        <v>5</v>
      </c>
      <c r="BG144" s="394">
        <v>8</v>
      </c>
      <c r="BH144" s="394">
        <v>9</v>
      </c>
      <c r="BI144" s="394">
        <v>4</v>
      </c>
      <c r="BJ144" s="394"/>
      <c r="BK144" s="394"/>
      <c r="BL144" s="444" t="s">
        <v>6981</v>
      </c>
      <c r="BM144" s="392" t="s">
        <v>3900</v>
      </c>
      <c r="BN144" s="393" t="s">
        <v>42</v>
      </c>
      <c r="BO144" s="393"/>
      <c r="BP144" s="399"/>
      <c r="BQ144" s="400"/>
      <c r="BR144" s="401"/>
      <c r="BS144" s="399"/>
      <c r="BT144" s="394"/>
      <c r="BU144" s="417">
        <v>0.8</v>
      </c>
      <c r="BV144" s="399"/>
      <c r="BW144" s="393" t="s">
        <v>3117</v>
      </c>
      <c r="BX144" s="392" t="s">
        <v>1447</v>
      </c>
      <c r="BY144" s="393"/>
      <c r="BZ144" s="393"/>
      <c r="CA144" s="441" t="s">
        <v>1663</v>
      </c>
      <c r="CB144" s="400">
        <v>2</v>
      </c>
      <c r="CC144" s="398"/>
      <c r="CD144" s="398"/>
      <c r="CE144" s="398"/>
      <c r="CF144" s="398"/>
      <c r="CG144" s="398"/>
      <c r="CH144" s="398">
        <v>17.03</v>
      </c>
      <c r="CI144" s="398">
        <v>17.03</v>
      </c>
      <c r="CJ144" s="398">
        <v>17.03</v>
      </c>
      <c r="CK144" s="398">
        <v>17.03</v>
      </c>
      <c r="CL144" s="398">
        <v>17.03</v>
      </c>
      <c r="CM144" s="398">
        <v>17.03</v>
      </c>
      <c r="CN144" s="398">
        <v>17.03</v>
      </c>
      <c r="CO144" s="398">
        <v>17.03</v>
      </c>
      <c r="CP144" s="398">
        <v>17.03</v>
      </c>
      <c r="CQ144" s="398">
        <v>17.03</v>
      </c>
      <c r="CR144" s="398"/>
      <c r="CS144" s="398"/>
      <c r="CT144" s="398"/>
      <c r="CU144" s="398"/>
      <c r="CV144" s="398"/>
      <c r="CW144" s="398"/>
      <c r="CX144" s="398"/>
      <c r="CY144" s="398"/>
      <c r="CZ144" s="398"/>
      <c r="DA144" s="398"/>
      <c r="DB144" s="398"/>
      <c r="DC144" s="398"/>
      <c r="DD144" s="398"/>
      <c r="DE144" s="393"/>
      <c r="DF144" s="393"/>
      <c r="DG144" s="393"/>
      <c r="DH144" s="393"/>
      <c r="DI144" s="393"/>
      <c r="DJ144" s="393"/>
      <c r="DK144" s="897"/>
    </row>
    <row r="145" spans="1:115" ht="38.25" x14ac:dyDescent="0.2">
      <c r="A145" s="295">
        <v>141</v>
      </c>
      <c r="B145" s="390" t="s">
        <v>2589</v>
      </c>
      <c r="C145" s="390"/>
      <c r="D145" s="391" t="s">
        <v>2296</v>
      </c>
      <c r="E145" s="704" t="s">
        <v>2297</v>
      </c>
      <c r="F145" s="393" t="s">
        <v>1352</v>
      </c>
      <c r="G145" s="393" t="s">
        <v>1673</v>
      </c>
      <c r="H145" s="393" t="s">
        <v>42</v>
      </c>
      <c r="I145" s="392"/>
      <c r="J145" s="392"/>
      <c r="K145" s="392" t="s">
        <v>2168</v>
      </c>
      <c r="L145" s="392" t="s">
        <v>43</v>
      </c>
      <c r="M145" s="392"/>
      <c r="N145" s="393" t="s">
        <v>44</v>
      </c>
      <c r="O145" s="393" t="s">
        <v>45</v>
      </c>
      <c r="P145" s="393" t="s">
        <v>45</v>
      </c>
      <c r="Q145" s="392" t="s">
        <v>1212</v>
      </c>
      <c r="R145" s="392" t="s">
        <v>3901</v>
      </c>
      <c r="S145" s="392" t="s">
        <v>46</v>
      </c>
      <c r="T145" s="394">
        <v>1</v>
      </c>
      <c r="U145" s="395">
        <v>15.653</v>
      </c>
      <c r="V145" s="395"/>
      <c r="W145" s="453"/>
      <c r="X145" s="394"/>
      <c r="Y145" s="394">
        <v>10</v>
      </c>
      <c r="Z145" s="394">
        <v>25</v>
      </c>
      <c r="AA145" s="395">
        <v>0</v>
      </c>
      <c r="AB145" s="452">
        <v>41030</v>
      </c>
      <c r="AC145" s="398">
        <v>10.464</v>
      </c>
      <c r="AD145" s="398">
        <v>156.53</v>
      </c>
      <c r="AE145" s="393" t="s">
        <v>47</v>
      </c>
      <c r="AF145" s="417"/>
      <c r="AG145" s="417"/>
      <c r="AH145" s="417"/>
      <c r="AI145" s="394"/>
      <c r="AJ145" s="452"/>
      <c r="AK145" s="452"/>
      <c r="AL145" s="393"/>
      <c r="AM145" s="393"/>
      <c r="AN145" s="417"/>
      <c r="AO145" s="392" t="s">
        <v>1606</v>
      </c>
      <c r="AP145" s="392"/>
      <c r="AQ145" s="392"/>
      <c r="AR145" s="392" t="s">
        <v>48</v>
      </c>
      <c r="AS145" s="480"/>
      <c r="AT145" s="453"/>
      <c r="AU145" s="453"/>
      <c r="AV145" s="453"/>
      <c r="AW145" s="453"/>
      <c r="AX145" s="453"/>
      <c r="AY145" s="453"/>
      <c r="AZ145" s="452">
        <v>40991</v>
      </c>
      <c r="BA145" s="393"/>
      <c r="BB145" s="393"/>
      <c r="BC145" s="393" t="b">
        <v>0</v>
      </c>
      <c r="BD145" s="393"/>
      <c r="BE145" s="392"/>
      <c r="BF145" s="394">
        <v>5</v>
      </c>
      <c r="BG145" s="394">
        <v>8</v>
      </c>
      <c r="BH145" s="394">
        <v>9</v>
      </c>
      <c r="BI145" s="394">
        <v>4</v>
      </c>
      <c r="BJ145" s="394"/>
      <c r="BK145" s="394"/>
      <c r="BL145" s="444" t="s">
        <v>6981</v>
      </c>
      <c r="BM145" s="392" t="s">
        <v>3900</v>
      </c>
      <c r="BN145" s="393" t="s">
        <v>42</v>
      </c>
      <c r="BO145" s="393"/>
      <c r="BP145" s="399"/>
      <c r="BQ145" s="400"/>
      <c r="BR145" s="401"/>
      <c r="BS145" s="399"/>
      <c r="BT145" s="394"/>
      <c r="BU145" s="417">
        <v>0.8</v>
      </c>
      <c r="BV145" s="399"/>
      <c r="BW145" s="393" t="s">
        <v>3117</v>
      </c>
      <c r="BX145" s="392" t="s">
        <v>1447</v>
      </c>
      <c r="BY145" s="393"/>
      <c r="BZ145" s="393"/>
      <c r="CA145" s="441" t="s">
        <v>1663</v>
      </c>
      <c r="CB145" s="400">
        <v>2</v>
      </c>
      <c r="CC145" s="398"/>
      <c r="CD145" s="398"/>
      <c r="CE145" s="398"/>
      <c r="CF145" s="398"/>
      <c r="CG145" s="398"/>
      <c r="CH145" s="398">
        <v>15.653</v>
      </c>
      <c r="CI145" s="398">
        <v>15.653</v>
      </c>
      <c r="CJ145" s="398">
        <v>15.653</v>
      </c>
      <c r="CK145" s="398">
        <v>15.653</v>
      </c>
      <c r="CL145" s="398">
        <v>15.653</v>
      </c>
      <c r="CM145" s="398">
        <v>15.653</v>
      </c>
      <c r="CN145" s="398">
        <v>15.653</v>
      </c>
      <c r="CO145" s="398">
        <v>15.653</v>
      </c>
      <c r="CP145" s="398">
        <v>15.653</v>
      </c>
      <c r="CQ145" s="398">
        <v>15.653</v>
      </c>
      <c r="CR145" s="398"/>
      <c r="CS145" s="398"/>
      <c r="CT145" s="398"/>
      <c r="CU145" s="398"/>
      <c r="CV145" s="398"/>
      <c r="CW145" s="398"/>
      <c r="CX145" s="398"/>
      <c r="CY145" s="398"/>
      <c r="CZ145" s="398"/>
      <c r="DA145" s="398"/>
      <c r="DB145" s="398"/>
      <c r="DC145" s="398"/>
      <c r="DD145" s="398"/>
      <c r="DE145" s="393"/>
      <c r="DF145" s="393"/>
      <c r="DG145" s="393"/>
      <c r="DH145" s="393"/>
      <c r="DI145" s="393"/>
      <c r="DJ145" s="393"/>
      <c r="DK145" s="897"/>
    </row>
    <row r="146" spans="1:115" ht="38.25" x14ac:dyDescent="0.2">
      <c r="A146" s="295">
        <v>142</v>
      </c>
      <c r="B146" s="390" t="s">
        <v>2590</v>
      </c>
      <c r="C146" s="390"/>
      <c r="D146" s="391" t="s">
        <v>2298</v>
      </c>
      <c r="E146" s="704" t="s">
        <v>2299</v>
      </c>
      <c r="F146" s="393" t="s">
        <v>1352</v>
      </c>
      <c r="G146" s="393" t="s">
        <v>1673</v>
      </c>
      <c r="H146" s="393" t="s">
        <v>42</v>
      </c>
      <c r="I146" s="392"/>
      <c r="J146" s="392"/>
      <c r="K146" s="392" t="s">
        <v>460</v>
      </c>
      <c r="L146" s="392" t="s">
        <v>43</v>
      </c>
      <c r="M146" s="392"/>
      <c r="N146" s="393" t="s">
        <v>44</v>
      </c>
      <c r="O146" s="393" t="s">
        <v>45</v>
      </c>
      <c r="P146" s="393" t="s">
        <v>45</v>
      </c>
      <c r="Q146" s="392" t="s">
        <v>1212</v>
      </c>
      <c r="R146" s="392" t="s">
        <v>3901</v>
      </c>
      <c r="S146" s="392" t="s">
        <v>46</v>
      </c>
      <c r="T146" s="394">
        <v>1</v>
      </c>
      <c r="U146" s="395">
        <v>12.696</v>
      </c>
      <c r="V146" s="395"/>
      <c r="W146" s="453"/>
      <c r="X146" s="394"/>
      <c r="Y146" s="394">
        <v>10</v>
      </c>
      <c r="Z146" s="394">
        <v>25</v>
      </c>
      <c r="AA146" s="395">
        <v>0</v>
      </c>
      <c r="AB146" s="452">
        <v>41061</v>
      </c>
      <c r="AC146" s="398">
        <v>7.4089999999999998</v>
      </c>
      <c r="AD146" s="398">
        <v>126.96</v>
      </c>
      <c r="AE146" s="393" t="s">
        <v>47</v>
      </c>
      <c r="AF146" s="417"/>
      <c r="AG146" s="417"/>
      <c r="AH146" s="417"/>
      <c r="AI146" s="394"/>
      <c r="AJ146" s="452"/>
      <c r="AK146" s="452"/>
      <c r="AL146" s="393"/>
      <c r="AM146" s="393"/>
      <c r="AN146" s="417"/>
      <c r="AO146" s="392" t="s">
        <v>1606</v>
      </c>
      <c r="AP146" s="392"/>
      <c r="AQ146" s="392"/>
      <c r="AR146" s="392" t="s">
        <v>48</v>
      </c>
      <c r="AS146" s="480"/>
      <c r="AT146" s="453"/>
      <c r="AU146" s="453"/>
      <c r="AV146" s="453"/>
      <c r="AW146" s="453"/>
      <c r="AX146" s="453"/>
      <c r="AY146" s="453"/>
      <c r="AZ146" s="452">
        <v>40991</v>
      </c>
      <c r="BA146" s="393"/>
      <c r="BB146" s="393"/>
      <c r="BC146" s="393" t="b">
        <v>0</v>
      </c>
      <c r="BD146" s="393"/>
      <c r="BE146" s="392"/>
      <c r="BF146" s="394">
        <v>5</v>
      </c>
      <c r="BG146" s="394">
        <v>8</v>
      </c>
      <c r="BH146" s="394">
        <v>9</v>
      </c>
      <c r="BI146" s="394">
        <v>4</v>
      </c>
      <c r="BJ146" s="394"/>
      <c r="BK146" s="394"/>
      <c r="BL146" s="444" t="s">
        <v>6981</v>
      </c>
      <c r="BM146" s="392" t="s">
        <v>3900</v>
      </c>
      <c r="BN146" s="393" t="s">
        <v>42</v>
      </c>
      <c r="BO146" s="393"/>
      <c r="BP146" s="399"/>
      <c r="BQ146" s="400"/>
      <c r="BR146" s="401"/>
      <c r="BS146" s="399"/>
      <c r="BT146" s="394"/>
      <c r="BU146" s="417">
        <v>0.86</v>
      </c>
      <c r="BV146" s="399"/>
      <c r="BW146" s="393" t="s">
        <v>3117</v>
      </c>
      <c r="BX146" s="392" t="s">
        <v>1447</v>
      </c>
      <c r="BY146" s="393"/>
      <c r="BZ146" s="393"/>
      <c r="CA146" s="441" t="s">
        <v>1663</v>
      </c>
      <c r="CB146" s="400">
        <v>2</v>
      </c>
      <c r="CC146" s="398"/>
      <c r="CD146" s="398"/>
      <c r="CE146" s="398"/>
      <c r="CF146" s="398"/>
      <c r="CG146" s="398"/>
      <c r="CH146" s="398">
        <v>12.696</v>
      </c>
      <c r="CI146" s="398">
        <v>12.696</v>
      </c>
      <c r="CJ146" s="398">
        <v>12.696</v>
      </c>
      <c r="CK146" s="398">
        <v>12.696</v>
      </c>
      <c r="CL146" s="398">
        <v>12.696</v>
      </c>
      <c r="CM146" s="398">
        <v>12.696</v>
      </c>
      <c r="CN146" s="398">
        <v>12.696</v>
      </c>
      <c r="CO146" s="398">
        <v>12.696</v>
      </c>
      <c r="CP146" s="398">
        <v>12.696</v>
      </c>
      <c r="CQ146" s="398">
        <v>12.696</v>
      </c>
      <c r="CR146" s="398"/>
      <c r="CS146" s="398"/>
      <c r="CT146" s="398"/>
      <c r="CU146" s="398"/>
      <c r="CV146" s="398"/>
      <c r="CW146" s="398"/>
      <c r="CX146" s="398"/>
      <c r="CY146" s="398"/>
      <c r="CZ146" s="398"/>
      <c r="DA146" s="398"/>
      <c r="DB146" s="398"/>
      <c r="DC146" s="398"/>
      <c r="DD146" s="398"/>
      <c r="DE146" s="393"/>
      <c r="DF146" s="393"/>
      <c r="DG146" s="393"/>
      <c r="DH146" s="393"/>
      <c r="DI146" s="393"/>
      <c r="DJ146" s="393"/>
      <c r="DK146" s="897"/>
    </row>
    <row r="147" spans="1:115" ht="38.25" x14ac:dyDescent="0.2">
      <c r="A147" s="295">
        <v>143</v>
      </c>
      <c r="B147" s="390" t="s">
        <v>2591</v>
      </c>
      <c r="C147" s="390"/>
      <c r="D147" s="391" t="s">
        <v>2300</v>
      </c>
      <c r="E147" s="704" t="s">
        <v>2301</v>
      </c>
      <c r="F147" s="393" t="s">
        <v>1352</v>
      </c>
      <c r="G147" s="393" t="s">
        <v>1673</v>
      </c>
      <c r="H147" s="393" t="s">
        <v>42</v>
      </c>
      <c r="I147" s="392"/>
      <c r="J147" s="392"/>
      <c r="K147" s="392" t="s">
        <v>242</v>
      </c>
      <c r="L147" s="392" t="s">
        <v>43</v>
      </c>
      <c r="M147" s="392"/>
      <c r="N147" s="393" t="s">
        <v>44</v>
      </c>
      <c r="O147" s="393" t="s">
        <v>45</v>
      </c>
      <c r="P147" s="393" t="s">
        <v>45</v>
      </c>
      <c r="Q147" s="392" t="s">
        <v>1212</v>
      </c>
      <c r="R147" s="392" t="s">
        <v>3901</v>
      </c>
      <c r="S147" s="392" t="s">
        <v>46</v>
      </c>
      <c r="T147" s="394">
        <v>1</v>
      </c>
      <c r="U147" s="395">
        <v>13.185</v>
      </c>
      <c r="V147" s="395"/>
      <c r="W147" s="453"/>
      <c r="X147" s="394"/>
      <c r="Y147" s="394">
        <v>10</v>
      </c>
      <c r="Z147" s="394">
        <v>25</v>
      </c>
      <c r="AA147" s="395">
        <v>0</v>
      </c>
      <c r="AB147" s="452">
        <v>41061</v>
      </c>
      <c r="AC147" s="398">
        <v>7.694</v>
      </c>
      <c r="AD147" s="398">
        <v>131.85</v>
      </c>
      <c r="AE147" s="393" t="s">
        <v>47</v>
      </c>
      <c r="AF147" s="417">
        <f>1.969</f>
        <v>1.9690000000000001</v>
      </c>
      <c r="AG147" s="417"/>
      <c r="AH147" s="417">
        <v>1.9690000000000001</v>
      </c>
      <c r="AI147" s="394">
        <v>1</v>
      </c>
      <c r="AJ147" s="452">
        <v>41386</v>
      </c>
      <c r="AK147" s="452">
        <v>41152</v>
      </c>
      <c r="AL147" s="393"/>
      <c r="AM147" s="393"/>
      <c r="AN147" s="417"/>
      <c r="AO147" s="392" t="s">
        <v>1606</v>
      </c>
      <c r="AP147" s="392"/>
      <c r="AQ147" s="392"/>
      <c r="AR147" s="392" t="s">
        <v>48</v>
      </c>
      <c r="AS147" s="480"/>
      <c r="AT147" s="453"/>
      <c r="AU147" s="453"/>
      <c r="AV147" s="453"/>
      <c r="AW147" s="453"/>
      <c r="AX147" s="453"/>
      <c r="AY147" s="453"/>
      <c r="AZ147" s="452">
        <v>40991</v>
      </c>
      <c r="BA147" s="393"/>
      <c r="BB147" s="393"/>
      <c r="BC147" s="393" t="b">
        <v>0</v>
      </c>
      <c r="BD147" s="393"/>
      <c r="BE147" s="392"/>
      <c r="BF147" s="394">
        <v>5</v>
      </c>
      <c r="BG147" s="394">
        <v>8</v>
      </c>
      <c r="BH147" s="394">
        <v>9</v>
      </c>
      <c r="BI147" s="394">
        <v>4</v>
      </c>
      <c r="BJ147" s="394"/>
      <c r="BK147" s="394"/>
      <c r="BL147" s="444" t="s">
        <v>6981</v>
      </c>
      <c r="BM147" s="392" t="s">
        <v>3900</v>
      </c>
      <c r="BN147" s="393" t="s">
        <v>42</v>
      </c>
      <c r="BO147" s="393"/>
      <c r="BP147" s="399"/>
      <c r="BQ147" s="400"/>
      <c r="BR147" s="401"/>
      <c r="BS147" s="399"/>
      <c r="BT147" s="394"/>
      <c r="BU147" s="417">
        <v>0.86</v>
      </c>
      <c r="BV147" s="399"/>
      <c r="BW147" s="393" t="s">
        <v>3117</v>
      </c>
      <c r="BX147" s="392" t="s">
        <v>1447</v>
      </c>
      <c r="BY147" s="393"/>
      <c r="BZ147" s="393"/>
      <c r="CA147" s="441" t="s">
        <v>1663</v>
      </c>
      <c r="CB147" s="400">
        <v>2</v>
      </c>
      <c r="CC147" s="398"/>
      <c r="CD147" s="398"/>
      <c r="CE147" s="398"/>
      <c r="CF147" s="398"/>
      <c r="CG147" s="398"/>
      <c r="CH147" s="398">
        <v>13.185</v>
      </c>
      <c r="CI147" s="398">
        <v>13.185</v>
      </c>
      <c r="CJ147" s="398">
        <v>13.185</v>
      </c>
      <c r="CK147" s="398">
        <v>13.185</v>
      </c>
      <c r="CL147" s="398">
        <v>13.185</v>
      </c>
      <c r="CM147" s="398">
        <v>13.185</v>
      </c>
      <c r="CN147" s="398">
        <v>13.185</v>
      </c>
      <c r="CO147" s="398">
        <v>13.185</v>
      </c>
      <c r="CP147" s="398">
        <v>13.185</v>
      </c>
      <c r="CQ147" s="398">
        <v>13.185</v>
      </c>
      <c r="CR147" s="398"/>
      <c r="CS147" s="398"/>
      <c r="CT147" s="398"/>
      <c r="CU147" s="398"/>
      <c r="CV147" s="398"/>
      <c r="CW147" s="398"/>
      <c r="CX147" s="398"/>
      <c r="CY147" s="398"/>
      <c r="CZ147" s="398"/>
      <c r="DA147" s="398"/>
      <c r="DB147" s="398"/>
      <c r="DC147" s="398"/>
      <c r="DD147" s="398"/>
      <c r="DE147" s="393"/>
      <c r="DF147" s="393"/>
      <c r="DG147" s="393"/>
      <c r="DH147" s="393"/>
      <c r="DI147" s="393"/>
      <c r="DJ147" s="393"/>
      <c r="DK147" s="897"/>
    </row>
    <row r="148" spans="1:115" ht="38.25" x14ac:dyDescent="0.2">
      <c r="A148" s="295">
        <v>144</v>
      </c>
      <c r="B148" s="390" t="s">
        <v>2592</v>
      </c>
      <c r="C148" s="390"/>
      <c r="D148" s="391" t="s">
        <v>2302</v>
      </c>
      <c r="E148" s="704" t="s">
        <v>2303</v>
      </c>
      <c r="F148" s="393" t="s">
        <v>1352</v>
      </c>
      <c r="G148" s="393" t="s">
        <v>1673</v>
      </c>
      <c r="H148" s="393" t="s">
        <v>42</v>
      </c>
      <c r="I148" s="392"/>
      <c r="J148" s="392"/>
      <c r="K148" s="392" t="s">
        <v>370</v>
      </c>
      <c r="L148" s="392" t="s">
        <v>43</v>
      </c>
      <c r="M148" s="392"/>
      <c r="N148" s="393" t="s">
        <v>44</v>
      </c>
      <c r="O148" s="393" t="s">
        <v>45</v>
      </c>
      <c r="P148" s="393" t="s">
        <v>45</v>
      </c>
      <c r="Q148" s="392" t="s">
        <v>1212</v>
      </c>
      <c r="R148" s="392" t="s">
        <v>3902</v>
      </c>
      <c r="S148" s="392" t="s">
        <v>46</v>
      </c>
      <c r="T148" s="394">
        <v>1</v>
      </c>
      <c r="U148" s="395">
        <v>12.928000000000001</v>
      </c>
      <c r="V148" s="395"/>
      <c r="W148" s="453"/>
      <c r="X148" s="394"/>
      <c r="Y148" s="394">
        <v>10</v>
      </c>
      <c r="Z148" s="394">
        <v>25</v>
      </c>
      <c r="AA148" s="395">
        <v>0</v>
      </c>
      <c r="AB148" s="452">
        <v>41061</v>
      </c>
      <c r="AC148" s="398">
        <v>7.5439999999999996</v>
      </c>
      <c r="AD148" s="398">
        <v>129.28</v>
      </c>
      <c r="AE148" s="393" t="s">
        <v>47</v>
      </c>
      <c r="AF148" s="417">
        <f>0.675</f>
        <v>0.67500000000000004</v>
      </c>
      <c r="AG148" s="417"/>
      <c r="AH148" s="417">
        <v>0.67500000000000004</v>
      </c>
      <c r="AI148" s="394">
        <v>1</v>
      </c>
      <c r="AJ148" s="452">
        <v>41386</v>
      </c>
      <c r="AK148" s="452">
        <v>41152</v>
      </c>
      <c r="AL148" s="393"/>
      <c r="AM148" s="393"/>
      <c r="AN148" s="417"/>
      <c r="AO148" s="392" t="s">
        <v>1606</v>
      </c>
      <c r="AP148" s="392"/>
      <c r="AQ148" s="392"/>
      <c r="AR148" s="392" t="s">
        <v>48</v>
      </c>
      <c r="AS148" s="480"/>
      <c r="AT148" s="453"/>
      <c r="AU148" s="453"/>
      <c r="AV148" s="453"/>
      <c r="AW148" s="453"/>
      <c r="AX148" s="453"/>
      <c r="AY148" s="453"/>
      <c r="AZ148" s="452">
        <v>40991</v>
      </c>
      <c r="BA148" s="393"/>
      <c r="BB148" s="393"/>
      <c r="BC148" s="393" t="b">
        <v>0</v>
      </c>
      <c r="BD148" s="393"/>
      <c r="BE148" s="392"/>
      <c r="BF148" s="394">
        <v>5</v>
      </c>
      <c r="BG148" s="394">
        <v>8</v>
      </c>
      <c r="BH148" s="394">
        <v>9</v>
      </c>
      <c r="BI148" s="394">
        <v>4</v>
      </c>
      <c r="BJ148" s="394"/>
      <c r="BK148" s="394"/>
      <c r="BL148" s="444" t="s">
        <v>6981</v>
      </c>
      <c r="BM148" s="392" t="s">
        <v>3900</v>
      </c>
      <c r="BN148" s="393" t="s">
        <v>42</v>
      </c>
      <c r="BO148" s="393"/>
      <c r="BP148" s="399"/>
      <c r="BQ148" s="400"/>
      <c r="BR148" s="401"/>
      <c r="BS148" s="399"/>
      <c r="BT148" s="394"/>
      <c r="BU148" s="417">
        <v>0.8</v>
      </c>
      <c r="BV148" s="399"/>
      <c r="BW148" s="393" t="s">
        <v>3117</v>
      </c>
      <c r="BX148" s="392" t="s">
        <v>1447</v>
      </c>
      <c r="BY148" s="393"/>
      <c r="BZ148" s="393"/>
      <c r="CA148" s="441" t="s">
        <v>1663</v>
      </c>
      <c r="CB148" s="400">
        <v>2</v>
      </c>
      <c r="CC148" s="398"/>
      <c r="CD148" s="398"/>
      <c r="CE148" s="398"/>
      <c r="CF148" s="398"/>
      <c r="CG148" s="398"/>
      <c r="CH148" s="398">
        <v>12.928000000000001</v>
      </c>
      <c r="CI148" s="398">
        <v>12.928000000000001</v>
      </c>
      <c r="CJ148" s="398">
        <v>12.928000000000001</v>
      </c>
      <c r="CK148" s="398">
        <v>12.928000000000001</v>
      </c>
      <c r="CL148" s="398">
        <v>12.928000000000001</v>
      </c>
      <c r="CM148" s="398">
        <v>12.928000000000001</v>
      </c>
      <c r="CN148" s="398">
        <v>12.928000000000001</v>
      </c>
      <c r="CO148" s="398">
        <v>12.928000000000001</v>
      </c>
      <c r="CP148" s="398">
        <v>12.928000000000001</v>
      </c>
      <c r="CQ148" s="398">
        <v>12.928000000000001</v>
      </c>
      <c r="CR148" s="398"/>
      <c r="CS148" s="398"/>
      <c r="CT148" s="398"/>
      <c r="CU148" s="398"/>
      <c r="CV148" s="398"/>
      <c r="CW148" s="398"/>
      <c r="CX148" s="398"/>
      <c r="CY148" s="398"/>
      <c r="CZ148" s="398"/>
      <c r="DA148" s="398"/>
      <c r="DB148" s="398"/>
      <c r="DC148" s="398"/>
      <c r="DD148" s="398"/>
      <c r="DE148" s="393"/>
      <c r="DF148" s="393"/>
      <c r="DG148" s="393"/>
      <c r="DH148" s="393"/>
      <c r="DI148" s="393"/>
      <c r="DJ148" s="393"/>
      <c r="DK148" s="897"/>
    </row>
    <row r="149" spans="1:115" ht="38.25" x14ac:dyDescent="0.2">
      <c r="A149" s="295">
        <v>145</v>
      </c>
      <c r="B149" s="390" t="s">
        <v>2593</v>
      </c>
      <c r="C149" s="390"/>
      <c r="D149" s="391" t="s">
        <v>2304</v>
      </c>
      <c r="E149" s="704" t="s">
        <v>2305</v>
      </c>
      <c r="F149" s="393" t="s">
        <v>1352</v>
      </c>
      <c r="G149" s="393" t="s">
        <v>1673</v>
      </c>
      <c r="H149" s="393" t="s">
        <v>42</v>
      </c>
      <c r="I149" s="392"/>
      <c r="J149" s="392"/>
      <c r="K149" s="392" t="s">
        <v>85</v>
      </c>
      <c r="L149" s="392" t="s">
        <v>43</v>
      </c>
      <c r="M149" s="392"/>
      <c r="N149" s="393" t="s">
        <v>44</v>
      </c>
      <c r="O149" s="393" t="s">
        <v>45</v>
      </c>
      <c r="P149" s="393" t="s">
        <v>45</v>
      </c>
      <c r="Q149" s="392" t="s">
        <v>86</v>
      </c>
      <c r="R149" s="392" t="s">
        <v>3899</v>
      </c>
      <c r="S149" s="392" t="s">
        <v>46</v>
      </c>
      <c r="T149" s="394">
        <v>1</v>
      </c>
      <c r="U149" s="395">
        <v>5.26</v>
      </c>
      <c r="V149" s="395"/>
      <c r="W149" s="453"/>
      <c r="X149" s="394"/>
      <c r="Y149" s="394">
        <v>10</v>
      </c>
      <c r="Z149" s="394">
        <v>25</v>
      </c>
      <c r="AA149" s="395">
        <v>0</v>
      </c>
      <c r="AB149" s="452">
        <v>41091</v>
      </c>
      <c r="AC149" s="398">
        <v>2.637</v>
      </c>
      <c r="AD149" s="398">
        <v>52.599999999999994</v>
      </c>
      <c r="AE149" s="393" t="s">
        <v>47</v>
      </c>
      <c r="AF149" s="417">
        <f>0.491</f>
        <v>0.49099999999999999</v>
      </c>
      <c r="AG149" s="417"/>
      <c r="AH149" s="417">
        <v>0.49099999999999999</v>
      </c>
      <c r="AI149" s="394">
        <v>1</v>
      </c>
      <c r="AJ149" s="452">
        <v>41386</v>
      </c>
      <c r="AK149" s="452">
        <v>41152</v>
      </c>
      <c r="AL149" s="393"/>
      <c r="AM149" s="393"/>
      <c r="AN149" s="417"/>
      <c r="AO149" s="392" t="s">
        <v>1606</v>
      </c>
      <c r="AP149" s="392"/>
      <c r="AQ149" s="392"/>
      <c r="AR149" s="392" t="s">
        <v>48</v>
      </c>
      <c r="AS149" s="480"/>
      <c r="AT149" s="453"/>
      <c r="AU149" s="453"/>
      <c r="AV149" s="453"/>
      <c r="AW149" s="453"/>
      <c r="AX149" s="453"/>
      <c r="AY149" s="453"/>
      <c r="AZ149" s="452">
        <v>40991</v>
      </c>
      <c r="BA149" s="393"/>
      <c r="BB149" s="393"/>
      <c r="BC149" s="393" t="b">
        <v>0</v>
      </c>
      <c r="BD149" s="393"/>
      <c r="BE149" s="392"/>
      <c r="BF149" s="394">
        <v>5</v>
      </c>
      <c r="BG149" s="394">
        <v>8</v>
      </c>
      <c r="BH149" s="394">
        <v>9</v>
      </c>
      <c r="BI149" s="394">
        <v>4</v>
      </c>
      <c r="BJ149" s="394"/>
      <c r="BK149" s="394"/>
      <c r="BL149" s="444" t="s">
        <v>6981</v>
      </c>
      <c r="BM149" s="392" t="s">
        <v>3900</v>
      </c>
      <c r="BN149" s="393" t="s">
        <v>42</v>
      </c>
      <c r="BO149" s="393"/>
      <c r="BP149" s="399"/>
      <c r="BQ149" s="400"/>
      <c r="BR149" s="401"/>
      <c r="BS149" s="399"/>
      <c r="BT149" s="394"/>
      <c r="BU149" s="417">
        <v>0.8</v>
      </c>
      <c r="BV149" s="399"/>
      <c r="BW149" s="393" t="s">
        <v>3117</v>
      </c>
      <c r="BX149" s="392" t="s">
        <v>1447</v>
      </c>
      <c r="BY149" s="393"/>
      <c r="BZ149" s="393"/>
      <c r="CA149" s="441" t="s">
        <v>1663</v>
      </c>
      <c r="CB149" s="400">
        <v>2</v>
      </c>
      <c r="CC149" s="398"/>
      <c r="CD149" s="398"/>
      <c r="CE149" s="398"/>
      <c r="CF149" s="398"/>
      <c r="CG149" s="398"/>
      <c r="CH149" s="398">
        <v>5.26</v>
      </c>
      <c r="CI149" s="398">
        <v>5.26</v>
      </c>
      <c r="CJ149" s="398">
        <v>5.26</v>
      </c>
      <c r="CK149" s="398">
        <v>5.26</v>
      </c>
      <c r="CL149" s="398">
        <v>5.26</v>
      </c>
      <c r="CM149" s="398">
        <v>5.26</v>
      </c>
      <c r="CN149" s="398">
        <v>5.26</v>
      </c>
      <c r="CO149" s="398">
        <v>5.26</v>
      </c>
      <c r="CP149" s="398">
        <v>5.26</v>
      </c>
      <c r="CQ149" s="398">
        <v>5.26</v>
      </c>
      <c r="CR149" s="398"/>
      <c r="CS149" s="398"/>
      <c r="CT149" s="398"/>
      <c r="CU149" s="398"/>
      <c r="CV149" s="398"/>
      <c r="CW149" s="398"/>
      <c r="CX149" s="398"/>
      <c r="CY149" s="398"/>
      <c r="CZ149" s="398"/>
      <c r="DA149" s="398"/>
      <c r="DB149" s="398"/>
      <c r="DC149" s="398"/>
      <c r="DD149" s="398"/>
      <c r="DE149" s="393"/>
      <c r="DF149" s="393"/>
      <c r="DG149" s="393"/>
      <c r="DH149" s="393"/>
      <c r="DI149" s="393"/>
      <c r="DJ149" s="393"/>
      <c r="DK149" s="897"/>
    </row>
    <row r="150" spans="1:115" ht="38.25" x14ac:dyDescent="0.2">
      <c r="A150" s="295">
        <v>146</v>
      </c>
      <c r="B150" s="390" t="s">
        <v>2594</v>
      </c>
      <c r="C150" s="390"/>
      <c r="D150" s="391" t="s">
        <v>2306</v>
      </c>
      <c r="E150" s="704" t="s">
        <v>2307</v>
      </c>
      <c r="F150" s="393" t="s">
        <v>1352</v>
      </c>
      <c r="G150" s="393" t="s">
        <v>1673</v>
      </c>
      <c r="H150" s="393" t="s">
        <v>42</v>
      </c>
      <c r="I150" s="392"/>
      <c r="J150" s="392"/>
      <c r="K150" s="392" t="s">
        <v>2308</v>
      </c>
      <c r="L150" s="392" t="s">
        <v>43</v>
      </c>
      <c r="M150" s="392"/>
      <c r="N150" s="393" t="s">
        <v>44</v>
      </c>
      <c r="O150" s="393" t="s">
        <v>45</v>
      </c>
      <c r="P150" s="393" t="s">
        <v>45</v>
      </c>
      <c r="Q150" s="392" t="s">
        <v>1212</v>
      </c>
      <c r="R150" s="392" t="s">
        <v>3901</v>
      </c>
      <c r="S150" s="392" t="s">
        <v>46</v>
      </c>
      <c r="T150" s="394">
        <v>1</v>
      </c>
      <c r="U150" s="395">
        <v>16.468</v>
      </c>
      <c r="V150" s="395"/>
      <c r="W150" s="453"/>
      <c r="X150" s="394"/>
      <c r="Y150" s="394">
        <v>10</v>
      </c>
      <c r="Z150" s="394">
        <v>25</v>
      </c>
      <c r="AA150" s="395">
        <v>0</v>
      </c>
      <c r="AB150" s="452">
        <v>41091</v>
      </c>
      <c r="AC150" s="398">
        <v>8.2569999999999997</v>
      </c>
      <c r="AD150" s="398">
        <v>164.68</v>
      </c>
      <c r="AE150" s="393" t="s">
        <v>47</v>
      </c>
      <c r="AF150" s="417">
        <f>0.077</f>
        <v>7.6999999999999999E-2</v>
      </c>
      <c r="AG150" s="417"/>
      <c r="AH150" s="417">
        <v>7.6999999999999999E-2</v>
      </c>
      <c r="AI150" s="394">
        <v>1</v>
      </c>
      <c r="AJ150" s="452">
        <v>41386</v>
      </c>
      <c r="AK150" s="452">
        <v>41152</v>
      </c>
      <c r="AL150" s="393"/>
      <c r="AM150" s="393"/>
      <c r="AN150" s="417"/>
      <c r="AO150" s="392" t="s">
        <v>1606</v>
      </c>
      <c r="AP150" s="392"/>
      <c r="AQ150" s="392"/>
      <c r="AR150" s="392" t="s">
        <v>48</v>
      </c>
      <c r="AS150" s="480"/>
      <c r="AT150" s="453"/>
      <c r="AU150" s="453"/>
      <c r="AV150" s="453"/>
      <c r="AW150" s="453"/>
      <c r="AX150" s="453"/>
      <c r="AY150" s="453"/>
      <c r="AZ150" s="452">
        <v>40991</v>
      </c>
      <c r="BA150" s="393"/>
      <c r="BB150" s="393"/>
      <c r="BC150" s="393" t="b">
        <v>0</v>
      </c>
      <c r="BD150" s="393"/>
      <c r="BE150" s="392"/>
      <c r="BF150" s="394">
        <v>5</v>
      </c>
      <c r="BG150" s="394">
        <v>8</v>
      </c>
      <c r="BH150" s="394">
        <v>9</v>
      </c>
      <c r="BI150" s="394">
        <v>4</v>
      </c>
      <c r="BJ150" s="394"/>
      <c r="BK150" s="394"/>
      <c r="BL150" s="444" t="s">
        <v>6981</v>
      </c>
      <c r="BM150" s="392" t="s">
        <v>3900</v>
      </c>
      <c r="BN150" s="393" t="s">
        <v>42</v>
      </c>
      <c r="BO150" s="393"/>
      <c r="BP150" s="399"/>
      <c r="BQ150" s="400"/>
      <c r="BR150" s="401"/>
      <c r="BS150" s="399"/>
      <c r="BT150" s="394"/>
      <c r="BU150" s="417">
        <v>0.8</v>
      </c>
      <c r="BV150" s="399"/>
      <c r="BW150" s="393" t="s">
        <v>3117</v>
      </c>
      <c r="BX150" s="392" t="s">
        <v>1447</v>
      </c>
      <c r="BY150" s="393"/>
      <c r="BZ150" s="393"/>
      <c r="CA150" s="441" t="s">
        <v>1663</v>
      </c>
      <c r="CB150" s="400">
        <v>2</v>
      </c>
      <c r="CC150" s="398"/>
      <c r="CD150" s="398"/>
      <c r="CE150" s="398"/>
      <c r="CF150" s="398"/>
      <c r="CG150" s="398"/>
      <c r="CH150" s="398">
        <v>16.468</v>
      </c>
      <c r="CI150" s="398">
        <v>16.468</v>
      </c>
      <c r="CJ150" s="398">
        <v>16.468</v>
      </c>
      <c r="CK150" s="398">
        <v>16.468</v>
      </c>
      <c r="CL150" s="398">
        <v>16.468</v>
      </c>
      <c r="CM150" s="398">
        <v>16.468</v>
      </c>
      <c r="CN150" s="398">
        <v>16.468</v>
      </c>
      <c r="CO150" s="398">
        <v>16.468</v>
      </c>
      <c r="CP150" s="398">
        <v>16.468</v>
      </c>
      <c r="CQ150" s="398">
        <v>16.468</v>
      </c>
      <c r="CR150" s="398"/>
      <c r="CS150" s="398"/>
      <c r="CT150" s="398"/>
      <c r="CU150" s="398"/>
      <c r="CV150" s="398"/>
      <c r="CW150" s="398"/>
      <c r="CX150" s="398"/>
      <c r="CY150" s="398"/>
      <c r="CZ150" s="398"/>
      <c r="DA150" s="398"/>
      <c r="DB150" s="398"/>
      <c r="DC150" s="398"/>
      <c r="DD150" s="398"/>
      <c r="DE150" s="393"/>
      <c r="DF150" s="393"/>
      <c r="DG150" s="393"/>
      <c r="DH150" s="393"/>
      <c r="DI150" s="393"/>
      <c r="DJ150" s="393"/>
      <c r="DK150" s="897"/>
    </row>
    <row r="151" spans="1:115" ht="38.25" x14ac:dyDescent="0.2">
      <c r="A151" s="295">
        <v>147</v>
      </c>
      <c r="B151" s="390" t="s">
        <v>2595</v>
      </c>
      <c r="C151" s="390"/>
      <c r="D151" s="391" t="s">
        <v>2309</v>
      </c>
      <c r="E151" s="704" t="s">
        <v>2310</v>
      </c>
      <c r="F151" s="393" t="s">
        <v>1352</v>
      </c>
      <c r="G151" s="393" t="s">
        <v>1673</v>
      </c>
      <c r="H151" s="393" t="s">
        <v>42</v>
      </c>
      <c r="I151" s="392"/>
      <c r="J151" s="392"/>
      <c r="K151" s="392" t="s">
        <v>85</v>
      </c>
      <c r="L151" s="392" t="s">
        <v>43</v>
      </c>
      <c r="M151" s="392"/>
      <c r="N151" s="393" t="s">
        <v>44</v>
      </c>
      <c r="O151" s="393" t="s">
        <v>45</v>
      </c>
      <c r="P151" s="393" t="s">
        <v>45</v>
      </c>
      <c r="Q151" s="392" t="s">
        <v>1212</v>
      </c>
      <c r="R151" s="392" t="s">
        <v>3903</v>
      </c>
      <c r="S151" s="392" t="s">
        <v>46</v>
      </c>
      <c r="T151" s="394">
        <v>1</v>
      </c>
      <c r="U151" s="395">
        <v>11.057</v>
      </c>
      <c r="V151" s="395"/>
      <c r="W151" s="453"/>
      <c r="X151" s="394"/>
      <c r="Y151" s="394">
        <v>10</v>
      </c>
      <c r="Z151" s="394">
        <v>25</v>
      </c>
      <c r="AA151" s="395">
        <v>0</v>
      </c>
      <c r="AB151" s="452">
        <v>41091</v>
      </c>
      <c r="AC151" s="398">
        <v>5.5439999999999996</v>
      </c>
      <c r="AD151" s="398">
        <v>110.57000000000001</v>
      </c>
      <c r="AE151" s="393" t="s">
        <v>47</v>
      </c>
      <c r="AF151" s="417"/>
      <c r="AG151" s="417"/>
      <c r="AH151" s="417"/>
      <c r="AI151" s="394"/>
      <c r="AJ151" s="452"/>
      <c r="AK151" s="452"/>
      <c r="AL151" s="393"/>
      <c r="AM151" s="393"/>
      <c r="AN151" s="417"/>
      <c r="AO151" s="392" t="s">
        <v>1606</v>
      </c>
      <c r="AP151" s="392"/>
      <c r="AQ151" s="392"/>
      <c r="AR151" s="392" t="s">
        <v>48</v>
      </c>
      <c r="AS151" s="480"/>
      <c r="AT151" s="453"/>
      <c r="AU151" s="453"/>
      <c r="AV151" s="453"/>
      <c r="AW151" s="453"/>
      <c r="AX151" s="453"/>
      <c r="AY151" s="453"/>
      <c r="AZ151" s="452">
        <v>40991</v>
      </c>
      <c r="BA151" s="393"/>
      <c r="BB151" s="393"/>
      <c r="BC151" s="393" t="b">
        <v>0</v>
      </c>
      <c r="BD151" s="393"/>
      <c r="BE151" s="392"/>
      <c r="BF151" s="394">
        <v>5</v>
      </c>
      <c r="BG151" s="394">
        <v>8</v>
      </c>
      <c r="BH151" s="394">
        <v>9</v>
      </c>
      <c r="BI151" s="394">
        <v>4</v>
      </c>
      <c r="BJ151" s="394"/>
      <c r="BK151" s="394"/>
      <c r="BL151" s="444" t="s">
        <v>6981</v>
      </c>
      <c r="BM151" s="392" t="s">
        <v>3900</v>
      </c>
      <c r="BN151" s="393" t="s">
        <v>42</v>
      </c>
      <c r="BO151" s="393"/>
      <c r="BP151" s="399"/>
      <c r="BQ151" s="400"/>
      <c r="BR151" s="401"/>
      <c r="BS151" s="399"/>
      <c r="BT151" s="394"/>
      <c r="BU151" s="417">
        <v>0.8</v>
      </c>
      <c r="BV151" s="399"/>
      <c r="BW151" s="393" t="s">
        <v>3117</v>
      </c>
      <c r="BX151" s="392" t="s">
        <v>1447</v>
      </c>
      <c r="BY151" s="393"/>
      <c r="BZ151" s="393"/>
      <c r="CA151" s="441" t="s">
        <v>1663</v>
      </c>
      <c r="CB151" s="400">
        <v>2</v>
      </c>
      <c r="CC151" s="398"/>
      <c r="CD151" s="398"/>
      <c r="CE151" s="398"/>
      <c r="CF151" s="398"/>
      <c r="CG151" s="398"/>
      <c r="CH151" s="398">
        <v>11.057</v>
      </c>
      <c r="CI151" s="398">
        <v>11.057</v>
      </c>
      <c r="CJ151" s="398">
        <v>11.057</v>
      </c>
      <c r="CK151" s="398">
        <v>11.057</v>
      </c>
      <c r="CL151" s="398">
        <v>11.057</v>
      </c>
      <c r="CM151" s="398">
        <v>11.057</v>
      </c>
      <c r="CN151" s="398">
        <v>11.057</v>
      </c>
      <c r="CO151" s="398">
        <v>11.057</v>
      </c>
      <c r="CP151" s="398">
        <v>11.057</v>
      </c>
      <c r="CQ151" s="398">
        <v>11.057</v>
      </c>
      <c r="CR151" s="398"/>
      <c r="CS151" s="398"/>
      <c r="CT151" s="398"/>
      <c r="CU151" s="398"/>
      <c r="CV151" s="398"/>
      <c r="CW151" s="398"/>
      <c r="CX151" s="398"/>
      <c r="CY151" s="398"/>
      <c r="CZ151" s="398"/>
      <c r="DA151" s="398"/>
      <c r="DB151" s="398"/>
      <c r="DC151" s="398"/>
      <c r="DD151" s="398"/>
      <c r="DE151" s="393"/>
      <c r="DF151" s="393"/>
      <c r="DG151" s="393"/>
      <c r="DH151" s="393"/>
      <c r="DI151" s="393"/>
      <c r="DJ151" s="393"/>
      <c r="DK151" s="897"/>
    </row>
    <row r="152" spans="1:115" ht="38.25" x14ac:dyDescent="0.2">
      <c r="A152" s="295">
        <v>148</v>
      </c>
      <c r="B152" s="390" t="s">
        <v>2596</v>
      </c>
      <c r="C152" s="390"/>
      <c r="D152" s="391" t="s">
        <v>2311</v>
      </c>
      <c r="E152" s="704" t="s">
        <v>2312</v>
      </c>
      <c r="F152" s="393" t="s">
        <v>1352</v>
      </c>
      <c r="G152" s="393" t="s">
        <v>1673</v>
      </c>
      <c r="H152" s="393" t="s">
        <v>42</v>
      </c>
      <c r="I152" s="392"/>
      <c r="J152" s="392"/>
      <c r="K152" s="392" t="s">
        <v>85</v>
      </c>
      <c r="L152" s="392" t="s">
        <v>43</v>
      </c>
      <c r="M152" s="392"/>
      <c r="N152" s="393" t="s">
        <v>44</v>
      </c>
      <c r="O152" s="393" t="s">
        <v>45</v>
      </c>
      <c r="P152" s="393" t="s">
        <v>45</v>
      </c>
      <c r="Q152" s="392" t="s">
        <v>86</v>
      </c>
      <c r="R152" s="392" t="s">
        <v>3899</v>
      </c>
      <c r="S152" s="392" t="s">
        <v>46</v>
      </c>
      <c r="T152" s="394">
        <v>1</v>
      </c>
      <c r="U152" s="395">
        <v>12.706</v>
      </c>
      <c r="V152" s="395"/>
      <c r="W152" s="453"/>
      <c r="X152" s="394"/>
      <c r="Y152" s="394">
        <v>10</v>
      </c>
      <c r="Z152" s="394">
        <v>25</v>
      </c>
      <c r="AA152" s="395">
        <v>0</v>
      </c>
      <c r="AB152" s="452">
        <v>41122</v>
      </c>
      <c r="AC152" s="398">
        <v>5.2910000000000004</v>
      </c>
      <c r="AD152" s="398">
        <v>127.06</v>
      </c>
      <c r="AE152" s="393" t="s">
        <v>47</v>
      </c>
      <c r="AF152" s="417">
        <f>0.003</f>
        <v>3.0000000000000001E-3</v>
      </c>
      <c r="AG152" s="417"/>
      <c r="AH152" s="417">
        <v>3.0000000000000001E-3</v>
      </c>
      <c r="AI152" s="394">
        <v>1</v>
      </c>
      <c r="AJ152" s="452">
        <v>41386</v>
      </c>
      <c r="AK152" s="452">
        <v>41152</v>
      </c>
      <c r="AL152" s="393"/>
      <c r="AM152" s="393"/>
      <c r="AN152" s="417"/>
      <c r="AO152" s="392" t="s">
        <v>1606</v>
      </c>
      <c r="AP152" s="392"/>
      <c r="AQ152" s="392"/>
      <c r="AR152" s="392" t="s">
        <v>48</v>
      </c>
      <c r="AS152" s="480"/>
      <c r="AT152" s="453"/>
      <c r="AU152" s="453"/>
      <c r="AV152" s="453"/>
      <c r="AW152" s="453"/>
      <c r="AX152" s="453"/>
      <c r="AY152" s="453"/>
      <c r="AZ152" s="452">
        <v>40991</v>
      </c>
      <c r="BA152" s="393"/>
      <c r="BB152" s="393"/>
      <c r="BC152" s="393" t="b">
        <v>0</v>
      </c>
      <c r="BD152" s="393"/>
      <c r="BE152" s="392"/>
      <c r="BF152" s="394">
        <v>5</v>
      </c>
      <c r="BG152" s="394">
        <v>8</v>
      </c>
      <c r="BH152" s="394">
        <v>9</v>
      </c>
      <c r="BI152" s="394">
        <v>4</v>
      </c>
      <c r="BJ152" s="394"/>
      <c r="BK152" s="394"/>
      <c r="BL152" s="444" t="s">
        <v>6981</v>
      </c>
      <c r="BM152" s="392" t="s">
        <v>3900</v>
      </c>
      <c r="BN152" s="393" t="s">
        <v>42</v>
      </c>
      <c r="BO152" s="393"/>
      <c r="BP152" s="399"/>
      <c r="BQ152" s="400"/>
      <c r="BR152" s="401"/>
      <c r="BS152" s="399"/>
      <c r="BT152" s="394"/>
      <c r="BU152" s="417">
        <v>0.8</v>
      </c>
      <c r="BV152" s="399"/>
      <c r="BW152" s="393" t="s">
        <v>3117</v>
      </c>
      <c r="BX152" s="392" t="s">
        <v>1447</v>
      </c>
      <c r="BY152" s="393"/>
      <c r="BZ152" s="393"/>
      <c r="CA152" s="441" t="s">
        <v>1663</v>
      </c>
      <c r="CB152" s="400">
        <v>2</v>
      </c>
      <c r="CC152" s="398"/>
      <c r="CD152" s="398"/>
      <c r="CE152" s="398"/>
      <c r="CF152" s="398"/>
      <c r="CG152" s="398"/>
      <c r="CH152" s="398">
        <v>12.706</v>
      </c>
      <c r="CI152" s="398">
        <v>12.706</v>
      </c>
      <c r="CJ152" s="398">
        <v>12.706</v>
      </c>
      <c r="CK152" s="398">
        <v>12.706</v>
      </c>
      <c r="CL152" s="398">
        <v>12.706</v>
      </c>
      <c r="CM152" s="398">
        <v>12.706</v>
      </c>
      <c r="CN152" s="398">
        <v>12.706</v>
      </c>
      <c r="CO152" s="398">
        <v>12.706</v>
      </c>
      <c r="CP152" s="398">
        <v>12.706</v>
      </c>
      <c r="CQ152" s="398">
        <v>12.706</v>
      </c>
      <c r="CR152" s="398"/>
      <c r="CS152" s="398"/>
      <c r="CT152" s="398"/>
      <c r="CU152" s="398"/>
      <c r="CV152" s="398"/>
      <c r="CW152" s="398"/>
      <c r="CX152" s="398"/>
      <c r="CY152" s="398"/>
      <c r="CZ152" s="398"/>
      <c r="DA152" s="398"/>
      <c r="DB152" s="398"/>
      <c r="DC152" s="398"/>
      <c r="DD152" s="398"/>
      <c r="DE152" s="393"/>
      <c r="DF152" s="393"/>
      <c r="DG152" s="393"/>
      <c r="DH152" s="393"/>
      <c r="DI152" s="393"/>
      <c r="DJ152" s="393"/>
      <c r="DK152" s="897"/>
    </row>
    <row r="153" spans="1:115" ht="38.25" x14ac:dyDescent="0.2">
      <c r="A153" s="295">
        <v>149</v>
      </c>
      <c r="B153" s="390" t="s">
        <v>2971</v>
      </c>
      <c r="C153" s="390"/>
      <c r="D153" s="391" t="s">
        <v>2972</v>
      </c>
      <c r="E153" s="704" t="s">
        <v>2973</v>
      </c>
      <c r="F153" s="393" t="s">
        <v>1352</v>
      </c>
      <c r="G153" s="393" t="s">
        <v>1673</v>
      </c>
      <c r="H153" s="393" t="s">
        <v>42</v>
      </c>
      <c r="I153" s="392"/>
      <c r="J153" s="392"/>
      <c r="K153" s="392" t="s">
        <v>460</v>
      </c>
      <c r="L153" s="392" t="s">
        <v>43</v>
      </c>
      <c r="M153" s="392"/>
      <c r="N153" s="393" t="s">
        <v>44</v>
      </c>
      <c r="O153" s="393" t="s">
        <v>45</v>
      </c>
      <c r="P153" s="393" t="s">
        <v>45</v>
      </c>
      <c r="Q153" s="392" t="s">
        <v>1212</v>
      </c>
      <c r="R153" s="392" t="s">
        <v>3901</v>
      </c>
      <c r="S153" s="392" t="s">
        <v>46</v>
      </c>
      <c r="T153" s="394">
        <v>1</v>
      </c>
      <c r="U153" s="395">
        <v>8.2370000000000001</v>
      </c>
      <c r="V153" s="395"/>
      <c r="W153" s="453"/>
      <c r="X153" s="394"/>
      <c r="Y153" s="394">
        <v>10</v>
      </c>
      <c r="Z153" s="394">
        <v>25</v>
      </c>
      <c r="AA153" s="395">
        <v>0</v>
      </c>
      <c r="AB153" s="452">
        <v>41122</v>
      </c>
      <c r="AC153" s="398">
        <v>3.43</v>
      </c>
      <c r="AD153" s="398">
        <v>82.37</v>
      </c>
      <c r="AE153" s="393" t="s">
        <v>47</v>
      </c>
      <c r="AF153" s="417"/>
      <c r="AG153" s="417"/>
      <c r="AH153" s="417"/>
      <c r="AI153" s="394"/>
      <c r="AJ153" s="452"/>
      <c r="AK153" s="452"/>
      <c r="AL153" s="393"/>
      <c r="AM153" s="393"/>
      <c r="AN153" s="417"/>
      <c r="AO153" s="392" t="s">
        <v>1606</v>
      </c>
      <c r="AP153" s="392"/>
      <c r="AQ153" s="392"/>
      <c r="AR153" s="392" t="s">
        <v>48</v>
      </c>
      <c r="AS153" s="480"/>
      <c r="AT153" s="397"/>
      <c r="AU153" s="397"/>
      <c r="AV153" s="453"/>
      <c r="AW153" s="453"/>
      <c r="AX153" s="453"/>
      <c r="AY153" s="453"/>
      <c r="AZ153" s="452">
        <v>41121</v>
      </c>
      <c r="BA153" s="393"/>
      <c r="BB153" s="393"/>
      <c r="BC153" s="393" t="b">
        <v>0</v>
      </c>
      <c r="BD153" s="393"/>
      <c r="BE153" s="392"/>
      <c r="BF153" s="394">
        <v>5</v>
      </c>
      <c r="BG153" s="394">
        <v>8</v>
      </c>
      <c r="BH153" s="394">
        <v>9</v>
      </c>
      <c r="BI153" s="394">
        <v>4</v>
      </c>
      <c r="BJ153" s="394"/>
      <c r="BK153" s="394"/>
      <c r="BL153" s="444" t="s">
        <v>6981</v>
      </c>
      <c r="BM153" s="392" t="s">
        <v>3900</v>
      </c>
      <c r="BN153" s="393" t="s">
        <v>42</v>
      </c>
      <c r="BO153" s="393"/>
      <c r="BP153" s="399"/>
      <c r="BQ153" s="400"/>
      <c r="BR153" s="401"/>
      <c r="BS153" s="399"/>
      <c r="BT153" s="394"/>
      <c r="BU153" s="417">
        <v>0.86</v>
      </c>
      <c r="BV153" s="399"/>
      <c r="BW153" s="393" t="s">
        <v>3117</v>
      </c>
      <c r="BX153" s="392" t="s">
        <v>1447</v>
      </c>
      <c r="BY153" s="393"/>
      <c r="BZ153" s="393"/>
      <c r="CA153" s="441" t="s">
        <v>1663</v>
      </c>
      <c r="CB153" s="400">
        <v>2</v>
      </c>
      <c r="CC153" s="398"/>
      <c r="CD153" s="398"/>
      <c r="CE153" s="398"/>
      <c r="CF153" s="398"/>
      <c r="CG153" s="398"/>
      <c r="CH153" s="398">
        <v>8.2370000000000001</v>
      </c>
      <c r="CI153" s="398">
        <v>8.2370000000000001</v>
      </c>
      <c r="CJ153" s="398">
        <v>8.2370000000000001</v>
      </c>
      <c r="CK153" s="398">
        <v>8.2370000000000001</v>
      </c>
      <c r="CL153" s="398">
        <v>8.2370000000000001</v>
      </c>
      <c r="CM153" s="398">
        <v>8.2370000000000001</v>
      </c>
      <c r="CN153" s="398">
        <v>8.2370000000000001</v>
      </c>
      <c r="CO153" s="398">
        <v>8.2370000000000001</v>
      </c>
      <c r="CP153" s="398">
        <v>8.2370000000000001</v>
      </c>
      <c r="CQ153" s="398">
        <v>8.2370000000000001</v>
      </c>
      <c r="CR153" s="398"/>
      <c r="CS153" s="398"/>
      <c r="CT153" s="398"/>
      <c r="CU153" s="398"/>
      <c r="CV153" s="398"/>
      <c r="CW153" s="398"/>
      <c r="CX153" s="398"/>
      <c r="CY153" s="398"/>
      <c r="CZ153" s="398"/>
      <c r="DA153" s="398"/>
      <c r="DB153" s="398"/>
      <c r="DC153" s="398"/>
      <c r="DD153" s="398"/>
      <c r="DE153" s="393"/>
      <c r="DF153" s="393"/>
      <c r="DG153" s="393"/>
      <c r="DH153" s="393"/>
      <c r="DI153" s="393"/>
      <c r="DJ153" s="393"/>
      <c r="DK153" s="897"/>
    </row>
    <row r="154" spans="1:115" ht="38.25" x14ac:dyDescent="0.2">
      <c r="A154" s="295">
        <v>150</v>
      </c>
      <c r="B154" s="390" t="s">
        <v>3133</v>
      </c>
      <c r="C154" s="390"/>
      <c r="D154" s="391" t="s">
        <v>3134</v>
      </c>
      <c r="E154" s="704" t="s">
        <v>3135</v>
      </c>
      <c r="F154" s="393" t="s">
        <v>1352</v>
      </c>
      <c r="G154" s="393" t="s">
        <v>1673</v>
      </c>
      <c r="H154" s="393" t="s">
        <v>42</v>
      </c>
      <c r="I154" s="392"/>
      <c r="J154" s="392"/>
      <c r="K154" s="392" t="s">
        <v>460</v>
      </c>
      <c r="L154" s="392" t="s">
        <v>43</v>
      </c>
      <c r="M154" s="392"/>
      <c r="N154" s="393" t="s">
        <v>44</v>
      </c>
      <c r="O154" s="393" t="s">
        <v>45</v>
      </c>
      <c r="P154" s="393" t="s">
        <v>45</v>
      </c>
      <c r="Q154" s="392" t="s">
        <v>1212</v>
      </c>
      <c r="R154" s="392" t="s">
        <v>3903</v>
      </c>
      <c r="S154" s="392" t="s">
        <v>46</v>
      </c>
      <c r="T154" s="394">
        <v>1</v>
      </c>
      <c r="U154" s="395">
        <v>11.057</v>
      </c>
      <c r="V154" s="395"/>
      <c r="W154" s="453"/>
      <c r="X154" s="394"/>
      <c r="Y154" s="394">
        <v>10</v>
      </c>
      <c r="Z154" s="394">
        <v>25</v>
      </c>
      <c r="AA154" s="395">
        <v>0</v>
      </c>
      <c r="AB154" s="452">
        <v>41153</v>
      </c>
      <c r="AC154" s="398">
        <v>3.665</v>
      </c>
      <c r="AD154" s="398">
        <v>110.57000000000001</v>
      </c>
      <c r="AE154" s="393" t="s">
        <v>47</v>
      </c>
      <c r="AF154" s="417"/>
      <c r="AG154" s="417"/>
      <c r="AH154" s="417"/>
      <c r="AI154" s="394"/>
      <c r="AJ154" s="452"/>
      <c r="AK154" s="452"/>
      <c r="AL154" s="393"/>
      <c r="AM154" s="393"/>
      <c r="AN154" s="417"/>
      <c r="AO154" s="392" t="s">
        <v>1606</v>
      </c>
      <c r="AP154" s="392"/>
      <c r="AQ154" s="392"/>
      <c r="AR154" s="392" t="s">
        <v>48</v>
      </c>
      <c r="AS154" s="480"/>
      <c r="AT154" s="453"/>
      <c r="AU154" s="453"/>
      <c r="AV154" s="453"/>
      <c r="AW154" s="453"/>
      <c r="AX154" s="453"/>
      <c r="AY154" s="453"/>
      <c r="AZ154" s="452">
        <v>41151</v>
      </c>
      <c r="BA154" s="393"/>
      <c r="BB154" s="393"/>
      <c r="BC154" s="393" t="b">
        <v>0</v>
      </c>
      <c r="BD154" s="393"/>
      <c r="BE154" s="392"/>
      <c r="BF154" s="394">
        <v>5</v>
      </c>
      <c r="BG154" s="394">
        <v>8</v>
      </c>
      <c r="BH154" s="394">
        <v>9</v>
      </c>
      <c r="BI154" s="394">
        <v>4</v>
      </c>
      <c r="BJ154" s="394"/>
      <c r="BK154" s="394"/>
      <c r="BL154" s="444" t="s">
        <v>6981</v>
      </c>
      <c r="BM154" s="392" t="s">
        <v>3900</v>
      </c>
      <c r="BN154" s="393" t="s">
        <v>42</v>
      </c>
      <c r="BO154" s="393"/>
      <c r="BP154" s="399"/>
      <c r="BQ154" s="400"/>
      <c r="BR154" s="401"/>
      <c r="BS154" s="399"/>
      <c r="BT154" s="394"/>
      <c r="BU154" s="417">
        <v>0.8</v>
      </c>
      <c r="BV154" s="399"/>
      <c r="BW154" s="393" t="s">
        <v>3117</v>
      </c>
      <c r="BX154" s="392" t="s">
        <v>1447</v>
      </c>
      <c r="BY154" s="393"/>
      <c r="BZ154" s="393"/>
      <c r="CA154" s="441" t="s">
        <v>1663</v>
      </c>
      <c r="CB154" s="400">
        <v>2</v>
      </c>
      <c r="CC154" s="398"/>
      <c r="CD154" s="398"/>
      <c r="CE154" s="398"/>
      <c r="CF154" s="398"/>
      <c r="CG154" s="398"/>
      <c r="CH154" s="398">
        <v>11.057</v>
      </c>
      <c r="CI154" s="398">
        <v>11.057</v>
      </c>
      <c r="CJ154" s="398">
        <v>11.057</v>
      </c>
      <c r="CK154" s="398">
        <v>11.057</v>
      </c>
      <c r="CL154" s="398">
        <v>11.057</v>
      </c>
      <c r="CM154" s="398">
        <v>11.057</v>
      </c>
      <c r="CN154" s="398">
        <v>11.057</v>
      </c>
      <c r="CO154" s="398">
        <v>11.057</v>
      </c>
      <c r="CP154" s="398">
        <v>11.057</v>
      </c>
      <c r="CQ154" s="398">
        <v>11.057</v>
      </c>
      <c r="CR154" s="398"/>
      <c r="CS154" s="398"/>
      <c r="CT154" s="398"/>
      <c r="CU154" s="398"/>
      <c r="CV154" s="398"/>
      <c r="CW154" s="398"/>
      <c r="CX154" s="398"/>
      <c r="CY154" s="398"/>
      <c r="CZ154" s="398"/>
      <c r="DA154" s="398"/>
      <c r="DB154" s="398"/>
      <c r="DC154" s="398"/>
      <c r="DD154" s="398"/>
      <c r="DE154" s="393"/>
      <c r="DF154" s="393"/>
      <c r="DG154" s="393"/>
      <c r="DH154" s="393"/>
      <c r="DI154" s="393"/>
      <c r="DJ154" s="393"/>
      <c r="DK154" s="897"/>
    </row>
    <row r="155" spans="1:115" ht="38.25" x14ac:dyDescent="0.2">
      <c r="A155" s="295">
        <v>151</v>
      </c>
      <c r="B155" s="390" t="s">
        <v>3136</v>
      </c>
      <c r="C155" s="390"/>
      <c r="D155" s="391" t="s">
        <v>3137</v>
      </c>
      <c r="E155" s="704" t="s">
        <v>3138</v>
      </c>
      <c r="F155" s="393" t="s">
        <v>1352</v>
      </c>
      <c r="G155" s="393" t="s">
        <v>1673</v>
      </c>
      <c r="H155" s="393" t="s">
        <v>42</v>
      </c>
      <c r="I155" s="392"/>
      <c r="J155" s="392"/>
      <c r="K155" s="392" t="s">
        <v>460</v>
      </c>
      <c r="L155" s="392" t="s">
        <v>43</v>
      </c>
      <c r="M155" s="392"/>
      <c r="N155" s="393" t="s">
        <v>44</v>
      </c>
      <c r="O155" s="393" t="s">
        <v>45</v>
      </c>
      <c r="P155" s="393" t="s">
        <v>45</v>
      </c>
      <c r="Q155" s="392" t="s">
        <v>1212</v>
      </c>
      <c r="R155" s="392" t="s">
        <v>3901</v>
      </c>
      <c r="S155" s="392" t="s">
        <v>46</v>
      </c>
      <c r="T155" s="394">
        <v>1</v>
      </c>
      <c r="U155" s="395">
        <v>31.692</v>
      </c>
      <c r="V155" s="395"/>
      <c r="W155" s="453"/>
      <c r="X155" s="394"/>
      <c r="Y155" s="394">
        <v>10</v>
      </c>
      <c r="Z155" s="394">
        <v>25</v>
      </c>
      <c r="AA155" s="395">
        <v>0</v>
      </c>
      <c r="AB155" s="452">
        <v>41183</v>
      </c>
      <c r="AC155" s="398">
        <v>7.9009999999999998</v>
      </c>
      <c r="AD155" s="398">
        <v>316.92</v>
      </c>
      <c r="AE155" s="393" t="s">
        <v>47</v>
      </c>
      <c r="AF155" s="417"/>
      <c r="AG155" s="417"/>
      <c r="AH155" s="417"/>
      <c r="AI155" s="394"/>
      <c r="AJ155" s="453"/>
      <c r="AK155" s="453"/>
      <c r="AL155" s="393"/>
      <c r="AM155" s="393"/>
      <c r="AN155" s="417"/>
      <c r="AO155" s="392"/>
      <c r="AP155" s="392"/>
      <c r="AQ155" s="392"/>
      <c r="AR155" s="392" t="s">
        <v>48</v>
      </c>
      <c r="AS155" s="480"/>
      <c r="AT155" s="453"/>
      <c r="AU155" s="453"/>
      <c r="AV155" s="453"/>
      <c r="AW155" s="453"/>
      <c r="AX155" s="453"/>
      <c r="AY155" s="453"/>
      <c r="AZ155" s="452">
        <v>41181</v>
      </c>
      <c r="BA155" s="393"/>
      <c r="BB155" s="393"/>
      <c r="BC155" s="393" t="b">
        <v>0</v>
      </c>
      <c r="BD155" s="393"/>
      <c r="BE155" s="392"/>
      <c r="BF155" s="394">
        <v>5</v>
      </c>
      <c r="BG155" s="394">
        <v>8</v>
      </c>
      <c r="BH155" s="394">
        <v>9</v>
      </c>
      <c r="BI155" s="394">
        <v>4</v>
      </c>
      <c r="BJ155" s="394"/>
      <c r="BK155" s="394"/>
      <c r="BL155" s="444" t="s">
        <v>6981</v>
      </c>
      <c r="BM155" s="392" t="s">
        <v>3900</v>
      </c>
      <c r="BN155" s="393" t="s">
        <v>42</v>
      </c>
      <c r="BO155" s="393"/>
      <c r="BP155" s="399"/>
      <c r="BQ155" s="400"/>
      <c r="BR155" s="401"/>
      <c r="BS155" s="399"/>
      <c r="BT155" s="394"/>
      <c r="BU155" s="417">
        <v>0.8</v>
      </c>
      <c r="BV155" s="399"/>
      <c r="BW155" s="393" t="s">
        <v>3117</v>
      </c>
      <c r="BX155" s="392" t="s">
        <v>1447</v>
      </c>
      <c r="BY155" s="393"/>
      <c r="BZ155" s="393"/>
      <c r="CA155" s="441" t="s">
        <v>1663</v>
      </c>
      <c r="CB155" s="400">
        <v>2</v>
      </c>
      <c r="CC155" s="398"/>
      <c r="CD155" s="398"/>
      <c r="CE155" s="398"/>
      <c r="CF155" s="398"/>
      <c r="CG155" s="398"/>
      <c r="CH155" s="398">
        <v>31.692</v>
      </c>
      <c r="CI155" s="398">
        <v>31.692</v>
      </c>
      <c r="CJ155" s="398">
        <v>31.692</v>
      </c>
      <c r="CK155" s="398">
        <v>31.692</v>
      </c>
      <c r="CL155" s="398">
        <v>31.692</v>
      </c>
      <c r="CM155" s="398">
        <v>31.692</v>
      </c>
      <c r="CN155" s="398">
        <v>31.692</v>
      </c>
      <c r="CO155" s="398">
        <v>31.692</v>
      </c>
      <c r="CP155" s="398">
        <v>31.692</v>
      </c>
      <c r="CQ155" s="398">
        <v>31.692</v>
      </c>
      <c r="CR155" s="398"/>
      <c r="CS155" s="398"/>
      <c r="CT155" s="398"/>
      <c r="CU155" s="398"/>
      <c r="CV155" s="398"/>
      <c r="CW155" s="398"/>
      <c r="CX155" s="398"/>
      <c r="CY155" s="398"/>
      <c r="CZ155" s="398"/>
      <c r="DA155" s="398"/>
      <c r="DB155" s="398"/>
      <c r="DC155" s="398"/>
      <c r="DD155" s="398"/>
      <c r="DE155" s="393"/>
      <c r="DF155" s="393"/>
      <c r="DG155" s="393"/>
      <c r="DH155" s="393"/>
      <c r="DI155" s="393"/>
      <c r="DJ155" s="393"/>
      <c r="DK155" s="897"/>
    </row>
    <row r="156" spans="1:115" ht="38.25" x14ac:dyDescent="0.2">
      <c r="A156" s="295">
        <v>152</v>
      </c>
      <c r="B156" s="390" t="s">
        <v>3139</v>
      </c>
      <c r="C156" s="390"/>
      <c r="D156" s="391" t="s">
        <v>3140</v>
      </c>
      <c r="E156" s="704" t="s">
        <v>3141</v>
      </c>
      <c r="F156" s="393" t="s">
        <v>1352</v>
      </c>
      <c r="G156" s="393" t="s">
        <v>1673</v>
      </c>
      <c r="H156" s="393" t="s">
        <v>42</v>
      </c>
      <c r="I156" s="392"/>
      <c r="J156" s="392"/>
      <c r="K156" s="392" t="s">
        <v>460</v>
      </c>
      <c r="L156" s="392" t="s">
        <v>43</v>
      </c>
      <c r="M156" s="392"/>
      <c r="N156" s="393" t="s">
        <v>44</v>
      </c>
      <c r="O156" s="393" t="s">
        <v>45</v>
      </c>
      <c r="P156" s="393" t="s">
        <v>45</v>
      </c>
      <c r="Q156" s="392" t="s">
        <v>1212</v>
      </c>
      <c r="R156" s="392" t="s">
        <v>3901</v>
      </c>
      <c r="S156" s="392" t="s">
        <v>46</v>
      </c>
      <c r="T156" s="394">
        <v>1</v>
      </c>
      <c r="U156" s="395">
        <v>5.5209999999999999</v>
      </c>
      <c r="V156" s="395"/>
      <c r="W156" s="453"/>
      <c r="X156" s="394"/>
      <c r="Y156" s="394">
        <v>10</v>
      </c>
      <c r="Z156" s="394">
        <v>25</v>
      </c>
      <c r="AA156" s="395">
        <v>0</v>
      </c>
      <c r="AB156" s="452">
        <v>41183</v>
      </c>
      <c r="AC156" s="398">
        <v>1.3759999999999999</v>
      </c>
      <c r="AD156" s="398">
        <v>55.21</v>
      </c>
      <c r="AE156" s="393" t="s">
        <v>47</v>
      </c>
      <c r="AF156" s="417"/>
      <c r="AG156" s="417"/>
      <c r="AH156" s="417"/>
      <c r="AI156" s="394"/>
      <c r="AJ156" s="453"/>
      <c r="AK156" s="453"/>
      <c r="AL156" s="393"/>
      <c r="AM156" s="393"/>
      <c r="AN156" s="417"/>
      <c r="AO156" s="392"/>
      <c r="AP156" s="392"/>
      <c r="AQ156" s="392"/>
      <c r="AR156" s="392" t="s">
        <v>48</v>
      </c>
      <c r="AS156" s="480"/>
      <c r="AT156" s="453"/>
      <c r="AU156" s="453"/>
      <c r="AV156" s="453"/>
      <c r="AW156" s="453"/>
      <c r="AX156" s="453"/>
      <c r="AY156" s="453"/>
      <c r="AZ156" s="452">
        <v>41181</v>
      </c>
      <c r="BA156" s="393"/>
      <c r="BB156" s="393"/>
      <c r="BC156" s="393" t="b">
        <v>0</v>
      </c>
      <c r="BD156" s="393"/>
      <c r="BE156" s="392"/>
      <c r="BF156" s="394">
        <v>5</v>
      </c>
      <c r="BG156" s="394">
        <v>8</v>
      </c>
      <c r="BH156" s="394">
        <v>9</v>
      </c>
      <c r="BI156" s="394">
        <v>4</v>
      </c>
      <c r="BJ156" s="394"/>
      <c r="BK156" s="394"/>
      <c r="BL156" s="444" t="s">
        <v>6981</v>
      </c>
      <c r="BM156" s="392" t="s">
        <v>3900</v>
      </c>
      <c r="BN156" s="393" t="s">
        <v>42</v>
      </c>
      <c r="BO156" s="393"/>
      <c r="BP156" s="399"/>
      <c r="BQ156" s="400"/>
      <c r="BR156" s="401"/>
      <c r="BS156" s="399"/>
      <c r="BT156" s="394"/>
      <c r="BU156" s="417">
        <v>0.86</v>
      </c>
      <c r="BV156" s="399"/>
      <c r="BW156" s="393" t="s">
        <v>3117</v>
      </c>
      <c r="BX156" s="392" t="s">
        <v>1447</v>
      </c>
      <c r="BY156" s="393"/>
      <c r="BZ156" s="393"/>
      <c r="CA156" s="441" t="s">
        <v>1663</v>
      </c>
      <c r="CB156" s="400">
        <v>2</v>
      </c>
      <c r="CC156" s="398"/>
      <c r="CD156" s="398"/>
      <c r="CE156" s="398"/>
      <c r="CF156" s="398"/>
      <c r="CG156" s="398"/>
      <c r="CH156" s="398">
        <v>5.5209999999999999</v>
      </c>
      <c r="CI156" s="398">
        <v>5.5209999999999999</v>
      </c>
      <c r="CJ156" s="398">
        <v>5.5209999999999999</v>
      </c>
      <c r="CK156" s="398">
        <v>5.5209999999999999</v>
      </c>
      <c r="CL156" s="398">
        <v>5.5209999999999999</v>
      </c>
      <c r="CM156" s="398">
        <v>5.5209999999999999</v>
      </c>
      <c r="CN156" s="398">
        <v>5.5209999999999999</v>
      </c>
      <c r="CO156" s="398">
        <v>5.5209999999999999</v>
      </c>
      <c r="CP156" s="398">
        <v>5.5209999999999999</v>
      </c>
      <c r="CQ156" s="398">
        <v>5.5209999999999999</v>
      </c>
      <c r="CR156" s="398"/>
      <c r="CS156" s="398"/>
      <c r="CT156" s="398"/>
      <c r="CU156" s="398"/>
      <c r="CV156" s="398"/>
      <c r="CW156" s="398"/>
      <c r="CX156" s="398"/>
      <c r="CY156" s="398"/>
      <c r="CZ156" s="398"/>
      <c r="DA156" s="398"/>
      <c r="DB156" s="398"/>
      <c r="DC156" s="398"/>
      <c r="DD156" s="398"/>
      <c r="DE156" s="393"/>
      <c r="DF156" s="393"/>
      <c r="DG156" s="393"/>
      <c r="DH156" s="393"/>
      <c r="DI156" s="393"/>
      <c r="DJ156" s="393"/>
      <c r="DK156" s="897"/>
    </row>
    <row r="157" spans="1:115" ht="25.5" x14ac:dyDescent="0.2">
      <c r="A157" s="295">
        <v>153</v>
      </c>
      <c r="B157" s="390" t="s">
        <v>4215</v>
      </c>
      <c r="C157" s="390"/>
      <c r="D157" s="391" t="s">
        <v>4216</v>
      </c>
      <c r="E157" s="705" t="s">
        <v>7417</v>
      </c>
      <c r="F157" s="393" t="s">
        <v>1352</v>
      </c>
      <c r="G157" s="393" t="s">
        <v>1673</v>
      </c>
      <c r="H157" s="393" t="s">
        <v>42</v>
      </c>
      <c r="I157" s="392"/>
      <c r="J157" s="392"/>
      <c r="K157" s="392" t="s">
        <v>4217</v>
      </c>
      <c r="L157" s="392" t="s">
        <v>43</v>
      </c>
      <c r="M157" s="392"/>
      <c r="N157" s="393" t="s">
        <v>44</v>
      </c>
      <c r="O157" s="393" t="s">
        <v>45</v>
      </c>
      <c r="P157" s="393" t="s">
        <v>45</v>
      </c>
      <c r="Q157" s="392" t="s">
        <v>1212</v>
      </c>
      <c r="R157" s="392" t="s">
        <v>3901</v>
      </c>
      <c r="S157" s="392" t="s">
        <v>46</v>
      </c>
      <c r="T157" s="394">
        <v>1</v>
      </c>
      <c r="U157" s="395">
        <v>16.513999999999999</v>
      </c>
      <c r="V157" s="395"/>
      <c r="W157" s="453"/>
      <c r="X157" s="394"/>
      <c r="Y157" s="394">
        <v>10</v>
      </c>
      <c r="Z157" s="394">
        <v>25</v>
      </c>
      <c r="AA157" s="395">
        <v>0</v>
      </c>
      <c r="AB157" s="452">
        <v>41214</v>
      </c>
      <c r="AC157" s="398">
        <v>2.7149999999999999</v>
      </c>
      <c r="AD157" s="398">
        <v>165.14</v>
      </c>
      <c r="AE157" s="393" t="s">
        <v>47</v>
      </c>
      <c r="AF157" s="417"/>
      <c r="AG157" s="417"/>
      <c r="AH157" s="417"/>
      <c r="AI157" s="394"/>
      <c r="AJ157" s="453"/>
      <c r="AK157" s="453"/>
      <c r="AL157" s="393"/>
      <c r="AM157" s="393"/>
      <c r="AN157" s="417"/>
      <c r="AO157" s="392"/>
      <c r="AP157" s="392"/>
      <c r="AQ157" s="392"/>
      <c r="AR157" s="392" t="s">
        <v>48</v>
      </c>
      <c r="AS157" s="480"/>
      <c r="AT157" s="453"/>
      <c r="AU157" s="453"/>
      <c r="AV157" s="453"/>
      <c r="AW157" s="453"/>
      <c r="AX157" s="453"/>
      <c r="AY157" s="453"/>
      <c r="AZ157" s="452">
        <v>41213</v>
      </c>
      <c r="BA157" s="393"/>
      <c r="BB157" s="393"/>
      <c r="BC157" s="393" t="b">
        <v>0</v>
      </c>
      <c r="BD157" s="393"/>
      <c r="BE157" s="392"/>
      <c r="BF157" s="394">
        <v>5</v>
      </c>
      <c r="BG157" s="394">
        <v>8</v>
      </c>
      <c r="BH157" s="394">
        <v>9</v>
      </c>
      <c r="BI157" s="394">
        <v>4</v>
      </c>
      <c r="BJ157" s="394"/>
      <c r="BK157" s="394"/>
      <c r="BL157" s="444" t="s">
        <v>6981</v>
      </c>
      <c r="BM157" s="392" t="s">
        <v>3900</v>
      </c>
      <c r="BN157" s="393" t="s">
        <v>42</v>
      </c>
      <c r="BO157" s="393"/>
      <c r="BP157" s="399"/>
      <c r="BQ157" s="400"/>
      <c r="BR157" s="401"/>
      <c r="BS157" s="399"/>
      <c r="BT157" s="394"/>
      <c r="BU157" s="417">
        <v>0.8</v>
      </c>
      <c r="BV157" s="399"/>
      <c r="BW157" s="393" t="s">
        <v>3117</v>
      </c>
      <c r="BX157" s="392" t="s">
        <v>1447</v>
      </c>
      <c r="BY157" s="393"/>
      <c r="BZ157" s="393"/>
      <c r="CA157" s="441" t="s">
        <v>1664</v>
      </c>
      <c r="CB157" s="400">
        <v>2</v>
      </c>
      <c r="CC157" s="398"/>
      <c r="CD157" s="398"/>
      <c r="CE157" s="398"/>
      <c r="CF157" s="398"/>
      <c r="CG157" s="398"/>
      <c r="CH157" s="398"/>
      <c r="CI157" s="398">
        <v>16.513999999999999</v>
      </c>
      <c r="CJ157" s="398">
        <v>16.513999999999999</v>
      </c>
      <c r="CK157" s="398">
        <v>16.513999999999999</v>
      </c>
      <c r="CL157" s="398">
        <v>16.513999999999999</v>
      </c>
      <c r="CM157" s="398">
        <v>16.513999999999999</v>
      </c>
      <c r="CN157" s="398">
        <v>16.513999999999999</v>
      </c>
      <c r="CO157" s="398">
        <v>16.513999999999999</v>
      </c>
      <c r="CP157" s="398">
        <v>16.513999999999999</v>
      </c>
      <c r="CQ157" s="398">
        <v>16.513999999999999</v>
      </c>
      <c r="CR157" s="398">
        <v>16.513999999999999</v>
      </c>
      <c r="CS157" s="398"/>
      <c r="CT157" s="398"/>
      <c r="CU157" s="398"/>
      <c r="CV157" s="398"/>
      <c r="CW157" s="398"/>
      <c r="CX157" s="398"/>
      <c r="CY157" s="398"/>
      <c r="CZ157" s="398"/>
      <c r="DA157" s="398"/>
      <c r="DB157" s="398"/>
      <c r="DC157" s="398"/>
      <c r="DD157" s="398"/>
      <c r="DE157" s="393"/>
      <c r="DF157" s="393"/>
      <c r="DG157" s="393"/>
      <c r="DH157" s="393"/>
      <c r="DI157" s="393"/>
      <c r="DJ157" s="393"/>
      <c r="DK157" s="897"/>
    </row>
    <row r="158" spans="1:115" ht="25.5" x14ac:dyDescent="0.2">
      <c r="A158" s="295">
        <v>154</v>
      </c>
      <c r="B158" s="390" t="s">
        <v>4218</v>
      </c>
      <c r="C158" s="390"/>
      <c r="D158" s="391" t="s">
        <v>4219</v>
      </c>
      <c r="E158" s="704" t="s">
        <v>4220</v>
      </c>
      <c r="F158" s="393" t="s">
        <v>1352</v>
      </c>
      <c r="G158" s="393" t="s">
        <v>1673</v>
      </c>
      <c r="H158" s="393" t="s">
        <v>42</v>
      </c>
      <c r="I158" s="392"/>
      <c r="J158" s="392"/>
      <c r="K158" s="392" t="s">
        <v>460</v>
      </c>
      <c r="L158" s="392" t="s">
        <v>43</v>
      </c>
      <c r="M158" s="392"/>
      <c r="N158" s="393" t="s">
        <v>44</v>
      </c>
      <c r="O158" s="393" t="s">
        <v>45</v>
      </c>
      <c r="P158" s="393" t="s">
        <v>45</v>
      </c>
      <c r="Q158" s="392" t="s">
        <v>1212</v>
      </c>
      <c r="R158" s="392" t="s">
        <v>3901</v>
      </c>
      <c r="S158" s="392" t="s">
        <v>46</v>
      </c>
      <c r="T158" s="394">
        <v>1</v>
      </c>
      <c r="U158" s="395">
        <v>13.792999999999999</v>
      </c>
      <c r="V158" s="395"/>
      <c r="W158" s="453"/>
      <c r="X158" s="394"/>
      <c r="Y158" s="394">
        <v>10</v>
      </c>
      <c r="Z158" s="394">
        <v>25</v>
      </c>
      <c r="AA158" s="395">
        <v>0</v>
      </c>
      <c r="AB158" s="452">
        <v>41214</v>
      </c>
      <c r="AC158" s="398">
        <v>2.2669999999999999</v>
      </c>
      <c r="AD158" s="398">
        <v>137.93</v>
      </c>
      <c r="AE158" s="393" t="s">
        <v>47</v>
      </c>
      <c r="AF158" s="417"/>
      <c r="AG158" s="417"/>
      <c r="AH158" s="417"/>
      <c r="AI158" s="394"/>
      <c r="AJ158" s="453"/>
      <c r="AK158" s="453"/>
      <c r="AL158" s="393"/>
      <c r="AM158" s="393"/>
      <c r="AN158" s="417"/>
      <c r="AO158" s="392"/>
      <c r="AP158" s="392"/>
      <c r="AQ158" s="392"/>
      <c r="AR158" s="392" t="s">
        <v>48</v>
      </c>
      <c r="AS158" s="480"/>
      <c r="AT158" s="453"/>
      <c r="AU158" s="453"/>
      <c r="AV158" s="453"/>
      <c r="AW158" s="453"/>
      <c r="AX158" s="453"/>
      <c r="AY158" s="453"/>
      <c r="AZ158" s="452">
        <v>41213</v>
      </c>
      <c r="BA158" s="393"/>
      <c r="BB158" s="393"/>
      <c r="BC158" s="393" t="b">
        <v>0</v>
      </c>
      <c r="BD158" s="393"/>
      <c r="BE158" s="392"/>
      <c r="BF158" s="394">
        <v>5</v>
      </c>
      <c r="BG158" s="394">
        <v>8</v>
      </c>
      <c r="BH158" s="394">
        <v>9</v>
      </c>
      <c r="BI158" s="394">
        <v>4</v>
      </c>
      <c r="BJ158" s="394"/>
      <c r="BK158" s="394"/>
      <c r="BL158" s="444" t="s">
        <v>6981</v>
      </c>
      <c r="BM158" s="392" t="s">
        <v>3900</v>
      </c>
      <c r="BN158" s="393" t="s">
        <v>42</v>
      </c>
      <c r="BO158" s="393"/>
      <c r="BP158" s="399"/>
      <c r="BQ158" s="400"/>
      <c r="BR158" s="401"/>
      <c r="BS158" s="399"/>
      <c r="BT158" s="394"/>
      <c r="BU158" s="417">
        <v>0.86</v>
      </c>
      <c r="BV158" s="399"/>
      <c r="BW158" s="393" t="s">
        <v>3117</v>
      </c>
      <c r="BX158" s="392" t="s">
        <v>1447</v>
      </c>
      <c r="BY158" s="393"/>
      <c r="BZ158" s="393"/>
      <c r="CA158" s="441" t="s">
        <v>1664</v>
      </c>
      <c r="CB158" s="400">
        <v>2</v>
      </c>
      <c r="CC158" s="398"/>
      <c r="CD158" s="398"/>
      <c r="CE158" s="398"/>
      <c r="CF158" s="398"/>
      <c r="CG158" s="398"/>
      <c r="CH158" s="398"/>
      <c r="CI158" s="398">
        <v>13.792999999999999</v>
      </c>
      <c r="CJ158" s="398">
        <v>13.792999999999999</v>
      </c>
      <c r="CK158" s="398">
        <v>13.792999999999999</v>
      </c>
      <c r="CL158" s="398">
        <v>13.792999999999999</v>
      </c>
      <c r="CM158" s="398">
        <v>13.792999999999999</v>
      </c>
      <c r="CN158" s="398">
        <v>13.792999999999999</v>
      </c>
      <c r="CO158" s="398">
        <v>13.792999999999999</v>
      </c>
      <c r="CP158" s="398">
        <v>13.792999999999999</v>
      </c>
      <c r="CQ158" s="398">
        <v>13.792999999999999</v>
      </c>
      <c r="CR158" s="398">
        <v>13.792999999999999</v>
      </c>
      <c r="CS158" s="398"/>
      <c r="CT158" s="398"/>
      <c r="CU158" s="398"/>
      <c r="CV158" s="398"/>
      <c r="CW158" s="398"/>
      <c r="CX158" s="398"/>
      <c r="CY158" s="398"/>
      <c r="CZ158" s="398"/>
      <c r="DA158" s="398"/>
      <c r="DB158" s="398"/>
      <c r="DC158" s="398"/>
      <c r="DD158" s="398"/>
      <c r="DE158" s="393"/>
      <c r="DF158" s="393"/>
      <c r="DG158" s="393"/>
      <c r="DH158" s="393"/>
      <c r="DI158" s="393"/>
      <c r="DJ158" s="393"/>
      <c r="DK158" s="897"/>
    </row>
    <row r="159" spans="1:115" ht="25.5" x14ac:dyDescent="0.2">
      <c r="A159" s="295">
        <v>155</v>
      </c>
      <c r="B159" s="390" t="s">
        <v>4221</v>
      </c>
      <c r="C159" s="390"/>
      <c r="D159" s="391" t="s">
        <v>4222</v>
      </c>
      <c r="E159" s="704" t="s">
        <v>4223</v>
      </c>
      <c r="F159" s="393" t="s">
        <v>1352</v>
      </c>
      <c r="G159" s="393" t="s">
        <v>1673</v>
      </c>
      <c r="H159" s="393" t="s">
        <v>42</v>
      </c>
      <c r="I159" s="392"/>
      <c r="J159" s="392"/>
      <c r="K159" s="392" t="s">
        <v>460</v>
      </c>
      <c r="L159" s="392" t="s">
        <v>43</v>
      </c>
      <c r="M159" s="392"/>
      <c r="N159" s="393" t="s">
        <v>44</v>
      </c>
      <c r="O159" s="393" t="s">
        <v>45</v>
      </c>
      <c r="P159" s="393" t="s">
        <v>45</v>
      </c>
      <c r="Q159" s="392" t="s">
        <v>1212</v>
      </c>
      <c r="R159" s="392" t="s">
        <v>4224</v>
      </c>
      <c r="S159" s="392" t="s">
        <v>46</v>
      </c>
      <c r="T159" s="394">
        <v>1</v>
      </c>
      <c r="U159" s="395">
        <v>32.741</v>
      </c>
      <c r="V159" s="395"/>
      <c r="W159" s="453"/>
      <c r="X159" s="394"/>
      <c r="Y159" s="394">
        <v>10</v>
      </c>
      <c r="Z159" s="394">
        <v>25</v>
      </c>
      <c r="AA159" s="395">
        <v>0</v>
      </c>
      <c r="AB159" s="452">
        <v>41214</v>
      </c>
      <c r="AC159" s="398">
        <v>5.3819999999999997</v>
      </c>
      <c r="AD159" s="398">
        <v>327.40999999999997</v>
      </c>
      <c r="AE159" s="393" t="s">
        <v>47</v>
      </c>
      <c r="AF159" s="417"/>
      <c r="AG159" s="417"/>
      <c r="AH159" s="417"/>
      <c r="AI159" s="394"/>
      <c r="AJ159" s="453"/>
      <c r="AK159" s="453"/>
      <c r="AL159" s="393"/>
      <c r="AM159" s="393"/>
      <c r="AN159" s="417"/>
      <c r="AO159" s="392"/>
      <c r="AP159" s="392"/>
      <c r="AQ159" s="392"/>
      <c r="AR159" s="392" t="s">
        <v>48</v>
      </c>
      <c r="AS159" s="480"/>
      <c r="AT159" s="453"/>
      <c r="AU159" s="453"/>
      <c r="AV159" s="453"/>
      <c r="AW159" s="453"/>
      <c r="AX159" s="453"/>
      <c r="AY159" s="453"/>
      <c r="AZ159" s="452">
        <v>41213</v>
      </c>
      <c r="BA159" s="393"/>
      <c r="BB159" s="393"/>
      <c r="BC159" s="393" t="b">
        <v>0</v>
      </c>
      <c r="BD159" s="393"/>
      <c r="BE159" s="392"/>
      <c r="BF159" s="394">
        <v>5</v>
      </c>
      <c r="BG159" s="394">
        <v>8</v>
      </c>
      <c r="BH159" s="394">
        <v>9</v>
      </c>
      <c r="BI159" s="394">
        <v>4</v>
      </c>
      <c r="BJ159" s="394"/>
      <c r="BK159" s="394"/>
      <c r="BL159" s="444" t="s">
        <v>6981</v>
      </c>
      <c r="BM159" s="392" t="s">
        <v>3900</v>
      </c>
      <c r="BN159" s="393" t="s">
        <v>42</v>
      </c>
      <c r="BO159" s="393"/>
      <c r="BP159" s="399"/>
      <c r="BQ159" s="400"/>
      <c r="BR159" s="401"/>
      <c r="BS159" s="399"/>
      <c r="BT159" s="394"/>
      <c r="BU159" s="417">
        <v>0.86</v>
      </c>
      <c r="BV159" s="399"/>
      <c r="BW159" s="393" t="s">
        <v>3117</v>
      </c>
      <c r="BX159" s="392" t="s">
        <v>1447</v>
      </c>
      <c r="BY159" s="393"/>
      <c r="BZ159" s="393"/>
      <c r="CA159" s="441" t="s">
        <v>1664</v>
      </c>
      <c r="CB159" s="400">
        <v>2</v>
      </c>
      <c r="CC159" s="398"/>
      <c r="CD159" s="398"/>
      <c r="CE159" s="398"/>
      <c r="CF159" s="398"/>
      <c r="CG159" s="398"/>
      <c r="CH159" s="398"/>
      <c r="CI159" s="398">
        <v>32.741</v>
      </c>
      <c r="CJ159" s="398">
        <v>32.741</v>
      </c>
      <c r="CK159" s="398">
        <v>32.741</v>
      </c>
      <c r="CL159" s="398">
        <v>32.741</v>
      </c>
      <c r="CM159" s="398">
        <v>32.741</v>
      </c>
      <c r="CN159" s="398">
        <v>32.741</v>
      </c>
      <c r="CO159" s="398">
        <v>32.741</v>
      </c>
      <c r="CP159" s="398">
        <v>32.741</v>
      </c>
      <c r="CQ159" s="398">
        <v>32.741</v>
      </c>
      <c r="CR159" s="398">
        <v>32.741</v>
      </c>
      <c r="CS159" s="398"/>
      <c r="CT159" s="398"/>
      <c r="CU159" s="398"/>
      <c r="CV159" s="398"/>
      <c r="CW159" s="398"/>
      <c r="CX159" s="398"/>
      <c r="CY159" s="398"/>
      <c r="CZ159" s="398"/>
      <c r="DA159" s="398"/>
      <c r="DB159" s="398"/>
      <c r="DC159" s="398"/>
      <c r="DD159" s="398"/>
      <c r="DE159" s="393"/>
      <c r="DF159" s="393"/>
      <c r="DG159" s="393"/>
      <c r="DH159" s="393"/>
      <c r="DI159" s="393"/>
      <c r="DJ159" s="393"/>
      <c r="DK159" s="897"/>
    </row>
    <row r="160" spans="1:115" ht="25.5" x14ac:dyDescent="0.2">
      <c r="A160" s="295">
        <v>156</v>
      </c>
      <c r="B160" s="390" t="s">
        <v>4225</v>
      </c>
      <c r="C160" s="390"/>
      <c r="D160" s="391" t="s">
        <v>4226</v>
      </c>
      <c r="E160" s="704" t="s">
        <v>4227</v>
      </c>
      <c r="F160" s="393" t="s">
        <v>1352</v>
      </c>
      <c r="G160" s="393" t="s">
        <v>1673</v>
      </c>
      <c r="H160" s="393" t="s">
        <v>42</v>
      </c>
      <c r="I160" s="392"/>
      <c r="J160" s="392"/>
      <c r="K160" s="392" t="s">
        <v>4228</v>
      </c>
      <c r="L160" s="392" t="s">
        <v>43</v>
      </c>
      <c r="M160" s="392"/>
      <c r="N160" s="393" t="s">
        <v>44</v>
      </c>
      <c r="O160" s="393" t="s">
        <v>45</v>
      </c>
      <c r="P160" s="393" t="s">
        <v>45</v>
      </c>
      <c r="Q160" s="392" t="s">
        <v>1212</v>
      </c>
      <c r="R160" s="392" t="s">
        <v>4224</v>
      </c>
      <c r="S160" s="392" t="s">
        <v>46</v>
      </c>
      <c r="T160" s="394">
        <v>1</v>
      </c>
      <c r="U160" s="395">
        <v>21.907</v>
      </c>
      <c r="V160" s="395"/>
      <c r="W160" s="453"/>
      <c r="X160" s="394"/>
      <c r="Y160" s="394">
        <v>10</v>
      </c>
      <c r="Z160" s="394">
        <v>25</v>
      </c>
      <c r="AA160" s="395">
        <v>0</v>
      </c>
      <c r="AB160" s="452">
        <v>41214</v>
      </c>
      <c r="AC160" s="398">
        <v>3.601</v>
      </c>
      <c r="AD160" s="398">
        <v>219.07</v>
      </c>
      <c r="AE160" s="393" t="s">
        <v>47</v>
      </c>
      <c r="AF160" s="417"/>
      <c r="AG160" s="417"/>
      <c r="AH160" s="417"/>
      <c r="AI160" s="394"/>
      <c r="AJ160" s="453"/>
      <c r="AK160" s="453"/>
      <c r="AL160" s="393"/>
      <c r="AM160" s="393"/>
      <c r="AN160" s="417"/>
      <c r="AO160" s="392"/>
      <c r="AP160" s="392"/>
      <c r="AQ160" s="392"/>
      <c r="AR160" s="392" t="s">
        <v>48</v>
      </c>
      <c r="AS160" s="480"/>
      <c r="AT160" s="453"/>
      <c r="AU160" s="453"/>
      <c r="AV160" s="453"/>
      <c r="AW160" s="453"/>
      <c r="AX160" s="453"/>
      <c r="AY160" s="453"/>
      <c r="AZ160" s="452">
        <v>41213</v>
      </c>
      <c r="BA160" s="393"/>
      <c r="BB160" s="393"/>
      <c r="BC160" s="393" t="b">
        <v>0</v>
      </c>
      <c r="BD160" s="393"/>
      <c r="BE160" s="392"/>
      <c r="BF160" s="394">
        <v>5</v>
      </c>
      <c r="BG160" s="394">
        <v>8</v>
      </c>
      <c r="BH160" s="394">
        <v>9</v>
      </c>
      <c r="BI160" s="394">
        <v>4</v>
      </c>
      <c r="BJ160" s="394"/>
      <c r="BK160" s="394"/>
      <c r="BL160" s="444" t="s">
        <v>6981</v>
      </c>
      <c r="BM160" s="392" t="s">
        <v>3900</v>
      </c>
      <c r="BN160" s="393" t="s">
        <v>42</v>
      </c>
      <c r="BO160" s="393"/>
      <c r="BP160" s="399"/>
      <c r="BQ160" s="400"/>
      <c r="BR160" s="401"/>
      <c r="BS160" s="399"/>
      <c r="BT160" s="394"/>
      <c r="BU160" s="417">
        <v>0.8</v>
      </c>
      <c r="BV160" s="399"/>
      <c r="BW160" s="393" t="s">
        <v>3117</v>
      </c>
      <c r="BX160" s="392" t="s">
        <v>1447</v>
      </c>
      <c r="BY160" s="393"/>
      <c r="BZ160" s="393"/>
      <c r="CA160" s="441" t="s">
        <v>1664</v>
      </c>
      <c r="CB160" s="400">
        <v>2</v>
      </c>
      <c r="CC160" s="398"/>
      <c r="CD160" s="398"/>
      <c r="CE160" s="398"/>
      <c r="CF160" s="398"/>
      <c r="CG160" s="398"/>
      <c r="CH160" s="398"/>
      <c r="CI160" s="398">
        <v>21.907</v>
      </c>
      <c r="CJ160" s="398">
        <v>21.907</v>
      </c>
      <c r="CK160" s="398">
        <v>21.907</v>
      </c>
      <c r="CL160" s="398">
        <v>21.907</v>
      </c>
      <c r="CM160" s="398">
        <v>21.907</v>
      </c>
      <c r="CN160" s="398">
        <v>21.907</v>
      </c>
      <c r="CO160" s="398">
        <v>21.907</v>
      </c>
      <c r="CP160" s="398">
        <v>21.907</v>
      </c>
      <c r="CQ160" s="398">
        <v>21.907</v>
      </c>
      <c r="CR160" s="398">
        <v>21.907</v>
      </c>
      <c r="CS160" s="398"/>
      <c r="CT160" s="398"/>
      <c r="CU160" s="398"/>
      <c r="CV160" s="398"/>
      <c r="CW160" s="398"/>
      <c r="CX160" s="398"/>
      <c r="CY160" s="398"/>
      <c r="CZ160" s="398"/>
      <c r="DA160" s="398"/>
      <c r="DB160" s="398"/>
      <c r="DC160" s="398"/>
      <c r="DD160" s="398"/>
      <c r="DE160" s="393"/>
      <c r="DF160" s="393"/>
      <c r="DG160" s="393"/>
      <c r="DH160" s="393"/>
      <c r="DI160" s="393"/>
      <c r="DJ160" s="393"/>
      <c r="DK160" s="897"/>
    </row>
    <row r="161" spans="1:115" ht="25.5" x14ac:dyDescent="0.2">
      <c r="A161" s="295">
        <v>157</v>
      </c>
      <c r="B161" s="390" t="s">
        <v>4229</v>
      </c>
      <c r="C161" s="390"/>
      <c r="D161" s="391" t="s">
        <v>4230</v>
      </c>
      <c r="E161" s="704" t="s">
        <v>4231</v>
      </c>
      <c r="F161" s="393" t="s">
        <v>1352</v>
      </c>
      <c r="G161" s="393" t="s">
        <v>1673</v>
      </c>
      <c r="H161" s="393" t="s">
        <v>42</v>
      </c>
      <c r="I161" s="392"/>
      <c r="J161" s="392"/>
      <c r="K161" s="392" t="s">
        <v>460</v>
      </c>
      <c r="L161" s="392" t="s">
        <v>43</v>
      </c>
      <c r="M161" s="392"/>
      <c r="N161" s="393" t="s">
        <v>44</v>
      </c>
      <c r="O161" s="393" t="s">
        <v>45</v>
      </c>
      <c r="P161" s="393" t="s">
        <v>45</v>
      </c>
      <c r="Q161" s="392" t="s">
        <v>1212</v>
      </c>
      <c r="R161" s="392" t="s">
        <v>4224</v>
      </c>
      <c r="S161" s="392" t="s">
        <v>46</v>
      </c>
      <c r="T161" s="394">
        <v>1</v>
      </c>
      <c r="U161" s="395">
        <v>81.744</v>
      </c>
      <c r="V161" s="395"/>
      <c r="W161" s="453"/>
      <c r="X161" s="394"/>
      <c r="Y161" s="394">
        <v>10</v>
      </c>
      <c r="Z161" s="394">
        <v>25</v>
      </c>
      <c r="AA161" s="395">
        <v>0</v>
      </c>
      <c r="AB161" s="452">
        <v>41244</v>
      </c>
      <c r="AC161" s="398">
        <v>6.7190000000000003</v>
      </c>
      <c r="AD161" s="398">
        <v>817.44</v>
      </c>
      <c r="AE161" s="393" t="s">
        <v>47</v>
      </c>
      <c r="AF161" s="417"/>
      <c r="AG161" s="417"/>
      <c r="AH161" s="417"/>
      <c r="AI161" s="394"/>
      <c r="AJ161" s="453"/>
      <c r="AK161" s="453"/>
      <c r="AL161" s="393"/>
      <c r="AM161" s="393"/>
      <c r="AN161" s="417"/>
      <c r="AO161" s="392"/>
      <c r="AP161" s="392"/>
      <c r="AQ161" s="392"/>
      <c r="AR161" s="392" t="s">
        <v>48</v>
      </c>
      <c r="AS161" s="480"/>
      <c r="AT161" s="453"/>
      <c r="AU161" s="453"/>
      <c r="AV161" s="453"/>
      <c r="AW161" s="453"/>
      <c r="AX161" s="453"/>
      <c r="AY161" s="453"/>
      <c r="AZ161" s="452">
        <v>41213</v>
      </c>
      <c r="BA161" s="393"/>
      <c r="BB161" s="393"/>
      <c r="BC161" s="393" t="b">
        <v>0</v>
      </c>
      <c r="BD161" s="393"/>
      <c r="BE161" s="392"/>
      <c r="BF161" s="394">
        <v>5</v>
      </c>
      <c r="BG161" s="394">
        <v>8</v>
      </c>
      <c r="BH161" s="394">
        <v>9</v>
      </c>
      <c r="BI161" s="394">
        <v>4</v>
      </c>
      <c r="BJ161" s="394"/>
      <c r="BK161" s="394"/>
      <c r="BL161" s="444" t="s">
        <v>6981</v>
      </c>
      <c r="BM161" s="392" t="s">
        <v>3900</v>
      </c>
      <c r="BN161" s="393" t="s">
        <v>42</v>
      </c>
      <c r="BO161" s="393"/>
      <c r="BP161" s="399"/>
      <c r="BQ161" s="400"/>
      <c r="BR161" s="401"/>
      <c r="BS161" s="399"/>
      <c r="BT161" s="394"/>
      <c r="BU161" s="417">
        <v>0.86</v>
      </c>
      <c r="BV161" s="399"/>
      <c r="BW161" s="393" t="s">
        <v>3117</v>
      </c>
      <c r="BX161" s="392" t="s">
        <v>1447</v>
      </c>
      <c r="BY161" s="393"/>
      <c r="BZ161" s="393"/>
      <c r="CA161" s="441" t="s">
        <v>1664</v>
      </c>
      <c r="CB161" s="400">
        <v>2</v>
      </c>
      <c r="CC161" s="398"/>
      <c r="CD161" s="398"/>
      <c r="CE161" s="398"/>
      <c r="CF161" s="398"/>
      <c r="CG161" s="398"/>
      <c r="CH161" s="398"/>
      <c r="CI161" s="398">
        <v>81.744</v>
      </c>
      <c r="CJ161" s="398">
        <v>81.744</v>
      </c>
      <c r="CK161" s="398">
        <v>81.744</v>
      </c>
      <c r="CL161" s="398">
        <v>81.744</v>
      </c>
      <c r="CM161" s="398">
        <v>81.744</v>
      </c>
      <c r="CN161" s="398">
        <v>81.744</v>
      </c>
      <c r="CO161" s="398">
        <v>81.744</v>
      </c>
      <c r="CP161" s="398">
        <v>81.744</v>
      </c>
      <c r="CQ161" s="398">
        <v>81.744</v>
      </c>
      <c r="CR161" s="398">
        <v>81.744</v>
      </c>
      <c r="CS161" s="398"/>
      <c r="CT161" s="398"/>
      <c r="CU161" s="398"/>
      <c r="CV161" s="398"/>
      <c r="CW161" s="398"/>
      <c r="CX161" s="398"/>
      <c r="CY161" s="398"/>
      <c r="CZ161" s="398"/>
      <c r="DA161" s="398"/>
      <c r="DB161" s="398"/>
      <c r="DC161" s="398"/>
      <c r="DD161" s="398"/>
      <c r="DE161" s="393"/>
      <c r="DF161" s="393"/>
      <c r="DG161" s="393"/>
      <c r="DH161" s="393"/>
      <c r="DI161" s="393"/>
      <c r="DJ161" s="393"/>
      <c r="DK161" s="897"/>
    </row>
    <row r="162" spans="1:115" ht="25.5" x14ac:dyDescent="0.2">
      <c r="A162" s="295">
        <v>158</v>
      </c>
      <c r="B162" s="390" t="s">
        <v>4232</v>
      </c>
      <c r="C162" s="390"/>
      <c r="D162" s="391" t="s">
        <v>4233</v>
      </c>
      <c r="E162" s="704" t="s">
        <v>4234</v>
      </c>
      <c r="F162" s="393" t="s">
        <v>1352</v>
      </c>
      <c r="G162" s="393" t="s">
        <v>1673</v>
      </c>
      <c r="H162" s="393" t="s">
        <v>42</v>
      </c>
      <c r="I162" s="392"/>
      <c r="J162" s="392"/>
      <c r="K162" s="392" t="s">
        <v>3039</v>
      </c>
      <c r="L162" s="392" t="s">
        <v>43</v>
      </c>
      <c r="M162" s="392"/>
      <c r="N162" s="393" t="s">
        <v>44</v>
      </c>
      <c r="O162" s="393" t="s">
        <v>45</v>
      </c>
      <c r="P162" s="393" t="s">
        <v>45</v>
      </c>
      <c r="Q162" s="392" t="s">
        <v>1210</v>
      </c>
      <c r="R162" s="392" t="s">
        <v>4235</v>
      </c>
      <c r="S162" s="392" t="s">
        <v>46</v>
      </c>
      <c r="T162" s="394">
        <v>1</v>
      </c>
      <c r="U162" s="395">
        <v>15.242000000000001</v>
      </c>
      <c r="V162" s="395"/>
      <c r="W162" s="453"/>
      <c r="X162" s="394"/>
      <c r="Y162" s="394">
        <v>10</v>
      </c>
      <c r="Z162" s="394">
        <v>25</v>
      </c>
      <c r="AA162" s="395">
        <v>0</v>
      </c>
      <c r="AB162" s="452">
        <v>41275</v>
      </c>
      <c r="AC162" s="398">
        <v>0</v>
      </c>
      <c r="AD162" s="398">
        <v>152.42000000000002</v>
      </c>
      <c r="AE162" s="393" t="s">
        <v>47</v>
      </c>
      <c r="AF162" s="417"/>
      <c r="AG162" s="417"/>
      <c r="AH162" s="417"/>
      <c r="AI162" s="394"/>
      <c r="AJ162" s="453"/>
      <c r="AK162" s="453"/>
      <c r="AL162" s="393"/>
      <c r="AM162" s="393"/>
      <c r="AN162" s="417"/>
      <c r="AO162" s="392"/>
      <c r="AP162" s="392"/>
      <c r="AQ162" s="392"/>
      <c r="AR162" s="392" t="s">
        <v>48</v>
      </c>
      <c r="AS162" s="480"/>
      <c r="AT162" s="453"/>
      <c r="AU162" s="453"/>
      <c r="AV162" s="453"/>
      <c r="AW162" s="453"/>
      <c r="AX162" s="453"/>
      <c r="AY162" s="453"/>
      <c r="AZ162" s="452">
        <v>41240</v>
      </c>
      <c r="BA162" s="393"/>
      <c r="BB162" s="393"/>
      <c r="BC162" s="393" t="b">
        <v>0</v>
      </c>
      <c r="BD162" s="393"/>
      <c r="BE162" s="392"/>
      <c r="BF162" s="394">
        <v>5</v>
      </c>
      <c r="BG162" s="394">
        <v>8</v>
      </c>
      <c r="BH162" s="394">
        <v>9</v>
      </c>
      <c r="BI162" s="394">
        <v>4</v>
      </c>
      <c r="BJ162" s="394"/>
      <c r="BK162" s="394"/>
      <c r="BL162" s="444" t="s">
        <v>6981</v>
      </c>
      <c r="BM162" s="392" t="s">
        <v>3900</v>
      </c>
      <c r="BN162" s="393" t="s">
        <v>42</v>
      </c>
      <c r="BO162" s="393"/>
      <c r="BP162" s="399"/>
      <c r="BQ162" s="400"/>
      <c r="BR162" s="401"/>
      <c r="BS162" s="399"/>
      <c r="BT162" s="394"/>
      <c r="BU162" s="417">
        <v>0.8</v>
      </c>
      <c r="BV162" s="399"/>
      <c r="BW162" s="393" t="s">
        <v>3117</v>
      </c>
      <c r="BX162" s="392" t="s">
        <v>1447</v>
      </c>
      <c r="BY162" s="393"/>
      <c r="BZ162" s="393"/>
      <c r="CA162" s="441" t="s">
        <v>1664</v>
      </c>
      <c r="CB162" s="400">
        <v>2</v>
      </c>
      <c r="CC162" s="398"/>
      <c r="CD162" s="398"/>
      <c r="CE162" s="398"/>
      <c r="CF162" s="398"/>
      <c r="CG162" s="398"/>
      <c r="CH162" s="398"/>
      <c r="CI162" s="398">
        <v>15.242000000000001</v>
      </c>
      <c r="CJ162" s="398">
        <v>15.242000000000001</v>
      </c>
      <c r="CK162" s="398">
        <v>15.242000000000001</v>
      </c>
      <c r="CL162" s="398">
        <v>15.242000000000001</v>
      </c>
      <c r="CM162" s="398">
        <v>15.242000000000001</v>
      </c>
      <c r="CN162" s="398">
        <v>15.242000000000001</v>
      </c>
      <c r="CO162" s="398">
        <v>15.242000000000001</v>
      </c>
      <c r="CP162" s="398">
        <v>15.242000000000001</v>
      </c>
      <c r="CQ162" s="398">
        <v>15.242000000000001</v>
      </c>
      <c r="CR162" s="398">
        <v>15.242000000000001</v>
      </c>
      <c r="CS162" s="398"/>
      <c r="CT162" s="398"/>
      <c r="CU162" s="398"/>
      <c r="CV162" s="398"/>
      <c r="CW162" s="398"/>
      <c r="CX162" s="398"/>
      <c r="CY162" s="398"/>
      <c r="CZ162" s="398"/>
      <c r="DA162" s="398"/>
      <c r="DB162" s="398"/>
      <c r="DC162" s="398"/>
      <c r="DD162" s="398"/>
      <c r="DE162" s="393"/>
      <c r="DF162" s="393"/>
      <c r="DG162" s="393"/>
      <c r="DH162" s="393"/>
      <c r="DI162" s="393"/>
      <c r="DJ162" s="393"/>
      <c r="DK162" s="897"/>
    </row>
    <row r="163" spans="1:115" ht="25.5" x14ac:dyDescent="0.2">
      <c r="A163" s="295">
        <v>159</v>
      </c>
      <c r="B163" s="390" t="s">
        <v>4236</v>
      </c>
      <c r="C163" s="390"/>
      <c r="D163" s="391" t="s">
        <v>4237</v>
      </c>
      <c r="E163" s="704" t="s">
        <v>4238</v>
      </c>
      <c r="F163" s="393" t="s">
        <v>1352</v>
      </c>
      <c r="G163" s="393" t="s">
        <v>1673</v>
      </c>
      <c r="H163" s="393" t="s">
        <v>42</v>
      </c>
      <c r="I163" s="392"/>
      <c r="J163" s="392"/>
      <c r="K163" s="392" t="s">
        <v>85</v>
      </c>
      <c r="L163" s="392" t="s">
        <v>43</v>
      </c>
      <c r="M163" s="392"/>
      <c r="N163" s="393" t="s">
        <v>44</v>
      </c>
      <c r="O163" s="393" t="s">
        <v>45</v>
      </c>
      <c r="P163" s="393" t="s">
        <v>45</v>
      </c>
      <c r="Q163" s="392" t="s">
        <v>86</v>
      </c>
      <c r="R163" s="392" t="s">
        <v>4239</v>
      </c>
      <c r="S163" s="392" t="s">
        <v>46</v>
      </c>
      <c r="T163" s="394">
        <v>1</v>
      </c>
      <c r="U163" s="395">
        <v>6.3259999999999996</v>
      </c>
      <c r="V163" s="395"/>
      <c r="W163" s="453"/>
      <c r="X163" s="394"/>
      <c r="Y163" s="394">
        <v>10</v>
      </c>
      <c r="Z163" s="394">
        <v>25</v>
      </c>
      <c r="AA163" s="395">
        <v>0</v>
      </c>
      <c r="AB163" s="452">
        <v>41274</v>
      </c>
      <c r="AC163" s="398">
        <v>0</v>
      </c>
      <c r="AD163" s="398">
        <v>63.26</v>
      </c>
      <c r="AE163" s="393" t="s">
        <v>47</v>
      </c>
      <c r="AF163" s="417"/>
      <c r="AG163" s="417"/>
      <c r="AH163" s="417"/>
      <c r="AI163" s="394"/>
      <c r="AJ163" s="453"/>
      <c r="AK163" s="453"/>
      <c r="AL163" s="393"/>
      <c r="AM163" s="393"/>
      <c r="AN163" s="417"/>
      <c r="AO163" s="392"/>
      <c r="AP163" s="392"/>
      <c r="AQ163" s="392"/>
      <c r="AR163" s="392" t="s">
        <v>48</v>
      </c>
      <c r="AS163" s="480"/>
      <c r="AT163" s="453"/>
      <c r="AU163" s="453"/>
      <c r="AV163" s="453"/>
      <c r="AW163" s="453"/>
      <c r="AX163" s="453"/>
      <c r="AY163" s="453"/>
      <c r="AZ163" s="452">
        <v>41240</v>
      </c>
      <c r="BA163" s="393"/>
      <c r="BB163" s="393"/>
      <c r="BC163" s="393" t="b">
        <v>0</v>
      </c>
      <c r="BD163" s="393"/>
      <c r="BE163" s="392"/>
      <c r="BF163" s="394">
        <v>5</v>
      </c>
      <c r="BG163" s="394">
        <v>8</v>
      </c>
      <c r="BH163" s="394">
        <v>9</v>
      </c>
      <c r="BI163" s="394">
        <v>4</v>
      </c>
      <c r="BJ163" s="394"/>
      <c r="BK163" s="394"/>
      <c r="BL163" s="444" t="s">
        <v>6981</v>
      </c>
      <c r="BM163" s="392" t="s">
        <v>3900</v>
      </c>
      <c r="BN163" s="393" t="s">
        <v>42</v>
      </c>
      <c r="BO163" s="393"/>
      <c r="BP163" s="399"/>
      <c r="BQ163" s="400"/>
      <c r="BR163" s="401"/>
      <c r="BS163" s="399"/>
      <c r="BT163" s="394"/>
      <c r="BU163" s="417">
        <v>0.8</v>
      </c>
      <c r="BV163" s="399"/>
      <c r="BW163" s="393" t="s">
        <v>3117</v>
      </c>
      <c r="BX163" s="392" t="s">
        <v>1447</v>
      </c>
      <c r="BY163" s="393"/>
      <c r="BZ163" s="393"/>
      <c r="CA163" s="441" t="s">
        <v>1664</v>
      </c>
      <c r="CB163" s="400">
        <v>2</v>
      </c>
      <c r="CC163" s="398"/>
      <c r="CD163" s="398"/>
      <c r="CE163" s="398"/>
      <c r="CF163" s="398"/>
      <c r="CG163" s="398"/>
      <c r="CH163" s="398"/>
      <c r="CI163" s="398">
        <v>6.3259999999999996</v>
      </c>
      <c r="CJ163" s="398">
        <v>6.3259999999999996</v>
      </c>
      <c r="CK163" s="398">
        <v>6.3259999999999996</v>
      </c>
      <c r="CL163" s="398">
        <v>6.3259999999999996</v>
      </c>
      <c r="CM163" s="398">
        <v>6.3259999999999996</v>
      </c>
      <c r="CN163" s="398">
        <v>6.3259999999999996</v>
      </c>
      <c r="CO163" s="398">
        <v>6.3259999999999996</v>
      </c>
      <c r="CP163" s="398">
        <v>6.3259999999999996</v>
      </c>
      <c r="CQ163" s="398">
        <v>6.3259999999999996</v>
      </c>
      <c r="CR163" s="398">
        <v>6.3259999999999996</v>
      </c>
      <c r="CS163" s="398"/>
      <c r="CT163" s="398"/>
      <c r="CU163" s="398"/>
      <c r="CV163" s="398"/>
      <c r="CW163" s="398"/>
      <c r="CX163" s="398"/>
      <c r="CY163" s="398"/>
      <c r="CZ163" s="398"/>
      <c r="DA163" s="398"/>
      <c r="DB163" s="398"/>
      <c r="DC163" s="398"/>
      <c r="DD163" s="398"/>
      <c r="DE163" s="393"/>
      <c r="DF163" s="393"/>
      <c r="DG163" s="393"/>
      <c r="DH163" s="393"/>
      <c r="DI163" s="393"/>
      <c r="DJ163" s="393"/>
      <c r="DK163" s="897"/>
    </row>
    <row r="164" spans="1:115" ht="25.5" x14ac:dyDescent="0.2">
      <c r="A164" s="295">
        <v>160</v>
      </c>
      <c r="B164" s="390" t="s">
        <v>4345</v>
      </c>
      <c r="C164" s="390"/>
      <c r="D164" s="391" t="s">
        <v>4346</v>
      </c>
      <c r="E164" s="704" t="s">
        <v>4347</v>
      </c>
      <c r="F164" s="393" t="s">
        <v>1352</v>
      </c>
      <c r="G164" s="393" t="s">
        <v>1673</v>
      </c>
      <c r="H164" s="393" t="s">
        <v>42</v>
      </c>
      <c r="I164" s="392"/>
      <c r="J164" s="392"/>
      <c r="K164" s="392" t="s">
        <v>4348</v>
      </c>
      <c r="L164" s="392" t="s">
        <v>43</v>
      </c>
      <c r="M164" s="392"/>
      <c r="N164" s="393" t="s">
        <v>44</v>
      </c>
      <c r="O164" s="393" t="s">
        <v>45</v>
      </c>
      <c r="P164" s="393" t="s">
        <v>45</v>
      </c>
      <c r="Q164" s="392" t="s">
        <v>86</v>
      </c>
      <c r="R164" s="392" t="s">
        <v>4239</v>
      </c>
      <c r="S164" s="392" t="s">
        <v>46</v>
      </c>
      <c r="T164" s="394">
        <v>1</v>
      </c>
      <c r="U164" s="395">
        <v>6.4249999999999998</v>
      </c>
      <c r="V164" s="395"/>
      <c r="W164" s="453"/>
      <c r="X164" s="394"/>
      <c r="Y164" s="394">
        <v>10</v>
      </c>
      <c r="Z164" s="394">
        <v>25</v>
      </c>
      <c r="AA164" s="395">
        <v>0</v>
      </c>
      <c r="AB164" s="452">
        <v>41365</v>
      </c>
      <c r="AC164" s="398">
        <v>0</v>
      </c>
      <c r="AD164" s="398">
        <v>64.25</v>
      </c>
      <c r="AE164" s="393" t="s">
        <v>47</v>
      </c>
      <c r="AF164" s="417"/>
      <c r="AG164" s="417"/>
      <c r="AH164" s="417"/>
      <c r="AI164" s="394"/>
      <c r="AJ164" s="453"/>
      <c r="AK164" s="453"/>
      <c r="AL164" s="393"/>
      <c r="AM164" s="393"/>
      <c r="AN164" s="417"/>
      <c r="AO164" s="392"/>
      <c r="AP164" s="392"/>
      <c r="AQ164" s="392"/>
      <c r="AR164" s="392" t="s">
        <v>48</v>
      </c>
      <c r="AS164" s="480"/>
      <c r="AT164" s="453"/>
      <c r="AU164" s="453"/>
      <c r="AV164" s="453"/>
      <c r="AW164" s="453"/>
      <c r="AX164" s="453"/>
      <c r="AY164" s="453"/>
      <c r="AZ164" s="452">
        <v>41274</v>
      </c>
      <c r="BA164" s="393"/>
      <c r="BB164" s="393"/>
      <c r="BC164" s="393" t="b">
        <v>0</v>
      </c>
      <c r="BD164" s="393"/>
      <c r="BE164" s="392"/>
      <c r="BF164" s="394">
        <v>5</v>
      </c>
      <c r="BG164" s="394">
        <v>8</v>
      </c>
      <c r="BH164" s="394">
        <v>9</v>
      </c>
      <c r="BI164" s="394">
        <v>4</v>
      </c>
      <c r="BJ164" s="394"/>
      <c r="BK164" s="394"/>
      <c r="BL164" s="444" t="s">
        <v>6981</v>
      </c>
      <c r="BM164" s="392" t="s">
        <v>3900</v>
      </c>
      <c r="BN164" s="393" t="s">
        <v>42</v>
      </c>
      <c r="BO164" s="393"/>
      <c r="BP164" s="399"/>
      <c r="BQ164" s="400"/>
      <c r="BR164" s="401"/>
      <c r="BS164" s="399"/>
      <c r="BT164" s="394"/>
      <c r="BU164" s="417">
        <v>0.86</v>
      </c>
      <c r="BV164" s="399"/>
      <c r="BW164" s="393" t="s">
        <v>3117</v>
      </c>
      <c r="BX164" s="392" t="s">
        <v>1447</v>
      </c>
      <c r="BY164" s="393"/>
      <c r="BZ164" s="393"/>
      <c r="CA164" s="441" t="s">
        <v>1664</v>
      </c>
      <c r="CB164" s="400">
        <v>2</v>
      </c>
      <c r="CC164" s="398"/>
      <c r="CD164" s="398"/>
      <c r="CE164" s="398"/>
      <c r="CF164" s="398"/>
      <c r="CG164" s="398"/>
      <c r="CH164" s="398"/>
      <c r="CI164" s="398">
        <v>6.4249999999999998</v>
      </c>
      <c r="CJ164" s="398">
        <v>6.4249999999999998</v>
      </c>
      <c r="CK164" s="398">
        <v>6.4249999999999998</v>
      </c>
      <c r="CL164" s="398">
        <v>6.4249999999999998</v>
      </c>
      <c r="CM164" s="398">
        <v>6.4249999999999998</v>
      </c>
      <c r="CN164" s="398">
        <v>6.4249999999999998</v>
      </c>
      <c r="CO164" s="398">
        <v>6.4249999999999998</v>
      </c>
      <c r="CP164" s="398">
        <v>6.4249999999999998</v>
      </c>
      <c r="CQ164" s="398">
        <v>6.4249999999999998</v>
      </c>
      <c r="CR164" s="398">
        <v>6.4249999999999998</v>
      </c>
      <c r="CS164" s="398"/>
      <c r="CT164" s="398"/>
      <c r="CU164" s="398"/>
      <c r="CV164" s="398"/>
      <c r="CW164" s="398"/>
      <c r="CX164" s="398"/>
      <c r="CY164" s="398"/>
      <c r="CZ164" s="398"/>
      <c r="DA164" s="398"/>
      <c r="DB164" s="398"/>
      <c r="DC164" s="398"/>
      <c r="DD164" s="398"/>
      <c r="DE164" s="393"/>
      <c r="DF164" s="393"/>
      <c r="DG164" s="393"/>
      <c r="DH164" s="393"/>
      <c r="DI164" s="393"/>
      <c r="DJ164" s="393"/>
      <c r="DK164" s="897"/>
    </row>
    <row r="165" spans="1:115" ht="25.5" x14ac:dyDescent="0.2">
      <c r="A165" s="295">
        <v>161</v>
      </c>
      <c r="B165" s="390" t="s">
        <v>4349</v>
      </c>
      <c r="C165" s="390"/>
      <c r="D165" s="391" t="s">
        <v>4350</v>
      </c>
      <c r="E165" s="704" t="s">
        <v>4351</v>
      </c>
      <c r="F165" s="393" t="s">
        <v>1352</v>
      </c>
      <c r="G165" s="393" t="s">
        <v>1673</v>
      </c>
      <c r="H165" s="393" t="s">
        <v>42</v>
      </c>
      <c r="I165" s="392"/>
      <c r="J165" s="392"/>
      <c r="K165" s="392" t="s">
        <v>85</v>
      </c>
      <c r="L165" s="392" t="s">
        <v>43</v>
      </c>
      <c r="M165" s="392"/>
      <c r="N165" s="393" t="s">
        <v>44</v>
      </c>
      <c r="O165" s="393" t="s">
        <v>45</v>
      </c>
      <c r="P165" s="393" t="s">
        <v>45</v>
      </c>
      <c r="Q165" s="392" t="s">
        <v>1212</v>
      </c>
      <c r="R165" s="392" t="s">
        <v>3901</v>
      </c>
      <c r="S165" s="392" t="s">
        <v>46</v>
      </c>
      <c r="T165" s="394">
        <v>1</v>
      </c>
      <c r="U165" s="395">
        <v>16.638000000000002</v>
      </c>
      <c r="V165" s="395"/>
      <c r="W165" s="453"/>
      <c r="X165" s="394"/>
      <c r="Y165" s="394">
        <v>10</v>
      </c>
      <c r="Z165" s="394">
        <v>25</v>
      </c>
      <c r="AA165" s="395">
        <v>0</v>
      </c>
      <c r="AB165" s="452">
        <v>41365</v>
      </c>
      <c r="AC165" s="398">
        <v>0</v>
      </c>
      <c r="AD165" s="398">
        <v>166.38000000000002</v>
      </c>
      <c r="AE165" s="393" t="s">
        <v>47</v>
      </c>
      <c r="AF165" s="417"/>
      <c r="AG165" s="417"/>
      <c r="AH165" s="417"/>
      <c r="AI165" s="394"/>
      <c r="AJ165" s="453"/>
      <c r="AK165" s="453"/>
      <c r="AL165" s="393"/>
      <c r="AM165" s="393"/>
      <c r="AN165" s="417"/>
      <c r="AO165" s="392"/>
      <c r="AP165" s="392"/>
      <c r="AQ165" s="392"/>
      <c r="AR165" s="392" t="s">
        <v>48</v>
      </c>
      <c r="AS165" s="480"/>
      <c r="AT165" s="453"/>
      <c r="AU165" s="453"/>
      <c r="AV165" s="453"/>
      <c r="AW165" s="453"/>
      <c r="AX165" s="453"/>
      <c r="AY165" s="453"/>
      <c r="AZ165" s="452">
        <v>41274</v>
      </c>
      <c r="BA165" s="393"/>
      <c r="BB165" s="393"/>
      <c r="BC165" s="393" t="b">
        <v>0</v>
      </c>
      <c r="BD165" s="393"/>
      <c r="BE165" s="392"/>
      <c r="BF165" s="394">
        <v>5</v>
      </c>
      <c r="BG165" s="394">
        <v>8</v>
      </c>
      <c r="BH165" s="394">
        <v>9</v>
      </c>
      <c r="BI165" s="394">
        <v>4</v>
      </c>
      <c r="BJ165" s="394"/>
      <c r="BK165" s="394"/>
      <c r="BL165" s="444" t="s">
        <v>6981</v>
      </c>
      <c r="BM165" s="392" t="s">
        <v>3900</v>
      </c>
      <c r="BN165" s="393" t="s">
        <v>42</v>
      </c>
      <c r="BO165" s="393"/>
      <c r="BP165" s="399"/>
      <c r="BQ165" s="400"/>
      <c r="BR165" s="401"/>
      <c r="BS165" s="399"/>
      <c r="BT165" s="394"/>
      <c r="BU165" s="417">
        <v>0.8</v>
      </c>
      <c r="BV165" s="399"/>
      <c r="BW165" s="393" t="s">
        <v>3117</v>
      </c>
      <c r="BX165" s="392" t="s">
        <v>1447</v>
      </c>
      <c r="BY165" s="393"/>
      <c r="BZ165" s="393"/>
      <c r="CA165" s="441" t="s">
        <v>1664</v>
      </c>
      <c r="CB165" s="400">
        <v>2</v>
      </c>
      <c r="CC165" s="398"/>
      <c r="CD165" s="398"/>
      <c r="CE165" s="398"/>
      <c r="CF165" s="398"/>
      <c r="CG165" s="398"/>
      <c r="CH165" s="398"/>
      <c r="CI165" s="398">
        <v>16.638000000000002</v>
      </c>
      <c r="CJ165" s="398">
        <v>16.638000000000002</v>
      </c>
      <c r="CK165" s="398">
        <v>16.638000000000002</v>
      </c>
      <c r="CL165" s="398">
        <v>16.638000000000002</v>
      </c>
      <c r="CM165" s="398">
        <v>16.638000000000002</v>
      </c>
      <c r="CN165" s="398">
        <v>16.638000000000002</v>
      </c>
      <c r="CO165" s="398">
        <v>16.638000000000002</v>
      </c>
      <c r="CP165" s="398">
        <v>16.638000000000002</v>
      </c>
      <c r="CQ165" s="398">
        <v>16.638000000000002</v>
      </c>
      <c r="CR165" s="398">
        <v>16.638000000000002</v>
      </c>
      <c r="CS165" s="398"/>
      <c r="CT165" s="398"/>
      <c r="CU165" s="398"/>
      <c r="CV165" s="398"/>
      <c r="CW165" s="398"/>
      <c r="CX165" s="398"/>
      <c r="CY165" s="398"/>
      <c r="CZ165" s="398"/>
      <c r="DA165" s="398"/>
      <c r="DB165" s="398"/>
      <c r="DC165" s="398"/>
      <c r="DD165" s="398"/>
      <c r="DE165" s="393"/>
      <c r="DF165" s="393"/>
      <c r="DG165" s="393"/>
      <c r="DH165" s="393"/>
      <c r="DI165" s="393"/>
      <c r="DJ165" s="393"/>
      <c r="DK165" s="897"/>
    </row>
    <row r="166" spans="1:115" ht="25.5" x14ac:dyDescent="0.2">
      <c r="A166" s="295">
        <v>162</v>
      </c>
      <c r="B166" s="390" t="s">
        <v>4352</v>
      </c>
      <c r="C166" s="390"/>
      <c r="D166" s="391" t="s">
        <v>4353</v>
      </c>
      <c r="E166" s="704" t="s">
        <v>4354</v>
      </c>
      <c r="F166" s="393" t="s">
        <v>1352</v>
      </c>
      <c r="G166" s="393" t="s">
        <v>1673</v>
      </c>
      <c r="H166" s="393" t="s">
        <v>42</v>
      </c>
      <c r="I166" s="392"/>
      <c r="J166" s="392"/>
      <c r="K166" s="392" t="s">
        <v>2116</v>
      </c>
      <c r="L166" s="392" t="s">
        <v>43</v>
      </c>
      <c r="M166" s="392"/>
      <c r="N166" s="393" t="s">
        <v>44</v>
      </c>
      <c r="O166" s="393" t="s">
        <v>45</v>
      </c>
      <c r="P166" s="393" t="s">
        <v>45</v>
      </c>
      <c r="Q166" s="392" t="s">
        <v>86</v>
      </c>
      <c r="R166" s="392" t="s">
        <v>4355</v>
      </c>
      <c r="S166" s="392" t="s">
        <v>46</v>
      </c>
      <c r="T166" s="394">
        <v>1</v>
      </c>
      <c r="U166" s="395">
        <v>12.952</v>
      </c>
      <c r="V166" s="395"/>
      <c r="W166" s="453"/>
      <c r="X166" s="394"/>
      <c r="Y166" s="394">
        <v>10</v>
      </c>
      <c r="Z166" s="394">
        <v>25</v>
      </c>
      <c r="AA166" s="395">
        <v>0</v>
      </c>
      <c r="AB166" s="452">
        <v>41275</v>
      </c>
      <c r="AC166" s="398">
        <v>0</v>
      </c>
      <c r="AD166" s="398">
        <v>129.52000000000001</v>
      </c>
      <c r="AE166" s="393" t="s">
        <v>47</v>
      </c>
      <c r="AF166" s="417"/>
      <c r="AG166" s="417"/>
      <c r="AH166" s="417"/>
      <c r="AI166" s="394"/>
      <c r="AJ166" s="453"/>
      <c r="AK166" s="453"/>
      <c r="AL166" s="393"/>
      <c r="AM166" s="393"/>
      <c r="AN166" s="417"/>
      <c r="AO166" s="392"/>
      <c r="AP166" s="392"/>
      <c r="AQ166" s="392"/>
      <c r="AR166" s="392" t="s">
        <v>48</v>
      </c>
      <c r="AS166" s="480"/>
      <c r="AT166" s="453"/>
      <c r="AU166" s="453"/>
      <c r="AV166" s="453"/>
      <c r="AW166" s="453"/>
      <c r="AX166" s="453"/>
      <c r="AY166" s="453"/>
      <c r="AZ166" s="452">
        <v>41274</v>
      </c>
      <c r="BA166" s="393"/>
      <c r="BB166" s="393"/>
      <c r="BC166" s="393" t="b">
        <v>0</v>
      </c>
      <c r="BD166" s="393"/>
      <c r="BE166" s="392"/>
      <c r="BF166" s="394">
        <v>5</v>
      </c>
      <c r="BG166" s="394">
        <v>8</v>
      </c>
      <c r="BH166" s="394">
        <v>9</v>
      </c>
      <c r="BI166" s="394">
        <v>4</v>
      </c>
      <c r="BJ166" s="394"/>
      <c r="BK166" s="394"/>
      <c r="BL166" s="444" t="s">
        <v>6981</v>
      </c>
      <c r="BM166" s="392" t="s">
        <v>3900</v>
      </c>
      <c r="BN166" s="393" t="s">
        <v>42</v>
      </c>
      <c r="BO166" s="393"/>
      <c r="BP166" s="399"/>
      <c r="BQ166" s="400"/>
      <c r="BR166" s="401"/>
      <c r="BS166" s="399"/>
      <c r="BT166" s="394"/>
      <c r="BU166" s="417">
        <v>0.86</v>
      </c>
      <c r="BV166" s="399"/>
      <c r="BW166" s="393" t="s">
        <v>3117</v>
      </c>
      <c r="BX166" s="392" t="s">
        <v>1447</v>
      </c>
      <c r="BY166" s="393"/>
      <c r="BZ166" s="393"/>
      <c r="CA166" s="441" t="s">
        <v>1664</v>
      </c>
      <c r="CB166" s="400">
        <v>2</v>
      </c>
      <c r="CC166" s="398"/>
      <c r="CD166" s="398"/>
      <c r="CE166" s="398"/>
      <c r="CF166" s="398"/>
      <c r="CG166" s="398"/>
      <c r="CH166" s="398"/>
      <c r="CI166" s="398">
        <v>12.952</v>
      </c>
      <c r="CJ166" s="398">
        <v>12.952</v>
      </c>
      <c r="CK166" s="398">
        <v>12.952</v>
      </c>
      <c r="CL166" s="398">
        <v>12.952</v>
      </c>
      <c r="CM166" s="398">
        <v>12.952</v>
      </c>
      <c r="CN166" s="398">
        <v>12.952</v>
      </c>
      <c r="CO166" s="398">
        <v>12.952</v>
      </c>
      <c r="CP166" s="398">
        <v>12.952</v>
      </c>
      <c r="CQ166" s="398">
        <v>12.952</v>
      </c>
      <c r="CR166" s="398">
        <v>12.952</v>
      </c>
      <c r="CS166" s="398"/>
      <c r="CT166" s="398"/>
      <c r="CU166" s="398"/>
      <c r="CV166" s="398"/>
      <c r="CW166" s="398"/>
      <c r="CX166" s="398"/>
      <c r="CY166" s="398"/>
      <c r="CZ166" s="398"/>
      <c r="DA166" s="398"/>
      <c r="DB166" s="398"/>
      <c r="DC166" s="398"/>
      <c r="DD166" s="398"/>
      <c r="DE166" s="393"/>
      <c r="DF166" s="393"/>
      <c r="DG166" s="393"/>
      <c r="DH166" s="393"/>
      <c r="DI166" s="393"/>
      <c r="DJ166" s="393"/>
      <c r="DK166" s="897"/>
    </row>
    <row r="167" spans="1:115" ht="25.5" x14ac:dyDescent="0.2">
      <c r="A167" s="295">
        <v>163</v>
      </c>
      <c r="B167" s="390" t="s">
        <v>4356</v>
      </c>
      <c r="C167" s="390"/>
      <c r="D167" s="391" t="s">
        <v>4357</v>
      </c>
      <c r="E167" s="704" t="s">
        <v>4358</v>
      </c>
      <c r="F167" s="393" t="s">
        <v>1352</v>
      </c>
      <c r="G167" s="393" t="s">
        <v>1673</v>
      </c>
      <c r="H167" s="393" t="s">
        <v>42</v>
      </c>
      <c r="I167" s="392"/>
      <c r="J167" s="392"/>
      <c r="K167" s="392" t="s">
        <v>85</v>
      </c>
      <c r="L167" s="392" t="s">
        <v>43</v>
      </c>
      <c r="M167" s="392"/>
      <c r="N167" s="393" t="s">
        <v>44</v>
      </c>
      <c r="O167" s="393" t="s">
        <v>45</v>
      </c>
      <c r="P167" s="393" t="s">
        <v>45</v>
      </c>
      <c r="Q167" s="392" t="s">
        <v>86</v>
      </c>
      <c r="R167" s="392" t="s">
        <v>4355</v>
      </c>
      <c r="S167" s="392" t="s">
        <v>46</v>
      </c>
      <c r="T167" s="394">
        <v>1</v>
      </c>
      <c r="U167" s="395">
        <v>8.4939999999999998</v>
      </c>
      <c r="V167" s="395"/>
      <c r="W167" s="453"/>
      <c r="X167" s="394"/>
      <c r="Y167" s="394">
        <v>10</v>
      </c>
      <c r="Z167" s="394">
        <v>25</v>
      </c>
      <c r="AA167" s="395">
        <v>0</v>
      </c>
      <c r="AB167" s="452">
        <v>41306</v>
      </c>
      <c r="AC167" s="398">
        <v>0</v>
      </c>
      <c r="AD167" s="398">
        <v>84.94</v>
      </c>
      <c r="AE167" s="393" t="s">
        <v>47</v>
      </c>
      <c r="AF167" s="417"/>
      <c r="AG167" s="417"/>
      <c r="AH167" s="417"/>
      <c r="AI167" s="394"/>
      <c r="AJ167" s="453"/>
      <c r="AK167" s="453"/>
      <c r="AL167" s="393"/>
      <c r="AM167" s="393"/>
      <c r="AN167" s="417"/>
      <c r="AO167" s="392"/>
      <c r="AP167" s="392"/>
      <c r="AQ167" s="392"/>
      <c r="AR167" s="392" t="s">
        <v>48</v>
      </c>
      <c r="AS167" s="480"/>
      <c r="AT167" s="453"/>
      <c r="AU167" s="453"/>
      <c r="AV167" s="453"/>
      <c r="AW167" s="453"/>
      <c r="AX167" s="453"/>
      <c r="AY167" s="453"/>
      <c r="AZ167" s="452">
        <v>41274</v>
      </c>
      <c r="BA167" s="393"/>
      <c r="BB167" s="393"/>
      <c r="BC167" s="393" t="b">
        <v>0</v>
      </c>
      <c r="BD167" s="393"/>
      <c r="BE167" s="392"/>
      <c r="BF167" s="394">
        <v>5</v>
      </c>
      <c r="BG167" s="394">
        <v>8</v>
      </c>
      <c r="BH167" s="394">
        <v>9</v>
      </c>
      <c r="BI167" s="394">
        <v>4</v>
      </c>
      <c r="BJ167" s="394"/>
      <c r="BK167" s="394"/>
      <c r="BL167" s="444" t="s">
        <v>6981</v>
      </c>
      <c r="BM167" s="392" t="s">
        <v>3900</v>
      </c>
      <c r="BN167" s="393" t="s">
        <v>42</v>
      </c>
      <c r="BO167" s="393"/>
      <c r="BP167" s="399"/>
      <c r="BQ167" s="400"/>
      <c r="BR167" s="401"/>
      <c r="BS167" s="399"/>
      <c r="BT167" s="394"/>
      <c r="BU167" s="417">
        <v>0.8</v>
      </c>
      <c r="BV167" s="399"/>
      <c r="BW167" s="393" t="s">
        <v>3117</v>
      </c>
      <c r="BX167" s="392" t="s">
        <v>1447</v>
      </c>
      <c r="BY167" s="393"/>
      <c r="BZ167" s="393"/>
      <c r="CA167" s="441" t="s">
        <v>1664</v>
      </c>
      <c r="CB167" s="400">
        <v>2</v>
      </c>
      <c r="CC167" s="398"/>
      <c r="CD167" s="398"/>
      <c r="CE167" s="398"/>
      <c r="CF167" s="398"/>
      <c r="CG167" s="398"/>
      <c r="CH167" s="398"/>
      <c r="CI167" s="398">
        <v>8.4939999999999998</v>
      </c>
      <c r="CJ167" s="398">
        <v>8.4939999999999998</v>
      </c>
      <c r="CK167" s="398">
        <v>8.4939999999999998</v>
      </c>
      <c r="CL167" s="398">
        <v>8.4939999999999998</v>
      </c>
      <c r="CM167" s="398">
        <v>8.4939999999999998</v>
      </c>
      <c r="CN167" s="398">
        <v>8.4939999999999998</v>
      </c>
      <c r="CO167" s="398">
        <v>8.4939999999999998</v>
      </c>
      <c r="CP167" s="398">
        <v>8.4939999999999998</v>
      </c>
      <c r="CQ167" s="398">
        <v>8.4939999999999998</v>
      </c>
      <c r="CR167" s="398">
        <v>8.4939999999999998</v>
      </c>
      <c r="CS167" s="398"/>
      <c r="CT167" s="398"/>
      <c r="CU167" s="398"/>
      <c r="CV167" s="398"/>
      <c r="CW167" s="398"/>
      <c r="CX167" s="398"/>
      <c r="CY167" s="398"/>
      <c r="CZ167" s="398"/>
      <c r="DA167" s="398"/>
      <c r="DB167" s="398"/>
      <c r="DC167" s="398"/>
      <c r="DD167" s="398"/>
      <c r="DE167" s="393"/>
      <c r="DF167" s="393"/>
      <c r="DG167" s="393"/>
      <c r="DH167" s="393"/>
      <c r="DI167" s="393"/>
      <c r="DJ167" s="393"/>
      <c r="DK167" s="897"/>
    </row>
    <row r="168" spans="1:115" ht="25.5" x14ac:dyDescent="0.2">
      <c r="A168" s="295">
        <v>164</v>
      </c>
      <c r="B168" s="390" t="s">
        <v>5015</v>
      </c>
      <c r="C168" s="390"/>
      <c r="D168" s="391" t="s">
        <v>5016</v>
      </c>
      <c r="E168" s="704" t="s">
        <v>5017</v>
      </c>
      <c r="F168" s="393" t="s">
        <v>1352</v>
      </c>
      <c r="G168" s="393" t="s">
        <v>1673</v>
      </c>
      <c r="H168" s="393" t="s">
        <v>42</v>
      </c>
      <c r="I168" s="392"/>
      <c r="J168" s="392"/>
      <c r="K168" s="392" t="s">
        <v>462</v>
      </c>
      <c r="L168" s="392" t="s">
        <v>43</v>
      </c>
      <c r="M168" s="392"/>
      <c r="N168" s="393" t="s">
        <v>44</v>
      </c>
      <c r="O168" s="393" t="s">
        <v>45</v>
      </c>
      <c r="P168" s="393" t="s">
        <v>45</v>
      </c>
      <c r="Q168" s="392" t="s">
        <v>86</v>
      </c>
      <c r="R168" s="392" t="s">
        <v>4355</v>
      </c>
      <c r="S168" s="392" t="s">
        <v>46</v>
      </c>
      <c r="T168" s="394">
        <v>1</v>
      </c>
      <c r="U168" s="395">
        <v>6.4770000000000003</v>
      </c>
      <c r="V168" s="395"/>
      <c r="W168" s="453"/>
      <c r="X168" s="394"/>
      <c r="Y168" s="394">
        <v>10</v>
      </c>
      <c r="Z168" s="394">
        <v>25</v>
      </c>
      <c r="AA168" s="395">
        <v>0</v>
      </c>
      <c r="AB168" s="452">
        <v>41487</v>
      </c>
      <c r="AC168" s="398">
        <v>0</v>
      </c>
      <c r="AD168" s="398">
        <v>64.77000000000001</v>
      </c>
      <c r="AE168" s="393" t="s">
        <v>47</v>
      </c>
      <c r="AF168" s="417"/>
      <c r="AG168" s="417"/>
      <c r="AH168" s="417"/>
      <c r="AI168" s="394"/>
      <c r="AJ168" s="453"/>
      <c r="AK168" s="453"/>
      <c r="AL168" s="393"/>
      <c r="AM168" s="393"/>
      <c r="AN168" s="417"/>
      <c r="AO168" s="392"/>
      <c r="AP168" s="392"/>
      <c r="AQ168" s="392"/>
      <c r="AR168" s="392" t="s">
        <v>48</v>
      </c>
      <c r="AS168" s="480"/>
      <c r="AT168" s="453"/>
      <c r="AU168" s="453"/>
      <c r="AV168" s="453"/>
      <c r="AW168" s="453"/>
      <c r="AX168" s="453"/>
      <c r="AY168" s="453"/>
      <c r="AZ168" s="452">
        <v>41445</v>
      </c>
      <c r="BA168" s="393"/>
      <c r="BB168" s="393"/>
      <c r="BC168" s="393" t="b">
        <v>0</v>
      </c>
      <c r="BD168" s="393"/>
      <c r="BE168" s="392"/>
      <c r="BF168" s="394">
        <v>5</v>
      </c>
      <c r="BG168" s="394">
        <v>8</v>
      </c>
      <c r="BH168" s="394">
        <v>9</v>
      </c>
      <c r="BI168" s="394">
        <v>4</v>
      </c>
      <c r="BJ168" s="394"/>
      <c r="BK168" s="394"/>
      <c r="BL168" s="444" t="s">
        <v>6981</v>
      </c>
      <c r="BM168" s="392" t="s">
        <v>3900</v>
      </c>
      <c r="BN168" s="393" t="s">
        <v>42</v>
      </c>
      <c r="BO168" s="393"/>
      <c r="BP168" s="399"/>
      <c r="BQ168" s="400"/>
      <c r="BR168" s="401"/>
      <c r="BS168" s="399"/>
      <c r="BT168" s="394"/>
      <c r="BU168" s="417">
        <v>0.86</v>
      </c>
      <c r="BV168" s="399"/>
      <c r="BW168" s="393" t="s">
        <v>3117</v>
      </c>
      <c r="BX168" s="392" t="s">
        <v>1447</v>
      </c>
      <c r="BY168" s="393"/>
      <c r="BZ168" s="393"/>
      <c r="CA168" s="441" t="s">
        <v>1664</v>
      </c>
      <c r="CB168" s="400">
        <v>2</v>
      </c>
      <c r="CC168" s="398"/>
      <c r="CD168" s="398"/>
      <c r="CE168" s="398"/>
      <c r="CF168" s="398"/>
      <c r="CG168" s="398"/>
      <c r="CH168" s="398"/>
      <c r="CI168" s="398">
        <v>3.2385000000000002</v>
      </c>
      <c r="CJ168" s="398">
        <v>6.4770000000000003</v>
      </c>
      <c r="CK168" s="398">
        <v>6.4770000000000003</v>
      </c>
      <c r="CL168" s="398">
        <v>6.4770000000000003</v>
      </c>
      <c r="CM168" s="398">
        <v>6.4770000000000003</v>
      </c>
      <c r="CN168" s="398">
        <v>6.4770000000000003</v>
      </c>
      <c r="CO168" s="398">
        <v>6.4770000000000003</v>
      </c>
      <c r="CP168" s="398">
        <v>6.4770000000000003</v>
      </c>
      <c r="CQ168" s="398">
        <v>6.4770000000000003</v>
      </c>
      <c r="CR168" s="398">
        <v>3.2385000000000002</v>
      </c>
      <c r="CS168" s="398"/>
      <c r="CT168" s="398"/>
      <c r="CU168" s="398"/>
      <c r="CV168" s="398"/>
      <c r="CW168" s="398"/>
      <c r="CX168" s="398"/>
      <c r="CY168" s="398"/>
      <c r="CZ168" s="398"/>
      <c r="DA168" s="398"/>
      <c r="DB168" s="398"/>
      <c r="DC168" s="398"/>
      <c r="DD168" s="398"/>
      <c r="DE168" s="393"/>
      <c r="DF168" s="393"/>
      <c r="DG168" s="393"/>
      <c r="DH168" s="393"/>
      <c r="DI168" s="393"/>
      <c r="DJ168" s="393"/>
      <c r="DK168" s="897"/>
    </row>
    <row r="169" spans="1:115" ht="25.5" x14ac:dyDescent="0.2">
      <c r="A169" s="295">
        <v>165</v>
      </c>
      <c r="B169" s="390" t="s">
        <v>5941</v>
      </c>
      <c r="C169" s="390"/>
      <c r="D169" s="391" t="s">
        <v>5942</v>
      </c>
      <c r="E169" s="704" t="s">
        <v>5943</v>
      </c>
      <c r="F169" s="393" t="s">
        <v>1352</v>
      </c>
      <c r="G169" s="393" t="s">
        <v>1673</v>
      </c>
      <c r="H169" s="393" t="s">
        <v>42</v>
      </c>
      <c r="I169" s="392"/>
      <c r="J169" s="392"/>
      <c r="K169" s="392" t="s">
        <v>85</v>
      </c>
      <c r="L169" s="392" t="s">
        <v>43</v>
      </c>
      <c r="M169" s="392"/>
      <c r="N169" s="393" t="s">
        <v>44</v>
      </c>
      <c r="O169" s="393" t="s">
        <v>45</v>
      </c>
      <c r="P169" s="393" t="s">
        <v>45</v>
      </c>
      <c r="Q169" s="392" t="s">
        <v>86</v>
      </c>
      <c r="R169" s="392" t="s">
        <v>4355</v>
      </c>
      <c r="S169" s="392" t="s">
        <v>46</v>
      </c>
      <c r="T169" s="394">
        <v>1</v>
      </c>
      <c r="U169" s="395">
        <v>8.8160000000000007</v>
      </c>
      <c r="V169" s="395"/>
      <c r="W169" s="453"/>
      <c r="X169" s="394"/>
      <c r="Y169" s="394">
        <v>10</v>
      </c>
      <c r="Z169" s="394">
        <v>25</v>
      </c>
      <c r="AA169" s="395">
        <v>0</v>
      </c>
      <c r="AB169" s="452">
        <v>41730</v>
      </c>
      <c r="AC169" s="398">
        <v>0</v>
      </c>
      <c r="AD169" s="398">
        <v>88.160000000000011</v>
      </c>
      <c r="AE169" s="393" t="s">
        <v>47</v>
      </c>
      <c r="AF169" s="417"/>
      <c r="AG169" s="417"/>
      <c r="AH169" s="417"/>
      <c r="AI169" s="394"/>
      <c r="AJ169" s="453"/>
      <c r="AK169" s="453"/>
      <c r="AL169" s="393"/>
      <c r="AM169" s="393"/>
      <c r="AN169" s="417"/>
      <c r="AO169" s="392"/>
      <c r="AP169" s="392"/>
      <c r="AQ169" s="392"/>
      <c r="AR169" s="392"/>
      <c r="AS169" s="480"/>
      <c r="AT169" s="453"/>
      <c r="AU169" s="453"/>
      <c r="AV169" s="453"/>
      <c r="AW169" s="453"/>
      <c r="AX169" s="453"/>
      <c r="AY169" s="453"/>
      <c r="AZ169" s="452">
        <v>41726</v>
      </c>
      <c r="BA169" s="393"/>
      <c r="BB169" s="393"/>
      <c r="BC169" s="393" t="b">
        <v>0</v>
      </c>
      <c r="BD169" s="393"/>
      <c r="BE169" s="392"/>
      <c r="BF169" s="394">
        <v>5</v>
      </c>
      <c r="BG169" s="394">
        <v>8</v>
      </c>
      <c r="BH169" s="394">
        <v>9</v>
      </c>
      <c r="BI169" s="394">
        <v>4</v>
      </c>
      <c r="BJ169" s="394"/>
      <c r="BK169" s="394"/>
      <c r="BL169" s="444" t="s">
        <v>6981</v>
      </c>
      <c r="BM169" s="392" t="s">
        <v>3900</v>
      </c>
      <c r="BN169" s="393" t="s">
        <v>42</v>
      </c>
      <c r="BO169" s="393"/>
      <c r="BP169" s="399"/>
      <c r="BQ169" s="400"/>
      <c r="BR169" s="401"/>
      <c r="BS169" s="399"/>
      <c r="BT169" s="394"/>
      <c r="BU169" s="417">
        <v>0.86</v>
      </c>
      <c r="BV169" s="399"/>
      <c r="BW169" s="393" t="s">
        <v>3117</v>
      </c>
      <c r="BX169" s="392" t="s">
        <v>1447</v>
      </c>
      <c r="BY169" s="393"/>
      <c r="BZ169" s="393"/>
      <c r="CA169" s="441" t="s">
        <v>1664</v>
      </c>
      <c r="CB169" s="400"/>
      <c r="CC169" s="398"/>
      <c r="CD169" s="398"/>
      <c r="CE169" s="398"/>
      <c r="CF169" s="398"/>
      <c r="CG169" s="398"/>
      <c r="CH169" s="398"/>
      <c r="CI169" s="398"/>
      <c r="CJ169" s="398">
        <v>8.8160000000000007</v>
      </c>
      <c r="CK169" s="398">
        <v>8.8160000000000007</v>
      </c>
      <c r="CL169" s="398">
        <v>8.8160000000000007</v>
      </c>
      <c r="CM169" s="398">
        <v>8.8160000000000007</v>
      </c>
      <c r="CN169" s="398">
        <v>8.8160000000000007</v>
      </c>
      <c r="CO169" s="398">
        <v>8.8160000000000007</v>
      </c>
      <c r="CP169" s="398">
        <v>8.8160000000000007</v>
      </c>
      <c r="CQ169" s="398">
        <v>8.8160000000000007</v>
      </c>
      <c r="CR169" s="398">
        <v>8.8160000000000007</v>
      </c>
      <c r="CS169" s="398">
        <v>8.8160000000000007</v>
      </c>
      <c r="CT169" s="398"/>
      <c r="CU169" s="398"/>
      <c r="CV169" s="398"/>
      <c r="CW169" s="398"/>
      <c r="CX169" s="398"/>
      <c r="CY169" s="398"/>
      <c r="CZ169" s="398"/>
      <c r="DA169" s="398"/>
      <c r="DB169" s="398"/>
      <c r="DC169" s="398"/>
      <c r="DD169" s="398"/>
      <c r="DE169" s="393"/>
      <c r="DF169" s="393"/>
      <c r="DG169" s="393"/>
      <c r="DH169" s="393"/>
      <c r="DI169" s="393"/>
      <c r="DJ169" s="393"/>
      <c r="DK169" s="897"/>
    </row>
    <row r="170" spans="1:115" ht="25.5" x14ac:dyDescent="0.2">
      <c r="A170" s="295">
        <v>166</v>
      </c>
      <c r="B170" s="390" t="s">
        <v>973</v>
      </c>
      <c r="C170" s="424" t="s">
        <v>7434</v>
      </c>
      <c r="D170" s="391" t="s">
        <v>5018</v>
      </c>
      <c r="E170" s="704" t="s">
        <v>974</v>
      </c>
      <c r="F170" s="393" t="s">
        <v>1352</v>
      </c>
      <c r="G170" s="393" t="s">
        <v>1673</v>
      </c>
      <c r="H170" s="393" t="s">
        <v>67</v>
      </c>
      <c r="I170" s="392"/>
      <c r="J170" s="392" t="s">
        <v>67</v>
      </c>
      <c r="K170" s="392"/>
      <c r="L170" s="392" t="s">
        <v>975</v>
      </c>
      <c r="M170" s="392" t="s">
        <v>3904</v>
      </c>
      <c r="N170" s="393" t="s">
        <v>44</v>
      </c>
      <c r="O170" s="393" t="s">
        <v>51</v>
      </c>
      <c r="P170" s="393" t="s">
        <v>51</v>
      </c>
      <c r="Q170" s="392" t="s">
        <v>976</v>
      </c>
      <c r="R170" s="392"/>
      <c r="S170" s="392" t="s">
        <v>977</v>
      </c>
      <c r="T170" s="394">
        <v>19</v>
      </c>
      <c r="U170" s="395">
        <v>936.94799999999998</v>
      </c>
      <c r="V170" s="395"/>
      <c r="W170" s="452">
        <v>39490</v>
      </c>
      <c r="X170" s="394">
        <v>28</v>
      </c>
      <c r="Y170" s="394"/>
      <c r="Z170" s="394"/>
      <c r="AA170" s="395"/>
      <c r="AB170" s="453"/>
      <c r="AC170" s="398">
        <v>23.145</v>
      </c>
      <c r="AD170" s="398">
        <v>5469.1405698630142</v>
      </c>
      <c r="AE170" s="393" t="s">
        <v>37</v>
      </c>
      <c r="AF170" s="417">
        <f>SUM(AF171:AF181)</f>
        <v>28.550999999999998</v>
      </c>
      <c r="AG170" s="417">
        <f>SUM(AG171:AG181)</f>
        <v>0</v>
      </c>
      <c r="AH170" s="417">
        <v>413.14799999999991</v>
      </c>
      <c r="AI170" s="394">
        <v>1</v>
      </c>
      <c r="AJ170" s="452">
        <v>41302</v>
      </c>
      <c r="AK170" s="453">
        <v>42747</v>
      </c>
      <c r="AL170" s="393"/>
      <c r="AM170" s="393"/>
      <c r="AN170" s="417"/>
      <c r="AO170" s="428" t="s">
        <v>434</v>
      </c>
      <c r="AP170" s="392" t="s">
        <v>7043</v>
      </c>
      <c r="AQ170" s="392"/>
      <c r="AR170" s="392" t="s">
        <v>978</v>
      </c>
      <c r="AS170" s="479">
        <v>40050</v>
      </c>
      <c r="AT170" s="453"/>
      <c r="AU170" s="453"/>
      <c r="AV170" s="452">
        <v>40720</v>
      </c>
      <c r="AW170" s="452">
        <v>40730</v>
      </c>
      <c r="AX170" s="452">
        <v>40766</v>
      </c>
      <c r="AY170" s="452">
        <v>40743</v>
      </c>
      <c r="AZ170" s="453"/>
      <c r="BA170" s="393"/>
      <c r="BB170" s="393" t="s">
        <v>3116</v>
      </c>
      <c r="BC170" s="393" t="b">
        <v>0</v>
      </c>
      <c r="BD170" s="393" t="s">
        <v>3116</v>
      </c>
      <c r="BE170" s="392"/>
      <c r="BF170" s="394">
        <v>1</v>
      </c>
      <c r="BG170" s="394">
        <v>6</v>
      </c>
      <c r="BH170" s="394">
        <v>8</v>
      </c>
      <c r="BI170" s="394">
        <v>4</v>
      </c>
      <c r="BJ170" s="394">
        <v>5</v>
      </c>
      <c r="BK170" s="394">
        <v>9</v>
      </c>
      <c r="BL170" s="444"/>
      <c r="BM170" s="392"/>
      <c r="BN170" s="393"/>
      <c r="BO170" s="393"/>
      <c r="BP170" s="399"/>
      <c r="BQ170" s="400"/>
      <c r="BR170" s="401"/>
      <c r="BS170" s="399">
        <v>0</v>
      </c>
      <c r="BT170" s="394"/>
      <c r="BU170" s="417"/>
      <c r="BV170" s="399"/>
      <c r="BW170" s="393"/>
      <c r="BX170" s="392"/>
      <c r="BY170" s="393"/>
      <c r="BZ170" s="393"/>
      <c r="CA170" s="441"/>
      <c r="CB170" s="400"/>
      <c r="CC170" s="398"/>
      <c r="CD170" s="398"/>
      <c r="CE170" s="398"/>
      <c r="CF170" s="398"/>
      <c r="CG170" s="398"/>
      <c r="CH170" s="398"/>
      <c r="CI170" s="398"/>
      <c r="CJ170" s="398"/>
      <c r="CK170" s="398"/>
      <c r="CL170" s="398"/>
      <c r="CM170" s="398"/>
      <c r="CN170" s="398"/>
      <c r="CO170" s="398"/>
      <c r="CP170" s="398"/>
      <c r="CQ170" s="398"/>
      <c r="CR170" s="398"/>
      <c r="CS170" s="398"/>
      <c r="CT170" s="398"/>
      <c r="CU170" s="398"/>
      <c r="CV170" s="398"/>
      <c r="CW170" s="398"/>
      <c r="CX170" s="398"/>
      <c r="CY170" s="398"/>
      <c r="CZ170" s="398"/>
      <c r="DA170" s="398"/>
      <c r="DB170" s="398"/>
      <c r="DC170" s="398"/>
      <c r="DD170" s="398"/>
      <c r="DE170" s="393"/>
      <c r="DF170" s="393"/>
      <c r="DG170" s="393"/>
      <c r="DH170" s="393"/>
      <c r="DI170" s="393"/>
      <c r="DJ170" s="393"/>
      <c r="DK170" s="896" t="s">
        <v>9707</v>
      </c>
    </row>
    <row r="171" spans="1:115" ht="51" x14ac:dyDescent="0.2">
      <c r="A171" s="295">
        <v>167</v>
      </c>
      <c r="B171" s="390" t="s">
        <v>2597</v>
      </c>
      <c r="C171" s="390"/>
      <c r="D171" s="391" t="s">
        <v>979</v>
      </c>
      <c r="E171" s="704" t="s">
        <v>980</v>
      </c>
      <c r="F171" s="393" t="s">
        <v>1352</v>
      </c>
      <c r="G171" s="393" t="s">
        <v>1673</v>
      </c>
      <c r="H171" s="393" t="s">
        <v>67</v>
      </c>
      <c r="I171" s="392"/>
      <c r="J171" s="392"/>
      <c r="K171" s="392" t="s">
        <v>67</v>
      </c>
      <c r="L171" s="392" t="s">
        <v>975</v>
      </c>
      <c r="M171" s="392"/>
      <c r="N171" s="393" t="s">
        <v>44</v>
      </c>
      <c r="O171" s="393" t="s">
        <v>51</v>
      </c>
      <c r="P171" s="393" t="s">
        <v>51</v>
      </c>
      <c r="Q171" s="392" t="s">
        <v>976</v>
      </c>
      <c r="R171" s="392" t="s">
        <v>3905</v>
      </c>
      <c r="S171" s="392" t="s">
        <v>977</v>
      </c>
      <c r="T171" s="394">
        <v>1</v>
      </c>
      <c r="U171" s="395">
        <v>50.232999999999997</v>
      </c>
      <c r="V171" s="395"/>
      <c r="W171" s="453"/>
      <c r="X171" s="394"/>
      <c r="Y171" s="394">
        <v>7</v>
      </c>
      <c r="Z171" s="394">
        <v>21</v>
      </c>
      <c r="AA171" s="395">
        <v>0</v>
      </c>
      <c r="AB171" s="452">
        <v>40743</v>
      </c>
      <c r="AC171" s="398">
        <v>23.145</v>
      </c>
      <c r="AD171" s="398">
        <v>475.21794246575342</v>
      </c>
      <c r="AE171" s="393" t="s">
        <v>37</v>
      </c>
      <c r="AF171" s="417">
        <v>28.550999999999998</v>
      </c>
      <c r="AG171" s="417"/>
      <c r="AH171" s="417">
        <v>28.550999999999998</v>
      </c>
      <c r="AI171" s="394">
        <v>1</v>
      </c>
      <c r="AJ171" s="452">
        <v>41302</v>
      </c>
      <c r="AK171" s="452">
        <v>40995</v>
      </c>
      <c r="AL171" s="393"/>
      <c r="AM171" s="393"/>
      <c r="AN171" s="417"/>
      <c r="AO171" s="392" t="s">
        <v>434</v>
      </c>
      <c r="AP171" s="392" t="s">
        <v>7043</v>
      </c>
      <c r="AQ171" s="392"/>
      <c r="AR171" s="392" t="s">
        <v>978</v>
      </c>
      <c r="AS171" s="479">
        <v>40050</v>
      </c>
      <c r="AT171" s="453"/>
      <c r="AU171" s="453"/>
      <c r="AV171" s="453"/>
      <c r="AW171" s="453"/>
      <c r="AX171" s="453"/>
      <c r="AY171" s="453"/>
      <c r="AZ171" s="452">
        <v>40743</v>
      </c>
      <c r="BA171" s="393"/>
      <c r="BB171" s="393"/>
      <c r="BC171" s="393" t="b">
        <v>0</v>
      </c>
      <c r="BD171" s="393"/>
      <c r="BE171" s="392"/>
      <c r="BF171" s="394">
        <v>1</v>
      </c>
      <c r="BG171" s="394">
        <v>6</v>
      </c>
      <c r="BH171" s="394">
        <v>8</v>
      </c>
      <c r="BI171" s="394">
        <v>4</v>
      </c>
      <c r="BJ171" s="394">
        <v>5</v>
      </c>
      <c r="BK171" s="394">
        <v>9</v>
      </c>
      <c r="BL171" s="444" t="s">
        <v>6981</v>
      </c>
      <c r="BM171" s="392"/>
      <c r="BN171" s="393"/>
      <c r="BO171" s="393"/>
      <c r="BP171" s="399"/>
      <c r="BQ171" s="400"/>
      <c r="BR171" s="401"/>
      <c r="BS171" s="399"/>
      <c r="BT171" s="394"/>
      <c r="BU171" s="417"/>
      <c r="BV171" s="399">
        <v>92.005899999999997</v>
      </c>
      <c r="BW171" s="393" t="s">
        <v>3117</v>
      </c>
      <c r="BX171" s="392" t="s">
        <v>3275</v>
      </c>
      <c r="BY171" s="393"/>
      <c r="BZ171" s="393"/>
      <c r="CA171" s="441"/>
      <c r="CB171" s="400"/>
      <c r="CC171" s="398"/>
      <c r="CD171" s="398"/>
      <c r="CE171" s="398"/>
      <c r="CF171" s="398"/>
      <c r="CG171" s="398">
        <v>25.116</v>
      </c>
      <c r="CH171" s="398">
        <v>50.232999999999997</v>
      </c>
      <c r="CI171" s="398">
        <v>50.232999999999997</v>
      </c>
      <c r="CJ171" s="398">
        <v>50.232999999999997</v>
      </c>
      <c r="CK171" s="398">
        <v>50.232999999999997</v>
      </c>
      <c r="CL171" s="398">
        <v>50.232999999999997</v>
      </c>
      <c r="CM171" s="398">
        <v>50.232999999999997</v>
      </c>
      <c r="CN171" s="398">
        <v>25.116</v>
      </c>
      <c r="CO171" s="398"/>
      <c r="CP171" s="398"/>
      <c r="CQ171" s="398"/>
      <c r="CR171" s="398"/>
      <c r="CS171" s="398"/>
      <c r="CT171" s="398"/>
      <c r="CU171" s="398"/>
      <c r="CV171" s="398"/>
      <c r="CW171" s="398"/>
      <c r="CX171" s="398"/>
      <c r="CY171" s="398"/>
      <c r="CZ171" s="398"/>
      <c r="DA171" s="398"/>
      <c r="DB171" s="398"/>
      <c r="DC171" s="398"/>
      <c r="DD171" s="398"/>
      <c r="DE171" s="393"/>
      <c r="DF171" s="393"/>
      <c r="DG171" s="393"/>
      <c r="DH171" s="393"/>
      <c r="DI171" s="393"/>
      <c r="DJ171" s="393"/>
      <c r="DK171" s="897"/>
    </row>
    <row r="172" spans="1:115" ht="51" x14ac:dyDescent="0.2">
      <c r="A172" s="295">
        <v>168</v>
      </c>
      <c r="B172" s="390" t="s">
        <v>6564</v>
      </c>
      <c r="C172" s="390"/>
      <c r="D172" s="391" t="s">
        <v>6565</v>
      </c>
      <c r="E172" s="704" t="s">
        <v>6566</v>
      </c>
      <c r="F172" s="393" t="s">
        <v>1352</v>
      </c>
      <c r="G172" s="393" t="s">
        <v>1673</v>
      </c>
      <c r="H172" s="393" t="s">
        <v>67</v>
      </c>
      <c r="I172" s="392"/>
      <c r="J172" s="392"/>
      <c r="K172" s="392" t="s">
        <v>67</v>
      </c>
      <c r="L172" s="392" t="s">
        <v>975</v>
      </c>
      <c r="M172" s="392"/>
      <c r="N172" s="393" t="s">
        <v>44</v>
      </c>
      <c r="O172" s="393" t="s">
        <v>51</v>
      </c>
      <c r="P172" s="393" t="s">
        <v>51</v>
      </c>
      <c r="Q172" s="392" t="s">
        <v>976</v>
      </c>
      <c r="R172" s="392" t="s">
        <v>6567</v>
      </c>
      <c r="S172" s="392" t="s">
        <v>977</v>
      </c>
      <c r="T172" s="394">
        <v>1</v>
      </c>
      <c r="U172" s="395">
        <v>50.168999999999997</v>
      </c>
      <c r="V172" s="395"/>
      <c r="W172" s="453"/>
      <c r="X172" s="394"/>
      <c r="Y172" s="394">
        <v>7</v>
      </c>
      <c r="Z172" s="394">
        <v>21</v>
      </c>
      <c r="AA172" s="395">
        <v>0</v>
      </c>
      <c r="AB172" s="452">
        <v>41951</v>
      </c>
      <c r="AC172" s="398"/>
      <c r="AD172" s="398">
        <v>308.5737123287671</v>
      </c>
      <c r="AE172" s="393" t="s">
        <v>37</v>
      </c>
      <c r="AF172" s="417"/>
      <c r="AG172" s="417"/>
      <c r="AH172" s="417"/>
      <c r="AI172" s="394"/>
      <c r="AJ172" s="453"/>
      <c r="AK172" s="453"/>
      <c r="AL172" s="393"/>
      <c r="AM172" s="393"/>
      <c r="AN172" s="417"/>
      <c r="AO172" s="392"/>
      <c r="AP172" s="392"/>
      <c r="AQ172" s="392"/>
      <c r="AR172" s="392" t="s">
        <v>6568</v>
      </c>
      <c r="AS172" s="479">
        <v>40050</v>
      </c>
      <c r="AT172" s="453"/>
      <c r="AU172" s="453"/>
      <c r="AV172" s="453"/>
      <c r="AW172" s="453"/>
      <c r="AX172" s="453"/>
      <c r="AY172" s="453"/>
      <c r="AZ172" s="452">
        <v>41949</v>
      </c>
      <c r="BA172" s="393"/>
      <c r="BB172" s="393"/>
      <c r="BC172" s="393" t="b">
        <v>0</v>
      </c>
      <c r="BD172" s="393"/>
      <c r="BE172" s="392"/>
      <c r="BF172" s="394">
        <v>1</v>
      </c>
      <c r="BG172" s="394">
        <v>6</v>
      </c>
      <c r="BH172" s="394">
        <v>8</v>
      </c>
      <c r="BI172" s="394">
        <v>4</v>
      </c>
      <c r="BJ172" s="394">
        <v>5</v>
      </c>
      <c r="BK172" s="394">
        <v>9</v>
      </c>
      <c r="BL172" s="444" t="s">
        <v>6981</v>
      </c>
      <c r="BM172" s="392"/>
      <c r="BN172" s="393"/>
      <c r="BO172" s="393"/>
      <c r="BP172" s="399"/>
      <c r="BQ172" s="400"/>
      <c r="BR172" s="401"/>
      <c r="BS172" s="399"/>
      <c r="BT172" s="394"/>
      <c r="BU172" s="417"/>
      <c r="BV172" s="399">
        <v>179.77</v>
      </c>
      <c r="BW172" s="393" t="s">
        <v>3117</v>
      </c>
      <c r="BX172" s="392" t="s">
        <v>3275</v>
      </c>
      <c r="BY172" s="393"/>
      <c r="BZ172" s="393"/>
      <c r="CA172" s="441"/>
      <c r="CB172" s="400"/>
      <c r="CC172" s="398"/>
      <c r="CD172" s="398"/>
      <c r="CE172" s="398"/>
      <c r="CF172" s="398"/>
      <c r="CG172" s="398"/>
      <c r="CH172" s="398"/>
      <c r="CI172" s="398"/>
      <c r="CJ172" s="398">
        <v>50.168999999999997</v>
      </c>
      <c r="CK172" s="398">
        <v>50.168999999999997</v>
      </c>
      <c r="CL172" s="398">
        <v>50.168999999999997</v>
      </c>
      <c r="CM172" s="398">
        <v>50.168999999999997</v>
      </c>
      <c r="CN172" s="398">
        <v>50.168999999999997</v>
      </c>
      <c r="CO172" s="398">
        <v>50.168999999999997</v>
      </c>
      <c r="CP172" s="398">
        <v>50.168999999999997</v>
      </c>
      <c r="CQ172" s="398"/>
      <c r="CR172" s="398"/>
      <c r="CS172" s="398"/>
      <c r="CT172" s="398"/>
      <c r="CU172" s="398"/>
      <c r="CV172" s="398"/>
      <c r="CW172" s="398"/>
      <c r="CX172" s="398"/>
      <c r="CY172" s="398"/>
      <c r="CZ172" s="398"/>
      <c r="DA172" s="398"/>
      <c r="DB172" s="398"/>
      <c r="DC172" s="398"/>
      <c r="DD172" s="398"/>
      <c r="DE172" s="393"/>
      <c r="DF172" s="393"/>
      <c r="DG172" s="393"/>
      <c r="DH172" s="393"/>
      <c r="DI172" s="393"/>
      <c r="DJ172" s="393"/>
      <c r="DK172" s="897"/>
    </row>
    <row r="173" spans="1:115" ht="51" x14ac:dyDescent="0.2">
      <c r="A173" s="295">
        <v>169</v>
      </c>
      <c r="B173" s="390" t="s">
        <v>6569</v>
      </c>
      <c r="C173" s="390"/>
      <c r="D173" s="391" t="s">
        <v>6570</v>
      </c>
      <c r="E173" s="704" t="s">
        <v>6571</v>
      </c>
      <c r="F173" s="393" t="s">
        <v>1352</v>
      </c>
      <c r="G173" s="393" t="s">
        <v>1673</v>
      </c>
      <c r="H173" s="393" t="s">
        <v>67</v>
      </c>
      <c r="I173" s="392"/>
      <c r="J173" s="392"/>
      <c r="K173" s="392" t="s">
        <v>67</v>
      </c>
      <c r="L173" s="392" t="s">
        <v>975</v>
      </c>
      <c r="M173" s="392"/>
      <c r="N173" s="393" t="s">
        <v>44</v>
      </c>
      <c r="O173" s="393" t="s">
        <v>51</v>
      </c>
      <c r="P173" s="393" t="s">
        <v>51</v>
      </c>
      <c r="Q173" s="392" t="s">
        <v>976</v>
      </c>
      <c r="R173" s="392" t="s">
        <v>6572</v>
      </c>
      <c r="S173" s="392" t="s">
        <v>977</v>
      </c>
      <c r="T173" s="394">
        <v>1</v>
      </c>
      <c r="U173" s="395">
        <v>49.506</v>
      </c>
      <c r="V173" s="395"/>
      <c r="W173" s="453"/>
      <c r="X173" s="394"/>
      <c r="Y173" s="394">
        <v>7</v>
      </c>
      <c r="Z173" s="394">
        <v>21</v>
      </c>
      <c r="AA173" s="395">
        <v>0</v>
      </c>
      <c r="AB173" s="452">
        <v>41951</v>
      </c>
      <c r="AC173" s="398"/>
      <c r="AD173" s="398">
        <v>304.49580821917806</v>
      </c>
      <c r="AE173" s="393" t="s">
        <v>37</v>
      </c>
      <c r="AF173" s="417"/>
      <c r="AG173" s="417"/>
      <c r="AH173" s="417"/>
      <c r="AI173" s="394"/>
      <c r="AJ173" s="453"/>
      <c r="AK173" s="453"/>
      <c r="AL173" s="393"/>
      <c r="AM173" s="393"/>
      <c r="AN173" s="417"/>
      <c r="AO173" s="392"/>
      <c r="AP173" s="392"/>
      <c r="AQ173" s="392"/>
      <c r="AR173" s="392" t="s">
        <v>6568</v>
      </c>
      <c r="AS173" s="479">
        <v>40050</v>
      </c>
      <c r="AT173" s="453"/>
      <c r="AU173" s="453"/>
      <c r="AV173" s="453"/>
      <c r="AW173" s="453"/>
      <c r="AX173" s="453"/>
      <c r="AY173" s="453"/>
      <c r="AZ173" s="452">
        <v>41949</v>
      </c>
      <c r="BA173" s="393"/>
      <c r="BB173" s="393"/>
      <c r="BC173" s="393" t="b">
        <v>0</v>
      </c>
      <c r="BD173" s="393"/>
      <c r="BE173" s="392"/>
      <c r="BF173" s="394">
        <v>1</v>
      </c>
      <c r="BG173" s="394">
        <v>6</v>
      </c>
      <c r="BH173" s="394">
        <v>8</v>
      </c>
      <c r="BI173" s="394">
        <v>4</v>
      </c>
      <c r="BJ173" s="394">
        <v>5</v>
      </c>
      <c r="BK173" s="394">
        <v>9</v>
      </c>
      <c r="BL173" s="444" t="s">
        <v>6981</v>
      </c>
      <c r="BM173" s="392"/>
      <c r="BN173" s="393"/>
      <c r="BO173" s="393"/>
      <c r="BP173" s="399"/>
      <c r="BQ173" s="400"/>
      <c r="BR173" s="401"/>
      <c r="BS173" s="399"/>
      <c r="BT173" s="394"/>
      <c r="BU173" s="417"/>
      <c r="BV173" s="399">
        <v>177.39</v>
      </c>
      <c r="BW173" s="393" t="s">
        <v>3117</v>
      </c>
      <c r="BX173" s="392" t="s">
        <v>3275</v>
      </c>
      <c r="BY173" s="393"/>
      <c r="BZ173" s="393"/>
      <c r="CA173" s="441"/>
      <c r="CB173" s="400"/>
      <c r="CC173" s="398"/>
      <c r="CD173" s="398"/>
      <c r="CE173" s="398"/>
      <c r="CF173" s="398"/>
      <c r="CG173" s="398"/>
      <c r="CH173" s="398"/>
      <c r="CI173" s="398"/>
      <c r="CJ173" s="398">
        <v>49.506</v>
      </c>
      <c r="CK173" s="398">
        <v>49.506</v>
      </c>
      <c r="CL173" s="398">
        <v>49.506</v>
      </c>
      <c r="CM173" s="398">
        <v>49.506</v>
      </c>
      <c r="CN173" s="398">
        <v>49.506</v>
      </c>
      <c r="CO173" s="398">
        <v>49.506</v>
      </c>
      <c r="CP173" s="398">
        <v>49.506</v>
      </c>
      <c r="CQ173" s="398"/>
      <c r="CR173" s="398"/>
      <c r="CS173" s="398"/>
      <c r="CT173" s="398"/>
      <c r="CU173" s="398"/>
      <c r="CV173" s="398"/>
      <c r="CW173" s="398"/>
      <c r="CX173" s="398"/>
      <c r="CY173" s="398"/>
      <c r="CZ173" s="398"/>
      <c r="DA173" s="398"/>
      <c r="DB173" s="398"/>
      <c r="DC173" s="398"/>
      <c r="DD173" s="398"/>
      <c r="DE173" s="393"/>
      <c r="DF173" s="393"/>
      <c r="DG173" s="393"/>
      <c r="DH173" s="393"/>
      <c r="DI173" s="393"/>
      <c r="DJ173" s="393"/>
      <c r="DK173" s="897"/>
    </row>
    <row r="174" spans="1:115" ht="51" x14ac:dyDescent="0.2">
      <c r="A174" s="295">
        <v>170</v>
      </c>
      <c r="B174" s="390" t="s">
        <v>6573</v>
      </c>
      <c r="C174" s="390"/>
      <c r="D174" s="391" t="s">
        <v>6574</v>
      </c>
      <c r="E174" s="704" t="s">
        <v>6575</v>
      </c>
      <c r="F174" s="393" t="s">
        <v>1352</v>
      </c>
      <c r="G174" s="393" t="s">
        <v>1673</v>
      </c>
      <c r="H174" s="393" t="s">
        <v>67</v>
      </c>
      <c r="I174" s="392"/>
      <c r="J174" s="392"/>
      <c r="K174" s="392" t="s">
        <v>67</v>
      </c>
      <c r="L174" s="392" t="s">
        <v>975</v>
      </c>
      <c r="M174" s="392"/>
      <c r="N174" s="393" t="s">
        <v>44</v>
      </c>
      <c r="O174" s="393" t="s">
        <v>51</v>
      </c>
      <c r="P174" s="393" t="s">
        <v>51</v>
      </c>
      <c r="Q174" s="392" t="s">
        <v>976</v>
      </c>
      <c r="R174" s="392" t="s">
        <v>6576</v>
      </c>
      <c r="S174" s="392" t="s">
        <v>977</v>
      </c>
      <c r="T174" s="394">
        <v>1</v>
      </c>
      <c r="U174" s="395">
        <v>50.015999999999998</v>
      </c>
      <c r="V174" s="395"/>
      <c r="W174" s="453"/>
      <c r="X174" s="394"/>
      <c r="Y174" s="394">
        <v>7</v>
      </c>
      <c r="Z174" s="394">
        <v>21</v>
      </c>
      <c r="AA174" s="395">
        <v>0</v>
      </c>
      <c r="AB174" s="452">
        <v>41951</v>
      </c>
      <c r="AC174" s="398"/>
      <c r="AD174" s="398">
        <v>307.63265753424656</v>
      </c>
      <c r="AE174" s="393" t="s">
        <v>37</v>
      </c>
      <c r="AF174" s="417"/>
      <c r="AG174" s="417"/>
      <c r="AH174" s="417"/>
      <c r="AI174" s="394"/>
      <c r="AJ174" s="453"/>
      <c r="AK174" s="453"/>
      <c r="AL174" s="393"/>
      <c r="AM174" s="393"/>
      <c r="AN174" s="417"/>
      <c r="AO174" s="392"/>
      <c r="AP174" s="392"/>
      <c r="AQ174" s="392"/>
      <c r="AR174" s="392" t="s">
        <v>6568</v>
      </c>
      <c r="AS174" s="479">
        <v>40050</v>
      </c>
      <c r="AT174" s="453"/>
      <c r="AU174" s="453"/>
      <c r="AV174" s="453"/>
      <c r="AW174" s="453"/>
      <c r="AX174" s="453"/>
      <c r="AY174" s="453"/>
      <c r="AZ174" s="452">
        <v>41949</v>
      </c>
      <c r="BA174" s="393"/>
      <c r="BB174" s="393"/>
      <c r="BC174" s="393" t="b">
        <v>0</v>
      </c>
      <c r="BD174" s="393"/>
      <c r="BE174" s="392"/>
      <c r="BF174" s="394">
        <v>1</v>
      </c>
      <c r="BG174" s="394">
        <v>6</v>
      </c>
      <c r="BH174" s="394">
        <v>8</v>
      </c>
      <c r="BI174" s="394">
        <v>4</v>
      </c>
      <c r="BJ174" s="394">
        <v>5</v>
      </c>
      <c r="BK174" s="394">
        <v>9</v>
      </c>
      <c r="BL174" s="444" t="s">
        <v>6981</v>
      </c>
      <c r="BM174" s="392"/>
      <c r="BN174" s="393"/>
      <c r="BO174" s="393"/>
      <c r="BP174" s="399"/>
      <c r="BQ174" s="400"/>
      <c r="BR174" s="401"/>
      <c r="BS174" s="399"/>
      <c r="BT174" s="394"/>
      <c r="BU174" s="417"/>
      <c r="BV174" s="399">
        <v>179.22</v>
      </c>
      <c r="BW174" s="393" t="s">
        <v>3117</v>
      </c>
      <c r="BX174" s="392" t="s">
        <v>3275</v>
      </c>
      <c r="BY174" s="393"/>
      <c r="BZ174" s="393"/>
      <c r="CA174" s="441"/>
      <c r="CB174" s="400"/>
      <c r="CC174" s="398"/>
      <c r="CD174" s="398"/>
      <c r="CE174" s="398"/>
      <c r="CF174" s="398"/>
      <c r="CG174" s="398"/>
      <c r="CH174" s="398"/>
      <c r="CI174" s="398"/>
      <c r="CJ174" s="398">
        <v>50.015000000000001</v>
      </c>
      <c r="CK174" s="398">
        <v>50.015000000000001</v>
      </c>
      <c r="CL174" s="398">
        <v>50.015000000000001</v>
      </c>
      <c r="CM174" s="398">
        <v>50.015000000000001</v>
      </c>
      <c r="CN174" s="398">
        <v>50.015000000000001</v>
      </c>
      <c r="CO174" s="398">
        <v>50.015000000000001</v>
      </c>
      <c r="CP174" s="398">
        <v>50.015000000000001</v>
      </c>
      <c r="CQ174" s="398"/>
      <c r="CR174" s="398"/>
      <c r="CS174" s="398"/>
      <c r="CT174" s="398"/>
      <c r="CU174" s="398"/>
      <c r="CV174" s="398"/>
      <c r="CW174" s="398"/>
      <c r="CX174" s="398"/>
      <c r="CY174" s="398"/>
      <c r="CZ174" s="398"/>
      <c r="DA174" s="398"/>
      <c r="DB174" s="398"/>
      <c r="DC174" s="398"/>
      <c r="DD174" s="398"/>
      <c r="DE174" s="393"/>
      <c r="DF174" s="393"/>
      <c r="DG174" s="393"/>
      <c r="DH174" s="393"/>
      <c r="DI174" s="393"/>
      <c r="DJ174" s="393"/>
      <c r="DK174" s="897"/>
    </row>
    <row r="175" spans="1:115" ht="51" x14ac:dyDescent="0.2">
      <c r="A175" s="295">
        <v>171</v>
      </c>
      <c r="B175" s="390" t="s">
        <v>6577</v>
      </c>
      <c r="C175" s="390"/>
      <c r="D175" s="391" t="s">
        <v>6578</v>
      </c>
      <c r="E175" s="704" t="s">
        <v>6579</v>
      </c>
      <c r="F175" s="393" t="s">
        <v>1352</v>
      </c>
      <c r="G175" s="393" t="s">
        <v>1673</v>
      </c>
      <c r="H175" s="393" t="s">
        <v>67</v>
      </c>
      <c r="I175" s="392"/>
      <c r="J175" s="392"/>
      <c r="K175" s="392" t="s">
        <v>67</v>
      </c>
      <c r="L175" s="392" t="s">
        <v>975</v>
      </c>
      <c r="M175" s="392"/>
      <c r="N175" s="393" t="s">
        <v>44</v>
      </c>
      <c r="O175" s="393" t="s">
        <v>51</v>
      </c>
      <c r="P175" s="393" t="s">
        <v>51</v>
      </c>
      <c r="Q175" s="392" t="s">
        <v>976</v>
      </c>
      <c r="R175" s="392" t="s">
        <v>6580</v>
      </c>
      <c r="S175" s="392" t="s">
        <v>977</v>
      </c>
      <c r="T175" s="394">
        <v>1</v>
      </c>
      <c r="U175" s="395">
        <v>49.933999999999997</v>
      </c>
      <c r="V175" s="395"/>
      <c r="W175" s="453"/>
      <c r="X175" s="394"/>
      <c r="Y175" s="394">
        <v>7</v>
      </c>
      <c r="Z175" s="394">
        <v>21</v>
      </c>
      <c r="AA175" s="395">
        <v>0</v>
      </c>
      <c r="AB175" s="452">
        <v>41951</v>
      </c>
      <c r="AC175" s="398"/>
      <c r="AD175" s="398">
        <v>307.12830136986298</v>
      </c>
      <c r="AE175" s="393" t="s">
        <v>37</v>
      </c>
      <c r="AF175" s="417"/>
      <c r="AG175" s="417"/>
      <c r="AH175" s="417"/>
      <c r="AI175" s="394"/>
      <c r="AJ175" s="453"/>
      <c r="AK175" s="453"/>
      <c r="AL175" s="393"/>
      <c r="AM175" s="393"/>
      <c r="AN175" s="417"/>
      <c r="AO175" s="392"/>
      <c r="AP175" s="392"/>
      <c r="AQ175" s="392"/>
      <c r="AR175" s="392" t="s">
        <v>6568</v>
      </c>
      <c r="AS175" s="479">
        <v>40050</v>
      </c>
      <c r="AT175" s="453"/>
      <c r="AU175" s="453"/>
      <c r="AV175" s="453"/>
      <c r="AW175" s="453"/>
      <c r="AX175" s="453"/>
      <c r="AY175" s="453"/>
      <c r="AZ175" s="452">
        <v>41949</v>
      </c>
      <c r="BA175" s="393"/>
      <c r="BB175" s="393"/>
      <c r="BC175" s="393" t="b">
        <v>0</v>
      </c>
      <c r="BD175" s="393"/>
      <c r="BE175" s="392"/>
      <c r="BF175" s="394">
        <v>1</v>
      </c>
      <c r="BG175" s="394">
        <v>6</v>
      </c>
      <c r="BH175" s="394">
        <v>8</v>
      </c>
      <c r="BI175" s="394">
        <v>4</v>
      </c>
      <c r="BJ175" s="394">
        <v>5</v>
      </c>
      <c r="BK175" s="394">
        <v>9</v>
      </c>
      <c r="BL175" s="444" t="s">
        <v>6981</v>
      </c>
      <c r="BM175" s="392"/>
      <c r="BN175" s="393"/>
      <c r="BO175" s="393"/>
      <c r="BP175" s="399"/>
      <c r="BQ175" s="400"/>
      <c r="BR175" s="401"/>
      <c r="BS175" s="399"/>
      <c r="BT175" s="394"/>
      <c r="BU175" s="417"/>
      <c r="BV175" s="399">
        <v>178.93</v>
      </c>
      <c r="BW175" s="393" t="s">
        <v>3117</v>
      </c>
      <c r="BX175" s="392" t="s">
        <v>3275</v>
      </c>
      <c r="BY175" s="393"/>
      <c r="BZ175" s="393"/>
      <c r="CA175" s="441"/>
      <c r="CB175" s="400"/>
      <c r="CC175" s="398"/>
      <c r="CD175" s="398"/>
      <c r="CE175" s="398"/>
      <c r="CF175" s="398"/>
      <c r="CG175" s="398"/>
      <c r="CH175" s="398"/>
      <c r="CI175" s="398"/>
      <c r="CJ175" s="398">
        <v>49.933999999999997</v>
      </c>
      <c r="CK175" s="398">
        <v>49.933999999999997</v>
      </c>
      <c r="CL175" s="398">
        <v>49.933999999999997</v>
      </c>
      <c r="CM175" s="398">
        <v>49.933999999999997</v>
      </c>
      <c r="CN175" s="398">
        <v>49.933999999999997</v>
      </c>
      <c r="CO175" s="398">
        <v>49.933999999999997</v>
      </c>
      <c r="CP175" s="398">
        <v>49.933999999999997</v>
      </c>
      <c r="CQ175" s="398"/>
      <c r="CR175" s="398"/>
      <c r="CS175" s="398"/>
      <c r="CT175" s="398"/>
      <c r="CU175" s="398"/>
      <c r="CV175" s="398"/>
      <c r="CW175" s="398"/>
      <c r="CX175" s="398"/>
      <c r="CY175" s="398"/>
      <c r="CZ175" s="398"/>
      <c r="DA175" s="398"/>
      <c r="DB175" s="398"/>
      <c r="DC175" s="398"/>
      <c r="DD175" s="398"/>
      <c r="DE175" s="393"/>
      <c r="DF175" s="393"/>
      <c r="DG175" s="393"/>
      <c r="DH175" s="393"/>
      <c r="DI175" s="393"/>
      <c r="DJ175" s="393"/>
      <c r="DK175" s="897"/>
    </row>
    <row r="176" spans="1:115" ht="51" x14ac:dyDescent="0.2">
      <c r="A176" s="295">
        <v>172</v>
      </c>
      <c r="B176" s="390" t="s">
        <v>6581</v>
      </c>
      <c r="C176" s="390"/>
      <c r="D176" s="391" t="s">
        <v>6582</v>
      </c>
      <c r="E176" s="704" t="s">
        <v>6583</v>
      </c>
      <c r="F176" s="393" t="s">
        <v>1352</v>
      </c>
      <c r="G176" s="393" t="s">
        <v>1673</v>
      </c>
      <c r="H176" s="393" t="s">
        <v>67</v>
      </c>
      <c r="I176" s="392"/>
      <c r="J176" s="392"/>
      <c r="K176" s="392" t="s">
        <v>67</v>
      </c>
      <c r="L176" s="392" t="s">
        <v>975</v>
      </c>
      <c r="M176" s="392"/>
      <c r="N176" s="393" t="s">
        <v>44</v>
      </c>
      <c r="O176" s="393" t="s">
        <v>51</v>
      </c>
      <c r="P176" s="393" t="s">
        <v>51</v>
      </c>
      <c r="Q176" s="392" t="s">
        <v>976</v>
      </c>
      <c r="R176" s="392" t="s">
        <v>6584</v>
      </c>
      <c r="S176" s="392" t="s">
        <v>977</v>
      </c>
      <c r="T176" s="394">
        <v>1</v>
      </c>
      <c r="U176" s="395">
        <v>49.929000000000002</v>
      </c>
      <c r="V176" s="395"/>
      <c r="W176" s="453"/>
      <c r="X176" s="394"/>
      <c r="Y176" s="394">
        <v>7</v>
      </c>
      <c r="Z176" s="394">
        <v>21</v>
      </c>
      <c r="AA176" s="395">
        <v>0</v>
      </c>
      <c r="AB176" s="452">
        <v>41951</v>
      </c>
      <c r="AC176" s="398"/>
      <c r="AD176" s="398">
        <v>307.09754794520552</v>
      </c>
      <c r="AE176" s="393" t="s">
        <v>37</v>
      </c>
      <c r="AF176" s="417"/>
      <c r="AG176" s="417"/>
      <c r="AH176" s="417"/>
      <c r="AI176" s="394"/>
      <c r="AJ176" s="453"/>
      <c r="AK176" s="453"/>
      <c r="AL176" s="393"/>
      <c r="AM176" s="393"/>
      <c r="AN176" s="417"/>
      <c r="AO176" s="392"/>
      <c r="AP176" s="392"/>
      <c r="AQ176" s="392"/>
      <c r="AR176" s="392" t="s">
        <v>6568</v>
      </c>
      <c r="AS176" s="479">
        <v>40050</v>
      </c>
      <c r="AT176" s="453"/>
      <c r="AU176" s="453"/>
      <c r="AV176" s="453"/>
      <c r="AW176" s="453"/>
      <c r="AX176" s="453"/>
      <c r="AY176" s="453"/>
      <c r="AZ176" s="452">
        <v>41949</v>
      </c>
      <c r="BA176" s="393"/>
      <c r="BB176" s="393"/>
      <c r="BC176" s="393" t="b">
        <v>0</v>
      </c>
      <c r="BD176" s="393"/>
      <c r="BE176" s="392"/>
      <c r="BF176" s="394">
        <v>1</v>
      </c>
      <c r="BG176" s="394">
        <v>6</v>
      </c>
      <c r="BH176" s="394">
        <v>8</v>
      </c>
      <c r="BI176" s="394">
        <v>4</v>
      </c>
      <c r="BJ176" s="394">
        <v>5</v>
      </c>
      <c r="BK176" s="394">
        <v>9</v>
      </c>
      <c r="BL176" s="444" t="s">
        <v>6981</v>
      </c>
      <c r="BM176" s="392"/>
      <c r="BN176" s="393"/>
      <c r="BO176" s="393"/>
      <c r="BP176" s="399"/>
      <c r="BQ176" s="400"/>
      <c r="BR176" s="401"/>
      <c r="BS176" s="399"/>
      <c r="BT176" s="394"/>
      <c r="BU176" s="417"/>
      <c r="BV176" s="399">
        <v>178.91</v>
      </c>
      <c r="BW176" s="393" t="s">
        <v>3117</v>
      </c>
      <c r="BX176" s="392" t="s">
        <v>3275</v>
      </c>
      <c r="BY176" s="393"/>
      <c r="BZ176" s="393"/>
      <c r="CA176" s="441"/>
      <c r="CB176" s="400"/>
      <c r="CC176" s="398"/>
      <c r="CD176" s="398"/>
      <c r="CE176" s="398"/>
      <c r="CF176" s="398"/>
      <c r="CG176" s="398"/>
      <c r="CH176" s="398"/>
      <c r="CI176" s="398"/>
      <c r="CJ176" s="398">
        <v>49.929000000000002</v>
      </c>
      <c r="CK176" s="398">
        <v>49.929000000000002</v>
      </c>
      <c r="CL176" s="398">
        <v>49.929000000000002</v>
      </c>
      <c r="CM176" s="398">
        <v>49.929000000000002</v>
      </c>
      <c r="CN176" s="398">
        <v>49.929000000000002</v>
      </c>
      <c r="CO176" s="398">
        <v>49.929000000000002</v>
      </c>
      <c r="CP176" s="398">
        <v>49.929000000000002</v>
      </c>
      <c r="CQ176" s="398"/>
      <c r="CR176" s="398"/>
      <c r="CS176" s="398"/>
      <c r="CT176" s="398"/>
      <c r="CU176" s="398"/>
      <c r="CV176" s="398"/>
      <c r="CW176" s="398"/>
      <c r="CX176" s="398"/>
      <c r="CY176" s="398"/>
      <c r="CZ176" s="398"/>
      <c r="DA176" s="398"/>
      <c r="DB176" s="398"/>
      <c r="DC176" s="398"/>
      <c r="DD176" s="398"/>
      <c r="DE176" s="393"/>
      <c r="DF176" s="393"/>
      <c r="DG176" s="393"/>
      <c r="DH176" s="393"/>
      <c r="DI176" s="393"/>
      <c r="DJ176" s="393"/>
      <c r="DK176" s="897"/>
    </row>
    <row r="177" spans="1:115" ht="51" x14ac:dyDescent="0.2">
      <c r="A177" s="295">
        <v>173</v>
      </c>
      <c r="B177" s="390" t="s">
        <v>6585</v>
      </c>
      <c r="C177" s="390"/>
      <c r="D177" s="391" t="s">
        <v>6586</v>
      </c>
      <c r="E177" s="704" t="s">
        <v>6587</v>
      </c>
      <c r="F177" s="393" t="s">
        <v>1352</v>
      </c>
      <c r="G177" s="393" t="s">
        <v>1673</v>
      </c>
      <c r="H177" s="393" t="s">
        <v>67</v>
      </c>
      <c r="I177" s="392"/>
      <c r="J177" s="392"/>
      <c r="K177" s="392" t="s">
        <v>67</v>
      </c>
      <c r="L177" s="392" t="s">
        <v>975</v>
      </c>
      <c r="M177" s="392"/>
      <c r="N177" s="393" t="s">
        <v>44</v>
      </c>
      <c r="O177" s="393" t="s">
        <v>51</v>
      </c>
      <c r="P177" s="393" t="s">
        <v>51</v>
      </c>
      <c r="Q177" s="392" t="s">
        <v>976</v>
      </c>
      <c r="R177" s="392" t="s">
        <v>6588</v>
      </c>
      <c r="S177" s="392" t="s">
        <v>977</v>
      </c>
      <c r="T177" s="394">
        <v>1</v>
      </c>
      <c r="U177" s="395">
        <v>47.88</v>
      </c>
      <c r="V177" s="395"/>
      <c r="W177" s="453"/>
      <c r="X177" s="394"/>
      <c r="Y177" s="394">
        <v>7</v>
      </c>
      <c r="Z177" s="394">
        <v>21</v>
      </c>
      <c r="AA177" s="395">
        <v>0</v>
      </c>
      <c r="AB177" s="452">
        <v>41951</v>
      </c>
      <c r="AC177" s="398"/>
      <c r="AD177" s="398">
        <v>294.49479452054794</v>
      </c>
      <c r="AE177" s="393" t="s">
        <v>37</v>
      </c>
      <c r="AF177" s="417"/>
      <c r="AG177" s="417"/>
      <c r="AH177" s="417"/>
      <c r="AI177" s="394"/>
      <c r="AJ177" s="453"/>
      <c r="AK177" s="453"/>
      <c r="AL177" s="393"/>
      <c r="AM177" s="393"/>
      <c r="AN177" s="417"/>
      <c r="AO177" s="392"/>
      <c r="AP177" s="392"/>
      <c r="AQ177" s="392"/>
      <c r="AR177" s="392" t="s">
        <v>6568</v>
      </c>
      <c r="AS177" s="479">
        <v>40050</v>
      </c>
      <c r="AT177" s="453"/>
      <c r="AU177" s="453"/>
      <c r="AV177" s="453"/>
      <c r="AW177" s="453"/>
      <c r="AX177" s="453"/>
      <c r="AY177" s="453"/>
      <c r="AZ177" s="452">
        <v>41949</v>
      </c>
      <c r="BA177" s="393"/>
      <c r="BB177" s="393"/>
      <c r="BC177" s="393" t="b">
        <v>0</v>
      </c>
      <c r="BD177" s="393"/>
      <c r="BE177" s="392"/>
      <c r="BF177" s="394">
        <v>1</v>
      </c>
      <c r="BG177" s="394">
        <v>6</v>
      </c>
      <c r="BH177" s="394">
        <v>8</v>
      </c>
      <c r="BI177" s="394">
        <v>4</v>
      </c>
      <c r="BJ177" s="394">
        <v>5</v>
      </c>
      <c r="BK177" s="394">
        <v>9</v>
      </c>
      <c r="BL177" s="444" t="s">
        <v>6981</v>
      </c>
      <c r="BM177" s="392"/>
      <c r="BN177" s="393"/>
      <c r="BO177" s="393"/>
      <c r="BP177" s="399"/>
      <c r="BQ177" s="400"/>
      <c r="BR177" s="401"/>
      <c r="BS177" s="399"/>
      <c r="BT177" s="394"/>
      <c r="BU177" s="417"/>
      <c r="BV177" s="399">
        <v>171.57</v>
      </c>
      <c r="BW177" s="393" t="s">
        <v>3117</v>
      </c>
      <c r="BX177" s="392" t="s">
        <v>3275</v>
      </c>
      <c r="BY177" s="393"/>
      <c r="BZ177" s="393"/>
      <c r="CA177" s="441"/>
      <c r="CB177" s="400"/>
      <c r="CC177" s="398"/>
      <c r="CD177" s="398"/>
      <c r="CE177" s="398"/>
      <c r="CF177" s="398"/>
      <c r="CG177" s="398"/>
      <c r="CH177" s="398"/>
      <c r="CI177" s="398"/>
      <c r="CJ177" s="398">
        <v>47.88</v>
      </c>
      <c r="CK177" s="398">
        <v>47.88</v>
      </c>
      <c r="CL177" s="398">
        <v>47.88</v>
      </c>
      <c r="CM177" s="398">
        <v>47.88</v>
      </c>
      <c r="CN177" s="398">
        <v>47.88</v>
      </c>
      <c r="CO177" s="398">
        <v>47.88</v>
      </c>
      <c r="CP177" s="398">
        <v>47.88</v>
      </c>
      <c r="CQ177" s="398"/>
      <c r="CR177" s="398"/>
      <c r="CS177" s="398"/>
      <c r="CT177" s="398"/>
      <c r="CU177" s="398"/>
      <c r="CV177" s="398"/>
      <c r="CW177" s="398"/>
      <c r="CX177" s="398"/>
      <c r="CY177" s="398"/>
      <c r="CZ177" s="398"/>
      <c r="DA177" s="398"/>
      <c r="DB177" s="398"/>
      <c r="DC177" s="398"/>
      <c r="DD177" s="398"/>
      <c r="DE177" s="393"/>
      <c r="DF177" s="393"/>
      <c r="DG177" s="393"/>
      <c r="DH177" s="393"/>
      <c r="DI177" s="393"/>
      <c r="DJ177" s="393"/>
      <c r="DK177" s="897"/>
    </row>
    <row r="178" spans="1:115" ht="51" x14ac:dyDescent="0.2">
      <c r="A178" s="295">
        <v>174</v>
      </c>
      <c r="B178" s="390" t="s">
        <v>6589</v>
      </c>
      <c r="C178" s="390"/>
      <c r="D178" s="391" t="s">
        <v>6590</v>
      </c>
      <c r="E178" s="704" t="s">
        <v>6591</v>
      </c>
      <c r="F178" s="393" t="s">
        <v>1352</v>
      </c>
      <c r="G178" s="393" t="s">
        <v>1673</v>
      </c>
      <c r="H178" s="393" t="s">
        <v>67</v>
      </c>
      <c r="I178" s="392"/>
      <c r="J178" s="392"/>
      <c r="K178" s="392" t="s">
        <v>67</v>
      </c>
      <c r="L178" s="392" t="s">
        <v>975</v>
      </c>
      <c r="M178" s="392"/>
      <c r="N178" s="393" t="s">
        <v>44</v>
      </c>
      <c r="O178" s="393" t="s">
        <v>51</v>
      </c>
      <c r="P178" s="393" t="s">
        <v>51</v>
      </c>
      <c r="Q178" s="392" t="s">
        <v>976</v>
      </c>
      <c r="R178" s="392" t="s">
        <v>6592</v>
      </c>
      <c r="S178" s="392" t="s">
        <v>977</v>
      </c>
      <c r="T178" s="394">
        <v>1</v>
      </c>
      <c r="U178" s="395">
        <v>48.578000000000003</v>
      </c>
      <c r="V178" s="395"/>
      <c r="W178" s="453"/>
      <c r="X178" s="394"/>
      <c r="Y178" s="394">
        <v>7</v>
      </c>
      <c r="Z178" s="394">
        <v>21</v>
      </c>
      <c r="AA178" s="395">
        <v>0</v>
      </c>
      <c r="AB178" s="452">
        <v>41951</v>
      </c>
      <c r="AC178" s="398"/>
      <c r="AD178" s="398">
        <v>298.78797260273973</v>
      </c>
      <c r="AE178" s="393" t="s">
        <v>37</v>
      </c>
      <c r="AF178" s="417"/>
      <c r="AG178" s="417"/>
      <c r="AH178" s="417"/>
      <c r="AI178" s="394"/>
      <c r="AJ178" s="453"/>
      <c r="AK178" s="453"/>
      <c r="AL178" s="393"/>
      <c r="AM178" s="393"/>
      <c r="AN178" s="417"/>
      <c r="AO178" s="392"/>
      <c r="AP178" s="392"/>
      <c r="AQ178" s="392"/>
      <c r="AR178" s="392" t="s">
        <v>6568</v>
      </c>
      <c r="AS178" s="479">
        <v>40050</v>
      </c>
      <c r="AT178" s="453"/>
      <c r="AU178" s="453"/>
      <c r="AV178" s="453"/>
      <c r="AW178" s="453"/>
      <c r="AX178" s="453"/>
      <c r="AY178" s="453"/>
      <c r="AZ178" s="452">
        <v>41949</v>
      </c>
      <c r="BA178" s="393"/>
      <c r="BB178" s="393"/>
      <c r="BC178" s="393" t="b">
        <v>0</v>
      </c>
      <c r="BD178" s="393"/>
      <c r="BE178" s="392"/>
      <c r="BF178" s="394">
        <v>1</v>
      </c>
      <c r="BG178" s="394">
        <v>6</v>
      </c>
      <c r="BH178" s="394">
        <v>8</v>
      </c>
      <c r="BI178" s="394">
        <v>4</v>
      </c>
      <c r="BJ178" s="394">
        <v>5</v>
      </c>
      <c r="BK178" s="394">
        <v>9</v>
      </c>
      <c r="BL178" s="444" t="s">
        <v>6981</v>
      </c>
      <c r="BM178" s="392"/>
      <c r="BN178" s="393"/>
      <c r="BO178" s="393"/>
      <c r="BP178" s="399"/>
      <c r="BQ178" s="400"/>
      <c r="BR178" s="401"/>
      <c r="BS178" s="399"/>
      <c r="BT178" s="394"/>
      <c r="BU178" s="417"/>
      <c r="BV178" s="399">
        <v>174.07</v>
      </c>
      <c r="BW178" s="393" t="s">
        <v>3117</v>
      </c>
      <c r="BX178" s="392" t="s">
        <v>3275</v>
      </c>
      <c r="BY178" s="393"/>
      <c r="BZ178" s="393"/>
      <c r="CA178" s="441"/>
      <c r="CB178" s="400"/>
      <c r="CC178" s="398"/>
      <c r="CD178" s="398"/>
      <c r="CE178" s="398"/>
      <c r="CF178" s="398"/>
      <c r="CG178" s="398"/>
      <c r="CH178" s="398"/>
      <c r="CI178" s="398"/>
      <c r="CJ178" s="398">
        <v>48.578000000000003</v>
      </c>
      <c r="CK178" s="398">
        <v>48.578000000000003</v>
      </c>
      <c r="CL178" s="398">
        <v>48.578000000000003</v>
      </c>
      <c r="CM178" s="398">
        <v>48.578000000000003</v>
      </c>
      <c r="CN178" s="398">
        <v>48.578000000000003</v>
      </c>
      <c r="CO178" s="398">
        <v>48.578000000000003</v>
      </c>
      <c r="CP178" s="398">
        <v>48.578000000000003</v>
      </c>
      <c r="CQ178" s="398"/>
      <c r="CR178" s="398"/>
      <c r="CS178" s="398"/>
      <c r="CT178" s="398"/>
      <c r="CU178" s="398"/>
      <c r="CV178" s="398"/>
      <c r="CW178" s="398"/>
      <c r="CX178" s="398"/>
      <c r="CY178" s="398"/>
      <c r="CZ178" s="398"/>
      <c r="DA178" s="398"/>
      <c r="DB178" s="398"/>
      <c r="DC178" s="398"/>
      <c r="DD178" s="398"/>
      <c r="DE178" s="393"/>
      <c r="DF178" s="393"/>
      <c r="DG178" s="393"/>
      <c r="DH178" s="393"/>
      <c r="DI178" s="393"/>
      <c r="DJ178" s="393"/>
      <c r="DK178" s="897"/>
    </row>
    <row r="179" spans="1:115" ht="51" x14ac:dyDescent="0.2">
      <c r="A179" s="295">
        <v>175</v>
      </c>
      <c r="B179" s="390" t="s">
        <v>6593</v>
      </c>
      <c r="C179" s="390"/>
      <c r="D179" s="391" t="s">
        <v>6594</v>
      </c>
      <c r="E179" s="704" t="s">
        <v>6595</v>
      </c>
      <c r="F179" s="393" t="s">
        <v>1352</v>
      </c>
      <c r="G179" s="393" t="s">
        <v>1673</v>
      </c>
      <c r="H179" s="393" t="s">
        <v>67</v>
      </c>
      <c r="I179" s="392"/>
      <c r="J179" s="392"/>
      <c r="K179" s="392" t="s">
        <v>67</v>
      </c>
      <c r="L179" s="392" t="s">
        <v>975</v>
      </c>
      <c r="M179" s="392"/>
      <c r="N179" s="393" t="s">
        <v>44</v>
      </c>
      <c r="O179" s="393" t="s">
        <v>51</v>
      </c>
      <c r="P179" s="393" t="s">
        <v>51</v>
      </c>
      <c r="Q179" s="392" t="s">
        <v>976</v>
      </c>
      <c r="R179" s="392" t="s">
        <v>6596</v>
      </c>
      <c r="S179" s="392" t="s">
        <v>977</v>
      </c>
      <c r="T179" s="394">
        <v>1</v>
      </c>
      <c r="U179" s="395">
        <v>50.1</v>
      </c>
      <c r="V179" s="395"/>
      <c r="W179" s="453"/>
      <c r="X179" s="394"/>
      <c r="Y179" s="394">
        <v>7</v>
      </c>
      <c r="Z179" s="394">
        <v>21</v>
      </c>
      <c r="AA179" s="395">
        <v>0</v>
      </c>
      <c r="AB179" s="452">
        <v>41951</v>
      </c>
      <c r="AC179" s="398"/>
      <c r="AD179" s="398">
        <v>308.14931506849314</v>
      </c>
      <c r="AE179" s="393" t="s">
        <v>37</v>
      </c>
      <c r="AF179" s="417"/>
      <c r="AG179" s="417"/>
      <c r="AH179" s="417"/>
      <c r="AI179" s="394"/>
      <c r="AJ179" s="453"/>
      <c r="AK179" s="453"/>
      <c r="AL179" s="393"/>
      <c r="AM179" s="393"/>
      <c r="AN179" s="417"/>
      <c r="AO179" s="392"/>
      <c r="AP179" s="392"/>
      <c r="AQ179" s="392"/>
      <c r="AR179" s="392" t="s">
        <v>6568</v>
      </c>
      <c r="AS179" s="479">
        <v>40050</v>
      </c>
      <c r="AT179" s="453"/>
      <c r="AU179" s="453"/>
      <c r="AV179" s="453"/>
      <c r="AW179" s="453"/>
      <c r="AX179" s="453"/>
      <c r="AY179" s="453"/>
      <c r="AZ179" s="452">
        <v>41949</v>
      </c>
      <c r="BA179" s="393"/>
      <c r="BB179" s="393"/>
      <c r="BC179" s="393" t="b">
        <v>0</v>
      </c>
      <c r="BD179" s="393"/>
      <c r="BE179" s="392"/>
      <c r="BF179" s="394">
        <v>1</v>
      </c>
      <c r="BG179" s="394">
        <v>6</v>
      </c>
      <c r="BH179" s="394">
        <v>8</v>
      </c>
      <c r="BI179" s="394">
        <v>4</v>
      </c>
      <c r="BJ179" s="394">
        <v>5</v>
      </c>
      <c r="BK179" s="394">
        <v>9</v>
      </c>
      <c r="BL179" s="444" t="s">
        <v>6981</v>
      </c>
      <c r="BM179" s="392"/>
      <c r="BN179" s="393"/>
      <c r="BO179" s="393"/>
      <c r="BP179" s="399"/>
      <c r="BQ179" s="400"/>
      <c r="BR179" s="401"/>
      <c r="BS179" s="399"/>
      <c r="BT179" s="394"/>
      <c r="BU179" s="417"/>
      <c r="BV179" s="399">
        <v>179.52</v>
      </c>
      <c r="BW179" s="393" t="s">
        <v>3117</v>
      </c>
      <c r="BX179" s="392" t="s">
        <v>3275</v>
      </c>
      <c r="BY179" s="393"/>
      <c r="BZ179" s="393"/>
      <c r="CA179" s="441"/>
      <c r="CB179" s="400"/>
      <c r="CC179" s="398"/>
      <c r="CD179" s="398"/>
      <c r="CE179" s="398"/>
      <c r="CF179" s="398"/>
      <c r="CG179" s="398"/>
      <c r="CH179" s="398"/>
      <c r="CI179" s="398"/>
      <c r="CJ179" s="398">
        <v>50.1</v>
      </c>
      <c r="CK179" s="398">
        <v>50.1</v>
      </c>
      <c r="CL179" s="398">
        <v>50.1</v>
      </c>
      <c r="CM179" s="398">
        <v>50.1</v>
      </c>
      <c r="CN179" s="398">
        <v>50.1</v>
      </c>
      <c r="CO179" s="398">
        <v>50.1</v>
      </c>
      <c r="CP179" s="398">
        <v>50.1</v>
      </c>
      <c r="CQ179" s="398"/>
      <c r="CR179" s="398"/>
      <c r="CS179" s="398"/>
      <c r="CT179" s="398"/>
      <c r="CU179" s="398"/>
      <c r="CV179" s="398"/>
      <c r="CW179" s="398"/>
      <c r="CX179" s="398"/>
      <c r="CY179" s="398"/>
      <c r="CZ179" s="398"/>
      <c r="DA179" s="398"/>
      <c r="DB179" s="398"/>
      <c r="DC179" s="398"/>
      <c r="DD179" s="398"/>
      <c r="DE179" s="393"/>
      <c r="DF179" s="393"/>
      <c r="DG179" s="393"/>
      <c r="DH179" s="393"/>
      <c r="DI179" s="393"/>
      <c r="DJ179" s="393"/>
      <c r="DK179" s="897"/>
    </row>
    <row r="180" spans="1:115" ht="51" x14ac:dyDescent="0.2">
      <c r="A180" s="295">
        <v>176</v>
      </c>
      <c r="B180" s="390" t="s">
        <v>6597</v>
      </c>
      <c r="C180" s="390"/>
      <c r="D180" s="391" t="s">
        <v>6598</v>
      </c>
      <c r="E180" s="704" t="s">
        <v>6599</v>
      </c>
      <c r="F180" s="393" t="s">
        <v>1352</v>
      </c>
      <c r="G180" s="393" t="s">
        <v>1673</v>
      </c>
      <c r="H180" s="393" t="s">
        <v>67</v>
      </c>
      <c r="I180" s="392"/>
      <c r="J180" s="392"/>
      <c r="K180" s="392" t="s">
        <v>67</v>
      </c>
      <c r="L180" s="392" t="s">
        <v>975</v>
      </c>
      <c r="M180" s="392"/>
      <c r="N180" s="393" t="s">
        <v>44</v>
      </c>
      <c r="O180" s="393" t="s">
        <v>51</v>
      </c>
      <c r="P180" s="393" t="s">
        <v>51</v>
      </c>
      <c r="Q180" s="392" t="s">
        <v>976</v>
      </c>
      <c r="R180" s="392" t="s">
        <v>6600</v>
      </c>
      <c r="S180" s="392" t="s">
        <v>977</v>
      </c>
      <c r="T180" s="394">
        <v>1</v>
      </c>
      <c r="U180" s="395">
        <v>49.646999999999998</v>
      </c>
      <c r="V180" s="395"/>
      <c r="W180" s="453"/>
      <c r="X180" s="394"/>
      <c r="Y180" s="394">
        <v>7</v>
      </c>
      <c r="Z180" s="394">
        <v>21</v>
      </c>
      <c r="AA180" s="395">
        <v>0</v>
      </c>
      <c r="AB180" s="452">
        <v>41951</v>
      </c>
      <c r="AC180" s="398"/>
      <c r="AD180" s="398">
        <v>305.36305479452056</v>
      </c>
      <c r="AE180" s="393" t="s">
        <v>37</v>
      </c>
      <c r="AF180" s="417"/>
      <c r="AG180" s="417"/>
      <c r="AH180" s="417"/>
      <c r="AI180" s="394"/>
      <c r="AJ180" s="453"/>
      <c r="AK180" s="453"/>
      <c r="AL180" s="393"/>
      <c r="AM180" s="393"/>
      <c r="AN180" s="417"/>
      <c r="AO180" s="392"/>
      <c r="AP180" s="392"/>
      <c r="AQ180" s="392"/>
      <c r="AR180" s="392" t="s">
        <v>6568</v>
      </c>
      <c r="AS180" s="479">
        <v>40050</v>
      </c>
      <c r="AT180" s="453"/>
      <c r="AU180" s="453"/>
      <c r="AV180" s="453"/>
      <c r="AW180" s="453"/>
      <c r="AX180" s="453"/>
      <c r="AY180" s="453"/>
      <c r="AZ180" s="452">
        <v>41949</v>
      </c>
      <c r="BA180" s="393"/>
      <c r="BB180" s="393"/>
      <c r="BC180" s="393" t="b">
        <v>0</v>
      </c>
      <c r="BD180" s="393"/>
      <c r="BE180" s="392"/>
      <c r="BF180" s="394">
        <v>1</v>
      </c>
      <c r="BG180" s="394">
        <v>6</v>
      </c>
      <c r="BH180" s="394">
        <v>8</v>
      </c>
      <c r="BI180" s="394">
        <v>4</v>
      </c>
      <c r="BJ180" s="394">
        <v>5</v>
      </c>
      <c r="BK180" s="394">
        <v>9</v>
      </c>
      <c r="BL180" s="444" t="s">
        <v>6981</v>
      </c>
      <c r="BM180" s="392"/>
      <c r="BN180" s="393"/>
      <c r="BO180" s="393"/>
      <c r="BP180" s="399"/>
      <c r="BQ180" s="400"/>
      <c r="BR180" s="401"/>
      <c r="BS180" s="399"/>
      <c r="BT180" s="394"/>
      <c r="BU180" s="417"/>
      <c r="BV180" s="399">
        <v>177.9</v>
      </c>
      <c r="BW180" s="393" t="s">
        <v>3117</v>
      </c>
      <c r="BX180" s="392" t="s">
        <v>3275</v>
      </c>
      <c r="BY180" s="393"/>
      <c r="BZ180" s="393"/>
      <c r="CA180" s="441"/>
      <c r="CB180" s="400"/>
      <c r="CC180" s="398"/>
      <c r="CD180" s="398"/>
      <c r="CE180" s="398"/>
      <c r="CF180" s="398"/>
      <c r="CG180" s="398"/>
      <c r="CH180" s="398"/>
      <c r="CI180" s="398"/>
      <c r="CJ180" s="398">
        <v>49.646999999999998</v>
      </c>
      <c r="CK180" s="398">
        <v>49.646999999999998</v>
      </c>
      <c r="CL180" s="398">
        <v>49.646999999999998</v>
      </c>
      <c r="CM180" s="398">
        <v>49.646999999999998</v>
      </c>
      <c r="CN180" s="398">
        <v>49.646999999999998</v>
      </c>
      <c r="CO180" s="398">
        <v>49.646999999999998</v>
      </c>
      <c r="CP180" s="398">
        <v>49.646999999999998</v>
      </c>
      <c r="CQ180" s="398"/>
      <c r="CR180" s="398"/>
      <c r="CS180" s="398"/>
      <c r="CT180" s="398"/>
      <c r="CU180" s="398"/>
      <c r="CV180" s="398"/>
      <c r="CW180" s="398"/>
      <c r="CX180" s="398"/>
      <c r="CY180" s="398"/>
      <c r="CZ180" s="398"/>
      <c r="DA180" s="398"/>
      <c r="DB180" s="398"/>
      <c r="DC180" s="398"/>
      <c r="DD180" s="398"/>
      <c r="DE180" s="393"/>
      <c r="DF180" s="393"/>
      <c r="DG180" s="393"/>
      <c r="DH180" s="393"/>
      <c r="DI180" s="393"/>
      <c r="DJ180" s="393"/>
      <c r="DK180" s="897"/>
    </row>
    <row r="181" spans="1:115" ht="51" x14ac:dyDescent="0.2">
      <c r="A181" s="295">
        <v>177</v>
      </c>
      <c r="B181" s="390" t="s">
        <v>6601</v>
      </c>
      <c r="C181" s="390"/>
      <c r="D181" s="391" t="s">
        <v>6602</v>
      </c>
      <c r="E181" s="704" t="s">
        <v>6603</v>
      </c>
      <c r="F181" s="393" t="s">
        <v>1352</v>
      </c>
      <c r="G181" s="393" t="s">
        <v>1673</v>
      </c>
      <c r="H181" s="393" t="s">
        <v>67</v>
      </c>
      <c r="I181" s="392"/>
      <c r="J181" s="392"/>
      <c r="K181" s="392" t="s">
        <v>67</v>
      </c>
      <c r="L181" s="392" t="s">
        <v>975</v>
      </c>
      <c r="M181" s="392"/>
      <c r="N181" s="393" t="s">
        <v>44</v>
      </c>
      <c r="O181" s="393" t="s">
        <v>51</v>
      </c>
      <c r="P181" s="393" t="s">
        <v>51</v>
      </c>
      <c r="Q181" s="392" t="s">
        <v>976</v>
      </c>
      <c r="R181" s="428" t="s">
        <v>6604</v>
      </c>
      <c r="S181" s="392" t="s">
        <v>977</v>
      </c>
      <c r="T181" s="394">
        <v>1</v>
      </c>
      <c r="U181" s="395">
        <v>46.84</v>
      </c>
      <c r="V181" s="395"/>
      <c r="W181" s="453"/>
      <c r="X181" s="394"/>
      <c r="Y181" s="394">
        <v>7</v>
      </c>
      <c r="Z181" s="394">
        <v>21</v>
      </c>
      <c r="AA181" s="395">
        <v>0</v>
      </c>
      <c r="AB181" s="452">
        <v>41951</v>
      </c>
      <c r="AC181" s="398"/>
      <c r="AD181" s="398">
        <v>288.0980821917808</v>
      </c>
      <c r="AE181" s="393" t="s">
        <v>37</v>
      </c>
      <c r="AF181" s="417"/>
      <c r="AG181" s="417"/>
      <c r="AH181" s="417"/>
      <c r="AI181" s="394"/>
      <c r="AJ181" s="453"/>
      <c r="AK181" s="453"/>
      <c r="AL181" s="393"/>
      <c r="AM181" s="393"/>
      <c r="AN181" s="417"/>
      <c r="AO181" s="392"/>
      <c r="AP181" s="392"/>
      <c r="AQ181" s="392"/>
      <c r="AR181" s="392" t="s">
        <v>6568</v>
      </c>
      <c r="AS181" s="479">
        <v>40050</v>
      </c>
      <c r="AT181" s="453"/>
      <c r="AU181" s="453"/>
      <c r="AV181" s="453"/>
      <c r="AW181" s="453"/>
      <c r="AX181" s="453"/>
      <c r="AY181" s="453"/>
      <c r="AZ181" s="452">
        <v>41949</v>
      </c>
      <c r="BA181" s="393"/>
      <c r="BB181" s="393"/>
      <c r="BC181" s="393" t="b">
        <v>0</v>
      </c>
      <c r="BD181" s="393"/>
      <c r="BE181" s="392"/>
      <c r="BF181" s="394">
        <v>1</v>
      </c>
      <c r="BG181" s="394">
        <v>6</v>
      </c>
      <c r="BH181" s="394">
        <v>8</v>
      </c>
      <c r="BI181" s="394">
        <v>4</v>
      </c>
      <c r="BJ181" s="394">
        <v>5</v>
      </c>
      <c r="BK181" s="394">
        <v>9</v>
      </c>
      <c r="BL181" s="444" t="s">
        <v>6981</v>
      </c>
      <c r="BM181" s="392"/>
      <c r="BN181" s="393"/>
      <c r="BO181" s="393"/>
      <c r="BP181" s="399"/>
      <c r="BQ181" s="400"/>
      <c r="BR181" s="401"/>
      <c r="BS181" s="399"/>
      <c r="BT181" s="394"/>
      <c r="BU181" s="417"/>
      <c r="BV181" s="399">
        <v>167.84</v>
      </c>
      <c r="BW181" s="393" t="s">
        <v>3117</v>
      </c>
      <c r="BX181" s="392" t="s">
        <v>3275</v>
      </c>
      <c r="BY181" s="393"/>
      <c r="BZ181" s="393"/>
      <c r="CA181" s="441"/>
      <c r="CB181" s="400"/>
      <c r="CC181" s="398"/>
      <c r="CD181" s="398"/>
      <c r="CE181" s="398"/>
      <c r="CF181" s="398"/>
      <c r="CG181" s="398"/>
      <c r="CH181" s="398"/>
      <c r="CI181" s="398"/>
      <c r="CJ181" s="398">
        <v>46.84</v>
      </c>
      <c r="CK181" s="398">
        <v>46.84</v>
      </c>
      <c r="CL181" s="398">
        <v>46.84</v>
      </c>
      <c r="CM181" s="398">
        <v>46.84</v>
      </c>
      <c r="CN181" s="398">
        <v>46.84</v>
      </c>
      <c r="CO181" s="398">
        <v>46.84</v>
      </c>
      <c r="CP181" s="398">
        <v>46.84</v>
      </c>
      <c r="CQ181" s="398"/>
      <c r="CR181" s="398"/>
      <c r="CS181" s="398"/>
      <c r="CT181" s="398"/>
      <c r="CU181" s="398"/>
      <c r="CV181" s="398"/>
      <c r="CW181" s="398"/>
      <c r="CX181" s="398"/>
      <c r="CY181" s="398"/>
      <c r="CZ181" s="398"/>
      <c r="DA181" s="398"/>
      <c r="DB181" s="398"/>
      <c r="DC181" s="398"/>
      <c r="DD181" s="398"/>
      <c r="DE181" s="393"/>
      <c r="DF181" s="393"/>
      <c r="DG181" s="393"/>
      <c r="DH181" s="393"/>
      <c r="DI181" s="393"/>
      <c r="DJ181" s="393"/>
      <c r="DK181" s="897"/>
    </row>
    <row r="182" spans="1:115" ht="51" x14ac:dyDescent="0.2">
      <c r="A182" s="295">
        <v>178</v>
      </c>
      <c r="B182" s="390" t="s">
        <v>7943</v>
      </c>
      <c r="C182" s="390"/>
      <c r="D182" s="391" t="s">
        <v>7935</v>
      </c>
      <c r="E182" s="705" t="s">
        <v>7951</v>
      </c>
      <c r="F182" s="393" t="s">
        <v>1352</v>
      </c>
      <c r="G182" s="393" t="s">
        <v>1673</v>
      </c>
      <c r="H182" s="393" t="s">
        <v>67</v>
      </c>
      <c r="I182" s="392"/>
      <c r="J182" s="392"/>
      <c r="K182" s="392" t="s">
        <v>67</v>
      </c>
      <c r="L182" s="392" t="s">
        <v>975</v>
      </c>
      <c r="M182" s="392"/>
      <c r="N182" s="393" t="s">
        <v>44</v>
      </c>
      <c r="O182" s="393" t="s">
        <v>51</v>
      </c>
      <c r="P182" s="393" t="s">
        <v>51</v>
      </c>
      <c r="Q182" s="392" t="s">
        <v>976</v>
      </c>
      <c r="R182" s="428" t="s">
        <v>7965</v>
      </c>
      <c r="S182" s="392" t="s">
        <v>977</v>
      </c>
      <c r="T182" s="394">
        <v>1</v>
      </c>
      <c r="U182" s="395">
        <v>49.554000000000002</v>
      </c>
      <c r="V182" s="395"/>
      <c r="W182" s="453"/>
      <c r="X182" s="394"/>
      <c r="Y182" s="394">
        <v>7</v>
      </c>
      <c r="Z182" s="394">
        <v>21</v>
      </c>
      <c r="AA182" s="395">
        <v>0</v>
      </c>
      <c r="AB182" s="452">
        <v>42377</v>
      </c>
      <c r="AC182" s="398"/>
      <c r="AD182" s="398">
        <v>246.95541369863017</v>
      </c>
      <c r="AE182" s="475" t="s">
        <v>37</v>
      </c>
      <c r="AF182" s="417"/>
      <c r="AG182" s="417">
        <v>48.759</v>
      </c>
      <c r="AH182" s="417">
        <v>48.759</v>
      </c>
      <c r="AI182" s="394"/>
      <c r="AJ182" s="453">
        <v>43168</v>
      </c>
      <c r="AK182" s="453">
        <v>42747</v>
      </c>
      <c r="AL182" s="393"/>
      <c r="AM182" s="393"/>
      <c r="AN182" s="417"/>
      <c r="AO182" s="428" t="s">
        <v>103</v>
      </c>
      <c r="AP182" s="392"/>
      <c r="AQ182" s="392"/>
      <c r="AR182" s="392" t="s">
        <v>6568</v>
      </c>
      <c r="AS182" s="479">
        <v>40050</v>
      </c>
      <c r="AT182" s="453"/>
      <c r="AU182" s="453"/>
      <c r="AV182" s="453"/>
      <c r="AW182" s="453"/>
      <c r="AX182" s="453"/>
      <c r="AY182" s="453"/>
      <c r="AZ182" s="452">
        <v>42382</v>
      </c>
      <c r="BA182" s="393"/>
      <c r="BB182" s="393"/>
      <c r="BC182" s="393" t="b">
        <v>0</v>
      </c>
      <c r="BD182" s="393"/>
      <c r="BE182" s="392"/>
      <c r="BF182" s="394">
        <v>1</v>
      </c>
      <c r="BG182" s="394">
        <v>6</v>
      </c>
      <c r="BH182" s="394">
        <v>8</v>
      </c>
      <c r="BI182" s="394">
        <v>4</v>
      </c>
      <c r="BJ182" s="394">
        <v>5</v>
      </c>
      <c r="BK182" s="394">
        <v>9</v>
      </c>
      <c r="BL182" s="444" t="s">
        <v>6981</v>
      </c>
      <c r="BM182" s="392"/>
      <c r="BN182" s="393"/>
      <c r="BO182" s="393"/>
      <c r="BP182" s="399"/>
      <c r="BQ182" s="400"/>
      <c r="BR182" s="401"/>
      <c r="BS182" s="399"/>
      <c r="BT182" s="394"/>
      <c r="BU182" s="417"/>
      <c r="BV182" s="399">
        <v>177.57</v>
      </c>
      <c r="BW182" s="393" t="s">
        <v>3117</v>
      </c>
      <c r="BX182" s="392" t="s">
        <v>3275</v>
      </c>
      <c r="BY182" s="393"/>
      <c r="BZ182" s="393"/>
      <c r="CA182" s="441"/>
      <c r="CB182" s="400"/>
      <c r="CC182" s="398"/>
      <c r="CD182" s="398"/>
      <c r="CE182" s="398"/>
      <c r="CF182" s="398"/>
      <c r="CG182" s="398"/>
      <c r="CH182" s="398"/>
      <c r="CI182" s="398"/>
      <c r="CJ182" s="398"/>
      <c r="CK182" s="398"/>
      <c r="CL182" s="398">
        <v>49.554000000000002</v>
      </c>
      <c r="CM182" s="398">
        <v>49.554000000000002</v>
      </c>
      <c r="CN182" s="398">
        <v>49.554000000000002</v>
      </c>
      <c r="CO182" s="398">
        <v>49.554000000000002</v>
      </c>
      <c r="CP182" s="398">
        <v>49.554000000000002</v>
      </c>
      <c r="CQ182" s="398">
        <v>49.554000000000002</v>
      </c>
      <c r="CR182" s="398">
        <v>49.554000000000002</v>
      </c>
      <c r="CS182" s="398"/>
      <c r="CT182" s="398"/>
      <c r="CU182" s="398"/>
      <c r="CV182" s="398"/>
      <c r="CW182" s="398"/>
      <c r="CX182" s="398"/>
      <c r="CY182" s="398"/>
      <c r="CZ182" s="398"/>
      <c r="DA182" s="398"/>
      <c r="DB182" s="398"/>
      <c r="DC182" s="398"/>
      <c r="DD182" s="398"/>
      <c r="DE182" s="393"/>
      <c r="DF182" s="393"/>
      <c r="DG182" s="393"/>
      <c r="DH182" s="393"/>
      <c r="DI182" s="393"/>
      <c r="DJ182" s="393"/>
      <c r="DK182" s="897"/>
    </row>
    <row r="183" spans="1:115" ht="51" x14ac:dyDescent="0.2">
      <c r="A183" s="295">
        <v>179</v>
      </c>
      <c r="B183" s="390" t="s">
        <v>7944</v>
      </c>
      <c r="C183" s="390"/>
      <c r="D183" s="391" t="s">
        <v>7936</v>
      </c>
      <c r="E183" s="705" t="s">
        <v>7952</v>
      </c>
      <c r="F183" s="393" t="s">
        <v>1352</v>
      </c>
      <c r="G183" s="393" t="s">
        <v>1673</v>
      </c>
      <c r="H183" s="393" t="s">
        <v>67</v>
      </c>
      <c r="I183" s="392"/>
      <c r="J183" s="392"/>
      <c r="K183" s="392" t="s">
        <v>67</v>
      </c>
      <c r="L183" s="392" t="s">
        <v>975</v>
      </c>
      <c r="M183" s="392"/>
      <c r="N183" s="393" t="s">
        <v>44</v>
      </c>
      <c r="O183" s="393" t="s">
        <v>51</v>
      </c>
      <c r="P183" s="393" t="s">
        <v>51</v>
      </c>
      <c r="Q183" s="392" t="s">
        <v>976</v>
      </c>
      <c r="R183" s="428" t="s">
        <v>7964</v>
      </c>
      <c r="S183" s="392" t="s">
        <v>977</v>
      </c>
      <c r="T183" s="394">
        <v>1</v>
      </c>
      <c r="U183" s="395">
        <v>49.271999999999998</v>
      </c>
      <c r="V183" s="395"/>
      <c r="W183" s="453"/>
      <c r="X183" s="394"/>
      <c r="Y183" s="394">
        <v>7</v>
      </c>
      <c r="Z183" s="394">
        <v>21</v>
      </c>
      <c r="AA183" s="395">
        <v>0</v>
      </c>
      <c r="AB183" s="452">
        <v>42377</v>
      </c>
      <c r="AC183" s="398"/>
      <c r="AD183" s="398">
        <v>245.55004931506849</v>
      </c>
      <c r="AE183" s="475" t="s">
        <v>37</v>
      </c>
      <c r="AF183" s="417"/>
      <c r="AG183" s="417">
        <v>48.253999999999998</v>
      </c>
      <c r="AH183" s="417">
        <v>48.253999999999998</v>
      </c>
      <c r="AI183" s="394"/>
      <c r="AJ183" s="453">
        <v>43168</v>
      </c>
      <c r="AK183" s="453">
        <v>42747</v>
      </c>
      <c r="AL183" s="393"/>
      <c r="AM183" s="393"/>
      <c r="AN183" s="417"/>
      <c r="AO183" s="428" t="s">
        <v>103</v>
      </c>
      <c r="AP183" s="392"/>
      <c r="AQ183" s="392"/>
      <c r="AR183" s="392" t="s">
        <v>6568</v>
      </c>
      <c r="AS183" s="479">
        <v>40050</v>
      </c>
      <c r="AT183" s="453"/>
      <c r="AU183" s="453"/>
      <c r="AV183" s="453"/>
      <c r="AW183" s="453"/>
      <c r="AX183" s="453"/>
      <c r="AY183" s="453"/>
      <c r="AZ183" s="452">
        <v>42382</v>
      </c>
      <c r="BA183" s="393"/>
      <c r="BB183" s="393"/>
      <c r="BC183" s="393" t="b">
        <v>0</v>
      </c>
      <c r="BD183" s="393"/>
      <c r="BE183" s="392"/>
      <c r="BF183" s="394">
        <v>1</v>
      </c>
      <c r="BG183" s="394">
        <v>6</v>
      </c>
      <c r="BH183" s="394">
        <v>8</v>
      </c>
      <c r="BI183" s="394">
        <v>4</v>
      </c>
      <c r="BJ183" s="394">
        <v>5</v>
      </c>
      <c r="BK183" s="394">
        <v>9</v>
      </c>
      <c r="BL183" s="444" t="s">
        <v>6981</v>
      </c>
      <c r="BM183" s="392"/>
      <c r="BN183" s="393"/>
      <c r="BO183" s="393"/>
      <c r="BP183" s="399"/>
      <c r="BQ183" s="400"/>
      <c r="BR183" s="401"/>
      <c r="BS183" s="399"/>
      <c r="BT183" s="394"/>
      <c r="BU183" s="417"/>
      <c r="BV183" s="399">
        <v>176.56</v>
      </c>
      <c r="BW183" s="475" t="s">
        <v>3117</v>
      </c>
      <c r="BX183" s="428" t="s">
        <v>3275</v>
      </c>
      <c r="BY183" s="393"/>
      <c r="BZ183" s="393"/>
      <c r="CA183" s="441"/>
      <c r="CB183" s="400"/>
      <c r="CC183" s="398"/>
      <c r="CD183" s="398"/>
      <c r="CE183" s="398"/>
      <c r="CF183" s="398"/>
      <c r="CG183" s="398"/>
      <c r="CH183" s="398"/>
      <c r="CI183" s="398"/>
      <c r="CJ183" s="398"/>
      <c r="CK183" s="398"/>
      <c r="CL183" s="398">
        <v>49.271999999999998</v>
      </c>
      <c r="CM183" s="398">
        <v>49.271999999999998</v>
      </c>
      <c r="CN183" s="398">
        <v>49.271999999999998</v>
      </c>
      <c r="CO183" s="398">
        <v>49.271999999999998</v>
      </c>
      <c r="CP183" s="398">
        <v>49.271999999999998</v>
      </c>
      <c r="CQ183" s="398">
        <v>49.271999999999998</v>
      </c>
      <c r="CR183" s="398">
        <v>49.271999999999998</v>
      </c>
      <c r="CS183" s="398"/>
      <c r="CT183" s="398"/>
      <c r="CU183" s="398"/>
      <c r="CV183" s="398"/>
      <c r="CW183" s="398"/>
      <c r="CX183" s="398"/>
      <c r="CY183" s="398"/>
      <c r="CZ183" s="398"/>
      <c r="DA183" s="398"/>
      <c r="DB183" s="398"/>
      <c r="DC183" s="398"/>
      <c r="DD183" s="398"/>
      <c r="DE183" s="393"/>
      <c r="DF183" s="393"/>
      <c r="DG183" s="393"/>
      <c r="DH183" s="393"/>
      <c r="DI183" s="393"/>
      <c r="DJ183" s="393"/>
      <c r="DK183" s="897"/>
    </row>
    <row r="184" spans="1:115" ht="51" x14ac:dyDescent="0.2">
      <c r="A184" s="295">
        <v>180</v>
      </c>
      <c r="B184" s="390" t="s">
        <v>7945</v>
      </c>
      <c r="C184" s="390"/>
      <c r="D184" s="391" t="s">
        <v>7937</v>
      </c>
      <c r="E184" s="705" t="s">
        <v>7953</v>
      </c>
      <c r="F184" s="393" t="s">
        <v>1352</v>
      </c>
      <c r="G184" s="393" t="s">
        <v>1673</v>
      </c>
      <c r="H184" s="393" t="s">
        <v>67</v>
      </c>
      <c r="I184" s="392"/>
      <c r="J184" s="392"/>
      <c r="K184" s="392" t="s">
        <v>67</v>
      </c>
      <c r="L184" s="392" t="s">
        <v>975</v>
      </c>
      <c r="M184" s="392"/>
      <c r="N184" s="393" t="s">
        <v>44</v>
      </c>
      <c r="O184" s="393" t="s">
        <v>51</v>
      </c>
      <c r="P184" s="393" t="s">
        <v>51</v>
      </c>
      <c r="Q184" s="392" t="s">
        <v>976</v>
      </c>
      <c r="R184" s="428" t="s">
        <v>7963</v>
      </c>
      <c r="S184" s="392" t="s">
        <v>977</v>
      </c>
      <c r="T184" s="394">
        <v>1</v>
      </c>
      <c r="U184" s="395">
        <v>49.603999999999999</v>
      </c>
      <c r="V184" s="395"/>
      <c r="W184" s="453"/>
      <c r="X184" s="394"/>
      <c r="Y184" s="394">
        <v>7</v>
      </c>
      <c r="Z184" s="394">
        <v>21</v>
      </c>
      <c r="AA184" s="395">
        <v>0</v>
      </c>
      <c r="AB184" s="452">
        <v>42377</v>
      </c>
      <c r="AC184" s="398"/>
      <c r="AD184" s="398">
        <v>247.20459178082189</v>
      </c>
      <c r="AE184" s="475" t="s">
        <v>37</v>
      </c>
      <c r="AF184" s="417"/>
      <c r="AG184" s="815">
        <v>48.433</v>
      </c>
      <c r="AH184" s="417">
        <v>48.433</v>
      </c>
      <c r="AI184" s="394"/>
      <c r="AJ184" s="453">
        <v>43168</v>
      </c>
      <c r="AK184" s="453">
        <v>42747</v>
      </c>
      <c r="AL184" s="393"/>
      <c r="AM184" s="393"/>
      <c r="AN184" s="417"/>
      <c r="AO184" s="428" t="s">
        <v>103</v>
      </c>
      <c r="AP184" s="392"/>
      <c r="AQ184" s="392"/>
      <c r="AR184" s="392" t="s">
        <v>6568</v>
      </c>
      <c r="AS184" s="479">
        <v>40050</v>
      </c>
      <c r="AT184" s="453"/>
      <c r="AU184" s="453"/>
      <c r="AV184" s="453"/>
      <c r="AW184" s="453"/>
      <c r="AX184" s="453"/>
      <c r="AY184" s="453"/>
      <c r="AZ184" s="452">
        <v>42382</v>
      </c>
      <c r="BA184" s="393"/>
      <c r="BB184" s="393"/>
      <c r="BC184" s="393" t="b">
        <v>0</v>
      </c>
      <c r="BD184" s="393"/>
      <c r="BE184" s="392"/>
      <c r="BF184" s="394">
        <v>1</v>
      </c>
      <c r="BG184" s="394">
        <v>6</v>
      </c>
      <c r="BH184" s="394">
        <v>8</v>
      </c>
      <c r="BI184" s="394">
        <v>4</v>
      </c>
      <c r="BJ184" s="394">
        <v>5</v>
      </c>
      <c r="BK184" s="394">
        <v>9</v>
      </c>
      <c r="BL184" s="444" t="s">
        <v>6981</v>
      </c>
      <c r="BM184" s="392"/>
      <c r="BN184" s="393"/>
      <c r="BO184" s="393"/>
      <c r="BP184" s="399"/>
      <c r="BQ184" s="400"/>
      <c r="BR184" s="401"/>
      <c r="BS184" s="399"/>
      <c r="BT184" s="394"/>
      <c r="BU184" s="417"/>
      <c r="BV184" s="399">
        <v>177.75</v>
      </c>
      <c r="BW184" s="475" t="s">
        <v>3117</v>
      </c>
      <c r="BX184" s="428" t="s">
        <v>3275</v>
      </c>
      <c r="BY184" s="393"/>
      <c r="BZ184" s="393"/>
      <c r="CA184" s="441"/>
      <c r="CB184" s="400"/>
      <c r="CC184" s="398"/>
      <c r="CD184" s="398"/>
      <c r="CE184" s="398"/>
      <c r="CF184" s="398"/>
      <c r="CG184" s="398"/>
      <c r="CH184" s="398"/>
      <c r="CI184" s="398"/>
      <c r="CJ184" s="398"/>
      <c r="CK184" s="398"/>
      <c r="CL184" s="398">
        <v>49.603999999999999</v>
      </c>
      <c r="CM184" s="398">
        <v>49.603999999999999</v>
      </c>
      <c r="CN184" s="398">
        <v>49.603999999999999</v>
      </c>
      <c r="CO184" s="398">
        <v>49.603999999999999</v>
      </c>
      <c r="CP184" s="398">
        <v>49.603999999999999</v>
      </c>
      <c r="CQ184" s="398">
        <v>49.603999999999999</v>
      </c>
      <c r="CR184" s="398">
        <v>49.603999999999999</v>
      </c>
      <c r="CS184" s="398"/>
      <c r="CT184" s="398"/>
      <c r="CU184" s="398"/>
      <c r="CV184" s="398"/>
      <c r="CW184" s="398"/>
      <c r="CX184" s="398"/>
      <c r="CY184" s="398"/>
      <c r="CZ184" s="398"/>
      <c r="DA184" s="398"/>
      <c r="DB184" s="398"/>
      <c r="DC184" s="398"/>
      <c r="DD184" s="398"/>
      <c r="DE184" s="393"/>
      <c r="DF184" s="393"/>
      <c r="DG184" s="393"/>
      <c r="DH184" s="393"/>
      <c r="DI184" s="393"/>
      <c r="DJ184" s="393"/>
      <c r="DK184" s="897"/>
    </row>
    <row r="185" spans="1:115" ht="51" x14ac:dyDescent="0.2">
      <c r="A185" s="295">
        <v>181</v>
      </c>
      <c r="B185" s="390" t="s">
        <v>7946</v>
      </c>
      <c r="C185" s="390"/>
      <c r="D185" s="391" t="s">
        <v>7938</v>
      </c>
      <c r="E185" s="705" t="s">
        <v>7954</v>
      </c>
      <c r="F185" s="393" t="s">
        <v>1352</v>
      </c>
      <c r="G185" s="393" t="s">
        <v>1673</v>
      </c>
      <c r="H185" s="393" t="s">
        <v>67</v>
      </c>
      <c r="I185" s="392"/>
      <c r="J185" s="392"/>
      <c r="K185" s="392" t="s">
        <v>67</v>
      </c>
      <c r="L185" s="392" t="s">
        <v>975</v>
      </c>
      <c r="M185" s="392"/>
      <c r="N185" s="393" t="s">
        <v>44</v>
      </c>
      <c r="O185" s="393" t="s">
        <v>51</v>
      </c>
      <c r="P185" s="393" t="s">
        <v>51</v>
      </c>
      <c r="Q185" s="392" t="s">
        <v>976</v>
      </c>
      <c r="R185" s="428" t="s">
        <v>7962</v>
      </c>
      <c r="S185" s="392" t="s">
        <v>977</v>
      </c>
      <c r="T185" s="394">
        <v>1</v>
      </c>
      <c r="U185" s="395">
        <v>49.570999999999998</v>
      </c>
      <c r="V185" s="395"/>
      <c r="W185" s="453"/>
      <c r="X185" s="394"/>
      <c r="Y185" s="394">
        <v>7</v>
      </c>
      <c r="Z185" s="394">
        <v>21</v>
      </c>
      <c r="AA185" s="395">
        <v>0</v>
      </c>
      <c r="AB185" s="452">
        <v>42377</v>
      </c>
      <c r="AC185" s="398"/>
      <c r="AD185" s="398">
        <v>247.04013424657532</v>
      </c>
      <c r="AE185" s="475" t="s">
        <v>37</v>
      </c>
      <c r="AF185" s="417"/>
      <c r="AG185" s="417">
        <v>48.255000000000003</v>
      </c>
      <c r="AH185" s="417">
        <v>48.255000000000003</v>
      </c>
      <c r="AI185" s="394"/>
      <c r="AJ185" s="453">
        <v>43168</v>
      </c>
      <c r="AK185" s="453">
        <v>42747</v>
      </c>
      <c r="AL185" s="393"/>
      <c r="AM185" s="393"/>
      <c r="AN185" s="417"/>
      <c r="AO185" s="428" t="s">
        <v>103</v>
      </c>
      <c r="AP185" s="392"/>
      <c r="AQ185" s="392"/>
      <c r="AR185" s="392" t="s">
        <v>6568</v>
      </c>
      <c r="AS185" s="479">
        <v>40050</v>
      </c>
      <c r="AT185" s="453"/>
      <c r="AU185" s="453"/>
      <c r="AV185" s="453"/>
      <c r="AW185" s="453"/>
      <c r="AX185" s="453"/>
      <c r="AY185" s="453"/>
      <c r="AZ185" s="452">
        <v>42382</v>
      </c>
      <c r="BA185" s="393"/>
      <c r="BB185" s="393"/>
      <c r="BC185" s="393" t="b">
        <v>0</v>
      </c>
      <c r="BD185" s="393"/>
      <c r="BE185" s="392"/>
      <c r="BF185" s="394">
        <v>1</v>
      </c>
      <c r="BG185" s="394">
        <v>6</v>
      </c>
      <c r="BH185" s="394">
        <v>8</v>
      </c>
      <c r="BI185" s="394">
        <v>4</v>
      </c>
      <c r="BJ185" s="394">
        <v>5</v>
      </c>
      <c r="BK185" s="394">
        <v>9</v>
      </c>
      <c r="BL185" s="444" t="s">
        <v>6981</v>
      </c>
      <c r="BM185" s="392"/>
      <c r="BN185" s="393"/>
      <c r="BO185" s="393"/>
      <c r="BP185" s="399"/>
      <c r="BQ185" s="400"/>
      <c r="BR185" s="401"/>
      <c r="BS185" s="399"/>
      <c r="BT185" s="394"/>
      <c r="BU185" s="417"/>
      <c r="BV185" s="399">
        <v>177.63</v>
      </c>
      <c r="BW185" s="475" t="s">
        <v>3117</v>
      </c>
      <c r="BX185" s="428" t="s">
        <v>3275</v>
      </c>
      <c r="BY185" s="393"/>
      <c r="BZ185" s="393"/>
      <c r="CA185" s="441"/>
      <c r="CB185" s="400"/>
      <c r="CC185" s="398"/>
      <c r="CD185" s="398"/>
      <c r="CE185" s="398"/>
      <c r="CF185" s="398"/>
      <c r="CG185" s="398"/>
      <c r="CH185" s="398"/>
      <c r="CI185" s="398"/>
      <c r="CJ185" s="398"/>
      <c r="CK185" s="398"/>
      <c r="CL185" s="398">
        <v>49.570999999999998</v>
      </c>
      <c r="CM185" s="398">
        <v>49.570999999999998</v>
      </c>
      <c r="CN185" s="398">
        <v>49.570999999999998</v>
      </c>
      <c r="CO185" s="398">
        <v>49.570999999999998</v>
      </c>
      <c r="CP185" s="398">
        <v>49.570999999999998</v>
      </c>
      <c r="CQ185" s="398">
        <v>49.570999999999998</v>
      </c>
      <c r="CR185" s="398">
        <v>49.570999999999998</v>
      </c>
      <c r="CS185" s="398"/>
      <c r="CT185" s="398"/>
      <c r="CU185" s="398"/>
      <c r="CV185" s="398"/>
      <c r="CW185" s="398"/>
      <c r="CX185" s="398"/>
      <c r="CY185" s="398"/>
      <c r="CZ185" s="398"/>
      <c r="DA185" s="398"/>
      <c r="DB185" s="398"/>
      <c r="DC185" s="398"/>
      <c r="DD185" s="398"/>
      <c r="DE185" s="393"/>
      <c r="DF185" s="393"/>
      <c r="DG185" s="393"/>
      <c r="DH185" s="393"/>
      <c r="DI185" s="393"/>
      <c r="DJ185" s="393"/>
      <c r="DK185" s="897"/>
    </row>
    <row r="186" spans="1:115" ht="51" x14ac:dyDescent="0.2">
      <c r="A186" s="295">
        <v>182</v>
      </c>
      <c r="B186" s="390" t="s">
        <v>7947</v>
      </c>
      <c r="C186" s="390"/>
      <c r="D186" s="391" t="s">
        <v>7939</v>
      </c>
      <c r="E186" s="705" t="s">
        <v>7955</v>
      </c>
      <c r="F186" s="393" t="s">
        <v>1352</v>
      </c>
      <c r="G186" s="393" t="s">
        <v>1673</v>
      </c>
      <c r="H186" s="393" t="s">
        <v>67</v>
      </c>
      <c r="I186" s="392"/>
      <c r="J186" s="392"/>
      <c r="K186" s="392" t="s">
        <v>67</v>
      </c>
      <c r="L186" s="392" t="s">
        <v>975</v>
      </c>
      <c r="M186" s="392"/>
      <c r="N186" s="393" t="s">
        <v>44</v>
      </c>
      <c r="O186" s="393" t="s">
        <v>51</v>
      </c>
      <c r="P186" s="393" t="s">
        <v>51</v>
      </c>
      <c r="Q186" s="392" t="s">
        <v>976</v>
      </c>
      <c r="R186" s="428" t="s">
        <v>7961</v>
      </c>
      <c r="S186" s="392" t="s">
        <v>977</v>
      </c>
      <c r="T186" s="394">
        <v>1</v>
      </c>
      <c r="U186" s="395">
        <v>50.188000000000002</v>
      </c>
      <c r="V186" s="395"/>
      <c r="W186" s="453"/>
      <c r="X186" s="394"/>
      <c r="Y186" s="394">
        <v>7</v>
      </c>
      <c r="Z186" s="394">
        <v>21</v>
      </c>
      <c r="AA186" s="395">
        <v>0</v>
      </c>
      <c r="AB186" s="452">
        <v>42377</v>
      </c>
      <c r="AC186" s="398"/>
      <c r="AD186" s="398">
        <v>250.11499178082195</v>
      </c>
      <c r="AE186" s="475" t="s">
        <v>37</v>
      </c>
      <c r="AF186" s="417"/>
      <c r="AG186" s="417">
        <v>48.944000000000003</v>
      </c>
      <c r="AH186" s="417">
        <v>48.944000000000003</v>
      </c>
      <c r="AI186" s="394"/>
      <c r="AJ186" s="453">
        <v>43168</v>
      </c>
      <c r="AK186" s="453">
        <v>42747</v>
      </c>
      <c r="AL186" s="393"/>
      <c r="AM186" s="393"/>
      <c r="AN186" s="417"/>
      <c r="AO186" s="428" t="s">
        <v>103</v>
      </c>
      <c r="AP186" s="392"/>
      <c r="AQ186" s="392"/>
      <c r="AR186" s="392" t="s">
        <v>6568</v>
      </c>
      <c r="AS186" s="479">
        <v>40050</v>
      </c>
      <c r="AT186" s="453"/>
      <c r="AU186" s="453"/>
      <c r="AV186" s="453"/>
      <c r="AW186" s="453"/>
      <c r="AX186" s="453"/>
      <c r="AY186" s="453"/>
      <c r="AZ186" s="452">
        <v>42382</v>
      </c>
      <c r="BA186" s="393"/>
      <c r="BB186" s="393"/>
      <c r="BC186" s="393" t="b">
        <v>0</v>
      </c>
      <c r="BD186" s="393"/>
      <c r="BE186" s="392"/>
      <c r="BF186" s="394">
        <v>1</v>
      </c>
      <c r="BG186" s="394">
        <v>6</v>
      </c>
      <c r="BH186" s="394">
        <v>8</v>
      </c>
      <c r="BI186" s="394">
        <v>4</v>
      </c>
      <c r="BJ186" s="394">
        <v>5</v>
      </c>
      <c r="BK186" s="394">
        <v>9</v>
      </c>
      <c r="BL186" s="444" t="s">
        <v>6981</v>
      </c>
      <c r="BM186" s="392"/>
      <c r="BN186" s="393"/>
      <c r="BO186" s="393"/>
      <c r="BP186" s="399"/>
      <c r="BQ186" s="400"/>
      <c r="BR186" s="401"/>
      <c r="BS186" s="399"/>
      <c r="BT186" s="394"/>
      <c r="BU186" s="417"/>
      <c r="BV186" s="399">
        <v>179.84</v>
      </c>
      <c r="BW186" s="475" t="s">
        <v>3117</v>
      </c>
      <c r="BX186" s="428" t="s">
        <v>3275</v>
      </c>
      <c r="BY186" s="393"/>
      <c r="BZ186" s="393"/>
      <c r="CA186" s="441"/>
      <c r="CB186" s="400"/>
      <c r="CC186" s="398"/>
      <c r="CD186" s="398"/>
      <c r="CE186" s="398"/>
      <c r="CF186" s="398"/>
      <c r="CG186" s="398"/>
      <c r="CH186" s="398"/>
      <c r="CI186" s="398"/>
      <c r="CJ186" s="398"/>
      <c r="CK186" s="398"/>
      <c r="CL186" s="398">
        <v>50.188000000000002</v>
      </c>
      <c r="CM186" s="398">
        <v>50.188000000000002</v>
      </c>
      <c r="CN186" s="398">
        <v>50.188000000000002</v>
      </c>
      <c r="CO186" s="398">
        <v>50.188000000000002</v>
      </c>
      <c r="CP186" s="398">
        <v>50.188000000000002</v>
      </c>
      <c r="CQ186" s="398">
        <v>50.188000000000002</v>
      </c>
      <c r="CR186" s="398">
        <v>50.188000000000002</v>
      </c>
      <c r="CS186" s="398"/>
      <c r="CT186" s="398"/>
      <c r="CU186" s="398"/>
      <c r="CV186" s="398"/>
      <c r="CW186" s="398"/>
      <c r="CX186" s="398"/>
      <c r="CY186" s="398"/>
      <c r="CZ186" s="398"/>
      <c r="DA186" s="398"/>
      <c r="DB186" s="398"/>
      <c r="DC186" s="398"/>
      <c r="DD186" s="398"/>
      <c r="DE186" s="393"/>
      <c r="DF186" s="393"/>
      <c r="DG186" s="393"/>
      <c r="DH186" s="393"/>
      <c r="DI186" s="393"/>
      <c r="DJ186" s="393"/>
      <c r="DK186" s="897"/>
    </row>
    <row r="187" spans="1:115" ht="51" x14ac:dyDescent="0.2">
      <c r="A187" s="295">
        <v>183</v>
      </c>
      <c r="B187" s="390" t="s">
        <v>7948</v>
      </c>
      <c r="C187" s="390"/>
      <c r="D187" s="391" t="s">
        <v>7940</v>
      </c>
      <c r="E187" s="705" t="s">
        <v>7956</v>
      </c>
      <c r="F187" s="393" t="s">
        <v>1352</v>
      </c>
      <c r="G187" s="393" t="s">
        <v>1673</v>
      </c>
      <c r="H187" s="393" t="s">
        <v>67</v>
      </c>
      <c r="I187" s="392"/>
      <c r="J187" s="392"/>
      <c r="K187" s="392" t="s">
        <v>67</v>
      </c>
      <c r="L187" s="392" t="s">
        <v>975</v>
      </c>
      <c r="M187" s="392"/>
      <c r="N187" s="393" t="s">
        <v>44</v>
      </c>
      <c r="O187" s="393" t="s">
        <v>51</v>
      </c>
      <c r="P187" s="393" t="s">
        <v>51</v>
      </c>
      <c r="Q187" s="392" t="s">
        <v>976</v>
      </c>
      <c r="R187" s="428" t="s">
        <v>7960</v>
      </c>
      <c r="S187" s="392" t="s">
        <v>977</v>
      </c>
      <c r="T187" s="394">
        <v>1</v>
      </c>
      <c r="U187" s="395">
        <v>50.106999999999999</v>
      </c>
      <c r="V187" s="395"/>
      <c r="W187" s="453"/>
      <c r="X187" s="394"/>
      <c r="Y187" s="394">
        <v>7</v>
      </c>
      <c r="Z187" s="394">
        <v>21</v>
      </c>
      <c r="AA187" s="395">
        <v>0</v>
      </c>
      <c r="AB187" s="452">
        <v>42377</v>
      </c>
      <c r="AC187" s="398"/>
      <c r="AD187" s="398">
        <v>249.71132328767123</v>
      </c>
      <c r="AE187" s="475" t="s">
        <v>37</v>
      </c>
      <c r="AF187" s="417"/>
      <c r="AG187" s="417">
        <v>48.695</v>
      </c>
      <c r="AH187" s="417">
        <v>48.695</v>
      </c>
      <c r="AI187" s="394"/>
      <c r="AJ187" s="453">
        <v>43168</v>
      </c>
      <c r="AK187" s="453">
        <v>42747</v>
      </c>
      <c r="AL187" s="393"/>
      <c r="AM187" s="393"/>
      <c r="AN187" s="417"/>
      <c r="AO187" s="428" t="s">
        <v>103</v>
      </c>
      <c r="AP187" s="392"/>
      <c r="AQ187" s="392"/>
      <c r="AR187" s="392" t="s">
        <v>6568</v>
      </c>
      <c r="AS187" s="479">
        <v>40050</v>
      </c>
      <c r="AT187" s="453"/>
      <c r="AU187" s="453"/>
      <c r="AV187" s="453"/>
      <c r="AW187" s="453"/>
      <c r="AX187" s="453"/>
      <c r="AY187" s="453"/>
      <c r="AZ187" s="452">
        <v>42382</v>
      </c>
      <c r="BA187" s="393"/>
      <c r="BB187" s="393"/>
      <c r="BC187" s="393" t="b">
        <v>0</v>
      </c>
      <c r="BD187" s="393"/>
      <c r="BE187" s="392"/>
      <c r="BF187" s="394">
        <v>1</v>
      </c>
      <c r="BG187" s="394">
        <v>6</v>
      </c>
      <c r="BH187" s="394">
        <v>8</v>
      </c>
      <c r="BI187" s="394">
        <v>4</v>
      </c>
      <c r="BJ187" s="394">
        <v>5</v>
      </c>
      <c r="BK187" s="394">
        <v>9</v>
      </c>
      <c r="BL187" s="444" t="s">
        <v>6981</v>
      </c>
      <c r="BM187" s="392"/>
      <c r="BN187" s="393"/>
      <c r="BO187" s="393"/>
      <c r="BP187" s="399"/>
      <c r="BQ187" s="400"/>
      <c r="BR187" s="401"/>
      <c r="BS187" s="399"/>
      <c r="BT187" s="394"/>
      <c r="BU187" s="417"/>
      <c r="BV187" s="399">
        <v>179.55</v>
      </c>
      <c r="BW187" s="475" t="s">
        <v>3117</v>
      </c>
      <c r="BX187" s="428" t="s">
        <v>3275</v>
      </c>
      <c r="BY187" s="393"/>
      <c r="BZ187" s="393"/>
      <c r="CA187" s="441"/>
      <c r="CB187" s="400"/>
      <c r="CC187" s="398"/>
      <c r="CD187" s="398"/>
      <c r="CE187" s="398"/>
      <c r="CF187" s="398"/>
      <c r="CG187" s="398"/>
      <c r="CH187" s="398"/>
      <c r="CI187" s="398"/>
      <c r="CJ187" s="398"/>
      <c r="CK187" s="398"/>
      <c r="CL187" s="398">
        <v>50.106999999999999</v>
      </c>
      <c r="CM187" s="398">
        <v>50.106999999999999</v>
      </c>
      <c r="CN187" s="398">
        <v>50.106999999999999</v>
      </c>
      <c r="CO187" s="398">
        <v>50.106999999999999</v>
      </c>
      <c r="CP187" s="398">
        <v>50.106999999999999</v>
      </c>
      <c r="CQ187" s="398">
        <v>50.106999999999999</v>
      </c>
      <c r="CR187" s="398">
        <v>50.106999999999999</v>
      </c>
      <c r="CS187" s="398"/>
      <c r="CT187" s="398"/>
      <c r="CU187" s="398"/>
      <c r="CV187" s="398"/>
      <c r="CW187" s="398"/>
      <c r="CX187" s="398"/>
      <c r="CY187" s="398"/>
      <c r="CZ187" s="398"/>
      <c r="DA187" s="398"/>
      <c r="DB187" s="398"/>
      <c r="DC187" s="398"/>
      <c r="DD187" s="398"/>
      <c r="DE187" s="393"/>
      <c r="DF187" s="393"/>
      <c r="DG187" s="393"/>
      <c r="DH187" s="393"/>
      <c r="DI187" s="393"/>
      <c r="DJ187" s="393"/>
      <c r="DK187" s="897"/>
    </row>
    <row r="188" spans="1:115" ht="51" x14ac:dyDescent="0.2">
      <c r="A188" s="295">
        <v>184</v>
      </c>
      <c r="B188" s="390" t="s">
        <v>7949</v>
      </c>
      <c r="C188" s="390"/>
      <c r="D188" s="391" t="s">
        <v>7941</v>
      </c>
      <c r="E188" s="705" t="s">
        <v>7957</v>
      </c>
      <c r="F188" s="393" t="s">
        <v>1352</v>
      </c>
      <c r="G188" s="393" t="s">
        <v>1673</v>
      </c>
      <c r="H188" s="393" t="s">
        <v>67</v>
      </c>
      <c r="I188" s="392"/>
      <c r="J188" s="392"/>
      <c r="K188" s="392" t="s">
        <v>67</v>
      </c>
      <c r="L188" s="392" t="s">
        <v>975</v>
      </c>
      <c r="M188" s="392"/>
      <c r="N188" s="393" t="s">
        <v>44</v>
      </c>
      <c r="O188" s="393" t="s">
        <v>51</v>
      </c>
      <c r="P188" s="393" t="s">
        <v>51</v>
      </c>
      <c r="Q188" s="392" t="s">
        <v>976</v>
      </c>
      <c r="R188" s="428" t="s">
        <v>7959</v>
      </c>
      <c r="S188" s="392" t="s">
        <v>977</v>
      </c>
      <c r="T188" s="394">
        <v>1</v>
      </c>
      <c r="U188" s="395">
        <v>50.131</v>
      </c>
      <c r="V188" s="395"/>
      <c r="W188" s="453"/>
      <c r="X188" s="394"/>
      <c r="Y188" s="394">
        <v>7</v>
      </c>
      <c r="Z188" s="394">
        <v>21</v>
      </c>
      <c r="AA188" s="395">
        <v>0</v>
      </c>
      <c r="AB188" s="452">
        <v>42377</v>
      </c>
      <c r="AC188" s="398"/>
      <c r="AD188" s="398">
        <v>249.83092876712331</v>
      </c>
      <c r="AE188" s="475" t="s">
        <v>37</v>
      </c>
      <c r="AF188" s="417"/>
      <c r="AG188" s="417">
        <v>48.784999999999997</v>
      </c>
      <c r="AH188" s="417">
        <v>48.784999999999997</v>
      </c>
      <c r="AI188" s="394"/>
      <c r="AJ188" s="453">
        <v>43168</v>
      </c>
      <c r="AK188" s="453">
        <v>42747</v>
      </c>
      <c r="AL188" s="393"/>
      <c r="AM188" s="393"/>
      <c r="AN188" s="417"/>
      <c r="AO188" s="428" t="s">
        <v>103</v>
      </c>
      <c r="AP188" s="392"/>
      <c r="AQ188" s="392"/>
      <c r="AR188" s="392" t="s">
        <v>6568</v>
      </c>
      <c r="AS188" s="479">
        <v>40050</v>
      </c>
      <c r="AT188" s="453"/>
      <c r="AU188" s="453"/>
      <c r="AV188" s="453"/>
      <c r="AW188" s="453"/>
      <c r="AX188" s="453"/>
      <c r="AY188" s="453"/>
      <c r="AZ188" s="452">
        <v>42382</v>
      </c>
      <c r="BA188" s="393"/>
      <c r="BB188" s="393"/>
      <c r="BC188" s="393" t="b">
        <v>0</v>
      </c>
      <c r="BD188" s="393"/>
      <c r="BE188" s="392"/>
      <c r="BF188" s="394">
        <v>1</v>
      </c>
      <c r="BG188" s="394">
        <v>6</v>
      </c>
      <c r="BH188" s="394">
        <v>8</v>
      </c>
      <c r="BI188" s="394">
        <v>4</v>
      </c>
      <c r="BJ188" s="394">
        <v>5</v>
      </c>
      <c r="BK188" s="394">
        <v>9</v>
      </c>
      <c r="BL188" s="444" t="s">
        <v>6981</v>
      </c>
      <c r="BM188" s="392"/>
      <c r="BN188" s="393"/>
      <c r="BO188" s="393"/>
      <c r="BP188" s="399"/>
      <c r="BQ188" s="400"/>
      <c r="BR188" s="401"/>
      <c r="BS188" s="399"/>
      <c r="BT188" s="394"/>
      <c r="BU188" s="417"/>
      <c r="BV188" s="399">
        <v>179.63</v>
      </c>
      <c r="BW188" s="475" t="s">
        <v>3117</v>
      </c>
      <c r="BX188" s="428" t="s">
        <v>3275</v>
      </c>
      <c r="BY188" s="393"/>
      <c r="BZ188" s="393"/>
      <c r="CA188" s="441"/>
      <c r="CB188" s="400"/>
      <c r="CC188" s="398"/>
      <c r="CD188" s="398"/>
      <c r="CE188" s="398"/>
      <c r="CF188" s="398"/>
      <c r="CG188" s="398"/>
      <c r="CH188" s="398"/>
      <c r="CI188" s="398"/>
      <c r="CJ188" s="398"/>
      <c r="CK188" s="398"/>
      <c r="CL188" s="398">
        <v>50.131</v>
      </c>
      <c r="CM188" s="398">
        <v>50.131</v>
      </c>
      <c r="CN188" s="398">
        <v>50.131</v>
      </c>
      <c r="CO188" s="398">
        <v>50.131</v>
      </c>
      <c r="CP188" s="398">
        <v>50.131</v>
      </c>
      <c r="CQ188" s="398">
        <v>50.131</v>
      </c>
      <c r="CR188" s="398">
        <v>50.131</v>
      </c>
      <c r="CS188" s="398"/>
      <c r="CT188" s="398"/>
      <c r="CU188" s="398"/>
      <c r="CV188" s="398"/>
      <c r="CW188" s="398"/>
      <c r="CX188" s="398"/>
      <c r="CY188" s="398"/>
      <c r="CZ188" s="398"/>
      <c r="DA188" s="398"/>
      <c r="DB188" s="398"/>
      <c r="DC188" s="398"/>
      <c r="DD188" s="398"/>
      <c r="DE188" s="393"/>
      <c r="DF188" s="393"/>
      <c r="DG188" s="393"/>
      <c r="DH188" s="393"/>
      <c r="DI188" s="393"/>
      <c r="DJ188" s="393"/>
      <c r="DK188" s="897"/>
    </row>
    <row r="189" spans="1:115" ht="51" x14ac:dyDescent="0.2">
      <c r="A189" s="295">
        <v>185</v>
      </c>
      <c r="B189" s="390" t="s">
        <v>7950</v>
      </c>
      <c r="C189" s="390"/>
      <c r="D189" s="391" t="s">
        <v>7942</v>
      </c>
      <c r="E189" s="705" t="s">
        <v>7958</v>
      </c>
      <c r="F189" s="393" t="s">
        <v>1352</v>
      </c>
      <c r="G189" s="393" t="s">
        <v>1673</v>
      </c>
      <c r="H189" s="393" t="s">
        <v>67</v>
      </c>
      <c r="I189" s="392"/>
      <c r="J189" s="392"/>
      <c r="K189" s="392" t="s">
        <v>67</v>
      </c>
      <c r="L189" s="392" t="s">
        <v>975</v>
      </c>
      <c r="M189" s="392"/>
      <c r="N189" s="393" t="s">
        <v>44</v>
      </c>
      <c r="O189" s="393" t="s">
        <v>51</v>
      </c>
      <c r="P189" s="393" t="s">
        <v>51</v>
      </c>
      <c r="Q189" s="392" t="s">
        <v>976</v>
      </c>
      <c r="R189" s="428" t="s">
        <v>7966</v>
      </c>
      <c r="S189" s="392" t="s">
        <v>977</v>
      </c>
      <c r="T189" s="394">
        <v>1</v>
      </c>
      <c r="U189" s="395">
        <v>45.689</v>
      </c>
      <c r="V189" s="395"/>
      <c r="W189" s="453"/>
      <c r="X189" s="394"/>
      <c r="Y189" s="394">
        <v>7</v>
      </c>
      <c r="Z189" s="394">
        <v>21</v>
      </c>
      <c r="AA189" s="395">
        <v>0</v>
      </c>
      <c r="AB189" s="452">
        <v>42377</v>
      </c>
      <c r="AC189" s="398"/>
      <c r="AD189" s="398">
        <v>227.69394794520548</v>
      </c>
      <c r="AE189" s="475" t="s">
        <v>37</v>
      </c>
      <c r="AF189" s="417"/>
      <c r="AG189" s="417">
        <v>44.472000000000001</v>
      </c>
      <c r="AH189" s="417">
        <v>44.472000000000001</v>
      </c>
      <c r="AI189" s="394"/>
      <c r="AJ189" s="453">
        <v>43168</v>
      </c>
      <c r="AK189" s="453">
        <v>42747</v>
      </c>
      <c r="AL189" s="393"/>
      <c r="AM189" s="393"/>
      <c r="AN189" s="417"/>
      <c r="AO189" s="428" t="s">
        <v>103</v>
      </c>
      <c r="AP189" s="392"/>
      <c r="AQ189" s="392"/>
      <c r="AR189" s="392" t="s">
        <v>6568</v>
      </c>
      <c r="AS189" s="479">
        <v>40050</v>
      </c>
      <c r="AT189" s="453"/>
      <c r="AU189" s="453"/>
      <c r="AV189" s="453"/>
      <c r="AW189" s="453"/>
      <c r="AX189" s="453"/>
      <c r="AY189" s="453"/>
      <c r="AZ189" s="452">
        <v>42382</v>
      </c>
      <c r="BA189" s="393"/>
      <c r="BB189" s="393"/>
      <c r="BC189" s="393" t="b">
        <v>0</v>
      </c>
      <c r="BD189" s="393"/>
      <c r="BE189" s="392"/>
      <c r="BF189" s="394">
        <v>1</v>
      </c>
      <c r="BG189" s="394">
        <v>6</v>
      </c>
      <c r="BH189" s="394">
        <v>8</v>
      </c>
      <c r="BI189" s="394">
        <v>4</v>
      </c>
      <c r="BJ189" s="394">
        <v>5</v>
      </c>
      <c r="BK189" s="394">
        <v>9</v>
      </c>
      <c r="BL189" s="444" t="s">
        <v>6981</v>
      </c>
      <c r="BM189" s="392"/>
      <c r="BN189" s="393"/>
      <c r="BO189" s="393"/>
      <c r="BP189" s="399"/>
      <c r="BQ189" s="400"/>
      <c r="BR189" s="401"/>
      <c r="BS189" s="399"/>
      <c r="BT189" s="394"/>
      <c r="BU189" s="417"/>
      <c r="BV189" s="399">
        <v>163.72</v>
      </c>
      <c r="BW189" s="475" t="s">
        <v>3117</v>
      </c>
      <c r="BX189" s="428" t="s">
        <v>3275</v>
      </c>
      <c r="BY189" s="393"/>
      <c r="BZ189" s="393"/>
      <c r="CA189" s="441"/>
      <c r="CB189" s="400"/>
      <c r="CC189" s="398"/>
      <c r="CD189" s="398"/>
      <c r="CE189" s="398"/>
      <c r="CF189" s="398"/>
      <c r="CG189" s="398"/>
      <c r="CH189" s="398"/>
      <c r="CI189" s="398"/>
      <c r="CJ189" s="398"/>
      <c r="CK189" s="398"/>
      <c r="CL189" s="398">
        <v>45.689</v>
      </c>
      <c r="CM189" s="398">
        <v>45.689</v>
      </c>
      <c r="CN189" s="398">
        <v>45.689</v>
      </c>
      <c r="CO189" s="398">
        <v>45.689</v>
      </c>
      <c r="CP189" s="398">
        <v>45.689</v>
      </c>
      <c r="CQ189" s="398">
        <v>45.689</v>
      </c>
      <c r="CR189" s="398">
        <v>45.689</v>
      </c>
      <c r="CS189" s="398"/>
      <c r="CT189" s="398"/>
      <c r="CU189" s="398"/>
      <c r="CV189" s="398"/>
      <c r="CW189" s="398"/>
      <c r="CX189" s="398"/>
      <c r="CY189" s="398"/>
      <c r="CZ189" s="398"/>
      <c r="DA189" s="398"/>
      <c r="DB189" s="398"/>
      <c r="DC189" s="398"/>
      <c r="DD189" s="398"/>
      <c r="DE189" s="393"/>
      <c r="DF189" s="393"/>
      <c r="DG189" s="393"/>
      <c r="DH189" s="393"/>
      <c r="DI189" s="393"/>
      <c r="DJ189" s="393"/>
      <c r="DK189" s="897"/>
    </row>
    <row r="190" spans="1:115" ht="51" x14ac:dyDescent="0.2">
      <c r="A190" s="295">
        <v>186</v>
      </c>
      <c r="B190" s="390" t="s">
        <v>1063</v>
      </c>
      <c r="C190" s="424" t="s">
        <v>7435</v>
      </c>
      <c r="D190" s="391" t="s">
        <v>5019</v>
      </c>
      <c r="E190" s="707" t="s">
        <v>1064</v>
      </c>
      <c r="F190" s="404" t="s">
        <v>1375</v>
      </c>
      <c r="G190" s="404" t="s">
        <v>1361</v>
      </c>
      <c r="H190" s="404" t="s">
        <v>137</v>
      </c>
      <c r="I190" s="403"/>
      <c r="J190" s="403" t="s">
        <v>137</v>
      </c>
      <c r="K190" s="403"/>
      <c r="L190" s="403" t="s">
        <v>975</v>
      </c>
      <c r="M190" s="403" t="s">
        <v>3906</v>
      </c>
      <c r="N190" s="404" t="s">
        <v>1333</v>
      </c>
      <c r="O190" s="404" t="s">
        <v>51</v>
      </c>
      <c r="P190" s="404" t="s">
        <v>51</v>
      </c>
      <c r="Q190" s="403" t="s">
        <v>976</v>
      </c>
      <c r="R190" s="403"/>
      <c r="S190" s="403" t="s">
        <v>256</v>
      </c>
      <c r="T190" s="405">
        <v>1</v>
      </c>
      <c r="U190" s="406">
        <v>43.441000000000003</v>
      </c>
      <c r="V190" s="406"/>
      <c r="W190" s="456">
        <v>39965</v>
      </c>
      <c r="X190" s="405">
        <v>28</v>
      </c>
      <c r="Y190" s="405"/>
      <c r="Z190" s="405"/>
      <c r="AA190" s="406"/>
      <c r="AB190" s="455"/>
      <c r="AC190" s="407">
        <v>66.47</v>
      </c>
      <c r="AD190" s="407">
        <v>476.30378630136988</v>
      </c>
      <c r="AE190" s="404" t="s">
        <v>37</v>
      </c>
      <c r="AF190" s="418"/>
      <c r="AG190" s="418"/>
      <c r="AH190" s="418">
        <v>0</v>
      </c>
      <c r="AI190" s="405"/>
      <c r="AJ190" s="455"/>
      <c r="AK190" s="455"/>
      <c r="AL190" s="404"/>
      <c r="AM190" s="404"/>
      <c r="AN190" s="418"/>
      <c r="AO190" s="403"/>
      <c r="AP190" s="403" t="s">
        <v>7043</v>
      </c>
      <c r="AQ190" s="403"/>
      <c r="AR190" s="403" t="s">
        <v>1065</v>
      </c>
      <c r="AS190" s="482">
        <v>40078</v>
      </c>
      <c r="AT190" s="455"/>
      <c r="AU190" s="455"/>
      <c r="AV190" s="455"/>
      <c r="AW190" s="455"/>
      <c r="AX190" s="455"/>
      <c r="AY190" s="455"/>
      <c r="AZ190" s="455"/>
      <c r="BA190" s="404"/>
      <c r="BB190" s="404" t="s">
        <v>3116</v>
      </c>
      <c r="BC190" s="404" t="b">
        <v>0</v>
      </c>
      <c r="BD190" s="404" t="s">
        <v>3116</v>
      </c>
      <c r="BE190" s="403"/>
      <c r="BF190" s="405">
        <v>1</v>
      </c>
      <c r="BG190" s="405">
        <v>6</v>
      </c>
      <c r="BH190" s="405">
        <v>8</v>
      </c>
      <c r="BI190" s="405">
        <v>4</v>
      </c>
      <c r="BJ190" s="405">
        <v>5</v>
      </c>
      <c r="BK190" s="405">
        <v>9</v>
      </c>
      <c r="BL190" s="446" t="s">
        <v>6981</v>
      </c>
      <c r="BM190" s="403"/>
      <c r="BN190" s="404"/>
      <c r="BO190" s="404"/>
      <c r="BP190" s="408"/>
      <c r="BQ190" s="409"/>
      <c r="BR190" s="410"/>
      <c r="BS190" s="408">
        <v>0</v>
      </c>
      <c r="BT190" s="405"/>
      <c r="BU190" s="418"/>
      <c r="BV190" s="408"/>
      <c r="BW190" s="404"/>
      <c r="BX190" s="403"/>
      <c r="BY190" s="404"/>
      <c r="BZ190" s="404"/>
      <c r="CA190" s="443"/>
      <c r="CB190" s="409"/>
      <c r="CC190" s="407"/>
      <c r="CD190" s="407"/>
      <c r="CE190" s="407"/>
      <c r="CF190" s="407"/>
      <c r="CG190" s="407"/>
      <c r="CH190" s="407"/>
      <c r="CI190" s="407"/>
      <c r="CJ190" s="407"/>
      <c r="CK190" s="407"/>
      <c r="CL190" s="407"/>
      <c r="CM190" s="407"/>
      <c r="CN190" s="407"/>
      <c r="CO190" s="407"/>
      <c r="CP190" s="407"/>
      <c r="CQ190" s="407"/>
      <c r="CR190" s="407"/>
      <c r="CS190" s="407"/>
      <c r="CT190" s="407"/>
      <c r="CU190" s="407"/>
      <c r="CV190" s="407"/>
      <c r="CW190" s="407"/>
      <c r="CX190" s="407"/>
      <c r="CY190" s="407"/>
      <c r="CZ190" s="407"/>
      <c r="DA190" s="407"/>
      <c r="DB190" s="407"/>
      <c r="DC190" s="407"/>
      <c r="DD190" s="407"/>
      <c r="DE190" s="404"/>
      <c r="DF190" s="404"/>
      <c r="DG190" s="404"/>
      <c r="DH190" s="404"/>
      <c r="DI190" s="404"/>
      <c r="DJ190" s="404"/>
      <c r="DK190" s="896" t="s">
        <v>9712</v>
      </c>
    </row>
    <row r="191" spans="1:115" ht="51" x14ac:dyDescent="0.2">
      <c r="A191" s="295">
        <v>187</v>
      </c>
      <c r="B191" s="390" t="s">
        <v>2598</v>
      </c>
      <c r="C191" s="390"/>
      <c r="D191" s="391" t="s">
        <v>3907</v>
      </c>
      <c r="E191" s="707" t="s">
        <v>1066</v>
      </c>
      <c r="F191" s="404" t="s">
        <v>1375</v>
      </c>
      <c r="G191" s="404" t="s">
        <v>1361</v>
      </c>
      <c r="H191" s="404" t="s">
        <v>137</v>
      </c>
      <c r="I191" s="403"/>
      <c r="J191" s="403"/>
      <c r="K191" s="403" t="s">
        <v>642</v>
      </c>
      <c r="L191" s="403" t="s">
        <v>975</v>
      </c>
      <c r="M191" s="403"/>
      <c r="N191" s="404" t="s">
        <v>1333</v>
      </c>
      <c r="O191" s="404" t="s">
        <v>51</v>
      </c>
      <c r="P191" s="404" t="s">
        <v>51</v>
      </c>
      <c r="Q191" s="403" t="s">
        <v>976</v>
      </c>
      <c r="R191" s="403" t="s">
        <v>3908</v>
      </c>
      <c r="S191" s="403" t="s">
        <v>256</v>
      </c>
      <c r="T191" s="405">
        <v>1</v>
      </c>
      <c r="U191" s="406">
        <v>43.441000000000003</v>
      </c>
      <c r="V191" s="406"/>
      <c r="W191" s="455"/>
      <c r="X191" s="405"/>
      <c r="Y191" s="405">
        <v>7</v>
      </c>
      <c r="Z191" s="405">
        <v>21</v>
      </c>
      <c r="AA191" s="406">
        <v>6</v>
      </c>
      <c r="AB191" s="456">
        <v>40194</v>
      </c>
      <c r="AC191" s="407">
        <v>66.47</v>
      </c>
      <c r="AD191" s="407">
        <v>476.30378630136988</v>
      </c>
      <c r="AE191" s="404" t="s">
        <v>37</v>
      </c>
      <c r="AF191" s="418"/>
      <c r="AG191" s="418"/>
      <c r="AH191" s="418"/>
      <c r="AI191" s="405"/>
      <c r="AJ191" s="455"/>
      <c r="AK191" s="455"/>
      <c r="AL191" s="404"/>
      <c r="AM191" s="404"/>
      <c r="AN191" s="418"/>
      <c r="AO191" s="403"/>
      <c r="AP191" s="403" t="s">
        <v>7043</v>
      </c>
      <c r="AQ191" s="403"/>
      <c r="AR191" s="403" t="s">
        <v>1065</v>
      </c>
      <c r="AS191" s="482">
        <v>40078</v>
      </c>
      <c r="AT191" s="455"/>
      <c r="AU191" s="455"/>
      <c r="AV191" s="455"/>
      <c r="AW191" s="455"/>
      <c r="AX191" s="455"/>
      <c r="AY191" s="455"/>
      <c r="AZ191" s="455"/>
      <c r="BA191" s="404"/>
      <c r="BB191" s="404"/>
      <c r="BC191" s="404" t="b">
        <v>0</v>
      </c>
      <c r="BD191" s="404"/>
      <c r="BE191" s="403"/>
      <c r="BF191" s="405">
        <v>1</v>
      </c>
      <c r="BG191" s="405">
        <v>6</v>
      </c>
      <c r="BH191" s="405">
        <v>8</v>
      </c>
      <c r="BI191" s="405">
        <v>4</v>
      </c>
      <c r="BJ191" s="405">
        <v>5</v>
      </c>
      <c r="BK191" s="405">
        <v>9</v>
      </c>
      <c r="BL191" s="446" t="s">
        <v>6981</v>
      </c>
      <c r="BM191" s="403"/>
      <c r="BN191" s="404"/>
      <c r="BO191" s="404"/>
      <c r="BP191" s="408"/>
      <c r="BQ191" s="409"/>
      <c r="BR191" s="410"/>
      <c r="BS191" s="408"/>
      <c r="BT191" s="405"/>
      <c r="BU191" s="418">
        <v>0.89</v>
      </c>
      <c r="BV191" s="408"/>
      <c r="BW191" s="404" t="s">
        <v>3117</v>
      </c>
      <c r="BX191" s="403" t="s">
        <v>3160</v>
      </c>
      <c r="BY191" s="404" t="s">
        <v>7225</v>
      </c>
      <c r="BZ191" s="404"/>
      <c r="CA191" s="443"/>
      <c r="CB191" s="409"/>
      <c r="CC191" s="407"/>
      <c r="CD191" s="407"/>
      <c r="CE191" s="407"/>
      <c r="CF191" s="407">
        <v>7.3849999999999998</v>
      </c>
      <c r="CG191" s="407">
        <v>22.155000000000001</v>
      </c>
      <c r="CH191" s="407">
        <v>36.924999999999997</v>
      </c>
      <c r="CI191" s="407">
        <v>44.31</v>
      </c>
      <c r="CJ191" s="407">
        <v>44.31</v>
      </c>
      <c r="CK191" s="407">
        <v>44.31</v>
      </c>
      <c r="CL191" s="407">
        <v>44.31</v>
      </c>
      <c r="CM191" s="407"/>
      <c r="CN191" s="407"/>
      <c r="CO191" s="407"/>
      <c r="CP191" s="407"/>
      <c r="CQ191" s="407"/>
      <c r="CR191" s="407"/>
      <c r="CS191" s="407"/>
      <c r="CT191" s="407"/>
      <c r="CU191" s="407"/>
      <c r="CV191" s="407"/>
      <c r="CW191" s="407"/>
      <c r="CX191" s="407"/>
      <c r="CY191" s="407"/>
      <c r="CZ191" s="407"/>
      <c r="DA191" s="407"/>
      <c r="DB191" s="407"/>
      <c r="DC191" s="407"/>
      <c r="DD191" s="407"/>
      <c r="DE191" s="404"/>
      <c r="DF191" s="404"/>
      <c r="DG191" s="404"/>
      <c r="DH191" s="404"/>
      <c r="DI191" s="404"/>
      <c r="DJ191" s="404"/>
      <c r="DK191" s="897"/>
    </row>
    <row r="192" spans="1:115" ht="63.75" x14ac:dyDescent="0.2">
      <c r="A192" s="295">
        <v>188</v>
      </c>
      <c r="B192" s="390" t="s">
        <v>817</v>
      </c>
      <c r="C192" s="424" t="s">
        <v>7436</v>
      </c>
      <c r="D192" s="391" t="s">
        <v>4671</v>
      </c>
      <c r="E192" s="704" t="s">
        <v>1924</v>
      </c>
      <c r="F192" s="393" t="s">
        <v>1375</v>
      </c>
      <c r="G192" s="393" t="s">
        <v>1669</v>
      </c>
      <c r="H192" s="393" t="s">
        <v>818</v>
      </c>
      <c r="I192" s="392"/>
      <c r="J192" s="392" t="s">
        <v>818</v>
      </c>
      <c r="K192" s="392"/>
      <c r="L192" s="392" t="s">
        <v>819</v>
      </c>
      <c r="M192" s="392" t="s">
        <v>3909</v>
      </c>
      <c r="N192" s="393" t="s">
        <v>44</v>
      </c>
      <c r="O192" s="393" t="s">
        <v>820</v>
      </c>
      <c r="P192" s="393" t="s">
        <v>820</v>
      </c>
      <c r="Q192" s="392" t="s">
        <v>821</v>
      </c>
      <c r="R192" s="392"/>
      <c r="S192" s="392" t="s">
        <v>822</v>
      </c>
      <c r="T192" s="394">
        <v>3</v>
      </c>
      <c r="U192" s="395">
        <v>21.246000000000002</v>
      </c>
      <c r="V192" s="395"/>
      <c r="W192" s="452">
        <v>40674</v>
      </c>
      <c r="X192" s="394">
        <v>28</v>
      </c>
      <c r="Y192" s="394"/>
      <c r="Z192" s="394"/>
      <c r="AA192" s="395"/>
      <c r="AB192" s="453"/>
      <c r="AC192" s="398">
        <v>0.03</v>
      </c>
      <c r="AD192" s="398">
        <v>212.45999999999998</v>
      </c>
      <c r="AE192" s="393" t="s">
        <v>47</v>
      </c>
      <c r="AF192" s="417"/>
      <c r="AG192" s="417">
        <f>SUM(AG193:AG195)</f>
        <v>311.84100000000001</v>
      </c>
      <c r="AH192" s="417">
        <v>311.84100000000001</v>
      </c>
      <c r="AI192" s="394"/>
      <c r="AJ192" s="453">
        <v>42634</v>
      </c>
      <c r="AK192" s="453">
        <v>43100</v>
      </c>
      <c r="AL192" s="393"/>
      <c r="AM192" s="393"/>
      <c r="AN192" s="417"/>
      <c r="AO192" s="428" t="s">
        <v>225</v>
      </c>
      <c r="AP192" s="428" t="s">
        <v>9401</v>
      </c>
      <c r="AQ192" s="392"/>
      <c r="AR192" s="392" t="s">
        <v>274</v>
      </c>
      <c r="AS192" s="479">
        <v>40137</v>
      </c>
      <c r="AT192" s="453"/>
      <c r="AU192" s="453"/>
      <c r="AV192" s="452">
        <v>40330</v>
      </c>
      <c r="AW192" s="452">
        <v>40645</v>
      </c>
      <c r="AX192" s="453"/>
      <c r="AY192" s="452">
        <v>40674</v>
      </c>
      <c r="AZ192" s="453"/>
      <c r="BA192" s="393"/>
      <c r="BB192" s="393" t="s">
        <v>3147</v>
      </c>
      <c r="BC192" s="393" t="b">
        <v>0</v>
      </c>
      <c r="BD192" s="393" t="s">
        <v>3147</v>
      </c>
      <c r="BE192" s="392"/>
      <c r="BF192" s="394">
        <v>1</v>
      </c>
      <c r="BG192" s="394">
        <v>6</v>
      </c>
      <c r="BH192" s="394">
        <v>9</v>
      </c>
      <c r="BI192" s="394">
        <v>11</v>
      </c>
      <c r="BJ192" s="394"/>
      <c r="BK192" s="394"/>
      <c r="BL192" s="444"/>
      <c r="BM192" s="392"/>
      <c r="BN192" s="393"/>
      <c r="BO192" s="393"/>
      <c r="BP192" s="399"/>
      <c r="BQ192" s="400"/>
      <c r="BR192" s="401"/>
      <c r="BS192" s="399">
        <v>0</v>
      </c>
      <c r="BT192" s="394"/>
      <c r="BU192" s="417"/>
      <c r="BV192" s="399"/>
      <c r="BW192" s="393"/>
      <c r="BX192" s="392"/>
      <c r="BY192" s="393"/>
      <c r="BZ192" s="393"/>
      <c r="CA192" s="441"/>
      <c r="CB192" s="400"/>
      <c r="CC192" s="398"/>
      <c r="CD192" s="398"/>
      <c r="CE192" s="398"/>
      <c r="CF192" s="398"/>
      <c r="CG192" s="398"/>
      <c r="CH192" s="398"/>
      <c r="CI192" s="398"/>
      <c r="CJ192" s="398"/>
      <c r="CK192" s="398"/>
      <c r="CL192" s="398"/>
      <c r="CM192" s="398"/>
      <c r="CN192" s="398"/>
      <c r="CO192" s="398"/>
      <c r="CP192" s="398"/>
      <c r="CQ192" s="398"/>
      <c r="CR192" s="398"/>
      <c r="CS192" s="398"/>
      <c r="CT192" s="398"/>
      <c r="CU192" s="398"/>
      <c r="CV192" s="398"/>
      <c r="CW192" s="398"/>
      <c r="CX192" s="398"/>
      <c r="CY192" s="398"/>
      <c r="CZ192" s="398"/>
      <c r="DA192" s="398"/>
      <c r="DB192" s="398"/>
      <c r="DC192" s="398"/>
      <c r="DD192" s="398"/>
      <c r="DE192" s="393"/>
      <c r="DF192" s="393"/>
      <c r="DG192" s="393"/>
      <c r="DH192" s="393"/>
      <c r="DI192" s="393"/>
      <c r="DJ192" s="393"/>
      <c r="DK192" s="896" t="s">
        <v>9698</v>
      </c>
    </row>
    <row r="193" spans="1:115" ht="51" x14ac:dyDescent="0.2">
      <c r="A193" s="295">
        <v>189</v>
      </c>
      <c r="B193" s="390" t="s">
        <v>2599</v>
      </c>
      <c r="C193" s="390"/>
      <c r="D193" s="391" t="s">
        <v>823</v>
      </c>
      <c r="E193" s="704" t="s">
        <v>824</v>
      </c>
      <c r="F193" s="393" t="s">
        <v>1375</v>
      </c>
      <c r="G193" s="393" t="s">
        <v>1669</v>
      </c>
      <c r="H193" s="393" t="s">
        <v>818</v>
      </c>
      <c r="I193" s="392"/>
      <c r="J193" s="392"/>
      <c r="K193" s="392" t="s">
        <v>825</v>
      </c>
      <c r="L193" s="392" t="s">
        <v>819</v>
      </c>
      <c r="M193" s="392"/>
      <c r="N193" s="393" t="s">
        <v>44</v>
      </c>
      <c r="O193" s="393" t="s">
        <v>820</v>
      </c>
      <c r="P193" s="393" t="s">
        <v>820</v>
      </c>
      <c r="Q193" s="392" t="s">
        <v>821</v>
      </c>
      <c r="R193" s="392" t="s">
        <v>3910</v>
      </c>
      <c r="S193" s="392" t="s">
        <v>822</v>
      </c>
      <c r="T193" s="394">
        <v>1</v>
      </c>
      <c r="U193" s="395">
        <v>0.02</v>
      </c>
      <c r="V193" s="395"/>
      <c r="W193" s="453"/>
      <c r="X193" s="394"/>
      <c r="Y193" s="394">
        <v>10</v>
      </c>
      <c r="Z193" s="394">
        <v>20</v>
      </c>
      <c r="AA193" s="395">
        <v>-4</v>
      </c>
      <c r="AB193" s="452">
        <v>40724</v>
      </c>
      <c r="AC193" s="398">
        <v>0.03</v>
      </c>
      <c r="AD193" s="398">
        <v>0.2</v>
      </c>
      <c r="AE193" s="393" t="s">
        <v>47</v>
      </c>
      <c r="AF193" s="417"/>
      <c r="AG193" s="417"/>
      <c r="AH193" s="417"/>
      <c r="AI193" s="394"/>
      <c r="AJ193" s="394"/>
      <c r="AK193" s="453"/>
      <c r="AL193" s="393"/>
      <c r="AM193" s="393"/>
      <c r="AN193" s="417"/>
      <c r="AO193" s="392"/>
      <c r="AP193" s="428" t="s">
        <v>9401</v>
      </c>
      <c r="AQ193" s="392"/>
      <c r="AR193" s="392" t="s">
        <v>274</v>
      </c>
      <c r="AS193" s="479">
        <v>40137</v>
      </c>
      <c r="AT193" s="453"/>
      <c r="AU193" s="453"/>
      <c r="AV193" s="453"/>
      <c r="AW193" s="453"/>
      <c r="AX193" s="453"/>
      <c r="AY193" s="453"/>
      <c r="AZ193" s="452">
        <v>40674</v>
      </c>
      <c r="BA193" s="393"/>
      <c r="BB193" s="393"/>
      <c r="BC193" s="393" t="b">
        <v>0</v>
      </c>
      <c r="BD193" s="393"/>
      <c r="BE193" s="392"/>
      <c r="BF193" s="394">
        <v>1</v>
      </c>
      <c r="BG193" s="394">
        <v>6</v>
      </c>
      <c r="BH193" s="394">
        <v>9</v>
      </c>
      <c r="BI193" s="394">
        <v>11</v>
      </c>
      <c r="BJ193" s="394"/>
      <c r="BK193" s="394"/>
      <c r="BL193" s="444" t="s">
        <v>6981</v>
      </c>
      <c r="BM193" s="392"/>
      <c r="BN193" s="393"/>
      <c r="BO193" s="393"/>
      <c r="BP193" s="399"/>
      <c r="BQ193" s="400"/>
      <c r="BR193" s="401"/>
      <c r="BS193" s="399"/>
      <c r="BT193" s="394"/>
      <c r="BU193" s="417"/>
      <c r="BV193" s="399"/>
      <c r="BW193" s="393" t="s">
        <v>3117</v>
      </c>
      <c r="BX193" s="392" t="s">
        <v>1449</v>
      </c>
      <c r="BY193" s="393"/>
      <c r="BZ193" s="393"/>
      <c r="CA193" s="441"/>
      <c r="CB193" s="400"/>
      <c r="CC193" s="398"/>
      <c r="CD193" s="398"/>
      <c r="CE193" s="398"/>
      <c r="CF193" s="398"/>
      <c r="CG193" s="398">
        <v>5.7000000000000002E-2</v>
      </c>
      <c r="CH193" s="398">
        <v>4.3999999999999997E-2</v>
      </c>
      <c r="CI193" s="398">
        <v>3.4000000000000002E-2</v>
      </c>
      <c r="CJ193" s="398">
        <v>2.4E-2</v>
      </c>
      <c r="CK193" s="398">
        <v>1.7999999999999999E-2</v>
      </c>
      <c r="CL193" s="398">
        <v>1.2E-2</v>
      </c>
      <c r="CM193" s="398">
        <v>8.0000000000000002E-3</v>
      </c>
      <c r="CN193" s="398">
        <v>5.0000000000000001E-3</v>
      </c>
      <c r="CO193" s="398">
        <v>3.0000000000000001E-3</v>
      </c>
      <c r="CP193" s="398">
        <v>1E-3</v>
      </c>
      <c r="CQ193" s="398"/>
      <c r="CR193" s="398"/>
      <c r="CS193" s="398"/>
      <c r="CT193" s="398"/>
      <c r="CU193" s="398"/>
      <c r="CV193" s="398"/>
      <c r="CW193" s="398"/>
      <c r="CX193" s="398"/>
      <c r="CY193" s="398"/>
      <c r="CZ193" s="398"/>
      <c r="DA193" s="398"/>
      <c r="DB193" s="398"/>
      <c r="DC193" s="398"/>
      <c r="DD193" s="398"/>
      <c r="DE193" s="393"/>
      <c r="DF193" s="393"/>
      <c r="DG193" s="393"/>
      <c r="DH193" s="393"/>
      <c r="DI193" s="393"/>
      <c r="DJ193" s="393"/>
      <c r="DK193" s="897"/>
    </row>
    <row r="194" spans="1:115" ht="25.5" x14ac:dyDescent="0.2">
      <c r="A194" s="295">
        <v>190</v>
      </c>
      <c r="B194" s="390" t="s">
        <v>4672</v>
      </c>
      <c r="C194" s="390"/>
      <c r="D194" s="391" t="s">
        <v>4673</v>
      </c>
      <c r="E194" s="704" t="s">
        <v>4674</v>
      </c>
      <c r="F194" s="393" t="s">
        <v>1375</v>
      </c>
      <c r="G194" s="393" t="s">
        <v>1669</v>
      </c>
      <c r="H194" s="393" t="s">
        <v>818</v>
      </c>
      <c r="I194" s="392"/>
      <c r="J194" s="392"/>
      <c r="K194" s="392" t="s">
        <v>4675</v>
      </c>
      <c r="L194" s="392" t="s">
        <v>819</v>
      </c>
      <c r="M194" s="392"/>
      <c r="N194" s="393" t="s">
        <v>44</v>
      </c>
      <c r="O194" s="393" t="s">
        <v>820</v>
      </c>
      <c r="P194" s="393" t="s">
        <v>820</v>
      </c>
      <c r="Q194" s="392" t="s">
        <v>821</v>
      </c>
      <c r="R194" s="392" t="s">
        <v>3910</v>
      </c>
      <c r="S194" s="392" t="s">
        <v>822</v>
      </c>
      <c r="T194" s="394">
        <v>1</v>
      </c>
      <c r="U194" s="395">
        <v>14.422000000000001</v>
      </c>
      <c r="V194" s="395"/>
      <c r="W194" s="453"/>
      <c r="X194" s="394"/>
      <c r="Y194" s="394">
        <v>10</v>
      </c>
      <c r="Z194" s="394">
        <v>20</v>
      </c>
      <c r="AA194" s="395">
        <v>-4</v>
      </c>
      <c r="AB194" s="452">
        <v>41386</v>
      </c>
      <c r="AC194" s="398">
        <v>0</v>
      </c>
      <c r="AD194" s="398">
        <v>144.22</v>
      </c>
      <c r="AE194" s="393" t="s">
        <v>47</v>
      </c>
      <c r="AF194" s="417"/>
      <c r="AG194" s="417">
        <f>103.491+54.241+63.367</f>
        <v>221.09899999999999</v>
      </c>
      <c r="AH194" s="417">
        <v>221.09899999999999</v>
      </c>
      <c r="AI194" s="394"/>
      <c r="AJ194" s="453">
        <v>42634</v>
      </c>
      <c r="AK194" s="453">
        <v>43100</v>
      </c>
      <c r="AL194" s="393"/>
      <c r="AM194" s="393"/>
      <c r="AN194" s="417"/>
      <c r="AO194" s="428" t="s">
        <v>225</v>
      </c>
      <c r="AP194" s="428"/>
      <c r="AQ194" s="392"/>
      <c r="AR194" s="392" t="s">
        <v>274</v>
      </c>
      <c r="AS194" s="480"/>
      <c r="AT194" s="453"/>
      <c r="AU194" s="453"/>
      <c r="AV194" s="453"/>
      <c r="AW194" s="453"/>
      <c r="AX194" s="453"/>
      <c r="AY194" s="453"/>
      <c r="AZ194" s="452">
        <v>41382</v>
      </c>
      <c r="BA194" s="393"/>
      <c r="BB194" s="393"/>
      <c r="BC194" s="393" t="b">
        <v>0</v>
      </c>
      <c r="BD194" s="393"/>
      <c r="BE194" s="392"/>
      <c r="BF194" s="394">
        <v>1</v>
      </c>
      <c r="BG194" s="394">
        <v>6</v>
      </c>
      <c r="BH194" s="394">
        <v>9</v>
      </c>
      <c r="BI194" s="394">
        <v>11</v>
      </c>
      <c r="BJ194" s="394"/>
      <c r="BK194" s="394"/>
      <c r="BL194" s="444" t="s">
        <v>6981</v>
      </c>
      <c r="BM194" s="392"/>
      <c r="BN194" s="393"/>
      <c r="BO194" s="393"/>
      <c r="BP194" s="399"/>
      <c r="BQ194" s="400"/>
      <c r="BR194" s="401"/>
      <c r="BS194" s="399"/>
      <c r="BT194" s="394"/>
      <c r="BU194" s="417"/>
      <c r="BV194" s="399"/>
      <c r="BW194" s="393" t="s">
        <v>3117</v>
      </c>
      <c r="BX194" s="392" t="s">
        <v>1449</v>
      </c>
      <c r="BY194" s="393"/>
      <c r="BZ194" s="393"/>
      <c r="CA194" s="441"/>
      <c r="CB194" s="400"/>
      <c r="CC194" s="398"/>
      <c r="CD194" s="398"/>
      <c r="CE194" s="398"/>
      <c r="CF194" s="398"/>
      <c r="CG194" s="398"/>
      <c r="CH194" s="398"/>
      <c r="CI194" s="398"/>
      <c r="CJ194" s="398">
        <v>45.000999999999998</v>
      </c>
      <c r="CK194" s="398">
        <v>34.286999999999999</v>
      </c>
      <c r="CL194" s="398">
        <v>25.465</v>
      </c>
      <c r="CM194" s="398">
        <v>18.350999999999999</v>
      </c>
      <c r="CN194" s="398">
        <v>12.714</v>
      </c>
      <c r="CO194" s="398">
        <v>8.4060000000000006</v>
      </c>
      <c r="CP194" s="398"/>
      <c r="CQ194" s="398"/>
      <c r="CR194" s="398"/>
      <c r="CS194" s="398"/>
      <c r="CT194" s="398"/>
      <c r="CU194" s="398"/>
      <c r="CV194" s="398"/>
      <c r="CW194" s="398"/>
      <c r="CX194" s="398"/>
      <c r="CY194" s="398"/>
      <c r="CZ194" s="398"/>
      <c r="DA194" s="398"/>
      <c r="DB194" s="398"/>
      <c r="DC194" s="398"/>
      <c r="DD194" s="398"/>
      <c r="DE194" s="393"/>
      <c r="DF194" s="393"/>
      <c r="DG194" s="393"/>
      <c r="DH194" s="393"/>
      <c r="DI194" s="393"/>
      <c r="DJ194" s="393"/>
      <c r="DK194" s="897"/>
    </row>
    <row r="195" spans="1:115" ht="25.5" x14ac:dyDescent="0.2">
      <c r="A195" s="295">
        <v>191</v>
      </c>
      <c r="B195" s="390" t="s">
        <v>4909</v>
      </c>
      <c r="C195" s="390"/>
      <c r="D195" s="391" t="s">
        <v>4910</v>
      </c>
      <c r="E195" s="704" t="s">
        <v>4911</v>
      </c>
      <c r="F195" s="393" t="s">
        <v>1375</v>
      </c>
      <c r="G195" s="393" t="s">
        <v>1669</v>
      </c>
      <c r="H195" s="393" t="s">
        <v>818</v>
      </c>
      <c r="I195" s="392"/>
      <c r="J195" s="392"/>
      <c r="K195" s="392" t="s">
        <v>4675</v>
      </c>
      <c r="L195" s="392" t="s">
        <v>819</v>
      </c>
      <c r="M195" s="392"/>
      <c r="N195" s="393" t="s">
        <v>44</v>
      </c>
      <c r="O195" s="393" t="s">
        <v>820</v>
      </c>
      <c r="P195" s="393" t="s">
        <v>820</v>
      </c>
      <c r="Q195" s="392" t="s">
        <v>821</v>
      </c>
      <c r="R195" s="392" t="s">
        <v>3910</v>
      </c>
      <c r="S195" s="392" t="s">
        <v>822</v>
      </c>
      <c r="T195" s="394">
        <v>1</v>
      </c>
      <c r="U195" s="395">
        <v>6.8040000000000003</v>
      </c>
      <c r="V195" s="395"/>
      <c r="W195" s="453"/>
      <c r="X195" s="394"/>
      <c r="Y195" s="394">
        <v>10</v>
      </c>
      <c r="Z195" s="394">
        <v>20</v>
      </c>
      <c r="AA195" s="395">
        <v>-4</v>
      </c>
      <c r="AB195" s="452">
        <v>41426</v>
      </c>
      <c r="AC195" s="398">
        <v>0</v>
      </c>
      <c r="AD195" s="398">
        <v>68.040000000000006</v>
      </c>
      <c r="AE195" s="393" t="s">
        <v>47</v>
      </c>
      <c r="AF195" s="417"/>
      <c r="AG195" s="417">
        <f>42.514+22.378+25.85</f>
        <v>90.74199999999999</v>
      </c>
      <c r="AH195" s="417">
        <v>90.74199999999999</v>
      </c>
      <c r="AI195" s="394"/>
      <c r="AJ195" s="453">
        <v>42634</v>
      </c>
      <c r="AK195" s="453">
        <v>43100</v>
      </c>
      <c r="AL195" s="393"/>
      <c r="AM195" s="393"/>
      <c r="AN195" s="417"/>
      <c r="AO195" s="428" t="s">
        <v>225</v>
      </c>
      <c r="AP195" s="428"/>
      <c r="AQ195" s="392"/>
      <c r="AR195" s="392" t="s">
        <v>274</v>
      </c>
      <c r="AS195" s="480"/>
      <c r="AT195" s="453"/>
      <c r="AU195" s="453"/>
      <c r="AV195" s="453"/>
      <c r="AW195" s="453"/>
      <c r="AX195" s="453"/>
      <c r="AY195" s="453"/>
      <c r="AZ195" s="452">
        <v>41411</v>
      </c>
      <c r="BA195" s="393"/>
      <c r="BB195" s="393"/>
      <c r="BC195" s="393" t="b">
        <v>0</v>
      </c>
      <c r="BD195" s="393"/>
      <c r="BE195" s="392"/>
      <c r="BF195" s="394">
        <v>1</v>
      </c>
      <c r="BG195" s="394">
        <v>6</v>
      </c>
      <c r="BH195" s="394">
        <v>9</v>
      </c>
      <c r="BI195" s="394">
        <v>11</v>
      </c>
      <c r="BJ195" s="394"/>
      <c r="BK195" s="394"/>
      <c r="BL195" s="444" t="s">
        <v>6981</v>
      </c>
      <c r="BM195" s="392"/>
      <c r="BN195" s="393"/>
      <c r="BO195" s="393"/>
      <c r="BP195" s="399"/>
      <c r="BQ195" s="400"/>
      <c r="BR195" s="401"/>
      <c r="BS195" s="399"/>
      <c r="BT195" s="394"/>
      <c r="BU195" s="417"/>
      <c r="BV195" s="399"/>
      <c r="BW195" s="393" t="s">
        <v>3117</v>
      </c>
      <c r="BX195" s="392" t="s">
        <v>1449</v>
      </c>
      <c r="BY195" s="393"/>
      <c r="BZ195" s="393"/>
      <c r="CA195" s="441"/>
      <c r="CB195" s="400"/>
      <c r="CC195" s="398"/>
      <c r="CD195" s="398"/>
      <c r="CE195" s="398"/>
      <c r="CF195" s="398"/>
      <c r="CG195" s="398"/>
      <c r="CH195" s="398"/>
      <c r="CI195" s="398"/>
      <c r="CJ195" s="398">
        <v>20.62</v>
      </c>
      <c r="CK195" s="398">
        <v>16.202000000000002</v>
      </c>
      <c r="CL195" s="398">
        <v>12.157</v>
      </c>
      <c r="CM195" s="398">
        <v>8.8070000000000004</v>
      </c>
      <c r="CN195" s="398">
        <v>6.1509999999999998</v>
      </c>
      <c r="CO195" s="398">
        <v>4.1050000000000004</v>
      </c>
      <c r="CP195" s="398"/>
      <c r="CQ195" s="398"/>
      <c r="CR195" s="398"/>
      <c r="CS195" s="398"/>
      <c r="CT195" s="398"/>
      <c r="CU195" s="398"/>
      <c r="CV195" s="398"/>
      <c r="CW195" s="398"/>
      <c r="CX195" s="398"/>
      <c r="CY195" s="398"/>
      <c r="CZ195" s="398"/>
      <c r="DA195" s="398"/>
      <c r="DB195" s="398"/>
      <c r="DC195" s="398"/>
      <c r="DD195" s="398"/>
      <c r="DE195" s="393"/>
      <c r="DF195" s="393"/>
      <c r="DG195" s="393"/>
      <c r="DH195" s="393"/>
      <c r="DI195" s="393"/>
      <c r="DJ195" s="393"/>
      <c r="DK195" s="897"/>
    </row>
    <row r="196" spans="1:115" ht="89.25" x14ac:dyDescent="0.2">
      <c r="A196" s="295">
        <v>192</v>
      </c>
      <c r="B196" s="390" t="s">
        <v>169</v>
      </c>
      <c r="C196" s="424" t="s">
        <v>7437</v>
      </c>
      <c r="D196" s="391"/>
      <c r="E196" s="708" t="s">
        <v>1925</v>
      </c>
      <c r="F196" s="404" t="s">
        <v>1352</v>
      </c>
      <c r="G196" s="404" t="s">
        <v>1671</v>
      </c>
      <c r="H196" s="404" t="s">
        <v>117</v>
      </c>
      <c r="I196" s="403"/>
      <c r="J196" s="403" t="s">
        <v>170</v>
      </c>
      <c r="K196" s="403"/>
      <c r="L196" s="403" t="s">
        <v>171</v>
      </c>
      <c r="M196" s="403" t="s">
        <v>3911</v>
      </c>
      <c r="N196" s="404" t="s">
        <v>3142</v>
      </c>
      <c r="O196" s="404" t="s">
        <v>69</v>
      </c>
      <c r="P196" s="404" t="s">
        <v>69</v>
      </c>
      <c r="Q196" s="403" t="s">
        <v>572</v>
      </c>
      <c r="R196" s="403"/>
      <c r="S196" s="486" t="s">
        <v>46</v>
      </c>
      <c r="T196" s="405">
        <v>1</v>
      </c>
      <c r="U196" s="406">
        <v>58.375</v>
      </c>
      <c r="V196" s="406"/>
      <c r="W196" s="456">
        <v>39569</v>
      </c>
      <c r="X196" s="405">
        <v>28</v>
      </c>
      <c r="Y196" s="405"/>
      <c r="Z196" s="405"/>
      <c r="AA196" s="406"/>
      <c r="AB196" s="455"/>
      <c r="AC196" s="407">
        <v>267.55013750000001</v>
      </c>
      <c r="AD196" s="407">
        <v>583.75</v>
      </c>
      <c r="AE196" s="404" t="s">
        <v>54</v>
      </c>
      <c r="AF196" s="418"/>
      <c r="AG196" s="418"/>
      <c r="AH196" s="418">
        <v>0</v>
      </c>
      <c r="AI196" s="405"/>
      <c r="AJ196" s="455"/>
      <c r="AK196" s="455"/>
      <c r="AL196" s="404"/>
      <c r="AM196" s="404"/>
      <c r="AN196" s="418"/>
      <c r="AO196" s="403"/>
      <c r="AP196" s="403" t="s">
        <v>7045</v>
      </c>
      <c r="AQ196" s="403"/>
      <c r="AR196" s="403" t="s">
        <v>173</v>
      </c>
      <c r="AS196" s="482">
        <v>40141</v>
      </c>
      <c r="AT196" s="455"/>
      <c r="AU196" s="455"/>
      <c r="AV196" s="455"/>
      <c r="AW196" s="455"/>
      <c r="AX196" s="455"/>
      <c r="AY196" s="455"/>
      <c r="AZ196" s="455"/>
      <c r="BA196" s="404"/>
      <c r="BB196" s="404" t="s">
        <v>3116</v>
      </c>
      <c r="BC196" s="404" t="b">
        <v>0</v>
      </c>
      <c r="BD196" s="404" t="s">
        <v>3147</v>
      </c>
      <c r="BE196" s="403"/>
      <c r="BF196" s="405">
        <v>1</v>
      </c>
      <c r="BG196" s="405">
        <v>6</v>
      </c>
      <c r="BH196" s="405">
        <v>8</v>
      </c>
      <c r="BI196" s="405">
        <v>11</v>
      </c>
      <c r="BJ196" s="405"/>
      <c r="BK196" s="405"/>
      <c r="BL196" s="446"/>
      <c r="BM196" s="403"/>
      <c r="BN196" s="404"/>
      <c r="BO196" s="404"/>
      <c r="BP196" s="408"/>
      <c r="BQ196" s="409"/>
      <c r="BR196" s="410"/>
      <c r="BS196" s="408">
        <v>0</v>
      </c>
      <c r="BT196" s="405"/>
      <c r="BU196" s="418"/>
      <c r="BV196" s="408"/>
      <c r="BW196" s="404"/>
      <c r="BX196" s="403"/>
      <c r="BY196" s="404"/>
      <c r="BZ196" s="404"/>
      <c r="CA196" s="443"/>
      <c r="CB196" s="409"/>
      <c r="CC196" s="407"/>
      <c r="CD196" s="407"/>
      <c r="CE196" s="407"/>
      <c r="CF196" s="407"/>
      <c r="CG196" s="407"/>
      <c r="CH196" s="407"/>
      <c r="CI196" s="407"/>
      <c r="CJ196" s="407"/>
      <c r="CK196" s="407"/>
      <c r="CL196" s="407"/>
      <c r="CM196" s="407"/>
      <c r="CN196" s="407"/>
      <c r="CO196" s="407"/>
      <c r="CP196" s="407"/>
      <c r="CQ196" s="407"/>
      <c r="CR196" s="407"/>
      <c r="CS196" s="407"/>
      <c r="CT196" s="407"/>
      <c r="CU196" s="407"/>
      <c r="CV196" s="407"/>
      <c r="CW196" s="407"/>
      <c r="CX196" s="407"/>
      <c r="CY196" s="407"/>
      <c r="CZ196" s="407"/>
      <c r="DA196" s="407"/>
      <c r="DB196" s="407"/>
      <c r="DC196" s="407"/>
      <c r="DD196" s="407"/>
      <c r="DE196" s="404"/>
      <c r="DF196" s="404"/>
      <c r="DG196" s="404"/>
      <c r="DH196" s="404"/>
      <c r="DI196" s="404"/>
      <c r="DJ196" s="404"/>
      <c r="DK196" s="897"/>
    </row>
    <row r="197" spans="1:115" ht="63.75" x14ac:dyDescent="0.2">
      <c r="A197" s="295">
        <v>193</v>
      </c>
      <c r="B197" s="390" t="s">
        <v>2600</v>
      </c>
      <c r="C197" s="390"/>
      <c r="D197" s="391"/>
      <c r="E197" s="707" t="s">
        <v>174</v>
      </c>
      <c r="F197" s="404" t="s">
        <v>1352</v>
      </c>
      <c r="G197" s="404" t="s">
        <v>1671</v>
      </c>
      <c r="H197" s="404" t="s">
        <v>117</v>
      </c>
      <c r="I197" s="403"/>
      <c r="J197" s="403"/>
      <c r="K197" s="403" t="s">
        <v>2127</v>
      </c>
      <c r="L197" s="403" t="s">
        <v>171</v>
      </c>
      <c r="M197" s="403"/>
      <c r="N197" s="404" t="s">
        <v>3142</v>
      </c>
      <c r="O197" s="404" t="s">
        <v>69</v>
      </c>
      <c r="P197" s="404" t="s">
        <v>69</v>
      </c>
      <c r="Q197" s="403" t="s">
        <v>572</v>
      </c>
      <c r="R197" s="403" t="s">
        <v>3912</v>
      </c>
      <c r="S197" s="486" t="s">
        <v>46</v>
      </c>
      <c r="T197" s="405">
        <v>1</v>
      </c>
      <c r="U197" s="406">
        <v>58.375</v>
      </c>
      <c r="V197" s="406"/>
      <c r="W197" s="455"/>
      <c r="X197" s="405"/>
      <c r="Y197" s="405">
        <v>10</v>
      </c>
      <c r="Z197" s="405">
        <v>10</v>
      </c>
      <c r="AA197" s="406">
        <v>0</v>
      </c>
      <c r="AB197" s="456">
        <v>39569</v>
      </c>
      <c r="AC197" s="407">
        <v>267.55013750000001</v>
      </c>
      <c r="AD197" s="407">
        <v>583.75</v>
      </c>
      <c r="AE197" s="404" t="s">
        <v>54</v>
      </c>
      <c r="AF197" s="418"/>
      <c r="AG197" s="418"/>
      <c r="AH197" s="418"/>
      <c r="AI197" s="405"/>
      <c r="AJ197" s="455"/>
      <c r="AK197" s="455"/>
      <c r="AL197" s="404"/>
      <c r="AM197" s="404"/>
      <c r="AN197" s="418"/>
      <c r="AO197" s="403"/>
      <c r="AP197" s="403" t="s">
        <v>7045</v>
      </c>
      <c r="AQ197" s="403"/>
      <c r="AR197" s="403" t="s">
        <v>173</v>
      </c>
      <c r="AS197" s="482">
        <v>40141</v>
      </c>
      <c r="AT197" s="455"/>
      <c r="AU197" s="455"/>
      <c r="AV197" s="455"/>
      <c r="AW197" s="455"/>
      <c r="AX197" s="455"/>
      <c r="AY197" s="455"/>
      <c r="AZ197" s="455"/>
      <c r="BA197" s="404"/>
      <c r="BB197" s="404"/>
      <c r="BC197" s="404" t="b">
        <v>0</v>
      </c>
      <c r="BD197" s="404"/>
      <c r="BE197" s="403"/>
      <c r="BF197" s="405">
        <v>1</v>
      </c>
      <c r="BG197" s="405">
        <v>6</v>
      </c>
      <c r="BH197" s="405">
        <v>8</v>
      </c>
      <c r="BI197" s="405">
        <v>11</v>
      </c>
      <c r="BJ197" s="405"/>
      <c r="BK197" s="405"/>
      <c r="BL197" s="446" t="s">
        <v>6981</v>
      </c>
      <c r="BM197" s="403"/>
      <c r="BN197" s="404"/>
      <c r="BO197" s="404"/>
      <c r="BP197" s="408"/>
      <c r="BQ197" s="409"/>
      <c r="BR197" s="410"/>
      <c r="BS197" s="408"/>
      <c r="BT197" s="405"/>
      <c r="BU197" s="418"/>
      <c r="BV197" s="408"/>
      <c r="BW197" s="404" t="s">
        <v>3117</v>
      </c>
      <c r="BX197" s="403" t="s">
        <v>3199</v>
      </c>
      <c r="BY197" s="404"/>
      <c r="BZ197" s="404"/>
      <c r="CA197" s="443"/>
      <c r="CB197" s="409"/>
      <c r="CC197" s="407"/>
      <c r="CD197" s="407"/>
      <c r="CE197" s="407"/>
      <c r="CF197" s="407">
        <v>29.463999999999999</v>
      </c>
      <c r="CG197" s="407">
        <v>58.927999999999997</v>
      </c>
      <c r="CH197" s="407">
        <v>58.927999999999997</v>
      </c>
      <c r="CI197" s="407">
        <v>58.927999999999997</v>
      </c>
      <c r="CJ197" s="407">
        <v>58.927999999999997</v>
      </c>
      <c r="CK197" s="407">
        <v>58.927999999999997</v>
      </c>
      <c r="CL197" s="407">
        <v>58.927999999999997</v>
      </c>
      <c r="CM197" s="407">
        <v>58.927999999999997</v>
      </c>
      <c r="CN197" s="407">
        <v>58.927999999999997</v>
      </c>
      <c r="CO197" s="407">
        <v>58.927999999999997</v>
      </c>
      <c r="CP197" s="407">
        <v>29.463999999999999</v>
      </c>
      <c r="CQ197" s="407"/>
      <c r="CR197" s="407"/>
      <c r="CS197" s="407"/>
      <c r="CT197" s="407"/>
      <c r="CU197" s="407"/>
      <c r="CV197" s="407"/>
      <c r="CW197" s="407"/>
      <c r="CX197" s="407"/>
      <c r="CY197" s="407"/>
      <c r="CZ197" s="407"/>
      <c r="DA197" s="407"/>
      <c r="DB197" s="407"/>
      <c r="DC197" s="407"/>
      <c r="DD197" s="407"/>
      <c r="DE197" s="404"/>
      <c r="DF197" s="404"/>
      <c r="DG197" s="404"/>
      <c r="DH197" s="404"/>
      <c r="DI197" s="404"/>
      <c r="DJ197" s="404"/>
      <c r="DK197" s="897"/>
    </row>
    <row r="198" spans="1:115" ht="63.75" x14ac:dyDescent="0.2">
      <c r="A198" s="295">
        <v>194</v>
      </c>
      <c r="B198" s="390" t="s">
        <v>268</v>
      </c>
      <c r="C198" s="424" t="s">
        <v>7438</v>
      </c>
      <c r="D198" s="391" t="s">
        <v>1926</v>
      </c>
      <c r="E198" s="704" t="s">
        <v>269</v>
      </c>
      <c r="F198" s="393" t="s">
        <v>1352</v>
      </c>
      <c r="G198" s="393" t="s">
        <v>1671</v>
      </c>
      <c r="H198" s="393" t="s">
        <v>117</v>
      </c>
      <c r="I198" s="392"/>
      <c r="J198" s="392" t="s">
        <v>117</v>
      </c>
      <c r="K198" s="392"/>
      <c r="L198" s="392" t="s">
        <v>270</v>
      </c>
      <c r="M198" s="392" t="s">
        <v>3913</v>
      </c>
      <c r="N198" s="393" t="s">
        <v>44</v>
      </c>
      <c r="O198" s="393" t="s">
        <v>271</v>
      </c>
      <c r="P198" s="393" t="s">
        <v>271</v>
      </c>
      <c r="Q198" s="392" t="s">
        <v>272</v>
      </c>
      <c r="R198" s="392"/>
      <c r="S198" s="392" t="s">
        <v>273</v>
      </c>
      <c r="T198" s="394">
        <v>4</v>
      </c>
      <c r="U198" s="395">
        <v>99.397999999999996</v>
      </c>
      <c r="V198" s="395"/>
      <c r="W198" s="452">
        <v>40544</v>
      </c>
      <c r="X198" s="394">
        <v>20</v>
      </c>
      <c r="Y198" s="394"/>
      <c r="Z198" s="394"/>
      <c r="AA198" s="395"/>
      <c r="AB198" s="453"/>
      <c r="AC198" s="398">
        <v>62.698999999999998</v>
      </c>
      <c r="AD198" s="398">
        <v>993.9799999999999</v>
      </c>
      <c r="AE198" s="393" t="s">
        <v>47</v>
      </c>
      <c r="AF198" s="451">
        <f>SUM(AF199:AF202)</f>
        <v>22.330999999999996</v>
      </c>
      <c r="AG198" s="417">
        <f>SUM(AG199:AG202)</f>
        <v>53.580999999999996</v>
      </c>
      <c r="AH198" s="417">
        <v>75.911999999999992</v>
      </c>
      <c r="AI198" s="394">
        <v>2</v>
      </c>
      <c r="AJ198" s="452">
        <v>41289</v>
      </c>
      <c r="AK198" s="452">
        <v>41639</v>
      </c>
      <c r="AL198" s="393"/>
      <c r="AM198" s="393"/>
      <c r="AN198" s="417"/>
      <c r="AO198" s="392"/>
      <c r="AP198" s="392" t="s">
        <v>7046</v>
      </c>
      <c r="AQ198" s="392"/>
      <c r="AR198" s="392" t="s">
        <v>274</v>
      </c>
      <c r="AS198" s="479">
        <v>40141</v>
      </c>
      <c r="AT198" s="453"/>
      <c r="AU198" s="453"/>
      <c r="AV198" s="452">
        <v>40360</v>
      </c>
      <c r="AW198" s="452">
        <v>40514</v>
      </c>
      <c r="AX198" s="452">
        <v>40558</v>
      </c>
      <c r="AY198" s="452">
        <v>40586</v>
      </c>
      <c r="AZ198" s="453"/>
      <c r="BA198" s="393"/>
      <c r="BB198" s="393" t="s">
        <v>3116</v>
      </c>
      <c r="BC198" s="393" t="b">
        <v>0</v>
      </c>
      <c r="BD198" s="393" t="s">
        <v>3116</v>
      </c>
      <c r="BE198" s="392"/>
      <c r="BF198" s="394">
        <v>4</v>
      </c>
      <c r="BG198" s="394">
        <v>5</v>
      </c>
      <c r="BH198" s="394"/>
      <c r="BI198" s="394"/>
      <c r="BJ198" s="394"/>
      <c r="BK198" s="394"/>
      <c r="BL198" s="444"/>
      <c r="BM198" s="392"/>
      <c r="BN198" s="393"/>
      <c r="BO198" s="393"/>
      <c r="BP198" s="399"/>
      <c r="BQ198" s="400"/>
      <c r="BR198" s="401"/>
      <c r="BS198" s="399">
        <v>0</v>
      </c>
      <c r="BT198" s="394"/>
      <c r="BU198" s="417"/>
      <c r="BV198" s="399"/>
      <c r="BW198" s="393"/>
      <c r="BX198" s="392"/>
      <c r="BY198" s="393"/>
      <c r="BZ198" s="393"/>
      <c r="CA198" s="441"/>
      <c r="CB198" s="400"/>
      <c r="CC198" s="398"/>
      <c r="CD198" s="398"/>
      <c r="CE198" s="398"/>
      <c r="CF198" s="398"/>
      <c r="CG198" s="398"/>
      <c r="CH198" s="398"/>
      <c r="CI198" s="398"/>
      <c r="CJ198" s="398"/>
      <c r="CK198" s="398"/>
      <c r="CL198" s="398"/>
      <c r="CM198" s="398"/>
      <c r="CN198" s="398"/>
      <c r="CO198" s="398"/>
      <c r="CP198" s="398"/>
      <c r="CQ198" s="398"/>
      <c r="CR198" s="398"/>
      <c r="CS198" s="398"/>
      <c r="CT198" s="398"/>
      <c r="CU198" s="398"/>
      <c r="CV198" s="398"/>
      <c r="CW198" s="398"/>
      <c r="CX198" s="398"/>
      <c r="CY198" s="398"/>
      <c r="CZ198" s="398"/>
      <c r="DA198" s="398"/>
      <c r="DB198" s="398"/>
      <c r="DC198" s="398"/>
      <c r="DD198" s="398"/>
      <c r="DE198" s="393"/>
      <c r="DF198" s="393"/>
      <c r="DG198" s="393"/>
      <c r="DH198" s="393"/>
      <c r="DI198" s="393"/>
      <c r="DJ198" s="393"/>
      <c r="DK198" s="896" t="s">
        <v>9697</v>
      </c>
    </row>
    <row r="199" spans="1:115" ht="25.5" x14ac:dyDescent="0.2">
      <c r="A199" s="295">
        <v>195</v>
      </c>
      <c r="B199" s="390" t="s">
        <v>2601</v>
      </c>
      <c r="C199" s="390"/>
      <c r="D199" s="391" t="s">
        <v>275</v>
      </c>
      <c r="E199" s="704" t="s">
        <v>276</v>
      </c>
      <c r="F199" s="393" t="s">
        <v>1352</v>
      </c>
      <c r="G199" s="393" t="s">
        <v>1671</v>
      </c>
      <c r="H199" s="393" t="s">
        <v>117</v>
      </c>
      <c r="I199" s="392"/>
      <c r="J199" s="392"/>
      <c r="K199" s="392" t="s">
        <v>2128</v>
      </c>
      <c r="L199" s="392" t="s">
        <v>270</v>
      </c>
      <c r="M199" s="392"/>
      <c r="N199" s="393" t="s">
        <v>44</v>
      </c>
      <c r="O199" s="393" t="s">
        <v>271</v>
      </c>
      <c r="P199" s="393" t="s">
        <v>271</v>
      </c>
      <c r="Q199" s="392" t="s">
        <v>272</v>
      </c>
      <c r="R199" s="392" t="s">
        <v>3914</v>
      </c>
      <c r="S199" s="392" t="s">
        <v>273</v>
      </c>
      <c r="T199" s="394">
        <v>1</v>
      </c>
      <c r="U199" s="395">
        <v>4.0789999999999997</v>
      </c>
      <c r="V199" s="395"/>
      <c r="W199" s="453"/>
      <c r="X199" s="394"/>
      <c r="Y199" s="394">
        <v>10</v>
      </c>
      <c r="Z199" s="394">
        <v>20</v>
      </c>
      <c r="AA199" s="395">
        <v>-0.2</v>
      </c>
      <c r="AB199" s="452">
        <v>40544</v>
      </c>
      <c r="AC199" s="398">
        <v>8.1579999999999995</v>
      </c>
      <c r="AD199" s="398">
        <v>40.79</v>
      </c>
      <c r="AE199" s="393" t="s">
        <v>47</v>
      </c>
      <c r="AF199" s="417">
        <f>1.018+4.321</f>
        <v>5.3389999999999995</v>
      </c>
      <c r="AG199" s="417">
        <f>3.974</f>
        <v>3.9740000000000002</v>
      </c>
      <c r="AH199" s="417">
        <v>9.3129999999999988</v>
      </c>
      <c r="AI199" s="394">
        <v>2</v>
      </c>
      <c r="AJ199" s="452">
        <v>41289</v>
      </c>
      <c r="AK199" s="452">
        <v>41639</v>
      </c>
      <c r="AL199" s="393"/>
      <c r="AM199" s="393"/>
      <c r="AN199" s="417"/>
      <c r="AO199" s="392"/>
      <c r="AP199" s="392" t="s">
        <v>7046</v>
      </c>
      <c r="AQ199" s="392"/>
      <c r="AR199" s="392" t="s">
        <v>274</v>
      </c>
      <c r="AS199" s="479">
        <v>40141</v>
      </c>
      <c r="AT199" s="453"/>
      <c r="AU199" s="453"/>
      <c r="AV199" s="453"/>
      <c r="AW199" s="453"/>
      <c r="AX199" s="453"/>
      <c r="AY199" s="453"/>
      <c r="AZ199" s="452">
        <v>40586</v>
      </c>
      <c r="BA199" s="393"/>
      <c r="BB199" s="393"/>
      <c r="BC199" s="393" t="b">
        <v>0</v>
      </c>
      <c r="BD199" s="393"/>
      <c r="BE199" s="392"/>
      <c r="BF199" s="394">
        <v>4</v>
      </c>
      <c r="BG199" s="394">
        <v>5</v>
      </c>
      <c r="BH199" s="394">
        <v>10</v>
      </c>
      <c r="BI199" s="394"/>
      <c r="BJ199" s="394"/>
      <c r="BK199" s="394"/>
      <c r="BL199" s="444" t="s">
        <v>6981</v>
      </c>
      <c r="BM199" s="392"/>
      <c r="BN199" s="393"/>
      <c r="BO199" s="393"/>
      <c r="BP199" s="399"/>
      <c r="BQ199" s="400"/>
      <c r="BR199" s="401"/>
      <c r="BS199" s="399"/>
      <c r="BT199" s="394"/>
      <c r="BU199" s="417">
        <v>0.92674999999999996</v>
      </c>
      <c r="BV199" s="399">
        <v>1.9E-2</v>
      </c>
      <c r="BW199" s="393" t="s">
        <v>3117</v>
      </c>
      <c r="BX199" s="392" t="s">
        <v>3149</v>
      </c>
      <c r="BY199" s="393"/>
      <c r="BZ199" s="393"/>
      <c r="CA199" s="441"/>
      <c r="CB199" s="400"/>
      <c r="CC199" s="398"/>
      <c r="CD199" s="398"/>
      <c r="CE199" s="398"/>
      <c r="CF199" s="398"/>
      <c r="CG199" s="398">
        <v>4.7220000000000004</v>
      </c>
      <c r="CH199" s="398">
        <v>4.7220000000000004</v>
      </c>
      <c r="CI199" s="398">
        <v>4.7220000000000004</v>
      </c>
      <c r="CJ199" s="398">
        <v>4.7220000000000004</v>
      </c>
      <c r="CK199" s="398">
        <v>4.4349999999999996</v>
      </c>
      <c r="CL199" s="398">
        <v>4.0049999999999999</v>
      </c>
      <c r="CM199" s="398">
        <v>3.6989999999999998</v>
      </c>
      <c r="CN199" s="398">
        <v>3.4689999999999999</v>
      </c>
      <c r="CO199" s="398">
        <v>3.246</v>
      </c>
      <c r="CP199" s="398">
        <v>3.05</v>
      </c>
      <c r="CQ199" s="398"/>
      <c r="CR199" s="398"/>
      <c r="CS199" s="398"/>
      <c r="CT199" s="398"/>
      <c r="CU199" s="398"/>
      <c r="CV199" s="398"/>
      <c r="CW199" s="398"/>
      <c r="CX199" s="398"/>
      <c r="CY199" s="398"/>
      <c r="CZ199" s="398"/>
      <c r="DA199" s="398"/>
      <c r="DB199" s="398"/>
      <c r="DC199" s="398"/>
      <c r="DD199" s="398"/>
      <c r="DE199" s="393"/>
      <c r="DF199" s="393"/>
      <c r="DG199" s="393"/>
      <c r="DH199" s="393"/>
      <c r="DI199" s="393"/>
      <c r="DJ199" s="393"/>
      <c r="DK199" s="897"/>
    </row>
    <row r="200" spans="1:115" ht="25.5" x14ac:dyDescent="0.2">
      <c r="A200" s="295">
        <v>196</v>
      </c>
      <c r="B200" s="390" t="s">
        <v>2602</v>
      </c>
      <c r="C200" s="390"/>
      <c r="D200" s="391" t="s">
        <v>1927</v>
      </c>
      <c r="E200" s="704" t="s">
        <v>1928</v>
      </c>
      <c r="F200" s="393" t="s">
        <v>1352</v>
      </c>
      <c r="G200" s="393" t="s">
        <v>1671</v>
      </c>
      <c r="H200" s="393" t="s">
        <v>117</v>
      </c>
      <c r="I200" s="392"/>
      <c r="J200" s="392"/>
      <c r="K200" s="392" t="s">
        <v>159</v>
      </c>
      <c r="L200" s="392" t="s">
        <v>270</v>
      </c>
      <c r="M200" s="392"/>
      <c r="N200" s="393" t="s">
        <v>44</v>
      </c>
      <c r="O200" s="393" t="s">
        <v>271</v>
      </c>
      <c r="P200" s="393" t="s">
        <v>271</v>
      </c>
      <c r="Q200" s="392" t="s">
        <v>272</v>
      </c>
      <c r="R200" s="392" t="s">
        <v>3915</v>
      </c>
      <c r="S200" s="392" t="s">
        <v>273</v>
      </c>
      <c r="T200" s="394">
        <v>1</v>
      </c>
      <c r="U200" s="395">
        <v>29.739000000000001</v>
      </c>
      <c r="V200" s="395"/>
      <c r="W200" s="453"/>
      <c r="X200" s="394"/>
      <c r="Y200" s="394">
        <v>10</v>
      </c>
      <c r="Z200" s="394">
        <v>20</v>
      </c>
      <c r="AA200" s="395">
        <v>-2</v>
      </c>
      <c r="AB200" s="452">
        <v>41061</v>
      </c>
      <c r="AC200" s="398">
        <v>7.915</v>
      </c>
      <c r="AD200" s="398">
        <v>297.39</v>
      </c>
      <c r="AE200" s="393" t="s">
        <v>47</v>
      </c>
      <c r="AF200" s="417">
        <f>4.974</f>
        <v>4.9740000000000002</v>
      </c>
      <c r="AG200" s="417">
        <f>15.423</f>
        <v>15.423</v>
      </c>
      <c r="AH200" s="417">
        <v>20.396999999999998</v>
      </c>
      <c r="AI200" s="394">
        <v>1</v>
      </c>
      <c r="AJ200" s="452">
        <v>41941</v>
      </c>
      <c r="AK200" s="452">
        <v>41639</v>
      </c>
      <c r="AL200" s="393"/>
      <c r="AM200" s="393"/>
      <c r="AN200" s="417"/>
      <c r="AO200" s="392"/>
      <c r="AP200" s="392"/>
      <c r="AQ200" s="392"/>
      <c r="AR200" s="392" t="s">
        <v>274</v>
      </c>
      <c r="AS200" s="480"/>
      <c r="AT200" s="453"/>
      <c r="AU200" s="453"/>
      <c r="AV200" s="453"/>
      <c r="AW200" s="453"/>
      <c r="AX200" s="453"/>
      <c r="AY200" s="453"/>
      <c r="AZ200" s="452">
        <v>41057</v>
      </c>
      <c r="BA200" s="393"/>
      <c r="BB200" s="393"/>
      <c r="BC200" s="393" t="b">
        <v>0</v>
      </c>
      <c r="BD200" s="393"/>
      <c r="BE200" s="392"/>
      <c r="BF200" s="394">
        <v>10</v>
      </c>
      <c r="BG200" s="394">
        <v>5</v>
      </c>
      <c r="BH200" s="394">
        <v>4</v>
      </c>
      <c r="BI200" s="394"/>
      <c r="BJ200" s="394"/>
      <c r="BK200" s="394"/>
      <c r="BL200" s="444" t="s">
        <v>6981</v>
      </c>
      <c r="BM200" s="392"/>
      <c r="BN200" s="393"/>
      <c r="BO200" s="393"/>
      <c r="BP200" s="399"/>
      <c r="BQ200" s="400"/>
      <c r="BR200" s="401"/>
      <c r="BS200" s="399"/>
      <c r="BT200" s="394"/>
      <c r="BU200" s="417"/>
      <c r="BV200" s="399">
        <v>1.9E-2</v>
      </c>
      <c r="BW200" s="393" t="s">
        <v>3117</v>
      </c>
      <c r="BX200" s="392" t="s">
        <v>3149</v>
      </c>
      <c r="BY200" s="393"/>
      <c r="BZ200" s="393"/>
      <c r="CA200" s="441"/>
      <c r="CB200" s="400"/>
      <c r="CC200" s="398"/>
      <c r="CD200" s="398"/>
      <c r="CE200" s="398"/>
      <c r="CF200" s="398"/>
      <c r="CG200" s="398"/>
      <c r="CH200" s="398">
        <v>7.915</v>
      </c>
      <c r="CI200" s="398">
        <v>38.122</v>
      </c>
      <c r="CJ200" s="398">
        <v>38.122</v>
      </c>
      <c r="CK200" s="398">
        <v>36.212000000000003</v>
      </c>
      <c r="CL200" s="398">
        <v>32.774000000000001</v>
      </c>
      <c r="CM200" s="398">
        <v>30.082999999999998</v>
      </c>
      <c r="CN200" s="398">
        <v>28.527000000000001</v>
      </c>
      <c r="CO200" s="398">
        <v>26.893999999999998</v>
      </c>
      <c r="CP200" s="398">
        <v>25.437999999999999</v>
      </c>
      <c r="CQ200" s="398">
        <v>23.937000000000001</v>
      </c>
      <c r="CR200" s="398">
        <v>9.3740000000000006</v>
      </c>
      <c r="CS200" s="398"/>
      <c r="CT200" s="398"/>
      <c r="CU200" s="398"/>
      <c r="CV200" s="398"/>
      <c r="CW200" s="398"/>
      <c r="CX200" s="398"/>
      <c r="CY200" s="398"/>
      <c r="CZ200" s="398"/>
      <c r="DA200" s="398"/>
      <c r="DB200" s="398"/>
      <c r="DC200" s="398"/>
      <c r="DD200" s="398"/>
      <c r="DE200" s="393"/>
      <c r="DF200" s="393"/>
      <c r="DG200" s="393"/>
      <c r="DH200" s="393"/>
      <c r="DI200" s="393"/>
      <c r="DJ200" s="393"/>
      <c r="DK200" s="897"/>
    </row>
    <row r="201" spans="1:115" ht="25.5" x14ac:dyDescent="0.2">
      <c r="A201" s="295">
        <v>197</v>
      </c>
      <c r="B201" s="390" t="s">
        <v>2603</v>
      </c>
      <c r="C201" s="390"/>
      <c r="D201" s="391" t="s">
        <v>1929</v>
      </c>
      <c r="E201" s="704" t="s">
        <v>1930</v>
      </c>
      <c r="F201" s="393" t="s">
        <v>1352</v>
      </c>
      <c r="G201" s="393" t="s">
        <v>1671</v>
      </c>
      <c r="H201" s="393" t="s">
        <v>117</v>
      </c>
      <c r="I201" s="392"/>
      <c r="J201" s="392"/>
      <c r="K201" s="392" t="s">
        <v>159</v>
      </c>
      <c r="L201" s="392" t="s">
        <v>270</v>
      </c>
      <c r="M201" s="392"/>
      <c r="N201" s="393" t="s">
        <v>44</v>
      </c>
      <c r="O201" s="393" t="s">
        <v>271</v>
      </c>
      <c r="P201" s="393" t="s">
        <v>271</v>
      </c>
      <c r="Q201" s="392" t="s">
        <v>272</v>
      </c>
      <c r="R201" s="392" t="s">
        <v>3916</v>
      </c>
      <c r="S201" s="392" t="s">
        <v>273</v>
      </c>
      <c r="T201" s="394">
        <v>1</v>
      </c>
      <c r="U201" s="395">
        <v>30.64</v>
      </c>
      <c r="V201" s="395"/>
      <c r="W201" s="453"/>
      <c r="X201" s="394"/>
      <c r="Y201" s="394">
        <v>10</v>
      </c>
      <c r="Z201" s="394">
        <v>20</v>
      </c>
      <c r="AA201" s="395">
        <v>-3.1419999999999999</v>
      </c>
      <c r="AB201" s="452">
        <v>41061</v>
      </c>
      <c r="AC201" s="398">
        <v>24.54</v>
      </c>
      <c r="AD201" s="398">
        <v>306.39999999999998</v>
      </c>
      <c r="AE201" s="393" t="s">
        <v>47</v>
      </c>
      <c r="AF201" s="417">
        <v>9.0449999999999999</v>
      </c>
      <c r="AG201" s="417">
        <f>26.548</f>
        <v>26.547999999999998</v>
      </c>
      <c r="AH201" s="417">
        <v>35.592999999999996</v>
      </c>
      <c r="AI201" s="394">
        <v>1</v>
      </c>
      <c r="AJ201" s="452">
        <v>41941</v>
      </c>
      <c r="AK201" s="452">
        <v>41639</v>
      </c>
      <c r="AL201" s="393"/>
      <c r="AM201" s="393"/>
      <c r="AN201" s="417"/>
      <c r="AO201" s="392"/>
      <c r="AP201" s="392"/>
      <c r="AQ201" s="392"/>
      <c r="AR201" s="392" t="s">
        <v>274</v>
      </c>
      <c r="AS201" s="480"/>
      <c r="AT201" s="453"/>
      <c r="AU201" s="453"/>
      <c r="AV201" s="453"/>
      <c r="AW201" s="453"/>
      <c r="AX201" s="453"/>
      <c r="AY201" s="453"/>
      <c r="AZ201" s="452">
        <v>41057</v>
      </c>
      <c r="BA201" s="393"/>
      <c r="BB201" s="393"/>
      <c r="BC201" s="393" t="b">
        <v>0</v>
      </c>
      <c r="BD201" s="393"/>
      <c r="BE201" s="392"/>
      <c r="BF201" s="394">
        <v>10</v>
      </c>
      <c r="BG201" s="394">
        <v>5</v>
      </c>
      <c r="BH201" s="394">
        <v>4</v>
      </c>
      <c r="BI201" s="394"/>
      <c r="BJ201" s="394"/>
      <c r="BK201" s="394"/>
      <c r="BL201" s="444" t="s">
        <v>6981</v>
      </c>
      <c r="BM201" s="392"/>
      <c r="BN201" s="393"/>
      <c r="BO201" s="393"/>
      <c r="BP201" s="399"/>
      <c r="BQ201" s="400"/>
      <c r="BR201" s="401"/>
      <c r="BS201" s="399"/>
      <c r="BT201" s="394"/>
      <c r="BU201" s="417"/>
      <c r="BV201" s="399">
        <v>1.9E-2</v>
      </c>
      <c r="BW201" s="393" t="s">
        <v>3117</v>
      </c>
      <c r="BX201" s="392" t="s">
        <v>3149</v>
      </c>
      <c r="BY201" s="393"/>
      <c r="BZ201" s="393"/>
      <c r="CA201" s="441"/>
      <c r="CB201" s="400"/>
      <c r="CC201" s="398"/>
      <c r="CD201" s="398"/>
      <c r="CE201" s="398"/>
      <c r="CF201" s="398"/>
      <c r="CG201" s="398"/>
      <c r="CH201" s="398">
        <v>24.54</v>
      </c>
      <c r="CI201" s="398">
        <v>41.862000000000002</v>
      </c>
      <c r="CJ201" s="398">
        <v>41.862000000000002</v>
      </c>
      <c r="CK201" s="398">
        <v>39.491999999999997</v>
      </c>
      <c r="CL201" s="398">
        <v>33.979999999999997</v>
      </c>
      <c r="CM201" s="398">
        <v>28.158000000000001</v>
      </c>
      <c r="CN201" s="398">
        <v>24.501999999999999</v>
      </c>
      <c r="CO201" s="398">
        <v>24.501999999999999</v>
      </c>
      <c r="CP201" s="398">
        <v>22.114999999999998</v>
      </c>
      <c r="CQ201" s="398">
        <v>21.152999999999999</v>
      </c>
      <c r="CR201" s="398">
        <v>8.2620000000000005</v>
      </c>
      <c r="CS201" s="398"/>
      <c r="CT201" s="398"/>
      <c r="CU201" s="398"/>
      <c r="CV201" s="398"/>
      <c r="CW201" s="398"/>
      <c r="CX201" s="398"/>
      <c r="CY201" s="398"/>
      <c r="CZ201" s="398"/>
      <c r="DA201" s="398"/>
      <c r="DB201" s="398"/>
      <c r="DC201" s="398"/>
      <c r="DD201" s="398"/>
      <c r="DE201" s="393"/>
      <c r="DF201" s="393"/>
      <c r="DG201" s="393"/>
      <c r="DH201" s="393"/>
      <c r="DI201" s="393"/>
      <c r="DJ201" s="393"/>
      <c r="DK201" s="897"/>
    </row>
    <row r="202" spans="1:115" ht="25.5" x14ac:dyDescent="0.2">
      <c r="A202" s="295">
        <v>198</v>
      </c>
      <c r="B202" s="390" t="s">
        <v>2604</v>
      </c>
      <c r="C202" s="390"/>
      <c r="D202" s="391" t="s">
        <v>1931</v>
      </c>
      <c r="E202" s="704" t="s">
        <v>1932</v>
      </c>
      <c r="F202" s="393" t="s">
        <v>1352</v>
      </c>
      <c r="G202" s="393" t="s">
        <v>1671</v>
      </c>
      <c r="H202" s="393" t="s">
        <v>117</v>
      </c>
      <c r="I202" s="392"/>
      <c r="J202" s="392"/>
      <c r="K202" s="392" t="s">
        <v>159</v>
      </c>
      <c r="L202" s="392" t="s">
        <v>270</v>
      </c>
      <c r="M202" s="392"/>
      <c r="N202" s="393" t="s">
        <v>44</v>
      </c>
      <c r="O202" s="393" t="s">
        <v>271</v>
      </c>
      <c r="P202" s="393" t="s">
        <v>271</v>
      </c>
      <c r="Q202" s="392" t="s">
        <v>272</v>
      </c>
      <c r="R202" s="392" t="s">
        <v>3917</v>
      </c>
      <c r="S202" s="392" t="s">
        <v>273</v>
      </c>
      <c r="T202" s="394">
        <v>1</v>
      </c>
      <c r="U202" s="395">
        <v>34.94</v>
      </c>
      <c r="V202" s="395"/>
      <c r="W202" s="453"/>
      <c r="X202" s="394"/>
      <c r="Y202" s="394">
        <v>10</v>
      </c>
      <c r="Z202" s="394">
        <v>20</v>
      </c>
      <c r="AA202" s="395">
        <v>-1.2849999999999999</v>
      </c>
      <c r="AB202" s="452">
        <v>41061</v>
      </c>
      <c r="AC202" s="398">
        <v>22.085999999999999</v>
      </c>
      <c r="AD202" s="398">
        <v>349.4</v>
      </c>
      <c r="AE202" s="393" t="s">
        <v>47</v>
      </c>
      <c r="AF202" s="417">
        <v>2.9729999999999999</v>
      </c>
      <c r="AG202" s="417">
        <f>7.636</f>
        <v>7.6360000000000001</v>
      </c>
      <c r="AH202" s="417">
        <v>10.609</v>
      </c>
      <c r="AI202" s="394">
        <v>1</v>
      </c>
      <c r="AJ202" s="452">
        <v>41941</v>
      </c>
      <c r="AK202" s="452">
        <v>41639</v>
      </c>
      <c r="AL202" s="393"/>
      <c r="AM202" s="393"/>
      <c r="AN202" s="417"/>
      <c r="AO202" s="392"/>
      <c r="AP202" s="392"/>
      <c r="AQ202" s="392"/>
      <c r="AR202" s="392" t="s">
        <v>274</v>
      </c>
      <c r="AS202" s="480"/>
      <c r="AT202" s="453"/>
      <c r="AU202" s="453"/>
      <c r="AV202" s="453"/>
      <c r="AW202" s="453"/>
      <c r="AX202" s="453"/>
      <c r="AY202" s="453"/>
      <c r="AZ202" s="452">
        <v>41057</v>
      </c>
      <c r="BA202" s="393"/>
      <c r="BB202" s="393"/>
      <c r="BC202" s="393" t="b">
        <v>0</v>
      </c>
      <c r="BD202" s="393"/>
      <c r="BE202" s="392"/>
      <c r="BF202" s="394">
        <v>10</v>
      </c>
      <c r="BG202" s="394">
        <v>5</v>
      </c>
      <c r="BH202" s="394"/>
      <c r="BI202" s="394"/>
      <c r="BJ202" s="394"/>
      <c r="BK202" s="394"/>
      <c r="BL202" s="444" t="s">
        <v>6981</v>
      </c>
      <c r="BM202" s="392"/>
      <c r="BN202" s="393"/>
      <c r="BO202" s="393"/>
      <c r="BP202" s="399"/>
      <c r="BQ202" s="400"/>
      <c r="BR202" s="401"/>
      <c r="BS202" s="399"/>
      <c r="BT202" s="394"/>
      <c r="BU202" s="417"/>
      <c r="BV202" s="399">
        <v>1.9E-2</v>
      </c>
      <c r="BW202" s="393" t="s">
        <v>3117</v>
      </c>
      <c r="BX202" s="392" t="s">
        <v>3149</v>
      </c>
      <c r="BY202" s="393"/>
      <c r="BZ202" s="393"/>
      <c r="CA202" s="441"/>
      <c r="CB202" s="400"/>
      <c r="CC202" s="398"/>
      <c r="CD202" s="398"/>
      <c r="CE202" s="398"/>
      <c r="CF202" s="398"/>
      <c r="CG202" s="398"/>
      <c r="CH202" s="398">
        <v>22.085999999999999</v>
      </c>
      <c r="CI202" s="398">
        <v>37.670999999999999</v>
      </c>
      <c r="CJ202" s="398">
        <v>37.670999999999999</v>
      </c>
      <c r="CK202" s="398">
        <v>37.338000000000001</v>
      </c>
      <c r="CL202" s="398">
        <v>36.633000000000003</v>
      </c>
      <c r="CM202" s="398">
        <v>36.048999999999999</v>
      </c>
      <c r="CN202" s="398">
        <v>35.656999999999996</v>
      </c>
      <c r="CO202" s="398">
        <v>34.323</v>
      </c>
      <c r="CP202" s="398">
        <v>31.847000000000001</v>
      </c>
      <c r="CQ202" s="398">
        <v>29.065000000000001</v>
      </c>
      <c r="CR202" s="398">
        <v>11.066000000000001</v>
      </c>
      <c r="CS202" s="398"/>
      <c r="CT202" s="398"/>
      <c r="CU202" s="398"/>
      <c r="CV202" s="398"/>
      <c r="CW202" s="398"/>
      <c r="CX202" s="398"/>
      <c r="CY202" s="398"/>
      <c r="CZ202" s="398"/>
      <c r="DA202" s="398"/>
      <c r="DB202" s="398"/>
      <c r="DC202" s="398"/>
      <c r="DD202" s="398"/>
      <c r="DE202" s="393"/>
      <c r="DF202" s="393"/>
      <c r="DG202" s="393"/>
      <c r="DH202" s="393"/>
      <c r="DI202" s="393"/>
      <c r="DJ202" s="393"/>
      <c r="DK202" s="897"/>
    </row>
    <row r="203" spans="1:115" ht="51" x14ac:dyDescent="0.2">
      <c r="A203" s="295">
        <v>199</v>
      </c>
      <c r="B203" s="390" t="s">
        <v>100</v>
      </c>
      <c r="C203" s="424" t="s">
        <v>7439</v>
      </c>
      <c r="D203" s="391"/>
      <c r="E203" s="707" t="s">
        <v>1933</v>
      </c>
      <c r="F203" s="404" t="s">
        <v>1352</v>
      </c>
      <c r="G203" s="404" t="s">
        <v>1673</v>
      </c>
      <c r="H203" s="404" t="s">
        <v>42</v>
      </c>
      <c r="I203" s="403"/>
      <c r="J203" s="403" t="s">
        <v>42</v>
      </c>
      <c r="K203" s="403"/>
      <c r="L203" s="403" t="s">
        <v>43</v>
      </c>
      <c r="M203" s="403" t="s">
        <v>3918</v>
      </c>
      <c r="N203" s="404" t="s">
        <v>3142</v>
      </c>
      <c r="O203" s="404" t="s">
        <v>93</v>
      </c>
      <c r="P203" s="404" t="s">
        <v>93</v>
      </c>
      <c r="Q203" s="403" t="s">
        <v>101</v>
      </c>
      <c r="R203" s="403"/>
      <c r="S203" s="403" t="s">
        <v>102</v>
      </c>
      <c r="T203" s="405">
        <v>1</v>
      </c>
      <c r="U203" s="406">
        <v>0.76400000000000001</v>
      </c>
      <c r="V203" s="406"/>
      <c r="W203" s="456">
        <v>39434</v>
      </c>
      <c r="X203" s="405">
        <v>28</v>
      </c>
      <c r="Y203" s="405"/>
      <c r="Z203" s="405"/>
      <c r="AA203" s="406"/>
      <c r="AB203" s="455"/>
      <c r="AC203" s="407">
        <v>2.2919999999999998</v>
      </c>
      <c r="AD203" s="407">
        <v>7.6400000000000006</v>
      </c>
      <c r="AE203" s="404" t="s">
        <v>103</v>
      </c>
      <c r="AF203" s="418"/>
      <c r="AG203" s="418"/>
      <c r="AH203" s="418">
        <v>0</v>
      </c>
      <c r="AI203" s="405"/>
      <c r="AJ203" s="455"/>
      <c r="AK203" s="455"/>
      <c r="AL203" s="404"/>
      <c r="AM203" s="404"/>
      <c r="AN203" s="418"/>
      <c r="AO203" s="403"/>
      <c r="AP203" s="403" t="s">
        <v>55</v>
      </c>
      <c r="AQ203" s="403"/>
      <c r="AR203" s="403" t="s">
        <v>43</v>
      </c>
      <c r="AS203" s="482">
        <v>40158</v>
      </c>
      <c r="AT203" s="455"/>
      <c r="AU203" s="455"/>
      <c r="AV203" s="455"/>
      <c r="AW203" s="455"/>
      <c r="AX203" s="455"/>
      <c r="AY203" s="455"/>
      <c r="AZ203" s="455"/>
      <c r="BA203" s="404"/>
      <c r="BB203" s="404" t="s">
        <v>3116</v>
      </c>
      <c r="BC203" s="404" t="b">
        <v>0</v>
      </c>
      <c r="BD203" s="404" t="s">
        <v>3147</v>
      </c>
      <c r="BE203" s="403"/>
      <c r="BF203" s="405">
        <v>7</v>
      </c>
      <c r="BG203" s="405">
        <v>9</v>
      </c>
      <c r="BH203" s="405">
        <v>5</v>
      </c>
      <c r="BI203" s="405">
        <v>4</v>
      </c>
      <c r="BJ203" s="405">
        <v>1</v>
      </c>
      <c r="BK203" s="405">
        <v>8</v>
      </c>
      <c r="BL203" s="446"/>
      <c r="BM203" s="403"/>
      <c r="BN203" s="404"/>
      <c r="BO203" s="404"/>
      <c r="BP203" s="408"/>
      <c r="BQ203" s="409"/>
      <c r="BR203" s="410"/>
      <c r="BS203" s="408">
        <v>0</v>
      </c>
      <c r="BT203" s="405"/>
      <c r="BU203" s="418"/>
      <c r="BV203" s="408"/>
      <c r="BW203" s="404"/>
      <c r="BX203" s="403"/>
      <c r="BY203" s="404"/>
      <c r="BZ203" s="404"/>
      <c r="CA203" s="443"/>
      <c r="CB203" s="409"/>
      <c r="CC203" s="407"/>
      <c r="CD203" s="407"/>
      <c r="CE203" s="407"/>
      <c r="CF203" s="407"/>
      <c r="CG203" s="407"/>
      <c r="CH203" s="407"/>
      <c r="CI203" s="407"/>
      <c r="CJ203" s="407"/>
      <c r="CK203" s="407"/>
      <c r="CL203" s="407"/>
      <c r="CM203" s="407"/>
      <c r="CN203" s="407"/>
      <c r="CO203" s="407"/>
      <c r="CP203" s="407"/>
      <c r="CQ203" s="407"/>
      <c r="CR203" s="407"/>
      <c r="CS203" s="407"/>
      <c r="CT203" s="407"/>
      <c r="CU203" s="407"/>
      <c r="CV203" s="407"/>
      <c r="CW203" s="407"/>
      <c r="CX203" s="407"/>
      <c r="CY203" s="407"/>
      <c r="CZ203" s="407"/>
      <c r="DA203" s="407"/>
      <c r="DB203" s="407"/>
      <c r="DC203" s="407"/>
      <c r="DD203" s="407"/>
      <c r="DE203" s="404"/>
      <c r="DF203" s="404"/>
      <c r="DG203" s="404"/>
      <c r="DH203" s="404"/>
      <c r="DI203" s="404"/>
      <c r="DJ203" s="404"/>
      <c r="DK203" s="897"/>
    </row>
    <row r="204" spans="1:115" ht="38.25" x14ac:dyDescent="0.2">
      <c r="A204" s="295">
        <v>200</v>
      </c>
      <c r="B204" s="390" t="s">
        <v>2605</v>
      </c>
      <c r="C204" s="390"/>
      <c r="D204" s="391"/>
      <c r="E204" s="707" t="s">
        <v>104</v>
      </c>
      <c r="F204" s="404" t="s">
        <v>1352</v>
      </c>
      <c r="G204" s="404" t="s">
        <v>1673</v>
      </c>
      <c r="H204" s="404" t="s">
        <v>42</v>
      </c>
      <c r="I204" s="403"/>
      <c r="J204" s="403"/>
      <c r="K204" s="403" t="s">
        <v>85</v>
      </c>
      <c r="L204" s="403" t="s">
        <v>43</v>
      </c>
      <c r="M204" s="403"/>
      <c r="N204" s="404" t="s">
        <v>3142</v>
      </c>
      <c r="O204" s="404" t="s">
        <v>93</v>
      </c>
      <c r="P204" s="404" t="s">
        <v>93</v>
      </c>
      <c r="Q204" s="403" t="s">
        <v>101</v>
      </c>
      <c r="R204" s="403" t="s">
        <v>3919</v>
      </c>
      <c r="S204" s="403" t="s">
        <v>102</v>
      </c>
      <c r="T204" s="405">
        <v>1</v>
      </c>
      <c r="U204" s="406">
        <v>0.76400000000000001</v>
      </c>
      <c r="V204" s="406"/>
      <c r="W204" s="455"/>
      <c r="X204" s="405"/>
      <c r="Y204" s="405">
        <v>10</v>
      </c>
      <c r="Z204" s="405">
        <v>15</v>
      </c>
      <c r="AA204" s="406">
        <v>0</v>
      </c>
      <c r="AB204" s="456">
        <v>40179</v>
      </c>
      <c r="AC204" s="407">
        <v>2.2919999999999998</v>
      </c>
      <c r="AD204" s="407">
        <v>7.6400000000000006</v>
      </c>
      <c r="AE204" s="404" t="s">
        <v>103</v>
      </c>
      <c r="AF204" s="418"/>
      <c r="AG204" s="418"/>
      <c r="AH204" s="418"/>
      <c r="AI204" s="405"/>
      <c r="AJ204" s="455"/>
      <c r="AK204" s="455"/>
      <c r="AL204" s="404"/>
      <c r="AM204" s="404"/>
      <c r="AN204" s="418"/>
      <c r="AO204" s="403"/>
      <c r="AP204" s="403" t="s">
        <v>55</v>
      </c>
      <c r="AQ204" s="403"/>
      <c r="AR204" s="403" t="s">
        <v>43</v>
      </c>
      <c r="AS204" s="482">
        <v>40158</v>
      </c>
      <c r="AT204" s="455"/>
      <c r="AU204" s="455"/>
      <c r="AV204" s="455"/>
      <c r="AW204" s="455"/>
      <c r="AX204" s="455"/>
      <c r="AY204" s="455"/>
      <c r="AZ204" s="455"/>
      <c r="BA204" s="404"/>
      <c r="BB204" s="404"/>
      <c r="BC204" s="404" t="b">
        <v>0</v>
      </c>
      <c r="BD204" s="404"/>
      <c r="BE204" s="403"/>
      <c r="BF204" s="405">
        <v>7</v>
      </c>
      <c r="BG204" s="405">
        <v>9</v>
      </c>
      <c r="BH204" s="405">
        <v>5</v>
      </c>
      <c r="BI204" s="405">
        <v>4</v>
      </c>
      <c r="BJ204" s="405">
        <v>1</v>
      </c>
      <c r="BK204" s="405">
        <v>8</v>
      </c>
      <c r="BL204" s="446" t="s">
        <v>6981</v>
      </c>
      <c r="BM204" s="403"/>
      <c r="BN204" s="404"/>
      <c r="BO204" s="404"/>
      <c r="BP204" s="408"/>
      <c r="BQ204" s="409"/>
      <c r="BR204" s="410"/>
      <c r="BS204" s="408"/>
      <c r="BT204" s="405"/>
      <c r="BU204" s="418">
        <v>0.8</v>
      </c>
      <c r="BV204" s="408"/>
      <c r="BW204" s="404" t="s">
        <v>3117</v>
      </c>
      <c r="BX204" s="403" t="s">
        <v>3185</v>
      </c>
      <c r="BY204" s="404"/>
      <c r="BZ204" s="404"/>
      <c r="CA204" s="443"/>
      <c r="CB204" s="409"/>
      <c r="CC204" s="407"/>
      <c r="CD204" s="407"/>
      <c r="CE204" s="407"/>
      <c r="CF204" s="407">
        <v>0.76400000000000001</v>
      </c>
      <c r="CG204" s="407">
        <v>0.76400000000000001</v>
      </c>
      <c r="CH204" s="407">
        <v>0.76400000000000001</v>
      </c>
      <c r="CI204" s="407">
        <v>0.76400000000000001</v>
      </c>
      <c r="CJ204" s="407">
        <v>0.76400000000000001</v>
      </c>
      <c r="CK204" s="407">
        <v>0.76400000000000001</v>
      </c>
      <c r="CL204" s="407">
        <v>0.76400000000000001</v>
      </c>
      <c r="CM204" s="407">
        <v>0.76400000000000001</v>
      </c>
      <c r="CN204" s="407">
        <v>0.76400000000000001</v>
      </c>
      <c r="CO204" s="407">
        <v>0.76400000000000001</v>
      </c>
      <c r="CP204" s="407"/>
      <c r="CQ204" s="407"/>
      <c r="CR204" s="407"/>
      <c r="CS204" s="407"/>
      <c r="CT204" s="407"/>
      <c r="CU204" s="407"/>
      <c r="CV204" s="407"/>
      <c r="CW204" s="407"/>
      <c r="CX204" s="407"/>
      <c r="CY204" s="407"/>
      <c r="CZ204" s="407"/>
      <c r="DA204" s="407"/>
      <c r="DB204" s="407"/>
      <c r="DC204" s="407"/>
      <c r="DD204" s="407"/>
      <c r="DE204" s="404"/>
      <c r="DF204" s="404"/>
      <c r="DG204" s="404"/>
      <c r="DH204" s="404"/>
      <c r="DI204" s="404"/>
      <c r="DJ204" s="404"/>
      <c r="DK204" s="897"/>
    </row>
    <row r="205" spans="1:115" ht="38.25" x14ac:dyDescent="0.2">
      <c r="A205" s="295">
        <v>201</v>
      </c>
      <c r="B205" s="390" t="s">
        <v>282</v>
      </c>
      <c r="C205" s="424" t="s">
        <v>7440</v>
      </c>
      <c r="D205" s="391" t="s">
        <v>5571</v>
      </c>
      <c r="E205" s="704" t="s">
        <v>283</v>
      </c>
      <c r="F205" s="393" t="s">
        <v>1393</v>
      </c>
      <c r="G205" s="393" t="s">
        <v>1678</v>
      </c>
      <c r="H205" s="393" t="s">
        <v>284</v>
      </c>
      <c r="I205" s="392"/>
      <c r="J205" s="392" t="s">
        <v>284</v>
      </c>
      <c r="K205" s="392"/>
      <c r="L205" s="392" t="s">
        <v>3817</v>
      </c>
      <c r="M205" s="392" t="s">
        <v>3920</v>
      </c>
      <c r="N205" s="393" t="s">
        <v>44</v>
      </c>
      <c r="O205" s="393" t="s">
        <v>271</v>
      </c>
      <c r="P205" s="393" t="s">
        <v>271</v>
      </c>
      <c r="Q205" s="392" t="s">
        <v>272</v>
      </c>
      <c r="R205" s="392"/>
      <c r="S205" s="392" t="s">
        <v>273</v>
      </c>
      <c r="T205" s="394">
        <v>1</v>
      </c>
      <c r="U205" s="395">
        <v>6.71</v>
      </c>
      <c r="V205" s="395"/>
      <c r="W205" s="452">
        <v>40179</v>
      </c>
      <c r="X205" s="394">
        <v>28</v>
      </c>
      <c r="Y205" s="394"/>
      <c r="Z205" s="394"/>
      <c r="AA205" s="395"/>
      <c r="AB205" s="453"/>
      <c r="AC205" s="398">
        <v>21.433499999999999</v>
      </c>
      <c r="AD205" s="398">
        <v>67.099999999999994</v>
      </c>
      <c r="AE205" s="393" t="s">
        <v>72</v>
      </c>
      <c r="AF205" s="417"/>
      <c r="AG205" s="417"/>
      <c r="AH205" s="417">
        <v>0</v>
      </c>
      <c r="AI205" s="394"/>
      <c r="AJ205" s="453"/>
      <c r="AK205" s="453"/>
      <c r="AL205" s="393"/>
      <c r="AM205" s="393"/>
      <c r="AN205" s="417"/>
      <c r="AO205" s="392"/>
      <c r="AP205" s="392" t="s">
        <v>7037</v>
      </c>
      <c r="AQ205" s="392"/>
      <c r="AR205" s="392" t="s">
        <v>3818</v>
      </c>
      <c r="AS205" s="479">
        <v>40164</v>
      </c>
      <c r="AT205" s="453"/>
      <c r="AU205" s="453"/>
      <c r="AV205" s="453"/>
      <c r="AW205" s="452">
        <v>41305</v>
      </c>
      <c r="AX205" s="452">
        <v>41543</v>
      </c>
      <c r="AY205" s="452">
        <v>41305</v>
      </c>
      <c r="AZ205" s="453"/>
      <c r="BA205" s="393"/>
      <c r="BB205" s="393" t="s">
        <v>3116</v>
      </c>
      <c r="BC205" s="393" t="b">
        <v>1</v>
      </c>
      <c r="BD205" s="393" t="s">
        <v>3147</v>
      </c>
      <c r="BE205" s="392"/>
      <c r="BF205" s="394">
        <v>1</v>
      </c>
      <c r="BG205" s="394">
        <v>10</v>
      </c>
      <c r="BH205" s="394">
        <v>4</v>
      </c>
      <c r="BI205" s="394">
        <v>9</v>
      </c>
      <c r="BJ205" s="394"/>
      <c r="BK205" s="394"/>
      <c r="BL205" s="444"/>
      <c r="BM205" s="392"/>
      <c r="BN205" s="393"/>
      <c r="BO205" s="393"/>
      <c r="BP205" s="399"/>
      <c r="BQ205" s="400"/>
      <c r="BR205" s="401"/>
      <c r="BS205" s="399">
        <v>0</v>
      </c>
      <c r="BT205" s="394"/>
      <c r="BU205" s="417"/>
      <c r="BV205" s="399"/>
      <c r="BW205" s="393"/>
      <c r="BX205" s="392"/>
      <c r="BY205" s="475" t="s">
        <v>8234</v>
      </c>
      <c r="BZ205" s="393"/>
      <c r="CA205" s="441"/>
      <c r="CB205" s="400"/>
      <c r="CC205" s="398"/>
      <c r="CD205" s="398"/>
      <c r="CE205" s="398"/>
      <c r="CF205" s="398"/>
      <c r="CG205" s="398"/>
      <c r="CH205" s="398"/>
      <c r="CI205" s="398"/>
      <c r="CJ205" s="398"/>
      <c r="CK205" s="398"/>
      <c r="CL205" s="398"/>
      <c r="CM205" s="398"/>
      <c r="CN205" s="398"/>
      <c r="CO205" s="398"/>
      <c r="CP205" s="398"/>
      <c r="CQ205" s="398"/>
      <c r="CR205" s="398"/>
      <c r="CS205" s="398"/>
      <c r="CT205" s="398"/>
      <c r="CU205" s="398"/>
      <c r="CV205" s="398"/>
      <c r="CW205" s="398"/>
      <c r="CX205" s="398"/>
      <c r="CY205" s="398"/>
      <c r="CZ205" s="398"/>
      <c r="DA205" s="398"/>
      <c r="DB205" s="398"/>
      <c r="DC205" s="398"/>
      <c r="DD205" s="398"/>
      <c r="DE205" s="393"/>
      <c r="DF205" s="393"/>
      <c r="DG205" s="393"/>
      <c r="DH205" s="393"/>
      <c r="DI205" s="393"/>
      <c r="DJ205" s="393"/>
      <c r="DK205" s="896" t="s">
        <v>9700</v>
      </c>
    </row>
    <row r="206" spans="1:115" ht="25.5" x14ac:dyDescent="0.2">
      <c r="A206" s="295">
        <v>202</v>
      </c>
      <c r="B206" s="390" t="s">
        <v>2606</v>
      </c>
      <c r="C206" s="390"/>
      <c r="D206" s="391" t="s">
        <v>5572</v>
      </c>
      <c r="E206" s="704" t="s">
        <v>285</v>
      </c>
      <c r="F206" s="393" t="s">
        <v>1393</v>
      </c>
      <c r="G206" s="393" t="s">
        <v>1678</v>
      </c>
      <c r="H206" s="393" t="s">
        <v>284</v>
      </c>
      <c r="I206" s="392"/>
      <c r="J206" s="392"/>
      <c r="K206" s="392" t="s">
        <v>2129</v>
      </c>
      <c r="L206" s="392" t="s">
        <v>3817</v>
      </c>
      <c r="M206" s="392"/>
      <c r="N206" s="393" t="s">
        <v>44</v>
      </c>
      <c r="O206" s="393" t="s">
        <v>271</v>
      </c>
      <c r="P206" s="393" t="s">
        <v>271</v>
      </c>
      <c r="Q206" s="392" t="s">
        <v>272</v>
      </c>
      <c r="R206" s="392" t="s">
        <v>3921</v>
      </c>
      <c r="S206" s="392" t="s">
        <v>273</v>
      </c>
      <c r="T206" s="394">
        <v>1</v>
      </c>
      <c r="U206" s="395">
        <v>6.71</v>
      </c>
      <c r="V206" s="395"/>
      <c r="W206" s="453"/>
      <c r="X206" s="394"/>
      <c r="Y206" s="394">
        <v>10</v>
      </c>
      <c r="Z206" s="394">
        <v>25</v>
      </c>
      <c r="AA206" s="395">
        <v>0</v>
      </c>
      <c r="AB206" s="452">
        <v>40269</v>
      </c>
      <c r="AC206" s="398">
        <v>21.433499999999999</v>
      </c>
      <c r="AD206" s="398">
        <v>67.099999999999994</v>
      </c>
      <c r="AE206" s="393" t="s">
        <v>72</v>
      </c>
      <c r="AF206" s="417"/>
      <c r="AG206" s="417"/>
      <c r="AH206" s="417"/>
      <c r="AI206" s="394"/>
      <c r="AJ206" s="453"/>
      <c r="AK206" s="453"/>
      <c r="AL206" s="393"/>
      <c r="AM206" s="393"/>
      <c r="AN206" s="417"/>
      <c r="AO206" s="392"/>
      <c r="AP206" s="392" t="s">
        <v>7037</v>
      </c>
      <c r="AQ206" s="392"/>
      <c r="AR206" s="392" t="s">
        <v>3818</v>
      </c>
      <c r="AS206" s="479">
        <v>40164</v>
      </c>
      <c r="AT206" s="453"/>
      <c r="AU206" s="453"/>
      <c r="AV206" s="453"/>
      <c r="AW206" s="453"/>
      <c r="AX206" s="453"/>
      <c r="AY206" s="453"/>
      <c r="AZ206" s="452">
        <v>41305</v>
      </c>
      <c r="BA206" s="393"/>
      <c r="BB206" s="393"/>
      <c r="BC206" s="393" t="b">
        <v>0</v>
      </c>
      <c r="BD206" s="393"/>
      <c r="BE206" s="392"/>
      <c r="BF206" s="394">
        <v>1</v>
      </c>
      <c r="BG206" s="394">
        <v>10</v>
      </c>
      <c r="BH206" s="394">
        <v>4</v>
      </c>
      <c r="BI206" s="394">
        <v>9</v>
      </c>
      <c r="BJ206" s="394"/>
      <c r="BK206" s="394"/>
      <c r="BL206" s="444" t="s">
        <v>6981</v>
      </c>
      <c r="BM206" s="392"/>
      <c r="BN206" s="393"/>
      <c r="BO206" s="393"/>
      <c r="BP206" s="399"/>
      <c r="BQ206" s="400"/>
      <c r="BR206" s="401"/>
      <c r="BS206" s="399"/>
      <c r="BT206" s="394"/>
      <c r="BU206" s="417">
        <v>0.90869999999999995</v>
      </c>
      <c r="BV206" s="399"/>
      <c r="BW206" s="393" t="s">
        <v>3117</v>
      </c>
      <c r="BX206" s="392" t="s">
        <v>3831</v>
      </c>
      <c r="BY206" s="475" t="s">
        <v>8234</v>
      </c>
      <c r="BZ206" s="393"/>
      <c r="CA206" s="441"/>
      <c r="CB206" s="400"/>
      <c r="CC206" s="398"/>
      <c r="CD206" s="398"/>
      <c r="CE206" s="398"/>
      <c r="CF206" s="398">
        <v>5.8460000000000001</v>
      </c>
      <c r="CG206" s="398">
        <v>7.7939999999999996</v>
      </c>
      <c r="CH206" s="398">
        <v>7.7939999999999996</v>
      </c>
      <c r="CI206" s="398">
        <v>7.7939999999999996</v>
      </c>
      <c r="CJ206" s="398">
        <v>7.7939999999999996</v>
      </c>
      <c r="CK206" s="398">
        <v>7.7939999999999996</v>
      </c>
      <c r="CL206" s="398">
        <v>7.7939999999999996</v>
      </c>
      <c r="CM206" s="398">
        <v>7.7939999999999996</v>
      </c>
      <c r="CN206" s="398">
        <v>7.7939999999999996</v>
      </c>
      <c r="CO206" s="398">
        <v>7.7939999999999996</v>
      </c>
      <c r="CP206" s="398">
        <v>1.9490000000000001</v>
      </c>
      <c r="CQ206" s="398"/>
      <c r="CR206" s="398"/>
      <c r="CS206" s="398"/>
      <c r="CT206" s="398"/>
      <c r="CU206" s="398"/>
      <c r="CV206" s="398"/>
      <c r="CW206" s="398"/>
      <c r="CX206" s="398"/>
      <c r="CY206" s="398"/>
      <c r="CZ206" s="398"/>
      <c r="DA206" s="398"/>
      <c r="DB206" s="398"/>
      <c r="DC206" s="398"/>
      <c r="DD206" s="398"/>
      <c r="DE206" s="393"/>
      <c r="DF206" s="393"/>
      <c r="DG206" s="393"/>
      <c r="DH206" s="393"/>
      <c r="DI206" s="393"/>
      <c r="DJ206" s="393"/>
      <c r="DK206" s="897"/>
    </row>
    <row r="207" spans="1:115" ht="63.75" x14ac:dyDescent="0.2">
      <c r="A207" s="295">
        <v>203</v>
      </c>
      <c r="B207" s="390" t="s">
        <v>644</v>
      </c>
      <c r="C207" s="424" t="s">
        <v>7441</v>
      </c>
      <c r="D207" s="391" t="s">
        <v>5020</v>
      </c>
      <c r="E207" s="704" t="s">
        <v>1934</v>
      </c>
      <c r="F207" s="393" t="s">
        <v>1352</v>
      </c>
      <c r="G207" s="393" t="s">
        <v>1672</v>
      </c>
      <c r="H207" s="393" t="s">
        <v>301</v>
      </c>
      <c r="I207" s="392"/>
      <c r="J207" s="392" t="s">
        <v>301</v>
      </c>
      <c r="K207" s="392"/>
      <c r="L207" s="392" t="s">
        <v>645</v>
      </c>
      <c r="M207" s="392" t="s">
        <v>3922</v>
      </c>
      <c r="N207" s="393" t="s">
        <v>44</v>
      </c>
      <c r="O207" s="393" t="s">
        <v>69</v>
      </c>
      <c r="P207" s="393" t="s">
        <v>69</v>
      </c>
      <c r="Q207" s="392" t="s">
        <v>572</v>
      </c>
      <c r="R207" s="392"/>
      <c r="S207" s="392" t="s">
        <v>573</v>
      </c>
      <c r="T207" s="394">
        <v>3</v>
      </c>
      <c r="U207" s="395">
        <v>119.797</v>
      </c>
      <c r="V207" s="395"/>
      <c r="W207" s="452">
        <v>39217</v>
      </c>
      <c r="X207" s="394">
        <v>28</v>
      </c>
      <c r="Y207" s="394"/>
      <c r="Z207" s="394"/>
      <c r="AA207" s="395"/>
      <c r="AB207" s="453"/>
      <c r="AC207" s="398">
        <v>0</v>
      </c>
      <c r="AD207" s="398">
        <v>1197.97</v>
      </c>
      <c r="AE207" s="393" t="s">
        <v>54</v>
      </c>
      <c r="AF207" s="417"/>
      <c r="AG207" s="417">
        <f>+SUM(AG208:AG210)</f>
        <v>13.858000000000001</v>
      </c>
      <c r="AH207" s="417">
        <v>13.858000000000001</v>
      </c>
      <c r="AI207" s="394">
        <v>1</v>
      </c>
      <c r="AJ207" s="453">
        <v>42923</v>
      </c>
      <c r="AK207" s="453">
        <v>42004</v>
      </c>
      <c r="AL207" s="393"/>
      <c r="AM207" s="393"/>
      <c r="AN207" s="417"/>
      <c r="AO207" s="428" t="s">
        <v>103</v>
      </c>
      <c r="AP207" s="392" t="s">
        <v>7047</v>
      </c>
      <c r="AQ207" s="392"/>
      <c r="AR207" s="392" t="s">
        <v>274</v>
      </c>
      <c r="AS207" s="479">
        <v>40169</v>
      </c>
      <c r="AT207" s="453"/>
      <c r="AU207" s="453"/>
      <c r="AV207" s="452">
        <v>40724</v>
      </c>
      <c r="AW207" s="452">
        <v>41219</v>
      </c>
      <c r="AX207" s="452">
        <v>41272</v>
      </c>
      <c r="AY207" s="452">
        <v>41163</v>
      </c>
      <c r="AZ207" s="453"/>
      <c r="BA207" s="393"/>
      <c r="BB207" s="393" t="s">
        <v>3116</v>
      </c>
      <c r="BC207" s="393" t="b">
        <v>0</v>
      </c>
      <c r="BD207" s="393" t="s">
        <v>3147</v>
      </c>
      <c r="BE207" s="392"/>
      <c r="BF207" s="394">
        <v>1</v>
      </c>
      <c r="BG207" s="394">
        <v>5</v>
      </c>
      <c r="BH207" s="394">
        <v>10</v>
      </c>
      <c r="BI207" s="394">
        <v>6</v>
      </c>
      <c r="BJ207" s="394">
        <v>11</v>
      </c>
      <c r="BK207" s="394"/>
      <c r="BL207" s="444"/>
      <c r="BM207" s="392"/>
      <c r="BN207" s="393"/>
      <c r="BO207" s="393"/>
      <c r="BP207" s="399"/>
      <c r="BQ207" s="400"/>
      <c r="BR207" s="401"/>
      <c r="BS207" s="399">
        <v>1.1000000000000001</v>
      </c>
      <c r="BT207" s="394"/>
      <c r="BU207" s="417"/>
      <c r="BV207" s="399"/>
      <c r="BW207" s="393"/>
      <c r="BX207" s="392"/>
      <c r="BY207" s="393"/>
      <c r="BZ207" s="393"/>
      <c r="CA207" s="441"/>
      <c r="CB207" s="400"/>
      <c r="CC207" s="398"/>
      <c r="CD207" s="398"/>
      <c r="CE207" s="398"/>
      <c r="CF207" s="398"/>
      <c r="CG207" s="398"/>
      <c r="CH207" s="398"/>
      <c r="CI207" s="398"/>
      <c r="CJ207" s="398"/>
      <c r="CK207" s="398"/>
      <c r="CL207" s="398"/>
      <c r="CM207" s="398"/>
      <c r="CN207" s="398"/>
      <c r="CO207" s="398"/>
      <c r="CP207" s="398"/>
      <c r="CQ207" s="398"/>
      <c r="CR207" s="398"/>
      <c r="CS207" s="398"/>
      <c r="CT207" s="398"/>
      <c r="CU207" s="398"/>
      <c r="CV207" s="398"/>
      <c r="CW207" s="398"/>
      <c r="CX207" s="398"/>
      <c r="CY207" s="398"/>
      <c r="CZ207" s="398"/>
      <c r="DA207" s="398"/>
      <c r="DB207" s="398"/>
      <c r="DC207" s="398"/>
      <c r="DD207" s="398"/>
      <c r="DE207" s="393"/>
      <c r="DF207" s="393"/>
      <c r="DG207" s="393"/>
      <c r="DH207" s="393"/>
      <c r="DI207" s="393"/>
      <c r="DJ207" s="393"/>
      <c r="DK207" s="896" t="s">
        <v>9740</v>
      </c>
    </row>
    <row r="208" spans="1:115" ht="38.25" x14ac:dyDescent="0.2">
      <c r="A208" s="295">
        <v>204</v>
      </c>
      <c r="B208" s="390" t="s">
        <v>2607</v>
      </c>
      <c r="C208" s="390"/>
      <c r="D208" s="391" t="s">
        <v>4359</v>
      </c>
      <c r="E208" s="704" t="s">
        <v>646</v>
      </c>
      <c r="F208" s="393" t="s">
        <v>1352</v>
      </c>
      <c r="G208" s="393" t="s">
        <v>1672</v>
      </c>
      <c r="H208" s="393" t="s">
        <v>301</v>
      </c>
      <c r="I208" s="392"/>
      <c r="J208" s="392"/>
      <c r="K208" s="392" t="s">
        <v>2130</v>
      </c>
      <c r="L208" s="392" t="s">
        <v>645</v>
      </c>
      <c r="M208" s="392"/>
      <c r="N208" s="393" t="s">
        <v>44</v>
      </c>
      <c r="O208" s="393" t="s">
        <v>69</v>
      </c>
      <c r="P208" s="393" t="s">
        <v>69</v>
      </c>
      <c r="Q208" s="392" t="s">
        <v>572</v>
      </c>
      <c r="R208" s="392" t="s">
        <v>3923</v>
      </c>
      <c r="S208" s="392" t="s">
        <v>573</v>
      </c>
      <c r="T208" s="394">
        <v>1</v>
      </c>
      <c r="U208" s="395">
        <v>55.771000000000001</v>
      </c>
      <c r="V208" s="395"/>
      <c r="W208" s="453"/>
      <c r="X208" s="394"/>
      <c r="Y208" s="394">
        <v>10</v>
      </c>
      <c r="Z208" s="394">
        <v>15</v>
      </c>
      <c r="AA208" s="395">
        <v>0</v>
      </c>
      <c r="AB208" s="452">
        <v>41248</v>
      </c>
      <c r="AC208" s="398"/>
      <c r="AD208" s="398">
        <v>557.71</v>
      </c>
      <c r="AE208" s="393" t="s">
        <v>54</v>
      </c>
      <c r="AF208" s="417"/>
      <c r="AG208" s="417">
        <v>13.858000000000001</v>
      </c>
      <c r="AH208" s="417">
        <v>13.858000000000001</v>
      </c>
      <c r="AI208" s="394">
        <v>1</v>
      </c>
      <c r="AJ208" s="453">
        <v>42923</v>
      </c>
      <c r="AK208" s="453">
        <v>42004</v>
      </c>
      <c r="AL208" s="393"/>
      <c r="AM208" s="393"/>
      <c r="AN208" s="417"/>
      <c r="AO208" s="428" t="s">
        <v>103</v>
      </c>
      <c r="AP208" s="392" t="s">
        <v>7047</v>
      </c>
      <c r="AQ208" s="392"/>
      <c r="AR208" s="392" t="s">
        <v>274</v>
      </c>
      <c r="AS208" s="479">
        <v>40169</v>
      </c>
      <c r="AT208" s="453"/>
      <c r="AU208" s="453"/>
      <c r="AV208" s="453"/>
      <c r="AW208" s="453"/>
      <c r="AX208" s="453"/>
      <c r="AY208" s="453"/>
      <c r="AZ208" s="452">
        <v>41163</v>
      </c>
      <c r="BA208" s="393"/>
      <c r="BB208" s="393"/>
      <c r="BC208" s="393" t="b">
        <v>0</v>
      </c>
      <c r="BD208" s="393"/>
      <c r="BE208" s="392"/>
      <c r="BF208" s="394">
        <v>1</v>
      </c>
      <c r="BG208" s="394">
        <v>5</v>
      </c>
      <c r="BH208" s="394">
        <v>10</v>
      </c>
      <c r="BI208" s="394">
        <v>6</v>
      </c>
      <c r="BJ208" s="394">
        <v>11</v>
      </c>
      <c r="BK208" s="394"/>
      <c r="BL208" s="444" t="s">
        <v>6981</v>
      </c>
      <c r="BM208" s="392"/>
      <c r="BN208" s="393"/>
      <c r="BO208" s="393"/>
      <c r="BP208" s="399"/>
      <c r="BQ208" s="400"/>
      <c r="BR208" s="401"/>
      <c r="BS208" s="399"/>
      <c r="BT208" s="394"/>
      <c r="BU208" s="417">
        <v>0.55000000000000004</v>
      </c>
      <c r="BV208" s="399"/>
      <c r="BW208" s="393" t="s">
        <v>3117</v>
      </c>
      <c r="BX208" s="392" t="s">
        <v>3154</v>
      </c>
      <c r="BY208" s="393"/>
      <c r="BZ208" s="393"/>
      <c r="CA208" s="441"/>
      <c r="CB208" s="400"/>
      <c r="CC208" s="398"/>
      <c r="CD208" s="398"/>
      <c r="CE208" s="398"/>
      <c r="CF208" s="398"/>
      <c r="CG208" s="398"/>
      <c r="CH208" s="398">
        <v>55.774000000000001</v>
      </c>
      <c r="CI208" s="398">
        <v>55.774000000000001</v>
      </c>
      <c r="CJ208" s="398">
        <v>55.771000000000001</v>
      </c>
      <c r="CK208" s="398">
        <v>55.771000000000001</v>
      </c>
      <c r="CL208" s="398">
        <v>55.771000000000001</v>
      </c>
      <c r="CM208" s="398">
        <v>55.771000000000001</v>
      </c>
      <c r="CN208" s="398">
        <v>55.771000000000001</v>
      </c>
      <c r="CO208" s="398">
        <v>55.771000000000001</v>
      </c>
      <c r="CP208" s="398">
        <v>55.771000000000001</v>
      </c>
      <c r="CQ208" s="398">
        <v>51.798000000000002</v>
      </c>
      <c r="CR208" s="398"/>
      <c r="CS208" s="398"/>
      <c r="CT208" s="398"/>
      <c r="CU208" s="398"/>
      <c r="CV208" s="398"/>
      <c r="CW208" s="398"/>
      <c r="CX208" s="398"/>
      <c r="CY208" s="398"/>
      <c r="CZ208" s="398"/>
      <c r="DA208" s="398"/>
      <c r="DB208" s="398"/>
      <c r="DC208" s="398"/>
      <c r="DD208" s="398"/>
      <c r="DE208" s="393"/>
      <c r="DF208" s="393"/>
      <c r="DG208" s="393"/>
      <c r="DH208" s="393"/>
      <c r="DI208" s="393"/>
      <c r="DJ208" s="393"/>
      <c r="DK208" s="897"/>
    </row>
    <row r="209" spans="1:115" ht="38.25" x14ac:dyDescent="0.2">
      <c r="A209" s="295">
        <v>205</v>
      </c>
      <c r="B209" s="390" t="s">
        <v>6605</v>
      </c>
      <c r="C209" s="390"/>
      <c r="D209" s="391" t="s">
        <v>6606</v>
      </c>
      <c r="E209" s="704" t="s">
        <v>6607</v>
      </c>
      <c r="F209" s="393" t="s">
        <v>1352</v>
      </c>
      <c r="G209" s="393" t="s">
        <v>1672</v>
      </c>
      <c r="H209" s="393" t="s">
        <v>301</v>
      </c>
      <c r="I209" s="392"/>
      <c r="J209" s="392"/>
      <c r="K209" s="392"/>
      <c r="L209" s="392" t="s">
        <v>645</v>
      </c>
      <c r="M209" s="392"/>
      <c r="N209" s="393" t="s">
        <v>44</v>
      </c>
      <c r="O209" s="393" t="s">
        <v>69</v>
      </c>
      <c r="P209" s="393" t="s">
        <v>69</v>
      </c>
      <c r="Q209" s="392" t="s">
        <v>572</v>
      </c>
      <c r="R209" s="392" t="s">
        <v>3923</v>
      </c>
      <c r="S209" s="392" t="s">
        <v>573</v>
      </c>
      <c r="T209" s="394">
        <v>1</v>
      </c>
      <c r="U209" s="395">
        <v>24.800999999999998</v>
      </c>
      <c r="V209" s="395"/>
      <c r="W209" s="453"/>
      <c r="X209" s="394"/>
      <c r="Y209" s="394">
        <v>10</v>
      </c>
      <c r="Z209" s="394">
        <v>15</v>
      </c>
      <c r="AA209" s="395">
        <v>0</v>
      </c>
      <c r="AB209" s="452">
        <v>41974</v>
      </c>
      <c r="AC209" s="398"/>
      <c r="AD209" s="398">
        <v>248.01</v>
      </c>
      <c r="AE209" s="393" t="s">
        <v>54</v>
      </c>
      <c r="AF209" s="417"/>
      <c r="AG209" s="417"/>
      <c r="AH209" s="417"/>
      <c r="AI209" s="394"/>
      <c r="AJ209" s="453"/>
      <c r="AK209" s="453"/>
      <c r="AL209" s="393"/>
      <c r="AM209" s="393"/>
      <c r="AN209" s="417"/>
      <c r="AO209" s="392"/>
      <c r="AP209" s="392"/>
      <c r="AQ209" s="392"/>
      <c r="AR209" s="392" t="s">
        <v>274</v>
      </c>
      <c r="AS209" s="479">
        <v>40169</v>
      </c>
      <c r="AT209" s="453"/>
      <c r="AU209" s="453"/>
      <c r="AV209" s="453"/>
      <c r="AW209" s="453"/>
      <c r="AX209" s="453"/>
      <c r="AY209" s="453"/>
      <c r="AZ209" s="452">
        <v>41971</v>
      </c>
      <c r="BA209" s="393"/>
      <c r="BB209" s="393"/>
      <c r="BC209" s="393" t="b">
        <v>0</v>
      </c>
      <c r="BD209" s="393"/>
      <c r="BE209" s="392"/>
      <c r="BF209" s="394">
        <v>1</v>
      </c>
      <c r="BG209" s="394">
        <v>5</v>
      </c>
      <c r="BH209" s="394">
        <v>10</v>
      </c>
      <c r="BI209" s="394">
        <v>6</v>
      </c>
      <c r="BJ209" s="394">
        <v>11</v>
      </c>
      <c r="BK209" s="394"/>
      <c r="BL209" s="444" t="s">
        <v>6981</v>
      </c>
      <c r="BM209" s="392"/>
      <c r="BN209" s="393"/>
      <c r="BO209" s="393"/>
      <c r="BP209" s="399"/>
      <c r="BQ209" s="400"/>
      <c r="BR209" s="401"/>
      <c r="BS209" s="399">
        <v>0.5</v>
      </c>
      <c r="BT209" s="394">
        <v>2</v>
      </c>
      <c r="BU209" s="417">
        <v>0.56610000000000005</v>
      </c>
      <c r="BV209" s="399"/>
      <c r="BW209" s="393" t="s">
        <v>3117</v>
      </c>
      <c r="BX209" s="392" t="s">
        <v>3154</v>
      </c>
      <c r="BY209" s="393"/>
      <c r="BZ209" s="393"/>
      <c r="CA209" s="441"/>
      <c r="CB209" s="400"/>
      <c r="CC209" s="398"/>
      <c r="CD209" s="398"/>
      <c r="CE209" s="398"/>
      <c r="CF209" s="398"/>
      <c r="CG209" s="398"/>
      <c r="CH209" s="398"/>
      <c r="CI209" s="398"/>
      <c r="CJ209" s="398">
        <v>2.0659999999999998</v>
      </c>
      <c r="CK209" s="398">
        <v>24.800999999999998</v>
      </c>
      <c r="CL209" s="398">
        <v>24.800999999999998</v>
      </c>
      <c r="CM209" s="398">
        <v>24.800999999999998</v>
      </c>
      <c r="CN209" s="398">
        <v>24.800999999999998</v>
      </c>
      <c r="CO209" s="398">
        <v>24.800999999999998</v>
      </c>
      <c r="CP209" s="398">
        <v>24.800999999999998</v>
      </c>
      <c r="CQ209" s="398">
        <v>24.800999999999998</v>
      </c>
      <c r="CR209" s="398">
        <v>24.800999999999998</v>
      </c>
      <c r="CS209" s="398">
        <v>24.800999999999998</v>
      </c>
      <c r="CT209" s="398"/>
      <c r="CU209" s="398"/>
      <c r="CV209" s="398"/>
      <c r="CW209" s="398"/>
      <c r="CX209" s="398"/>
      <c r="CY209" s="398"/>
      <c r="CZ209" s="398"/>
      <c r="DA209" s="398"/>
      <c r="DB209" s="398"/>
      <c r="DC209" s="398"/>
      <c r="DD209" s="398"/>
      <c r="DE209" s="393"/>
      <c r="DF209" s="393"/>
      <c r="DG209" s="393"/>
      <c r="DH209" s="393"/>
      <c r="DI209" s="393"/>
      <c r="DJ209" s="393"/>
      <c r="DK209" s="897"/>
    </row>
    <row r="210" spans="1:115" ht="38.25" x14ac:dyDescent="0.2">
      <c r="A210" s="295">
        <v>206</v>
      </c>
      <c r="B210" s="390" t="s">
        <v>6608</v>
      </c>
      <c r="C210" s="390"/>
      <c r="D210" s="391" t="s">
        <v>6609</v>
      </c>
      <c r="E210" s="704" t="s">
        <v>6610</v>
      </c>
      <c r="F210" s="393" t="s">
        <v>1352</v>
      </c>
      <c r="G210" s="393" t="s">
        <v>1672</v>
      </c>
      <c r="H210" s="393" t="s">
        <v>301</v>
      </c>
      <c r="I210" s="392"/>
      <c r="J210" s="392"/>
      <c r="K210" s="392"/>
      <c r="L210" s="392" t="s">
        <v>645</v>
      </c>
      <c r="M210" s="392"/>
      <c r="N210" s="393" t="s">
        <v>44</v>
      </c>
      <c r="O210" s="393" t="s">
        <v>69</v>
      </c>
      <c r="P210" s="393" t="s">
        <v>69</v>
      </c>
      <c r="Q210" s="392" t="s">
        <v>572</v>
      </c>
      <c r="R210" s="392" t="s">
        <v>3923</v>
      </c>
      <c r="S210" s="392" t="s">
        <v>573</v>
      </c>
      <c r="T210" s="394">
        <v>1</v>
      </c>
      <c r="U210" s="395">
        <v>39.225000000000001</v>
      </c>
      <c r="V210" s="395"/>
      <c r="W210" s="453"/>
      <c r="X210" s="394"/>
      <c r="Y210" s="394">
        <v>10</v>
      </c>
      <c r="Z210" s="394">
        <v>15</v>
      </c>
      <c r="AA210" s="395">
        <v>0</v>
      </c>
      <c r="AB210" s="452">
        <v>41974</v>
      </c>
      <c r="AC210" s="398"/>
      <c r="AD210" s="398">
        <v>392.25</v>
      </c>
      <c r="AE210" s="393" t="s">
        <v>54</v>
      </c>
      <c r="AF210" s="417"/>
      <c r="AG210" s="417"/>
      <c r="AH210" s="417"/>
      <c r="AI210" s="394"/>
      <c r="AJ210" s="453"/>
      <c r="AK210" s="453"/>
      <c r="AL210" s="393"/>
      <c r="AM210" s="393"/>
      <c r="AN210" s="417"/>
      <c r="AO210" s="392"/>
      <c r="AP210" s="392"/>
      <c r="AQ210" s="392"/>
      <c r="AR210" s="392" t="s">
        <v>274</v>
      </c>
      <c r="AS210" s="479">
        <v>40169</v>
      </c>
      <c r="AT210" s="453"/>
      <c r="AU210" s="453"/>
      <c r="AV210" s="453"/>
      <c r="AW210" s="453"/>
      <c r="AX210" s="453"/>
      <c r="AY210" s="453"/>
      <c r="AZ210" s="452">
        <v>41971</v>
      </c>
      <c r="BA210" s="393"/>
      <c r="BB210" s="393"/>
      <c r="BC210" s="393" t="b">
        <v>0</v>
      </c>
      <c r="BD210" s="393"/>
      <c r="BE210" s="392"/>
      <c r="BF210" s="394">
        <v>1</v>
      </c>
      <c r="BG210" s="394">
        <v>5</v>
      </c>
      <c r="BH210" s="394">
        <v>10</v>
      </c>
      <c r="BI210" s="394">
        <v>6</v>
      </c>
      <c r="BJ210" s="394">
        <v>11</v>
      </c>
      <c r="BK210" s="394"/>
      <c r="BL210" s="444" t="s">
        <v>6981</v>
      </c>
      <c r="BM210" s="392"/>
      <c r="BN210" s="393"/>
      <c r="BO210" s="393"/>
      <c r="BP210" s="399"/>
      <c r="BQ210" s="400"/>
      <c r="BR210" s="401"/>
      <c r="BS210" s="399">
        <v>0.6</v>
      </c>
      <c r="BT210" s="394">
        <v>4</v>
      </c>
      <c r="BU210" s="417">
        <v>0.56610000000000005</v>
      </c>
      <c r="BV210" s="399"/>
      <c r="BW210" s="393" t="s">
        <v>3117</v>
      </c>
      <c r="BX210" s="392" t="s">
        <v>3154</v>
      </c>
      <c r="BY210" s="393"/>
      <c r="BZ210" s="393"/>
      <c r="CA210" s="441"/>
      <c r="CB210" s="400"/>
      <c r="CC210" s="398"/>
      <c r="CD210" s="398"/>
      <c r="CE210" s="398"/>
      <c r="CF210" s="398"/>
      <c r="CG210" s="398"/>
      <c r="CH210" s="398"/>
      <c r="CI210" s="398"/>
      <c r="CJ210" s="398">
        <v>3.2679999999999998</v>
      </c>
      <c r="CK210" s="398">
        <v>39.225000000000001</v>
      </c>
      <c r="CL210" s="398">
        <v>39.225000000000001</v>
      </c>
      <c r="CM210" s="398">
        <v>39.225000000000001</v>
      </c>
      <c r="CN210" s="398">
        <v>39.225000000000001</v>
      </c>
      <c r="CO210" s="398">
        <v>39.225000000000001</v>
      </c>
      <c r="CP210" s="398">
        <v>39.225000000000001</v>
      </c>
      <c r="CQ210" s="398">
        <v>39.225000000000001</v>
      </c>
      <c r="CR210" s="398">
        <v>39.225000000000001</v>
      </c>
      <c r="CS210" s="398">
        <v>39.225000000000001</v>
      </c>
      <c r="CT210" s="398"/>
      <c r="CU210" s="398"/>
      <c r="CV210" s="398"/>
      <c r="CW210" s="398"/>
      <c r="CX210" s="398"/>
      <c r="CY210" s="398"/>
      <c r="CZ210" s="398"/>
      <c r="DA210" s="398"/>
      <c r="DB210" s="398"/>
      <c r="DC210" s="398"/>
      <c r="DD210" s="398"/>
      <c r="DE210" s="393"/>
      <c r="DF210" s="393"/>
      <c r="DG210" s="393"/>
      <c r="DH210" s="393"/>
      <c r="DI210" s="393"/>
      <c r="DJ210" s="393"/>
      <c r="DK210" s="897"/>
    </row>
    <row r="211" spans="1:115" ht="76.5" x14ac:dyDescent="0.2">
      <c r="A211" s="295">
        <v>207</v>
      </c>
      <c r="B211" s="390" t="s">
        <v>700</v>
      </c>
      <c r="C211" s="424" t="s">
        <v>7442</v>
      </c>
      <c r="D211" s="391" t="s">
        <v>5021</v>
      </c>
      <c r="E211" s="704" t="s">
        <v>1935</v>
      </c>
      <c r="F211" s="393" t="s">
        <v>1352</v>
      </c>
      <c r="G211" s="393" t="s">
        <v>1672</v>
      </c>
      <c r="H211" s="393" t="s">
        <v>78</v>
      </c>
      <c r="I211" s="392"/>
      <c r="J211" s="392" t="s">
        <v>78</v>
      </c>
      <c r="K211" s="392"/>
      <c r="L211" s="392" t="s">
        <v>701</v>
      </c>
      <c r="M211" s="392" t="s">
        <v>3924</v>
      </c>
      <c r="N211" s="393" t="s">
        <v>44</v>
      </c>
      <c r="O211" s="393" t="s">
        <v>69</v>
      </c>
      <c r="P211" s="393" t="s">
        <v>69</v>
      </c>
      <c r="Q211" s="392" t="s">
        <v>690</v>
      </c>
      <c r="R211" s="392"/>
      <c r="S211" s="392" t="s">
        <v>153</v>
      </c>
      <c r="T211" s="394">
        <v>1</v>
      </c>
      <c r="U211" s="395">
        <v>22.416</v>
      </c>
      <c r="V211" s="395"/>
      <c r="W211" s="452">
        <v>39608</v>
      </c>
      <c r="X211" s="394">
        <v>28</v>
      </c>
      <c r="Y211" s="394"/>
      <c r="Z211" s="394"/>
      <c r="AA211" s="395"/>
      <c r="AB211" s="453"/>
      <c r="AC211" s="398">
        <v>29.409791999999999</v>
      </c>
      <c r="AD211" s="398">
        <v>301.6026739726027</v>
      </c>
      <c r="AE211" s="393" t="s">
        <v>37</v>
      </c>
      <c r="AF211" s="417"/>
      <c r="AG211" s="417"/>
      <c r="AH211" s="417">
        <v>0</v>
      </c>
      <c r="AI211" s="394"/>
      <c r="AJ211" s="453"/>
      <c r="AK211" s="453"/>
      <c r="AL211" s="393"/>
      <c r="AM211" s="393"/>
      <c r="AN211" s="417"/>
      <c r="AO211" s="392"/>
      <c r="AP211" s="392" t="s">
        <v>7048</v>
      </c>
      <c r="AQ211" s="392"/>
      <c r="AR211" s="392" t="s">
        <v>368</v>
      </c>
      <c r="AS211" s="479">
        <v>40169</v>
      </c>
      <c r="AT211" s="453"/>
      <c r="AU211" s="453"/>
      <c r="AV211" s="452">
        <v>40263</v>
      </c>
      <c r="AW211" s="452">
        <v>40263</v>
      </c>
      <c r="AX211" s="452">
        <v>40765</v>
      </c>
      <c r="AY211" s="452">
        <v>40869</v>
      </c>
      <c r="AZ211" s="453"/>
      <c r="BA211" s="393" t="s">
        <v>6984</v>
      </c>
      <c r="BB211" s="393" t="s">
        <v>3147</v>
      </c>
      <c r="BC211" s="393" t="b">
        <v>0</v>
      </c>
      <c r="BD211" s="393" t="s">
        <v>3147</v>
      </c>
      <c r="BE211" s="392"/>
      <c r="BF211" s="394">
        <v>7</v>
      </c>
      <c r="BG211" s="394">
        <v>9</v>
      </c>
      <c r="BH211" s="394">
        <v>1</v>
      </c>
      <c r="BI211" s="394">
        <v>6</v>
      </c>
      <c r="BJ211" s="394">
        <v>3</v>
      </c>
      <c r="BK211" s="394">
        <v>5</v>
      </c>
      <c r="BL211" s="444"/>
      <c r="BM211" s="392"/>
      <c r="BN211" s="393"/>
      <c r="BO211" s="393"/>
      <c r="BP211" s="399"/>
      <c r="BQ211" s="400"/>
      <c r="BR211" s="401"/>
      <c r="BS211" s="399">
        <v>0</v>
      </c>
      <c r="BT211" s="394"/>
      <c r="BU211" s="417"/>
      <c r="BV211" s="399"/>
      <c r="BW211" s="393"/>
      <c r="BX211" s="392"/>
      <c r="BY211" s="393"/>
      <c r="BZ211" s="393"/>
      <c r="CA211" s="441"/>
      <c r="CB211" s="400"/>
      <c r="CC211" s="398"/>
      <c r="CD211" s="398"/>
      <c r="CE211" s="398"/>
      <c r="CF211" s="398"/>
      <c r="CG211" s="398"/>
      <c r="CH211" s="398"/>
      <c r="CI211" s="398"/>
      <c r="CJ211" s="398"/>
      <c r="CK211" s="398"/>
      <c r="CL211" s="398"/>
      <c r="CM211" s="398"/>
      <c r="CN211" s="398"/>
      <c r="CO211" s="398"/>
      <c r="CP211" s="398"/>
      <c r="CQ211" s="398"/>
      <c r="CR211" s="398"/>
      <c r="CS211" s="398"/>
      <c r="CT211" s="398"/>
      <c r="CU211" s="398"/>
      <c r="CV211" s="398"/>
      <c r="CW211" s="398"/>
      <c r="CX211" s="398"/>
      <c r="CY211" s="398"/>
      <c r="CZ211" s="398"/>
      <c r="DA211" s="398"/>
      <c r="DB211" s="398"/>
      <c r="DC211" s="398"/>
      <c r="DD211" s="398"/>
      <c r="DE211" s="393"/>
      <c r="DF211" s="393"/>
      <c r="DG211" s="393"/>
      <c r="DH211" s="393"/>
      <c r="DI211" s="393"/>
      <c r="DJ211" s="393"/>
      <c r="DK211" s="896" t="s">
        <v>9711</v>
      </c>
    </row>
    <row r="212" spans="1:115" ht="25.5" x14ac:dyDescent="0.2">
      <c r="A212" s="295">
        <v>208</v>
      </c>
      <c r="B212" s="390" t="s">
        <v>2608</v>
      </c>
      <c r="C212" s="390"/>
      <c r="D212" s="391" t="s">
        <v>703</v>
      </c>
      <c r="E212" s="704" t="s">
        <v>704</v>
      </c>
      <c r="F212" s="393" t="s">
        <v>1352</v>
      </c>
      <c r="G212" s="393" t="s">
        <v>1672</v>
      </c>
      <c r="H212" s="393" t="s">
        <v>78</v>
      </c>
      <c r="I212" s="392"/>
      <c r="J212" s="392"/>
      <c r="K212" s="392" t="s">
        <v>2131</v>
      </c>
      <c r="L212" s="392" t="s">
        <v>701</v>
      </c>
      <c r="M212" s="392"/>
      <c r="N212" s="393" t="s">
        <v>44</v>
      </c>
      <c r="O212" s="393" t="s">
        <v>69</v>
      </c>
      <c r="P212" s="393" t="s">
        <v>69</v>
      </c>
      <c r="Q212" s="392" t="s">
        <v>690</v>
      </c>
      <c r="R212" s="392" t="s">
        <v>3925</v>
      </c>
      <c r="S212" s="392" t="s">
        <v>153</v>
      </c>
      <c r="T212" s="394">
        <v>1</v>
      </c>
      <c r="U212" s="395">
        <v>22.416</v>
      </c>
      <c r="V212" s="395"/>
      <c r="W212" s="453"/>
      <c r="X212" s="394"/>
      <c r="Y212" s="394">
        <v>7</v>
      </c>
      <c r="Z212" s="394">
        <v>15</v>
      </c>
      <c r="AA212" s="395">
        <v>2</v>
      </c>
      <c r="AB212" s="452">
        <v>39285</v>
      </c>
      <c r="AC212" s="398">
        <v>29.409791999999999</v>
      </c>
      <c r="AD212" s="398">
        <v>301.6026739726027</v>
      </c>
      <c r="AE212" s="393" t="s">
        <v>37</v>
      </c>
      <c r="AF212" s="417"/>
      <c r="AG212" s="417"/>
      <c r="AH212" s="417"/>
      <c r="AI212" s="394"/>
      <c r="AJ212" s="453"/>
      <c r="AK212" s="453"/>
      <c r="AL212" s="393"/>
      <c r="AM212" s="393"/>
      <c r="AN212" s="417"/>
      <c r="AO212" s="392"/>
      <c r="AP212" s="392" t="s">
        <v>7048</v>
      </c>
      <c r="AQ212" s="392"/>
      <c r="AR212" s="392" t="s">
        <v>368</v>
      </c>
      <c r="AS212" s="479">
        <v>40169</v>
      </c>
      <c r="AT212" s="453"/>
      <c r="AU212" s="453"/>
      <c r="AV212" s="453"/>
      <c r="AW212" s="453"/>
      <c r="AX212" s="453"/>
      <c r="AY212" s="453"/>
      <c r="AZ212" s="452">
        <v>40869</v>
      </c>
      <c r="BA212" s="393" t="s">
        <v>6984</v>
      </c>
      <c r="BB212" s="393"/>
      <c r="BC212" s="393" t="b">
        <v>0</v>
      </c>
      <c r="BD212" s="393"/>
      <c r="BE212" s="392"/>
      <c r="BF212" s="394">
        <v>7</v>
      </c>
      <c r="BG212" s="394">
        <v>9</v>
      </c>
      <c r="BH212" s="394">
        <v>1</v>
      </c>
      <c r="BI212" s="394">
        <v>6</v>
      </c>
      <c r="BJ212" s="394">
        <v>3</v>
      </c>
      <c r="BK212" s="394">
        <v>5</v>
      </c>
      <c r="BL212" s="444" t="s">
        <v>6985</v>
      </c>
      <c r="BM212" s="392"/>
      <c r="BN212" s="393"/>
      <c r="BO212" s="393"/>
      <c r="BP212" s="399"/>
      <c r="BQ212" s="400"/>
      <c r="BR212" s="401"/>
      <c r="BS212" s="399"/>
      <c r="BT212" s="394"/>
      <c r="BU212" s="417"/>
      <c r="BV212" s="399"/>
      <c r="BW212" s="393" t="s">
        <v>3926</v>
      </c>
      <c r="BX212" s="392" t="s">
        <v>1447</v>
      </c>
      <c r="BY212" s="393"/>
      <c r="BZ212" s="393"/>
      <c r="CA212" s="441" t="s">
        <v>1662</v>
      </c>
      <c r="CB212" s="400">
        <v>3</v>
      </c>
      <c r="CC212" s="398"/>
      <c r="CD212" s="398"/>
      <c r="CE212" s="398"/>
      <c r="CF212" s="398"/>
      <c r="CG212" s="398"/>
      <c r="CH212" s="398">
        <v>15.14</v>
      </c>
      <c r="CI212" s="398">
        <v>18.263000000000002</v>
      </c>
      <c r="CJ212" s="398">
        <v>20.898</v>
      </c>
      <c r="CK212" s="398">
        <v>23.120999999999999</v>
      </c>
      <c r="CL212" s="398">
        <v>24.995999999999999</v>
      </c>
      <c r="CM212" s="398">
        <v>26.577999999999999</v>
      </c>
      <c r="CN212" s="398">
        <v>27.913</v>
      </c>
      <c r="CO212" s="398"/>
      <c r="CP212" s="398"/>
      <c r="CQ212" s="398"/>
      <c r="CR212" s="398"/>
      <c r="CS212" s="398"/>
      <c r="CT212" s="398"/>
      <c r="CU212" s="398"/>
      <c r="CV212" s="398"/>
      <c r="CW212" s="398"/>
      <c r="CX212" s="398"/>
      <c r="CY212" s="398"/>
      <c r="CZ212" s="398"/>
      <c r="DA212" s="398"/>
      <c r="DB212" s="398"/>
      <c r="DC212" s="398"/>
      <c r="DD212" s="398"/>
      <c r="DE212" s="393"/>
      <c r="DF212" s="393"/>
      <c r="DG212" s="393"/>
      <c r="DH212" s="393"/>
      <c r="DI212" s="393"/>
      <c r="DJ212" s="393"/>
      <c r="DK212" s="897"/>
    </row>
    <row r="213" spans="1:115" ht="51" x14ac:dyDescent="0.2">
      <c r="A213" s="295">
        <v>209</v>
      </c>
      <c r="B213" s="390" t="s">
        <v>752</v>
      </c>
      <c r="C213" s="424" t="s">
        <v>7443</v>
      </c>
      <c r="D213" s="391" t="s">
        <v>5022</v>
      </c>
      <c r="E213" s="704" t="s">
        <v>1936</v>
      </c>
      <c r="F213" s="393" t="s">
        <v>1352</v>
      </c>
      <c r="G213" s="393" t="s">
        <v>1672</v>
      </c>
      <c r="H213" s="393" t="s">
        <v>78</v>
      </c>
      <c r="I213" s="392"/>
      <c r="J213" s="392" t="s">
        <v>78</v>
      </c>
      <c r="K213" s="392"/>
      <c r="L213" s="392" t="s">
        <v>753</v>
      </c>
      <c r="M213" s="392" t="s">
        <v>3927</v>
      </c>
      <c r="N213" s="393" t="s">
        <v>44</v>
      </c>
      <c r="O213" s="393" t="s">
        <v>289</v>
      </c>
      <c r="P213" s="393" t="s">
        <v>289</v>
      </c>
      <c r="Q213" s="392" t="s">
        <v>721</v>
      </c>
      <c r="R213" s="392"/>
      <c r="S213" s="392" t="s">
        <v>291</v>
      </c>
      <c r="T213" s="394">
        <v>1</v>
      </c>
      <c r="U213" s="395">
        <v>5.3209999999999997</v>
      </c>
      <c r="V213" s="395"/>
      <c r="W213" s="452">
        <v>39285</v>
      </c>
      <c r="X213" s="394">
        <v>28</v>
      </c>
      <c r="Y213" s="394"/>
      <c r="Z213" s="394"/>
      <c r="AA213" s="395"/>
      <c r="AB213" s="453"/>
      <c r="AC213" s="398">
        <v>19.16</v>
      </c>
      <c r="AD213" s="398">
        <v>71.592961643835608</v>
      </c>
      <c r="AE213" s="393" t="s">
        <v>37</v>
      </c>
      <c r="AF213" s="417"/>
      <c r="AG213" s="417"/>
      <c r="AH213" s="417">
        <v>0</v>
      </c>
      <c r="AI213" s="394"/>
      <c r="AJ213" s="453"/>
      <c r="AK213" s="453"/>
      <c r="AL213" s="393"/>
      <c r="AM213" s="393"/>
      <c r="AN213" s="417"/>
      <c r="AO213" s="392"/>
      <c r="AP213" s="392" t="s">
        <v>7048</v>
      </c>
      <c r="AQ213" s="392"/>
      <c r="AR213" s="392" t="s">
        <v>368</v>
      </c>
      <c r="AS213" s="479">
        <v>40169</v>
      </c>
      <c r="AT213" s="453"/>
      <c r="AU213" s="453"/>
      <c r="AV213" s="452">
        <v>40199</v>
      </c>
      <c r="AW213" s="452">
        <v>41031</v>
      </c>
      <c r="AX213" s="452">
        <v>41082</v>
      </c>
      <c r="AY213" s="452">
        <v>41031</v>
      </c>
      <c r="AZ213" s="453"/>
      <c r="BA213" s="393"/>
      <c r="BB213" s="393" t="s">
        <v>3147</v>
      </c>
      <c r="BC213" s="393" t="b">
        <v>0</v>
      </c>
      <c r="BD213" s="393" t="s">
        <v>3310</v>
      </c>
      <c r="BE213" s="392" t="s">
        <v>6245</v>
      </c>
      <c r="BF213" s="394">
        <v>4</v>
      </c>
      <c r="BG213" s="394">
        <v>9</v>
      </c>
      <c r="BH213" s="394">
        <v>5</v>
      </c>
      <c r="BI213" s="394">
        <v>10</v>
      </c>
      <c r="BJ213" s="394">
        <v>11</v>
      </c>
      <c r="BK213" s="394"/>
      <c r="BL213" s="444"/>
      <c r="BM213" s="392"/>
      <c r="BN213" s="393"/>
      <c r="BO213" s="393"/>
      <c r="BP213" s="399"/>
      <c r="BQ213" s="400"/>
      <c r="BR213" s="401"/>
      <c r="BS213" s="399">
        <v>1.1679999999999999</v>
      </c>
      <c r="BT213" s="394"/>
      <c r="BU213" s="417"/>
      <c r="BV213" s="399"/>
      <c r="BW213" s="393"/>
      <c r="BX213" s="392"/>
      <c r="BY213" s="393"/>
      <c r="BZ213" s="393"/>
      <c r="CA213" s="441"/>
      <c r="CB213" s="400"/>
      <c r="CC213" s="398"/>
      <c r="CD213" s="398"/>
      <c r="CE213" s="398"/>
      <c r="CF213" s="398"/>
      <c r="CG213" s="398"/>
      <c r="CH213" s="398"/>
      <c r="CI213" s="398"/>
      <c r="CJ213" s="398"/>
      <c r="CK213" s="398"/>
      <c r="CL213" s="398"/>
      <c r="CM213" s="398"/>
      <c r="CN213" s="398"/>
      <c r="CO213" s="398"/>
      <c r="CP213" s="398"/>
      <c r="CQ213" s="398"/>
      <c r="CR213" s="398"/>
      <c r="CS213" s="398"/>
      <c r="CT213" s="398"/>
      <c r="CU213" s="398"/>
      <c r="CV213" s="398"/>
      <c r="CW213" s="398"/>
      <c r="CX213" s="398"/>
      <c r="CY213" s="398"/>
      <c r="CZ213" s="398"/>
      <c r="DA213" s="398"/>
      <c r="DB213" s="398"/>
      <c r="DC213" s="398"/>
      <c r="DD213" s="398"/>
      <c r="DE213" s="393"/>
      <c r="DF213" s="393"/>
      <c r="DG213" s="393"/>
      <c r="DH213" s="393"/>
      <c r="DI213" s="393"/>
      <c r="DJ213" s="393"/>
      <c r="DK213" s="896" t="s">
        <v>9711</v>
      </c>
    </row>
    <row r="214" spans="1:115" ht="25.5" x14ac:dyDescent="0.2">
      <c r="A214" s="295">
        <v>210</v>
      </c>
      <c r="B214" s="390" t="s">
        <v>2609</v>
      </c>
      <c r="C214" s="390"/>
      <c r="D214" s="391" t="s">
        <v>2313</v>
      </c>
      <c r="E214" s="704" t="s">
        <v>754</v>
      </c>
      <c r="F214" s="393" t="s">
        <v>1352</v>
      </c>
      <c r="G214" s="393" t="s">
        <v>1672</v>
      </c>
      <c r="H214" s="393" t="s">
        <v>78</v>
      </c>
      <c r="I214" s="392"/>
      <c r="J214" s="392"/>
      <c r="K214" s="392" t="s">
        <v>755</v>
      </c>
      <c r="L214" s="392" t="s">
        <v>753</v>
      </c>
      <c r="M214" s="392"/>
      <c r="N214" s="393" t="s">
        <v>44</v>
      </c>
      <c r="O214" s="393" t="s">
        <v>289</v>
      </c>
      <c r="P214" s="393" t="s">
        <v>289</v>
      </c>
      <c r="Q214" s="392" t="s">
        <v>721</v>
      </c>
      <c r="R214" s="392" t="s">
        <v>3928</v>
      </c>
      <c r="S214" s="392" t="s">
        <v>291</v>
      </c>
      <c r="T214" s="394">
        <v>1</v>
      </c>
      <c r="U214" s="395">
        <v>5.3209999999999997</v>
      </c>
      <c r="V214" s="395"/>
      <c r="W214" s="453"/>
      <c r="X214" s="394"/>
      <c r="Y214" s="394">
        <v>7</v>
      </c>
      <c r="Z214" s="394">
        <v>30</v>
      </c>
      <c r="AA214" s="395">
        <v>0</v>
      </c>
      <c r="AB214" s="452">
        <v>39285</v>
      </c>
      <c r="AC214" s="398">
        <v>19.16</v>
      </c>
      <c r="AD214" s="398">
        <v>71.592961643835608</v>
      </c>
      <c r="AE214" s="393" t="s">
        <v>37</v>
      </c>
      <c r="AF214" s="417"/>
      <c r="AG214" s="417"/>
      <c r="AH214" s="417"/>
      <c r="AI214" s="394"/>
      <c r="AJ214" s="453"/>
      <c r="AK214" s="453"/>
      <c r="AL214" s="393"/>
      <c r="AM214" s="393"/>
      <c r="AN214" s="417"/>
      <c r="AO214" s="392"/>
      <c r="AP214" s="392" t="s">
        <v>7048</v>
      </c>
      <c r="AQ214" s="392"/>
      <c r="AR214" s="392" t="s">
        <v>368</v>
      </c>
      <c r="AS214" s="479">
        <v>40169</v>
      </c>
      <c r="AT214" s="453"/>
      <c r="AU214" s="453"/>
      <c r="AV214" s="453"/>
      <c r="AW214" s="453"/>
      <c r="AX214" s="453"/>
      <c r="AY214" s="453"/>
      <c r="AZ214" s="452">
        <v>41031</v>
      </c>
      <c r="BA214" s="393"/>
      <c r="BB214" s="393"/>
      <c r="BC214" s="393" t="b">
        <v>0</v>
      </c>
      <c r="BD214" s="393"/>
      <c r="BE214" s="392"/>
      <c r="BF214" s="394">
        <v>4</v>
      </c>
      <c r="BG214" s="394">
        <v>9</v>
      </c>
      <c r="BH214" s="394">
        <v>5</v>
      </c>
      <c r="BI214" s="394">
        <v>10</v>
      </c>
      <c r="BJ214" s="394">
        <v>11</v>
      </c>
      <c r="BK214" s="394"/>
      <c r="BL214" s="444" t="s">
        <v>6981</v>
      </c>
      <c r="BM214" s="392"/>
      <c r="BN214" s="393"/>
      <c r="BO214" s="393"/>
      <c r="BP214" s="399"/>
      <c r="BQ214" s="400"/>
      <c r="BR214" s="401"/>
      <c r="BS214" s="399">
        <v>1.1679999999999999</v>
      </c>
      <c r="BT214" s="394">
        <v>7152</v>
      </c>
      <c r="BU214" s="417">
        <v>0.74299999999999999</v>
      </c>
      <c r="BV214" s="399"/>
      <c r="BW214" s="393" t="s">
        <v>3117</v>
      </c>
      <c r="BX214" s="392" t="s">
        <v>3202</v>
      </c>
      <c r="BY214" s="475" t="s">
        <v>7226</v>
      </c>
      <c r="BZ214" s="393"/>
      <c r="CA214" s="441" t="s">
        <v>1662</v>
      </c>
      <c r="CB214" s="400">
        <v>3</v>
      </c>
      <c r="CC214" s="398"/>
      <c r="CD214" s="398"/>
      <c r="CE214" s="398"/>
      <c r="CF214" s="398">
        <v>5.2009999999999996</v>
      </c>
      <c r="CG214" s="398">
        <v>5.2009999999999996</v>
      </c>
      <c r="CH214" s="398">
        <v>5.2009999999999996</v>
      </c>
      <c r="CI214" s="398">
        <v>5.2009999999999996</v>
      </c>
      <c r="CJ214" s="398">
        <v>5.2009999999999996</v>
      </c>
      <c r="CK214" s="398">
        <v>5.2009999999999996</v>
      </c>
      <c r="CL214" s="398">
        <v>5.2009999999999996</v>
      </c>
      <c r="CM214" s="398">
        <v>5.2009999999999996</v>
      </c>
      <c r="CN214" s="398">
        <v>5.2009999999999996</v>
      </c>
      <c r="CO214" s="398">
        <v>5.2009999999999996</v>
      </c>
      <c r="CP214" s="398">
        <v>5.2009999999999996</v>
      </c>
      <c r="CQ214" s="398">
        <v>5.2009999999999996</v>
      </c>
      <c r="CR214" s="398">
        <v>5.2009999999999996</v>
      </c>
      <c r="CS214" s="398">
        <v>5.2009999999999996</v>
      </c>
      <c r="CT214" s="398">
        <v>5.2009999999999996</v>
      </c>
      <c r="CU214" s="398">
        <v>5.2009999999999996</v>
      </c>
      <c r="CV214" s="398">
        <v>5.2009999999999996</v>
      </c>
      <c r="CW214" s="398">
        <v>5.2009999999999996</v>
      </c>
      <c r="CX214" s="398">
        <v>5.2009999999999996</v>
      </c>
      <c r="CY214" s="398">
        <v>5.2009999999999996</v>
      </c>
      <c r="CZ214" s="398">
        <v>5.2009999999999996</v>
      </c>
      <c r="DA214" s="398"/>
      <c r="DB214" s="398"/>
      <c r="DC214" s="398"/>
      <c r="DD214" s="398"/>
      <c r="DE214" s="393"/>
      <c r="DF214" s="393"/>
      <c r="DG214" s="393"/>
      <c r="DH214" s="393"/>
      <c r="DI214" s="393"/>
      <c r="DJ214" s="393"/>
      <c r="DK214" s="897"/>
    </row>
    <row r="215" spans="1:115" ht="25.5" x14ac:dyDescent="0.2">
      <c r="A215" s="295">
        <v>211</v>
      </c>
      <c r="B215" s="390" t="s">
        <v>227</v>
      </c>
      <c r="C215" s="424" t="s">
        <v>7444</v>
      </c>
      <c r="D215" s="391" t="s">
        <v>5512</v>
      </c>
      <c r="E215" s="704" t="s">
        <v>1937</v>
      </c>
      <c r="F215" s="393" t="s">
        <v>1352</v>
      </c>
      <c r="G215" s="393" t="s">
        <v>1673</v>
      </c>
      <c r="H215" s="393" t="s">
        <v>228</v>
      </c>
      <c r="I215" s="392"/>
      <c r="J215" s="392" t="s">
        <v>228</v>
      </c>
      <c r="K215" s="392" t="s">
        <v>1938</v>
      </c>
      <c r="L215" s="392" t="s">
        <v>229</v>
      </c>
      <c r="M215" s="392" t="s">
        <v>3929</v>
      </c>
      <c r="N215" s="393" t="s">
        <v>44</v>
      </c>
      <c r="O215" s="393" t="s">
        <v>69</v>
      </c>
      <c r="P215" s="393" t="s">
        <v>69</v>
      </c>
      <c r="Q215" s="392" t="s">
        <v>172</v>
      </c>
      <c r="R215" s="392"/>
      <c r="S215" s="392" t="s">
        <v>166</v>
      </c>
      <c r="T215" s="394">
        <v>8</v>
      </c>
      <c r="U215" s="395">
        <v>514.99499999999989</v>
      </c>
      <c r="V215" s="395"/>
      <c r="W215" s="452">
        <v>40298</v>
      </c>
      <c r="X215" s="394">
        <v>28</v>
      </c>
      <c r="Y215" s="394"/>
      <c r="Z215" s="394"/>
      <c r="AA215" s="395"/>
      <c r="AB215" s="453"/>
      <c r="AC215" s="398">
        <v>104.676312</v>
      </c>
      <c r="AD215" s="398">
        <v>3409.0555808219178</v>
      </c>
      <c r="AE215" s="393" t="s">
        <v>37</v>
      </c>
      <c r="AF215" s="417">
        <f>SUM(AF216:AF222)</f>
        <v>0</v>
      </c>
      <c r="AG215" s="417">
        <f>SUM(AG216:AG222)</f>
        <v>866.74899999999991</v>
      </c>
      <c r="AH215" s="417">
        <v>866.74899999999991</v>
      </c>
      <c r="AI215" s="394">
        <v>2</v>
      </c>
      <c r="AJ215" s="453">
        <v>42177</v>
      </c>
      <c r="AK215" s="452">
        <v>42582</v>
      </c>
      <c r="AL215" s="393"/>
      <c r="AM215" s="393"/>
      <c r="AN215" s="417"/>
      <c r="AO215" s="428" t="s">
        <v>7354</v>
      </c>
      <c r="AP215" s="428" t="s">
        <v>7208</v>
      </c>
      <c r="AQ215" s="392"/>
      <c r="AR215" s="392" t="s">
        <v>4211</v>
      </c>
      <c r="AS215" s="479">
        <v>40169</v>
      </c>
      <c r="AT215" s="453"/>
      <c r="AU215" s="453"/>
      <c r="AV215" s="452">
        <v>40178</v>
      </c>
      <c r="AW215" s="452">
        <v>41305</v>
      </c>
      <c r="AX215" s="453"/>
      <c r="AY215" s="452">
        <v>41305</v>
      </c>
      <c r="AZ215" s="453"/>
      <c r="BA215" s="393"/>
      <c r="BB215" s="393" t="s">
        <v>3116</v>
      </c>
      <c r="BC215" s="393" t="b">
        <v>0</v>
      </c>
      <c r="BD215" s="393" t="s">
        <v>3116</v>
      </c>
      <c r="BE215" s="392"/>
      <c r="BF215" s="394">
        <v>1</v>
      </c>
      <c r="BG215" s="394">
        <v>6</v>
      </c>
      <c r="BH215" s="394">
        <v>4</v>
      </c>
      <c r="BI215" s="394">
        <v>8</v>
      </c>
      <c r="BJ215" s="394"/>
      <c r="BK215" s="394"/>
      <c r="BL215" s="444"/>
      <c r="BM215" s="392"/>
      <c r="BN215" s="393"/>
      <c r="BO215" s="393"/>
      <c r="BP215" s="399"/>
      <c r="BQ215" s="400"/>
      <c r="BR215" s="401"/>
      <c r="BS215" s="399">
        <v>0</v>
      </c>
      <c r="BT215" s="394"/>
      <c r="BU215" s="417"/>
      <c r="BV215" s="399"/>
      <c r="BW215" s="393"/>
      <c r="BX215" s="392"/>
      <c r="BY215" s="475" t="s">
        <v>7227</v>
      </c>
      <c r="BZ215" s="393"/>
      <c r="CA215" s="441"/>
      <c r="CB215" s="400"/>
      <c r="CC215" s="398"/>
      <c r="CD215" s="398"/>
      <c r="CE215" s="398"/>
      <c r="CF215" s="398"/>
      <c r="CG215" s="398"/>
      <c r="CH215" s="398"/>
      <c r="CI215" s="398"/>
      <c r="CJ215" s="398"/>
      <c r="CK215" s="398"/>
      <c r="CL215" s="398"/>
      <c r="CM215" s="398"/>
      <c r="CN215" s="398"/>
      <c r="CO215" s="398"/>
      <c r="CP215" s="398"/>
      <c r="CQ215" s="398"/>
      <c r="CR215" s="398"/>
      <c r="CS215" s="398"/>
      <c r="CT215" s="398"/>
      <c r="CU215" s="398"/>
      <c r="CV215" s="398"/>
      <c r="CW215" s="398"/>
      <c r="CX215" s="398"/>
      <c r="CY215" s="398"/>
      <c r="CZ215" s="398"/>
      <c r="DA215" s="398"/>
      <c r="DB215" s="398"/>
      <c r="DC215" s="398"/>
      <c r="DD215" s="398"/>
      <c r="DE215" s="393"/>
      <c r="DF215" s="393"/>
      <c r="DG215" s="393"/>
      <c r="DH215" s="393"/>
      <c r="DI215" s="393"/>
      <c r="DJ215" s="393"/>
      <c r="DK215" s="896" t="s">
        <v>9725</v>
      </c>
    </row>
    <row r="216" spans="1:115" ht="25.5" x14ac:dyDescent="0.2">
      <c r="A216" s="295">
        <v>212</v>
      </c>
      <c r="B216" s="390" t="s">
        <v>2610</v>
      </c>
      <c r="C216" s="390"/>
      <c r="D216" s="391" t="s">
        <v>5513</v>
      </c>
      <c r="E216" s="704" t="s">
        <v>230</v>
      </c>
      <c r="F216" s="393" t="s">
        <v>1352</v>
      </c>
      <c r="G216" s="393" t="s">
        <v>1673</v>
      </c>
      <c r="H216" s="393" t="s">
        <v>228</v>
      </c>
      <c r="I216" s="392"/>
      <c r="J216" s="392" t="s">
        <v>228</v>
      </c>
      <c r="K216" s="392" t="s">
        <v>228</v>
      </c>
      <c r="L216" s="392" t="s">
        <v>229</v>
      </c>
      <c r="M216" s="392" t="s">
        <v>3929</v>
      </c>
      <c r="N216" s="393" t="s">
        <v>44</v>
      </c>
      <c r="O216" s="393" t="s">
        <v>69</v>
      </c>
      <c r="P216" s="393" t="s">
        <v>69</v>
      </c>
      <c r="Q216" s="392" t="s">
        <v>172</v>
      </c>
      <c r="R216" s="392" t="s">
        <v>3930</v>
      </c>
      <c r="S216" s="392" t="s">
        <v>166</v>
      </c>
      <c r="T216" s="394">
        <v>1</v>
      </c>
      <c r="U216" s="395">
        <v>61.51</v>
      </c>
      <c r="V216" s="395"/>
      <c r="W216" s="453"/>
      <c r="X216" s="394"/>
      <c r="Y216" s="394">
        <v>7</v>
      </c>
      <c r="Z216" s="394">
        <v>20</v>
      </c>
      <c r="AA216" s="395">
        <v>0</v>
      </c>
      <c r="AB216" s="452">
        <v>41305</v>
      </c>
      <c r="AC216" s="398">
        <v>104.676312</v>
      </c>
      <c r="AD216" s="398">
        <v>487.19290410958905</v>
      </c>
      <c r="AE216" s="393" t="s">
        <v>37</v>
      </c>
      <c r="AF216" s="417"/>
      <c r="AG216" s="417">
        <f>94.505+65.726+59.679</f>
        <v>219.91</v>
      </c>
      <c r="AH216" s="417">
        <v>219.91</v>
      </c>
      <c r="AI216" s="394">
        <v>2</v>
      </c>
      <c r="AJ216" s="453">
        <v>42177</v>
      </c>
      <c r="AK216" s="452">
        <v>42582</v>
      </c>
      <c r="AL216" s="393"/>
      <c r="AM216" s="393"/>
      <c r="AN216" s="417"/>
      <c r="AO216" s="428" t="s">
        <v>7354</v>
      </c>
      <c r="AP216" s="428" t="s">
        <v>7208</v>
      </c>
      <c r="AQ216" s="392"/>
      <c r="AR216" s="392" t="s">
        <v>4211</v>
      </c>
      <c r="AS216" s="479">
        <v>40169</v>
      </c>
      <c r="AT216" s="453"/>
      <c r="AU216" s="453"/>
      <c r="AV216" s="453"/>
      <c r="AW216" s="453"/>
      <c r="AX216" s="453"/>
      <c r="AY216" s="453"/>
      <c r="AZ216" s="452">
        <v>41305</v>
      </c>
      <c r="BA216" s="393"/>
      <c r="BB216" s="393"/>
      <c r="BC216" s="393" t="b">
        <v>0</v>
      </c>
      <c r="BD216" s="393"/>
      <c r="BE216" s="392"/>
      <c r="BF216" s="394">
        <v>1</v>
      </c>
      <c r="BG216" s="394">
        <v>6</v>
      </c>
      <c r="BH216" s="394">
        <v>4</v>
      </c>
      <c r="BI216" s="394">
        <v>8</v>
      </c>
      <c r="BJ216" s="394"/>
      <c r="BK216" s="394"/>
      <c r="BL216" s="444" t="s">
        <v>6981</v>
      </c>
      <c r="BM216" s="392"/>
      <c r="BN216" s="393"/>
      <c r="BO216" s="393"/>
      <c r="BP216" s="399"/>
      <c r="BQ216" s="400"/>
      <c r="BR216" s="401"/>
      <c r="BS216" s="399"/>
      <c r="BT216" s="394"/>
      <c r="BU216" s="417"/>
      <c r="BV216" s="399"/>
      <c r="BW216" s="393" t="s">
        <v>3117</v>
      </c>
      <c r="BX216" s="392" t="s">
        <v>3205</v>
      </c>
      <c r="BY216" s="475" t="s">
        <v>7227</v>
      </c>
      <c r="BZ216" s="393"/>
      <c r="CA216" s="441" t="s">
        <v>1664</v>
      </c>
      <c r="CB216" s="400"/>
      <c r="CC216" s="398"/>
      <c r="CD216" s="398"/>
      <c r="CE216" s="398"/>
      <c r="CF216" s="398">
        <v>30.114999999999998</v>
      </c>
      <c r="CG216" s="398">
        <v>61.51</v>
      </c>
      <c r="CH216" s="398">
        <v>61.51</v>
      </c>
      <c r="CI216" s="398">
        <v>61.51</v>
      </c>
      <c r="CJ216" s="398">
        <v>61.51</v>
      </c>
      <c r="CK216" s="398">
        <v>61.51</v>
      </c>
      <c r="CL216" s="398">
        <v>61.51</v>
      </c>
      <c r="CM216" s="398">
        <v>61.51</v>
      </c>
      <c r="CN216" s="398">
        <v>61.51</v>
      </c>
      <c r="CO216" s="398">
        <v>61.51</v>
      </c>
      <c r="CP216" s="398">
        <v>61.51</v>
      </c>
      <c r="CQ216" s="398"/>
      <c r="CR216" s="398"/>
      <c r="CS216" s="398"/>
      <c r="CT216" s="398"/>
      <c r="CU216" s="398"/>
      <c r="CV216" s="398"/>
      <c r="CW216" s="398"/>
      <c r="CX216" s="398"/>
      <c r="CY216" s="398"/>
      <c r="CZ216" s="398"/>
      <c r="DA216" s="398"/>
      <c r="DB216" s="398"/>
      <c r="DC216" s="398"/>
      <c r="DD216" s="398"/>
      <c r="DE216" s="393"/>
      <c r="DF216" s="393"/>
      <c r="DG216" s="393"/>
      <c r="DH216" s="393"/>
      <c r="DI216" s="393"/>
      <c r="DJ216" s="393"/>
      <c r="DK216" s="897"/>
    </row>
    <row r="217" spans="1:115" ht="25.5" x14ac:dyDescent="0.2">
      <c r="A217" s="295">
        <v>213</v>
      </c>
      <c r="B217" s="390" t="s">
        <v>6083</v>
      </c>
      <c r="C217" s="390"/>
      <c r="D217" s="391" t="s">
        <v>6084</v>
      </c>
      <c r="E217" s="704" t="s">
        <v>7160</v>
      </c>
      <c r="F217" s="393" t="s">
        <v>1352</v>
      </c>
      <c r="G217" s="393" t="s">
        <v>1673</v>
      </c>
      <c r="H217" s="393" t="s">
        <v>228</v>
      </c>
      <c r="I217" s="392"/>
      <c r="J217" s="392" t="s">
        <v>228</v>
      </c>
      <c r="K217" s="392" t="s">
        <v>228</v>
      </c>
      <c r="L217" s="392" t="s">
        <v>229</v>
      </c>
      <c r="M217" s="392" t="s">
        <v>3929</v>
      </c>
      <c r="N217" s="393" t="s">
        <v>44</v>
      </c>
      <c r="O217" s="393" t="s">
        <v>69</v>
      </c>
      <c r="P217" s="393" t="s">
        <v>69</v>
      </c>
      <c r="Q217" s="392" t="s">
        <v>172</v>
      </c>
      <c r="R217" s="392" t="s">
        <v>6085</v>
      </c>
      <c r="S217" s="392" t="s">
        <v>166</v>
      </c>
      <c r="T217" s="394">
        <v>1</v>
      </c>
      <c r="U217" s="395">
        <v>66.236000000000004</v>
      </c>
      <c r="V217" s="395"/>
      <c r="W217" s="453"/>
      <c r="X217" s="394"/>
      <c r="Y217" s="394">
        <v>7</v>
      </c>
      <c r="Z217" s="394">
        <v>20</v>
      </c>
      <c r="AA217" s="395">
        <v>0</v>
      </c>
      <c r="AB217" s="452">
        <v>41305</v>
      </c>
      <c r="AC217" s="398">
        <v>0</v>
      </c>
      <c r="AD217" s="398">
        <v>524.62541369863015</v>
      </c>
      <c r="AE217" s="393" t="s">
        <v>37</v>
      </c>
      <c r="AF217" s="417"/>
      <c r="AG217" s="417">
        <f>14.992+63.427+62.812</f>
        <v>141.23099999999999</v>
      </c>
      <c r="AH217" s="417">
        <v>141.23099999999999</v>
      </c>
      <c r="AI217" s="394">
        <v>2</v>
      </c>
      <c r="AJ217" s="453">
        <v>42177</v>
      </c>
      <c r="AK217" s="452">
        <v>42582</v>
      </c>
      <c r="AL217" s="393"/>
      <c r="AM217" s="393"/>
      <c r="AN217" s="417"/>
      <c r="AO217" s="428" t="s">
        <v>7354</v>
      </c>
      <c r="AP217" s="428" t="s">
        <v>7208</v>
      </c>
      <c r="AQ217" s="392"/>
      <c r="AR217" s="392" t="s">
        <v>4211</v>
      </c>
      <c r="AS217" s="479">
        <v>40169</v>
      </c>
      <c r="AT217" s="453"/>
      <c r="AU217" s="453"/>
      <c r="AV217" s="453"/>
      <c r="AW217" s="453"/>
      <c r="AX217" s="453"/>
      <c r="AY217" s="453"/>
      <c r="AZ217" s="452">
        <v>41767</v>
      </c>
      <c r="BA217" s="393"/>
      <c r="BB217" s="393"/>
      <c r="BC217" s="393" t="b">
        <v>0</v>
      </c>
      <c r="BD217" s="393"/>
      <c r="BE217" s="392"/>
      <c r="BF217" s="394">
        <v>1</v>
      </c>
      <c r="BG217" s="394">
        <v>6</v>
      </c>
      <c r="BH217" s="394">
        <v>4</v>
      </c>
      <c r="BI217" s="394">
        <v>8</v>
      </c>
      <c r="BJ217" s="394"/>
      <c r="BK217" s="394"/>
      <c r="BL217" s="444" t="s">
        <v>6981</v>
      </c>
      <c r="BM217" s="392"/>
      <c r="BN217" s="393"/>
      <c r="BO217" s="393"/>
      <c r="BP217" s="399"/>
      <c r="BQ217" s="400"/>
      <c r="BR217" s="401"/>
      <c r="BS217" s="399"/>
      <c r="BT217" s="394"/>
      <c r="BU217" s="417"/>
      <c r="BV217" s="399"/>
      <c r="BW217" s="393" t="s">
        <v>3117</v>
      </c>
      <c r="BX217" s="392" t="s">
        <v>3205</v>
      </c>
      <c r="BY217" s="475" t="s">
        <v>7227</v>
      </c>
      <c r="BZ217" s="393"/>
      <c r="CA217" s="441" t="s">
        <v>1664</v>
      </c>
      <c r="CB217" s="400"/>
      <c r="CC217" s="398"/>
      <c r="CD217" s="398"/>
      <c r="CE217" s="398"/>
      <c r="CF217" s="398"/>
      <c r="CG217" s="398"/>
      <c r="CH217" s="398"/>
      <c r="CI217" s="398"/>
      <c r="CJ217" s="398">
        <v>33.098999999999997</v>
      </c>
      <c r="CK217" s="398">
        <v>66.236000000000004</v>
      </c>
      <c r="CL217" s="398">
        <v>66.236000000000004</v>
      </c>
      <c r="CM217" s="398">
        <v>66.236000000000004</v>
      </c>
      <c r="CN217" s="398">
        <v>66.236000000000004</v>
      </c>
      <c r="CO217" s="398">
        <v>66.236000000000004</v>
      </c>
      <c r="CP217" s="398">
        <v>66.236000000000004</v>
      </c>
      <c r="CQ217" s="398"/>
      <c r="CR217" s="398"/>
      <c r="CS217" s="398"/>
      <c r="CT217" s="398"/>
      <c r="CU217" s="398"/>
      <c r="CV217" s="398"/>
      <c r="CW217" s="398"/>
      <c r="CX217" s="398"/>
      <c r="CY217" s="398"/>
      <c r="CZ217" s="398"/>
      <c r="DA217" s="398"/>
      <c r="DB217" s="398"/>
      <c r="DC217" s="398"/>
      <c r="DD217" s="398"/>
      <c r="DE217" s="393"/>
      <c r="DF217" s="393"/>
      <c r="DG217" s="393"/>
      <c r="DH217" s="393"/>
      <c r="DI217" s="393"/>
      <c r="DJ217" s="393"/>
      <c r="DK217" s="897"/>
    </row>
    <row r="218" spans="1:115" ht="25.5" x14ac:dyDescent="0.2">
      <c r="A218" s="295">
        <v>214</v>
      </c>
      <c r="B218" s="390" t="s">
        <v>6086</v>
      </c>
      <c r="C218" s="390"/>
      <c r="D218" s="391" t="s">
        <v>6087</v>
      </c>
      <c r="E218" s="704" t="s">
        <v>7161</v>
      </c>
      <c r="F218" s="393" t="s">
        <v>1352</v>
      </c>
      <c r="G218" s="393" t="s">
        <v>1673</v>
      </c>
      <c r="H218" s="393" t="s">
        <v>228</v>
      </c>
      <c r="I218" s="392"/>
      <c r="J218" s="392" t="s">
        <v>228</v>
      </c>
      <c r="K218" s="392" t="s">
        <v>228</v>
      </c>
      <c r="L218" s="392" t="s">
        <v>229</v>
      </c>
      <c r="M218" s="392" t="s">
        <v>3929</v>
      </c>
      <c r="N218" s="393" t="s">
        <v>44</v>
      </c>
      <c r="O218" s="393" t="s">
        <v>69</v>
      </c>
      <c r="P218" s="393" t="s">
        <v>69</v>
      </c>
      <c r="Q218" s="392" t="s">
        <v>172</v>
      </c>
      <c r="R218" s="392" t="s">
        <v>6088</v>
      </c>
      <c r="S218" s="392" t="s">
        <v>166</v>
      </c>
      <c r="T218" s="394">
        <v>1</v>
      </c>
      <c r="U218" s="395">
        <v>66.328999999999994</v>
      </c>
      <c r="V218" s="395"/>
      <c r="W218" s="453"/>
      <c r="X218" s="394"/>
      <c r="Y218" s="394">
        <v>7</v>
      </c>
      <c r="Z218" s="394">
        <v>20</v>
      </c>
      <c r="AA218" s="395">
        <v>0</v>
      </c>
      <c r="AB218" s="452">
        <v>41305</v>
      </c>
      <c r="AC218" s="398">
        <v>0</v>
      </c>
      <c r="AD218" s="398">
        <v>525.36202465753422</v>
      </c>
      <c r="AE218" s="393" t="s">
        <v>37</v>
      </c>
      <c r="AF218" s="417"/>
      <c r="AG218" s="417">
        <f>14.465+62.106+55.716</f>
        <v>132.28700000000001</v>
      </c>
      <c r="AH218" s="417">
        <v>132.28700000000001</v>
      </c>
      <c r="AI218" s="394">
        <v>2</v>
      </c>
      <c r="AJ218" s="453">
        <v>42177</v>
      </c>
      <c r="AK218" s="452">
        <v>42582</v>
      </c>
      <c r="AL218" s="393"/>
      <c r="AM218" s="393"/>
      <c r="AN218" s="417"/>
      <c r="AO218" s="428" t="s">
        <v>7354</v>
      </c>
      <c r="AP218" s="428" t="s">
        <v>7208</v>
      </c>
      <c r="AQ218" s="392"/>
      <c r="AR218" s="392" t="s">
        <v>4211</v>
      </c>
      <c r="AS218" s="479">
        <v>40169</v>
      </c>
      <c r="AT218" s="453"/>
      <c r="AU218" s="453"/>
      <c r="AV218" s="453"/>
      <c r="AW218" s="453"/>
      <c r="AX218" s="453"/>
      <c r="AY218" s="453"/>
      <c r="AZ218" s="452">
        <v>41767</v>
      </c>
      <c r="BA218" s="393"/>
      <c r="BB218" s="393"/>
      <c r="BC218" s="393" t="b">
        <v>0</v>
      </c>
      <c r="BD218" s="393"/>
      <c r="BE218" s="392"/>
      <c r="BF218" s="394">
        <v>1</v>
      </c>
      <c r="BG218" s="394">
        <v>6</v>
      </c>
      <c r="BH218" s="394">
        <v>4</v>
      </c>
      <c r="BI218" s="394">
        <v>8</v>
      </c>
      <c r="BJ218" s="394"/>
      <c r="BK218" s="394"/>
      <c r="BL218" s="444" t="s">
        <v>6981</v>
      </c>
      <c r="BM218" s="392"/>
      <c r="BN218" s="393"/>
      <c r="BO218" s="393"/>
      <c r="BP218" s="399"/>
      <c r="BQ218" s="400"/>
      <c r="BR218" s="401"/>
      <c r="BS218" s="399"/>
      <c r="BT218" s="394"/>
      <c r="BU218" s="417"/>
      <c r="BV218" s="399"/>
      <c r="BW218" s="393" t="s">
        <v>3117</v>
      </c>
      <c r="BX218" s="392" t="s">
        <v>3205</v>
      </c>
      <c r="BY218" s="475" t="s">
        <v>7227</v>
      </c>
      <c r="BZ218" s="393"/>
      <c r="CA218" s="441" t="s">
        <v>1664</v>
      </c>
      <c r="CB218" s="400"/>
      <c r="CC218" s="398"/>
      <c r="CD218" s="398"/>
      <c r="CE218" s="398"/>
      <c r="CF218" s="398"/>
      <c r="CG218" s="398"/>
      <c r="CH218" s="398"/>
      <c r="CI218" s="398"/>
      <c r="CJ218" s="398">
        <v>33.110999999999997</v>
      </c>
      <c r="CK218" s="398">
        <v>66.328999999999994</v>
      </c>
      <c r="CL218" s="398">
        <v>66.328999999999994</v>
      </c>
      <c r="CM218" s="398">
        <v>66.328999999999994</v>
      </c>
      <c r="CN218" s="398">
        <v>66.328999999999994</v>
      </c>
      <c r="CO218" s="398">
        <v>66.328999999999994</v>
      </c>
      <c r="CP218" s="398">
        <v>66.328999999999994</v>
      </c>
      <c r="CQ218" s="398"/>
      <c r="CR218" s="398"/>
      <c r="CS218" s="398"/>
      <c r="CT218" s="398"/>
      <c r="CU218" s="398"/>
      <c r="CV218" s="398"/>
      <c r="CW218" s="398"/>
      <c r="CX218" s="398"/>
      <c r="CY218" s="398"/>
      <c r="CZ218" s="398"/>
      <c r="DA218" s="398"/>
      <c r="DB218" s="398"/>
      <c r="DC218" s="398"/>
      <c r="DD218" s="398"/>
      <c r="DE218" s="393"/>
      <c r="DF218" s="393"/>
      <c r="DG218" s="393"/>
      <c r="DH218" s="393"/>
      <c r="DI218" s="393"/>
      <c r="DJ218" s="393"/>
      <c r="DK218" s="897"/>
    </row>
    <row r="219" spans="1:115" ht="25.5" x14ac:dyDescent="0.2">
      <c r="A219" s="295">
        <v>215</v>
      </c>
      <c r="B219" s="390" t="s">
        <v>6089</v>
      </c>
      <c r="C219" s="390"/>
      <c r="D219" s="391" t="s">
        <v>6090</v>
      </c>
      <c r="E219" s="704" t="s">
        <v>7162</v>
      </c>
      <c r="F219" s="393" t="s">
        <v>1352</v>
      </c>
      <c r="G219" s="393" t="s">
        <v>1673</v>
      </c>
      <c r="H219" s="393" t="s">
        <v>228</v>
      </c>
      <c r="I219" s="392"/>
      <c r="J219" s="392" t="s">
        <v>228</v>
      </c>
      <c r="K219" s="392" t="s">
        <v>1938</v>
      </c>
      <c r="L219" s="392" t="s">
        <v>229</v>
      </c>
      <c r="M219" s="392" t="s">
        <v>3929</v>
      </c>
      <c r="N219" s="393" t="s">
        <v>44</v>
      </c>
      <c r="O219" s="393" t="s">
        <v>69</v>
      </c>
      <c r="P219" s="393" t="s">
        <v>69</v>
      </c>
      <c r="Q219" s="392" t="s">
        <v>172</v>
      </c>
      <c r="R219" s="392" t="s">
        <v>6091</v>
      </c>
      <c r="S219" s="392" t="s">
        <v>166</v>
      </c>
      <c r="T219" s="394">
        <v>1</v>
      </c>
      <c r="U219" s="395">
        <v>66.397000000000006</v>
      </c>
      <c r="V219" s="395"/>
      <c r="W219" s="453"/>
      <c r="X219" s="394"/>
      <c r="Y219" s="394">
        <v>7</v>
      </c>
      <c r="Z219" s="394">
        <v>20</v>
      </c>
      <c r="AA219" s="395">
        <v>0</v>
      </c>
      <c r="AB219" s="452">
        <v>41305</v>
      </c>
      <c r="AC219" s="398">
        <v>0</v>
      </c>
      <c r="AD219" s="398">
        <v>525.90062191780828</v>
      </c>
      <c r="AE219" s="393" t="s">
        <v>37</v>
      </c>
      <c r="AF219" s="417"/>
      <c r="AG219" s="417">
        <f>15.235+61.127+56.674</f>
        <v>133.036</v>
      </c>
      <c r="AH219" s="417">
        <v>133.036</v>
      </c>
      <c r="AI219" s="394">
        <v>2</v>
      </c>
      <c r="AJ219" s="453">
        <v>42177</v>
      </c>
      <c r="AK219" s="452">
        <v>42582</v>
      </c>
      <c r="AL219" s="393"/>
      <c r="AM219" s="393"/>
      <c r="AN219" s="417"/>
      <c r="AO219" s="428" t="s">
        <v>7354</v>
      </c>
      <c r="AP219" s="428" t="s">
        <v>7208</v>
      </c>
      <c r="AQ219" s="392"/>
      <c r="AR219" s="392" t="s">
        <v>4211</v>
      </c>
      <c r="AS219" s="479">
        <v>40169</v>
      </c>
      <c r="AT219" s="453"/>
      <c r="AU219" s="453"/>
      <c r="AV219" s="453"/>
      <c r="AW219" s="453"/>
      <c r="AX219" s="453"/>
      <c r="AY219" s="453"/>
      <c r="AZ219" s="452">
        <v>41767</v>
      </c>
      <c r="BA219" s="393"/>
      <c r="BB219" s="393"/>
      <c r="BC219" s="393" t="b">
        <v>0</v>
      </c>
      <c r="BD219" s="393"/>
      <c r="BE219" s="392"/>
      <c r="BF219" s="394">
        <v>1</v>
      </c>
      <c r="BG219" s="394">
        <v>6</v>
      </c>
      <c r="BH219" s="394">
        <v>4</v>
      </c>
      <c r="BI219" s="394">
        <v>8</v>
      </c>
      <c r="BJ219" s="394"/>
      <c r="BK219" s="394"/>
      <c r="BL219" s="444" t="s">
        <v>6981</v>
      </c>
      <c r="BM219" s="392"/>
      <c r="BN219" s="393"/>
      <c r="BO219" s="393"/>
      <c r="BP219" s="399"/>
      <c r="BQ219" s="400"/>
      <c r="BR219" s="401"/>
      <c r="BS219" s="399"/>
      <c r="BT219" s="394"/>
      <c r="BU219" s="417"/>
      <c r="BV219" s="399"/>
      <c r="BW219" s="393" t="s">
        <v>3117</v>
      </c>
      <c r="BX219" s="392" t="s">
        <v>3205</v>
      </c>
      <c r="BY219" s="475" t="s">
        <v>7227</v>
      </c>
      <c r="BZ219" s="393"/>
      <c r="CA219" s="441" t="s">
        <v>1664</v>
      </c>
      <c r="CB219" s="400"/>
      <c r="CC219" s="398"/>
      <c r="CD219" s="398"/>
      <c r="CE219" s="398"/>
      <c r="CF219" s="398"/>
      <c r="CG219" s="398"/>
      <c r="CH219" s="398"/>
      <c r="CI219" s="398"/>
      <c r="CJ219" s="398">
        <v>33.131</v>
      </c>
      <c r="CK219" s="398">
        <v>66.397000000000006</v>
      </c>
      <c r="CL219" s="398">
        <v>66.397000000000006</v>
      </c>
      <c r="CM219" s="398">
        <v>66.397000000000006</v>
      </c>
      <c r="CN219" s="398">
        <v>66.397000000000006</v>
      </c>
      <c r="CO219" s="398">
        <v>66.397000000000006</v>
      </c>
      <c r="CP219" s="398">
        <v>39.234000000000002</v>
      </c>
      <c r="CQ219" s="398"/>
      <c r="CR219" s="398"/>
      <c r="CS219" s="398"/>
      <c r="CT219" s="398"/>
      <c r="CU219" s="398"/>
      <c r="CV219" s="398"/>
      <c r="CW219" s="398"/>
      <c r="CX219" s="398"/>
      <c r="CY219" s="398"/>
      <c r="CZ219" s="398"/>
      <c r="DA219" s="398"/>
      <c r="DB219" s="398"/>
      <c r="DC219" s="398"/>
      <c r="DD219" s="398"/>
      <c r="DE219" s="393"/>
      <c r="DF219" s="393"/>
      <c r="DG219" s="393"/>
      <c r="DH219" s="393"/>
      <c r="DI219" s="393"/>
      <c r="DJ219" s="393"/>
      <c r="DK219" s="897"/>
    </row>
    <row r="220" spans="1:115" ht="25.5" x14ac:dyDescent="0.2">
      <c r="A220" s="295">
        <v>216</v>
      </c>
      <c r="B220" s="390" t="s">
        <v>6475</v>
      </c>
      <c r="C220" s="390"/>
      <c r="D220" s="391" t="s">
        <v>6199</v>
      </c>
      <c r="E220" s="704" t="s">
        <v>6200</v>
      </c>
      <c r="F220" s="393" t="s">
        <v>1352</v>
      </c>
      <c r="G220" s="393" t="s">
        <v>1673</v>
      </c>
      <c r="H220" s="393" t="s">
        <v>228</v>
      </c>
      <c r="I220" s="392"/>
      <c r="J220" s="392" t="s">
        <v>228</v>
      </c>
      <c r="K220" s="392" t="s">
        <v>228</v>
      </c>
      <c r="L220" s="392" t="s">
        <v>229</v>
      </c>
      <c r="M220" s="392" t="s">
        <v>3929</v>
      </c>
      <c r="N220" s="393" t="s">
        <v>44</v>
      </c>
      <c r="O220" s="393" t="s">
        <v>69</v>
      </c>
      <c r="P220" s="393" t="s">
        <v>69</v>
      </c>
      <c r="Q220" s="392" t="s">
        <v>172</v>
      </c>
      <c r="R220" s="392" t="s">
        <v>6201</v>
      </c>
      <c r="S220" s="392" t="s">
        <v>166</v>
      </c>
      <c r="T220" s="394">
        <v>1</v>
      </c>
      <c r="U220" s="395">
        <v>65.882999999999996</v>
      </c>
      <c r="V220" s="395"/>
      <c r="W220" s="453"/>
      <c r="X220" s="394"/>
      <c r="Y220" s="394">
        <v>7</v>
      </c>
      <c r="Z220" s="394">
        <v>20</v>
      </c>
      <c r="AA220" s="395">
        <v>0</v>
      </c>
      <c r="AB220" s="452">
        <v>41876</v>
      </c>
      <c r="AC220" s="398">
        <v>0</v>
      </c>
      <c r="AD220" s="398">
        <v>418.76317808219176</v>
      </c>
      <c r="AE220" s="393" t="s">
        <v>37</v>
      </c>
      <c r="AF220" s="417"/>
      <c r="AG220" s="417">
        <f>59.967+60.609</f>
        <v>120.57599999999999</v>
      </c>
      <c r="AH220" s="417">
        <v>120.57599999999999</v>
      </c>
      <c r="AI220" s="394">
        <v>1</v>
      </c>
      <c r="AJ220" s="453">
        <v>42838</v>
      </c>
      <c r="AK220" s="452">
        <v>42582</v>
      </c>
      <c r="AL220" s="393"/>
      <c r="AM220" s="393"/>
      <c r="AN220" s="417"/>
      <c r="AO220" s="428" t="s">
        <v>7354</v>
      </c>
      <c r="AP220" s="428" t="s">
        <v>7208</v>
      </c>
      <c r="AQ220" s="392"/>
      <c r="AR220" s="392" t="s">
        <v>4211</v>
      </c>
      <c r="AS220" s="479">
        <v>40169</v>
      </c>
      <c r="AT220" s="453"/>
      <c r="AU220" s="453"/>
      <c r="AV220" s="453"/>
      <c r="AW220" s="453"/>
      <c r="AX220" s="453"/>
      <c r="AY220" s="453"/>
      <c r="AZ220" s="452">
        <v>41876</v>
      </c>
      <c r="BA220" s="393"/>
      <c r="BB220" s="393"/>
      <c r="BC220" s="393" t="b">
        <v>0</v>
      </c>
      <c r="BD220" s="393"/>
      <c r="BE220" s="392"/>
      <c r="BF220" s="394">
        <v>1</v>
      </c>
      <c r="BG220" s="394">
        <v>6</v>
      </c>
      <c r="BH220" s="394">
        <v>4</v>
      </c>
      <c r="BI220" s="394">
        <v>8</v>
      </c>
      <c r="BJ220" s="394"/>
      <c r="BK220" s="394"/>
      <c r="BL220" s="444" t="s">
        <v>6981</v>
      </c>
      <c r="BM220" s="392"/>
      <c r="BN220" s="393"/>
      <c r="BO220" s="393"/>
      <c r="BP220" s="399"/>
      <c r="BQ220" s="400"/>
      <c r="BR220" s="401"/>
      <c r="BS220" s="399"/>
      <c r="BT220" s="394"/>
      <c r="BU220" s="417"/>
      <c r="BV220" s="399"/>
      <c r="BW220" s="393" t="s">
        <v>3117</v>
      </c>
      <c r="BX220" s="392" t="s">
        <v>3205</v>
      </c>
      <c r="BY220" s="475" t="s">
        <v>7227</v>
      </c>
      <c r="BZ220" s="393"/>
      <c r="CA220" s="441" t="s">
        <v>1664</v>
      </c>
      <c r="CB220" s="400"/>
      <c r="CC220" s="398"/>
      <c r="CD220" s="398"/>
      <c r="CE220" s="398"/>
      <c r="CF220" s="398"/>
      <c r="CG220" s="398"/>
      <c r="CH220" s="398"/>
      <c r="CI220" s="398"/>
      <c r="CJ220" s="398">
        <v>65.882999999999996</v>
      </c>
      <c r="CK220" s="398">
        <v>65.882999999999996</v>
      </c>
      <c r="CL220" s="398">
        <v>65.882999999999996</v>
      </c>
      <c r="CM220" s="398">
        <v>65.882999999999996</v>
      </c>
      <c r="CN220" s="398">
        <v>65.882999999999996</v>
      </c>
      <c r="CO220" s="398">
        <v>65.882999999999996</v>
      </c>
      <c r="CP220" s="398">
        <v>65.882999999999996</v>
      </c>
      <c r="CQ220" s="398"/>
      <c r="CR220" s="398"/>
      <c r="CS220" s="398"/>
      <c r="CT220" s="398"/>
      <c r="CU220" s="398"/>
      <c r="CV220" s="398"/>
      <c r="CW220" s="398"/>
      <c r="CX220" s="398"/>
      <c r="CY220" s="398"/>
      <c r="CZ220" s="398"/>
      <c r="DA220" s="398"/>
      <c r="DB220" s="398"/>
      <c r="DC220" s="398"/>
      <c r="DD220" s="398"/>
      <c r="DE220" s="393"/>
      <c r="DF220" s="393"/>
      <c r="DG220" s="393"/>
      <c r="DH220" s="393"/>
      <c r="DI220" s="393"/>
      <c r="DJ220" s="393"/>
      <c r="DK220" s="897"/>
    </row>
    <row r="221" spans="1:115" ht="25.5" x14ac:dyDescent="0.2">
      <c r="A221" s="295">
        <v>217</v>
      </c>
      <c r="B221" s="390" t="s">
        <v>7163</v>
      </c>
      <c r="C221" s="390"/>
      <c r="D221" s="391" t="s">
        <v>7164</v>
      </c>
      <c r="E221" s="704" t="s">
        <v>7165</v>
      </c>
      <c r="F221" s="393" t="s">
        <v>1352</v>
      </c>
      <c r="G221" s="393" t="s">
        <v>1673</v>
      </c>
      <c r="H221" s="393" t="s">
        <v>228</v>
      </c>
      <c r="I221" s="392"/>
      <c r="J221" s="392" t="s">
        <v>228</v>
      </c>
      <c r="K221" s="392" t="s">
        <v>228</v>
      </c>
      <c r="L221" s="392" t="s">
        <v>229</v>
      </c>
      <c r="M221" s="392" t="s">
        <v>3929</v>
      </c>
      <c r="N221" s="393" t="s">
        <v>44</v>
      </c>
      <c r="O221" s="393" t="s">
        <v>69</v>
      </c>
      <c r="P221" s="393" t="s">
        <v>69</v>
      </c>
      <c r="Q221" s="392" t="s">
        <v>172</v>
      </c>
      <c r="R221" s="392" t="s">
        <v>7166</v>
      </c>
      <c r="S221" s="392" t="s">
        <v>166</v>
      </c>
      <c r="T221" s="394">
        <v>1</v>
      </c>
      <c r="U221" s="395">
        <v>61.564999999999998</v>
      </c>
      <c r="V221" s="395"/>
      <c r="W221" s="453"/>
      <c r="X221" s="394"/>
      <c r="Y221" s="394">
        <v>7</v>
      </c>
      <c r="Z221" s="394">
        <v>20</v>
      </c>
      <c r="AA221" s="395">
        <v>0</v>
      </c>
      <c r="AB221" s="452">
        <v>42200</v>
      </c>
      <c r="AC221" s="398">
        <v>0</v>
      </c>
      <c r="AD221" s="398">
        <v>336.6677808219178</v>
      </c>
      <c r="AE221" s="393" t="s">
        <v>37</v>
      </c>
      <c r="AF221" s="417"/>
      <c r="AG221" s="417">
        <f>61.151</f>
        <v>61.151000000000003</v>
      </c>
      <c r="AH221" s="417">
        <v>61.151000000000003</v>
      </c>
      <c r="AI221" s="394"/>
      <c r="AJ221" s="453">
        <v>43123</v>
      </c>
      <c r="AK221" s="452">
        <v>42582</v>
      </c>
      <c r="AL221" s="393"/>
      <c r="AM221" s="393"/>
      <c r="AN221" s="417"/>
      <c r="AO221" s="428" t="s">
        <v>7354</v>
      </c>
      <c r="AP221" s="428" t="s">
        <v>7208</v>
      </c>
      <c r="AQ221" s="392"/>
      <c r="AR221" s="392" t="s">
        <v>4211</v>
      </c>
      <c r="AS221" s="479">
        <v>40169</v>
      </c>
      <c r="AT221" s="453"/>
      <c r="AU221" s="453"/>
      <c r="AV221" s="453"/>
      <c r="AW221" s="453"/>
      <c r="AX221" s="453"/>
      <c r="AY221" s="453"/>
      <c r="AZ221" s="452">
        <v>42193</v>
      </c>
      <c r="BA221" s="393"/>
      <c r="BB221" s="393" t="s">
        <v>3116</v>
      </c>
      <c r="BC221" s="393" t="b">
        <v>0</v>
      </c>
      <c r="BD221" s="393" t="s">
        <v>3116</v>
      </c>
      <c r="BE221" s="392"/>
      <c r="BF221" s="394">
        <v>1</v>
      </c>
      <c r="BG221" s="394">
        <v>6</v>
      </c>
      <c r="BH221" s="394">
        <v>4</v>
      </c>
      <c r="BI221" s="394">
        <v>8</v>
      </c>
      <c r="BJ221" s="394"/>
      <c r="BK221" s="394"/>
      <c r="BL221" s="444" t="s">
        <v>6981</v>
      </c>
      <c r="BM221" s="392"/>
      <c r="BN221" s="393"/>
      <c r="BO221" s="393"/>
      <c r="BP221" s="399"/>
      <c r="BQ221" s="400"/>
      <c r="BR221" s="401"/>
      <c r="BS221" s="399"/>
      <c r="BT221" s="394"/>
      <c r="BU221" s="417"/>
      <c r="BV221" s="399"/>
      <c r="BW221" s="393"/>
      <c r="BX221" s="392" t="s">
        <v>3205</v>
      </c>
      <c r="BY221" s="475" t="s">
        <v>7227</v>
      </c>
      <c r="BZ221" s="393"/>
      <c r="CA221" s="441" t="s">
        <v>1664</v>
      </c>
      <c r="CB221" s="400"/>
      <c r="CC221" s="398"/>
      <c r="CD221" s="398"/>
      <c r="CE221" s="398"/>
      <c r="CF221" s="398"/>
      <c r="CG221" s="398"/>
      <c r="CH221" s="398"/>
      <c r="CI221" s="398"/>
      <c r="CJ221" s="398"/>
      <c r="CK221" s="398"/>
      <c r="CL221" s="398"/>
      <c r="CM221" s="398"/>
      <c r="CN221" s="398"/>
      <c r="CO221" s="398"/>
      <c r="CP221" s="398"/>
      <c r="CQ221" s="398"/>
      <c r="CR221" s="398"/>
      <c r="CS221" s="398"/>
      <c r="CT221" s="398"/>
      <c r="CU221" s="398"/>
      <c r="CV221" s="398"/>
      <c r="CW221" s="398"/>
      <c r="CX221" s="398"/>
      <c r="CY221" s="398"/>
      <c r="CZ221" s="398"/>
      <c r="DA221" s="398"/>
      <c r="DB221" s="398"/>
      <c r="DC221" s="398"/>
      <c r="DD221" s="398"/>
      <c r="DE221" s="393"/>
      <c r="DF221" s="393"/>
      <c r="DG221" s="393"/>
      <c r="DH221" s="393"/>
      <c r="DI221" s="393"/>
      <c r="DJ221" s="393"/>
      <c r="DK221" s="897"/>
    </row>
    <row r="222" spans="1:115" ht="25.5" x14ac:dyDescent="0.2">
      <c r="A222" s="295">
        <v>218</v>
      </c>
      <c r="B222" s="390" t="s">
        <v>7167</v>
      </c>
      <c r="C222" s="390"/>
      <c r="D222" s="391" t="s">
        <v>7168</v>
      </c>
      <c r="E222" s="704" t="s">
        <v>7169</v>
      </c>
      <c r="F222" s="393" t="s">
        <v>1352</v>
      </c>
      <c r="G222" s="393" t="s">
        <v>1673</v>
      </c>
      <c r="H222" s="393" t="s">
        <v>228</v>
      </c>
      <c r="I222" s="392"/>
      <c r="J222" s="392" t="s">
        <v>228</v>
      </c>
      <c r="K222" s="392" t="s">
        <v>228</v>
      </c>
      <c r="L222" s="392" t="s">
        <v>229</v>
      </c>
      <c r="M222" s="392" t="s">
        <v>3929</v>
      </c>
      <c r="N222" s="393" t="s">
        <v>44</v>
      </c>
      <c r="O222" s="393" t="s">
        <v>69</v>
      </c>
      <c r="P222" s="393" t="s">
        <v>69</v>
      </c>
      <c r="Q222" s="392" t="s">
        <v>172</v>
      </c>
      <c r="R222" s="392" t="s">
        <v>7166</v>
      </c>
      <c r="S222" s="392" t="s">
        <v>166</v>
      </c>
      <c r="T222" s="394">
        <v>1</v>
      </c>
      <c r="U222" s="395">
        <v>61.51</v>
      </c>
      <c r="V222" s="395"/>
      <c r="W222" s="453"/>
      <c r="X222" s="394"/>
      <c r="Y222" s="394">
        <v>7</v>
      </c>
      <c r="Z222" s="394">
        <v>20</v>
      </c>
      <c r="AA222" s="395">
        <v>0</v>
      </c>
      <c r="AB222" s="452">
        <v>42200</v>
      </c>
      <c r="AC222" s="398">
        <v>0</v>
      </c>
      <c r="AD222" s="398">
        <v>336.3670136986301</v>
      </c>
      <c r="AE222" s="393" t="s">
        <v>37</v>
      </c>
      <c r="AF222" s="417"/>
      <c r="AG222" s="417">
        <f>58.558</f>
        <v>58.558</v>
      </c>
      <c r="AH222" s="417">
        <v>58.558</v>
      </c>
      <c r="AI222" s="394"/>
      <c r="AJ222" s="453">
        <v>43123</v>
      </c>
      <c r="AK222" s="452">
        <v>42582</v>
      </c>
      <c r="AL222" s="393"/>
      <c r="AM222" s="393"/>
      <c r="AN222" s="417"/>
      <c r="AO222" s="428" t="s">
        <v>7354</v>
      </c>
      <c r="AP222" s="428" t="s">
        <v>7208</v>
      </c>
      <c r="AQ222" s="392"/>
      <c r="AR222" s="392" t="s">
        <v>4211</v>
      </c>
      <c r="AS222" s="479">
        <v>40169</v>
      </c>
      <c r="AT222" s="453"/>
      <c r="AU222" s="453"/>
      <c r="AV222" s="453"/>
      <c r="AW222" s="453"/>
      <c r="AX222" s="453"/>
      <c r="AY222" s="453"/>
      <c r="AZ222" s="452">
        <v>42193</v>
      </c>
      <c r="BA222" s="393"/>
      <c r="BB222" s="393" t="s">
        <v>3116</v>
      </c>
      <c r="BC222" s="393" t="b">
        <v>0</v>
      </c>
      <c r="BD222" s="393" t="s">
        <v>3116</v>
      </c>
      <c r="BE222" s="392"/>
      <c r="BF222" s="394">
        <v>1</v>
      </c>
      <c r="BG222" s="394">
        <v>6</v>
      </c>
      <c r="BH222" s="394">
        <v>4</v>
      </c>
      <c r="BI222" s="394">
        <v>8</v>
      </c>
      <c r="BJ222" s="394"/>
      <c r="BK222" s="394"/>
      <c r="BL222" s="444" t="s">
        <v>6981</v>
      </c>
      <c r="BM222" s="392"/>
      <c r="BN222" s="393"/>
      <c r="BO222" s="393"/>
      <c r="BP222" s="399"/>
      <c r="BQ222" s="400"/>
      <c r="BR222" s="401"/>
      <c r="BS222" s="399"/>
      <c r="BT222" s="394"/>
      <c r="BU222" s="417"/>
      <c r="BV222" s="399"/>
      <c r="BW222" s="393"/>
      <c r="BX222" s="392" t="s">
        <v>3205</v>
      </c>
      <c r="BY222" s="475" t="s">
        <v>7227</v>
      </c>
      <c r="BZ222" s="393"/>
      <c r="CA222" s="441" t="s">
        <v>1664</v>
      </c>
      <c r="CB222" s="400"/>
      <c r="CC222" s="398"/>
      <c r="CD222" s="398"/>
      <c r="CE222" s="398"/>
      <c r="CF222" s="398"/>
      <c r="CG222" s="398"/>
      <c r="CH222" s="398"/>
      <c r="CI222" s="398"/>
      <c r="CJ222" s="398"/>
      <c r="CK222" s="398"/>
      <c r="CL222" s="398"/>
      <c r="CM222" s="398"/>
      <c r="CN222" s="398"/>
      <c r="CO222" s="398"/>
      <c r="CP222" s="398"/>
      <c r="CQ222" s="398"/>
      <c r="CR222" s="398"/>
      <c r="CS222" s="398"/>
      <c r="CT222" s="398"/>
      <c r="CU222" s="398"/>
      <c r="CV222" s="398"/>
      <c r="CW222" s="398"/>
      <c r="CX222" s="398"/>
      <c r="CY222" s="398"/>
      <c r="CZ222" s="398"/>
      <c r="DA222" s="398"/>
      <c r="DB222" s="398"/>
      <c r="DC222" s="398"/>
      <c r="DD222" s="398"/>
      <c r="DE222" s="393"/>
      <c r="DF222" s="393"/>
      <c r="DG222" s="393"/>
      <c r="DH222" s="393"/>
      <c r="DI222" s="393"/>
      <c r="DJ222" s="393"/>
      <c r="DK222" s="897"/>
    </row>
    <row r="223" spans="1:115" ht="25.5" x14ac:dyDescent="0.2">
      <c r="A223" s="295">
        <v>219</v>
      </c>
      <c r="B223" s="390" t="s">
        <v>7167</v>
      </c>
      <c r="C223" s="390"/>
      <c r="D223" s="474" t="s">
        <v>9098</v>
      </c>
      <c r="E223" s="705" t="s">
        <v>9099</v>
      </c>
      <c r="F223" s="393" t="s">
        <v>1352</v>
      </c>
      <c r="G223" s="393" t="s">
        <v>1673</v>
      </c>
      <c r="H223" s="393" t="s">
        <v>228</v>
      </c>
      <c r="I223" s="392"/>
      <c r="J223" s="392" t="s">
        <v>228</v>
      </c>
      <c r="K223" s="392" t="s">
        <v>228</v>
      </c>
      <c r="L223" s="392" t="s">
        <v>229</v>
      </c>
      <c r="M223" s="392" t="s">
        <v>3929</v>
      </c>
      <c r="N223" s="393" t="s">
        <v>44</v>
      </c>
      <c r="O223" s="393" t="s">
        <v>69</v>
      </c>
      <c r="P223" s="393" t="s">
        <v>69</v>
      </c>
      <c r="Q223" s="392" t="s">
        <v>172</v>
      </c>
      <c r="R223" s="392" t="s">
        <v>7166</v>
      </c>
      <c r="S223" s="392" t="s">
        <v>166</v>
      </c>
      <c r="T223" s="394">
        <v>1</v>
      </c>
      <c r="U223" s="395">
        <v>65.564999999999998</v>
      </c>
      <c r="V223" s="395"/>
      <c r="W223" s="453"/>
      <c r="X223" s="394"/>
      <c r="Y223" s="394">
        <v>7</v>
      </c>
      <c r="Z223" s="394">
        <v>20</v>
      </c>
      <c r="AA223" s="395">
        <v>0</v>
      </c>
      <c r="AB223" s="452">
        <v>42781</v>
      </c>
      <c r="AC223" s="398">
        <v>0</v>
      </c>
      <c r="AD223" s="398">
        <v>254.1766438356164</v>
      </c>
      <c r="AE223" s="393" t="s">
        <v>37</v>
      </c>
      <c r="AF223" s="417"/>
      <c r="AG223" s="417"/>
      <c r="AH223" s="417"/>
      <c r="AI223" s="394"/>
      <c r="AJ223" s="453"/>
      <c r="AK223" s="453"/>
      <c r="AL223" s="393"/>
      <c r="AM223" s="393"/>
      <c r="AN223" s="417"/>
      <c r="AO223" s="392"/>
      <c r="AP223" s="392"/>
      <c r="AQ223" s="392"/>
      <c r="AR223" s="392" t="s">
        <v>4211</v>
      </c>
      <c r="AS223" s="479">
        <v>40169</v>
      </c>
      <c r="AT223" s="453"/>
      <c r="AU223" s="453"/>
      <c r="AV223" s="453"/>
      <c r="AW223" s="453"/>
      <c r="AX223" s="453"/>
      <c r="AY223" s="453"/>
      <c r="AZ223" s="452">
        <v>42767</v>
      </c>
      <c r="BA223" s="393"/>
      <c r="BB223" s="393" t="s">
        <v>3116</v>
      </c>
      <c r="BC223" s="393" t="b">
        <v>0</v>
      </c>
      <c r="BD223" s="393" t="s">
        <v>3116</v>
      </c>
      <c r="BE223" s="392"/>
      <c r="BF223" s="394">
        <v>1</v>
      </c>
      <c r="BG223" s="394">
        <v>6</v>
      </c>
      <c r="BH223" s="394">
        <v>4</v>
      </c>
      <c r="BI223" s="394">
        <v>8</v>
      </c>
      <c r="BJ223" s="394"/>
      <c r="BK223" s="394"/>
      <c r="BL223" s="444" t="s">
        <v>6981</v>
      </c>
      <c r="BM223" s="392"/>
      <c r="BN223" s="393"/>
      <c r="BO223" s="393"/>
      <c r="BP223" s="399"/>
      <c r="BQ223" s="400"/>
      <c r="BR223" s="401"/>
      <c r="BS223" s="399"/>
      <c r="BT223" s="394"/>
      <c r="BU223" s="417"/>
      <c r="BV223" s="399"/>
      <c r="BW223" s="393"/>
      <c r="BX223" s="392" t="s">
        <v>3205</v>
      </c>
      <c r="BY223" s="475" t="s">
        <v>7227</v>
      </c>
      <c r="BZ223" s="393"/>
      <c r="CA223" s="441" t="s">
        <v>1664</v>
      </c>
      <c r="CB223" s="400"/>
      <c r="CC223" s="398"/>
      <c r="CD223" s="398"/>
      <c r="CE223" s="398"/>
      <c r="CF223" s="398"/>
      <c r="CG223" s="398"/>
      <c r="CH223" s="398"/>
      <c r="CI223" s="398"/>
      <c r="CJ223" s="398"/>
      <c r="CK223" s="398"/>
      <c r="CL223" s="398"/>
      <c r="CM223" s="395">
        <v>65.564999999999998</v>
      </c>
      <c r="CN223" s="395">
        <v>65.564999999999998</v>
      </c>
      <c r="CO223" s="395">
        <v>65.564999999999998</v>
      </c>
      <c r="CP223" s="395">
        <v>65.564999999999998</v>
      </c>
      <c r="CQ223" s="395">
        <v>65.564999999999998</v>
      </c>
      <c r="CR223" s="395">
        <v>65.564999999999998</v>
      </c>
      <c r="CS223" s="395">
        <v>65.564999999999998</v>
      </c>
      <c r="CT223" s="398"/>
      <c r="CU223" s="398"/>
      <c r="CV223" s="398"/>
      <c r="CW223" s="398"/>
      <c r="CX223" s="398"/>
      <c r="CY223" s="398"/>
      <c r="CZ223" s="398"/>
      <c r="DA223" s="398"/>
      <c r="DB223" s="398"/>
      <c r="DC223" s="398"/>
      <c r="DD223" s="398"/>
      <c r="DE223" s="393"/>
      <c r="DF223" s="393"/>
      <c r="DG223" s="393"/>
      <c r="DH223" s="393"/>
      <c r="DI223" s="393"/>
      <c r="DJ223" s="393"/>
      <c r="DK223" s="897"/>
    </row>
    <row r="224" spans="1:115" ht="38.25" x14ac:dyDescent="0.2">
      <c r="A224" s="295">
        <v>220</v>
      </c>
      <c r="B224" s="390" t="s">
        <v>156</v>
      </c>
      <c r="C224" s="424" t="s">
        <v>7445</v>
      </c>
      <c r="D224" s="391"/>
      <c r="E224" s="707" t="s">
        <v>1939</v>
      </c>
      <c r="F224" s="404" t="s">
        <v>1352</v>
      </c>
      <c r="G224" s="404" t="s">
        <v>1672</v>
      </c>
      <c r="H224" s="404" t="s">
        <v>78</v>
      </c>
      <c r="I224" s="403"/>
      <c r="J224" s="403" t="s">
        <v>78</v>
      </c>
      <c r="K224" s="403"/>
      <c r="L224" s="403" t="s">
        <v>157</v>
      </c>
      <c r="M224" s="403" t="s">
        <v>3931</v>
      </c>
      <c r="N224" s="404" t="s">
        <v>3142</v>
      </c>
      <c r="O224" s="404" t="s">
        <v>69</v>
      </c>
      <c r="P224" s="404" t="s">
        <v>69</v>
      </c>
      <c r="Q224" s="403" t="s">
        <v>152</v>
      </c>
      <c r="R224" s="403"/>
      <c r="S224" s="403" t="s">
        <v>153</v>
      </c>
      <c r="T224" s="405">
        <v>1</v>
      </c>
      <c r="U224" s="406">
        <v>2.7581428571428601</v>
      </c>
      <c r="V224" s="406"/>
      <c r="W224" s="456">
        <v>40148</v>
      </c>
      <c r="X224" s="405">
        <v>28</v>
      </c>
      <c r="Y224" s="405"/>
      <c r="Z224" s="405"/>
      <c r="AA224" s="406"/>
      <c r="AB224" s="455"/>
      <c r="AC224" s="407">
        <v>5</v>
      </c>
      <c r="AD224" s="407">
        <v>28.75269471624269</v>
      </c>
      <c r="AE224" s="404" t="s">
        <v>47</v>
      </c>
      <c r="AF224" s="418"/>
      <c r="AG224" s="418"/>
      <c r="AH224" s="418">
        <v>0</v>
      </c>
      <c r="AI224" s="405"/>
      <c r="AJ224" s="455"/>
      <c r="AK224" s="455"/>
      <c r="AL224" s="404"/>
      <c r="AM224" s="404"/>
      <c r="AN224" s="418"/>
      <c r="AO224" s="403"/>
      <c r="AP224" s="403" t="s">
        <v>7042</v>
      </c>
      <c r="AQ224" s="403"/>
      <c r="AR224" s="403" t="s">
        <v>3932</v>
      </c>
      <c r="AS224" s="482">
        <v>40170</v>
      </c>
      <c r="AT224" s="455"/>
      <c r="AU224" s="455"/>
      <c r="AV224" s="455"/>
      <c r="AW224" s="455"/>
      <c r="AX224" s="455"/>
      <c r="AY224" s="455"/>
      <c r="AZ224" s="455"/>
      <c r="BA224" s="404"/>
      <c r="BB224" s="404" t="s">
        <v>3147</v>
      </c>
      <c r="BC224" s="404" t="b">
        <v>1</v>
      </c>
      <c r="BD224" s="404" t="s">
        <v>3116</v>
      </c>
      <c r="BE224" s="403"/>
      <c r="BF224" s="405">
        <v>1</v>
      </c>
      <c r="BG224" s="405">
        <v>8</v>
      </c>
      <c r="BH224" s="405">
        <v>4</v>
      </c>
      <c r="BI224" s="405">
        <v>5</v>
      </c>
      <c r="BJ224" s="405">
        <v>6</v>
      </c>
      <c r="BK224" s="405">
        <v>9</v>
      </c>
      <c r="BL224" s="446"/>
      <c r="BM224" s="403"/>
      <c r="BN224" s="404"/>
      <c r="BO224" s="404"/>
      <c r="BP224" s="408"/>
      <c r="BQ224" s="409"/>
      <c r="BR224" s="410"/>
      <c r="BS224" s="408">
        <v>0</v>
      </c>
      <c r="BT224" s="405"/>
      <c r="BU224" s="418"/>
      <c r="BV224" s="408"/>
      <c r="BW224" s="404"/>
      <c r="BX224" s="403"/>
      <c r="BY224" s="404"/>
      <c r="BZ224" s="404"/>
      <c r="CA224" s="443"/>
      <c r="CB224" s="409"/>
      <c r="CC224" s="407"/>
      <c r="CD224" s="407"/>
      <c r="CE224" s="407"/>
      <c r="CF224" s="407"/>
      <c r="CG224" s="407"/>
      <c r="CH224" s="407"/>
      <c r="CI224" s="407"/>
      <c r="CJ224" s="407"/>
      <c r="CK224" s="407"/>
      <c r="CL224" s="407"/>
      <c r="CM224" s="407"/>
      <c r="CN224" s="407"/>
      <c r="CO224" s="407"/>
      <c r="CP224" s="407"/>
      <c r="CQ224" s="407"/>
      <c r="CR224" s="407"/>
      <c r="CS224" s="407"/>
      <c r="CT224" s="407"/>
      <c r="CU224" s="407"/>
      <c r="CV224" s="407"/>
      <c r="CW224" s="407"/>
      <c r="CX224" s="407"/>
      <c r="CY224" s="407"/>
      <c r="CZ224" s="407"/>
      <c r="DA224" s="407"/>
      <c r="DB224" s="407"/>
      <c r="DC224" s="407"/>
      <c r="DD224" s="407"/>
      <c r="DE224" s="404"/>
      <c r="DF224" s="404"/>
      <c r="DG224" s="404"/>
      <c r="DH224" s="404"/>
      <c r="DI224" s="404"/>
      <c r="DJ224" s="404"/>
      <c r="DK224" s="897"/>
    </row>
    <row r="225" spans="1:115" ht="25.5" x14ac:dyDescent="0.2">
      <c r="A225" s="295">
        <v>221</v>
      </c>
      <c r="B225" s="390" t="s">
        <v>2611</v>
      </c>
      <c r="C225" s="390"/>
      <c r="D225" s="391"/>
      <c r="E225" s="707" t="s">
        <v>158</v>
      </c>
      <c r="F225" s="404" t="s">
        <v>1352</v>
      </c>
      <c r="G225" s="404" t="s">
        <v>1672</v>
      </c>
      <c r="H225" s="404" t="s">
        <v>78</v>
      </c>
      <c r="I225" s="403"/>
      <c r="J225" s="403"/>
      <c r="K225" s="403" t="s">
        <v>2132</v>
      </c>
      <c r="L225" s="403" t="s">
        <v>157</v>
      </c>
      <c r="M225" s="403"/>
      <c r="N225" s="404" t="s">
        <v>3142</v>
      </c>
      <c r="O225" s="404" t="s">
        <v>69</v>
      </c>
      <c r="P225" s="404" t="s">
        <v>69</v>
      </c>
      <c r="Q225" s="403" t="s">
        <v>152</v>
      </c>
      <c r="R225" s="403" t="s">
        <v>3933</v>
      </c>
      <c r="S225" s="403" t="s">
        <v>153</v>
      </c>
      <c r="T225" s="405">
        <v>1</v>
      </c>
      <c r="U225" s="406">
        <v>2.7581428571428601</v>
      </c>
      <c r="V225" s="406"/>
      <c r="W225" s="455"/>
      <c r="X225" s="405"/>
      <c r="Y225" s="405">
        <v>7</v>
      </c>
      <c r="Z225" s="405">
        <v>30</v>
      </c>
      <c r="AA225" s="406">
        <v>0.55000000000000004</v>
      </c>
      <c r="AB225" s="456">
        <v>40391</v>
      </c>
      <c r="AC225" s="407">
        <v>5</v>
      </c>
      <c r="AD225" s="407">
        <v>28.75269471624269</v>
      </c>
      <c r="AE225" s="404" t="s">
        <v>47</v>
      </c>
      <c r="AF225" s="418"/>
      <c r="AG225" s="418"/>
      <c r="AH225" s="418"/>
      <c r="AI225" s="405"/>
      <c r="AJ225" s="455"/>
      <c r="AK225" s="455"/>
      <c r="AL225" s="404"/>
      <c r="AM225" s="404"/>
      <c r="AN225" s="418"/>
      <c r="AO225" s="403"/>
      <c r="AP225" s="403" t="s">
        <v>7042</v>
      </c>
      <c r="AQ225" s="403"/>
      <c r="AR225" s="403" t="s">
        <v>3932</v>
      </c>
      <c r="AS225" s="482">
        <v>40170</v>
      </c>
      <c r="AT225" s="455"/>
      <c r="AU225" s="455"/>
      <c r="AV225" s="455"/>
      <c r="AW225" s="455"/>
      <c r="AX225" s="455"/>
      <c r="AY225" s="455"/>
      <c r="AZ225" s="455"/>
      <c r="BA225" s="404"/>
      <c r="BB225" s="404"/>
      <c r="BC225" s="404" t="b">
        <v>0</v>
      </c>
      <c r="BD225" s="404"/>
      <c r="BE225" s="403"/>
      <c r="BF225" s="405">
        <v>1</v>
      </c>
      <c r="BG225" s="405">
        <v>8</v>
      </c>
      <c r="BH225" s="405">
        <v>4</v>
      </c>
      <c r="BI225" s="405">
        <v>5</v>
      </c>
      <c r="BJ225" s="405">
        <v>6</v>
      </c>
      <c r="BK225" s="405">
        <v>9</v>
      </c>
      <c r="BL225" s="446" t="s">
        <v>6981</v>
      </c>
      <c r="BM225" s="403"/>
      <c r="BN225" s="404"/>
      <c r="BO225" s="404"/>
      <c r="BP225" s="408"/>
      <c r="BQ225" s="409"/>
      <c r="BR225" s="410"/>
      <c r="BS225" s="408"/>
      <c r="BT225" s="405"/>
      <c r="BU225" s="418"/>
      <c r="BV225" s="408"/>
      <c r="BW225" s="404" t="s">
        <v>3165</v>
      </c>
      <c r="BX225" s="403" t="s">
        <v>3223</v>
      </c>
      <c r="BY225" s="404"/>
      <c r="BZ225" s="404"/>
      <c r="CA225" s="443"/>
      <c r="CB225" s="409"/>
      <c r="CC225" s="407"/>
      <c r="CD225" s="407"/>
      <c r="CE225" s="407"/>
      <c r="CF225" s="407">
        <v>1.206</v>
      </c>
      <c r="CG225" s="407">
        <v>2.0680000000000001</v>
      </c>
      <c r="CH225" s="407">
        <v>2.6469999999999998</v>
      </c>
      <c r="CI225" s="407">
        <v>3.0339999999999998</v>
      </c>
      <c r="CJ225" s="407">
        <v>3.294</v>
      </c>
      <c r="CK225" s="407">
        <v>3.4689999999999999</v>
      </c>
      <c r="CL225" s="407">
        <v>3.585</v>
      </c>
      <c r="CM225" s="407">
        <v>3.585</v>
      </c>
      <c r="CN225" s="407">
        <v>3.585</v>
      </c>
      <c r="CO225" s="407">
        <v>3.585</v>
      </c>
      <c r="CP225" s="407">
        <v>3.585</v>
      </c>
      <c r="CQ225" s="407">
        <v>3.585</v>
      </c>
      <c r="CR225" s="407">
        <v>3.585</v>
      </c>
      <c r="CS225" s="407">
        <v>3.585</v>
      </c>
      <c r="CT225" s="407">
        <v>3.585</v>
      </c>
      <c r="CU225" s="407">
        <v>3.585</v>
      </c>
      <c r="CV225" s="407">
        <v>3.585</v>
      </c>
      <c r="CW225" s="407">
        <v>3.585</v>
      </c>
      <c r="CX225" s="407">
        <v>3.585</v>
      </c>
      <c r="CY225" s="407">
        <v>3.585</v>
      </c>
      <c r="CZ225" s="407">
        <v>3.585</v>
      </c>
      <c r="DA225" s="407"/>
      <c r="DB225" s="407"/>
      <c r="DC225" s="407"/>
      <c r="DD225" s="407"/>
      <c r="DE225" s="404"/>
      <c r="DF225" s="404"/>
      <c r="DG225" s="404"/>
      <c r="DH225" s="404"/>
      <c r="DI225" s="404"/>
      <c r="DJ225" s="404"/>
      <c r="DK225" s="897"/>
    </row>
    <row r="226" spans="1:115" ht="51" x14ac:dyDescent="0.2">
      <c r="A226" s="295">
        <v>222</v>
      </c>
      <c r="B226" s="390" t="s">
        <v>1194</v>
      </c>
      <c r="C226" s="424" t="s">
        <v>7446</v>
      </c>
      <c r="D226" s="391"/>
      <c r="E226" s="707" t="s">
        <v>800</v>
      </c>
      <c r="F226" s="404" t="s">
        <v>1352</v>
      </c>
      <c r="G226" s="404" t="s">
        <v>1672</v>
      </c>
      <c r="H226" s="404" t="s">
        <v>89</v>
      </c>
      <c r="I226" s="403"/>
      <c r="J226" s="403" t="s">
        <v>89</v>
      </c>
      <c r="K226" s="403"/>
      <c r="L226" s="403" t="s">
        <v>1195</v>
      </c>
      <c r="M226" s="403" t="s">
        <v>3934</v>
      </c>
      <c r="N226" s="404" t="s">
        <v>2412</v>
      </c>
      <c r="O226" s="404" t="s">
        <v>289</v>
      </c>
      <c r="P226" s="404" t="s">
        <v>289</v>
      </c>
      <c r="Q226" s="403" t="s">
        <v>649</v>
      </c>
      <c r="R226" s="403"/>
      <c r="S226" s="403" t="s">
        <v>650</v>
      </c>
      <c r="T226" s="405"/>
      <c r="U226" s="406"/>
      <c r="V226" s="406"/>
      <c r="W226" s="456">
        <v>40178</v>
      </c>
      <c r="X226" s="405">
        <v>28</v>
      </c>
      <c r="Y226" s="405"/>
      <c r="Z226" s="405"/>
      <c r="AA226" s="406"/>
      <c r="AB226" s="455"/>
      <c r="AC226" s="407"/>
      <c r="AD226" s="407"/>
      <c r="AE226" s="404" t="s">
        <v>72</v>
      </c>
      <c r="AF226" s="418"/>
      <c r="AG226" s="418"/>
      <c r="AH226" s="418"/>
      <c r="AI226" s="405"/>
      <c r="AJ226" s="455"/>
      <c r="AK226" s="455"/>
      <c r="AL226" s="404"/>
      <c r="AM226" s="404"/>
      <c r="AN226" s="418"/>
      <c r="AO226" s="403"/>
      <c r="AP226" s="403" t="s">
        <v>7048</v>
      </c>
      <c r="AQ226" s="403"/>
      <c r="AR226" s="403" t="s">
        <v>368</v>
      </c>
      <c r="AS226" s="482">
        <v>40170</v>
      </c>
      <c r="AT226" s="456">
        <v>40799</v>
      </c>
      <c r="AU226" s="455"/>
      <c r="AV226" s="455"/>
      <c r="AW226" s="455"/>
      <c r="AX226" s="455"/>
      <c r="AY226" s="455"/>
      <c r="AZ226" s="455"/>
      <c r="BA226" s="404"/>
      <c r="BB226" s="404" t="s">
        <v>3147</v>
      </c>
      <c r="BC226" s="404" t="b">
        <v>1</v>
      </c>
      <c r="BD226" s="404" t="s">
        <v>3147</v>
      </c>
      <c r="BE226" s="403"/>
      <c r="BF226" s="405">
        <v>4</v>
      </c>
      <c r="BG226" s="405">
        <v>8</v>
      </c>
      <c r="BH226" s="405">
        <v>10</v>
      </c>
      <c r="BI226" s="405">
        <v>5</v>
      </c>
      <c r="BJ226" s="405">
        <v>9</v>
      </c>
      <c r="BK226" s="405">
        <v>11</v>
      </c>
      <c r="BL226" s="446"/>
      <c r="BM226" s="403"/>
      <c r="BN226" s="404"/>
      <c r="BO226" s="404"/>
      <c r="BP226" s="408"/>
      <c r="BQ226" s="409"/>
      <c r="BR226" s="410"/>
      <c r="BS226" s="408"/>
      <c r="BT226" s="405"/>
      <c r="BU226" s="418"/>
      <c r="BV226" s="408"/>
      <c r="BW226" s="404"/>
      <c r="BX226" s="403"/>
      <c r="BY226" s="404"/>
      <c r="BZ226" s="404"/>
      <c r="CA226" s="443"/>
      <c r="CB226" s="409"/>
      <c r="CC226" s="407"/>
      <c r="CD226" s="407"/>
      <c r="CE226" s="407"/>
      <c r="CF226" s="407"/>
      <c r="CG226" s="407"/>
      <c r="CH226" s="407"/>
      <c r="CI226" s="407"/>
      <c r="CJ226" s="407"/>
      <c r="CK226" s="407"/>
      <c r="CL226" s="407"/>
      <c r="CM226" s="407"/>
      <c r="CN226" s="407"/>
      <c r="CO226" s="407"/>
      <c r="CP226" s="407"/>
      <c r="CQ226" s="407"/>
      <c r="CR226" s="407"/>
      <c r="CS226" s="407"/>
      <c r="CT226" s="407"/>
      <c r="CU226" s="407"/>
      <c r="CV226" s="407"/>
      <c r="CW226" s="407"/>
      <c r="CX226" s="407"/>
      <c r="CY226" s="407"/>
      <c r="CZ226" s="407"/>
      <c r="DA226" s="407"/>
      <c r="DB226" s="407"/>
      <c r="DC226" s="407"/>
      <c r="DD226" s="407"/>
      <c r="DE226" s="404"/>
      <c r="DF226" s="404"/>
      <c r="DG226" s="404"/>
      <c r="DH226" s="404"/>
      <c r="DI226" s="404"/>
      <c r="DJ226" s="404"/>
      <c r="DK226" s="897"/>
    </row>
    <row r="227" spans="1:115" ht="25.5" x14ac:dyDescent="0.2">
      <c r="A227" s="295">
        <v>223</v>
      </c>
      <c r="B227" s="390" t="s">
        <v>2612</v>
      </c>
      <c r="C227" s="390"/>
      <c r="D227" s="391"/>
      <c r="E227" s="707" t="s">
        <v>662</v>
      </c>
      <c r="F227" s="404" t="s">
        <v>1352</v>
      </c>
      <c r="G227" s="404" t="s">
        <v>1672</v>
      </c>
      <c r="H227" s="404" t="s">
        <v>89</v>
      </c>
      <c r="I227" s="403"/>
      <c r="J227" s="403"/>
      <c r="K227" s="403" t="s">
        <v>663</v>
      </c>
      <c r="L227" s="403" t="s">
        <v>664</v>
      </c>
      <c r="M227" s="403"/>
      <c r="N227" s="404" t="s">
        <v>2412</v>
      </c>
      <c r="O227" s="404" t="s">
        <v>289</v>
      </c>
      <c r="P227" s="404" t="s">
        <v>289</v>
      </c>
      <c r="Q227" s="403" t="s">
        <v>649</v>
      </c>
      <c r="R227" s="403" t="s">
        <v>3935</v>
      </c>
      <c r="S227" s="403" t="s">
        <v>650</v>
      </c>
      <c r="T227" s="405">
        <v>1</v>
      </c>
      <c r="U227" s="406">
        <v>9.6240000000000006</v>
      </c>
      <c r="V227" s="406"/>
      <c r="W227" s="455"/>
      <c r="X227" s="405"/>
      <c r="Y227" s="405">
        <v>7</v>
      </c>
      <c r="Z227" s="405">
        <v>30</v>
      </c>
      <c r="AA227" s="406">
        <v>0</v>
      </c>
      <c r="AB227" s="456">
        <v>40544</v>
      </c>
      <c r="AC227" s="407">
        <v>19.248000000000001</v>
      </c>
      <c r="AD227" s="407">
        <v>96.292734246575364</v>
      </c>
      <c r="AE227" s="404" t="s">
        <v>72</v>
      </c>
      <c r="AF227" s="418"/>
      <c r="AG227" s="418"/>
      <c r="AH227" s="418"/>
      <c r="AI227" s="405"/>
      <c r="AJ227" s="455"/>
      <c r="AK227" s="455"/>
      <c r="AL227" s="404"/>
      <c r="AM227" s="404"/>
      <c r="AN227" s="418"/>
      <c r="AO227" s="403"/>
      <c r="AP227" s="403" t="s">
        <v>7048</v>
      </c>
      <c r="AQ227" s="403"/>
      <c r="AR227" s="403" t="s">
        <v>368</v>
      </c>
      <c r="AS227" s="482">
        <v>40170</v>
      </c>
      <c r="AT227" s="456">
        <v>40799</v>
      </c>
      <c r="AU227" s="455"/>
      <c r="AV227" s="455"/>
      <c r="AW227" s="455"/>
      <c r="AX227" s="455"/>
      <c r="AY227" s="455"/>
      <c r="AZ227" s="455"/>
      <c r="BA227" s="404"/>
      <c r="BB227" s="404"/>
      <c r="BC227" s="404" t="b">
        <v>0</v>
      </c>
      <c r="BD227" s="404"/>
      <c r="BE227" s="403"/>
      <c r="BF227" s="405">
        <v>4</v>
      </c>
      <c r="BG227" s="405">
        <v>8</v>
      </c>
      <c r="BH227" s="405">
        <v>10</v>
      </c>
      <c r="BI227" s="405">
        <v>5</v>
      </c>
      <c r="BJ227" s="405">
        <v>9</v>
      </c>
      <c r="BK227" s="405">
        <v>11</v>
      </c>
      <c r="BL227" s="446" t="s">
        <v>1451</v>
      </c>
      <c r="BM227" s="403"/>
      <c r="BN227" s="404" t="s">
        <v>117</v>
      </c>
      <c r="BO227" s="404"/>
      <c r="BP227" s="408"/>
      <c r="BQ227" s="409"/>
      <c r="BR227" s="410"/>
      <c r="BS227" s="408">
        <v>6</v>
      </c>
      <c r="BT227" s="405">
        <v>21657</v>
      </c>
      <c r="BU227" s="418">
        <v>0.53549999999999998</v>
      </c>
      <c r="BV227" s="408"/>
      <c r="BW227" s="404" t="s">
        <v>3117</v>
      </c>
      <c r="BX227" s="403"/>
      <c r="BY227" s="404"/>
      <c r="BZ227" s="404"/>
      <c r="CA227" s="443" t="s">
        <v>1662</v>
      </c>
      <c r="CB227" s="409">
        <v>3</v>
      </c>
      <c r="CC227" s="407"/>
      <c r="CD227" s="407"/>
      <c r="CE227" s="407"/>
      <c r="CF227" s="407"/>
      <c r="CG227" s="407">
        <v>9.6240000000000006</v>
      </c>
      <c r="CH227" s="407">
        <v>9.6240000000000006</v>
      </c>
      <c r="CI227" s="407">
        <v>9.6240000000000006</v>
      </c>
      <c r="CJ227" s="407">
        <v>9.6240000000000006</v>
      </c>
      <c r="CK227" s="407">
        <v>9.6240000000000006</v>
      </c>
      <c r="CL227" s="407">
        <v>9.6240000000000006</v>
      </c>
      <c r="CM227" s="407">
        <v>9.6240000000000006</v>
      </c>
      <c r="CN227" s="407">
        <v>9.6240000000000006</v>
      </c>
      <c r="CO227" s="407">
        <v>9.6240000000000006</v>
      </c>
      <c r="CP227" s="407">
        <v>9.6240000000000006</v>
      </c>
      <c r="CQ227" s="407">
        <v>9.6240000000000006</v>
      </c>
      <c r="CR227" s="407">
        <v>9.6240000000000006</v>
      </c>
      <c r="CS227" s="407">
        <v>9.6240000000000006</v>
      </c>
      <c r="CT227" s="407">
        <v>9.6240000000000006</v>
      </c>
      <c r="CU227" s="407">
        <v>9.6240000000000006</v>
      </c>
      <c r="CV227" s="407">
        <v>9.6240000000000006</v>
      </c>
      <c r="CW227" s="407">
        <v>9.6240000000000006</v>
      </c>
      <c r="CX227" s="407">
        <v>9.6240000000000006</v>
      </c>
      <c r="CY227" s="407">
        <v>9.6240000000000006</v>
      </c>
      <c r="CZ227" s="407">
        <v>9.6240000000000006</v>
      </c>
      <c r="DA227" s="407">
        <v>9.6240000000000006</v>
      </c>
      <c r="DB227" s="407"/>
      <c r="DC227" s="407"/>
      <c r="DD227" s="407"/>
      <c r="DE227" s="404"/>
      <c r="DF227" s="404"/>
      <c r="DG227" s="404"/>
      <c r="DH227" s="404"/>
      <c r="DI227" s="404"/>
      <c r="DJ227" s="404"/>
      <c r="DK227" s="897"/>
    </row>
    <row r="228" spans="1:115" ht="38.25" x14ac:dyDescent="0.2">
      <c r="A228" s="295">
        <v>224</v>
      </c>
      <c r="B228" s="390" t="s">
        <v>709</v>
      </c>
      <c r="C228" s="424" t="s">
        <v>7447</v>
      </c>
      <c r="D228" s="391"/>
      <c r="E228" s="706" t="s">
        <v>710</v>
      </c>
      <c r="F228" s="390" t="s">
        <v>1340</v>
      </c>
      <c r="G228" s="390" t="s">
        <v>1359</v>
      </c>
      <c r="H228" s="390" t="s">
        <v>233</v>
      </c>
      <c r="I228" s="402"/>
      <c r="J228" s="402" t="s">
        <v>711</v>
      </c>
      <c r="K228" s="402"/>
      <c r="L228" s="402" t="s">
        <v>712</v>
      </c>
      <c r="M228" s="402" t="s">
        <v>3936</v>
      </c>
      <c r="N228" s="390" t="s">
        <v>33</v>
      </c>
      <c r="O228" s="390" t="s">
        <v>713</v>
      </c>
      <c r="P228" s="390" t="s">
        <v>713</v>
      </c>
      <c r="Q228" s="402" t="s">
        <v>713</v>
      </c>
      <c r="R228" s="402"/>
      <c r="S228" s="402" t="s">
        <v>1940</v>
      </c>
      <c r="T228" s="411">
        <v>1</v>
      </c>
      <c r="U228" s="412">
        <v>4.9039999999999999</v>
      </c>
      <c r="V228" s="412"/>
      <c r="W228" s="457">
        <v>39230</v>
      </c>
      <c r="X228" s="411">
        <v>30</v>
      </c>
      <c r="Y228" s="411"/>
      <c r="Z228" s="411"/>
      <c r="AA228" s="412"/>
      <c r="AB228" s="454"/>
      <c r="AC228" s="413">
        <v>24.52</v>
      </c>
      <c r="AD228" s="413">
        <v>66.721271232876717</v>
      </c>
      <c r="AE228" s="390" t="s">
        <v>72</v>
      </c>
      <c r="AF228" s="419"/>
      <c r="AG228" s="419"/>
      <c r="AH228" s="419">
        <v>0</v>
      </c>
      <c r="AI228" s="411"/>
      <c r="AJ228" s="454"/>
      <c r="AK228" s="454"/>
      <c r="AL228" s="390"/>
      <c r="AM228" s="390"/>
      <c r="AN228" s="419"/>
      <c r="AO228" s="402"/>
      <c r="AP228" s="402" t="s">
        <v>7049</v>
      </c>
      <c r="AQ228" s="402"/>
      <c r="AR228" s="402" t="s">
        <v>714</v>
      </c>
      <c r="AS228" s="481">
        <v>40171</v>
      </c>
      <c r="AT228" s="454"/>
      <c r="AU228" s="454"/>
      <c r="AV228" s="454"/>
      <c r="AW228" s="454"/>
      <c r="AX228" s="454"/>
      <c r="AY228" s="454"/>
      <c r="AZ228" s="454"/>
      <c r="BA228" s="390"/>
      <c r="BB228" s="390" t="s">
        <v>3147</v>
      </c>
      <c r="BC228" s="390" t="b">
        <v>0</v>
      </c>
      <c r="BD228" s="390" t="s">
        <v>3147</v>
      </c>
      <c r="BE228" s="402"/>
      <c r="BF228" s="411">
        <v>5</v>
      </c>
      <c r="BG228" s="411">
        <v>9</v>
      </c>
      <c r="BH228" s="411">
        <v>8</v>
      </c>
      <c r="BI228" s="411">
        <v>7</v>
      </c>
      <c r="BJ228" s="411"/>
      <c r="BK228" s="411"/>
      <c r="BL228" s="445"/>
      <c r="BM228" s="402"/>
      <c r="BN228" s="390"/>
      <c r="BO228" s="390"/>
      <c r="BP228" s="414"/>
      <c r="BQ228" s="415"/>
      <c r="BR228" s="416"/>
      <c r="BS228" s="414">
        <v>0</v>
      </c>
      <c r="BT228" s="411"/>
      <c r="BU228" s="419"/>
      <c r="BV228" s="414"/>
      <c r="BW228" s="390"/>
      <c r="BX228" s="402"/>
      <c r="BY228" s="390"/>
      <c r="BZ228" s="390"/>
      <c r="CA228" s="442"/>
      <c r="CB228" s="415"/>
      <c r="CC228" s="413"/>
      <c r="CD228" s="413"/>
      <c r="CE228" s="413"/>
      <c r="CF228" s="413"/>
      <c r="CG228" s="413"/>
      <c r="CH228" s="413"/>
      <c r="CI228" s="413"/>
      <c r="CJ228" s="413"/>
      <c r="CK228" s="413"/>
      <c r="CL228" s="413"/>
      <c r="CM228" s="413"/>
      <c r="CN228" s="413"/>
      <c r="CO228" s="413"/>
      <c r="CP228" s="413"/>
      <c r="CQ228" s="413"/>
      <c r="CR228" s="413"/>
      <c r="CS228" s="413"/>
      <c r="CT228" s="413"/>
      <c r="CU228" s="413"/>
      <c r="CV228" s="413"/>
      <c r="CW228" s="413"/>
      <c r="CX228" s="413"/>
      <c r="CY228" s="413"/>
      <c r="CZ228" s="413"/>
      <c r="DA228" s="413"/>
      <c r="DB228" s="413"/>
      <c r="DC228" s="413"/>
      <c r="DD228" s="413"/>
      <c r="DE228" s="390"/>
      <c r="DF228" s="390"/>
      <c r="DG228" s="390"/>
      <c r="DH228" s="390"/>
      <c r="DI228" s="390"/>
      <c r="DJ228" s="390"/>
      <c r="DK228" s="897"/>
    </row>
    <row r="229" spans="1:115" ht="38.25" x14ac:dyDescent="0.2">
      <c r="A229" s="295">
        <v>225</v>
      </c>
      <c r="B229" s="390" t="s">
        <v>2613</v>
      </c>
      <c r="C229" s="390"/>
      <c r="D229" s="391"/>
      <c r="E229" s="706" t="s">
        <v>715</v>
      </c>
      <c r="F229" s="390" t="s">
        <v>1340</v>
      </c>
      <c r="G229" s="390" t="s">
        <v>1359</v>
      </c>
      <c r="H229" s="390" t="s">
        <v>233</v>
      </c>
      <c r="I229" s="402"/>
      <c r="J229" s="402"/>
      <c r="K229" s="402" t="s">
        <v>2133</v>
      </c>
      <c r="L229" s="402" t="s">
        <v>712</v>
      </c>
      <c r="M229" s="402"/>
      <c r="N229" s="390" t="s">
        <v>33</v>
      </c>
      <c r="O229" s="390" t="s">
        <v>713</v>
      </c>
      <c r="P229" s="390" t="s">
        <v>713</v>
      </c>
      <c r="Q229" s="402" t="s">
        <v>713</v>
      </c>
      <c r="R229" s="402" t="s">
        <v>3937</v>
      </c>
      <c r="S229" s="402" t="s">
        <v>1940</v>
      </c>
      <c r="T229" s="411">
        <v>1</v>
      </c>
      <c r="U229" s="412">
        <v>4.9039999999999999</v>
      </c>
      <c r="V229" s="412"/>
      <c r="W229" s="454"/>
      <c r="X229" s="411"/>
      <c r="Y229" s="411">
        <v>20</v>
      </c>
      <c r="Z229" s="411">
        <v>60</v>
      </c>
      <c r="AA229" s="412">
        <v>0</v>
      </c>
      <c r="AB229" s="457">
        <v>39230</v>
      </c>
      <c r="AC229" s="413">
        <v>24.52</v>
      </c>
      <c r="AD229" s="413">
        <v>66.721271232876717</v>
      </c>
      <c r="AE229" s="390" t="s">
        <v>72</v>
      </c>
      <c r="AF229" s="419"/>
      <c r="AG229" s="419"/>
      <c r="AH229" s="419"/>
      <c r="AI229" s="411"/>
      <c r="AJ229" s="454"/>
      <c r="AK229" s="454"/>
      <c r="AL229" s="390"/>
      <c r="AM229" s="390"/>
      <c r="AN229" s="419"/>
      <c r="AO229" s="402"/>
      <c r="AP229" s="402" t="s">
        <v>7049</v>
      </c>
      <c r="AQ229" s="402"/>
      <c r="AR229" s="402" t="s">
        <v>714</v>
      </c>
      <c r="AS229" s="481">
        <v>40171</v>
      </c>
      <c r="AT229" s="454"/>
      <c r="AU229" s="454"/>
      <c r="AV229" s="454"/>
      <c r="AW229" s="454"/>
      <c r="AX229" s="454"/>
      <c r="AY229" s="454"/>
      <c r="AZ229" s="454"/>
      <c r="BA229" s="390"/>
      <c r="BB229" s="390"/>
      <c r="BC229" s="390" t="b">
        <v>0</v>
      </c>
      <c r="BD229" s="390"/>
      <c r="BE229" s="402"/>
      <c r="BF229" s="411">
        <v>5</v>
      </c>
      <c r="BG229" s="411">
        <v>9</v>
      </c>
      <c r="BH229" s="411">
        <v>8</v>
      </c>
      <c r="BI229" s="411">
        <v>7</v>
      </c>
      <c r="BJ229" s="411"/>
      <c r="BK229" s="411"/>
      <c r="BL229" s="445" t="s">
        <v>6981</v>
      </c>
      <c r="BM229" s="402"/>
      <c r="BN229" s="390"/>
      <c r="BO229" s="390"/>
      <c r="BP229" s="414"/>
      <c r="BQ229" s="415"/>
      <c r="BR229" s="416"/>
      <c r="BS229" s="414"/>
      <c r="BT229" s="411"/>
      <c r="BU229" s="419"/>
      <c r="BV229" s="414"/>
      <c r="BW229" s="390" t="s">
        <v>3117</v>
      </c>
      <c r="BX229" s="402" t="s">
        <v>3199</v>
      </c>
      <c r="BY229" s="390" t="s">
        <v>7225</v>
      </c>
      <c r="BZ229" s="390"/>
      <c r="CA229" s="442"/>
      <c r="CB229" s="415"/>
      <c r="CC229" s="413">
        <v>2.11</v>
      </c>
      <c r="CD229" s="413">
        <v>4.9279999999999999</v>
      </c>
      <c r="CE229" s="413">
        <v>6.3460000000000001</v>
      </c>
      <c r="CF229" s="413">
        <v>4.4610000000000003</v>
      </c>
      <c r="CG229" s="413">
        <v>4.4610000000000003</v>
      </c>
      <c r="CH229" s="413">
        <v>5.0510000000000002</v>
      </c>
      <c r="CI229" s="413">
        <v>5.0510000000000002</v>
      </c>
      <c r="CJ229" s="413">
        <v>5.0510000000000002</v>
      </c>
      <c r="CK229" s="413">
        <v>5.0510000000000002</v>
      </c>
      <c r="CL229" s="413">
        <v>5.0510000000000002</v>
      </c>
      <c r="CM229" s="413">
        <v>5.0510000000000002</v>
      </c>
      <c r="CN229" s="413">
        <v>5.0510000000000002</v>
      </c>
      <c r="CO229" s="413">
        <v>5.0510000000000002</v>
      </c>
      <c r="CP229" s="413">
        <v>5.0510000000000002</v>
      </c>
      <c r="CQ229" s="413">
        <v>5.0510000000000002</v>
      </c>
      <c r="CR229" s="413">
        <v>5.0510000000000002</v>
      </c>
      <c r="CS229" s="413">
        <v>5.0510000000000002</v>
      </c>
      <c r="CT229" s="413">
        <v>5.0510000000000002</v>
      </c>
      <c r="CU229" s="413">
        <v>5.0510000000000002</v>
      </c>
      <c r="CV229" s="413">
        <v>5.0510000000000002</v>
      </c>
      <c r="CW229" s="413"/>
      <c r="CX229" s="413"/>
      <c r="CY229" s="413"/>
      <c r="CZ229" s="413"/>
      <c r="DA229" s="413"/>
      <c r="DB229" s="413"/>
      <c r="DC229" s="413"/>
      <c r="DD229" s="413"/>
      <c r="DE229" s="390"/>
      <c r="DF229" s="390"/>
      <c r="DG229" s="390"/>
      <c r="DH229" s="390"/>
      <c r="DI229" s="390"/>
      <c r="DJ229" s="390"/>
      <c r="DK229" s="897"/>
    </row>
    <row r="230" spans="1:115" ht="51" x14ac:dyDescent="0.2">
      <c r="A230" s="295">
        <v>226</v>
      </c>
      <c r="B230" s="390" t="s">
        <v>631</v>
      </c>
      <c r="C230" s="424" t="s">
        <v>7448</v>
      </c>
      <c r="D230" s="391" t="s">
        <v>5023</v>
      </c>
      <c r="E230" s="705" t="s">
        <v>1941</v>
      </c>
      <c r="F230" s="393" t="s">
        <v>1352</v>
      </c>
      <c r="G230" s="393" t="s">
        <v>1672</v>
      </c>
      <c r="H230" s="393" t="s">
        <v>632</v>
      </c>
      <c r="I230" s="392"/>
      <c r="J230" s="392" t="s">
        <v>632</v>
      </c>
      <c r="K230" s="392"/>
      <c r="L230" s="392" t="s">
        <v>633</v>
      </c>
      <c r="M230" s="392" t="s">
        <v>3938</v>
      </c>
      <c r="N230" s="393" t="s">
        <v>44</v>
      </c>
      <c r="O230" s="393" t="s">
        <v>69</v>
      </c>
      <c r="P230" s="393" t="s">
        <v>69</v>
      </c>
      <c r="Q230" s="392" t="s">
        <v>572</v>
      </c>
      <c r="R230" s="392"/>
      <c r="S230" s="392" t="s">
        <v>573</v>
      </c>
      <c r="T230" s="394">
        <v>28</v>
      </c>
      <c r="U230" s="395">
        <v>345.06599999999997</v>
      </c>
      <c r="V230" s="395"/>
      <c r="W230" s="452">
        <v>41061</v>
      </c>
      <c r="X230" s="394">
        <v>28</v>
      </c>
      <c r="Y230" s="394"/>
      <c r="Z230" s="394"/>
      <c r="AA230" s="395"/>
      <c r="AB230" s="453"/>
      <c r="AC230" s="398">
        <v>40.369999999999997</v>
      </c>
      <c r="AD230" s="398">
        <v>1469.3777616438354</v>
      </c>
      <c r="AE230" s="393" t="s">
        <v>54</v>
      </c>
      <c r="AF230" s="417">
        <f>SUM(AF231:AF232)</f>
        <v>0.94199999999999995</v>
      </c>
      <c r="AG230" s="417">
        <f>SUM(AG231:AG232)</f>
        <v>26.545000000000002</v>
      </c>
      <c r="AH230" s="417">
        <v>27.487000000000002</v>
      </c>
      <c r="AI230" s="394"/>
      <c r="AJ230" s="453">
        <v>42573</v>
      </c>
      <c r="AK230" s="453">
        <v>42185</v>
      </c>
      <c r="AL230" s="393"/>
      <c r="AM230" s="393"/>
      <c r="AN230" s="417"/>
      <c r="AO230" s="428" t="s">
        <v>8190</v>
      </c>
      <c r="AP230" s="428" t="s">
        <v>9662</v>
      </c>
      <c r="AQ230" s="428" t="s">
        <v>7050</v>
      </c>
      <c r="AR230" s="392" t="s">
        <v>274</v>
      </c>
      <c r="AS230" s="479">
        <v>40171</v>
      </c>
      <c r="AT230" s="453"/>
      <c r="AU230" s="453"/>
      <c r="AV230" s="452">
        <v>40609</v>
      </c>
      <c r="AW230" s="452">
        <v>41010</v>
      </c>
      <c r="AX230" s="452">
        <v>41088</v>
      </c>
      <c r="AY230" s="452">
        <v>41039</v>
      </c>
      <c r="AZ230" s="453"/>
      <c r="BA230" s="393"/>
      <c r="BB230" s="393" t="s">
        <v>3147</v>
      </c>
      <c r="BC230" s="393" t="b">
        <v>0</v>
      </c>
      <c r="BD230" s="393" t="s">
        <v>3147</v>
      </c>
      <c r="BE230" s="392"/>
      <c r="BF230" s="394">
        <v>1</v>
      </c>
      <c r="BG230" s="394">
        <v>2</v>
      </c>
      <c r="BH230" s="394">
        <v>7</v>
      </c>
      <c r="BI230" s="394">
        <v>9</v>
      </c>
      <c r="BJ230" s="394">
        <v>8</v>
      </c>
      <c r="BK230" s="394"/>
      <c r="BL230" s="444"/>
      <c r="BM230" s="392"/>
      <c r="BN230" s="393"/>
      <c r="BO230" s="393"/>
      <c r="BP230" s="399"/>
      <c r="BQ230" s="400"/>
      <c r="BR230" s="401"/>
      <c r="BS230" s="399">
        <v>7.9589999999999996</v>
      </c>
      <c r="BT230" s="394"/>
      <c r="BU230" s="417"/>
      <c r="BV230" s="399"/>
      <c r="BW230" s="393"/>
      <c r="BX230" s="392"/>
      <c r="BY230" s="393"/>
      <c r="BZ230" s="393"/>
      <c r="CA230" s="441"/>
      <c r="CB230" s="400"/>
      <c r="CC230" s="398"/>
      <c r="CD230" s="398"/>
      <c r="CE230" s="398"/>
      <c r="CF230" s="398"/>
      <c r="CG230" s="398"/>
      <c r="CH230" s="398"/>
      <c r="CI230" s="398"/>
      <c r="CJ230" s="398"/>
      <c r="CK230" s="398"/>
      <c r="CL230" s="398"/>
      <c r="CM230" s="398"/>
      <c r="CN230" s="398"/>
      <c r="CO230" s="398"/>
      <c r="CP230" s="398"/>
      <c r="CQ230" s="398"/>
      <c r="CR230" s="398"/>
      <c r="CS230" s="398"/>
      <c r="CT230" s="398"/>
      <c r="CU230" s="398"/>
      <c r="CV230" s="398"/>
      <c r="CW230" s="398"/>
      <c r="CX230" s="398"/>
      <c r="CY230" s="398"/>
      <c r="CZ230" s="398"/>
      <c r="DA230" s="398"/>
      <c r="DB230" s="398"/>
      <c r="DC230" s="398"/>
      <c r="DD230" s="398"/>
      <c r="DE230" s="393"/>
      <c r="DF230" s="393"/>
      <c r="DG230" s="393"/>
      <c r="DH230" s="393"/>
      <c r="DI230" s="393"/>
      <c r="DJ230" s="393"/>
      <c r="DK230" s="896" t="s">
        <v>9703</v>
      </c>
    </row>
    <row r="231" spans="1:115" ht="38.25" x14ac:dyDescent="0.2">
      <c r="A231" s="295">
        <v>227</v>
      </c>
      <c r="B231" s="390" t="s">
        <v>2614</v>
      </c>
      <c r="C231" s="390"/>
      <c r="D231" s="391" t="s">
        <v>2314</v>
      </c>
      <c r="E231" s="704" t="s">
        <v>634</v>
      </c>
      <c r="F231" s="393" t="s">
        <v>1352</v>
      </c>
      <c r="G231" s="393" t="s">
        <v>1672</v>
      </c>
      <c r="H231" s="393" t="s">
        <v>632</v>
      </c>
      <c r="I231" s="392"/>
      <c r="J231" s="392"/>
      <c r="K231" s="392" t="s">
        <v>2134</v>
      </c>
      <c r="L231" s="392" t="s">
        <v>635</v>
      </c>
      <c r="M231" s="392"/>
      <c r="N231" s="393" t="s">
        <v>44</v>
      </c>
      <c r="O231" s="393" t="s">
        <v>69</v>
      </c>
      <c r="P231" s="393" t="s">
        <v>69</v>
      </c>
      <c r="Q231" s="392" t="s">
        <v>572</v>
      </c>
      <c r="R231" s="392" t="s">
        <v>3939</v>
      </c>
      <c r="S231" s="392" t="s">
        <v>573</v>
      </c>
      <c r="T231" s="394">
        <v>1</v>
      </c>
      <c r="U231" s="395">
        <v>23.105</v>
      </c>
      <c r="V231" s="395"/>
      <c r="W231" s="453"/>
      <c r="X231" s="394"/>
      <c r="Y231" s="394">
        <v>7</v>
      </c>
      <c r="Z231" s="394">
        <v>25</v>
      </c>
      <c r="AA231" s="395">
        <v>0</v>
      </c>
      <c r="AB231" s="452">
        <v>40308</v>
      </c>
      <c r="AC231" s="398">
        <v>40.369999999999997</v>
      </c>
      <c r="AD231" s="398">
        <v>246.11572602739727</v>
      </c>
      <c r="AE231" s="393" t="s">
        <v>54</v>
      </c>
      <c r="AF231" s="417">
        <v>0.94199999999999995</v>
      </c>
      <c r="AG231" s="417">
        <v>7.8120000000000003</v>
      </c>
      <c r="AH231" s="417">
        <v>8.7539999999999996</v>
      </c>
      <c r="AI231" s="394"/>
      <c r="AJ231" s="453">
        <v>42573</v>
      </c>
      <c r="AK231" s="453">
        <v>42185</v>
      </c>
      <c r="AL231" s="393"/>
      <c r="AM231" s="393"/>
      <c r="AN231" s="417"/>
      <c r="AO231" s="392"/>
      <c r="AP231" s="428" t="s">
        <v>9662</v>
      </c>
      <c r="AQ231" s="428" t="s">
        <v>7050</v>
      </c>
      <c r="AR231" s="392" t="s">
        <v>274</v>
      </c>
      <c r="AS231" s="479">
        <v>40171</v>
      </c>
      <c r="AT231" s="453"/>
      <c r="AU231" s="453"/>
      <c r="AV231" s="453"/>
      <c r="AW231" s="453"/>
      <c r="AX231" s="453"/>
      <c r="AY231" s="453"/>
      <c r="AZ231" s="452">
        <v>41039</v>
      </c>
      <c r="BA231" s="393"/>
      <c r="BB231" s="393"/>
      <c r="BC231" s="393" t="b">
        <v>0</v>
      </c>
      <c r="BD231" s="393"/>
      <c r="BE231" s="392"/>
      <c r="BF231" s="394">
        <v>1</v>
      </c>
      <c r="BG231" s="394">
        <v>2</v>
      </c>
      <c r="BH231" s="394">
        <v>7</v>
      </c>
      <c r="BI231" s="394">
        <v>9</v>
      </c>
      <c r="BJ231" s="394">
        <v>8</v>
      </c>
      <c r="BK231" s="394"/>
      <c r="BL231" s="444" t="s">
        <v>6981</v>
      </c>
      <c r="BM231" s="392"/>
      <c r="BN231" s="393"/>
      <c r="BO231" s="393"/>
      <c r="BP231" s="399"/>
      <c r="BQ231" s="400"/>
      <c r="BR231" s="401"/>
      <c r="BS231" s="399">
        <v>0.84</v>
      </c>
      <c r="BT231" s="394">
        <v>5500</v>
      </c>
      <c r="BU231" s="417">
        <v>0.54159999999999997</v>
      </c>
      <c r="BV231" s="399"/>
      <c r="BW231" s="393" t="s">
        <v>3117</v>
      </c>
      <c r="BX231" s="392" t="s">
        <v>3253</v>
      </c>
      <c r="BY231" s="393"/>
      <c r="BZ231" s="393"/>
      <c r="CA231" s="441"/>
      <c r="CB231" s="400"/>
      <c r="CC231" s="398"/>
      <c r="CD231" s="398"/>
      <c r="CE231" s="398"/>
      <c r="CF231" s="398"/>
      <c r="CG231" s="398"/>
      <c r="CH231" s="398">
        <v>13.483000000000001</v>
      </c>
      <c r="CI231" s="398">
        <v>23.105</v>
      </c>
      <c r="CJ231" s="398">
        <v>23.105</v>
      </c>
      <c r="CK231" s="398">
        <v>23.105</v>
      </c>
      <c r="CL231" s="398">
        <v>23.105</v>
      </c>
      <c r="CM231" s="398">
        <v>23.105</v>
      </c>
      <c r="CN231" s="398">
        <v>23.105</v>
      </c>
      <c r="CO231" s="398">
        <v>9.6219999999999999</v>
      </c>
      <c r="CP231" s="398"/>
      <c r="CQ231" s="398"/>
      <c r="CR231" s="398"/>
      <c r="CS231" s="398"/>
      <c r="CT231" s="398"/>
      <c r="CU231" s="398"/>
      <c r="CV231" s="398"/>
      <c r="CW231" s="398"/>
      <c r="CX231" s="398"/>
      <c r="CY231" s="398"/>
      <c r="CZ231" s="398"/>
      <c r="DA231" s="398"/>
      <c r="DB231" s="398"/>
      <c r="DC231" s="398"/>
      <c r="DD231" s="398"/>
      <c r="DE231" s="393"/>
      <c r="DF231" s="393"/>
      <c r="DG231" s="393"/>
      <c r="DH231" s="393"/>
      <c r="DI231" s="393"/>
      <c r="DJ231" s="393"/>
      <c r="DK231" s="897"/>
    </row>
    <row r="232" spans="1:115" ht="51" x14ac:dyDescent="0.2">
      <c r="A232" s="295">
        <v>228</v>
      </c>
      <c r="B232" s="390" t="s">
        <v>5573</v>
      </c>
      <c r="C232" s="390"/>
      <c r="D232" s="391" t="s">
        <v>5574</v>
      </c>
      <c r="E232" s="704" t="s">
        <v>5575</v>
      </c>
      <c r="F232" s="393" t="s">
        <v>1352</v>
      </c>
      <c r="G232" s="393" t="s">
        <v>1672</v>
      </c>
      <c r="H232" s="393" t="s">
        <v>632</v>
      </c>
      <c r="I232" s="392"/>
      <c r="J232" s="392"/>
      <c r="K232" s="392" t="s">
        <v>5576</v>
      </c>
      <c r="L232" s="392" t="s">
        <v>635</v>
      </c>
      <c r="M232" s="392"/>
      <c r="N232" s="393" t="s">
        <v>44</v>
      </c>
      <c r="O232" s="393" t="s">
        <v>69</v>
      </c>
      <c r="P232" s="393" t="s">
        <v>69</v>
      </c>
      <c r="Q232" s="392" t="s">
        <v>572</v>
      </c>
      <c r="R232" s="392" t="s">
        <v>5577</v>
      </c>
      <c r="S232" s="392" t="s">
        <v>573</v>
      </c>
      <c r="T232" s="394">
        <v>1</v>
      </c>
      <c r="U232" s="395">
        <v>63.027999999999999</v>
      </c>
      <c r="V232" s="395"/>
      <c r="W232" s="453"/>
      <c r="X232" s="394"/>
      <c r="Y232" s="394">
        <v>7</v>
      </c>
      <c r="Z232" s="394">
        <v>25</v>
      </c>
      <c r="AA232" s="395">
        <v>0</v>
      </c>
      <c r="AB232" s="452">
        <v>41525</v>
      </c>
      <c r="AC232" s="398">
        <v>0</v>
      </c>
      <c r="AD232" s="398">
        <v>461.22681643835614</v>
      </c>
      <c r="AE232" s="393" t="s">
        <v>54</v>
      </c>
      <c r="AF232" s="417"/>
      <c r="AG232" s="417">
        <v>18.733000000000001</v>
      </c>
      <c r="AH232" s="417">
        <v>18.733000000000001</v>
      </c>
      <c r="AI232" s="394"/>
      <c r="AJ232" s="453">
        <v>42573</v>
      </c>
      <c r="AK232" s="453">
        <v>42185</v>
      </c>
      <c r="AL232" s="393"/>
      <c r="AM232" s="393"/>
      <c r="AN232" s="417"/>
      <c r="AO232" s="392"/>
      <c r="AP232" s="428"/>
      <c r="AQ232" s="392"/>
      <c r="AR232" s="392" t="s">
        <v>274</v>
      </c>
      <c r="AS232" s="479">
        <v>40171</v>
      </c>
      <c r="AT232" s="453"/>
      <c r="AU232" s="453"/>
      <c r="AV232" s="453"/>
      <c r="AW232" s="453"/>
      <c r="AX232" s="453"/>
      <c r="AY232" s="453"/>
      <c r="AZ232" s="452">
        <v>41525</v>
      </c>
      <c r="BA232" s="393"/>
      <c r="BB232" s="393" t="s">
        <v>3147</v>
      </c>
      <c r="BC232" s="393" t="b">
        <v>0</v>
      </c>
      <c r="BD232" s="393"/>
      <c r="BE232" s="392"/>
      <c r="BF232" s="394">
        <v>1</v>
      </c>
      <c r="BG232" s="394">
        <v>2</v>
      </c>
      <c r="BH232" s="394">
        <v>7</v>
      </c>
      <c r="BI232" s="394">
        <v>9</v>
      </c>
      <c r="BJ232" s="394">
        <v>8</v>
      </c>
      <c r="BK232" s="394"/>
      <c r="BL232" s="444" t="s">
        <v>6981</v>
      </c>
      <c r="BM232" s="392"/>
      <c r="BN232" s="393"/>
      <c r="BO232" s="393"/>
      <c r="BP232" s="399"/>
      <c r="BQ232" s="400"/>
      <c r="BR232" s="401"/>
      <c r="BS232" s="399">
        <v>0.84</v>
      </c>
      <c r="BT232" s="394">
        <v>5376</v>
      </c>
      <c r="BU232" s="417">
        <v>0.54179999999999995</v>
      </c>
      <c r="BV232" s="399"/>
      <c r="BW232" s="393" t="s">
        <v>3117</v>
      </c>
      <c r="BX232" s="392" t="s">
        <v>3253</v>
      </c>
      <c r="BY232" s="393"/>
      <c r="BZ232" s="393"/>
      <c r="CA232" s="441"/>
      <c r="CB232" s="400"/>
      <c r="CC232" s="398"/>
      <c r="CD232" s="398"/>
      <c r="CE232" s="398"/>
      <c r="CF232" s="398"/>
      <c r="CG232" s="398"/>
      <c r="CH232" s="398"/>
      <c r="CI232" s="398">
        <v>18.331</v>
      </c>
      <c r="CJ232" s="398">
        <v>57.189</v>
      </c>
      <c r="CK232" s="398">
        <v>63.027999999999999</v>
      </c>
      <c r="CL232" s="398">
        <v>63.027999999999999</v>
      </c>
      <c r="CM232" s="398">
        <v>63.027999999999999</v>
      </c>
      <c r="CN232" s="398">
        <v>63.027999999999999</v>
      </c>
      <c r="CO232" s="398">
        <v>63.027999999999999</v>
      </c>
      <c r="CP232" s="398">
        <v>42.823999999999998</v>
      </c>
      <c r="CQ232" s="398"/>
      <c r="CR232" s="398"/>
      <c r="CS232" s="398"/>
      <c r="CT232" s="398"/>
      <c r="CU232" s="398"/>
      <c r="CV232" s="398"/>
      <c r="CW232" s="398"/>
      <c r="CX232" s="398"/>
      <c r="CY232" s="398"/>
      <c r="CZ232" s="398"/>
      <c r="DA232" s="398"/>
      <c r="DB232" s="398"/>
      <c r="DC232" s="398"/>
      <c r="DD232" s="398"/>
      <c r="DE232" s="393"/>
      <c r="DF232" s="393"/>
      <c r="DG232" s="393"/>
      <c r="DH232" s="393"/>
      <c r="DI232" s="393"/>
      <c r="DJ232" s="393"/>
      <c r="DK232" s="897"/>
    </row>
    <row r="233" spans="1:115" ht="51" x14ac:dyDescent="0.2">
      <c r="A233" s="295">
        <v>229</v>
      </c>
      <c r="B233" s="390" t="s">
        <v>8923</v>
      </c>
      <c r="C233" s="390"/>
      <c r="D233" s="391" t="s">
        <v>8924</v>
      </c>
      <c r="E233" s="709" t="s">
        <v>8925</v>
      </c>
      <c r="F233" s="393" t="s">
        <v>1352</v>
      </c>
      <c r="G233" s="393" t="s">
        <v>1672</v>
      </c>
      <c r="H233" s="393" t="s">
        <v>632</v>
      </c>
      <c r="I233" s="563"/>
      <c r="J233" s="563"/>
      <c r="K233" s="560" t="s">
        <v>8926</v>
      </c>
      <c r="L233" s="560" t="s">
        <v>635</v>
      </c>
      <c r="M233" s="563"/>
      <c r="N233" s="562" t="s">
        <v>44</v>
      </c>
      <c r="O233" s="393" t="s">
        <v>69</v>
      </c>
      <c r="P233" s="393" t="s">
        <v>69</v>
      </c>
      <c r="Q233" s="392" t="s">
        <v>572</v>
      </c>
      <c r="R233" s="560" t="s">
        <v>5577</v>
      </c>
      <c r="S233" s="560" t="s">
        <v>573</v>
      </c>
      <c r="T233" s="564">
        <v>1</v>
      </c>
      <c r="U233" s="565">
        <v>4.1529999999999996</v>
      </c>
      <c r="V233" s="565"/>
      <c r="W233" s="566"/>
      <c r="X233" s="564"/>
      <c r="Y233" s="564">
        <v>7</v>
      </c>
      <c r="Z233" s="564">
        <v>25</v>
      </c>
      <c r="AA233" s="565">
        <v>0</v>
      </c>
      <c r="AB233" s="567">
        <v>43009</v>
      </c>
      <c r="AC233" s="568">
        <v>0</v>
      </c>
      <c r="AD233" s="568">
        <v>13.505783561643835</v>
      </c>
      <c r="AE233" s="562" t="s">
        <v>54</v>
      </c>
      <c r="AF233" s="569"/>
      <c r="AG233" s="569"/>
      <c r="AH233" s="569"/>
      <c r="AI233" s="564"/>
      <c r="AJ233" s="566"/>
      <c r="AK233" s="566"/>
      <c r="AL233" s="561"/>
      <c r="AM233" s="561"/>
      <c r="AN233" s="569"/>
      <c r="AO233" s="563"/>
      <c r="AP233" s="428"/>
      <c r="AQ233" s="563"/>
      <c r="AR233" s="560" t="s">
        <v>274</v>
      </c>
      <c r="AS233" s="479">
        <v>40171</v>
      </c>
      <c r="AT233" s="566"/>
      <c r="AU233" s="566"/>
      <c r="AV233" s="566"/>
      <c r="AW233" s="566"/>
      <c r="AX233" s="566"/>
      <c r="AY233" s="566"/>
      <c r="AZ233" s="567">
        <v>42761</v>
      </c>
      <c r="BA233" s="561"/>
      <c r="BB233" s="393" t="s">
        <v>3147</v>
      </c>
      <c r="BC233" s="561" t="b">
        <v>0</v>
      </c>
      <c r="BD233" s="561"/>
      <c r="BE233" s="563"/>
      <c r="BF233" s="394">
        <v>1</v>
      </c>
      <c r="BG233" s="394">
        <v>2</v>
      </c>
      <c r="BH233" s="394">
        <v>7</v>
      </c>
      <c r="BI233" s="394">
        <v>9</v>
      </c>
      <c r="BJ233" s="394">
        <v>8</v>
      </c>
      <c r="BK233" s="394"/>
      <c r="BL233" s="444" t="s">
        <v>6981</v>
      </c>
      <c r="BM233" s="563"/>
      <c r="BN233" s="561"/>
      <c r="BO233" s="561"/>
      <c r="BP233" s="571"/>
      <c r="BQ233" s="572"/>
      <c r="BR233" s="573"/>
      <c r="BS233" s="571"/>
      <c r="BT233" s="564"/>
      <c r="BU233" s="569">
        <v>0.64359999999999995</v>
      </c>
      <c r="BV233" s="571"/>
      <c r="BW233" s="562" t="s">
        <v>3117</v>
      </c>
      <c r="BX233" s="563"/>
      <c r="BY233" s="561"/>
      <c r="BZ233" s="561"/>
      <c r="CA233" s="574"/>
      <c r="CB233" s="572"/>
      <c r="CC233" s="568"/>
      <c r="CD233" s="568"/>
      <c r="CE233" s="568"/>
      <c r="CF233" s="568"/>
      <c r="CG233" s="568"/>
      <c r="CH233" s="568"/>
      <c r="CI233" s="568"/>
      <c r="CJ233" s="568"/>
      <c r="CK233" s="568"/>
      <c r="CL233" s="568"/>
      <c r="CM233" s="568">
        <v>1.044</v>
      </c>
      <c r="CN233" s="568">
        <v>4.1520000000000001</v>
      </c>
      <c r="CO233" s="568">
        <v>4.1520000000000001</v>
      </c>
      <c r="CP233" s="568">
        <v>4.1520000000000001</v>
      </c>
      <c r="CQ233" s="568">
        <v>4.1520000000000001</v>
      </c>
      <c r="CR233" s="568">
        <v>4.1520000000000001</v>
      </c>
      <c r="CS233" s="568">
        <v>4.1520000000000001</v>
      </c>
      <c r="CT233" s="568"/>
      <c r="CU233" s="568"/>
      <c r="CV233" s="568"/>
      <c r="CW233" s="568"/>
      <c r="CX233" s="568"/>
      <c r="CY233" s="568"/>
      <c r="CZ233" s="568"/>
      <c r="DA233" s="568"/>
      <c r="DB233" s="568"/>
      <c r="DC233" s="568"/>
      <c r="DD233" s="568"/>
      <c r="DE233" s="561"/>
      <c r="DF233" s="561"/>
      <c r="DG233" s="561"/>
      <c r="DH233" s="561"/>
      <c r="DI233" s="561"/>
      <c r="DJ233" s="561"/>
      <c r="DK233" s="897"/>
    </row>
    <row r="234" spans="1:115" ht="51" x14ac:dyDescent="0.2">
      <c r="A234" s="295">
        <v>230</v>
      </c>
      <c r="B234" s="390" t="s">
        <v>9226</v>
      </c>
      <c r="C234" s="390"/>
      <c r="D234" s="391" t="s">
        <v>9227</v>
      </c>
      <c r="E234" s="709" t="s">
        <v>9244</v>
      </c>
      <c r="F234" s="393" t="s">
        <v>1352</v>
      </c>
      <c r="G234" s="393" t="s">
        <v>1672</v>
      </c>
      <c r="H234" s="393" t="s">
        <v>632</v>
      </c>
      <c r="I234" s="563"/>
      <c r="J234" s="563"/>
      <c r="K234" s="560" t="s">
        <v>9253</v>
      </c>
      <c r="L234" s="560" t="s">
        <v>635</v>
      </c>
      <c r="M234" s="563"/>
      <c r="N234" s="562" t="s">
        <v>44</v>
      </c>
      <c r="O234" s="393" t="s">
        <v>69</v>
      </c>
      <c r="P234" s="393" t="s">
        <v>69</v>
      </c>
      <c r="Q234" s="392" t="s">
        <v>572</v>
      </c>
      <c r="R234" s="560" t="s">
        <v>5577</v>
      </c>
      <c r="S234" s="560" t="s">
        <v>573</v>
      </c>
      <c r="T234" s="564">
        <v>1</v>
      </c>
      <c r="U234" s="565">
        <v>50.234000000000002</v>
      </c>
      <c r="V234" s="565"/>
      <c r="W234" s="566"/>
      <c r="X234" s="564"/>
      <c r="Y234" s="564">
        <v>7</v>
      </c>
      <c r="Z234" s="564">
        <v>25</v>
      </c>
      <c r="AA234" s="565">
        <v>0</v>
      </c>
      <c r="AB234" s="567">
        <v>43009</v>
      </c>
      <c r="AC234" s="568"/>
      <c r="AD234" s="568">
        <v>163.36372054794521</v>
      </c>
      <c r="AE234" s="393" t="s">
        <v>47</v>
      </c>
      <c r="AF234" s="564"/>
      <c r="AG234" s="565"/>
      <c r="AH234" s="567"/>
      <c r="AI234" s="564"/>
      <c r="AJ234" s="566"/>
      <c r="AK234" s="566"/>
      <c r="AL234" s="561"/>
      <c r="AM234" s="561"/>
      <c r="AN234" s="569"/>
      <c r="AO234" s="563"/>
      <c r="AP234" s="560"/>
      <c r="AQ234" s="563"/>
      <c r="AR234" s="560" t="s">
        <v>274</v>
      </c>
      <c r="AS234" s="479">
        <v>40171</v>
      </c>
      <c r="AT234" s="566"/>
      <c r="AU234" s="566"/>
      <c r="AV234" s="566"/>
      <c r="AW234" s="566"/>
      <c r="AX234" s="566"/>
      <c r="AY234" s="566"/>
      <c r="AZ234" s="567">
        <v>43007</v>
      </c>
      <c r="BA234" s="561"/>
      <c r="BB234" s="393" t="s">
        <v>3147</v>
      </c>
      <c r="BC234" s="561" t="b">
        <v>0</v>
      </c>
      <c r="BD234" s="561"/>
      <c r="BE234" s="563"/>
      <c r="BF234" s="394">
        <v>1</v>
      </c>
      <c r="BG234" s="394">
        <v>2</v>
      </c>
      <c r="BH234" s="394">
        <v>7</v>
      </c>
      <c r="BI234" s="394">
        <v>9</v>
      </c>
      <c r="BJ234" s="394">
        <v>8</v>
      </c>
      <c r="BK234" s="394"/>
      <c r="BL234" s="444" t="s">
        <v>6981</v>
      </c>
      <c r="BM234" s="563"/>
      <c r="BN234" s="561"/>
      <c r="BO234" s="561"/>
      <c r="BP234" s="571"/>
      <c r="BQ234" s="572"/>
      <c r="BR234" s="573"/>
      <c r="BS234" s="571">
        <v>0.86499999999999999</v>
      </c>
      <c r="BT234" s="564">
        <v>5813</v>
      </c>
      <c r="BU234" s="569">
        <v>0.64359999999999995</v>
      </c>
      <c r="BV234" s="571"/>
      <c r="BW234" s="562"/>
      <c r="BX234" s="563"/>
      <c r="BY234" s="561"/>
      <c r="BZ234" s="561"/>
      <c r="CA234" s="574"/>
      <c r="CB234" s="572"/>
      <c r="CC234" s="568"/>
      <c r="CD234" s="568"/>
      <c r="CE234" s="568"/>
      <c r="CF234" s="568"/>
      <c r="CG234" s="568"/>
      <c r="CH234" s="568"/>
      <c r="CI234" s="568"/>
      <c r="CJ234" s="568"/>
      <c r="CK234" s="568"/>
      <c r="CL234" s="568"/>
      <c r="CM234" s="568">
        <v>7.7930000000000001</v>
      </c>
      <c r="CN234" s="568">
        <v>36.414999999999999</v>
      </c>
      <c r="CO234" s="568">
        <v>41.441000000000003</v>
      </c>
      <c r="CP234" s="568">
        <v>46.466000000000001</v>
      </c>
      <c r="CQ234" s="568">
        <v>51.491999999999997</v>
      </c>
      <c r="CR234" s="568">
        <v>56.517000000000003</v>
      </c>
      <c r="CS234" s="568">
        <v>61.542999999999999</v>
      </c>
      <c r="CT234" s="568">
        <v>59.972000000000001</v>
      </c>
      <c r="CU234" s="568"/>
      <c r="CV234" s="568"/>
      <c r="CW234" s="568"/>
      <c r="CX234" s="568"/>
      <c r="CY234" s="568"/>
      <c r="CZ234" s="568"/>
      <c r="DA234" s="568"/>
      <c r="DB234" s="568"/>
      <c r="DC234" s="568"/>
      <c r="DD234" s="568"/>
      <c r="DE234" s="561"/>
      <c r="DF234" s="561"/>
      <c r="DG234" s="561"/>
      <c r="DH234" s="561"/>
      <c r="DI234" s="561"/>
      <c r="DJ234" s="561"/>
      <c r="DK234" s="897"/>
    </row>
    <row r="235" spans="1:115" ht="51" x14ac:dyDescent="0.2">
      <c r="A235" s="295">
        <v>231</v>
      </c>
      <c r="B235" s="390" t="s">
        <v>9228</v>
      </c>
      <c r="C235" s="390"/>
      <c r="D235" s="391" t="s">
        <v>9229</v>
      </c>
      <c r="E235" s="709" t="s">
        <v>9245</v>
      </c>
      <c r="F235" s="393" t="s">
        <v>1352</v>
      </c>
      <c r="G235" s="393" t="s">
        <v>1672</v>
      </c>
      <c r="H235" s="393" t="s">
        <v>632</v>
      </c>
      <c r="I235" s="563"/>
      <c r="J235" s="563"/>
      <c r="K235" s="560" t="s">
        <v>9254</v>
      </c>
      <c r="L235" s="560" t="s">
        <v>635</v>
      </c>
      <c r="M235" s="563"/>
      <c r="N235" s="562" t="s">
        <v>44</v>
      </c>
      <c r="O235" s="393" t="s">
        <v>69</v>
      </c>
      <c r="P235" s="393" t="s">
        <v>69</v>
      </c>
      <c r="Q235" s="392" t="s">
        <v>572</v>
      </c>
      <c r="R235" s="560" t="s">
        <v>5577</v>
      </c>
      <c r="S235" s="560" t="s">
        <v>573</v>
      </c>
      <c r="T235" s="564">
        <v>1</v>
      </c>
      <c r="U235" s="565">
        <v>3.4790000000000001</v>
      </c>
      <c r="V235" s="565"/>
      <c r="W235" s="566"/>
      <c r="X235" s="564"/>
      <c r="Y235" s="564">
        <v>7</v>
      </c>
      <c r="Z235" s="564">
        <v>25</v>
      </c>
      <c r="AA235" s="565">
        <v>0</v>
      </c>
      <c r="AB235" s="567">
        <v>43009</v>
      </c>
      <c r="AC235" s="568"/>
      <c r="AD235" s="568">
        <v>11.313898630136988</v>
      </c>
      <c r="AE235" s="393" t="s">
        <v>47</v>
      </c>
      <c r="AF235" s="564"/>
      <c r="AG235" s="565"/>
      <c r="AH235" s="567"/>
      <c r="AI235" s="564"/>
      <c r="AJ235" s="566"/>
      <c r="AK235" s="566"/>
      <c r="AL235" s="561"/>
      <c r="AM235" s="561"/>
      <c r="AN235" s="569"/>
      <c r="AO235" s="563"/>
      <c r="AP235" s="560"/>
      <c r="AQ235" s="563"/>
      <c r="AR235" s="560" t="s">
        <v>274</v>
      </c>
      <c r="AS235" s="479">
        <v>40171</v>
      </c>
      <c r="AT235" s="566"/>
      <c r="AU235" s="566"/>
      <c r="AV235" s="566"/>
      <c r="AW235" s="566"/>
      <c r="AX235" s="566"/>
      <c r="AY235" s="566"/>
      <c r="AZ235" s="567">
        <v>43007</v>
      </c>
      <c r="BA235" s="561"/>
      <c r="BB235" s="393" t="s">
        <v>3147</v>
      </c>
      <c r="BC235" s="561" t="b">
        <v>0</v>
      </c>
      <c r="BD235" s="561"/>
      <c r="BE235" s="563"/>
      <c r="BF235" s="394">
        <v>1</v>
      </c>
      <c r="BG235" s="394">
        <v>2</v>
      </c>
      <c r="BH235" s="394">
        <v>7</v>
      </c>
      <c r="BI235" s="394">
        <v>9</v>
      </c>
      <c r="BJ235" s="394">
        <v>8</v>
      </c>
      <c r="BK235" s="394"/>
      <c r="BL235" s="444" t="s">
        <v>6981</v>
      </c>
      <c r="BM235" s="563"/>
      <c r="BN235" s="561"/>
      <c r="BO235" s="561"/>
      <c r="BP235" s="571"/>
      <c r="BQ235" s="572"/>
      <c r="BR235" s="573"/>
      <c r="BS235" s="571">
        <v>0.12</v>
      </c>
      <c r="BT235" s="564">
        <v>813</v>
      </c>
      <c r="BU235" s="569">
        <v>0.64359999999999995</v>
      </c>
      <c r="BV235" s="571"/>
      <c r="BW235" s="562"/>
      <c r="BX235" s="563"/>
      <c r="BY235" s="561"/>
      <c r="BZ235" s="561"/>
      <c r="CA235" s="574"/>
      <c r="CB235" s="572"/>
      <c r="CC235" s="568"/>
      <c r="CD235" s="568"/>
      <c r="CE235" s="568"/>
      <c r="CF235" s="568"/>
      <c r="CG235" s="568"/>
      <c r="CH235" s="568"/>
      <c r="CI235" s="568"/>
      <c r="CJ235" s="568"/>
      <c r="CK235" s="568"/>
      <c r="CL235" s="568"/>
      <c r="CM235" s="568">
        <v>0.64200000000000002</v>
      </c>
      <c r="CN235" s="568">
        <v>2.996</v>
      </c>
      <c r="CO235" s="568">
        <v>3.1749999999999998</v>
      </c>
      <c r="CP235" s="568">
        <v>3.3540000000000001</v>
      </c>
      <c r="CQ235" s="568">
        <v>3.532</v>
      </c>
      <c r="CR235" s="568">
        <v>3.7120000000000002</v>
      </c>
      <c r="CS235" s="568">
        <v>3.89</v>
      </c>
      <c r="CT235" s="568">
        <v>3.0550000000000002</v>
      </c>
      <c r="CU235" s="568"/>
      <c r="CV235" s="568"/>
      <c r="CW235" s="568"/>
      <c r="CX235" s="568"/>
      <c r="CY235" s="568"/>
      <c r="CZ235" s="568"/>
      <c r="DA235" s="568"/>
      <c r="DB235" s="568"/>
      <c r="DC235" s="568"/>
      <c r="DD235" s="568"/>
      <c r="DE235" s="561"/>
      <c r="DF235" s="561"/>
      <c r="DG235" s="561"/>
      <c r="DH235" s="561"/>
      <c r="DI235" s="561"/>
      <c r="DJ235" s="561"/>
      <c r="DK235" s="897"/>
    </row>
    <row r="236" spans="1:115" ht="51" x14ac:dyDescent="0.2">
      <c r="A236" s="295">
        <v>232</v>
      </c>
      <c r="B236" s="390" t="s">
        <v>9230</v>
      </c>
      <c r="C236" s="390"/>
      <c r="D236" s="391" t="s">
        <v>9231</v>
      </c>
      <c r="E236" s="709" t="s">
        <v>9246</v>
      </c>
      <c r="F236" s="393" t="s">
        <v>1352</v>
      </c>
      <c r="G236" s="393" t="s">
        <v>1672</v>
      </c>
      <c r="H236" s="393" t="s">
        <v>632</v>
      </c>
      <c r="I236" s="563"/>
      <c r="J236" s="563"/>
      <c r="K236" s="560" t="s">
        <v>9255</v>
      </c>
      <c r="L236" s="560" t="s">
        <v>635</v>
      </c>
      <c r="M236" s="563"/>
      <c r="N236" s="562" t="s">
        <v>44</v>
      </c>
      <c r="O236" s="393" t="s">
        <v>69</v>
      </c>
      <c r="P236" s="393" t="s">
        <v>69</v>
      </c>
      <c r="Q236" s="392" t="s">
        <v>572</v>
      </c>
      <c r="R236" s="560" t="s">
        <v>5577</v>
      </c>
      <c r="S236" s="560" t="s">
        <v>573</v>
      </c>
      <c r="T236" s="564">
        <v>1</v>
      </c>
      <c r="U236" s="565">
        <v>5.5940000000000003</v>
      </c>
      <c r="V236" s="565"/>
      <c r="W236" s="566"/>
      <c r="X236" s="564"/>
      <c r="Y236" s="564">
        <v>7</v>
      </c>
      <c r="Z236" s="564">
        <v>25</v>
      </c>
      <c r="AA236" s="565">
        <v>0</v>
      </c>
      <c r="AB236" s="567">
        <v>43009</v>
      </c>
      <c r="AC236" s="568"/>
      <c r="AD236" s="568">
        <v>18.191994520547947</v>
      </c>
      <c r="AE236" s="393" t="s">
        <v>47</v>
      </c>
      <c r="AF236" s="564"/>
      <c r="AG236" s="565"/>
      <c r="AH236" s="567"/>
      <c r="AI236" s="564"/>
      <c r="AJ236" s="566"/>
      <c r="AK236" s="566"/>
      <c r="AL236" s="561"/>
      <c r="AM236" s="561"/>
      <c r="AN236" s="569"/>
      <c r="AO236" s="563"/>
      <c r="AP236" s="560"/>
      <c r="AQ236" s="563"/>
      <c r="AR236" s="560" t="s">
        <v>274</v>
      </c>
      <c r="AS236" s="479">
        <v>40171</v>
      </c>
      <c r="AT236" s="566"/>
      <c r="AU236" s="566"/>
      <c r="AV236" s="566"/>
      <c r="AW236" s="566"/>
      <c r="AX236" s="566"/>
      <c r="AY236" s="566"/>
      <c r="AZ236" s="567">
        <v>43007</v>
      </c>
      <c r="BA236" s="561"/>
      <c r="BB236" s="393" t="s">
        <v>3147</v>
      </c>
      <c r="BC236" s="561" t="b">
        <v>0</v>
      </c>
      <c r="BD236" s="561"/>
      <c r="BE236" s="563"/>
      <c r="BF236" s="394">
        <v>1</v>
      </c>
      <c r="BG236" s="394">
        <v>2</v>
      </c>
      <c r="BH236" s="394">
        <v>7</v>
      </c>
      <c r="BI236" s="394">
        <v>9</v>
      </c>
      <c r="BJ236" s="394">
        <v>8</v>
      </c>
      <c r="BK236" s="394"/>
      <c r="BL236" s="444" t="s">
        <v>6981</v>
      </c>
      <c r="BM236" s="563"/>
      <c r="BN236" s="561"/>
      <c r="BO236" s="561"/>
      <c r="BP236" s="571"/>
      <c r="BQ236" s="572"/>
      <c r="BR236" s="573"/>
      <c r="BS236" s="571">
        <v>0.1</v>
      </c>
      <c r="BT236" s="564">
        <v>334</v>
      </c>
      <c r="BU236" s="569">
        <v>0.64359999999999995</v>
      </c>
      <c r="BV236" s="571"/>
      <c r="BW236" s="562"/>
      <c r="BX236" s="563"/>
      <c r="BY236" s="561"/>
      <c r="BZ236" s="561"/>
      <c r="CA236" s="574"/>
      <c r="CB236" s="572"/>
      <c r="CC236" s="568"/>
      <c r="CD236" s="568"/>
      <c r="CE236" s="568"/>
      <c r="CF236" s="568"/>
      <c r="CG236" s="568"/>
      <c r="CH236" s="568"/>
      <c r="CI236" s="568"/>
      <c r="CJ236" s="568"/>
      <c r="CK236" s="568"/>
      <c r="CL236" s="568"/>
      <c r="CM236" s="568">
        <v>0.89600000000000002</v>
      </c>
      <c r="CN236" s="568">
        <v>4.8029999999999999</v>
      </c>
      <c r="CO236" s="568">
        <v>4.8029999999999999</v>
      </c>
      <c r="CP236" s="568">
        <v>5.5819999999999999</v>
      </c>
      <c r="CQ236" s="568">
        <v>5.5819999999999999</v>
      </c>
      <c r="CR236" s="568">
        <v>6.36</v>
      </c>
      <c r="CS236" s="568">
        <v>6.36</v>
      </c>
      <c r="CT236" s="568">
        <v>4.774</v>
      </c>
      <c r="CU236" s="568"/>
      <c r="CV236" s="568"/>
      <c r="CW236" s="568"/>
      <c r="CX236" s="568"/>
      <c r="CY236" s="568"/>
      <c r="CZ236" s="568"/>
      <c r="DA236" s="568"/>
      <c r="DB236" s="568"/>
      <c r="DC236" s="568"/>
      <c r="DD236" s="568"/>
      <c r="DE236" s="561"/>
      <c r="DF236" s="561"/>
      <c r="DG236" s="561"/>
      <c r="DH236" s="561"/>
      <c r="DI236" s="561"/>
      <c r="DJ236" s="561"/>
      <c r="DK236" s="897"/>
    </row>
    <row r="237" spans="1:115" ht="51" x14ac:dyDescent="0.2">
      <c r="A237" s="295">
        <v>233</v>
      </c>
      <c r="B237" s="390" t="s">
        <v>9232</v>
      </c>
      <c r="C237" s="390"/>
      <c r="D237" s="391" t="s">
        <v>9233</v>
      </c>
      <c r="E237" s="709" t="s">
        <v>9247</v>
      </c>
      <c r="F237" s="393" t="s">
        <v>1352</v>
      </c>
      <c r="G237" s="393" t="s">
        <v>1672</v>
      </c>
      <c r="H237" s="393" t="s">
        <v>632</v>
      </c>
      <c r="I237" s="563"/>
      <c r="J237" s="563"/>
      <c r="K237" s="560" t="s">
        <v>9256</v>
      </c>
      <c r="L237" s="560" t="s">
        <v>635</v>
      </c>
      <c r="M237" s="563"/>
      <c r="N237" s="562" t="s">
        <v>44</v>
      </c>
      <c r="O237" s="393" t="s">
        <v>69</v>
      </c>
      <c r="P237" s="393" t="s">
        <v>69</v>
      </c>
      <c r="Q237" s="392" t="s">
        <v>572</v>
      </c>
      <c r="R237" s="560" t="s">
        <v>5577</v>
      </c>
      <c r="S237" s="560" t="s">
        <v>573</v>
      </c>
      <c r="T237" s="564">
        <v>1</v>
      </c>
      <c r="U237" s="565">
        <v>34.999000000000002</v>
      </c>
      <c r="V237" s="565"/>
      <c r="W237" s="566"/>
      <c r="X237" s="564"/>
      <c r="Y237" s="564">
        <v>7</v>
      </c>
      <c r="Z237" s="564">
        <v>25</v>
      </c>
      <c r="AA237" s="565">
        <v>0</v>
      </c>
      <c r="AB237" s="567">
        <v>43070</v>
      </c>
      <c r="AC237" s="568"/>
      <c r="AD237" s="568">
        <v>107.96951780821919</v>
      </c>
      <c r="AE237" s="393" t="s">
        <v>47</v>
      </c>
      <c r="AF237" s="564"/>
      <c r="AG237" s="565"/>
      <c r="AH237" s="567"/>
      <c r="AI237" s="564"/>
      <c r="AJ237" s="566"/>
      <c r="AK237" s="566"/>
      <c r="AL237" s="561"/>
      <c r="AM237" s="561"/>
      <c r="AN237" s="569"/>
      <c r="AO237" s="563"/>
      <c r="AP237" s="560"/>
      <c r="AQ237" s="563"/>
      <c r="AR237" s="560" t="s">
        <v>274</v>
      </c>
      <c r="AS237" s="479">
        <v>40171</v>
      </c>
      <c r="AT237" s="566"/>
      <c r="AU237" s="566"/>
      <c r="AV237" s="566"/>
      <c r="AW237" s="566"/>
      <c r="AX237" s="566"/>
      <c r="AY237" s="566"/>
      <c r="AZ237" s="567">
        <v>43007</v>
      </c>
      <c r="BA237" s="561"/>
      <c r="BB237" s="393" t="s">
        <v>3147</v>
      </c>
      <c r="BC237" s="561" t="b">
        <v>0</v>
      </c>
      <c r="BD237" s="561"/>
      <c r="BE237" s="563"/>
      <c r="BF237" s="394">
        <v>1</v>
      </c>
      <c r="BG237" s="394">
        <v>2</v>
      </c>
      <c r="BH237" s="394">
        <v>7</v>
      </c>
      <c r="BI237" s="394">
        <v>9</v>
      </c>
      <c r="BJ237" s="394">
        <v>8</v>
      </c>
      <c r="BK237" s="394"/>
      <c r="BL237" s="444" t="s">
        <v>6981</v>
      </c>
      <c r="BM237" s="563"/>
      <c r="BN237" s="561"/>
      <c r="BO237" s="561"/>
      <c r="BP237" s="571"/>
      <c r="BQ237" s="572"/>
      <c r="BR237" s="573"/>
      <c r="BS237" s="571">
        <v>0.17699999999999999</v>
      </c>
      <c r="BT237" s="564">
        <v>1189</v>
      </c>
      <c r="BU237" s="569">
        <v>0.64359999999999995</v>
      </c>
      <c r="BV237" s="571"/>
      <c r="BW237" s="562"/>
      <c r="BX237" s="563"/>
      <c r="BY237" s="561"/>
      <c r="BZ237" s="561"/>
      <c r="CA237" s="574"/>
      <c r="CB237" s="572"/>
      <c r="CC237" s="568"/>
      <c r="CD237" s="568"/>
      <c r="CE237" s="568"/>
      <c r="CF237" s="568"/>
      <c r="CG237" s="568"/>
      <c r="CH237" s="568"/>
      <c r="CI237" s="568"/>
      <c r="CJ237" s="568"/>
      <c r="CK237" s="568"/>
      <c r="CL237" s="568"/>
      <c r="CM237" s="568">
        <v>2.964</v>
      </c>
      <c r="CN237" s="568">
        <v>34.987000000000002</v>
      </c>
      <c r="CO237" s="568">
        <v>34.987000000000002</v>
      </c>
      <c r="CP237" s="568">
        <v>34.987000000000002</v>
      </c>
      <c r="CQ237" s="568">
        <v>34.987000000000002</v>
      </c>
      <c r="CR237" s="568">
        <v>34.987000000000002</v>
      </c>
      <c r="CS237" s="568">
        <v>34.987000000000002</v>
      </c>
      <c r="CT237" s="568">
        <v>32.109000000000002</v>
      </c>
      <c r="CU237" s="568"/>
      <c r="CV237" s="568"/>
      <c r="CW237" s="568"/>
      <c r="CX237" s="568"/>
      <c r="CY237" s="568"/>
      <c r="CZ237" s="568"/>
      <c r="DA237" s="568"/>
      <c r="DB237" s="568"/>
      <c r="DC237" s="568"/>
      <c r="DD237" s="568"/>
      <c r="DE237" s="561"/>
      <c r="DF237" s="561"/>
      <c r="DG237" s="561"/>
      <c r="DH237" s="561"/>
      <c r="DI237" s="561"/>
      <c r="DJ237" s="561"/>
      <c r="DK237" s="897"/>
    </row>
    <row r="238" spans="1:115" ht="51" x14ac:dyDescent="0.2">
      <c r="A238" s="295">
        <v>234</v>
      </c>
      <c r="B238" s="390" t="s">
        <v>9234</v>
      </c>
      <c r="C238" s="390"/>
      <c r="D238" s="391" t="s">
        <v>9235</v>
      </c>
      <c r="E238" s="709" t="s">
        <v>9248</v>
      </c>
      <c r="F238" s="393" t="s">
        <v>1352</v>
      </c>
      <c r="G238" s="393" t="s">
        <v>1672</v>
      </c>
      <c r="H238" s="393" t="s">
        <v>632</v>
      </c>
      <c r="I238" s="563"/>
      <c r="J238" s="563"/>
      <c r="K238" s="560" t="s">
        <v>9257</v>
      </c>
      <c r="L238" s="560" t="s">
        <v>635</v>
      </c>
      <c r="M238" s="563"/>
      <c r="N238" s="562" t="s">
        <v>44</v>
      </c>
      <c r="O238" s="393" t="s">
        <v>69</v>
      </c>
      <c r="P238" s="393" t="s">
        <v>69</v>
      </c>
      <c r="Q238" s="392" t="s">
        <v>572</v>
      </c>
      <c r="R238" s="560" t="s">
        <v>5577</v>
      </c>
      <c r="S238" s="560" t="s">
        <v>573</v>
      </c>
      <c r="T238" s="564">
        <v>1</v>
      </c>
      <c r="U238" s="565">
        <v>1.7909999999999999</v>
      </c>
      <c r="V238" s="565"/>
      <c r="W238" s="566"/>
      <c r="X238" s="564"/>
      <c r="Y238" s="564">
        <v>7</v>
      </c>
      <c r="Z238" s="564">
        <v>25</v>
      </c>
      <c r="AA238" s="565">
        <v>0</v>
      </c>
      <c r="AB238" s="567">
        <v>43009</v>
      </c>
      <c r="AC238" s="568"/>
      <c r="AD238" s="568">
        <v>5.824430136986301</v>
      </c>
      <c r="AE238" s="393" t="s">
        <v>47</v>
      </c>
      <c r="AF238" s="564"/>
      <c r="AG238" s="565"/>
      <c r="AH238" s="567"/>
      <c r="AI238" s="564"/>
      <c r="AJ238" s="566"/>
      <c r="AK238" s="566"/>
      <c r="AL238" s="561"/>
      <c r="AM238" s="561"/>
      <c r="AN238" s="569"/>
      <c r="AO238" s="563"/>
      <c r="AP238" s="560"/>
      <c r="AQ238" s="563"/>
      <c r="AR238" s="560" t="s">
        <v>274</v>
      </c>
      <c r="AS238" s="479">
        <v>40171</v>
      </c>
      <c r="AT238" s="566"/>
      <c r="AU238" s="566"/>
      <c r="AV238" s="566"/>
      <c r="AW238" s="566"/>
      <c r="AX238" s="566"/>
      <c r="AY238" s="566"/>
      <c r="AZ238" s="567">
        <v>43007</v>
      </c>
      <c r="BA238" s="561"/>
      <c r="BB238" s="393" t="s">
        <v>3147</v>
      </c>
      <c r="BC238" s="561" t="b">
        <v>0</v>
      </c>
      <c r="BD238" s="561"/>
      <c r="BE238" s="563"/>
      <c r="BF238" s="394">
        <v>1</v>
      </c>
      <c r="BG238" s="394">
        <v>2</v>
      </c>
      <c r="BH238" s="394">
        <v>7</v>
      </c>
      <c r="BI238" s="394">
        <v>9</v>
      </c>
      <c r="BJ238" s="394">
        <v>8</v>
      </c>
      <c r="BK238" s="394"/>
      <c r="BL238" s="444" t="s">
        <v>6981</v>
      </c>
      <c r="BM238" s="563"/>
      <c r="BN238" s="561"/>
      <c r="BO238" s="561"/>
      <c r="BP238" s="571"/>
      <c r="BQ238" s="572"/>
      <c r="BR238" s="573"/>
      <c r="BS238" s="571">
        <v>0.12</v>
      </c>
      <c r="BT238" s="564">
        <v>806</v>
      </c>
      <c r="BU238" s="569">
        <v>0.64359999999999995</v>
      </c>
      <c r="BV238" s="571"/>
      <c r="BW238" s="562"/>
      <c r="BX238" s="563"/>
      <c r="BY238" s="561"/>
      <c r="BZ238" s="561"/>
      <c r="CA238" s="574"/>
      <c r="CB238" s="572"/>
      <c r="CC238" s="568"/>
      <c r="CD238" s="568"/>
      <c r="CE238" s="568"/>
      <c r="CF238" s="568"/>
      <c r="CG238" s="568"/>
      <c r="CH238" s="568"/>
      <c r="CI238" s="568"/>
      <c r="CJ238" s="568"/>
      <c r="CK238" s="568"/>
      <c r="CL238" s="568"/>
      <c r="CM238" s="568">
        <v>0.45</v>
      </c>
      <c r="CN238" s="568">
        <v>1.7190000000000001</v>
      </c>
      <c r="CO238" s="568">
        <v>1.7190000000000001</v>
      </c>
      <c r="CP238" s="568">
        <v>1.7190000000000001</v>
      </c>
      <c r="CQ238" s="568">
        <v>1.7190000000000001</v>
      </c>
      <c r="CR238" s="568">
        <v>1.7190000000000001</v>
      </c>
      <c r="CS238" s="568">
        <v>1.7190000000000001</v>
      </c>
      <c r="CT238" s="568">
        <v>1.3440000000000001</v>
      </c>
      <c r="CU238" s="568"/>
      <c r="CV238" s="568"/>
      <c r="CW238" s="568"/>
      <c r="CX238" s="568"/>
      <c r="CY238" s="568"/>
      <c r="CZ238" s="568"/>
      <c r="DA238" s="568"/>
      <c r="DB238" s="568"/>
      <c r="DC238" s="568"/>
      <c r="DD238" s="568"/>
      <c r="DE238" s="561"/>
      <c r="DF238" s="561"/>
      <c r="DG238" s="561"/>
      <c r="DH238" s="561"/>
      <c r="DI238" s="561"/>
      <c r="DJ238" s="561"/>
      <c r="DK238" s="897"/>
    </row>
    <row r="239" spans="1:115" ht="51" x14ac:dyDescent="0.2">
      <c r="A239" s="295">
        <v>235</v>
      </c>
      <c r="B239" s="390" t="s">
        <v>9236</v>
      </c>
      <c r="C239" s="390"/>
      <c r="D239" s="391" t="s">
        <v>9237</v>
      </c>
      <c r="E239" s="709" t="s">
        <v>9249</v>
      </c>
      <c r="F239" s="393" t="s">
        <v>1352</v>
      </c>
      <c r="G239" s="393" t="s">
        <v>1672</v>
      </c>
      <c r="H239" s="393" t="s">
        <v>632</v>
      </c>
      <c r="I239" s="563"/>
      <c r="J239" s="563"/>
      <c r="K239" s="560" t="s">
        <v>9258</v>
      </c>
      <c r="L239" s="560" t="s">
        <v>635</v>
      </c>
      <c r="M239" s="563"/>
      <c r="N239" s="562" t="s">
        <v>44</v>
      </c>
      <c r="O239" s="393" t="s">
        <v>69</v>
      </c>
      <c r="P239" s="393" t="s">
        <v>69</v>
      </c>
      <c r="Q239" s="392" t="s">
        <v>572</v>
      </c>
      <c r="R239" s="560" t="s">
        <v>5577</v>
      </c>
      <c r="S239" s="560" t="s">
        <v>573</v>
      </c>
      <c r="T239" s="564">
        <v>1</v>
      </c>
      <c r="U239" s="565">
        <v>6.1139999999999999</v>
      </c>
      <c r="V239" s="565"/>
      <c r="W239" s="566"/>
      <c r="X239" s="564"/>
      <c r="Y239" s="564">
        <v>7</v>
      </c>
      <c r="Z239" s="564">
        <v>25</v>
      </c>
      <c r="AA239" s="565">
        <v>0</v>
      </c>
      <c r="AB239" s="567">
        <v>43009</v>
      </c>
      <c r="AC239" s="568"/>
      <c r="AD239" s="568">
        <v>19.883063013698631</v>
      </c>
      <c r="AE239" s="393" t="s">
        <v>47</v>
      </c>
      <c r="AF239" s="564"/>
      <c r="AG239" s="565"/>
      <c r="AH239" s="567"/>
      <c r="AI239" s="564"/>
      <c r="AJ239" s="566"/>
      <c r="AK239" s="566"/>
      <c r="AL239" s="561"/>
      <c r="AM239" s="561"/>
      <c r="AN239" s="569"/>
      <c r="AO239" s="563"/>
      <c r="AP239" s="560"/>
      <c r="AQ239" s="563"/>
      <c r="AR239" s="560" t="s">
        <v>274</v>
      </c>
      <c r="AS239" s="479">
        <v>40171</v>
      </c>
      <c r="AT239" s="566"/>
      <c r="AU239" s="566"/>
      <c r="AV239" s="566"/>
      <c r="AW239" s="566"/>
      <c r="AX239" s="566"/>
      <c r="AY239" s="566"/>
      <c r="AZ239" s="567">
        <v>43007</v>
      </c>
      <c r="BA239" s="561"/>
      <c r="BB239" s="393" t="s">
        <v>3147</v>
      </c>
      <c r="BC239" s="561" t="b">
        <v>0</v>
      </c>
      <c r="BD239" s="561"/>
      <c r="BE239" s="563"/>
      <c r="BF239" s="394">
        <v>1</v>
      </c>
      <c r="BG239" s="394">
        <v>2</v>
      </c>
      <c r="BH239" s="394">
        <v>7</v>
      </c>
      <c r="BI239" s="394">
        <v>9</v>
      </c>
      <c r="BJ239" s="394">
        <v>8</v>
      </c>
      <c r="BK239" s="394"/>
      <c r="BL239" s="444" t="s">
        <v>6981</v>
      </c>
      <c r="BM239" s="563"/>
      <c r="BN239" s="561"/>
      <c r="BO239" s="561"/>
      <c r="BP239" s="571"/>
      <c r="BQ239" s="572"/>
      <c r="BR239" s="573"/>
      <c r="BS239" s="571">
        <v>0.22500000000000001</v>
      </c>
      <c r="BT239" s="564">
        <v>1512</v>
      </c>
      <c r="BU239" s="569">
        <v>0.46200000000000002</v>
      </c>
      <c r="BV239" s="571"/>
      <c r="BW239" s="562"/>
      <c r="BX239" s="563"/>
      <c r="BY239" s="561"/>
      <c r="BZ239" s="561"/>
      <c r="CA239" s="574"/>
      <c r="CB239" s="572"/>
      <c r="CC239" s="568"/>
      <c r="CD239" s="568"/>
      <c r="CE239" s="568"/>
      <c r="CF239" s="568"/>
      <c r="CG239" s="568"/>
      <c r="CH239" s="568"/>
      <c r="CI239" s="568"/>
      <c r="CJ239" s="568"/>
      <c r="CK239" s="568"/>
      <c r="CL239" s="568"/>
      <c r="CM239" s="568">
        <v>1.0820000000000001</v>
      </c>
      <c r="CN239" s="568">
        <v>4.8860000000000001</v>
      </c>
      <c r="CO239" s="568">
        <v>5.0990000000000002</v>
      </c>
      <c r="CP239" s="568">
        <v>5.8460000000000001</v>
      </c>
      <c r="CQ239" s="568">
        <v>6.9020000000000001</v>
      </c>
      <c r="CR239" s="568">
        <v>6.9020000000000001</v>
      </c>
      <c r="CS239" s="568">
        <v>6.9020000000000001</v>
      </c>
      <c r="CT239" s="568">
        <v>5.18</v>
      </c>
      <c r="CU239" s="568"/>
      <c r="CV239" s="568"/>
      <c r="CW239" s="568"/>
      <c r="CX239" s="568"/>
      <c r="CY239" s="568"/>
      <c r="CZ239" s="568"/>
      <c r="DA239" s="568"/>
      <c r="DB239" s="568"/>
      <c r="DC239" s="568"/>
      <c r="DD239" s="568"/>
      <c r="DE239" s="561"/>
      <c r="DF239" s="561"/>
      <c r="DG239" s="561"/>
      <c r="DH239" s="561"/>
      <c r="DI239" s="561"/>
      <c r="DJ239" s="561"/>
      <c r="DK239" s="897"/>
    </row>
    <row r="240" spans="1:115" ht="51" x14ac:dyDescent="0.2">
      <c r="A240" s="295">
        <v>236</v>
      </c>
      <c r="B240" s="390" t="s">
        <v>9238</v>
      </c>
      <c r="C240" s="390"/>
      <c r="D240" s="391" t="s">
        <v>9239</v>
      </c>
      <c r="E240" s="709" t="s">
        <v>9250</v>
      </c>
      <c r="F240" s="393" t="s">
        <v>1352</v>
      </c>
      <c r="G240" s="393" t="s">
        <v>1672</v>
      </c>
      <c r="H240" s="393" t="s">
        <v>632</v>
      </c>
      <c r="I240" s="563"/>
      <c r="J240" s="563"/>
      <c r="K240" s="560" t="s">
        <v>9258</v>
      </c>
      <c r="L240" s="560" t="s">
        <v>635</v>
      </c>
      <c r="M240" s="563"/>
      <c r="N240" s="562" t="s">
        <v>44</v>
      </c>
      <c r="O240" s="393" t="s">
        <v>69</v>
      </c>
      <c r="P240" s="393" t="s">
        <v>69</v>
      </c>
      <c r="Q240" s="392" t="s">
        <v>572</v>
      </c>
      <c r="R240" s="560" t="s">
        <v>5577</v>
      </c>
      <c r="S240" s="560" t="s">
        <v>573</v>
      </c>
      <c r="T240" s="564">
        <v>1</v>
      </c>
      <c r="U240" s="565">
        <v>5.5629999999999997</v>
      </c>
      <c r="V240" s="565"/>
      <c r="W240" s="566"/>
      <c r="X240" s="564"/>
      <c r="Y240" s="564">
        <v>7</v>
      </c>
      <c r="Z240" s="564">
        <v>25</v>
      </c>
      <c r="AA240" s="565">
        <v>0</v>
      </c>
      <c r="AB240" s="567">
        <v>43009</v>
      </c>
      <c r="AC240" s="568"/>
      <c r="AD240" s="568">
        <v>18.09118082191781</v>
      </c>
      <c r="AE240" s="393" t="s">
        <v>47</v>
      </c>
      <c r="AF240" s="564"/>
      <c r="AG240" s="565"/>
      <c r="AH240" s="567"/>
      <c r="AI240" s="564"/>
      <c r="AJ240" s="566"/>
      <c r="AK240" s="566"/>
      <c r="AL240" s="561"/>
      <c r="AM240" s="561"/>
      <c r="AN240" s="569"/>
      <c r="AO240" s="563"/>
      <c r="AP240" s="560"/>
      <c r="AQ240" s="563"/>
      <c r="AR240" s="560" t="s">
        <v>274</v>
      </c>
      <c r="AS240" s="479">
        <v>40171</v>
      </c>
      <c r="AT240" s="566"/>
      <c r="AU240" s="566"/>
      <c r="AV240" s="566"/>
      <c r="AW240" s="566"/>
      <c r="AX240" s="566"/>
      <c r="AY240" s="566"/>
      <c r="AZ240" s="567">
        <v>43007</v>
      </c>
      <c r="BA240" s="561"/>
      <c r="BB240" s="393" t="s">
        <v>3147</v>
      </c>
      <c r="BC240" s="561" t="b">
        <v>0</v>
      </c>
      <c r="BD240" s="561"/>
      <c r="BE240" s="563"/>
      <c r="BF240" s="394">
        <v>1</v>
      </c>
      <c r="BG240" s="394">
        <v>2</v>
      </c>
      <c r="BH240" s="394">
        <v>7</v>
      </c>
      <c r="BI240" s="394">
        <v>9</v>
      </c>
      <c r="BJ240" s="394">
        <v>8</v>
      </c>
      <c r="BK240" s="394"/>
      <c r="BL240" s="444" t="s">
        <v>6981</v>
      </c>
      <c r="BM240" s="563"/>
      <c r="BN240" s="561"/>
      <c r="BO240" s="561"/>
      <c r="BP240" s="571"/>
      <c r="BQ240" s="572"/>
      <c r="BR240" s="573"/>
      <c r="BS240" s="571">
        <v>0.1</v>
      </c>
      <c r="BT240" s="564">
        <v>672</v>
      </c>
      <c r="BU240" s="569">
        <v>0.4602</v>
      </c>
      <c r="BV240" s="571"/>
      <c r="BW240" s="562"/>
      <c r="BX240" s="563"/>
      <c r="BY240" s="561"/>
      <c r="BZ240" s="561"/>
      <c r="CA240" s="574"/>
      <c r="CB240" s="572"/>
      <c r="CC240" s="568"/>
      <c r="CD240" s="568"/>
      <c r="CE240" s="568"/>
      <c r="CF240" s="568"/>
      <c r="CG240" s="568"/>
      <c r="CH240" s="568"/>
      <c r="CI240" s="568"/>
      <c r="CJ240" s="568"/>
      <c r="CK240" s="568"/>
      <c r="CL240" s="568"/>
      <c r="CM240" s="568">
        <v>1.3979999999999999</v>
      </c>
      <c r="CN240" s="568">
        <v>5.5620000000000003</v>
      </c>
      <c r="CO240" s="568">
        <v>5.5620000000000003</v>
      </c>
      <c r="CP240" s="568">
        <v>5.5620000000000003</v>
      </c>
      <c r="CQ240" s="568">
        <v>5.5620000000000003</v>
      </c>
      <c r="CR240" s="568">
        <v>5.5620000000000003</v>
      </c>
      <c r="CS240" s="568">
        <v>5.5620000000000003</v>
      </c>
      <c r="CT240" s="568">
        <v>4.1749999999999998</v>
      </c>
      <c r="CU240" s="568"/>
      <c r="CV240" s="568"/>
      <c r="CW240" s="568"/>
      <c r="CX240" s="568"/>
      <c r="CY240" s="568"/>
      <c r="CZ240" s="568"/>
      <c r="DA240" s="568"/>
      <c r="DB240" s="568"/>
      <c r="DC240" s="568"/>
      <c r="DD240" s="568"/>
      <c r="DE240" s="561"/>
      <c r="DF240" s="561"/>
      <c r="DG240" s="561"/>
      <c r="DH240" s="561"/>
      <c r="DI240" s="561"/>
      <c r="DJ240" s="561"/>
      <c r="DK240" s="897"/>
    </row>
    <row r="241" spans="1:115" ht="51" x14ac:dyDescent="0.2">
      <c r="A241" s="295">
        <v>237</v>
      </c>
      <c r="B241" s="390" t="s">
        <v>9240</v>
      </c>
      <c r="C241" s="390"/>
      <c r="D241" s="391" t="s">
        <v>9241</v>
      </c>
      <c r="E241" s="709" t="s">
        <v>9251</v>
      </c>
      <c r="F241" s="393" t="s">
        <v>1352</v>
      </c>
      <c r="G241" s="393" t="s">
        <v>1672</v>
      </c>
      <c r="H241" s="393" t="s">
        <v>632</v>
      </c>
      <c r="I241" s="563"/>
      <c r="J241" s="563"/>
      <c r="K241" s="560" t="s">
        <v>5576</v>
      </c>
      <c r="L241" s="560" t="s">
        <v>635</v>
      </c>
      <c r="M241" s="563"/>
      <c r="N241" s="562" t="s">
        <v>44</v>
      </c>
      <c r="O241" s="393" t="s">
        <v>69</v>
      </c>
      <c r="P241" s="393" t="s">
        <v>69</v>
      </c>
      <c r="Q241" s="392" t="s">
        <v>572</v>
      </c>
      <c r="R241" s="560" t="s">
        <v>5577</v>
      </c>
      <c r="S241" s="560" t="s">
        <v>573</v>
      </c>
      <c r="T241" s="564">
        <v>1</v>
      </c>
      <c r="U241" s="565">
        <v>4.3319999999999999</v>
      </c>
      <c r="V241" s="565"/>
      <c r="W241" s="566"/>
      <c r="X241" s="564"/>
      <c r="Y241" s="564">
        <v>7</v>
      </c>
      <c r="Z241" s="564">
        <v>25</v>
      </c>
      <c r="AA241" s="565">
        <v>0</v>
      </c>
      <c r="AB241" s="567">
        <v>43040</v>
      </c>
      <c r="AC241" s="568"/>
      <c r="AD241" s="568">
        <v>13.71997808219178</v>
      </c>
      <c r="AE241" s="393" t="s">
        <v>47</v>
      </c>
      <c r="AF241" s="564"/>
      <c r="AG241" s="565"/>
      <c r="AH241" s="567"/>
      <c r="AI241" s="564"/>
      <c r="AJ241" s="566"/>
      <c r="AK241" s="566"/>
      <c r="AL241" s="561"/>
      <c r="AM241" s="561"/>
      <c r="AN241" s="569"/>
      <c r="AO241" s="563"/>
      <c r="AP241" s="560"/>
      <c r="AQ241" s="563"/>
      <c r="AR241" s="560" t="s">
        <v>274</v>
      </c>
      <c r="AS241" s="479">
        <v>40171</v>
      </c>
      <c r="AT241" s="566"/>
      <c r="AU241" s="566"/>
      <c r="AV241" s="566"/>
      <c r="AW241" s="566"/>
      <c r="AX241" s="566"/>
      <c r="AY241" s="566"/>
      <c r="AZ241" s="567">
        <v>43007</v>
      </c>
      <c r="BA241" s="561"/>
      <c r="BB241" s="393" t="s">
        <v>3147</v>
      </c>
      <c r="BC241" s="561" t="b">
        <v>0</v>
      </c>
      <c r="BD241" s="561"/>
      <c r="BE241" s="563"/>
      <c r="BF241" s="394">
        <v>1</v>
      </c>
      <c r="BG241" s="394">
        <v>2</v>
      </c>
      <c r="BH241" s="394">
        <v>7</v>
      </c>
      <c r="BI241" s="394">
        <v>9</v>
      </c>
      <c r="BJ241" s="394">
        <v>8</v>
      </c>
      <c r="BK241" s="394"/>
      <c r="BL241" s="444" t="s">
        <v>6981</v>
      </c>
      <c r="BM241" s="563"/>
      <c r="BN241" s="561"/>
      <c r="BO241" s="561"/>
      <c r="BP241" s="571"/>
      <c r="BQ241" s="572"/>
      <c r="BR241" s="573"/>
      <c r="BS241" s="571">
        <v>0.2</v>
      </c>
      <c r="BT241" s="564">
        <v>1309</v>
      </c>
      <c r="BU241" s="569">
        <v>0.4602</v>
      </c>
      <c r="BV241" s="571"/>
      <c r="BW241" s="562"/>
      <c r="BX241" s="563"/>
      <c r="BY241" s="561"/>
      <c r="BZ241" s="561"/>
      <c r="CA241" s="574"/>
      <c r="CB241" s="572"/>
      <c r="CC241" s="568"/>
      <c r="CD241" s="568"/>
      <c r="CE241" s="568"/>
      <c r="CF241" s="568"/>
      <c r="CG241" s="568"/>
      <c r="CH241" s="568"/>
      <c r="CI241" s="568"/>
      <c r="CJ241" s="568"/>
      <c r="CK241" s="568"/>
      <c r="CL241" s="568"/>
      <c r="CM241" s="568">
        <v>0.72199999999999998</v>
      </c>
      <c r="CN241" s="568">
        <v>4.3310000000000004</v>
      </c>
      <c r="CO241" s="568">
        <v>4.3310000000000004</v>
      </c>
      <c r="CP241" s="568">
        <v>4.3310000000000004</v>
      </c>
      <c r="CQ241" s="568">
        <v>4.3310000000000004</v>
      </c>
      <c r="CR241" s="568">
        <v>4.3310000000000004</v>
      </c>
      <c r="CS241" s="568">
        <v>4.3310000000000004</v>
      </c>
      <c r="CT241" s="568">
        <v>3.6190000000000002</v>
      </c>
      <c r="CU241" s="568"/>
      <c r="CV241" s="568"/>
      <c r="CW241" s="568"/>
      <c r="CX241" s="568"/>
      <c r="CY241" s="568"/>
      <c r="CZ241" s="568"/>
      <c r="DA241" s="568"/>
      <c r="DB241" s="568"/>
      <c r="DC241" s="568"/>
      <c r="DD241" s="568"/>
      <c r="DE241" s="561"/>
      <c r="DF241" s="561"/>
      <c r="DG241" s="561"/>
      <c r="DH241" s="561"/>
      <c r="DI241" s="561"/>
      <c r="DJ241" s="561"/>
      <c r="DK241" s="897"/>
    </row>
    <row r="242" spans="1:115" ht="51" x14ac:dyDescent="0.2">
      <c r="A242" s="295">
        <v>238</v>
      </c>
      <c r="B242" s="390" t="s">
        <v>9242</v>
      </c>
      <c r="C242" s="390"/>
      <c r="D242" s="391" t="s">
        <v>9243</v>
      </c>
      <c r="E242" s="709" t="s">
        <v>9252</v>
      </c>
      <c r="F242" s="393" t="s">
        <v>1352</v>
      </c>
      <c r="G242" s="393" t="s">
        <v>1672</v>
      </c>
      <c r="H242" s="393" t="s">
        <v>632</v>
      </c>
      <c r="I242" s="563"/>
      <c r="J242" s="563"/>
      <c r="K242" s="560" t="s">
        <v>9259</v>
      </c>
      <c r="L242" s="560" t="s">
        <v>635</v>
      </c>
      <c r="M242" s="563"/>
      <c r="N242" s="562" t="s">
        <v>44</v>
      </c>
      <c r="O242" s="393" t="s">
        <v>69</v>
      </c>
      <c r="P242" s="393" t="s">
        <v>69</v>
      </c>
      <c r="Q242" s="392" t="s">
        <v>572</v>
      </c>
      <c r="R242" s="560" t="s">
        <v>5577</v>
      </c>
      <c r="S242" s="560" t="s">
        <v>573</v>
      </c>
      <c r="T242" s="564">
        <v>1</v>
      </c>
      <c r="U242" s="565">
        <v>12.819000000000001</v>
      </c>
      <c r="V242" s="565"/>
      <c r="W242" s="566"/>
      <c r="X242" s="564"/>
      <c r="Y242" s="564">
        <v>7</v>
      </c>
      <c r="Z242" s="564">
        <v>25</v>
      </c>
      <c r="AA242" s="565">
        <v>0</v>
      </c>
      <c r="AB242" s="567">
        <v>43070</v>
      </c>
      <c r="AC242" s="568"/>
      <c r="AD242" s="568">
        <v>39.545736986301371</v>
      </c>
      <c r="AE242" s="393" t="s">
        <v>47</v>
      </c>
      <c r="AF242" s="564"/>
      <c r="AG242" s="565"/>
      <c r="AH242" s="567"/>
      <c r="AI242" s="564"/>
      <c r="AJ242" s="566"/>
      <c r="AK242" s="566"/>
      <c r="AL242" s="561"/>
      <c r="AM242" s="561"/>
      <c r="AN242" s="569"/>
      <c r="AO242" s="563"/>
      <c r="AP242" s="560"/>
      <c r="AQ242" s="563"/>
      <c r="AR242" s="560" t="s">
        <v>274</v>
      </c>
      <c r="AS242" s="479">
        <v>40171</v>
      </c>
      <c r="AT242" s="566"/>
      <c r="AU242" s="566"/>
      <c r="AV242" s="566"/>
      <c r="AW242" s="566"/>
      <c r="AX242" s="566"/>
      <c r="AY242" s="566"/>
      <c r="AZ242" s="567">
        <v>43007</v>
      </c>
      <c r="BA242" s="561"/>
      <c r="BB242" s="393" t="s">
        <v>3147</v>
      </c>
      <c r="BC242" s="561" t="b">
        <v>0</v>
      </c>
      <c r="BD242" s="561"/>
      <c r="BE242" s="563"/>
      <c r="BF242" s="394">
        <v>1</v>
      </c>
      <c r="BG242" s="394">
        <v>2</v>
      </c>
      <c r="BH242" s="394">
        <v>7</v>
      </c>
      <c r="BI242" s="394">
        <v>9</v>
      </c>
      <c r="BJ242" s="394">
        <v>8</v>
      </c>
      <c r="BK242" s="394"/>
      <c r="BL242" s="444" t="s">
        <v>6981</v>
      </c>
      <c r="BM242" s="563"/>
      <c r="BN242" s="561"/>
      <c r="BO242" s="561"/>
      <c r="BP242" s="571"/>
      <c r="BQ242" s="572"/>
      <c r="BR242" s="573"/>
      <c r="BS242" s="571">
        <v>0.4</v>
      </c>
      <c r="BT242" s="564">
        <v>2688</v>
      </c>
      <c r="BU242" s="569">
        <v>0.64359999999999995</v>
      </c>
      <c r="BV242" s="571"/>
      <c r="BW242" s="562"/>
      <c r="BX242" s="563"/>
      <c r="BY242" s="561"/>
      <c r="BZ242" s="561"/>
      <c r="CA242" s="574"/>
      <c r="CB242" s="572"/>
      <c r="CC242" s="568"/>
      <c r="CD242" s="568"/>
      <c r="CE242" s="568"/>
      <c r="CF242" s="568"/>
      <c r="CG242" s="568"/>
      <c r="CH242" s="568"/>
      <c r="CI242" s="568"/>
      <c r="CJ242" s="568"/>
      <c r="CK242" s="568"/>
      <c r="CL242" s="568"/>
      <c r="CM242" s="568">
        <v>0.48499999999999999</v>
      </c>
      <c r="CN242" s="568">
        <v>10.643000000000001</v>
      </c>
      <c r="CO242" s="568">
        <v>10.643000000000001</v>
      </c>
      <c r="CP242" s="568">
        <v>10.643000000000001</v>
      </c>
      <c r="CQ242" s="568">
        <v>10.643000000000001</v>
      </c>
      <c r="CR242" s="568">
        <v>10.643000000000001</v>
      </c>
      <c r="CS242" s="568">
        <v>16.454999999999998</v>
      </c>
      <c r="CT242" s="568"/>
      <c r="CU242" s="568"/>
      <c r="CV242" s="568"/>
      <c r="CW242" s="568"/>
      <c r="CX242" s="568"/>
      <c r="CY242" s="568"/>
      <c r="CZ242" s="568"/>
      <c r="DA242" s="568"/>
      <c r="DB242" s="568"/>
      <c r="DC242" s="568"/>
      <c r="DD242" s="568"/>
      <c r="DE242" s="561"/>
      <c r="DF242" s="561"/>
      <c r="DG242" s="561"/>
      <c r="DH242" s="561"/>
      <c r="DI242" s="561"/>
      <c r="DJ242" s="561"/>
      <c r="DK242" s="897"/>
    </row>
    <row r="243" spans="1:115" ht="51" x14ac:dyDescent="0.2">
      <c r="A243" s="295">
        <v>239</v>
      </c>
      <c r="B243" s="449" t="s">
        <v>9380</v>
      </c>
      <c r="C243" s="390"/>
      <c r="D243" s="474" t="s">
        <v>9383</v>
      </c>
      <c r="E243" s="709" t="s">
        <v>9386</v>
      </c>
      <c r="F243" s="393" t="s">
        <v>1352</v>
      </c>
      <c r="G243" s="393" t="s">
        <v>1672</v>
      </c>
      <c r="H243" s="393" t="s">
        <v>632</v>
      </c>
      <c r="I243" s="563"/>
      <c r="J243" s="563"/>
      <c r="K243" s="560" t="s">
        <v>9389</v>
      </c>
      <c r="L243" s="560" t="s">
        <v>635</v>
      </c>
      <c r="M243" s="563"/>
      <c r="N243" s="562" t="s">
        <v>44</v>
      </c>
      <c r="O243" s="393" t="s">
        <v>69</v>
      </c>
      <c r="P243" s="393" t="s">
        <v>69</v>
      </c>
      <c r="Q243" s="392" t="s">
        <v>572</v>
      </c>
      <c r="R243" s="560" t="s">
        <v>5577</v>
      </c>
      <c r="S243" s="560" t="s">
        <v>573</v>
      </c>
      <c r="T243" s="564">
        <v>1</v>
      </c>
      <c r="U243" s="565">
        <v>6.6159999999999997</v>
      </c>
      <c r="V243" s="565"/>
      <c r="W243" s="566"/>
      <c r="X243" s="564"/>
      <c r="Y243" s="564">
        <v>7</v>
      </c>
      <c r="Z243" s="564">
        <v>25</v>
      </c>
      <c r="AA243" s="565"/>
      <c r="AB243" s="567">
        <v>43070</v>
      </c>
      <c r="AC243" s="568"/>
      <c r="AD243" s="568">
        <v>20.409906849315067</v>
      </c>
      <c r="AE243" s="562" t="s">
        <v>54</v>
      </c>
      <c r="AF243" s="564"/>
      <c r="AG243" s="565"/>
      <c r="AH243" s="567"/>
      <c r="AI243" s="564"/>
      <c r="AJ243" s="566"/>
      <c r="AK243" s="566"/>
      <c r="AL243" s="561"/>
      <c r="AM243" s="561"/>
      <c r="AN243" s="569"/>
      <c r="AO243" s="563"/>
      <c r="AP243" s="560"/>
      <c r="AQ243" s="563"/>
      <c r="AR243" s="560" t="s">
        <v>274</v>
      </c>
      <c r="AS243" s="479">
        <v>40171</v>
      </c>
      <c r="AT243" s="566"/>
      <c r="AU243" s="566"/>
      <c r="AV243" s="566"/>
      <c r="AW243" s="566"/>
      <c r="AX243" s="566"/>
      <c r="AY243" s="566"/>
      <c r="AZ243" s="567">
        <v>43069</v>
      </c>
      <c r="BA243" s="561"/>
      <c r="BB243" s="393" t="s">
        <v>3147</v>
      </c>
      <c r="BC243" s="561" t="b">
        <v>0</v>
      </c>
      <c r="BD243" s="561"/>
      <c r="BE243" s="563"/>
      <c r="BF243" s="394">
        <v>1</v>
      </c>
      <c r="BG243" s="394">
        <v>2</v>
      </c>
      <c r="BH243" s="394">
        <v>7</v>
      </c>
      <c r="BI243" s="394">
        <v>9</v>
      </c>
      <c r="BJ243" s="394">
        <v>8</v>
      </c>
      <c r="BK243" s="394"/>
      <c r="BL243" s="444" t="s">
        <v>6981</v>
      </c>
      <c r="BM243" s="563"/>
      <c r="BN243" s="561"/>
      <c r="BO243" s="561"/>
      <c r="BP243" s="571"/>
      <c r="BQ243" s="572"/>
      <c r="BR243" s="573"/>
      <c r="BS243" s="571">
        <v>0.12</v>
      </c>
      <c r="BT243" s="564">
        <f>786/BS243</f>
        <v>6550</v>
      </c>
      <c r="BU243" s="569">
        <v>0.64359999999999995</v>
      </c>
      <c r="BV243" s="571"/>
      <c r="BW243" s="562"/>
      <c r="BX243" s="563"/>
      <c r="BY243" s="561"/>
      <c r="BZ243" s="561"/>
      <c r="CA243" s="574"/>
      <c r="CB243" s="572"/>
      <c r="CC243" s="568"/>
      <c r="CD243" s="568"/>
      <c r="CE243" s="568"/>
      <c r="CF243" s="568"/>
      <c r="CG243" s="568"/>
      <c r="CH243" s="568"/>
      <c r="CI243" s="568"/>
      <c r="CJ243" s="568"/>
      <c r="CK243" s="568"/>
      <c r="CL243" s="568"/>
      <c r="CM243" s="568">
        <v>0.33600000000000002</v>
      </c>
      <c r="CN243" s="568">
        <v>4.4089999999999998</v>
      </c>
      <c r="CO243" s="568">
        <v>5.0170000000000003</v>
      </c>
      <c r="CP243" s="568">
        <v>5.7169999999999996</v>
      </c>
      <c r="CQ243" s="568">
        <v>6.4980000000000002</v>
      </c>
      <c r="CR243" s="568">
        <v>7.37</v>
      </c>
      <c r="CS243" s="568">
        <v>8.3420000000000005</v>
      </c>
      <c r="CT243" s="568">
        <v>8.6289999999999996</v>
      </c>
      <c r="CU243" s="568"/>
      <c r="CV243" s="568"/>
      <c r="CW243" s="568"/>
      <c r="CX243" s="568"/>
      <c r="CY243" s="568"/>
      <c r="CZ243" s="568"/>
      <c r="DA243" s="568"/>
      <c r="DB243" s="568"/>
      <c r="DC243" s="568"/>
      <c r="DD243" s="568"/>
      <c r="DE243" s="561"/>
      <c r="DF243" s="561"/>
      <c r="DG243" s="561"/>
      <c r="DH243" s="561"/>
      <c r="DI243" s="561"/>
      <c r="DJ243" s="561"/>
      <c r="DK243" s="897"/>
    </row>
    <row r="244" spans="1:115" ht="51" x14ac:dyDescent="0.2">
      <c r="A244" s="295">
        <v>240</v>
      </c>
      <c r="B244" s="449" t="s">
        <v>9381</v>
      </c>
      <c r="C244" s="390"/>
      <c r="D244" s="474" t="s">
        <v>9384</v>
      </c>
      <c r="E244" s="709" t="s">
        <v>9387</v>
      </c>
      <c r="F244" s="393" t="s">
        <v>1352</v>
      </c>
      <c r="G244" s="393" t="s">
        <v>1672</v>
      </c>
      <c r="H244" s="393" t="s">
        <v>632</v>
      </c>
      <c r="I244" s="563"/>
      <c r="J244" s="563"/>
      <c r="K244" s="560" t="s">
        <v>9390</v>
      </c>
      <c r="L244" s="560" t="s">
        <v>635</v>
      </c>
      <c r="M244" s="563"/>
      <c r="N244" s="562" t="s">
        <v>44</v>
      </c>
      <c r="O244" s="393" t="s">
        <v>69</v>
      </c>
      <c r="P244" s="393" t="s">
        <v>69</v>
      </c>
      <c r="Q244" s="392" t="s">
        <v>572</v>
      </c>
      <c r="R244" s="560" t="s">
        <v>5577</v>
      </c>
      <c r="S244" s="560" t="s">
        <v>573</v>
      </c>
      <c r="T244" s="564">
        <v>1</v>
      </c>
      <c r="U244" s="565">
        <v>39.180999999999997</v>
      </c>
      <c r="V244" s="565"/>
      <c r="W244" s="566"/>
      <c r="X244" s="564"/>
      <c r="Y244" s="564">
        <v>7</v>
      </c>
      <c r="Z244" s="564">
        <v>25</v>
      </c>
      <c r="AA244" s="565"/>
      <c r="AB244" s="567">
        <v>43070</v>
      </c>
      <c r="AC244" s="568"/>
      <c r="AD244" s="568">
        <v>120.870701369863</v>
      </c>
      <c r="AE244" s="562" t="s">
        <v>54</v>
      </c>
      <c r="AF244" s="564"/>
      <c r="AG244" s="565"/>
      <c r="AH244" s="567"/>
      <c r="AI244" s="564"/>
      <c r="AJ244" s="566"/>
      <c r="AK244" s="566"/>
      <c r="AL244" s="561"/>
      <c r="AM244" s="561"/>
      <c r="AN244" s="569"/>
      <c r="AO244" s="563"/>
      <c r="AP244" s="560"/>
      <c r="AQ244" s="563"/>
      <c r="AR244" s="560" t="s">
        <v>274</v>
      </c>
      <c r="AS244" s="479">
        <v>40171</v>
      </c>
      <c r="AT244" s="566"/>
      <c r="AU244" s="566"/>
      <c r="AV244" s="566"/>
      <c r="AW244" s="566"/>
      <c r="AX244" s="566"/>
      <c r="AY244" s="566"/>
      <c r="AZ244" s="567">
        <v>43069</v>
      </c>
      <c r="BA244" s="561"/>
      <c r="BB244" s="393" t="s">
        <v>3147</v>
      </c>
      <c r="BC244" s="561" t="b">
        <v>0</v>
      </c>
      <c r="BD244" s="561"/>
      <c r="BE244" s="563"/>
      <c r="BF244" s="394">
        <v>1</v>
      </c>
      <c r="BG244" s="394">
        <v>2</v>
      </c>
      <c r="BH244" s="394">
        <v>7</v>
      </c>
      <c r="BI244" s="394">
        <v>9</v>
      </c>
      <c r="BJ244" s="394">
        <v>8</v>
      </c>
      <c r="BK244" s="394"/>
      <c r="BL244" s="444" t="s">
        <v>6981</v>
      </c>
      <c r="BM244" s="563"/>
      <c r="BN244" s="561"/>
      <c r="BO244" s="561"/>
      <c r="BP244" s="571"/>
      <c r="BQ244" s="572"/>
      <c r="BR244" s="573"/>
      <c r="BS244" s="571">
        <v>0.32</v>
      </c>
      <c r="BT244" s="564">
        <f>2098/BS244</f>
        <v>6556.25</v>
      </c>
      <c r="BU244" s="569">
        <v>0.64359999999999995</v>
      </c>
      <c r="BV244" s="571"/>
      <c r="BW244" s="562"/>
      <c r="BX244" s="563"/>
      <c r="BY244" s="561"/>
      <c r="BZ244" s="561"/>
      <c r="CA244" s="574"/>
      <c r="CB244" s="572"/>
      <c r="CC244" s="568"/>
      <c r="CD244" s="568"/>
      <c r="CE244" s="568"/>
      <c r="CF244" s="568"/>
      <c r="CG244" s="568"/>
      <c r="CH244" s="568"/>
      <c r="CI244" s="568"/>
      <c r="CJ244" s="568"/>
      <c r="CK244" s="568"/>
      <c r="CL244" s="568"/>
      <c r="CM244" s="568">
        <v>2.2130000000000001</v>
      </c>
      <c r="CN244" s="568">
        <v>28.274000000000001</v>
      </c>
      <c r="CO244" s="568">
        <v>31.277999999999999</v>
      </c>
      <c r="CP244" s="568">
        <v>34.735999999999997</v>
      </c>
      <c r="CQ244" s="568">
        <v>38.594000000000001</v>
      </c>
      <c r="CR244" s="568">
        <v>42.902999999999999</v>
      </c>
      <c r="CS244" s="568">
        <v>47.704999999999998</v>
      </c>
      <c r="CT244" s="568">
        <v>48.570999999999998</v>
      </c>
      <c r="CU244" s="568"/>
      <c r="CV244" s="568"/>
      <c r="CW244" s="568"/>
      <c r="CX244" s="568"/>
      <c r="CY244" s="568"/>
      <c r="CZ244" s="568"/>
      <c r="DA244" s="568"/>
      <c r="DB244" s="568"/>
      <c r="DC244" s="568"/>
      <c r="DD244" s="568"/>
      <c r="DE244" s="561"/>
      <c r="DF244" s="561"/>
      <c r="DG244" s="561"/>
      <c r="DH244" s="561"/>
      <c r="DI244" s="561"/>
      <c r="DJ244" s="561"/>
      <c r="DK244" s="897"/>
    </row>
    <row r="245" spans="1:115" ht="51" x14ac:dyDescent="0.2">
      <c r="A245" s="295">
        <v>241</v>
      </c>
      <c r="B245" s="449" t="s">
        <v>9382</v>
      </c>
      <c r="C245" s="390"/>
      <c r="D245" s="474" t="s">
        <v>9385</v>
      </c>
      <c r="E245" s="709" t="s">
        <v>9388</v>
      </c>
      <c r="F245" s="393" t="s">
        <v>1352</v>
      </c>
      <c r="G245" s="393" t="s">
        <v>1672</v>
      </c>
      <c r="H245" s="393" t="s">
        <v>632</v>
      </c>
      <c r="I245" s="563"/>
      <c r="J245" s="563"/>
      <c r="K245" s="560" t="s">
        <v>9391</v>
      </c>
      <c r="L245" s="560" t="s">
        <v>635</v>
      </c>
      <c r="M245" s="563"/>
      <c r="N245" s="562" t="s">
        <v>44</v>
      </c>
      <c r="O245" s="393" t="s">
        <v>69</v>
      </c>
      <c r="P245" s="393" t="s">
        <v>69</v>
      </c>
      <c r="Q245" s="392" t="s">
        <v>572</v>
      </c>
      <c r="R245" s="560" t="s">
        <v>5577</v>
      </c>
      <c r="S245" s="560" t="s">
        <v>573</v>
      </c>
      <c r="T245" s="564">
        <v>1</v>
      </c>
      <c r="U245" s="565">
        <v>5.6970000000000001</v>
      </c>
      <c r="V245" s="565"/>
      <c r="W245" s="566"/>
      <c r="X245" s="564"/>
      <c r="Y245" s="564">
        <v>7</v>
      </c>
      <c r="Z245" s="564">
        <v>25</v>
      </c>
      <c r="AA245" s="565"/>
      <c r="AB245" s="567">
        <v>43070</v>
      </c>
      <c r="AC245" s="568"/>
      <c r="AD245" s="568">
        <v>17.574854794520547</v>
      </c>
      <c r="AE245" s="562" t="s">
        <v>54</v>
      </c>
      <c r="AF245" s="564"/>
      <c r="AG245" s="565"/>
      <c r="AH245" s="567"/>
      <c r="AI245" s="564"/>
      <c r="AJ245" s="566"/>
      <c r="AK245" s="566"/>
      <c r="AL245" s="561"/>
      <c r="AM245" s="561"/>
      <c r="AN245" s="569"/>
      <c r="AO245" s="563"/>
      <c r="AP245" s="560"/>
      <c r="AQ245" s="563"/>
      <c r="AR245" s="560" t="s">
        <v>274</v>
      </c>
      <c r="AS245" s="479">
        <v>40171</v>
      </c>
      <c r="AT245" s="566"/>
      <c r="AU245" s="566"/>
      <c r="AV245" s="566"/>
      <c r="AW245" s="566"/>
      <c r="AX245" s="566"/>
      <c r="AY245" s="566"/>
      <c r="AZ245" s="567">
        <v>43069</v>
      </c>
      <c r="BA245" s="561"/>
      <c r="BB245" s="393" t="s">
        <v>3147</v>
      </c>
      <c r="BC245" s="561" t="b">
        <v>0</v>
      </c>
      <c r="BD245" s="561"/>
      <c r="BE245" s="563"/>
      <c r="BF245" s="394">
        <v>1</v>
      </c>
      <c r="BG245" s="394">
        <v>2</v>
      </c>
      <c r="BH245" s="394">
        <v>7</v>
      </c>
      <c r="BI245" s="394">
        <v>9</v>
      </c>
      <c r="BJ245" s="394">
        <v>8</v>
      </c>
      <c r="BK245" s="394"/>
      <c r="BL245" s="444" t="s">
        <v>6981</v>
      </c>
      <c r="BM245" s="563"/>
      <c r="BN245" s="561"/>
      <c r="BO245" s="561"/>
      <c r="BP245" s="571"/>
      <c r="BQ245" s="572"/>
      <c r="BR245" s="573"/>
      <c r="BS245" s="571">
        <v>0.22500000000000001</v>
      </c>
      <c r="BT245" s="564">
        <f>756/BS245</f>
        <v>3360</v>
      </c>
      <c r="BU245" s="569">
        <v>0.4602</v>
      </c>
      <c r="BV245" s="571"/>
      <c r="BW245" s="562"/>
      <c r="BX245" s="563"/>
      <c r="BY245" s="561"/>
      <c r="BZ245" s="561"/>
      <c r="CA245" s="574"/>
      <c r="CB245" s="572"/>
      <c r="CC245" s="568"/>
      <c r="CD245" s="568"/>
      <c r="CE245" s="568"/>
      <c r="CF245" s="568"/>
      <c r="CG245" s="568"/>
      <c r="CH245" s="568"/>
      <c r="CI245" s="568"/>
      <c r="CJ245" s="568"/>
      <c r="CK245" s="568"/>
      <c r="CL245" s="568"/>
      <c r="CM245" s="568">
        <v>0.33600000000000002</v>
      </c>
      <c r="CN245" s="568">
        <v>4.3239999999999998</v>
      </c>
      <c r="CO245" s="568">
        <v>4.72</v>
      </c>
      <c r="CP245" s="568">
        <v>5.1580000000000004</v>
      </c>
      <c r="CQ245" s="568">
        <v>5.6390000000000002</v>
      </c>
      <c r="CR245" s="568">
        <v>6.1680000000000001</v>
      </c>
      <c r="CS245" s="568">
        <v>6.75</v>
      </c>
      <c r="CT245" s="568">
        <v>6.782</v>
      </c>
      <c r="CU245" s="568"/>
      <c r="CV245" s="568"/>
      <c r="CW245" s="568"/>
      <c r="CX245" s="568"/>
      <c r="CY245" s="568"/>
      <c r="CZ245" s="568"/>
      <c r="DA245" s="568"/>
      <c r="DB245" s="568"/>
      <c r="DC245" s="568"/>
      <c r="DD245" s="568"/>
      <c r="DE245" s="561"/>
      <c r="DF245" s="561"/>
      <c r="DG245" s="561"/>
      <c r="DH245" s="561"/>
      <c r="DI245" s="561"/>
      <c r="DJ245" s="561"/>
      <c r="DK245" s="897"/>
    </row>
    <row r="246" spans="1:115" ht="51" x14ac:dyDescent="0.2">
      <c r="A246" s="295">
        <v>242</v>
      </c>
      <c r="B246" s="449" t="s">
        <v>9430</v>
      </c>
      <c r="C246" s="390"/>
      <c r="D246" s="474" t="s">
        <v>9431</v>
      </c>
      <c r="E246" s="709" t="s">
        <v>9434</v>
      </c>
      <c r="F246" s="393" t="s">
        <v>1352</v>
      </c>
      <c r="G246" s="393" t="s">
        <v>1672</v>
      </c>
      <c r="H246" s="393" t="s">
        <v>632</v>
      </c>
      <c r="I246" s="563"/>
      <c r="J246" s="563"/>
      <c r="K246" s="560" t="s">
        <v>9436</v>
      </c>
      <c r="L246" s="560" t="s">
        <v>635</v>
      </c>
      <c r="M246" s="563"/>
      <c r="N246" s="562" t="s">
        <v>44</v>
      </c>
      <c r="O246" s="393" t="s">
        <v>69</v>
      </c>
      <c r="P246" s="393" t="s">
        <v>69</v>
      </c>
      <c r="Q246" s="392" t="s">
        <v>572</v>
      </c>
      <c r="R246" s="560" t="s">
        <v>5577</v>
      </c>
      <c r="S246" s="560" t="s">
        <v>573</v>
      </c>
      <c r="T246" s="564">
        <v>1</v>
      </c>
      <c r="U246" s="565">
        <v>4.51</v>
      </c>
      <c r="V246" s="565"/>
      <c r="W246" s="566"/>
      <c r="X246" s="564"/>
      <c r="Y246" s="564">
        <v>7</v>
      </c>
      <c r="Z246" s="564">
        <v>25</v>
      </c>
      <c r="AA246" s="565">
        <v>0</v>
      </c>
      <c r="AB246" s="567">
        <v>43132</v>
      </c>
      <c r="AC246" s="568"/>
      <c r="AD246" s="568">
        <v>13.146958904109587</v>
      </c>
      <c r="AE246" s="562" t="s">
        <v>54</v>
      </c>
      <c r="AF246" s="564"/>
      <c r="AG246" s="565"/>
      <c r="AH246" s="567"/>
      <c r="AI246" s="564"/>
      <c r="AJ246" s="566"/>
      <c r="AK246" s="566"/>
      <c r="AL246" s="561"/>
      <c r="AM246" s="561"/>
      <c r="AN246" s="569"/>
      <c r="AO246" s="563"/>
      <c r="AP246" s="560"/>
      <c r="AQ246" s="563"/>
      <c r="AR246" s="560" t="s">
        <v>274</v>
      </c>
      <c r="AS246" s="479">
        <v>40171</v>
      </c>
      <c r="AT246" s="566"/>
      <c r="AU246" s="566"/>
      <c r="AV246" s="566"/>
      <c r="AW246" s="566"/>
      <c r="AX246" s="566"/>
      <c r="AY246" s="566"/>
      <c r="AZ246" s="567">
        <v>43131</v>
      </c>
      <c r="BA246" s="561"/>
      <c r="BB246" s="393" t="s">
        <v>3147</v>
      </c>
      <c r="BC246" s="561" t="b">
        <v>0</v>
      </c>
      <c r="BD246" s="561"/>
      <c r="BE246" s="563"/>
      <c r="BF246" s="394">
        <v>1</v>
      </c>
      <c r="BG246" s="394">
        <v>2</v>
      </c>
      <c r="BH246" s="394">
        <v>7</v>
      </c>
      <c r="BI246" s="394">
        <v>9</v>
      </c>
      <c r="BJ246" s="394">
        <v>8</v>
      </c>
      <c r="BK246" s="394"/>
      <c r="BL246" s="444" t="s">
        <v>6981</v>
      </c>
      <c r="BM246" s="563"/>
      <c r="BN246" s="561"/>
      <c r="BO246" s="561"/>
      <c r="BP246" s="571"/>
      <c r="BQ246" s="572"/>
      <c r="BR246" s="573"/>
      <c r="BS246" s="571">
        <v>0.12</v>
      </c>
      <c r="BT246" s="564">
        <f>806/BS246</f>
        <v>6716.666666666667</v>
      </c>
      <c r="BU246" s="569">
        <v>0.4602</v>
      </c>
      <c r="BV246" s="571"/>
      <c r="BW246" s="562"/>
      <c r="BX246" s="563"/>
      <c r="BY246" s="561"/>
      <c r="BZ246" s="561"/>
      <c r="CA246" s="574"/>
      <c r="CB246" s="572"/>
      <c r="CC246" s="568"/>
      <c r="CD246" s="568"/>
      <c r="CE246" s="568"/>
      <c r="CF246" s="568"/>
      <c r="CG246" s="568"/>
      <c r="CH246" s="568"/>
      <c r="CI246" s="568"/>
      <c r="CJ246" s="568"/>
      <c r="CK246" s="568"/>
      <c r="CL246" s="568"/>
      <c r="CM246" s="568"/>
      <c r="CN246" s="568">
        <v>3.2669999999999999</v>
      </c>
      <c r="CO246" s="568">
        <v>4.6520000000000001</v>
      </c>
      <c r="CP246" s="568">
        <v>4.6520000000000001</v>
      </c>
      <c r="CQ246" s="568">
        <v>4.6520000000000001</v>
      </c>
      <c r="CR246" s="568">
        <v>4.6520000000000001</v>
      </c>
      <c r="CS246" s="568">
        <v>4.6520000000000001</v>
      </c>
      <c r="CT246" s="568">
        <v>4.6520000000000001</v>
      </c>
      <c r="CU246" s="568">
        <v>0.39500000000000002</v>
      </c>
      <c r="CV246" s="568"/>
      <c r="CW246" s="568"/>
      <c r="CX246" s="568"/>
      <c r="CY246" s="568"/>
      <c r="CZ246" s="568"/>
      <c r="DA246" s="568"/>
      <c r="DB246" s="568"/>
      <c r="DC246" s="568"/>
      <c r="DD246" s="568"/>
      <c r="DE246" s="561"/>
      <c r="DF246" s="561"/>
      <c r="DG246" s="561"/>
      <c r="DH246" s="561"/>
      <c r="DI246" s="561"/>
      <c r="DJ246" s="561"/>
      <c r="DK246" s="897"/>
    </row>
    <row r="247" spans="1:115" ht="51" x14ac:dyDescent="0.2">
      <c r="A247" s="295">
        <v>243</v>
      </c>
      <c r="B247" s="449" t="s">
        <v>9432</v>
      </c>
      <c r="C247" s="390"/>
      <c r="D247" s="474" t="s">
        <v>9433</v>
      </c>
      <c r="E247" s="709" t="s">
        <v>9435</v>
      </c>
      <c r="F247" s="393" t="s">
        <v>1352</v>
      </c>
      <c r="G247" s="393" t="s">
        <v>1672</v>
      </c>
      <c r="H247" s="393" t="s">
        <v>632</v>
      </c>
      <c r="I247" s="563"/>
      <c r="J247" s="563"/>
      <c r="K247" s="560" t="s">
        <v>9390</v>
      </c>
      <c r="L247" s="560" t="s">
        <v>635</v>
      </c>
      <c r="M247" s="563"/>
      <c r="N247" s="562" t="s">
        <v>44</v>
      </c>
      <c r="O247" s="393" t="s">
        <v>69</v>
      </c>
      <c r="P247" s="393" t="s">
        <v>69</v>
      </c>
      <c r="Q247" s="392" t="s">
        <v>572</v>
      </c>
      <c r="R247" s="560" t="s">
        <v>5577</v>
      </c>
      <c r="S247" s="560" t="s">
        <v>573</v>
      </c>
      <c r="T247" s="564">
        <v>1</v>
      </c>
      <c r="U247" s="565">
        <v>2.089</v>
      </c>
      <c r="V247" s="565"/>
      <c r="W247" s="566"/>
      <c r="X247" s="564"/>
      <c r="Y247" s="564">
        <v>7</v>
      </c>
      <c r="Z247" s="564">
        <v>25</v>
      </c>
      <c r="AA247" s="565">
        <v>0</v>
      </c>
      <c r="AB247" s="567">
        <v>43132</v>
      </c>
      <c r="AC247" s="568"/>
      <c r="AD247" s="568">
        <v>6.0895780821917809</v>
      </c>
      <c r="AE247" s="562" t="s">
        <v>54</v>
      </c>
      <c r="AF247" s="564"/>
      <c r="AG247" s="565"/>
      <c r="AH247" s="567"/>
      <c r="AI247" s="564"/>
      <c r="AJ247" s="566"/>
      <c r="AK247" s="566"/>
      <c r="AL247" s="561"/>
      <c r="AM247" s="561"/>
      <c r="AN247" s="569"/>
      <c r="AO247" s="563"/>
      <c r="AP247" s="560"/>
      <c r="AQ247" s="563"/>
      <c r="AR247" s="560" t="s">
        <v>274</v>
      </c>
      <c r="AS247" s="479">
        <v>40171</v>
      </c>
      <c r="AT247" s="566"/>
      <c r="AU247" s="566"/>
      <c r="AV247" s="566"/>
      <c r="AW247" s="566"/>
      <c r="AX247" s="566"/>
      <c r="AY247" s="566"/>
      <c r="AZ247" s="567">
        <v>43131</v>
      </c>
      <c r="BA247" s="561"/>
      <c r="BB247" s="393" t="s">
        <v>3147</v>
      </c>
      <c r="BC247" s="561" t="b">
        <v>0</v>
      </c>
      <c r="BD247" s="561"/>
      <c r="BE247" s="563"/>
      <c r="BF247" s="394">
        <v>1</v>
      </c>
      <c r="BG247" s="394">
        <v>2</v>
      </c>
      <c r="BH247" s="394">
        <v>7</v>
      </c>
      <c r="BI247" s="394">
        <v>9</v>
      </c>
      <c r="BJ247" s="394">
        <v>8</v>
      </c>
      <c r="BK247" s="394"/>
      <c r="BL247" s="444" t="s">
        <v>6981</v>
      </c>
      <c r="BM247" s="563"/>
      <c r="BN247" s="561"/>
      <c r="BO247" s="561"/>
      <c r="BP247" s="571"/>
      <c r="BQ247" s="572"/>
      <c r="BR247" s="573"/>
      <c r="BS247" s="571">
        <v>0.08</v>
      </c>
      <c r="BT247" s="564">
        <f>524/BS247</f>
        <v>6550</v>
      </c>
      <c r="BU247" s="569">
        <v>0.64359999999999995</v>
      </c>
      <c r="BV247" s="571"/>
      <c r="BW247" s="562"/>
      <c r="BX247" s="563"/>
      <c r="BY247" s="561"/>
      <c r="BZ247" s="561"/>
      <c r="CA247" s="574"/>
      <c r="CB247" s="572"/>
      <c r="CC247" s="568"/>
      <c r="CD247" s="568"/>
      <c r="CE247" s="568"/>
      <c r="CF247" s="568"/>
      <c r="CG247" s="568"/>
      <c r="CH247" s="568"/>
      <c r="CI247" s="568"/>
      <c r="CJ247" s="568"/>
      <c r="CK247" s="568"/>
      <c r="CL247" s="568"/>
      <c r="CM247" s="568"/>
      <c r="CN247" s="568">
        <v>1.9079999999999999</v>
      </c>
      <c r="CO247" s="568">
        <v>2.09</v>
      </c>
      <c r="CP247" s="568">
        <v>2.09</v>
      </c>
      <c r="CQ247" s="568">
        <v>2.09</v>
      </c>
      <c r="CR247" s="568">
        <v>2.09</v>
      </c>
      <c r="CS247" s="568">
        <v>2.09</v>
      </c>
      <c r="CT247" s="568">
        <v>2.09</v>
      </c>
      <c r="CU247" s="568">
        <v>0.17799999999999999</v>
      </c>
      <c r="CV247" s="568"/>
      <c r="CW247" s="568"/>
      <c r="CX247" s="568"/>
      <c r="CY247" s="568"/>
      <c r="CZ247" s="568"/>
      <c r="DA247" s="568"/>
      <c r="DB247" s="568"/>
      <c r="DC247" s="568"/>
      <c r="DD247" s="568"/>
      <c r="DE247" s="561"/>
      <c r="DF247" s="561"/>
      <c r="DG247" s="561"/>
      <c r="DH247" s="561"/>
      <c r="DI247" s="561"/>
      <c r="DJ247" s="561"/>
      <c r="DK247" s="897"/>
    </row>
    <row r="248" spans="1:115" ht="51" x14ac:dyDescent="0.2">
      <c r="A248" s="295">
        <v>244</v>
      </c>
      <c r="B248" s="449" t="s">
        <v>9450</v>
      </c>
      <c r="C248" s="390"/>
      <c r="D248" s="474" t="s">
        <v>9451</v>
      </c>
      <c r="E248" s="709" t="s">
        <v>9452</v>
      </c>
      <c r="F248" s="393" t="s">
        <v>1352</v>
      </c>
      <c r="G248" s="393" t="s">
        <v>1672</v>
      </c>
      <c r="H248" s="393" t="s">
        <v>632</v>
      </c>
      <c r="I248" s="563"/>
      <c r="J248" s="563"/>
      <c r="K248" s="560" t="s">
        <v>9258</v>
      </c>
      <c r="L248" s="560" t="s">
        <v>635</v>
      </c>
      <c r="M248" s="563"/>
      <c r="N248" s="562" t="s">
        <v>44</v>
      </c>
      <c r="O248" s="393" t="s">
        <v>69</v>
      </c>
      <c r="P248" s="393" t="s">
        <v>69</v>
      </c>
      <c r="Q248" s="392" t="s">
        <v>572</v>
      </c>
      <c r="R248" s="560" t="s">
        <v>5577</v>
      </c>
      <c r="S248" s="560" t="s">
        <v>573</v>
      </c>
      <c r="T248" s="564">
        <v>1</v>
      </c>
      <c r="U248" s="565">
        <v>1.9430000000000001</v>
      </c>
      <c r="V248" s="565"/>
      <c r="W248" s="566"/>
      <c r="X248" s="564"/>
      <c r="Y248" s="564">
        <v>7</v>
      </c>
      <c r="Z248" s="564">
        <v>25</v>
      </c>
      <c r="AA248" s="565">
        <v>0</v>
      </c>
      <c r="AB248" s="567">
        <v>43191</v>
      </c>
      <c r="AC248" s="568"/>
      <c r="AD248" s="568">
        <v>5.3499041095890414</v>
      </c>
      <c r="AE248" s="562" t="s">
        <v>54</v>
      </c>
      <c r="AF248" s="564"/>
      <c r="AG248" s="565"/>
      <c r="AH248" s="567"/>
      <c r="AI248" s="564"/>
      <c r="AJ248" s="566"/>
      <c r="AK248" s="566"/>
      <c r="AL248" s="561"/>
      <c r="AM248" s="561"/>
      <c r="AN248" s="569"/>
      <c r="AO248" s="563"/>
      <c r="AP248" s="560"/>
      <c r="AQ248" s="563"/>
      <c r="AR248" s="560" t="s">
        <v>274</v>
      </c>
      <c r="AS248" s="578">
        <v>40171</v>
      </c>
      <c r="AT248" s="566"/>
      <c r="AU248" s="566"/>
      <c r="AV248" s="566"/>
      <c r="AW248" s="566"/>
      <c r="AX248" s="566"/>
      <c r="AY248" s="566"/>
      <c r="AZ248" s="567">
        <v>43166</v>
      </c>
      <c r="BA248" s="561"/>
      <c r="BB248" s="562" t="s">
        <v>3147</v>
      </c>
      <c r="BC248" s="561" t="b">
        <v>0</v>
      </c>
      <c r="BD248" s="561"/>
      <c r="BE248" s="563"/>
      <c r="BF248" s="394">
        <v>1</v>
      </c>
      <c r="BG248" s="394">
        <v>2</v>
      </c>
      <c r="BH248" s="394">
        <v>7</v>
      </c>
      <c r="BI248" s="394">
        <v>9</v>
      </c>
      <c r="BJ248" s="394">
        <v>8</v>
      </c>
      <c r="BK248" s="394"/>
      <c r="BL248" s="444" t="s">
        <v>6981</v>
      </c>
      <c r="BM248" s="563"/>
      <c r="BN248" s="561"/>
      <c r="BO248" s="561"/>
      <c r="BP248" s="571"/>
      <c r="BQ248" s="572"/>
      <c r="BR248" s="573"/>
      <c r="BS248" s="571">
        <v>0.06</v>
      </c>
      <c r="BT248" s="564">
        <f>403/BS248</f>
        <v>6716.666666666667</v>
      </c>
      <c r="BU248" s="569">
        <v>0.4602</v>
      </c>
      <c r="BV248" s="571"/>
      <c r="BW248" s="562"/>
      <c r="BX248" s="563"/>
      <c r="BY248" s="561"/>
      <c r="BZ248" s="561"/>
      <c r="CA248" s="574"/>
      <c r="CB248" s="572"/>
      <c r="CC248" s="568"/>
      <c r="CD248" s="568"/>
      <c r="CE248" s="568"/>
      <c r="CF248" s="568"/>
      <c r="CG248" s="568"/>
      <c r="CH248" s="568"/>
      <c r="CI248" s="568"/>
      <c r="CJ248" s="568"/>
      <c r="CK248" s="568"/>
      <c r="CL248" s="568"/>
      <c r="CM248" s="568"/>
      <c r="CN248" s="568">
        <v>1.464</v>
      </c>
      <c r="CO248" s="568">
        <v>1.9430000000000001</v>
      </c>
      <c r="CP248" s="568">
        <v>1.9430000000000001</v>
      </c>
      <c r="CQ248" s="568">
        <v>1.9430000000000001</v>
      </c>
      <c r="CR248" s="568">
        <v>1.9430000000000001</v>
      </c>
      <c r="CS248" s="568">
        <v>1.9430000000000001</v>
      </c>
      <c r="CT248" s="568">
        <v>1.9430000000000001</v>
      </c>
      <c r="CU248" s="568">
        <v>0.47799999999999998</v>
      </c>
      <c r="CV248" s="568"/>
      <c r="CW248" s="568"/>
      <c r="CX248" s="568"/>
      <c r="CY248" s="568"/>
      <c r="CZ248" s="568"/>
      <c r="DA248" s="568"/>
      <c r="DB248" s="568"/>
      <c r="DC248" s="568"/>
      <c r="DD248" s="568"/>
      <c r="DE248" s="561"/>
      <c r="DF248" s="561"/>
      <c r="DG248" s="561"/>
      <c r="DH248" s="561"/>
      <c r="DI248" s="561"/>
      <c r="DJ248" s="561"/>
      <c r="DK248" s="897"/>
    </row>
    <row r="249" spans="1:115" ht="51" x14ac:dyDescent="0.2">
      <c r="A249" s="295">
        <v>245</v>
      </c>
      <c r="B249" s="449" t="s">
        <v>9529</v>
      </c>
      <c r="C249" s="390"/>
      <c r="D249" s="474" t="s">
        <v>9530</v>
      </c>
      <c r="E249" s="709" t="s">
        <v>9539</v>
      </c>
      <c r="F249" s="393" t="s">
        <v>1352</v>
      </c>
      <c r="G249" s="393" t="s">
        <v>1672</v>
      </c>
      <c r="H249" s="393" t="s">
        <v>632</v>
      </c>
      <c r="I249" s="563"/>
      <c r="J249" s="563"/>
      <c r="K249" s="560" t="s">
        <v>9545</v>
      </c>
      <c r="L249" s="560" t="s">
        <v>635</v>
      </c>
      <c r="M249" s="563"/>
      <c r="N249" s="562" t="s">
        <v>44</v>
      </c>
      <c r="O249" s="393" t="s">
        <v>69</v>
      </c>
      <c r="P249" s="393" t="s">
        <v>69</v>
      </c>
      <c r="Q249" s="392" t="s">
        <v>572</v>
      </c>
      <c r="R249" s="560" t="s">
        <v>5577</v>
      </c>
      <c r="S249" s="560" t="s">
        <v>573</v>
      </c>
      <c r="T249" s="564">
        <v>1</v>
      </c>
      <c r="U249" s="565">
        <v>5.6040000000000001</v>
      </c>
      <c r="V249" s="565"/>
      <c r="W249" s="566"/>
      <c r="X249" s="564"/>
      <c r="Y249" s="564">
        <v>7</v>
      </c>
      <c r="Z249" s="564">
        <v>25</v>
      </c>
      <c r="AA249" s="565"/>
      <c r="AB249" s="567">
        <v>43252</v>
      </c>
      <c r="AC249" s="568"/>
      <c r="AD249" s="568">
        <v>14.493632876712329</v>
      </c>
      <c r="AE249" s="562" t="s">
        <v>54</v>
      </c>
      <c r="AF249" s="564"/>
      <c r="AG249" s="565"/>
      <c r="AH249" s="567"/>
      <c r="AI249" s="564"/>
      <c r="AJ249" s="566"/>
      <c r="AK249" s="566"/>
      <c r="AL249" s="561"/>
      <c r="AM249" s="561"/>
      <c r="AN249" s="569"/>
      <c r="AO249" s="563"/>
      <c r="AP249" s="560"/>
      <c r="AQ249" s="563"/>
      <c r="AR249" s="560" t="s">
        <v>274</v>
      </c>
      <c r="AS249" s="479">
        <v>40171</v>
      </c>
      <c r="AT249" s="566"/>
      <c r="AU249" s="566"/>
      <c r="AV249" s="566"/>
      <c r="AW249" s="566"/>
      <c r="AX249" s="566"/>
      <c r="AY249" s="566"/>
      <c r="AZ249" s="567">
        <v>43220</v>
      </c>
      <c r="BA249" s="561"/>
      <c r="BB249" s="562" t="s">
        <v>3147</v>
      </c>
      <c r="BC249" s="561" t="b">
        <v>0</v>
      </c>
      <c r="BD249" s="561"/>
      <c r="BE249" s="563"/>
      <c r="BF249" s="394">
        <v>1</v>
      </c>
      <c r="BG249" s="394">
        <v>2</v>
      </c>
      <c r="BH249" s="394">
        <v>7</v>
      </c>
      <c r="BI249" s="394">
        <v>9</v>
      </c>
      <c r="BJ249" s="394">
        <v>8</v>
      </c>
      <c r="BK249" s="394"/>
      <c r="BL249" s="444" t="s">
        <v>6981</v>
      </c>
      <c r="BM249" s="563"/>
      <c r="BN249" s="561"/>
      <c r="BO249" s="561"/>
      <c r="BP249" s="571"/>
      <c r="BQ249" s="572"/>
      <c r="BR249" s="573"/>
      <c r="BS249" s="571">
        <v>0.22500000000000001</v>
      </c>
      <c r="BT249" s="564">
        <f>1473/BS249</f>
        <v>6546.6666666666661</v>
      </c>
      <c r="BU249" s="569">
        <v>0.64359999999999995</v>
      </c>
      <c r="BV249" s="571"/>
      <c r="BW249" s="562"/>
      <c r="BX249" s="563"/>
      <c r="BY249" s="561"/>
      <c r="BZ249" s="561"/>
      <c r="CA249" s="574"/>
      <c r="CB249" s="572"/>
      <c r="CC249" s="568"/>
      <c r="CD249" s="568"/>
      <c r="CE249" s="568"/>
      <c r="CF249" s="568"/>
      <c r="CG249" s="568"/>
      <c r="CH249" s="568"/>
      <c r="CI249" s="568"/>
      <c r="CJ249" s="568"/>
      <c r="CK249" s="568"/>
      <c r="CL249" s="568"/>
      <c r="CM249" s="568"/>
      <c r="CN249" s="568">
        <v>3.2610000000000001</v>
      </c>
      <c r="CO249" s="568">
        <v>5.6029999999999998</v>
      </c>
      <c r="CP249" s="568">
        <v>5.6029999999999998</v>
      </c>
      <c r="CQ249" s="568">
        <v>5.6029999999999998</v>
      </c>
      <c r="CR249" s="568">
        <v>5.6029999999999998</v>
      </c>
      <c r="CS249" s="568">
        <v>5.6029999999999998</v>
      </c>
      <c r="CT249" s="568">
        <v>5.6029999999999998</v>
      </c>
      <c r="CU249" s="568">
        <v>2.3490000000000002</v>
      </c>
      <c r="CV249" s="568"/>
      <c r="CW249" s="568"/>
      <c r="CX249" s="568"/>
      <c r="CY249" s="568"/>
      <c r="CZ249" s="568"/>
      <c r="DA249" s="568"/>
      <c r="DB249" s="568"/>
      <c r="DC249" s="568"/>
      <c r="DD249" s="568"/>
      <c r="DE249" s="561"/>
      <c r="DF249" s="561"/>
      <c r="DG249" s="561"/>
      <c r="DH249" s="561"/>
      <c r="DI249" s="561"/>
      <c r="DJ249" s="561"/>
      <c r="DK249" s="897"/>
    </row>
    <row r="250" spans="1:115" ht="51" x14ac:dyDescent="0.2">
      <c r="A250" s="295">
        <v>246</v>
      </c>
      <c r="B250" s="449" t="s">
        <v>9531</v>
      </c>
      <c r="C250" s="390"/>
      <c r="D250" s="474" t="s">
        <v>9532</v>
      </c>
      <c r="E250" s="709" t="s">
        <v>9540</v>
      </c>
      <c r="F250" s="393" t="s">
        <v>1352</v>
      </c>
      <c r="G250" s="393" t="s">
        <v>1672</v>
      </c>
      <c r="H250" s="393" t="s">
        <v>632</v>
      </c>
      <c r="I250" s="563"/>
      <c r="J250" s="563"/>
      <c r="K250" s="560" t="s">
        <v>9544</v>
      </c>
      <c r="L250" s="560" t="s">
        <v>635</v>
      </c>
      <c r="M250" s="563"/>
      <c r="N250" s="562" t="s">
        <v>44</v>
      </c>
      <c r="O250" s="393" t="s">
        <v>69</v>
      </c>
      <c r="P250" s="393" t="s">
        <v>69</v>
      </c>
      <c r="Q250" s="392" t="s">
        <v>572</v>
      </c>
      <c r="R250" s="560" t="s">
        <v>5577</v>
      </c>
      <c r="S250" s="560" t="s">
        <v>573</v>
      </c>
      <c r="T250" s="564">
        <v>1</v>
      </c>
      <c r="U250" s="565">
        <v>12.885999999999999</v>
      </c>
      <c r="V250" s="565"/>
      <c r="W250" s="566"/>
      <c r="X250" s="564"/>
      <c r="Y250" s="564">
        <v>7</v>
      </c>
      <c r="Z250" s="564">
        <v>25</v>
      </c>
      <c r="AA250" s="565"/>
      <c r="AB250" s="567">
        <v>43252</v>
      </c>
      <c r="AC250" s="568"/>
      <c r="AD250" s="568">
        <v>33.327079452054797</v>
      </c>
      <c r="AE250" s="562" t="s">
        <v>54</v>
      </c>
      <c r="AF250" s="564"/>
      <c r="AG250" s="565"/>
      <c r="AH250" s="567"/>
      <c r="AI250" s="564"/>
      <c r="AJ250" s="566"/>
      <c r="AK250" s="566"/>
      <c r="AL250" s="561"/>
      <c r="AM250" s="561"/>
      <c r="AN250" s="569"/>
      <c r="AO250" s="563"/>
      <c r="AP250" s="560"/>
      <c r="AQ250" s="563"/>
      <c r="AR250" s="560" t="s">
        <v>274</v>
      </c>
      <c r="AS250" s="578">
        <v>40171</v>
      </c>
      <c r="AT250" s="566"/>
      <c r="AU250" s="566"/>
      <c r="AV250" s="566"/>
      <c r="AW250" s="566"/>
      <c r="AX250" s="566"/>
      <c r="AY250" s="566"/>
      <c r="AZ250" s="567">
        <v>43220</v>
      </c>
      <c r="BA250" s="561"/>
      <c r="BB250" s="562" t="s">
        <v>3147</v>
      </c>
      <c r="BC250" s="561" t="b">
        <v>0</v>
      </c>
      <c r="BD250" s="561"/>
      <c r="BE250" s="563"/>
      <c r="BF250" s="394">
        <v>1</v>
      </c>
      <c r="BG250" s="394">
        <v>2</v>
      </c>
      <c r="BH250" s="394">
        <v>7</v>
      </c>
      <c r="BI250" s="394">
        <v>9</v>
      </c>
      <c r="BJ250" s="394">
        <v>8</v>
      </c>
      <c r="BK250" s="394"/>
      <c r="BL250" s="444" t="s">
        <v>6981</v>
      </c>
      <c r="BM250" s="563"/>
      <c r="BN250" s="561"/>
      <c r="BO250" s="561"/>
      <c r="BP250" s="571"/>
      <c r="BQ250" s="572"/>
      <c r="BR250" s="573"/>
      <c r="BS250" s="571">
        <v>0.4</v>
      </c>
      <c r="BT250" s="564">
        <f>2734/BS250</f>
        <v>6835</v>
      </c>
      <c r="BU250" s="569">
        <v>0.64359999999999995</v>
      </c>
      <c r="BV250" s="571"/>
      <c r="BW250" s="562"/>
      <c r="BX250" s="563"/>
      <c r="BY250" s="561"/>
      <c r="BZ250" s="561"/>
      <c r="CA250" s="574"/>
      <c r="CB250" s="572"/>
      <c r="CC250" s="568"/>
      <c r="CD250" s="568"/>
      <c r="CE250" s="568"/>
      <c r="CF250" s="568"/>
      <c r="CG250" s="568"/>
      <c r="CH250" s="568"/>
      <c r="CI250" s="568"/>
      <c r="CJ250" s="568"/>
      <c r="CK250" s="568"/>
      <c r="CL250" s="568"/>
      <c r="CM250" s="568"/>
      <c r="CN250" s="568">
        <v>5.3819999999999997</v>
      </c>
      <c r="CO250" s="568">
        <v>13.214</v>
      </c>
      <c r="CP250" s="568">
        <v>13.214</v>
      </c>
      <c r="CQ250" s="568">
        <v>13.214</v>
      </c>
      <c r="CR250" s="568">
        <v>13.214</v>
      </c>
      <c r="CS250" s="568">
        <v>13.214</v>
      </c>
      <c r="CT250" s="568">
        <v>13.214</v>
      </c>
      <c r="CU250" s="568">
        <v>5.5389999999999997</v>
      </c>
      <c r="CV250" s="568"/>
      <c r="CW250" s="568"/>
      <c r="CX250" s="568"/>
      <c r="CY250" s="568"/>
      <c r="CZ250" s="568"/>
      <c r="DA250" s="568"/>
      <c r="DB250" s="568"/>
      <c r="DC250" s="568"/>
      <c r="DD250" s="568"/>
      <c r="DE250" s="561"/>
      <c r="DF250" s="561"/>
      <c r="DG250" s="561"/>
      <c r="DH250" s="561"/>
      <c r="DI250" s="561"/>
      <c r="DJ250" s="561"/>
      <c r="DK250" s="897"/>
    </row>
    <row r="251" spans="1:115" ht="51" x14ac:dyDescent="0.2">
      <c r="A251" s="295">
        <v>247</v>
      </c>
      <c r="B251" s="449" t="s">
        <v>9533</v>
      </c>
      <c r="C251" s="390"/>
      <c r="D251" s="474" t="s">
        <v>9534</v>
      </c>
      <c r="E251" s="709" t="s">
        <v>9541</v>
      </c>
      <c r="F251" s="393" t="s">
        <v>1352</v>
      </c>
      <c r="G251" s="393" t="s">
        <v>1672</v>
      </c>
      <c r="H251" s="393" t="s">
        <v>632</v>
      </c>
      <c r="I251" s="563"/>
      <c r="J251" s="563"/>
      <c r="K251" s="560" t="s">
        <v>9546</v>
      </c>
      <c r="L251" s="560" t="s">
        <v>635</v>
      </c>
      <c r="M251" s="563"/>
      <c r="N251" s="562" t="s">
        <v>44</v>
      </c>
      <c r="O251" s="393" t="s">
        <v>69</v>
      </c>
      <c r="P251" s="393" t="s">
        <v>69</v>
      </c>
      <c r="Q251" s="392" t="s">
        <v>572</v>
      </c>
      <c r="R251" s="560" t="s">
        <v>5577</v>
      </c>
      <c r="S251" s="560" t="s">
        <v>573</v>
      </c>
      <c r="T251" s="564">
        <v>1</v>
      </c>
      <c r="U251" s="565">
        <v>4.2489999999999997</v>
      </c>
      <c r="V251" s="565"/>
      <c r="W251" s="566"/>
      <c r="X251" s="564"/>
      <c r="Y251" s="564">
        <v>7</v>
      </c>
      <c r="Z251" s="564">
        <v>25</v>
      </c>
      <c r="AA251" s="565"/>
      <c r="AB251" s="567">
        <v>43252</v>
      </c>
      <c r="AC251" s="568"/>
      <c r="AD251" s="568">
        <v>10.989194520547944</v>
      </c>
      <c r="AE251" s="562" t="s">
        <v>54</v>
      </c>
      <c r="AF251" s="564"/>
      <c r="AG251" s="565"/>
      <c r="AH251" s="567"/>
      <c r="AI251" s="564"/>
      <c r="AJ251" s="566"/>
      <c r="AK251" s="566"/>
      <c r="AL251" s="561"/>
      <c r="AM251" s="561"/>
      <c r="AN251" s="569"/>
      <c r="AO251" s="563"/>
      <c r="AP251" s="560"/>
      <c r="AQ251" s="563"/>
      <c r="AR251" s="560" t="s">
        <v>274</v>
      </c>
      <c r="AS251" s="479">
        <v>40171</v>
      </c>
      <c r="AT251" s="566"/>
      <c r="AU251" s="566"/>
      <c r="AV251" s="566"/>
      <c r="AW251" s="566"/>
      <c r="AX251" s="566"/>
      <c r="AY251" s="566"/>
      <c r="AZ251" s="567">
        <v>43220</v>
      </c>
      <c r="BA251" s="561"/>
      <c r="BB251" s="562" t="s">
        <v>3147</v>
      </c>
      <c r="BC251" s="561" t="b">
        <v>0</v>
      </c>
      <c r="BD251" s="561"/>
      <c r="BE251" s="563"/>
      <c r="BF251" s="394">
        <v>1</v>
      </c>
      <c r="BG251" s="394">
        <v>2</v>
      </c>
      <c r="BH251" s="394">
        <v>7</v>
      </c>
      <c r="BI251" s="394">
        <v>9</v>
      </c>
      <c r="BJ251" s="394">
        <v>8</v>
      </c>
      <c r="BK251" s="394"/>
      <c r="BL251" s="444" t="s">
        <v>6981</v>
      </c>
      <c r="BM251" s="563"/>
      <c r="BN251" s="561"/>
      <c r="BO251" s="561"/>
      <c r="BP251" s="571"/>
      <c r="BQ251" s="572"/>
      <c r="BR251" s="573"/>
      <c r="BS251" s="571">
        <v>0.15</v>
      </c>
      <c r="BT251" s="564">
        <f>1008/BS251</f>
        <v>6720</v>
      </c>
      <c r="BU251" s="569">
        <v>0.64359999999999995</v>
      </c>
      <c r="BV251" s="571"/>
      <c r="BW251" s="562"/>
      <c r="BX251" s="563"/>
      <c r="BY251" s="561"/>
      <c r="BZ251" s="561"/>
      <c r="CA251" s="574"/>
      <c r="CB251" s="572"/>
      <c r="CC251" s="568"/>
      <c r="CD251" s="568"/>
      <c r="CE251" s="568"/>
      <c r="CF251" s="568"/>
      <c r="CG251" s="568"/>
      <c r="CH251" s="568"/>
      <c r="CI251" s="568"/>
      <c r="CJ251" s="568"/>
      <c r="CK251" s="568"/>
      <c r="CL251" s="568"/>
      <c r="CM251" s="568"/>
      <c r="CN251" s="568">
        <v>2.343</v>
      </c>
      <c r="CO251" s="568">
        <v>4.0880000000000001</v>
      </c>
      <c r="CP251" s="568">
        <v>4.1349999999999998</v>
      </c>
      <c r="CQ251" s="568">
        <v>4.3159999999999998</v>
      </c>
      <c r="CR251" s="568">
        <v>4.3159999999999998</v>
      </c>
      <c r="CS251" s="568">
        <v>4.3159999999999998</v>
      </c>
      <c r="CT251" s="568">
        <v>4.41</v>
      </c>
      <c r="CU251" s="568">
        <v>1.819</v>
      </c>
      <c r="CV251" s="568"/>
      <c r="CW251" s="568"/>
      <c r="CX251" s="568"/>
      <c r="CY251" s="568"/>
      <c r="CZ251" s="568"/>
      <c r="DA251" s="568"/>
      <c r="DB251" s="568"/>
      <c r="DC251" s="568"/>
      <c r="DD251" s="568"/>
      <c r="DE251" s="561"/>
      <c r="DF251" s="561"/>
      <c r="DG251" s="561"/>
      <c r="DH251" s="561"/>
      <c r="DI251" s="561"/>
      <c r="DJ251" s="561"/>
      <c r="DK251" s="897"/>
    </row>
    <row r="252" spans="1:115" ht="51" x14ac:dyDescent="0.2">
      <c r="A252" s="295">
        <v>248</v>
      </c>
      <c r="B252" s="449" t="s">
        <v>9535</v>
      </c>
      <c r="C252" s="390"/>
      <c r="D252" s="474" t="s">
        <v>9536</v>
      </c>
      <c r="E252" s="709" t="s">
        <v>9542</v>
      </c>
      <c r="F252" s="393" t="s">
        <v>1352</v>
      </c>
      <c r="G252" s="393" t="s">
        <v>1672</v>
      </c>
      <c r="H252" s="393" t="s">
        <v>632</v>
      </c>
      <c r="I252" s="563"/>
      <c r="J252" s="563"/>
      <c r="K252" s="560" t="s">
        <v>9547</v>
      </c>
      <c r="L252" s="560" t="s">
        <v>635</v>
      </c>
      <c r="M252" s="563"/>
      <c r="N252" s="562" t="s">
        <v>44</v>
      </c>
      <c r="O252" s="393" t="s">
        <v>69</v>
      </c>
      <c r="P252" s="393" t="s">
        <v>69</v>
      </c>
      <c r="Q252" s="392" t="s">
        <v>572</v>
      </c>
      <c r="R252" s="560" t="s">
        <v>5577</v>
      </c>
      <c r="S252" s="560" t="s">
        <v>573</v>
      </c>
      <c r="T252" s="564">
        <v>1</v>
      </c>
      <c r="U252" s="565">
        <v>7.992</v>
      </c>
      <c r="V252" s="565"/>
      <c r="W252" s="566"/>
      <c r="X252" s="564"/>
      <c r="Y252" s="564">
        <v>7</v>
      </c>
      <c r="Z252" s="564">
        <v>25</v>
      </c>
      <c r="AA252" s="565"/>
      <c r="AB252" s="567">
        <v>43252</v>
      </c>
      <c r="AC252" s="568"/>
      <c r="AD252" s="568">
        <v>20.669720547945207</v>
      </c>
      <c r="AE252" s="562" t="s">
        <v>54</v>
      </c>
      <c r="AF252" s="564"/>
      <c r="AG252" s="565"/>
      <c r="AH252" s="567"/>
      <c r="AI252" s="564"/>
      <c r="AJ252" s="566"/>
      <c r="AK252" s="566"/>
      <c r="AL252" s="561"/>
      <c r="AM252" s="561"/>
      <c r="AN252" s="569"/>
      <c r="AO252" s="563"/>
      <c r="AP252" s="560"/>
      <c r="AQ252" s="563"/>
      <c r="AR252" s="560" t="s">
        <v>274</v>
      </c>
      <c r="AS252" s="578">
        <v>40171</v>
      </c>
      <c r="AT252" s="566"/>
      <c r="AU252" s="566"/>
      <c r="AV252" s="566"/>
      <c r="AW252" s="566"/>
      <c r="AX252" s="566"/>
      <c r="AY252" s="566"/>
      <c r="AZ252" s="567">
        <v>43220</v>
      </c>
      <c r="BA252" s="561"/>
      <c r="BB252" s="562" t="s">
        <v>3147</v>
      </c>
      <c r="BC252" s="561" t="b">
        <v>0</v>
      </c>
      <c r="BD252" s="561"/>
      <c r="BE252" s="563"/>
      <c r="BF252" s="394">
        <v>1</v>
      </c>
      <c r="BG252" s="394">
        <v>2</v>
      </c>
      <c r="BH252" s="394">
        <v>7</v>
      </c>
      <c r="BI252" s="394">
        <v>9</v>
      </c>
      <c r="BJ252" s="394">
        <v>8</v>
      </c>
      <c r="BK252" s="394"/>
      <c r="BL252" s="444" t="s">
        <v>6981</v>
      </c>
      <c r="BM252" s="563"/>
      <c r="BN252" s="561"/>
      <c r="BO252" s="561"/>
      <c r="BP252" s="571"/>
      <c r="BQ252" s="572"/>
      <c r="BR252" s="573"/>
      <c r="BS252" s="571">
        <v>0.6</v>
      </c>
      <c r="BT252" s="564">
        <f>1344/BS252</f>
        <v>2240</v>
      </c>
      <c r="BU252" s="569">
        <v>0.4602</v>
      </c>
      <c r="BV252" s="571"/>
      <c r="BW252" s="562"/>
      <c r="BX252" s="563"/>
      <c r="BY252" s="561"/>
      <c r="BZ252" s="561"/>
      <c r="CA252" s="574"/>
      <c r="CB252" s="572"/>
      <c r="CC252" s="568"/>
      <c r="CD252" s="568"/>
      <c r="CE252" s="568"/>
      <c r="CF252" s="568"/>
      <c r="CG252" s="568"/>
      <c r="CH252" s="568"/>
      <c r="CI252" s="568"/>
      <c r="CJ252" s="568"/>
      <c r="CK252" s="568"/>
      <c r="CL252" s="568"/>
      <c r="CM252" s="568"/>
      <c r="CN252" s="568">
        <v>4.6859999999999999</v>
      </c>
      <c r="CO252" s="568">
        <v>7.9930000000000003</v>
      </c>
      <c r="CP252" s="568">
        <v>7.9930000000000003</v>
      </c>
      <c r="CQ252" s="568">
        <v>7.9930000000000003</v>
      </c>
      <c r="CR252" s="568">
        <v>7.9930000000000003</v>
      </c>
      <c r="CS252" s="568">
        <v>7.9930000000000003</v>
      </c>
      <c r="CT252" s="568">
        <v>7.9930000000000003</v>
      </c>
      <c r="CU252" s="568">
        <v>3.298</v>
      </c>
      <c r="CV252" s="568"/>
      <c r="CW252" s="568"/>
      <c r="CX252" s="568"/>
      <c r="CY252" s="568"/>
      <c r="CZ252" s="568"/>
      <c r="DA252" s="568"/>
      <c r="DB252" s="568"/>
      <c r="DC252" s="568"/>
      <c r="DD252" s="568"/>
      <c r="DE252" s="561"/>
      <c r="DF252" s="561"/>
      <c r="DG252" s="561"/>
      <c r="DH252" s="561"/>
      <c r="DI252" s="561"/>
      <c r="DJ252" s="561"/>
      <c r="DK252" s="897"/>
    </row>
    <row r="253" spans="1:115" ht="51" x14ac:dyDescent="0.2">
      <c r="A253" s="295">
        <v>249</v>
      </c>
      <c r="B253" s="449" t="s">
        <v>9537</v>
      </c>
      <c r="C253" s="390"/>
      <c r="D253" s="474" t="s">
        <v>9538</v>
      </c>
      <c r="E253" s="709" t="s">
        <v>9543</v>
      </c>
      <c r="F253" s="393" t="s">
        <v>1352</v>
      </c>
      <c r="G253" s="393" t="s">
        <v>1672</v>
      </c>
      <c r="H253" s="393" t="s">
        <v>632</v>
      </c>
      <c r="I253" s="563"/>
      <c r="J253" s="563"/>
      <c r="K253" s="560" t="s">
        <v>9548</v>
      </c>
      <c r="L253" s="560" t="s">
        <v>635</v>
      </c>
      <c r="M253" s="563"/>
      <c r="N253" s="562" t="s">
        <v>44</v>
      </c>
      <c r="O253" s="393" t="s">
        <v>69</v>
      </c>
      <c r="P253" s="393" t="s">
        <v>69</v>
      </c>
      <c r="Q253" s="392" t="s">
        <v>572</v>
      </c>
      <c r="R253" s="560" t="s">
        <v>5577</v>
      </c>
      <c r="S253" s="560" t="s">
        <v>573</v>
      </c>
      <c r="T253" s="564">
        <v>1</v>
      </c>
      <c r="U253" s="565">
        <v>2.3540000000000001</v>
      </c>
      <c r="V253" s="565"/>
      <c r="W253" s="566"/>
      <c r="X253" s="564"/>
      <c r="Y253" s="564">
        <v>7</v>
      </c>
      <c r="Z253" s="564">
        <v>25</v>
      </c>
      <c r="AA253" s="565"/>
      <c r="AB253" s="567">
        <v>43405</v>
      </c>
      <c r="AC253" s="568"/>
      <c r="AD253" s="820">
        <v>5.101408219178083</v>
      </c>
      <c r="AE253" s="562" t="s">
        <v>54</v>
      </c>
      <c r="AF253" s="564"/>
      <c r="AG253" s="565"/>
      <c r="AH253" s="567"/>
      <c r="AI253" s="564"/>
      <c r="AJ253" s="566"/>
      <c r="AK253" s="566"/>
      <c r="AL253" s="561"/>
      <c r="AM253" s="561"/>
      <c r="AN253" s="569"/>
      <c r="AO253" s="563"/>
      <c r="AP253" s="560"/>
      <c r="AQ253" s="563"/>
      <c r="AR253" s="560" t="s">
        <v>274</v>
      </c>
      <c r="AS253" s="479">
        <v>40171</v>
      </c>
      <c r="AT253" s="566"/>
      <c r="AU253" s="566"/>
      <c r="AV253" s="566"/>
      <c r="AW253" s="566"/>
      <c r="AX253" s="566"/>
      <c r="AY253" s="566"/>
      <c r="AZ253" s="567">
        <v>43220</v>
      </c>
      <c r="BA253" s="561"/>
      <c r="BB253" s="562" t="s">
        <v>3147</v>
      </c>
      <c r="BC253" s="561" t="b">
        <v>0</v>
      </c>
      <c r="BD253" s="561"/>
      <c r="BE253" s="563"/>
      <c r="BF253" s="394">
        <v>1</v>
      </c>
      <c r="BG253" s="394">
        <v>2</v>
      </c>
      <c r="BH253" s="394">
        <v>7</v>
      </c>
      <c r="BI253" s="394">
        <v>9</v>
      </c>
      <c r="BJ253" s="394">
        <v>8</v>
      </c>
      <c r="BK253" s="394"/>
      <c r="BL253" s="444" t="s">
        <v>6981</v>
      </c>
      <c r="BM253" s="563"/>
      <c r="BN253" s="561"/>
      <c r="BO253" s="561"/>
      <c r="BP253" s="571"/>
      <c r="BQ253" s="572"/>
      <c r="BR253" s="573"/>
      <c r="BS253" s="571">
        <v>0.4</v>
      </c>
      <c r="BT253" s="564">
        <f>2619/BS253</f>
        <v>6547.5</v>
      </c>
      <c r="BU253" s="569">
        <v>0.64359999999999995</v>
      </c>
      <c r="BV253" s="571"/>
      <c r="BW253" s="562"/>
      <c r="BX253" s="563"/>
      <c r="BY253" s="561"/>
      <c r="BZ253" s="561"/>
      <c r="CA253" s="574"/>
      <c r="CB253" s="572"/>
      <c r="CC253" s="568"/>
      <c r="CD253" s="568"/>
      <c r="CE253" s="568"/>
      <c r="CF253" s="568"/>
      <c r="CG253" s="568"/>
      <c r="CH253" s="568"/>
      <c r="CI253" s="568"/>
      <c r="CJ253" s="568"/>
      <c r="CK253" s="568"/>
      <c r="CL253" s="568"/>
      <c r="CM253" s="568"/>
      <c r="CN253" s="568">
        <v>0.66400000000000003</v>
      </c>
      <c r="CO253" s="568">
        <v>4.04</v>
      </c>
      <c r="CP253" s="568">
        <v>4.04</v>
      </c>
      <c r="CQ253" s="568">
        <v>4.04</v>
      </c>
      <c r="CR253" s="568">
        <v>4.04</v>
      </c>
      <c r="CS253" s="568">
        <v>4.04</v>
      </c>
      <c r="CT253" s="568">
        <v>4.04</v>
      </c>
      <c r="CU253" s="568">
        <v>3.3759999999999999</v>
      </c>
      <c r="CV253" s="568"/>
      <c r="CW253" s="568"/>
      <c r="CX253" s="568"/>
      <c r="CY253" s="568"/>
      <c r="CZ253" s="568"/>
      <c r="DA253" s="568"/>
      <c r="DB253" s="568"/>
      <c r="DC253" s="568"/>
      <c r="DD253" s="568"/>
      <c r="DE253" s="561"/>
      <c r="DF253" s="561"/>
      <c r="DG253" s="561"/>
      <c r="DH253" s="561"/>
      <c r="DI253" s="561"/>
      <c r="DJ253" s="561"/>
      <c r="DK253" s="897"/>
    </row>
    <row r="254" spans="1:115" ht="51" x14ac:dyDescent="0.2">
      <c r="A254" s="295">
        <v>250</v>
      </c>
      <c r="B254" s="449" t="s">
        <v>9553</v>
      </c>
      <c r="C254" s="390"/>
      <c r="D254" s="474" t="s">
        <v>9554</v>
      </c>
      <c r="E254" s="709" t="s">
        <v>9563</v>
      </c>
      <c r="F254" s="393" t="s">
        <v>1352</v>
      </c>
      <c r="G254" s="393" t="s">
        <v>1672</v>
      </c>
      <c r="H254" s="393" t="s">
        <v>632</v>
      </c>
      <c r="I254" s="563"/>
      <c r="J254" s="563"/>
      <c r="K254" s="560" t="s">
        <v>9258</v>
      </c>
      <c r="L254" s="560" t="s">
        <v>635</v>
      </c>
      <c r="M254" s="563"/>
      <c r="N254" s="562" t="s">
        <v>44</v>
      </c>
      <c r="O254" s="393" t="s">
        <v>69</v>
      </c>
      <c r="P254" s="393" t="s">
        <v>69</v>
      </c>
      <c r="Q254" s="392" t="s">
        <v>572</v>
      </c>
      <c r="R254" s="560" t="s">
        <v>5577</v>
      </c>
      <c r="S254" s="560" t="s">
        <v>573</v>
      </c>
      <c r="T254" s="564">
        <v>1</v>
      </c>
      <c r="U254" s="565">
        <v>2.8660000000000001</v>
      </c>
      <c r="V254" s="565"/>
      <c r="W254" s="566"/>
      <c r="X254" s="564"/>
      <c r="Y254" s="564">
        <v>7</v>
      </c>
      <c r="Z254" s="564">
        <v>25</v>
      </c>
      <c r="AA254" s="565"/>
      <c r="AB254" s="567">
        <v>43313</v>
      </c>
      <c r="AC254" s="568"/>
      <c r="AD254" s="820">
        <v>6.9333643835616439</v>
      </c>
      <c r="AE254" s="562" t="s">
        <v>54</v>
      </c>
      <c r="AF254" s="564"/>
      <c r="AG254" s="565"/>
      <c r="AH254" s="567"/>
      <c r="AI254" s="564"/>
      <c r="AJ254" s="566"/>
      <c r="AK254" s="566"/>
      <c r="AL254" s="561"/>
      <c r="AM254" s="561"/>
      <c r="AN254" s="569"/>
      <c r="AO254" s="563"/>
      <c r="AP254" s="560"/>
      <c r="AQ254" s="563"/>
      <c r="AR254" s="560"/>
      <c r="AS254" s="479">
        <v>40171</v>
      </c>
      <c r="AT254" s="566"/>
      <c r="AU254" s="566"/>
      <c r="AV254" s="566"/>
      <c r="AW254" s="566"/>
      <c r="AX254" s="566"/>
      <c r="AY254" s="566"/>
      <c r="AZ254" s="567">
        <v>43311</v>
      </c>
      <c r="BA254" s="561"/>
      <c r="BB254" s="562" t="s">
        <v>3147</v>
      </c>
      <c r="BC254" s="561" t="b">
        <v>0</v>
      </c>
      <c r="BD254" s="561"/>
      <c r="BE254" s="563"/>
      <c r="BF254" s="394">
        <v>1</v>
      </c>
      <c r="BG254" s="394">
        <v>2</v>
      </c>
      <c r="BH254" s="394">
        <v>7</v>
      </c>
      <c r="BI254" s="394">
        <v>9</v>
      </c>
      <c r="BJ254" s="394">
        <v>8</v>
      </c>
      <c r="BK254" s="394"/>
      <c r="BL254" s="444" t="s">
        <v>6981</v>
      </c>
      <c r="BM254" s="563"/>
      <c r="BN254" s="561"/>
      <c r="BO254" s="561"/>
      <c r="BP254" s="571"/>
      <c r="BQ254" s="572"/>
      <c r="BR254" s="573"/>
      <c r="BS254" s="571">
        <v>0.06</v>
      </c>
      <c r="BT254" s="564">
        <f>403/BS254</f>
        <v>6716.666666666667</v>
      </c>
      <c r="BU254" s="569">
        <v>0.65139999999999998</v>
      </c>
      <c r="BV254" s="571"/>
      <c r="BW254" s="562"/>
      <c r="BX254" s="563"/>
      <c r="BY254" s="561"/>
      <c r="BZ254" s="561"/>
      <c r="CA254" s="574"/>
      <c r="CB254" s="572"/>
      <c r="CC254" s="568"/>
      <c r="CD254" s="568"/>
      <c r="CE254" s="568"/>
      <c r="CF254" s="568"/>
      <c r="CG254" s="568"/>
      <c r="CH254" s="568"/>
      <c r="CI254" s="568"/>
      <c r="CJ254" s="568"/>
      <c r="CK254" s="568"/>
      <c r="CL254" s="568"/>
      <c r="CM254" s="568"/>
      <c r="CN254" s="568">
        <v>0.84399999999999997</v>
      </c>
      <c r="CO254" s="568">
        <v>2.7170000000000001</v>
      </c>
      <c r="CP254" s="568">
        <v>2.7170000000000001</v>
      </c>
      <c r="CQ254" s="568">
        <v>2.7170000000000001</v>
      </c>
      <c r="CR254" s="568">
        <v>2.7170000000000001</v>
      </c>
      <c r="CS254" s="568">
        <v>2.7170000000000001</v>
      </c>
      <c r="CT254" s="568">
        <v>2.7170000000000001</v>
      </c>
      <c r="CU254" s="568">
        <v>1.5740000000000001</v>
      </c>
      <c r="CV254" s="568"/>
      <c r="CW254" s="568"/>
      <c r="CX254" s="568"/>
      <c r="CY254" s="568"/>
      <c r="CZ254" s="568"/>
      <c r="DA254" s="568"/>
      <c r="DB254" s="568"/>
      <c r="DC254" s="568"/>
      <c r="DD254" s="568"/>
      <c r="DE254" s="561"/>
      <c r="DF254" s="561"/>
      <c r="DG254" s="561"/>
      <c r="DH254" s="561"/>
      <c r="DI254" s="561"/>
      <c r="DJ254" s="561"/>
      <c r="DK254" s="897"/>
    </row>
    <row r="255" spans="1:115" ht="51" x14ac:dyDescent="0.2">
      <c r="A255" s="295">
        <v>251</v>
      </c>
      <c r="B255" s="449" t="s">
        <v>9555</v>
      </c>
      <c r="C255" s="390"/>
      <c r="D255" s="474" t="s">
        <v>9556</v>
      </c>
      <c r="E255" s="709" t="s">
        <v>9564</v>
      </c>
      <c r="F255" s="393" t="s">
        <v>1352</v>
      </c>
      <c r="G255" s="393" t="s">
        <v>1672</v>
      </c>
      <c r="H255" s="393" t="s">
        <v>632</v>
      </c>
      <c r="I255" s="563"/>
      <c r="J255" s="563"/>
      <c r="K255" s="560" t="s">
        <v>5576</v>
      </c>
      <c r="L255" s="560" t="s">
        <v>635</v>
      </c>
      <c r="M255" s="563"/>
      <c r="N255" s="562" t="s">
        <v>44</v>
      </c>
      <c r="O255" s="393" t="s">
        <v>69</v>
      </c>
      <c r="P255" s="393" t="s">
        <v>69</v>
      </c>
      <c r="Q255" s="392" t="s">
        <v>572</v>
      </c>
      <c r="R255" s="560" t="s">
        <v>5577</v>
      </c>
      <c r="S255" s="560" t="s">
        <v>573</v>
      </c>
      <c r="T255" s="564">
        <v>1</v>
      </c>
      <c r="U255" s="565">
        <v>2.847</v>
      </c>
      <c r="V255" s="565"/>
      <c r="W255" s="566"/>
      <c r="X255" s="564"/>
      <c r="Y255" s="564">
        <v>7</v>
      </c>
      <c r="Z255" s="564">
        <v>25</v>
      </c>
      <c r="AA255" s="565"/>
      <c r="AB255" s="567">
        <v>43374</v>
      </c>
      <c r="AC255" s="568"/>
      <c r="AD255" s="820">
        <v>6.4116</v>
      </c>
      <c r="AE255" s="562" t="s">
        <v>54</v>
      </c>
      <c r="AF255" s="564"/>
      <c r="AG255" s="565"/>
      <c r="AH255" s="567"/>
      <c r="AI255" s="564"/>
      <c r="AJ255" s="566"/>
      <c r="AK255" s="566"/>
      <c r="AL255" s="561"/>
      <c r="AM255" s="561"/>
      <c r="AN255" s="569"/>
      <c r="AO255" s="563"/>
      <c r="AP255" s="560"/>
      <c r="AQ255" s="563"/>
      <c r="AR255" s="560"/>
      <c r="AS255" s="578">
        <v>40171</v>
      </c>
      <c r="AT255" s="566"/>
      <c r="AU255" s="566"/>
      <c r="AV255" s="566"/>
      <c r="AW255" s="566"/>
      <c r="AX255" s="566"/>
      <c r="AY255" s="566"/>
      <c r="AZ255" s="567">
        <v>43311</v>
      </c>
      <c r="BA255" s="561"/>
      <c r="BB255" s="562" t="s">
        <v>3147</v>
      </c>
      <c r="BC255" s="561" t="b">
        <v>0</v>
      </c>
      <c r="BD255" s="561"/>
      <c r="BE255" s="563"/>
      <c r="BF255" s="394">
        <v>1</v>
      </c>
      <c r="BG255" s="394">
        <v>2</v>
      </c>
      <c r="BH255" s="394">
        <v>7</v>
      </c>
      <c r="BI255" s="394">
        <v>9</v>
      </c>
      <c r="BJ255" s="394">
        <v>8</v>
      </c>
      <c r="BK255" s="394"/>
      <c r="BL255" s="444" t="s">
        <v>6981</v>
      </c>
      <c r="BM255" s="563"/>
      <c r="BN255" s="561"/>
      <c r="BO255" s="561"/>
      <c r="BP255" s="571"/>
      <c r="BQ255" s="572"/>
      <c r="BR255" s="573"/>
      <c r="BS255" s="571">
        <v>0.4</v>
      </c>
      <c r="BT255" s="564">
        <f>896/BS255</f>
        <v>2240</v>
      </c>
      <c r="BU255" s="569">
        <v>0.4602</v>
      </c>
      <c r="BV255" s="571"/>
      <c r="BW255" s="562"/>
      <c r="BX255" s="563"/>
      <c r="BY255" s="561"/>
      <c r="BZ255" s="561"/>
      <c r="CA255" s="574"/>
      <c r="CB255" s="572"/>
      <c r="CC255" s="568"/>
      <c r="CD255" s="568"/>
      <c r="CE255" s="568"/>
      <c r="CF255" s="568"/>
      <c r="CG255" s="568"/>
      <c r="CH255" s="568"/>
      <c r="CI255" s="568"/>
      <c r="CJ255" s="568"/>
      <c r="CK255" s="568"/>
      <c r="CL255" s="568"/>
      <c r="CM255" s="568"/>
      <c r="CN255" s="568">
        <v>0.66900000000000004</v>
      </c>
      <c r="CO255" s="568">
        <v>2.855</v>
      </c>
      <c r="CP255" s="568">
        <v>2.855</v>
      </c>
      <c r="CQ255" s="568">
        <v>2.855</v>
      </c>
      <c r="CR255" s="568">
        <v>2.855</v>
      </c>
      <c r="CS255" s="568">
        <v>2.855</v>
      </c>
      <c r="CT255" s="568">
        <v>2.855</v>
      </c>
      <c r="CU255" s="568">
        <v>2.13</v>
      </c>
      <c r="CV255" s="568"/>
      <c r="CW255" s="568"/>
      <c r="CX255" s="568"/>
      <c r="CY255" s="568"/>
      <c r="CZ255" s="568"/>
      <c r="DA255" s="568"/>
      <c r="DB255" s="568"/>
      <c r="DC255" s="568"/>
      <c r="DD255" s="568"/>
      <c r="DE255" s="561"/>
      <c r="DF255" s="561"/>
      <c r="DG255" s="561"/>
      <c r="DH255" s="561"/>
      <c r="DI255" s="561"/>
      <c r="DJ255" s="561"/>
      <c r="DK255" s="897"/>
    </row>
    <row r="256" spans="1:115" ht="51" x14ac:dyDescent="0.2">
      <c r="A256" s="295">
        <v>252</v>
      </c>
      <c r="B256" s="449" t="s">
        <v>9557</v>
      </c>
      <c r="C256" s="390"/>
      <c r="D256" s="474" t="s">
        <v>9558</v>
      </c>
      <c r="E256" s="709" t="s">
        <v>9565</v>
      </c>
      <c r="F256" s="393" t="s">
        <v>1352</v>
      </c>
      <c r="G256" s="393" t="s">
        <v>1672</v>
      </c>
      <c r="H256" s="393" t="s">
        <v>632</v>
      </c>
      <c r="I256" s="563"/>
      <c r="J256" s="563"/>
      <c r="K256" s="560" t="s">
        <v>5576</v>
      </c>
      <c r="L256" s="560" t="s">
        <v>635</v>
      </c>
      <c r="M256" s="563"/>
      <c r="N256" s="562" t="s">
        <v>44</v>
      </c>
      <c r="O256" s="393" t="s">
        <v>69</v>
      </c>
      <c r="P256" s="393" t="s">
        <v>69</v>
      </c>
      <c r="Q256" s="392" t="s">
        <v>572</v>
      </c>
      <c r="R256" s="560" t="s">
        <v>5577</v>
      </c>
      <c r="S256" s="560" t="s">
        <v>573</v>
      </c>
      <c r="T256" s="564">
        <v>1</v>
      </c>
      <c r="U256" s="565">
        <v>21.105</v>
      </c>
      <c r="V256" s="565"/>
      <c r="W256" s="566"/>
      <c r="X256" s="564"/>
      <c r="Y256" s="564">
        <v>7</v>
      </c>
      <c r="Z256" s="564">
        <v>25</v>
      </c>
      <c r="AA256" s="565"/>
      <c r="AB256" s="567">
        <v>43374</v>
      </c>
      <c r="AC256" s="568"/>
      <c r="AD256" s="820">
        <v>47.529616438356165</v>
      </c>
      <c r="AE256" s="562" t="s">
        <v>54</v>
      </c>
      <c r="AF256" s="564"/>
      <c r="AG256" s="565"/>
      <c r="AH256" s="567"/>
      <c r="AI256" s="564"/>
      <c r="AJ256" s="566"/>
      <c r="AK256" s="566"/>
      <c r="AL256" s="561"/>
      <c r="AM256" s="561"/>
      <c r="AN256" s="569"/>
      <c r="AO256" s="563"/>
      <c r="AP256" s="560"/>
      <c r="AQ256" s="563"/>
      <c r="AR256" s="560"/>
      <c r="AS256" s="479">
        <v>40171</v>
      </c>
      <c r="AT256" s="566"/>
      <c r="AU256" s="566"/>
      <c r="AV256" s="566"/>
      <c r="AW256" s="566"/>
      <c r="AX256" s="566"/>
      <c r="AY256" s="566"/>
      <c r="AZ256" s="567">
        <v>43311</v>
      </c>
      <c r="BA256" s="561"/>
      <c r="BB256" s="562" t="s">
        <v>3147</v>
      </c>
      <c r="BC256" s="561" t="b">
        <v>0</v>
      </c>
      <c r="BD256" s="561"/>
      <c r="BE256" s="563"/>
      <c r="BF256" s="394">
        <v>1</v>
      </c>
      <c r="BG256" s="394">
        <v>2</v>
      </c>
      <c r="BH256" s="394">
        <v>7</v>
      </c>
      <c r="BI256" s="394">
        <v>9</v>
      </c>
      <c r="BJ256" s="394">
        <v>8</v>
      </c>
      <c r="BK256" s="394"/>
      <c r="BL256" s="444" t="s">
        <v>6981</v>
      </c>
      <c r="BM256" s="563"/>
      <c r="BN256" s="561"/>
      <c r="BO256" s="561"/>
      <c r="BP256" s="571"/>
      <c r="BQ256" s="572"/>
      <c r="BR256" s="573"/>
      <c r="BS256" s="571">
        <v>0.6</v>
      </c>
      <c r="BT256" s="564">
        <f>1344/BS256</f>
        <v>2240</v>
      </c>
      <c r="BU256" s="569">
        <v>0.4602</v>
      </c>
      <c r="BV256" s="571"/>
      <c r="BW256" s="562"/>
      <c r="BX256" s="563"/>
      <c r="BY256" s="561"/>
      <c r="BZ256" s="561"/>
      <c r="CA256" s="574"/>
      <c r="CB256" s="572"/>
      <c r="CC256" s="568"/>
      <c r="CD256" s="568"/>
      <c r="CE256" s="568"/>
      <c r="CF256" s="568"/>
      <c r="CG256" s="568"/>
      <c r="CH256" s="568"/>
      <c r="CI256" s="568"/>
      <c r="CJ256" s="568"/>
      <c r="CK256" s="568"/>
      <c r="CL256" s="568"/>
      <c r="CM256" s="568"/>
      <c r="CN256" s="568">
        <v>5.3209999999999997</v>
      </c>
      <c r="CO256" s="568">
        <v>21.111000000000001</v>
      </c>
      <c r="CP256" s="568">
        <v>21.111000000000001</v>
      </c>
      <c r="CQ256" s="568">
        <v>21.111000000000001</v>
      </c>
      <c r="CR256" s="568">
        <v>21.111000000000001</v>
      </c>
      <c r="CS256" s="568">
        <v>21.111000000000001</v>
      </c>
      <c r="CT256" s="568">
        <v>21.111000000000001</v>
      </c>
      <c r="CU256" s="568">
        <v>15.747</v>
      </c>
      <c r="CV256" s="568"/>
      <c r="CW256" s="568"/>
      <c r="CX256" s="568"/>
      <c r="CY256" s="568"/>
      <c r="CZ256" s="568"/>
      <c r="DA256" s="568"/>
      <c r="DB256" s="568"/>
      <c r="DC256" s="568"/>
      <c r="DD256" s="568"/>
      <c r="DE256" s="561"/>
      <c r="DF256" s="561"/>
      <c r="DG256" s="561"/>
      <c r="DH256" s="561"/>
      <c r="DI256" s="561"/>
      <c r="DJ256" s="561"/>
      <c r="DK256" s="897"/>
    </row>
    <row r="257" spans="1:115" ht="51" x14ac:dyDescent="0.2">
      <c r="A257" s="295">
        <v>253</v>
      </c>
      <c r="B257" s="449" t="s">
        <v>9559</v>
      </c>
      <c r="C257" s="390"/>
      <c r="D257" s="474" t="s">
        <v>9560</v>
      </c>
      <c r="E257" s="709" t="s">
        <v>9566</v>
      </c>
      <c r="F257" s="393" t="s">
        <v>1352</v>
      </c>
      <c r="G257" s="393" t="s">
        <v>1672</v>
      </c>
      <c r="H257" s="393" t="s">
        <v>632</v>
      </c>
      <c r="I257" s="563"/>
      <c r="J257" s="563"/>
      <c r="K257" s="560" t="s">
        <v>9568</v>
      </c>
      <c r="L257" s="560" t="s">
        <v>635</v>
      </c>
      <c r="M257" s="563"/>
      <c r="N257" s="562" t="s">
        <v>44</v>
      </c>
      <c r="O257" s="393" t="s">
        <v>69</v>
      </c>
      <c r="P257" s="393" t="s">
        <v>69</v>
      </c>
      <c r="Q257" s="392" t="s">
        <v>572</v>
      </c>
      <c r="R257" s="560" t="s">
        <v>5577</v>
      </c>
      <c r="S257" s="560" t="s">
        <v>573</v>
      </c>
      <c r="T257" s="564">
        <v>1</v>
      </c>
      <c r="U257" s="565">
        <v>3.1539999999999999</v>
      </c>
      <c r="V257" s="565"/>
      <c r="W257" s="566"/>
      <c r="X257" s="564"/>
      <c r="Y257" s="564">
        <v>7</v>
      </c>
      <c r="Z257" s="564">
        <v>25</v>
      </c>
      <c r="AA257" s="565"/>
      <c r="AB257" s="567">
        <v>43313</v>
      </c>
      <c r="AC257" s="568"/>
      <c r="AD257" s="820">
        <v>7.6300876712328769</v>
      </c>
      <c r="AE257" s="562" t="s">
        <v>54</v>
      </c>
      <c r="AF257" s="564"/>
      <c r="AG257" s="565"/>
      <c r="AH257" s="567"/>
      <c r="AI257" s="564"/>
      <c r="AJ257" s="566"/>
      <c r="AK257" s="566"/>
      <c r="AL257" s="561"/>
      <c r="AM257" s="561"/>
      <c r="AN257" s="569"/>
      <c r="AO257" s="563"/>
      <c r="AP257" s="560"/>
      <c r="AQ257" s="563"/>
      <c r="AR257" s="560"/>
      <c r="AS257" s="479">
        <v>40171</v>
      </c>
      <c r="AT257" s="566"/>
      <c r="AU257" s="566"/>
      <c r="AV257" s="566"/>
      <c r="AW257" s="566"/>
      <c r="AX257" s="566"/>
      <c r="AY257" s="566"/>
      <c r="AZ257" s="567">
        <v>43311</v>
      </c>
      <c r="BA257" s="561"/>
      <c r="BB257" s="562" t="s">
        <v>3147</v>
      </c>
      <c r="BC257" s="561" t="b">
        <v>0</v>
      </c>
      <c r="BD257" s="561"/>
      <c r="BE257" s="563"/>
      <c r="BF257" s="394">
        <v>1</v>
      </c>
      <c r="BG257" s="394">
        <v>2</v>
      </c>
      <c r="BH257" s="394">
        <v>7</v>
      </c>
      <c r="BI257" s="394">
        <v>9</v>
      </c>
      <c r="BJ257" s="394">
        <v>8</v>
      </c>
      <c r="BK257" s="394"/>
      <c r="BL257" s="444" t="s">
        <v>6981</v>
      </c>
      <c r="BM257" s="563"/>
      <c r="BN257" s="561"/>
      <c r="BO257" s="561"/>
      <c r="BP257" s="571"/>
      <c r="BQ257" s="572"/>
      <c r="BR257" s="573"/>
      <c r="BS257" s="571">
        <v>0.08</v>
      </c>
      <c r="BT257" s="564">
        <f>524/BS257</f>
        <v>6550</v>
      </c>
      <c r="BU257" s="569">
        <v>0.64359999999999995</v>
      </c>
      <c r="BV257" s="571"/>
      <c r="BW257" s="562"/>
      <c r="BX257" s="563"/>
      <c r="BY257" s="561"/>
      <c r="BZ257" s="561"/>
      <c r="CA257" s="574"/>
      <c r="CB257" s="572"/>
      <c r="CC257" s="568"/>
      <c r="CD257" s="568"/>
      <c r="CE257" s="568"/>
      <c r="CF257" s="568"/>
      <c r="CG257" s="568"/>
      <c r="CH257" s="568"/>
      <c r="CI257" s="568"/>
      <c r="CJ257" s="568"/>
      <c r="CK257" s="568"/>
      <c r="CL257" s="568"/>
      <c r="CM257" s="568"/>
      <c r="CN257" s="568">
        <v>0.68300000000000005</v>
      </c>
      <c r="CO257" s="568">
        <v>1.966</v>
      </c>
      <c r="CP257" s="568">
        <v>2.944</v>
      </c>
      <c r="CQ257" s="568">
        <v>3.5960000000000001</v>
      </c>
      <c r="CR257" s="568">
        <v>3.5960000000000001</v>
      </c>
      <c r="CS257" s="568">
        <v>3.5960000000000001</v>
      </c>
      <c r="CT257" s="568">
        <v>3.5960000000000001</v>
      </c>
      <c r="CU257" s="568">
        <v>2.1080000000000001</v>
      </c>
      <c r="CV257" s="568"/>
      <c r="CW257" s="568"/>
      <c r="CX257" s="568"/>
      <c r="CY257" s="568"/>
      <c r="CZ257" s="568"/>
      <c r="DA257" s="568"/>
      <c r="DB257" s="568"/>
      <c r="DC257" s="568"/>
      <c r="DD257" s="568"/>
      <c r="DE257" s="561"/>
      <c r="DF257" s="561"/>
      <c r="DG257" s="561"/>
      <c r="DH257" s="561"/>
      <c r="DI257" s="561"/>
      <c r="DJ257" s="561"/>
      <c r="DK257" s="897"/>
    </row>
    <row r="258" spans="1:115" ht="51" x14ac:dyDescent="0.2">
      <c r="A258" s="295">
        <v>254</v>
      </c>
      <c r="B258" s="449" t="s">
        <v>9561</v>
      </c>
      <c r="C258" s="390"/>
      <c r="D258" s="474" t="s">
        <v>9562</v>
      </c>
      <c r="E258" s="709" t="s">
        <v>9567</v>
      </c>
      <c r="F258" s="393" t="s">
        <v>1352</v>
      </c>
      <c r="G258" s="393" t="s">
        <v>1672</v>
      </c>
      <c r="H258" s="393" t="s">
        <v>632</v>
      </c>
      <c r="I258" s="563"/>
      <c r="J258" s="563"/>
      <c r="K258" s="560" t="s">
        <v>9389</v>
      </c>
      <c r="L258" s="560" t="s">
        <v>635</v>
      </c>
      <c r="M258" s="563"/>
      <c r="N258" s="562" t="s">
        <v>44</v>
      </c>
      <c r="O258" s="393" t="s">
        <v>69</v>
      </c>
      <c r="P258" s="393" t="s">
        <v>69</v>
      </c>
      <c r="Q258" s="392" t="s">
        <v>572</v>
      </c>
      <c r="R258" s="560" t="s">
        <v>5577</v>
      </c>
      <c r="S258" s="560" t="s">
        <v>573</v>
      </c>
      <c r="T258" s="564">
        <v>1</v>
      </c>
      <c r="U258" s="565">
        <v>6.7619999999999996</v>
      </c>
      <c r="V258" s="565"/>
      <c r="W258" s="566"/>
      <c r="X258" s="564"/>
      <c r="Y258" s="564">
        <v>7</v>
      </c>
      <c r="Z258" s="564">
        <v>25</v>
      </c>
      <c r="AA258" s="565"/>
      <c r="AB258" s="567">
        <v>43435</v>
      </c>
      <c r="AC258" s="568"/>
      <c r="AD258" s="820">
        <v>14.098306849315067</v>
      </c>
      <c r="AE258" s="562" t="s">
        <v>54</v>
      </c>
      <c r="AF258" s="564"/>
      <c r="AG258" s="565"/>
      <c r="AH258" s="567"/>
      <c r="AI258" s="564"/>
      <c r="AJ258" s="566"/>
      <c r="AK258" s="566"/>
      <c r="AL258" s="561"/>
      <c r="AM258" s="561"/>
      <c r="AN258" s="569"/>
      <c r="AO258" s="563"/>
      <c r="AP258" s="560"/>
      <c r="AQ258" s="563"/>
      <c r="AR258" s="560"/>
      <c r="AS258" s="578">
        <v>40171</v>
      </c>
      <c r="AT258" s="566"/>
      <c r="AU258" s="566"/>
      <c r="AV258" s="566"/>
      <c r="AW258" s="566"/>
      <c r="AX258" s="566"/>
      <c r="AY258" s="566"/>
      <c r="AZ258" s="567">
        <v>43311</v>
      </c>
      <c r="BA258" s="561"/>
      <c r="BB258" s="562" t="s">
        <v>3147</v>
      </c>
      <c r="BC258" s="561" t="b">
        <v>0</v>
      </c>
      <c r="BD258" s="561"/>
      <c r="BE258" s="563"/>
      <c r="BF258" s="394">
        <v>1</v>
      </c>
      <c r="BG258" s="394">
        <v>2</v>
      </c>
      <c r="BH258" s="394">
        <v>7</v>
      </c>
      <c r="BI258" s="394">
        <v>9</v>
      </c>
      <c r="BJ258" s="394">
        <v>8</v>
      </c>
      <c r="BK258" s="394"/>
      <c r="BL258" s="444" t="s">
        <v>6981</v>
      </c>
      <c r="BM258" s="563"/>
      <c r="BN258" s="561"/>
      <c r="BO258" s="561"/>
      <c r="BP258" s="571"/>
      <c r="BQ258" s="572"/>
      <c r="BR258" s="573"/>
      <c r="BS258" s="571">
        <v>0.13200000000000001</v>
      </c>
      <c r="BT258" s="564">
        <f>864/BS258</f>
        <v>6545.454545454545</v>
      </c>
      <c r="BU258" s="569">
        <v>0.64359999999999995</v>
      </c>
      <c r="BV258" s="571"/>
      <c r="BW258" s="562"/>
      <c r="BX258" s="563"/>
      <c r="BY258" s="561"/>
      <c r="BZ258" s="561"/>
      <c r="CA258" s="574"/>
      <c r="CB258" s="572"/>
      <c r="CC258" s="568"/>
      <c r="CD258" s="568"/>
      <c r="CE258" s="568"/>
      <c r="CF258" s="568"/>
      <c r="CG258" s="568"/>
      <c r="CH258" s="568"/>
      <c r="CI258" s="568"/>
      <c r="CJ258" s="568"/>
      <c r="CK258" s="568"/>
      <c r="CL258" s="568"/>
      <c r="CM258" s="568"/>
      <c r="CN258" s="568">
        <v>0.55500000000000005</v>
      </c>
      <c r="CO258" s="568">
        <v>6.76</v>
      </c>
      <c r="CP258" s="568">
        <v>6.76</v>
      </c>
      <c r="CQ258" s="568">
        <v>6.76</v>
      </c>
      <c r="CR258" s="568">
        <v>6.76</v>
      </c>
      <c r="CS258" s="568">
        <v>6.76</v>
      </c>
      <c r="CT258" s="568">
        <v>6.76</v>
      </c>
      <c r="CU258" s="568">
        <v>6.2229999999999999</v>
      </c>
      <c r="CV258" s="568"/>
      <c r="CW258" s="568"/>
      <c r="CX258" s="568"/>
      <c r="CY258" s="568"/>
      <c r="CZ258" s="568"/>
      <c r="DA258" s="568"/>
      <c r="DB258" s="568"/>
      <c r="DC258" s="568"/>
      <c r="DD258" s="568"/>
      <c r="DE258" s="561"/>
      <c r="DF258" s="561"/>
      <c r="DG258" s="561"/>
      <c r="DH258" s="561"/>
      <c r="DI258" s="561"/>
      <c r="DJ258" s="561"/>
      <c r="DK258" s="897"/>
    </row>
    <row r="259" spans="1:115" ht="51" x14ac:dyDescent="0.2">
      <c r="A259" s="295">
        <v>255</v>
      </c>
      <c r="B259" s="390" t="s">
        <v>277</v>
      </c>
      <c r="C259" s="424" t="s">
        <v>7449</v>
      </c>
      <c r="D259" s="391" t="s">
        <v>5024</v>
      </c>
      <c r="E259" s="704" t="s">
        <v>278</v>
      </c>
      <c r="F259" s="393" t="s">
        <v>1352</v>
      </c>
      <c r="G259" s="393" t="s">
        <v>1673</v>
      </c>
      <c r="H259" s="393" t="s">
        <v>42</v>
      </c>
      <c r="I259" s="392"/>
      <c r="J259" s="392" t="s">
        <v>242</v>
      </c>
      <c r="K259" s="392"/>
      <c r="L259" s="392" t="s">
        <v>279</v>
      </c>
      <c r="M259" s="392" t="s">
        <v>3940</v>
      </c>
      <c r="N259" s="393" t="s">
        <v>44</v>
      </c>
      <c r="O259" s="393" t="s">
        <v>271</v>
      </c>
      <c r="P259" s="393" t="s">
        <v>271</v>
      </c>
      <c r="Q259" s="392" t="s">
        <v>272</v>
      </c>
      <c r="R259" s="392"/>
      <c r="S259" s="392" t="s">
        <v>273</v>
      </c>
      <c r="T259" s="394">
        <v>4</v>
      </c>
      <c r="U259" s="395">
        <v>124.599</v>
      </c>
      <c r="V259" s="395"/>
      <c r="W259" s="452">
        <v>39380</v>
      </c>
      <c r="X259" s="394">
        <v>28</v>
      </c>
      <c r="Y259" s="394"/>
      <c r="Z259" s="394"/>
      <c r="AA259" s="395"/>
      <c r="AB259" s="453"/>
      <c r="AC259" s="398">
        <v>1.4125000000000001</v>
      </c>
      <c r="AD259" s="398">
        <v>1245.99</v>
      </c>
      <c r="AE259" s="393" t="s">
        <v>72</v>
      </c>
      <c r="AF259" s="417"/>
      <c r="AG259" s="417"/>
      <c r="AH259" s="417">
        <v>0</v>
      </c>
      <c r="AI259" s="394"/>
      <c r="AJ259" s="453"/>
      <c r="AK259" s="453"/>
      <c r="AL259" s="393"/>
      <c r="AM259" s="393"/>
      <c r="AN259" s="417"/>
      <c r="AO259" s="392"/>
      <c r="AP259" s="392" t="s">
        <v>7033</v>
      </c>
      <c r="AQ259" s="392"/>
      <c r="AR259" s="392" t="s">
        <v>4212</v>
      </c>
      <c r="AS259" s="479">
        <v>40174</v>
      </c>
      <c r="AT259" s="453"/>
      <c r="AU259" s="453"/>
      <c r="AV259" s="452">
        <v>40396</v>
      </c>
      <c r="AW259" s="452">
        <v>41103</v>
      </c>
      <c r="AX259" s="452">
        <v>41167</v>
      </c>
      <c r="AY259" s="452">
        <v>41103</v>
      </c>
      <c r="AZ259" s="453"/>
      <c r="BA259" s="393"/>
      <c r="BB259" s="393" t="s">
        <v>3116</v>
      </c>
      <c r="BC259" s="393" t="b">
        <v>0</v>
      </c>
      <c r="BD259" s="393" t="s">
        <v>3116</v>
      </c>
      <c r="BE259" s="392"/>
      <c r="BF259" s="394">
        <v>4</v>
      </c>
      <c r="BG259" s="394">
        <v>10</v>
      </c>
      <c r="BH259" s="394">
        <v>5</v>
      </c>
      <c r="BI259" s="394">
        <v>8</v>
      </c>
      <c r="BJ259" s="394">
        <v>9</v>
      </c>
      <c r="BK259" s="394"/>
      <c r="BL259" s="444" t="s">
        <v>6981</v>
      </c>
      <c r="BM259" s="392"/>
      <c r="BN259" s="393"/>
      <c r="BO259" s="393"/>
      <c r="BP259" s="399"/>
      <c r="BQ259" s="400"/>
      <c r="BR259" s="401"/>
      <c r="BS259" s="399">
        <v>0</v>
      </c>
      <c r="BT259" s="394"/>
      <c r="BU259" s="417"/>
      <c r="BV259" s="399"/>
      <c r="BW259" s="393"/>
      <c r="BX259" s="392"/>
      <c r="BY259" s="393"/>
      <c r="BZ259" s="393"/>
      <c r="CA259" s="441"/>
      <c r="CB259" s="400"/>
      <c r="CC259" s="398"/>
      <c r="CD259" s="398"/>
      <c r="CE259" s="398"/>
      <c r="CF259" s="398"/>
      <c r="CG259" s="398"/>
      <c r="CH259" s="398"/>
      <c r="CI259" s="398"/>
      <c r="CJ259" s="398"/>
      <c r="CK259" s="398"/>
      <c r="CL259" s="398"/>
      <c r="CM259" s="398"/>
      <c r="CN259" s="398"/>
      <c r="CO259" s="398"/>
      <c r="CP259" s="398"/>
      <c r="CQ259" s="398"/>
      <c r="CR259" s="398"/>
      <c r="CS259" s="398"/>
      <c r="CT259" s="398"/>
      <c r="CU259" s="398"/>
      <c r="CV259" s="398"/>
      <c r="CW259" s="398"/>
      <c r="CX259" s="398"/>
      <c r="CY259" s="398"/>
      <c r="CZ259" s="398"/>
      <c r="DA259" s="398"/>
      <c r="DB259" s="398"/>
      <c r="DC259" s="398"/>
      <c r="DD259" s="398"/>
      <c r="DE259" s="393"/>
      <c r="DF259" s="393"/>
      <c r="DG259" s="393"/>
      <c r="DH259" s="393"/>
      <c r="DI259" s="393"/>
      <c r="DJ259" s="393"/>
      <c r="DK259" s="896" t="s">
        <v>9702</v>
      </c>
    </row>
    <row r="260" spans="1:115" ht="38.25" x14ac:dyDescent="0.2">
      <c r="A260" s="295">
        <v>256</v>
      </c>
      <c r="B260" s="390" t="s">
        <v>2615</v>
      </c>
      <c r="C260" s="390"/>
      <c r="D260" s="391" t="s">
        <v>3143</v>
      </c>
      <c r="E260" s="704" t="s">
        <v>280</v>
      </c>
      <c r="F260" s="393" t="s">
        <v>1352</v>
      </c>
      <c r="G260" s="393" t="s">
        <v>1673</v>
      </c>
      <c r="H260" s="393" t="s">
        <v>42</v>
      </c>
      <c r="I260" s="392"/>
      <c r="J260" s="392"/>
      <c r="K260" s="392" t="s">
        <v>281</v>
      </c>
      <c r="L260" s="392" t="s">
        <v>279</v>
      </c>
      <c r="M260" s="392"/>
      <c r="N260" s="393" t="s">
        <v>44</v>
      </c>
      <c r="O260" s="393" t="s">
        <v>271</v>
      </c>
      <c r="P260" s="393" t="s">
        <v>271</v>
      </c>
      <c r="Q260" s="392" t="s">
        <v>272</v>
      </c>
      <c r="R260" s="392" t="s">
        <v>3941</v>
      </c>
      <c r="S260" s="392" t="s">
        <v>273</v>
      </c>
      <c r="T260" s="394">
        <v>1</v>
      </c>
      <c r="U260" s="395">
        <v>3.39</v>
      </c>
      <c r="V260" s="395"/>
      <c r="W260" s="453"/>
      <c r="X260" s="394"/>
      <c r="Y260" s="394">
        <v>10</v>
      </c>
      <c r="Z260" s="394">
        <v>30</v>
      </c>
      <c r="AA260" s="395">
        <v>0</v>
      </c>
      <c r="AB260" s="452">
        <v>41122</v>
      </c>
      <c r="AC260" s="398">
        <v>1.4125000000000001</v>
      </c>
      <c r="AD260" s="398">
        <v>33.9</v>
      </c>
      <c r="AE260" s="393" t="s">
        <v>72</v>
      </c>
      <c r="AF260" s="417"/>
      <c r="AG260" s="417"/>
      <c r="AH260" s="417"/>
      <c r="AI260" s="394"/>
      <c r="AJ260" s="453"/>
      <c r="AK260" s="453"/>
      <c r="AL260" s="393"/>
      <c r="AM260" s="393"/>
      <c r="AN260" s="417"/>
      <c r="AO260" s="392"/>
      <c r="AP260" s="392" t="s">
        <v>7033</v>
      </c>
      <c r="AQ260" s="392"/>
      <c r="AR260" s="392" t="s">
        <v>4212</v>
      </c>
      <c r="AS260" s="479">
        <v>40174</v>
      </c>
      <c r="AT260" s="453"/>
      <c r="AU260" s="453"/>
      <c r="AV260" s="453"/>
      <c r="AW260" s="453"/>
      <c r="AX260" s="453"/>
      <c r="AY260" s="453"/>
      <c r="AZ260" s="452">
        <v>41103</v>
      </c>
      <c r="BA260" s="393"/>
      <c r="BB260" s="393"/>
      <c r="BC260" s="393" t="b">
        <v>0</v>
      </c>
      <c r="BD260" s="393"/>
      <c r="BE260" s="392"/>
      <c r="BF260" s="394">
        <v>4</v>
      </c>
      <c r="BG260" s="394">
        <v>10</v>
      </c>
      <c r="BH260" s="394">
        <v>5</v>
      </c>
      <c r="BI260" s="394">
        <v>8</v>
      </c>
      <c r="BJ260" s="394">
        <v>9</v>
      </c>
      <c r="BK260" s="394"/>
      <c r="BL260" s="444" t="s">
        <v>6981</v>
      </c>
      <c r="BM260" s="392"/>
      <c r="BN260" s="393"/>
      <c r="BO260" s="393"/>
      <c r="BP260" s="399"/>
      <c r="BQ260" s="400"/>
      <c r="BR260" s="401"/>
      <c r="BS260" s="399"/>
      <c r="BT260" s="394"/>
      <c r="BU260" s="417">
        <v>0.84</v>
      </c>
      <c r="BV260" s="399">
        <v>32.186999999999998</v>
      </c>
      <c r="BW260" s="393" t="s">
        <v>3117</v>
      </c>
      <c r="BX260" s="392" t="s">
        <v>3942</v>
      </c>
      <c r="BY260" s="393"/>
      <c r="BZ260" s="393"/>
      <c r="CA260" s="441" t="s">
        <v>1662</v>
      </c>
      <c r="CB260" s="400"/>
      <c r="CC260" s="398"/>
      <c r="CD260" s="398"/>
      <c r="CE260" s="398"/>
      <c r="CF260" s="398">
        <v>14.247999999999999</v>
      </c>
      <c r="CG260" s="398">
        <v>14.247999999999999</v>
      </c>
      <c r="CH260" s="398">
        <v>14.247999999999999</v>
      </c>
      <c r="CI260" s="398">
        <v>14.247999999999999</v>
      </c>
      <c r="CJ260" s="398">
        <v>14.247999999999999</v>
      </c>
      <c r="CK260" s="398">
        <v>14.247999999999999</v>
      </c>
      <c r="CL260" s="398">
        <v>14.247999999999999</v>
      </c>
      <c r="CM260" s="398">
        <v>14.247999999999999</v>
      </c>
      <c r="CN260" s="398">
        <v>14.247999999999999</v>
      </c>
      <c r="CO260" s="398">
        <v>14.247999999999999</v>
      </c>
      <c r="CP260" s="398"/>
      <c r="CQ260" s="398"/>
      <c r="CR260" s="398"/>
      <c r="CS260" s="398"/>
      <c r="CT260" s="398"/>
      <c r="CU260" s="398"/>
      <c r="CV260" s="398"/>
      <c r="CW260" s="398"/>
      <c r="CX260" s="398"/>
      <c r="CY260" s="398"/>
      <c r="CZ260" s="398"/>
      <c r="DA260" s="398"/>
      <c r="DB260" s="398"/>
      <c r="DC260" s="398"/>
      <c r="DD260" s="398"/>
      <c r="DE260" s="393"/>
      <c r="DF260" s="393"/>
      <c r="DG260" s="393"/>
      <c r="DH260" s="393"/>
      <c r="DI260" s="393"/>
      <c r="DJ260" s="393"/>
      <c r="DK260" s="897"/>
    </row>
    <row r="261" spans="1:115" ht="38.25" x14ac:dyDescent="0.2">
      <c r="A261" s="295">
        <v>257</v>
      </c>
      <c r="B261" s="390" t="s">
        <v>5514</v>
      </c>
      <c r="C261" s="390"/>
      <c r="D261" s="391" t="s">
        <v>5515</v>
      </c>
      <c r="E261" s="704" t="s">
        <v>5516</v>
      </c>
      <c r="F261" s="393" t="s">
        <v>1352</v>
      </c>
      <c r="G261" s="393" t="s">
        <v>1673</v>
      </c>
      <c r="H261" s="393" t="s">
        <v>42</v>
      </c>
      <c r="I261" s="392"/>
      <c r="J261" s="392"/>
      <c r="K261" s="392" t="s">
        <v>242</v>
      </c>
      <c r="L261" s="392" t="s">
        <v>279</v>
      </c>
      <c r="M261" s="392"/>
      <c r="N261" s="393" t="s">
        <v>44</v>
      </c>
      <c r="O261" s="393" t="s">
        <v>271</v>
      </c>
      <c r="P261" s="393" t="s">
        <v>271</v>
      </c>
      <c r="Q261" s="392" t="s">
        <v>272</v>
      </c>
      <c r="R261" s="392" t="s">
        <v>3941</v>
      </c>
      <c r="S261" s="392" t="s">
        <v>273</v>
      </c>
      <c r="T261" s="394">
        <v>1</v>
      </c>
      <c r="U261" s="395">
        <v>33.959000000000003</v>
      </c>
      <c r="V261" s="395"/>
      <c r="W261" s="453"/>
      <c r="X261" s="394"/>
      <c r="Y261" s="394">
        <v>10</v>
      </c>
      <c r="Z261" s="394">
        <v>28</v>
      </c>
      <c r="AA261" s="395">
        <v>0</v>
      </c>
      <c r="AB261" s="452">
        <v>41493</v>
      </c>
      <c r="AC261" s="398">
        <v>0</v>
      </c>
      <c r="AD261" s="398">
        <v>339.59000000000003</v>
      </c>
      <c r="AE261" s="393" t="s">
        <v>72</v>
      </c>
      <c r="AF261" s="417"/>
      <c r="AG261" s="417"/>
      <c r="AH261" s="417"/>
      <c r="AI261" s="394"/>
      <c r="AJ261" s="453"/>
      <c r="AK261" s="453"/>
      <c r="AL261" s="393"/>
      <c r="AM261" s="393"/>
      <c r="AN261" s="417"/>
      <c r="AO261" s="392"/>
      <c r="AP261" s="392"/>
      <c r="AQ261" s="392"/>
      <c r="AR261" s="392" t="s">
        <v>4212</v>
      </c>
      <c r="AS261" s="479">
        <v>40174</v>
      </c>
      <c r="AT261" s="453"/>
      <c r="AU261" s="453"/>
      <c r="AV261" s="453"/>
      <c r="AW261" s="453"/>
      <c r="AX261" s="453"/>
      <c r="AY261" s="453"/>
      <c r="AZ261" s="453">
        <v>41493</v>
      </c>
      <c r="BA261" s="393"/>
      <c r="BB261" s="393" t="s">
        <v>3116</v>
      </c>
      <c r="BC261" s="393" t="b">
        <v>0</v>
      </c>
      <c r="BD261" s="393"/>
      <c r="BE261" s="392"/>
      <c r="BF261" s="394">
        <v>4</v>
      </c>
      <c r="BG261" s="394">
        <v>10</v>
      </c>
      <c r="BH261" s="394">
        <v>5</v>
      </c>
      <c r="BI261" s="394">
        <v>8</v>
      </c>
      <c r="BJ261" s="394">
        <v>9</v>
      </c>
      <c r="BK261" s="394"/>
      <c r="BL261" s="444" t="s">
        <v>6981</v>
      </c>
      <c r="BM261" s="392"/>
      <c r="BN261" s="393"/>
      <c r="BO261" s="393"/>
      <c r="BP261" s="399"/>
      <c r="BQ261" s="400"/>
      <c r="BR261" s="401"/>
      <c r="BS261" s="399"/>
      <c r="BT261" s="394"/>
      <c r="BU261" s="417"/>
      <c r="BV261" s="399">
        <v>36.856000000000002</v>
      </c>
      <c r="BW261" s="393" t="s">
        <v>3117</v>
      </c>
      <c r="BX261" s="392" t="s">
        <v>3942</v>
      </c>
      <c r="BY261" s="393"/>
      <c r="BZ261" s="393"/>
      <c r="CA261" s="441" t="s">
        <v>1662</v>
      </c>
      <c r="CB261" s="400"/>
      <c r="CC261" s="398"/>
      <c r="CD261" s="398"/>
      <c r="CE261" s="398"/>
      <c r="CF261" s="398"/>
      <c r="CG261" s="398"/>
      <c r="CH261" s="398"/>
      <c r="CI261" s="398"/>
      <c r="CJ261" s="398"/>
      <c r="CK261" s="398"/>
      <c r="CL261" s="398"/>
      <c r="CM261" s="398"/>
      <c r="CN261" s="398"/>
      <c r="CO261" s="398"/>
      <c r="CP261" s="398"/>
      <c r="CQ261" s="398"/>
      <c r="CR261" s="398"/>
      <c r="CS261" s="398"/>
      <c r="CT261" s="398"/>
      <c r="CU261" s="398"/>
      <c r="CV261" s="398"/>
      <c r="CW261" s="398"/>
      <c r="CX261" s="398"/>
      <c r="CY261" s="398"/>
      <c r="CZ261" s="398"/>
      <c r="DA261" s="398"/>
      <c r="DB261" s="398"/>
      <c r="DC261" s="398"/>
      <c r="DD261" s="398"/>
      <c r="DE261" s="393"/>
      <c r="DF261" s="393"/>
      <c r="DG261" s="393"/>
      <c r="DH261" s="393"/>
      <c r="DI261" s="393"/>
      <c r="DJ261" s="393"/>
      <c r="DK261" s="897"/>
    </row>
    <row r="262" spans="1:115" ht="38.25" x14ac:dyDescent="0.2">
      <c r="A262" s="295">
        <v>258</v>
      </c>
      <c r="B262" s="390" t="s">
        <v>5517</v>
      </c>
      <c r="C262" s="390"/>
      <c r="D262" s="391" t="s">
        <v>5518</v>
      </c>
      <c r="E262" s="704" t="s">
        <v>5519</v>
      </c>
      <c r="F262" s="393" t="s">
        <v>1352</v>
      </c>
      <c r="G262" s="393" t="s">
        <v>1673</v>
      </c>
      <c r="H262" s="393" t="s">
        <v>42</v>
      </c>
      <c r="I262" s="392"/>
      <c r="J262" s="392"/>
      <c r="K262" s="392" t="s">
        <v>242</v>
      </c>
      <c r="L262" s="392" t="s">
        <v>279</v>
      </c>
      <c r="M262" s="392"/>
      <c r="N262" s="393" t="s">
        <v>44</v>
      </c>
      <c r="O262" s="393" t="s">
        <v>271</v>
      </c>
      <c r="P262" s="393" t="s">
        <v>271</v>
      </c>
      <c r="Q262" s="392" t="s">
        <v>272</v>
      </c>
      <c r="R262" s="392" t="s">
        <v>3941</v>
      </c>
      <c r="S262" s="392" t="s">
        <v>273</v>
      </c>
      <c r="T262" s="394">
        <v>1</v>
      </c>
      <c r="U262" s="395">
        <v>42.448999999999998</v>
      </c>
      <c r="V262" s="395"/>
      <c r="W262" s="453"/>
      <c r="X262" s="394"/>
      <c r="Y262" s="394">
        <v>10</v>
      </c>
      <c r="Z262" s="394">
        <v>25</v>
      </c>
      <c r="AA262" s="395">
        <v>0</v>
      </c>
      <c r="AB262" s="452">
        <v>41493</v>
      </c>
      <c r="AC262" s="398">
        <v>0</v>
      </c>
      <c r="AD262" s="398">
        <v>424.49</v>
      </c>
      <c r="AE262" s="393" t="s">
        <v>72</v>
      </c>
      <c r="AF262" s="417"/>
      <c r="AG262" s="417"/>
      <c r="AH262" s="417"/>
      <c r="AI262" s="394"/>
      <c r="AJ262" s="453"/>
      <c r="AK262" s="453"/>
      <c r="AL262" s="393"/>
      <c r="AM262" s="393"/>
      <c r="AN262" s="417"/>
      <c r="AO262" s="392"/>
      <c r="AP262" s="392"/>
      <c r="AQ262" s="392"/>
      <c r="AR262" s="392" t="s">
        <v>4212</v>
      </c>
      <c r="AS262" s="479">
        <v>40174</v>
      </c>
      <c r="AT262" s="453"/>
      <c r="AU262" s="453"/>
      <c r="AV262" s="453"/>
      <c r="AW262" s="453"/>
      <c r="AX262" s="453"/>
      <c r="AY262" s="453"/>
      <c r="AZ262" s="453">
        <v>41493</v>
      </c>
      <c r="BA262" s="393"/>
      <c r="BB262" s="393" t="s">
        <v>3116</v>
      </c>
      <c r="BC262" s="393" t="b">
        <v>0</v>
      </c>
      <c r="BD262" s="393"/>
      <c r="BE262" s="392"/>
      <c r="BF262" s="394">
        <v>4</v>
      </c>
      <c r="BG262" s="394">
        <v>10</v>
      </c>
      <c r="BH262" s="394">
        <v>5</v>
      </c>
      <c r="BI262" s="394">
        <v>8</v>
      </c>
      <c r="BJ262" s="394">
        <v>9</v>
      </c>
      <c r="BK262" s="394"/>
      <c r="BL262" s="444" t="s">
        <v>6981</v>
      </c>
      <c r="BM262" s="392"/>
      <c r="BN262" s="393"/>
      <c r="BO262" s="393"/>
      <c r="BP262" s="399"/>
      <c r="BQ262" s="400"/>
      <c r="BR262" s="401"/>
      <c r="BS262" s="399"/>
      <c r="BT262" s="394"/>
      <c r="BU262" s="417"/>
      <c r="BV262" s="399">
        <v>46.070999999999998</v>
      </c>
      <c r="BW262" s="393" t="s">
        <v>3117</v>
      </c>
      <c r="BX262" s="392" t="s">
        <v>3942</v>
      </c>
      <c r="BY262" s="393"/>
      <c r="BZ262" s="393"/>
      <c r="CA262" s="441" t="s">
        <v>1662</v>
      </c>
      <c r="CB262" s="400"/>
      <c r="CC262" s="398"/>
      <c r="CD262" s="398"/>
      <c r="CE262" s="398"/>
      <c r="CF262" s="398"/>
      <c r="CG262" s="398"/>
      <c r="CH262" s="398"/>
      <c r="CI262" s="398">
        <v>42.448999999999998</v>
      </c>
      <c r="CJ262" s="398">
        <v>42.448999999999998</v>
      </c>
      <c r="CK262" s="398">
        <v>42.448999999999998</v>
      </c>
      <c r="CL262" s="398">
        <v>42.448999999999998</v>
      </c>
      <c r="CM262" s="398">
        <v>42.448999999999998</v>
      </c>
      <c r="CN262" s="398">
        <v>42.448999999999998</v>
      </c>
      <c r="CO262" s="398">
        <v>42.448999999999998</v>
      </c>
      <c r="CP262" s="398">
        <v>42.448999999999998</v>
      </c>
      <c r="CQ262" s="398">
        <v>42.448999999999998</v>
      </c>
      <c r="CR262" s="398">
        <v>42.448999999999998</v>
      </c>
      <c r="CS262" s="398">
        <v>42.448999999999998</v>
      </c>
      <c r="CT262" s="398"/>
      <c r="CU262" s="398"/>
      <c r="CV262" s="398"/>
      <c r="CW262" s="398"/>
      <c r="CX262" s="398"/>
      <c r="CY262" s="398"/>
      <c r="CZ262" s="398"/>
      <c r="DA262" s="398"/>
      <c r="DB262" s="398"/>
      <c r="DC262" s="398"/>
      <c r="DD262" s="398"/>
      <c r="DE262" s="393"/>
      <c r="DF262" s="393"/>
      <c r="DG262" s="393"/>
      <c r="DH262" s="393"/>
      <c r="DI262" s="393"/>
      <c r="DJ262" s="393"/>
      <c r="DK262" s="897"/>
    </row>
    <row r="263" spans="1:115" ht="38.25" x14ac:dyDescent="0.2">
      <c r="A263" s="295">
        <v>259</v>
      </c>
      <c r="B263" s="390" t="s">
        <v>5520</v>
      </c>
      <c r="C263" s="390"/>
      <c r="D263" s="391" t="s">
        <v>5521</v>
      </c>
      <c r="E263" s="704" t="s">
        <v>5522</v>
      </c>
      <c r="F263" s="393" t="s">
        <v>1352</v>
      </c>
      <c r="G263" s="393" t="s">
        <v>1673</v>
      </c>
      <c r="H263" s="393" t="s">
        <v>42</v>
      </c>
      <c r="I263" s="392"/>
      <c r="J263" s="392"/>
      <c r="K263" s="392" t="s">
        <v>242</v>
      </c>
      <c r="L263" s="392" t="s">
        <v>279</v>
      </c>
      <c r="M263" s="392"/>
      <c r="N263" s="393" t="s">
        <v>44</v>
      </c>
      <c r="O263" s="393"/>
      <c r="P263" s="393" t="s">
        <v>271</v>
      </c>
      <c r="Q263" s="392" t="s">
        <v>272</v>
      </c>
      <c r="R263" s="392" t="s">
        <v>3941</v>
      </c>
      <c r="S263" s="392" t="s">
        <v>273</v>
      </c>
      <c r="T263" s="394">
        <v>1</v>
      </c>
      <c r="U263" s="395">
        <v>44.801000000000002</v>
      </c>
      <c r="V263" s="395"/>
      <c r="W263" s="453"/>
      <c r="X263" s="394"/>
      <c r="Y263" s="394">
        <v>10</v>
      </c>
      <c r="Z263" s="394">
        <v>25</v>
      </c>
      <c r="AA263" s="395">
        <v>0</v>
      </c>
      <c r="AB263" s="452">
        <v>41493</v>
      </c>
      <c r="AC263" s="398">
        <v>0</v>
      </c>
      <c r="AD263" s="398">
        <v>448.01</v>
      </c>
      <c r="AE263" s="393" t="s">
        <v>72</v>
      </c>
      <c r="AF263" s="417"/>
      <c r="AG263" s="417"/>
      <c r="AH263" s="417"/>
      <c r="AI263" s="394"/>
      <c r="AJ263" s="453"/>
      <c r="AK263" s="453"/>
      <c r="AL263" s="393"/>
      <c r="AM263" s="393"/>
      <c r="AN263" s="417"/>
      <c r="AO263" s="392"/>
      <c r="AP263" s="392"/>
      <c r="AQ263" s="392"/>
      <c r="AR263" s="392" t="s">
        <v>4212</v>
      </c>
      <c r="AS263" s="479">
        <v>40174</v>
      </c>
      <c r="AT263" s="453"/>
      <c r="AU263" s="453"/>
      <c r="AV263" s="453"/>
      <c r="AW263" s="453"/>
      <c r="AX263" s="453"/>
      <c r="AY263" s="453"/>
      <c r="AZ263" s="453">
        <v>41493</v>
      </c>
      <c r="BA263" s="393"/>
      <c r="BB263" s="393" t="s">
        <v>3116</v>
      </c>
      <c r="BC263" s="393" t="b">
        <v>0</v>
      </c>
      <c r="BD263" s="393"/>
      <c r="BE263" s="392"/>
      <c r="BF263" s="394">
        <v>4</v>
      </c>
      <c r="BG263" s="394">
        <v>10</v>
      </c>
      <c r="BH263" s="394">
        <v>5</v>
      </c>
      <c r="BI263" s="394">
        <v>8</v>
      </c>
      <c r="BJ263" s="394">
        <v>9</v>
      </c>
      <c r="BK263" s="394"/>
      <c r="BL263" s="444" t="s">
        <v>6981</v>
      </c>
      <c r="BM263" s="392"/>
      <c r="BN263" s="393"/>
      <c r="BO263" s="393"/>
      <c r="BP263" s="399"/>
      <c r="BQ263" s="400"/>
      <c r="BR263" s="401"/>
      <c r="BS263" s="399"/>
      <c r="BT263" s="394"/>
      <c r="BU263" s="417"/>
      <c r="BV263" s="399">
        <v>48.622999999999998</v>
      </c>
      <c r="BW263" s="393" t="s">
        <v>3117</v>
      </c>
      <c r="BX263" s="392" t="s">
        <v>3942</v>
      </c>
      <c r="BY263" s="393"/>
      <c r="BZ263" s="393"/>
      <c r="CA263" s="441" t="s">
        <v>1662</v>
      </c>
      <c r="CB263" s="400"/>
      <c r="CC263" s="398"/>
      <c r="CD263" s="398"/>
      <c r="CE263" s="398"/>
      <c r="CF263" s="398"/>
      <c r="CG263" s="398"/>
      <c r="CH263" s="398"/>
      <c r="CI263" s="398">
        <v>44.801000000000002</v>
      </c>
      <c r="CJ263" s="398">
        <v>44.801000000000002</v>
      </c>
      <c r="CK263" s="398">
        <v>44.801000000000002</v>
      </c>
      <c r="CL263" s="398">
        <v>44.801000000000002</v>
      </c>
      <c r="CM263" s="398">
        <v>44.801000000000002</v>
      </c>
      <c r="CN263" s="398">
        <v>44.801000000000002</v>
      </c>
      <c r="CO263" s="398">
        <v>44.801000000000002</v>
      </c>
      <c r="CP263" s="398">
        <v>44.801000000000002</v>
      </c>
      <c r="CQ263" s="398">
        <v>44.801000000000002</v>
      </c>
      <c r="CR263" s="398">
        <v>44.801000000000002</v>
      </c>
      <c r="CS263" s="398">
        <v>44.801000000000002</v>
      </c>
      <c r="CT263" s="398"/>
      <c r="CU263" s="398"/>
      <c r="CV263" s="398"/>
      <c r="CW263" s="398"/>
      <c r="CX263" s="398"/>
      <c r="CY263" s="398"/>
      <c r="CZ263" s="398"/>
      <c r="DA263" s="398"/>
      <c r="DB263" s="398"/>
      <c r="DC263" s="398"/>
      <c r="DD263" s="398"/>
      <c r="DE263" s="393"/>
      <c r="DF263" s="393"/>
      <c r="DG263" s="393"/>
      <c r="DH263" s="393"/>
      <c r="DI263" s="393"/>
      <c r="DJ263" s="393"/>
      <c r="DK263" s="897"/>
    </row>
    <row r="264" spans="1:115" ht="25.5" x14ac:dyDescent="0.2">
      <c r="A264" s="295">
        <v>260</v>
      </c>
      <c r="B264" s="390" t="s">
        <v>336</v>
      </c>
      <c r="C264" s="424" t="s">
        <v>7450</v>
      </c>
      <c r="D264" s="391"/>
      <c r="E264" s="706" t="s">
        <v>337</v>
      </c>
      <c r="F264" s="390" t="s">
        <v>1352</v>
      </c>
      <c r="G264" s="390" t="s">
        <v>1673</v>
      </c>
      <c r="H264" s="390" t="s">
        <v>42</v>
      </c>
      <c r="I264" s="402"/>
      <c r="J264" s="402" t="s">
        <v>42</v>
      </c>
      <c r="K264" s="402"/>
      <c r="L264" s="402" t="s">
        <v>3819</v>
      </c>
      <c r="M264" s="402" t="s">
        <v>3943</v>
      </c>
      <c r="N264" s="390" t="s">
        <v>33</v>
      </c>
      <c r="O264" s="390" t="s">
        <v>34</v>
      </c>
      <c r="P264" s="390" t="s">
        <v>34</v>
      </c>
      <c r="Q264" s="402" t="s">
        <v>338</v>
      </c>
      <c r="R264" s="402"/>
      <c r="S264" s="402" t="s">
        <v>256</v>
      </c>
      <c r="T264" s="411">
        <v>1</v>
      </c>
      <c r="U264" s="412">
        <v>11.946999999999999</v>
      </c>
      <c r="V264" s="412"/>
      <c r="W264" s="457">
        <v>40179</v>
      </c>
      <c r="X264" s="411">
        <v>28</v>
      </c>
      <c r="Y264" s="411"/>
      <c r="Z264" s="411"/>
      <c r="AA264" s="412"/>
      <c r="AB264" s="454"/>
      <c r="AC264" s="413">
        <v>32.85425</v>
      </c>
      <c r="AD264" s="413">
        <v>119.47</v>
      </c>
      <c r="AE264" s="390" t="s">
        <v>72</v>
      </c>
      <c r="AF264" s="419"/>
      <c r="AG264" s="419"/>
      <c r="AH264" s="419">
        <v>0</v>
      </c>
      <c r="AI264" s="411"/>
      <c r="AJ264" s="454"/>
      <c r="AK264" s="454"/>
      <c r="AL264" s="390"/>
      <c r="AM264" s="390"/>
      <c r="AN264" s="419"/>
      <c r="AO264" s="402"/>
      <c r="AP264" s="402" t="s">
        <v>55</v>
      </c>
      <c r="AQ264" s="402"/>
      <c r="AR264" s="402" t="s">
        <v>3819</v>
      </c>
      <c r="AS264" s="481">
        <v>40174</v>
      </c>
      <c r="AT264" s="454"/>
      <c r="AU264" s="454"/>
      <c r="AV264" s="454"/>
      <c r="AW264" s="454"/>
      <c r="AX264" s="454"/>
      <c r="AY264" s="454"/>
      <c r="AZ264" s="454"/>
      <c r="BA264" s="390"/>
      <c r="BB264" s="390" t="s">
        <v>3147</v>
      </c>
      <c r="BC264" s="390" t="b">
        <v>0</v>
      </c>
      <c r="BD264" s="390" t="s">
        <v>3116</v>
      </c>
      <c r="BE264" s="402"/>
      <c r="BF264" s="411">
        <v>5</v>
      </c>
      <c r="BG264" s="411">
        <v>4</v>
      </c>
      <c r="BH264" s="411">
        <v>6</v>
      </c>
      <c r="BI264" s="411">
        <v>9</v>
      </c>
      <c r="BJ264" s="411">
        <v>11</v>
      </c>
      <c r="BK264" s="411"/>
      <c r="BL264" s="445"/>
      <c r="BM264" s="402"/>
      <c r="BN264" s="390"/>
      <c r="BO264" s="390"/>
      <c r="BP264" s="414"/>
      <c r="BQ264" s="415"/>
      <c r="BR264" s="416"/>
      <c r="BS264" s="414">
        <v>0</v>
      </c>
      <c r="BT264" s="411"/>
      <c r="BU264" s="419"/>
      <c r="BV264" s="414"/>
      <c r="BW264" s="390"/>
      <c r="BX264" s="402"/>
      <c r="BY264" s="390"/>
      <c r="BZ264" s="390"/>
      <c r="CA264" s="442"/>
      <c r="CB264" s="415"/>
      <c r="CC264" s="413"/>
      <c r="CD264" s="413"/>
      <c r="CE264" s="413"/>
      <c r="CF264" s="413"/>
      <c r="CG264" s="413"/>
      <c r="CH264" s="413"/>
      <c r="CI264" s="413"/>
      <c r="CJ264" s="413"/>
      <c r="CK264" s="413"/>
      <c r="CL264" s="413"/>
      <c r="CM264" s="413"/>
      <c r="CN264" s="413"/>
      <c r="CO264" s="413"/>
      <c r="CP264" s="413"/>
      <c r="CQ264" s="413"/>
      <c r="CR264" s="413"/>
      <c r="CS264" s="413"/>
      <c r="CT264" s="413"/>
      <c r="CU264" s="413"/>
      <c r="CV264" s="413"/>
      <c r="CW264" s="413"/>
      <c r="CX264" s="413"/>
      <c r="CY264" s="413"/>
      <c r="CZ264" s="413"/>
      <c r="DA264" s="413"/>
      <c r="DB264" s="413"/>
      <c r="DC264" s="413"/>
      <c r="DD264" s="413"/>
      <c r="DE264" s="390"/>
      <c r="DF264" s="390"/>
      <c r="DG264" s="390"/>
      <c r="DH264" s="390"/>
      <c r="DI264" s="390"/>
      <c r="DJ264" s="390"/>
      <c r="DK264" s="897"/>
    </row>
    <row r="265" spans="1:115" ht="25.5" x14ac:dyDescent="0.2">
      <c r="A265" s="295">
        <v>261</v>
      </c>
      <c r="B265" s="390" t="s">
        <v>2616</v>
      </c>
      <c r="C265" s="390"/>
      <c r="D265" s="391"/>
      <c r="E265" s="706" t="s">
        <v>339</v>
      </c>
      <c r="F265" s="390" t="s">
        <v>1352</v>
      </c>
      <c r="G265" s="390" t="s">
        <v>1673</v>
      </c>
      <c r="H265" s="390" t="s">
        <v>42</v>
      </c>
      <c r="I265" s="402"/>
      <c r="J265" s="402"/>
      <c r="K265" s="402" t="s">
        <v>42</v>
      </c>
      <c r="L265" s="402" t="s">
        <v>3819</v>
      </c>
      <c r="M265" s="402"/>
      <c r="N265" s="390" t="s">
        <v>33</v>
      </c>
      <c r="O265" s="390" t="s">
        <v>34</v>
      </c>
      <c r="P265" s="390" t="s">
        <v>34</v>
      </c>
      <c r="Q265" s="402" t="s">
        <v>338</v>
      </c>
      <c r="R265" s="402" t="s">
        <v>3944</v>
      </c>
      <c r="S265" s="402" t="s">
        <v>256</v>
      </c>
      <c r="T265" s="411">
        <v>1</v>
      </c>
      <c r="U265" s="412">
        <v>11.946999999999999</v>
      </c>
      <c r="V265" s="412"/>
      <c r="W265" s="454"/>
      <c r="X265" s="411"/>
      <c r="Y265" s="411">
        <v>10</v>
      </c>
      <c r="Z265" s="411">
        <v>15</v>
      </c>
      <c r="AA265" s="412">
        <v>0</v>
      </c>
      <c r="AB265" s="457">
        <v>40269</v>
      </c>
      <c r="AC265" s="413">
        <v>32.85425</v>
      </c>
      <c r="AD265" s="413">
        <v>119.47</v>
      </c>
      <c r="AE265" s="390" t="s">
        <v>72</v>
      </c>
      <c r="AF265" s="419"/>
      <c r="AG265" s="419"/>
      <c r="AH265" s="419"/>
      <c r="AI265" s="411"/>
      <c r="AJ265" s="454"/>
      <c r="AK265" s="454"/>
      <c r="AL265" s="390"/>
      <c r="AM265" s="390"/>
      <c r="AN265" s="419"/>
      <c r="AO265" s="402"/>
      <c r="AP265" s="402" t="s">
        <v>55</v>
      </c>
      <c r="AQ265" s="402"/>
      <c r="AR265" s="402" t="s">
        <v>3819</v>
      </c>
      <c r="AS265" s="481">
        <v>40174</v>
      </c>
      <c r="AT265" s="454"/>
      <c r="AU265" s="454"/>
      <c r="AV265" s="454"/>
      <c r="AW265" s="454"/>
      <c r="AX265" s="454"/>
      <c r="AY265" s="454"/>
      <c r="AZ265" s="454"/>
      <c r="BA265" s="390"/>
      <c r="BB265" s="390"/>
      <c r="BC265" s="390" t="b">
        <v>0</v>
      </c>
      <c r="BD265" s="390"/>
      <c r="BE265" s="402"/>
      <c r="BF265" s="411">
        <v>5</v>
      </c>
      <c r="BG265" s="411">
        <v>4</v>
      </c>
      <c r="BH265" s="411">
        <v>6</v>
      </c>
      <c r="BI265" s="411">
        <v>9</v>
      </c>
      <c r="BJ265" s="411">
        <v>11</v>
      </c>
      <c r="BK265" s="411"/>
      <c r="BL265" s="445" t="s">
        <v>6981</v>
      </c>
      <c r="BM265" s="402"/>
      <c r="BN265" s="390"/>
      <c r="BO265" s="390"/>
      <c r="BP265" s="414"/>
      <c r="BQ265" s="415"/>
      <c r="BR265" s="416"/>
      <c r="BS265" s="414"/>
      <c r="BT265" s="411"/>
      <c r="BU265" s="419"/>
      <c r="BV265" s="414"/>
      <c r="BW265" s="390" t="s">
        <v>3117</v>
      </c>
      <c r="BX265" s="402" t="s">
        <v>3205</v>
      </c>
      <c r="BY265" s="390"/>
      <c r="BZ265" s="390"/>
      <c r="CA265" s="442"/>
      <c r="CB265" s="415"/>
      <c r="CC265" s="413"/>
      <c r="CD265" s="413"/>
      <c r="CE265" s="413"/>
      <c r="CF265" s="413">
        <v>11.946999999999999</v>
      </c>
      <c r="CG265" s="413">
        <v>11.946999999999999</v>
      </c>
      <c r="CH265" s="413">
        <v>11.946999999999999</v>
      </c>
      <c r="CI265" s="413">
        <v>11.946999999999999</v>
      </c>
      <c r="CJ265" s="413">
        <v>11.946999999999999</v>
      </c>
      <c r="CK265" s="413">
        <v>11.946999999999999</v>
      </c>
      <c r="CL265" s="413">
        <v>11.946999999999999</v>
      </c>
      <c r="CM265" s="413">
        <v>11.946999999999999</v>
      </c>
      <c r="CN265" s="413">
        <v>11.946999999999999</v>
      </c>
      <c r="CO265" s="413">
        <v>11.946999999999999</v>
      </c>
      <c r="CP265" s="413"/>
      <c r="CQ265" s="413"/>
      <c r="CR265" s="413"/>
      <c r="CS265" s="413"/>
      <c r="CT265" s="413"/>
      <c r="CU265" s="413"/>
      <c r="CV265" s="413"/>
      <c r="CW265" s="413"/>
      <c r="CX265" s="413"/>
      <c r="CY265" s="413"/>
      <c r="CZ265" s="413"/>
      <c r="DA265" s="413"/>
      <c r="DB265" s="413"/>
      <c r="DC265" s="413"/>
      <c r="DD265" s="413"/>
      <c r="DE265" s="390"/>
      <c r="DF265" s="390"/>
      <c r="DG265" s="390"/>
      <c r="DH265" s="390"/>
      <c r="DI265" s="390"/>
      <c r="DJ265" s="390"/>
      <c r="DK265" s="897"/>
    </row>
    <row r="266" spans="1:115" ht="76.5" x14ac:dyDescent="0.2">
      <c r="A266" s="295">
        <v>262</v>
      </c>
      <c r="B266" s="390" t="s">
        <v>424</v>
      </c>
      <c r="C266" s="424" t="s">
        <v>7451</v>
      </c>
      <c r="D266" s="391" t="s">
        <v>5025</v>
      </c>
      <c r="E266" s="704" t="s">
        <v>1942</v>
      </c>
      <c r="F266" s="393" t="s">
        <v>1352</v>
      </c>
      <c r="G266" s="393" t="s">
        <v>1673</v>
      </c>
      <c r="H266" s="393" t="s">
        <v>67</v>
      </c>
      <c r="I266" s="392"/>
      <c r="J266" s="392" t="s">
        <v>67</v>
      </c>
      <c r="K266" s="392"/>
      <c r="L266" s="392" t="s">
        <v>425</v>
      </c>
      <c r="M266" s="392" t="s">
        <v>3945</v>
      </c>
      <c r="N266" s="393" t="s">
        <v>44</v>
      </c>
      <c r="O266" s="393" t="s">
        <v>51</v>
      </c>
      <c r="P266" s="393" t="s">
        <v>51</v>
      </c>
      <c r="Q266" s="392" t="s">
        <v>426</v>
      </c>
      <c r="R266" s="392"/>
      <c r="S266" s="392" t="s">
        <v>427</v>
      </c>
      <c r="T266" s="394">
        <v>9</v>
      </c>
      <c r="U266" s="395">
        <v>124.348</v>
      </c>
      <c r="V266" s="395"/>
      <c r="W266" s="452">
        <v>40211</v>
      </c>
      <c r="X266" s="394">
        <v>28</v>
      </c>
      <c r="Y266" s="394"/>
      <c r="Z266" s="394"/>
      <c r="AA266" s="395"/>
      <c r="AB266" s="453"/>
      <c r="AC266" s="398">
        <v>43.337871</v>
      </c>
      <c r="AD266" s="398">
        <v>1243.48</v>
      </c>
      <c r="AE266" s="393" t="s">
        <v>37</v>
      </c>
      <c r="AF266" s="417"/>
      <c r="AG266" s="417"/>
      <c r="AH266" s="417">
        <v>0</v>
      </c>
      <c r="AI266" s="394"/>
      <c r="AJ266" s="453"/>
      <c r="AK266" s="453"/>
      <c r="AL266" s="393"/>
      <c r="AM266" s="393"/>
      <c r="AN266" s="417"/>
      <c r="AO266" s="392"/>
      <c r="AP266" s="392" t="s">
        <v>7044</v>
      </c>
      <c r="AQ266" s="392"/>
      <c r="AR266" s="392" t="s">
        <v>274</v>
      </c>
      <c r="AS266" s="479">
        <v>40176</v>
      </c>
      <c r="AT266" s="453"/>
      <c r="AU266" s="453"/>
      <c r="AV266" s="452">
        <v>40464</v>
      </c>
      <c r="AW266" s="452">
        <v>40676</v>
      </c>
      <c r="AX266" s="453"/>
      <c r="AY266" s="452">
        <v>40676</v>
      </c>
      <c r="AZ266" s="453"/>
      <c r="BA266" s="393"/>
      <c r="BB266" s="393" t="s">
        <v>3116</v>
      </c>
      <c r="BC266" s="393" t="b">
        <v>0</v>
      </c>
      <c r="BD266" s="393" t="s">
        <v>3116</v>
      </c>
      <c r="BE266" s="392"/>
      <c r="BF266" s="394">
        <v>10</v>
      </c>
      <c r="BG266" s="394">
        <v>9</v>
      </c>
      <c r="BH266" s="394">
        <v>8</v>
      </c>
      <c r="BI266" s="394">
        <v>5</v>
      </c>
      <c r="BJ266" s="394">
        <v>7</v>
      </c>
      <c r="BK266" s="394">
        <v>1</v>
      </c>
      <c r="BL266" s="444"/>
      <c r="BM266" s="392"/>
      <c r="BN266" s="393"/>
      <c r="BO266" s="393"/>
      <c r="BP266" s="399"/>
      <c r="BQ266" s="400"/>
      <c r="BR266" s="401"/>
      <c r="BS266" s="399">
        <v>0</v>
      </c>
      <c r="BT266" s="394"/>
      <c r="BU266" s="417"/>
      <c r="BV266" s="399"/>
      <c r="BW266" s="393"/>
      <c r="BX266" s="392"/>
      <c r="BY266" s="393"/>
      <c r="BZ266" s="393"/>
      <c r="CA266" s="441"/>
      <c r="CB266" s="400"/>
      <c r="CC266" s="398"/>
      <c r="CD266" s="398"/>
      <c r="CE266" s="398"/>
      <c r="CF266" s="398"/>
      <c r="CG266" s="398"/>
      <c r="CH266" s="398"/>
      <c r="CI266" s="398"/>
      <c r="CJ266" s="398"/>
      <c r="CK266" s="398"/>
      <c r="CL266" s="398"/>
      <c r="CM266" s="398"/>
      <c r="CN266" s="398"/>
      <c r="CO266" s="398"/>
      <c r="CP266" s="398"/>
      <c r="CQ266" s="398"/>
      <c r="CR266" s="398"/>
      <c r="CS266" s="398"/>
      <c r="CT266" s="398"/>
      <c r="CU266" s="398"/>
      <c r="CV266" s="398"/>
      <c r="CW266" s="398"/>
      <c r="CX266" s="398"/>
      <c r="CY266" s="398"/>
      <c r="CZ266" s="398"/>
      <c r="DA266" s="398"/>
      <c r="DB266" s="398"/>
      <c r="DC266" s="398"/>
      <c r="DD266" s="398"/>
      <c r="DE266" s="393"/>
      <c r="DF266" s="393"/>
      <c r="DG266" s="393"/>
      <c r="DH266" s="393"/>
      <c r="DI266" s="393"/>
      <c r="DJ266" s="393"/>
      <c r="DK266" s="896" t="s">
        <v>9701</v>
      </c>
    </row>
    <row r="267" spans="1:115" ht="25.5" x14ac:dyDescent="0.2">
      <c r="A267" s="295">
        <v>263</v>
      </c>
      <c r="B267" s="390" t="s">
        <v>2617</v>
      </c>
      <c r="C267" s="390"/>
      <c r="D267" s="391" t="s">
        <v>428</v>
      </c>
      <c r="E267" s="704" t="s">
        <v>429</v>
      </c>
      <c r="F267" s="393" t="s">
        <v>1352</v>
      </c>
      <c r="G267" s="393" t="s">
        <v>1673</v>
      </c>
      <c r="H267" s="393" t="s">
        <v>67</v>
      </c>
      <c r="I267" s="392"/>
      <c r="J267" s="392"/>
      <c r="K267" s="392" t="s">
        <v>430</v>
      </c>
      <c r="L267" s="392" t="s">
        <v>425</v>
      </c>
      <c r="M267" s="392"/>
      <c r="N267" s="393" t="s">
        <v>44</v>
      </c>
      <c r="O267" s="393" t="s">
        <v>51</v>
      </c>
      <c r="P267" s="393" t="s">
        <v>51</v>
      </c>
      <c r="Q267" s="392" t="s">
        <v>426</v>
      </c>
      <c r="R267" s="392" t="s">
        <v>3946</v>
      </c>
      <c r="S267" s="392" t="s">
        <v>427</v>
      </c>
      <c r="T267" s="394">
        <v>1</v>
      </c>
      <c r="U267" s="395">
        <v>17.54</v>
      </c>
      <c r="V267" s="395"/>
      <c r="W267" s="453"/>
      <c r="X267" s="394"/>
      <c r="Y267" s="394">
        <v>10</v>
      </c>
      <c r="Z267" s="394">
        <v>10</v>
      </c>
      <c r="AA267" s="395">
        <v>-2</v>
      </c>
      <c r="AB267" s="452">
        <v>40761</v>
      </c>
      <c r="AC267" s="398">
        <v>43.337871</v>
      </c>
      <c r="AD267" s="398">
        <v>175.39999999999998</v>
      </c>
      <c r="AE267" s="393" t="s">
        <v>37</v>
      </c>
      <c r="AF267" s="417"/>
      <c r="AG267" s="417"/>
      <c r="AH267" s="417"/>
      <c r="AI267" s="394"/>
      <c r="AJ267" s="453"/>
      <c r="AK267" s="453"/>
      <c r="AL267" s="393"/>
      <c r="AM267" s="393"/>
      <c r="AN267" s="417"/>
      <c r="AO267" s="392"/>
      <c r="AP267" s="392" t="s">
        <v>7044</v>
      </c>
      <c r="AQ267" s="392"/>
      <c r="AR267" s="392" t="s">
        <v>274</v>
      </c>
      <c r="AS267" s="479">
        <v>40176</v>
      </c>
      <c r="AT267" s="453"/>
      <c r="AU267" s="453"/>
      <c r="AV267" s="453"/>
      <c r="AW267" s="453"/>
      <c r="AX267" s="453"/>
      <c r="AY267" s="453"/>
      <c r="AZ267" s="452">
        <v>40676</v>
      </c>
      <c r="BA267" s="393"/>
      <c r="BB267" s="393"/>
      <c r="BC267" s="393" t="b">
        <v>0</v>
      </c>
      <c r="BD267" s="393"/>
      <c r="BE267" s="392"/>
      <c r="BF267" s="394">
        <v>10</v>
      </c>
      <c r="BG267" s="394">
        <v>9</v>
      </c>
      <c r="BH267" s="394">
        <v>8</v>
      </c>
      <c r="BI267" s="394">
        <v>5</v>
      </c>
      <c r="BJ267" s="394">
        <v>7</v>
      </c>
      <c r="BK267" s="394">
        <v>1</v>
      </c>
      <c r="BL267" s="444" t="s">
        <v>6981</v>
      </c>
      <c r="BM267" s="392"/>
      <c r="BN267" s="393"/>
      <c r="BO267" s="393"/>
      <c r="BP267" s="399"/>
      <c r="BQ267" s="400"/>
      <c r="BR267" s="401"/>
      <c r="BS267" s="399"/>
      <c r="BT267" s="394"/>
      <c r="BU267" s="417">
        <v>0.62</v>
      </c>
      <c r="BV267" s="399">
        <v>50.817999999999998</v>
      </c>
      <c r="BW267" s="393" t="s">
        <v>3165</v>
      </c>
      <c r="BX267" s="392" t="s">
        <v>1450</v>
      </c>
      <c r="BY267" s="393"/>
      <c r="BZ267" s="393"/>
      <c r="CA267" s="441"/>
      <c r="CB267" s="400"/>
      <c r="CC267" s="398"/>
      <c r="CD267" s="398"/>
      <c r="CE267" s="398"/>
      <c r="CF267" s="398"/>
      <c r="CG267" s="398">
        <v>31.507000000000001</v>
      </c>
      <c r="CH267" s="398">
        <v>29.356999999999999</v>
      </c>
      <c r="CI267" s="398">
        <v>27.207000000000001</v>
      </c>
      <c r="CJ267" s="398">
        <v>25.058</v>
      </c>
      <c r="CK267" s="398">
        <v>22.908000000000001</v>
      </c>
      <c r="CL267" s="398">
        <v>20.757999999999999</v>
      </c>
      <c r="CM267" s="398">
        <v>18.608000000000001</v>
      </c>
      <c r="CN267" s="398">
        <v>0</v>
      </c>
      <c r="CO267" s="398">
        <v>0</v>
      </c>
      <c r="CP267" s="398">
        <v>0</v>
      </c>
      <c r="CQ267" s="398"/>
      <c r="CR267" s="398"/>
      <c r="CS267" s="398"/>
      <c r="CT267" s="398"/>
      <c r="CU267" s="398"/>
      <c r="CV267" s="398"/>
      <c r="CW267" s="398"/>
      <c r="CX267" s="398"/>
      <c r="CY267" s="398"/>
      <c r="CZ267" s="398"/>
      <c r="DA267" s="398"/>
      <c r="DB267" s="398"/>
      <c r="DC267" s="398"/>
      <c r="DD267" s="398"/>
      <c r="DE267" s="393"/>
      <c r="DF267" s="393"/>
      <c r="DG267" s="393"/>
      <c r="DH267" s="393"/>
      <c r="DI267" s="393"/>
      <c r="DJ267" s="393"/>
      <c r="DK267" s="897"/>
    </row>
    <row r="268" spans="1:115" ht="51" x14ac:dyDescent="0.2">
      <c r="A268" s="295">
        <v>264</v>
      </c>
      <c r="B268" s="390" t="s">
        <v>5675</v>
      </c>
      <c r="C268" s="390"/>
      <c r="D268" s="391" t="s">
        <v>5676</v>
      </c>
      <c r="E268" s="704" t="s">
        <v>5677</v>
      </c>
      <c r="F268" s="393" t="s">
        <v>1352</v>
      </c>
      <c r="G268" s="393" t="s">
        <v>1673</v>
      </c>
      <c r="H268" s="393" t="s">
        <v>67</v>
      </c>
      <c r="I268" s="392"/>
      <c r="J268" s="392"/>
      <c r="K268" s="392" t="s">
        <v>5678</v>
      </c>
      <c r="L268" s="392" t="s">
        <v>425</v>
      </c>
      <c r="M268" s="392"/>
      <c r="N268" s="393" t="s">
        <v>44</v>
      </c>
      <c r="O268" s="393" t="s">
        <v>51</v>
      </c>
      <c r="P268" s="393" t="s">
        <v>51</v>
      </c>
      <c r="Q268" s="392" t="s">
        <v>426</v>
      </c>
      <c r="R268" s="392" t="s">
        <v>5679</v>
      </c>
      <c r="S268" s="392" t="s">
        <v>427</v>
      </c>
      <c r="T268" s="394">
        <v>1</v>
      </c>
      <c r="U268" s="395">
        <v>13.351000000000001</v>
      </c>
      <c r="V268" s="395"/>
      <c r="W268" s="453"/>
      <c r="X268" s="394"/>
      <c r="Y268" s="394">
        <v>10</v>
      </c>
      <c r="Z268" s="394">
        <v>6</v>
      </c>
      <c r="AA268" s="395">
        <v>-3.76</v>
      </c>
      <c r="AB268" s="452">
        <v>41883</v>
      </c>
      <c r="AC268" s="398">
        <v>0</v>
      </c>
      <c r="AD268" s="398">
        <v>133.51000000000002</v>
      </c>
      <c r="AE268" s="393" t="s">
        <v>37</v>
      </c>
      <c r="AF268" s="417"/>
      <c r="AG268" s="417"/>
      <c r="AH268" s="417"/>
      <c r="AI268" s="394"/>
      <c r="AJ268" s="453"/>
      <c r="AK268" s="453"/>
      <c r="AL268" s="393"/>
      <c r="AM268" s="393"/>
      <c r="AN268" s="417"/>
      <c r="AO268" s="392"/>
      <c r="AP268" s="392"/>
      <c r="AQ268" s="392"/>
      <c r="AR268" s="392" t="s">
        <v>274</v>
      </c>
      <c r="AS268" s="479">
        <v>40176</v>
      </c>
      <c r="AT268" s="453"/>
      <c r="AU268" s="453"/>
      <c r="AV268" s="453"/>
      <c r="AW268" s="453"/>
      <c r="AX268" s="453"/>
      <c r="AY268" s="453"/>
      <c r="AZ268" s="452">
        <v>41608</v>
      </c>
      <c r="BA268" s="393"/>
      <c r="BB268" s="393"/>
      <c r="BC268" s="393" t="b">
        <v>0</v>
      </c>
      <c r="BD268" s="393"/>
      <c r="BE268" s="392"/>
      <c r="BF268" s="394">
        <v>10</v>
      </c>
      <c r="BG268" s="394">
        <v>9</v>
      </c>
      <c r="BH268" s="394">
        <v>8</v>
      </c>
      <c r="BI268" s="394">
        <v>5</v>
      </c>
      <c r="BJ268" s="394">
        <v>7</v>
      </c>
      <c r="BK268" s="394"/>
      <c r="BL268" s="444" t="s">
        <v>6981</v>
      </c>
      <c r="BM268" s="392"/>
      <c r="BN268" s="393"/>
      <c r="BO268" s="393"/>
      <c r="BP268" s="399"/>
      <c r="BQ268" s="400"/>
      <c r="BR268" s="401"/>
      <c r="BS268" s="399"/>
      <c r="BT268" s="394"/>
      <c r="BU268" s="417">
        <v>0.67</v>
      </c>
      <c r="BV268" s="399"/>
      <c r="BW268" s="393" t="s">
        <v>3165</v>
      </c>
      <c r="BX268" s="392" t="s">
        <v>1450</v>
      </c>
      <c r="BY268" s="393"/>
      <c r="BZ268" s="393"/>
      <c r="CA268" s="441"/>
      <c r="CB268" s="400"/>
      <c r="CC268" s="398"/>
      <c r="CD268" s="398"/>
      <c r="CE268" s="398"/>
      <c r="CF268" s="398"/>
      <c r="CG268" s="398"/>
      <c r="CH268" s="398"/>
      <c r="CI268" s="398"/>
      <c r="CJ268" s="398">
        <v>28.414999999999999</v>
      </c>
      <c r="CK268" s="398">
        <v>25.95</v>
      </c>
      <c r="CL268" s="398">
        <v>23.484000000000002</v>
      </c>
      <c r="CM268" s="398">
        <v>21.018999999999998</v>
      </c>
      <c r="CN268" s="398">
        <v>18.553000000000001</v>
      </c>
      <c r="CO268" s="398">
        <v>16.087</v>
      </c>
      <c r="CP268" s="398">
        <v>0</v>
      </c>
      <c r="CQ268" s="398">
        <v>0</v>
      </c>
      <c r="CR268" s="398">
        <v>0</v>
      </c>
      <c r="CS268" s="398">
        <v>0</v>
      </c>
      <c r="CT268" s="398"/>
      <c r="CU268" s="398"/>
      <c r="CV268" s="398"/>
      <c r="CW268" s="398"/>
      <c r="CX268" s="398"/>
      <c r="CY268" s="398"/>
      <c r="CZ268" s="398"/>
      <c r="DA268" s="398"/>
      <c r="DB268" s="398"/>
      <c r="DC268" s="398"/>
      <c r="DD268" s="398"/>
      <c r="DE268" s="393"/>
      <c r="DF268" s="393"/>
      <c r="DG268" s="393"/>
      <c r="DH268" s="393"/>
      <c r="DI268" s="393"/>
      <c r="DJ268" s="393"/>
      <c r="DK268" s="897"/>
    </row>
    <row r="269" spans="1:115" ht="51" x14ac:dyDescent="0.2">
      <c r="A269" s="295">
        <v>265</v>
      </c>
      <c r="B269" s="390" t="s">
        <v>5680</v>
      </c>
      <c r="C269" s="390"/>
      <c r="D269" s="391" t="s">
        <v>5681</v>
      </c>
      <c r="E269" s="704" t="s">
        <v>5682</v>
      </c>
      <c r="F269" s="393" t="s">
        <v>1352</v>
      </c>
      <c r="G269" s="393" t="s">
        <v>1673</v>
      </c>
      <c r="H269" s="393" t="s">
        <v>67</v>
      </c>
      <c r="I269" s="392"/>
      <c r="J269" s="392"/>
      <c r="K269" s="392" t="s">
        <v>5683</v>
      </c>
      <c r="L269" s="392" t="s">
        <v>425</v>
      </c>
      <c r="M269" s="392"/>
      <c r="N269" s="393" t="s">
        <v>44</v>
      </c>
      <c r="O269" s="393" t="s">
        <v>51</v>
      </c>
      <c r="P269" s="393" t="s">
        <v>51</v>
      </c>
      <c r="Q269" s="392" t="s">
        <v>426</v>
      </c>
      <c r="R269" s="392" t="s">
        <v>5679</v>
      </c>
      <c r="S269" s="392" t="s">
        <v>427</v>
      </c>
      <c r="T269" s="394">
        <v>1</v>
      </c>
      <c r="U269" s="395">
        <v>13.351000000000001</v>
      </c>
      <c r="V269" s="395"/>
      <c r="W269" s="453"/>
      <c r="X269" s="394"/>
      <c r="Y269" s="394">
        <v>10</v>
      </c>
      <c r="Z269" s="394">
        <v>6</v>
      </c>
      <c r="AA269" s="395">
        <v>-3.76</v>
      </c>
      <c r="AB269" s="452">
        <v>41883</v>
      </c>
      <c r="AC269" s="398">
        <v>0</v>
      </c>
      <c r="AD269" s="398">
        <v>133.51000000000002</v>
      </c>
      <c r="AE269" s="393" t="s">
        <v>37</v>
      </c>
      <c r="AF269" s="417"/>
      <c r="AG269" s="417"/>
      <c r="AH269" s="417"/>
      <c r="AI269" s="394"/>
      <c r="AJ269" s="453"/>
      <c r="AK269" s="453"/>
      <c r="AL269" s="393"/>
      <c r="AM269" s="393"/>
      <c r="AN269" s="417"/>
      <c r="AO269" s="392"/>
      <c r="AP269" s="392"/>
      <c r="AQ269" s="392"/>
      <c r="AR269" s="392" t="s">
        <v>274</v>
      </c>
      <c r="AS269" s="479">
        <v>40176</v>
      </c>
      <c r="AT269" s="453"/>
      <c r="AU269" s="453"/>
      <c r="AV269" s="453"/>
      <c r="AW269" s="453"/>
      <c r="AX269" s="453"/>
      <c r="AY269" s="453"/>
      <c r="AZ269" s="452">
        <v>41608</v>
      </c>
      <c r="BA269" s="393"/>
      <c r="BB269" s="393"/>
      <c r="BC269" s="393" t="b">
        <v>0</v>
      </c>
      <c r="BD269" s="393"/>
      <c r="BE269" s="392"/>
      <c r="BF269" s="394">
        <v>10</v>
      </c>
      <c r="BG269" s="394">
        <v>9</v>
      </c>
      <c r="BH269" s="394">
        <v>8</v>
      </c>
      <c r="BI269" s="394">
        <v>5</v>
      </c>
      <c r="BJ269" s="394">
        <v>7</v>
      </c>
      <c r="BK269" s="394"/>
      <c r="BL269" s="444" t="s">
        <v>6981</v>
      </c>
      <c r="BM269" s="392"/>
      <c r="BN269" s="393"/>
      <c r="BO269" s="393"/>
      <c r="BP269" s="399"/>
      <c r="BQ269" s="400"/>
      <c r="BR269" s="401"/>
      <c r="BS269" s="399"/>
      <c r="BT269" s="394"/>
      <c r="BU269" s="417">
        <v>0.67</v>
      </c>
      <c r="BV269" s="399"/>
      <c r="BW269" s="393" t="s">
        <v>3117</v>
      </c>
      <c r="BX269" s="392" t="s">
        <v>1450</v>
      </c>
      <c r="BY269" s="393"/>
      <c r="BZ269" s="393"/>
      <c r="CA269" s="441"/>
      <c r="CB269" s="400"/>
      <c r="CC269" s="398"/>
      <c r="CD269" s="398"/>
      <c r="CE269" s="398"/>
      <c r="CF269" s="398"/>
      <c r="CG269" s="398"/>
      <c r="CH269" s="398"/>
      <c r="CI269" s="398"/>
      <c r="CJ269" s="398">
        <v>28.414999999999999</v>
      </c>
      <c r="CK269" s="398">
        <v>25.95</v>
      </c>
      <c r="CL269" s="398">
        <v>23.484000000000002</v>
      </c>
      <c r="CM269" s="398">
        <v>21.018999999999998</v>
      </c>
      <c r="CN269" s="398">
        <v>18.553000000000001</v>
      </c>
      <c r="CO269" s="398">
        <v>16.087</v>
      </c>
      <c r="CP269" s="398">
        <v>0</v>
      </c>
      <c r="CQ269" s="398">
        <v>0</v>
      </c>
      <c r="CR269" s="398">
        <v>0</v>
      </c>
      <c r="CS269" s="398">
        <v>0</v>
      </c>
      <c r="CT269" s="398"/>
      <c r="CU269" s="398"/>
      <c r="CV269" s="398"/>
      <c r="CW269" s="398"/>
      <c r="CX269" s="398"/>
      <c r="CY269" s="398"/>
      <c r="CZ269" s="398"/>
      <c r="DA269" s="398"/>
      <c r="DB269" s="398"/>
      <c r="DC269" s="398"/>
      <c r="DD269" s="398"/>
      <c r="DE269" s="393"/>
      <c r="DF269" s="393"/>
      <c r="DG269" s="393"/>
      <c r="DH269" s="393"/>
      <c r="DI269" s="393"/>
      <c r="DJ269" s="393"/>
      <c r="DK269" s="897"/>
    </row>
    <row r="270" spans="1:115" ht="51" x14ac:dyDescent="0.2">
      <c r="A270" s="295">
        <v>266</v>
      </c>
      <c r="B270" s="390" t="s">
        <v>5684</v>
      </c>
      <c r="C270" s="390"/>
      <c r="D270" s="391" t="s">
        <v>5685</v>
      </c>
      <c r="E270" s="704" t="s">
        <v>5686</v>
      </c>
      <c r="F270" s="393" t="s">
        <v>1352</v>
      </c>
      <c r="G270" s="393" t="s">
        <v>1673</v>
      </c>
      <c r="H270" s="393" t="s">
        <v>67</v>
      </c>
      <c r="I270" s="392"/>
      <c r="J270" s="392"/>
      <c r="K270" s="392" t="s">
        <v>5687</v>
      </c>
      <c r="L270" s="392" t="s">
        <v>425</v>
      </c>
      <c r="M270" s="392"/>
      <c r="N270" s="393" t="s">
        <v>44</v>
      </c>
      <c r="O270" s="393" t="s">
        <v>51</v>
      </c>
      <c r="P270" s="393" t="s">
        <v>51</v>
      </c>
      <c r="Q270" s="392" t="s">
        <v>426</v>
      </c>
      <c r="R270" s="392" t="s">
        <v>5679</v>
      </c>
      <c r="S270" s="392" t="s">
        <v>427</v>
      </c>
      <c r="T270" s="394">
        <v>1</v>
      </c>
      <c r="U270" s="395">
        <v>13.351000000000001</v>
      </c>
      <c r="V270" s="395"/>
      <c r="W270" s="453"/>
      <c r="X270" s="394"/>
      <c r="Y270" s="394">
        <v>10</v>
      </c>
      <c r="Z270" s="394">
        <v>6</v>
      </c>
      <c r="AA270" s="395">
        <v>-3.76</v>
      </c>
      <c r="AB270" s="452">
        <v>41883</v>
      </c>
      <c r="AC270" s="398">
        <v>0</v>
      </c>
      <c r="AD270" s="398">
        <v>133.51000000000002</v>
      </c>
      <c r="AE270" s="393" t="s">
        <v>37</v>
      </c>
      <c r="AF270" s="417"/>
      <c r="AG270" s="417"/>
      <c r="AH270" s="417"/>
      <c r="AI270" s="394"/>
      <c r="AJ270" s="453"/>
      <c r="AK270" s="453"/>
      <c r="AL270" s="393"/>
      <c r="AM270" s="393"/>
      <c r="AN270" s="417"/>
      <c r="AO270" s="392"/>
      <c r="AP270" s="392"/>
      <c r="AQ270" s="392"/>
      <c r="AR270" s="392" t="s">
        <v>274</v>
      </c>
      <c r="AS270" s="479">
        <v>40176</v>
      </c>
      <c r="AT270" s="453"/>
      <c r="AU270" s="453"/>
      <c r="AV270" s="453"/>
      <c r="AW270" s="453"/>
      <c r="AX270" s="453"/>
      <c r="AY270" s="453"/>
      <c r="AZ270" s="452">
        <v>41608</v>
      </c>
      <c r="BA270" s="393"/>
      <c r="BB270" s="393"/>
      <c r="BC270" s="393" t="b">
        <v>0</v>
      </c>
      <c r="BD270" s="393"/>
      <c r="BE270" s="392"/>
      <c r="BF270" s="394">
        <v>10</v>
      </c>
      <c r="BG270" s="394">
        <v>9</v>
      </c>
      <c r="BH270" s="394">
        <v>8</v>
      </c>
      <c r="BI270" s="394">
        <v>5</v>
      </c>
      <c r="BJ270" s="394">
        <v>7</v>
      </c>
      <c r="BK270" s="394"/>
      <c r="BL270" s="444" t="s">
        <v>6981</v>
      </c>
      <c r="BM270" s="392"/>
      <c r="BN270" s="393"/>
      <c r="BO270" s="393"/>
      <c r="BP270" s="399"/>
      <c r="BQ270" s="400"/>
      <c r="BR270" s="401"/>
      <c r="BS270" s="399"/>
      <c r="BT270" s="394"/>
      <c r="BU270" s="417">
        <v>0.67</v>
      </c>
      <c r="BV270" s="399"/>
      <c r="BW270" s="393" t="s">
        <v>3165</v>
      </c>
      <c r="BX270" s="392" t="s">
        <v>1450</v>
      </c>
      <c r="BY270" s="393"/>
      <c r="BZ270" s="393"/>
      <c r="CA270" s="441"/>
      <c r="CB270" s="400"/>
      <c r="CC270" s="398"/>
      <c r="CD270" s="398"/>
      <c r="CE270" s="398"/>
      <c r="CF270" s="398"/>
      <c r="CG270" s="398"/>
      <c r="CH270" s="398"/>
      <c r="CI270" s="398"/>
      <c r="CJ270" s="398">
        <v>28.414999999999999</v>
      </c>
      <c r="CK270" s="398">
        <v>25.95</v>
      </c>
      <c r="CL270" s="398">
        <v>23.484000000000002</v>
      </c>
      <c r="CM270" s="398">
        <v>21.018999999999998</v>
      </c>
      <c r="CN270" s="398">
        <v>18.553000000000001</v>
      </c>
      <c r="CO270" s="398">
        <v>16.087</v>
      </c>
      <c r="CP270" s="398">
        <v>0</v>
      </c>
      <c r="CQ270" s="398">
        <v>0</v>
      </c>
      <c r="CR270" s="398">
        <v>0</v>
      </c>
      <c r="CS270" s="398">
        <v>0</v>
      </c>
      <c r="CT270" s="398"/>
      <c r="CU270" s="398"/>
      <c r="CV270" s="398"/>
      <c r="CW270" s="398"/>
      <c r="CX270" s="398"/>
      <c r="CY270" s="398"/>
      <c r="CZ270" s="398"/>
      <c r="DA270" s="398"/>
      <c r="DB270" s="398"/>
      <c r="DC270" s="398"/>
      <c r="DD270" s="398"/>
      <c r="DE270" s="393"/>
      <c r="DF270" s="393"/>
      <c r="DG270" s="393"/>
      <c r="DH270" s="393"/>
      <c r="DI270" s="393"/>
      <c r="DJ270" s="393"/>
      <c r="DK270" s="897"/>
    </row>
    <row r="271" spans="1:115" ht="51" x14ac:dyDescent="0.2">
      <c r="A271" s="295">
        <v>267</v>
      </c>
      <c r="B271" s="390" t="s">
        <v>5688</v>
      </c>
      <c r="C271" s="390"/>
      <c r="D271" s="391" t="s">
        <v>5689</v>
      </c>
      <c r="E271" s="704" t="s">
        <v>5690</v>
      </c>
      <c r="F271" s="393" t="s">
        <v>1352</v>
      </c>
      <c r="G271" s="393" t="s">
        <v>1673</v>
      </c>
      <c r="H271" s="393" t="s">
        <v>67</v>
      </c>
      <c r="I271" s="392"/>
      <c r="J271" s="392"/>
      <c r="K271" s="392" t="s">
        <v>5691</v>
      </c>
      <c r="L271" s="392" t="s">
        <v>425</v>
      </c>
      <c r="M271" s="392"/>
      <c r="N271" s="393" t="s">
        <v>44</v>
      </c>
      <c r="O271" s="393" t="s">
        <v>51</v>
      </c>
      <c r="P271" s="393" t="s">
        <v>51</v>
      </c>
      <c r="Q271" s="392" t="s">
        <v>426</v>
      </c>
      <c r="R271" s="392" t="s">
        <v>5679</v>
      </c>
      <c r="S271" s="392" t="s">
        <v>427</v>
      </c>
      <c r="T271" s="394">
        <v>1</v>
      </c>
      <c r="U271" s="395">
        <v>13.351000000000001</v>
      </c>
      <c r="V271" s="395"/>
      <c r="W271" s="453"/>
      <c r="X271" s="394"/>
      <c r="Y271" s="394">
        <v>10</v>
      </c>
      <c r="Z271" s="394">
        <v>6</v>
      </c>
      <c r="AA271" s="395">
        <v>-3.76</v>
      </c>
      <c r="AB271" s="452">
        <v>41883</v>
      </c>
      <c r="AC271" s="398">
        <v>0</v>
      </c>
      <c r="AD271" s="398">
        <v>133.51000000000002</v>
      </c>
      <c r="AE271" s="393" t="s">
        <v>37</v>
      </c>
      <c r="AF271" s="417"/>
      <c r="AG271" s="417"/>
      <c r="AH271" s="417"/>
      <c r="AI271" s="394"/>
      <c r="AJ271" s="453"/>
      <c r="AK271" s="453"/>
      <c r="AL271" s="393"/>
      <c r="AM271" s="393"/>
      <c r="AN271" s="417"/>
      <c r="AO271" s="392"/>
      <c r="AP271" s="392"/>
      <c r="AQ271" s="392"/>
      <c r="AR271" s="392" t="s">
        <v>274</v>
      </c>
      <c r="AS271" s="479">
        <v>40176</v>
      </c>
      <c r="AT271" s="453"/>
      <c r="AU271" s="453"/>
      <c r="AV271" s="453"/>
      <c r="AW271" s="453"/>
      <c r="AX271" s="453"/>
      <c r="AY271" s="453"/>
      <c r="AZ271" s="452">
        <v>41608</v>
      </c>
      <c r="BA271" s="393"/>
      <c r="BB271" s="393"/>
      <c r="BC271" s="393" t="b">
        <v>0</v>
      </c>
      <c r="BD271" s="393"/>
      <c r="BE271" s="392"/>
      <c r="BF271" s="394">
        <v>10</v>
      </c>
      <c r="BG271" s="394">
        <v>9</v>
      </c>
      <c r="BH271" s="394">
        <v>8</v>
      </c>
      <c r="BI271" s="394">
        <v>5</v>
      </c>
      <c r="BJ271" s="394">
        <v>7</v>
      </c>
      <c r="BK271" s="394"/>
      <c r="BL271" s="444" t="s">
        <v>6981</v>
      </c>
      <c r="BM271" s="392"/>
      <c r="BN271" s="393"/>
      <c r="BO271" s="393"/>
      <c r="BP271" s="399"/>
      <c r="BQ271" s="400"/>
      <c r="BR271" s="401"/>
      <c r="BS271" s="399"/>
      <c r="BT271" s="394"/>
      <c r="BU271" s="417">
        <v>0.67</v>
      </c>
      <c r="BV271" s="399"/>
      <c r="BW271" s="393" t="s">
        <v>3165</v>
      </c>
      <c r="BX271" s="392" t="s">
        <v>1450</v>
      </c>
      <c r="BY271" s="393"/>
      <c r="BZ271" s="393"/>
      <c r="CA271" s="441"/>
      <c r="CB271" s="400"/>
      <c r="CC271" s="398"/>
      <c r="CD271" s="398"/>
      <c r="CE271" s="398"/>
      <c r="CF271" s="398"/>
      <c r="CG271" s="398"/>
      <c r="CH271" s="398"/>
      <c r="CI271" s="398"/>
      <c r="CJ271" s="398">
        <v>28.414999999999999</v>
      </c>
      <c r="CK271" s="398">
        <v>25.95</v>
      </c>
      <c r="CL271" s="398">
        <v>23.484000000000002</v>
      </c>
      <c r="CM271" s="398">
        <v>21.018999999999998</v>
      </c>
      <c r="CN271" s="398">
        <v>18.553000000000001</v>
      </c>
      <c r="CO271" s="398">
        <v>16.087</v>
      </c>
      <c r="CP271" s="398">
        <v>0</v>
      </c>
      <c r="CQ271" s="398">
        <v>0</v>
      </c>
      <c r="CR271" s="398">
        <v>0</v>
      </c>
      <c r="CS271" s="398">
        <v>0</v>
      </c>
      <c r="CT271" s="398"/>
      <c r="CU271" s="398"/>
      <c r="CV271" s="398"/>
      <c r="CW271" s="398"/>
      <c r="CX271" s="398"/>
      <c r="CY271" s="398"/>
      <c r="CZ271" s="398"/>
      <c r="DA271" s="398"/>
      <c r="DB271" s="398"/>
      <c r="DC271" s="398"/>
      <c r="DD271" s="398"/>
      <c r="DE271" s="393"/>
      <c r="DF271" s="393"/>
      <c r="DG271" s="393"/>
      <c r="DH271" s="393"/>
      <c r="DI271" s="393"/>
      <c r="DJ271" s="393"/>
      <c r="DK271" s="897"/>
    </row>
    <row r="272" spans="1:115" ht="51" x14ac:dyDescent="0.2">
      <c r="A272" s="295">
        <v>268</v>
      </c>
      <c r="B272" s="390" t="s">
        <v>5692</v>
      </c>
      <c r="C272" s="390"/>
      <c r="D272" s="391" t="s">
        <v>5693</v>
      </c>
      <c r="E272" s="704" t="s">
        <v>5694</v>
      </c>
      <c r="F272" s="393" t="s">
        <v>1352</v>
      </c>
      <c r="G272" s="393" t="s">
        <v>1673</v>
      </c>
      <c r="H272" s="393" t="s">
        <v>67</v>
      </c>
      <c r="I272" s="392"/>
      <c r="J272" s="392"/>
      <c r="K272" s="392" t="s">
        <v>5695</v>
      </c>
      <c r="L272" s="392" t="s">
        <v>425</v>
      </c>
      <c r="M272" s="392"/>
      <c r="N272" s="393" t="s">
        <v>44</v>
      </c>
      <c r="O272" s="393" t="s">
        <v>51</v>
      </c>
      <c r="P272" s="393" t="s">
        <v>51</v>
      </c>
      <c r="Q272" s="392" t="s">
        <v>426</v>
      </c>
      <c r="R272" s="392" t="s">
        <v>5679</v>
      </c>
      <c r="S272" s="392" t="s">
        <v>427</v>
      </c>
      <c r="T272" s="394">
        <v>1</v>
      </c>
      <c r="U272" s="395">
        <v>13.351000000000001</v>
      </c>
      <c r="V272" s="395"/>
      <c r="W272" s="453"/>
      <c r="X272" s="394"/>
      <c r="Y272" s="394">
        <v>10</v>
      </c>
      <c r="Z272" s="394">
        <v>6</v>
      </c>
      <c r="AA272" s="395">
        <v>-3.76</v>
      </c>
      <c r="AB272" s="452">
        <v>41883</v>
      </c>
      <c r="AC272" s="398">
        <v>0</v>
      </c>
      <c r="AD272" s="398">
        <v>133.51000000000002</v>
      </c>
      <c r="AE272" s="393" t="s">
        <v>37</v>
      </c>
      <c r="AF272" s="417"/>
      <c r="AG272" s="417"/>
      <c r="AH272" s="417"/>
      <c r="AI272" s="394"/>
      <c r="AJ272" s="453"/>
      <c r="AK272" s="453"/>
      <c r="AL272" s="393"/>
      <c r="AM272" s="393"/>
      <c r="AN272" s="417"/>
      <c r="AO272" s="392"/>
      <c r="AP272" s="392"/>
      <c r="AQ272" s="392"/>
      <c r="AR272" s="392" t="s">
        <v>274</v>
      </c>
      <c r="AS272" s="479">
        <v>40176</v>
      </c>
      <c r="AT272" s="453"/>
      <c r="AU272" s="453"/>
      <c r="AV272" s="453"/>
      <c r="AW272" s="453"/>
      <c r="AX272" s="453"/>
      <c r="AY272" s="453"/>
      <c r="AZ272" s="452">
        <v>41608</v>
      </c>
      <c r="BA272" s="393"/>
      <c r="BB272" s="393"/>
      <c r="BC272" s="393" t="b">
        <v>0</v>
      </c>
      <c r="BD272" s="393"/>
      <c r="BE272" s="392"/>
      <c r="BF272" s="394">
        <v>10</v>
      </c>
      <c r="BG272" s="394">
        <v>9</v>
      </c>
      <c r="BH272" s="394">
        <v>8</v>
      </c>
      <c r="BI272" s="394">
        <v>5</v>
      </c>
      <c r="BJ272" s="394">
        <v>7</v>
      </c>
      <c r="BK272" s="394"/>
      <c r="BL272" s="444" t="s">
        <v>6981</v>
      </c>
      <c r="BM272" s="392"/>
      <c r="BN272" s="393"/>
      <c r="BO272" s="393"/>
      <c r="BP272" s="399"/>
      <c r="BQ272" s="400"/>
      <c r="BR272" s="401"/>
      <c r="BS272" s="399"/>
      <c r="BT272" s="394"/>
      <c r="BU272" s="417">
        <v>0.67</v>
      </c>
      <c r="BV272" s="399"/>
      <c r="BW272" s="393" t="s">
        <v>3165</v>
      </c>
      <c r="BX272" s="392" t="s">
        <v>1450</v>
      </c>
      <c r="BY272" s="393"/>
      <c r="BZ272" s="393"/>
      <c r="CA272" s="441"/>
      <c r="CB272" s="400"/>
      <c r="CC272" s="398"/>
      <c r="CD272" s="398"/>
      <c r="CE272" s="398"/>
      <c r="CF272" s="398"/>
      <c r="CG272" s="398"/>
      <c r="CH272" s="398"/>
      <c r="CI272" s="398"/>
      <c r="CJ272" s="398">
        <v>28.414999999999999</v>
      </c>
      <c r="CK272" s="398">
        <v>25.95</v>
      </c>
      <c r="CL272" s="398">
        <v>23.484000000000002</v>
      </c>
      <c r="CM272" s="398">
        <v>21.018999999999998</v>
      </c>
      <c r="CN272" s="398">
        <v>18.553000000000001</v>
      </c>
      <c r="CO272" s="398">
        <v>16.087</v>
      </c>
      <c r="CP272" s="398">
        <v>0</v>
      </c>
      <c r="CQ272" s="398">
        <v>0</v>
      </c>
      <c r="CR272" s="398">
        <v>0</v>
      </c>
      <c r="CS272" s="398">
        <v>0</v>
      </c>
      <c r="CT272" s="398"/>
      <c r="CU272" s="398"/>
      <c r="CV272" s="398"/>
      <c r="CW272" s="398"/>
      <c r="CX272" s="398"/>
      <c r="CY272" s="398"/>
      <c r="CZ272" s="398"/>
      <c r="DA272" s="398"/>
      <c r="DB272" s="398"/>
      <c r="DC272" s="398"/>
      <c r="DD272" s="398"/>
      <c r="DE272" s="393"/>
      <c r="DF272" s="393"/>
      <c r="DG272" s="393"/>
      <c r="DH272" s="393"/>
      <c r="DI272" s="393"/>
      <c r="DJ272" s="393"/>
      <c r="DK272" s="897"/>
    </row>
    <row r="273" spans="1:115" ht="51" x14ac:dyDescent="0.2">
      <c r="A273" s="295">
        <v>269</v>
      </c>
      <c r="B273" s="390" t="s">
        <v>5696</v>
      </c>
      <c r="C273" s="390"/>
      <c r="D273" s="391" t="s">
        <v>5697</v>
      </c>
      <c r="E273" s="704" t="s">
        <v>5698</v>
      </c>
      <c r="F273" s="393" t="s">
        <v>1352</v>
      </c>
      <c r="G273" s="393" t="s">
        <v>1673</v>
      </c>
      <c r="H273" s="393" t="s">
        <v>67</v>
      </c>
      <c r="I273" s="392"/>
      <c r="J273" s="392"/>
      <c r="K273" s="392" t="s">
        <v>3049</v>
      </c>
      <c r="L273" s="392" t="s">
        <v>425</v>
      </c>
      <c r="M273" s="392"/>
      <c r="N273" s="393" t="s">
        <v>44</v>
      </c>
      <c r="O273" s="393" t="s">
        <v>51</v>
      </c>
      <c r="P273" s="393" t="s">
        <v>51</v>
      </c>
      <c r="Q273" s="392" t="s">
        <v>426</v>
      </c>
      <c r="R273" s="392" t="s">
        <v>5679</v>
      </c>
      <c r="S273" s="392" t="s">
        <v>427</v>
      </c>
      <c r="T273" s="394">
        <v>1</v>
      </c>
      <c r="U273" s="395">
        <v>13.351000000000001</v>
      </c>
      <c r="V273" s="395"/>
      <c r="W273" s="453"/>
      <c r="X273" s="394"/>
      <c r="Y273" s="394">
        <v>10</v>
      </c>
      <c r="Z273" s="394">
        <v>6</v>
      </c>
      <c r="AA273" s="395">
        <v>-3.76</v>
      </c>
      <c r="AB273" s="452">
        <v>41883</v>
      </c>
      <c r="AC273" s="398">
        <v>0</v>
      </c>
      <c r="AD273" s="398">
        <v>133.51000000000002</v>
      </c>
      <c r="AE273" s="393" t="s">
        <v>37</v>
      </c>
      <c r="AF273" s="417"/>
      <c r="AG273" s="417"/>
      <c r="AH273" s="417"/>
      <c r="AI273" s="394"/>
      <c r="AJ273" s="453"/>
      <c r="AK273" s="453"/>
      <c r="AL273" s="393"/>
      <c r="AM273" s="393"/>
      <c r="AN273" s="417"/>
      <c r="AO273" s="392"/>
      <c r="AP273" s="392"/>
      <c r="AQ273" s="392"/>
      <c r="AR273" s="392" t="s">
        <v>274</v>
      </c>
      <c r="AS273" s="479">
        <v>40176</v>
      </c>
      <c r="AT273" s="453"/>
      <c r="AU273" s="453"/>
      <c r="AV273" s="453"/>
      <c r="AW273" s="453"/>
      <c r="AX273" s="453"/>
      <c r="AY273" s="453"/>
      <c r="AZ273" s="452">
        <v>41608</v>
      </c>
      <c r="BA273" s="393"/>
      <c r="BB273" s="393"/>
      <c r="BC273" s="393" t="b">
        <v>0</v>
      </c>
      <c r="BD273" s="393"/>
      <c r="BE273" s="392"/>
      <c r="BF273" s="394">
        <v>10</v>
      </c>
      <c r="BG273" s="394">
        <v>9</v>
      </c>
      <c r="BH273" s="394">
        <v>8</v>
      </c>
      <c r="BI273" s="394">
        <v>5</v>
      </c>
      <c r="BJ273" s="394">
        <v>7</v>
      </c>
      <c r="BK273" s="394"/>
      <c r="BL273" s="444" t="s">
        <v>6981</v>
      </c>
      <c r="BM273" s="392"/>
      <c r="BN273" s="393"/>
      <c r="BO273" s="393"/>
      <c r="BP273" s="399"/>
      <c r="BQ273" s="400"/>
      <c r="BR273" s="401"/>
      <c r="BS273" s="399"/>
      <c r="BT273" s="394"/>
      <c r="BU273" s="417">
        <v>0.67</v>
      </c>
      <c r="BV273" s="399"/>
      <c r="BW273" s="393" t="s">
        <v>3165</v>
      </c>
      <c r="BX273" s="392" t="s">
        <v>1450</v>
      </c>
      <c r="BY273" s="393"/>
      <c r="BZ273" s="393"/>
      <c r="CA273" s="441"/>
      <c r="CB273" s="400"/>
      <c r="CC273" s="398"/>
      <c r="CD273" s="398"/>
      <c r="CE273" s="398"/>
      <c r="CF273" s="398"/>
      <c r="CG273" s="398"/>
      <c r="CH273" s="398"/>
      <c r="CI273" s="398"/>
      <c r="CJ273" s="398">
        <v>28.414999999999999</v>
      </c>
      <c r="CK273" s="398">
        <v>25.95</v>
      </c>
      <c r="CL273" s="398">
        <v>23.484000000000002</v>
      </c>
      <c r="CM273" s="398">
        <v>21.018999999999998</v>
      </c>
      <c r="CN273" s="398">
        <v>18.553000000000001</v>
      </c>
      <c r="CO273" s="398">
        <v>16.087</v>
      </c>
      <c r="CP273" s="398">
        <v>0</v>
      </c>
      <c r="CQ273" s="398">
        <v>0</v>
      </c>
      <c r="CR273" s="398">
        <v>0</v>
      </c>
      <c r="CS273" s="398">
        <v>0</v>
      </c>
      <c r="CT273" s="398"/>
      <c r="CU273" s="398"/>
      <c r="CV273" s="398"/>
      <c r="CW273" s="398"/>
      <c r="CX273" s="398"/>
      <c r="CY273" s="398"/>
      <c r="CZ273" s="398"/>
      <c r="DA273" s="398"/>
      <c r="DB273" s="398"/>
      <c r="DC273" s="398"/>
      <c r="DD273" s="398"/>
      <c r="DE273" s="393"/>
      <c r="DF273" s="393"/>
      <c r="DG273" s="393"/>
      <c r="DH273" s="393"/>
      <c r="DI273" s="393"/>
      <c r="DJ273" s="393"/>
      <c r="DK273" s="897"/>
    </row>
    <row r="274" spans="1:115" ht="51" x14ac:dyDescent="0.2">
      <c r="A274" s="295">
        <v>270</v>
      </c>
      <c r="B274" s="390" t="s">
        <v>5699</v>
      </c>
      <c r="C274" s="390"/>
      <c r="D274" s="391" t="s">
        <v>5700</v>
      </c>
      <c r="E274" s="704" t="s">
        <v>5701</v>
      </c>
      <c r="F274" s="393" t="s">
        <v>1352</v>
      </c>
      <c r="G274" s="393" t="s">
        <v>1673</v>
      </c>
      <c r="H274" s="393" t="s">
        <v>67</v>
      </c>
      <c r="I274" s="392"/>
      <c r="J274" s="392"/>
      <c r="K274" s="392" t="s">
        <v>5702</v>
      </c>
      <c r="L274" s="392" t="s">
        <v>425</v>
      </c>
      <c r="M274" s="392"/>
      <c r="N274" s="393" t="s">
        <v>44</v>
      </c>
      <c r="O274" s="393" t="s">
        <v>51</v>
      </c>
      <c r="P274" s="393" t="s">
        <v>51</v>
      </c>
      <c r="Q274" s="392" t="s">
        <v>426</v>
      </c>
      <c r="R274" s="392" t="s">
        <v>5679</v>
      </c>
      <c r="S274" s="392" t="s">
        <v>427</v>
      </c>
      <c r="T274" s="394">
        <v>1</v>
      </c>
      <c r="U274" s="395">
        <v>13.351000000000001</v>
      </c>
      <c r="V274" s="395"/>
      <c r="W274" s="453"/>
      <c r="X274" s="394"/>
      <c r="Y274" s="394">
        <v>10</v>
      </c>
      <c r="Z274" s="394">
        <v>6</v>
      </c>
      <c r="AA274" s="395">
        <v>-3.76</v>
      </c>
      <c r="AB274" s="452">
        <v>41883</v>
      </c>
      <c r="AC274" s="398">
        <v>0</v>
      </c>
      <c r="AD274" s="398">
        <v>133.51000000000002</v>
      </c>
      <c r="AE274" s="393" t="s">
        <v>37</v>
      </c>
      <c r="AF274" s="417"/>
      <c r="AG274" s="417"/>
      <c r="AH274" s="417"/>
      <c r="AI274" s="394"/>
      <c r="AJ274" s="453"/>
      <c r="AK274" s="453"/>
      <c r="AL274" s="393"/>
      <c r="AM274" s="393"/>
      <c r="AN274" s="417"/>
      <c r="AO274" s="392"/>
      <c r="AP274" s="392"/>
      <c r="AQ274" s="392"/>
      <c r="AR274" s="392" t="s">
        <v>274</v>
      </c>
      <c r="AS274" s="479">
        <v>40176</v>
      </c>
      <c r="AT274" s="453"/>
      <c r="AU274" s="453"/>
      <c r="AV274" s="453"/>
      <c r="AW274" s="453"/>
      <c r="AX274" s="453"/>
      <c r="AY274" s="453"/>
      <c r="AZ274" s="452">
        <v>41608</v>
      </c>
      <c r="BA274" s="393"/>
      <c r="BB274" s="393"/>
      <c r="BC274" s="393" t="b">
        <v>0</v>
      </c>
      <c r="BD274" s="393"/>
      <c r="BE274" s="392"/>
      <c r="BF274" s="394">
        <v>10</v>
      </c>
      <c r="BG274" s="394">
        <v>9</v>
      </c>
      <c r="BH274" s="394">
        <v>8</v>
      </c>
      <c r="BI274" s="394">
        <v>5</v>
      </c>
      <c r="BJ274" s="394">
        <v>7</v>
      </c>
      <c r="BK274" s="394"/>
      <c r="BL274" s="444" t="s">
        <v>6981</v>
      </c>
      <c r="BM274" s="392"/>
      <c r="BN274" s="393"/>
      <c r="BO274" s="393"/>
      <c r="BP274" s="399"/>
      <c r="BQ274" s="400"/>
      <c r="BR274" s="401"/>
      <c r="BS274" s="399"/>
      <c r="BT274" s="394"/>
      <c r="BU274" s="417">
        <v>0.67</v>
      </c>
      <c r="BV274" s="399"/>
      <c r="BW274" s="393" t="s">
        <v>3165</v>
      </c>
      <c r="BX274" s="392" t="s">
        <v>1450</v>
      </c>
      <c r="BY274" s="393"/>
      <c r="BZ274" s="393"/>
      <c r="CA274" s="441"/>
      <c r="CB274" s="400"/>
      <c r="CC274" s="398"/>
      <c r="CD274" s="398"/>
      <c r="CE274" s="398"/>
      <c r="CF274" s="398"/>
      <c r="CG274" s="398"/>
      <c r="CH274" s="398"/>
      <c r="CI274" s="398"/>
      <c r="CJ274" s="398">
        <v>28.414999999999999</v>
      </c>
      <c r="CK274" s="398">
        <v>25.95</v>
      </c>
      <c r="CL274" s="398">
        <v>23.484000000000002</v>
      </c>
      <c r="CM274" s="398">
        <v>21.018999999999998</v>
      </c>
      <c r="CN274" s="398">
        <v>18.553000000000001</v>
      </c>
      <c r="CO274" s="398">
        <v>16.087</v>
      </c>
      <c r="CP274" s="398">
        <v>0</v>
      </c>
      <c r="CQ274" s="398">
        <v>0</v>
      </c>
      <c r="CR274" s="398">
        <v>0</v>
      </c>
      <c r="CS274" s="398">
        <v>0</v>
      </c>
      <c r="CT274" s="398"/>
      <c r="CU274" s="398"/>
      <c r="CV274" s="398"/>
      <c r="CW274" s="398"/>
      <c r="CX274" s="398"/>
      <c r="CY274" s="398"/>
      <c r="CZ274" s="398"/>
      <c r="DA274" s="398"/>
      <c r="DB274" s="398"/>
      <c r="DC274" s="398"/>
      <c r="DD274" s="398"/>
      <c r="DE274" s="393"/>
      <c r="DF274" s="393"/>
      <c r="DG274" s="393"/>
      <c r="DH274" s="393"/>
      <c r="DI274" s="393"/>
      <c r="DJ274" s="393"/>
      <c r="DK274" s="897"/>
    </row>
    <row r="275" spans="1:115" ht="51" x14ac:dyDescent="0.2">
      <c r="A275" s="295">
        <v>271</v>
      </c>
      <c r="B275" s="390" t="s">
        <v>5703</v>
      </c>
      <c r="C275" s="390"/>
      <c r="D275" s="391" t="s">
        <v>5704</v>
      </c>
      <c r="E275" s="704" t="s">
        <v>5705</v>
      </c>
      <c r="F275" s="393" t="s">
        <v>1352</v>
      </c>
      <c r="G275" s="393" t="s">
        <v>1673</v>
      </c>
      <c r="H275" s="393" t="s">
        <v>67</v>
      </c>
      <c r="I275" s="392"/>
      <c r="J275" s="392"/>
      <c r="K275" s="392" t="s">
        <v>5706</v>
      </c>
      <c r="L275" s="392" t="s">
        <v>425</v>
      </c>
      <c r="M275" s="392"/>
      <c r="N275" s="393" t="s">
        <v>44</v>
      </c>
      <c r="O275" s="393" t="s">
        <v>51</v>
      </c>
      <c r="P275" s="393" t="s">
        <v>51</v>
      </c>
      <c r="Q275" s="392" t="s">
        <v>426</v>
      </c>
      <c r="R275" s="392" t="s">
        <v>5679</v>
      </c>
      <c r="S275" s="392" t="s">
        <v>427</v>
      </c>
      <c r="T275" s="394">
        <v>1</v>
      </c>
      <c r="U275" s="395">
        <v>13.351000000000001</v>
      </c>
      <c r="V275" s="395"/>
      <c r="W275" s="453"/>
      <c r="X275" s="394"/>
      <c r="Y275" s="394">
        <v>10</v>
      </c>
      <c r="Z275" s="394">
        <v>6</v>
      </c>
      <c r="AA275" s="395">
        <v>-3.76</v>
      </c>
      <c r="AB275" s="452">
        <v>41883</v>
      </c>
      <c r="AC275" s="398">
        <v>0</v>
      </c>
      <c r="AD275" s="398">
        <v>133.51000000000002</v>
      </c>
      <c r="AE275" s="393" t="s">
        <v>37</v>
      </c>
      <c r="AF275" s="417"/>
      <c r="AG275" s="417"/>
      <c r="AH275" s="417"/>
      <c r="AI275" s="394"/>
      <c r="AJ275" s="453"/>
      <c r="AK275" s="453"/>
      <c r="AL275" s="393"/>
      <c r="AM275" s="393"/>
      <c r="AN275" s="417"/>
      <c r="AO275" s="392"/>
      <c r="AP275" s="392"/>
      <c r="AQ275" s="392"/>
      <c r="AR275" s="392" t="s">
        <v>274</v>
      </c>
      <c r="AS275" s="479">
        <v>40176</v>
      </c>
      <c r="AT275" s="453"/>
      <c r="AU275" s="453"/>
      <c r="AV275" s="453"/>
      <c r="AW275" s="453"/>
      <c r="AX275" s="453"/>
      <c r="AY275" s="453"/>
      <c r="AZ275" s="452">
        <v>41608</v>
      </c>
      <c r="BA275" s="393"/>
      <c r="BB275" s="393"/>
      <c r="BC275" s="393" t="b">
        <v>0</v>
      </c>
      <c r="BD275" s="393"/>
      <c r="BE275" s="392"/>
      <c r="BF275" s="394">
        <v>10</v>
      </c>
      <c r="BG275" s="394">
        <v>9</v>
      </c>
      <c r="BH275" s="394">
        <v>8</v>
      </c>
      <c r="BI275" s="394">
        <v>5</v>
      </c>
      <c r="BJ275" s="394">
        <v>7</v>
      </c>
      <c r="BK275" s="394"/>
      <c r="BL275" s="444" t="s">
        <v>6981</v>
      </c>
      <c r="BM275" s="392"/>
      <c r="BN275" s="393"/>
      <c r="BO275" s="393"/>
      <c r="BP275" s="399"/>
      <c r="BQ275" s="400"/>
      <c r="BR275" s="401"/>
      <c r="BS275" s="399"/>
      <c r="BT275" s="394"/>
      <c r="BU275" s="417">
        <v>0.67</v>
      </c>
      <c r="BV275" s="399"/>
      <c r="BW275" s="393" t="s">
        <v>3165</v>
      </c>
      <c r="BX275" s="392" t="s">
        <v>1450</v>
      </c>
      <c r="BY275" s="393"/>
      <c r="BZ275" s="393"/>
      <c r="CA275" s="441"/>
      <c r="CB275" s="400"/>
      <c r="CC275" s="398"/>
      <c r="CD275" s="398"/>
      <c r="CE275" s="398"/>
      <c r="CF275" s="398"/>
      <c r="CG275" s="398"/>
      <c r="CH275" s="398"/>
      <c r="CI275" s="398"/>
      <c r="CJ275" s="398">
        <v>28.414999999999999</v>
      </c>
      <c r="CK275" s="398">
        <v>25.95</v>
      </c>
      <c r="CL275" s="398">
        <v>23.484000000000002</v>
      </c>
      <c r="CM275" s="398">
        <v>21.018999999999998</v>
      </c>
      <c r="CN275" s="398">
        <v>18.553000000000001</v>
      </c>
      <c r="CO275" s="398">
        <v>16.087</v>
      </c>
      <c r="CP275" s="398">
        <v>0</v>
      </c>
      <c r="CQ275" s="398">
        <v>0</v>
      </c>
      <c r="CR275" s="398">
        <v>0</v>
      </c>
      <c r="CS275" s="398">
        <v>0</v>
      </c>
      <c r="CT275" s="398"/>
      <c r="CU275" s="398"/>
      <c r="CV275" s="398"/>
      <c r="CW275" s="398"/>
      <c r="CX275" s="398"/>
      <c r="CY275" s="398"/>
      <c r="CZ275" s="398"/>
      <c r="DA275" s="398"/>
      <c r="DB275" s="398"/>
      <c r="DC275" s="398"/>
      <c r="DD275" s="398"/>
      <c r="DE275" s="393"/>
      <c r="DF275" s="393"/>
      <c r="DG275" s="393"/>
      <c r="DH275" s="393"/>
      <c r="DI275" s="393"/>
      <c r="DJ275" s="393"/>
      <c r="DK275" s="897"/>
    </row>
    <row r="276" spans="1:115" ht="51" x14ac:dyDescent="0.2">
      <c r="A276" s="295">
        <v>272</v>
      </c>
      <c r="B276" s="390" t="s">
        <v>921</v>
      </c>
      <c r="C276" s="424" t="s">
        <v>7452</v>
      </c>
      <c r="D276" s="391"/>
      <c r="E276" s="707" t="s">
        <v>1943</v>
      </c>
      <c r="F276" s="404" t="s">
        <v>1352</v>
      </c>
      <c r="G276" s="404" t="s">
        <v>1673</v>
      </c>
      <c r="H276" s="404" t="s">
        <v>42</v>
      </c>
      <c r="I276" s="403"/>
      <c r="J276" s="403" t="s">
        <v>42</v>
      </c>
      <c r="K276" s="403"/>
      <c r="L276" s="403" t="s">
        <v>922</v>
      </c>
      <c r="M276" s="403" t="s">
        <v>3947</v>
      </c>
      <c r="N276" s="404" t="s">
        <v>3142</v>
      </c>
      <c r="O276" s="404" t="s">
        <v>827</v>
      </c>
      <c r="P276" s="404" t="s">
        <v>827</v>
      </c>
      <c r="Q276" s="403" t="s">
        <v>923</v>
      </c>
      <c r="R276" s="403" t="s">
        <v>5679</v>
      </c>
      <c r="S276" s="403" t="s">
        <v>46</v>
      </c>
      <c r="T276" s="405">
        <v>1</v>
      </c>
      <c r="U276" s="406">
        <v>59.747999999999998</v>
      </c>
      <c r="V276" s="406"/>
      <c r="W276" s="456">
        <v>39417</v>
      </c>
      <c r="X276" s="405">
        <v>28</v>
      </c>
      <c r="Y276" s="405"/>
      <c r="Z276" s="405"/>
      <c r="AA276" s="406"/>
      <c r="AB276" s="455"/>
      <c r="AC276" s="407">
        <v>149.37</v>
      </c>
      <c r="AD276" s="407">
        <v>597.48</v>
      </c>
      <c r="AE276" s="404" t="s">
        <v>37</v>
      </c>
      <c r="AF276" s="418"/>
      <c r="AG276" s="418"/>
      <c r="AH276" s="418">
        <v>0</v>
      </c>
      <c r="AI276" s="405"/>
      <c r="AJ276" s="455"/>
      <c r="AK276" s="455"/>
      <c r="AL276" s="404"/>
      <c r="AM276" s="404"/>
      <c r="AN276" s="418"/>
      <c r="AO276" s="403"/>
      <c r="AP276" s="403" t="s">
        <v>7051</v>
      </c>
      <c r="AQ276" s="403"/>
      <c r="AR276" s="403" t="s">
        <v>236</v>
      </c>
      <c r="AS276" s="482">
        <v>40176</v>
      </c>
      <c r="AT276" s="455"/>
      <c r="AU276" s="455"/>
      <c r="AV276" s="455"/>
      <c r="AW276" s="455"/>
      <c r="AX276" s="455"/>
      <c r="AY276" s="455"/>
      <c r="AZ276" s="455"/>
      <c r="BA276" s="404"/>
      <c r="BB276" s="404"/>
      <c r="BC276" s="404" t="b">
        <v>0</v>
      </c>
      <c r="BD276" s="404" t="s">
        <v>3147</v>
      </c>
      <c r="BE276" s="403"/>
      <c r="BF276" s="405">
        <v>4</v>
      </c>
      <c r="BG276" s="405">
        <v>12</v>
      </c>
      <c r="BH276" s="405">
        <v>1</v>
      </c>
      <c r="BI276" s="405">
        <v>5</v>
      </c>
      <c r="BJ276" s="405">
        <v>9</v>
      </c>
      <c r="BK276" s="405">
        <v>11</v>
      </c>
      <c r="BL276" s="446"/>
      <c r="BM276" s="403"/>
      <c r="BN276" s="404"/>
      <c r="BO276" s="404"/>
      <c r="BP276" s="408"/>
      <c r="BQ276" s="409"/>
      <c r="BR276" s="410"/>
      <c r="BS276" s="408">
        <v>0</v>
      </c>
      <c r="BT276" s="405"/>
      <c r="BU276" s="418">
        <v>0.67</v>
      </c>
      <c r="BV276" s="408"/>
      <c r="BW276" s="404"/>
      <c r="BX276" s="403" t="s">
        <v>1450</v>
      </c>
      <c r="BY276" s="404"/>
      <c r="BZ276" s="404"/>
      <c r="CA276" s="443"/>
      <c r="CB276" s="409"/>
      <c r="CC276" s="407"/>
      <c r="CD276" s="407"/>
      <c r="CE276" s="407"/>
      <c r="CF276" s="407"/>
      <c r="CG276" s="407"/>
      <c r="CH276" s="407"/>
      <c r="CI276" s="407"/>
      <c r="CJ276" s="407"/>
      <c r="CK276" s="407"/>
      <c r="CL276" s="407"/>
      <c r="CM276" s="407"/>
      <c r="CN276" s="407"/>
      <c r="CO276" s="407"/>
      <c r="CP276" s="407"/>
      <c r="CQ276" s="407"/>
      <c r="CR276" s="407"/>
      <c r="CS276" s="407"/>
      <c r="CT276" s="407"/>
      <c r="CU276" s="407"/>
      <c r="CV276" s="407"/>
      <c r="CW276" s="407"/>
      <c r="CX276" s="407"/>
      <c r="CY276" s="407"/>
      <c r="CZ276" s="407"/>
      <c r="DA276" s="407"/>
      <c r="DB276" s="407"/>
      <c r="DC276" s="407"/>
      <c r="DD276" s="407"/>
      <c r="DE276" s="404"/>
      <c r="DF276" s="404"/>
      <c r="DG276" s="404"/>
      <c r="DH276" s="404"/>
      <c r="DI276" s="404"/>
      <c r="DJ276" s="404"/>
      <c r="DK276" s="897"/>
    </row>
    <row r="277" spans="1:115" ht="51" x14ac:dyDescent="0.2">
      <c r="A277" s="295">
        <v>273</v>
      </c>
      <c r="B277" s="390" t="s">
        <v>2618</v>
      </c>
      <c r="C277" s="390"/>
      <c r="D277" s="391"/>
      <c r="E277" s="707" t="s">
        <v>924</v>
      </c>
      <c r="F277" s="404" t="s">
        <v>1352</v>
      </c>
      <c r="G277" s="404" t="s">
        <v>1673</v>
      </c>
      <c r="H277" s="404" t="s">
        <v>42</v>
      </c>
      <c r="I277" s="403"/>
      <c r="J277" s="403"/>
      <c r="K277" s="403" t="s">
        <v>42</v>
      </c>
      <c r="L277" s="403" t="s">
        <v>922</v>
      </c>
      <c r="M277" s="403"/>
      <c r="N277" s="404" t="s">
        <v>3142</v>
      </c>
      <c r="O277" s="404" t="s">
        <v>827</v>
      </c>
      <c r="P277" s="404" t="s">
        <v>827</v>
      </c>
      <c r="Q277" s="403" t="s">
        <v>923</v>
      </c>
      <c r="R277" s="403" t="s">
        <v>3948</v>
      </c>
      <c r="S277" s="403" t="s">
        <v>46</v>
      </c>
      <c r="T277" s="405">
        <v>1</v>
      </c>
      <c r="U277" s="406">
        <v>59.747999999999998</v>
      </c>
      <c r="V277" s="406"/>
      <c r="W277" s="455"/>
      <c r="X277" s="405"/>
      <c r="Y277" s="405">
        <v>10</v>
      </c>
      <c r="Z277" s="405">
        <v>15</v>
      </c>
      <c r="AA277" s="406">
        <v>0</v>
      </c>
      <c r="AB277" s="456">
        <v>40360</v>
      </c>
      <c r="AC277" s="407">
        <v>149.37</v>
      </c>
      <c r="AD277" s="407">
        <v>597.48</v>
      </c>
      <c r="AE277" s="404" t="s">
        <v>37</v>
      </c>
      <c r="AF277" s="418"/>
      <c r="AG277" s="418"/>
      <c r="AH277" s="418"/>
      <c r="AI277" s="405"/>
      <c r="AJ277" s="455"/>
      <c r="AK277" s="455"/>
      <c r="AL277" s="404"/>
      <c r="AM277" s="404"/>
      <c r="AN277" s="418"/>
      <c r="AO277" s="403"/>
      <c r="AP277" s="403" t="s">
        <v>7051</v>
      </c>
      <c r="AQ277" s="403"/>
      <c r="AR277" s="403" t="s">
        <v>236</v>
      </c>
      <c r="AS277" s="482">
        <v>40176</v>
      </c>
      <c r="AT277" s="455"/>
      <c r="AU277" s="455"/>
      <c r="AV277" s="455"/>
      <c r="AW277" s="455"/>
      <c r="AX277" s="455"/>
      <c r="AY277" s="455"/>
      <c r="AZ277" s="455"/>
      <c r="BA277" s="404"/>
      <c r="BB277" s="404"/>
      <c r="BC277" s="404" t="b">
        <v>0</v>
      </c>
      <c r="BD277" s="404"/>
      <c r="BE277" s="403"/>
      <c r="BF277" s="405">
        <v>4</v>
      </c>
      <c r="BG277" s="405">
        <v>12</v>
      </c>
      <c r="BH277" s="405">
        <v>1</v>
      </c>
      <c r="BI277" s="405">
        <v>5</v>
      </c>
      <c r="BJ277" s="405">
        <v>9</v>
      </c>
      <c r="BK277" s="405">
        <v>11</v>
      </c>
      <c r="BL277" s="446" t="s">
        <v>6981</v>
      </c>
      <c r="BM277" s="403"/>
      <c r="BN277" s="404"/>
      <c r="BO277" s="404"/>
      <c r="BP277" s="408"/>
      <c r="BQ277" s="409"/>
      <c r="BR277" s="410"/>
      <c r="BS277" s="408"/>
      <c r="BT277" s="405"/>
      <c r="BU277" s="418">
        <v>0.81</v>
      </c>
      <c r="BV277" s="408"/>
      <c r="BW277" s="404" t="s">
        <v>3117</v>
      </c>
      <c r="BX277" s="403" t="s">
        <v>3275</v>
      </c>
      <c r="BY277" s="404"/>
      <c r="BZ277" s="404"/>
      <c r="CA277" s="443"/>
      <c r="CB277" s="409"/>
      <c r="CC277" s="407"/>
      <c r="CD277" s="407"/>
      <c r="CE277" s="407"/>
      <c r="CF277" s="407">
        <v>29.873999999999999</v>
      </c>
      <c r="CG277" s="407">
        <v>59.747999999999998</v>
      </c>
      <c r="CH277" s="407">
        <v>59.747999999999998</v>
      </c>
      <c r="CI277" s="407">
        <v>59.747999999999998</v>
      </c>
      <c r="CJ277" s="407">
        <v>59.747999999999998</v>
      </c>
      <c r="CK277" s="407">
        <v>59.747999999999998</v>
      </c>
      <c r="CL277" s="407">
        <v>59.747999999999998</v>
      </c>
      <c r="CM277" s="407">
        <v>59.747999999999998</v>
      </c>
      <c r="CN277" s="407">
        <v>59.747999999999998</v>
      </c>
      <c r="CO277" s="407">
        <v>59.747999999999998</v>
      </c>
      <c r="CP277" s="407">
        <v>29.873999999999999</v>
      </c>
      <c r="CQ277" s="407"/>
      <c r="CR277" s="407"/>
      <c r="CS277" s="407"/>
      <c r="CT277" s="407"/>
      <c r="CU277" s="407"/>
      <c r="CV277" s="407"/>
      <c r="CW277" s="407"/>
      <c r="CX277" s="407"/>
      <c r="CY277" s="407"/>
      <c r="CZ277" s="407"/>
      <c r="DA277" s="407"/>
      <c r="DB277" s="407"/>
      <c r="DC277" s="407"/>
      <c r="DD277" s="407"/>
      <c r="DE277" s="404"/>
      <c r="DF277" s="404"/>
      <c r="DG277" s="404"/>
      <c r="DH277" s="404"/>
      <c r="DI277" s="404"/>
      <c r="DJ277" s="404"/>
      <c r="DK277" s="897"/>
    </row>
    <row r="278" spans="1:115" ht="51" x14ac:dyDescent="0.2">
      <c r="A278" s="295">
        <v>274</v>
      </c>
      <c r="B278" s="390" t="s">
        <v>1041</v>
      </c>
      <c r="C278" s="424" t="s">
        <v>7453</v>
      </c>
      <c r="D278" s="391" t="s">
        <v>5026</v>
      </c>
      <c r="E278" s="704" t="s">
        <v>1944</v>
      </c>
      <c r="F278" s="393" t="s">
        <v>1340</v>
      </c>
      <c r="G278" s="393" t="s">
        <v>1676</v>
      </c>
      <c r="H278" s="393" t="s">
        <v>58</v>
      </c>
      <c r="I278" s="392"/>
      <c r="J278" s="392" t="s">
        <v>58</v>
      </c>
      <c r="K278" s="392"/>
      <c r="L278" s="392" t="s">
        <v>1011</v>
      </c>
      <c r="M278" s="392" t="s">
        <v>3949</v>
      </c>
      <c r="N278" s="393" t="s">
        <v>44</v>
      </c>
      <c r="O278" s="393" t="s">
        <v>51</v>
      </c>
      <c r="P278" s="393" t="s">
        <v>51</v>
      </c>
      <c r="Q278" s="392" t="s">
        <v>976</v>
      </c>
      <c r="R278" s="392"/>
      <c r="S278" s="392" t="s">
        <v>977</v>
      </c>
      <c r="T278" s="394">
        <v>3</v>
      </c>
      <c r="U278" s="395">
        <v>120.268</v>
      </c>
      <c r="V278" s="395"/>
      <c r="W278" s="452">
        <v>40177</v>
      </c>
      <c r="X278" s="394">
        <v>28</v>
      </c>
      <c r="Y278" s="394"/>
      <c r="Z278" s="394"/>
      <c r="AA278" s="395"/>
      <c r="AB278" s="453"/>
      <c r="AC278" s="398">
        <v>0</v>
      </c>
      <c r="AD278" s="398">
        <v>514.13568767123297</v>
      </c>
      <c r="AE278" s="393" t="s">
        <v>37</v>
      </c>
      <c r="AF278" s="417">
        <f>+AF279</f>
        <v>0</v>
      </c>
      <c r="AG278" s="417">
        <f>+AG279</f>
        <v>19.05</v>
      </c>
      <c r="AH278" s="417">
        <v>19.05</v>
      </c>
      <c r="AI278" s="394">
        <v>1</v>
      </c>
      <c r="AJ278" s="452">
        <v>41983</v>
      </c>
      <c r="AK278" s="452">
        <v>41639</v>
      </c>
      <c r="AL278" s="393"/>
      <c r="AM278" s="393"/>
      <c r="AN278" s="417"/>
      <c r="AO278" s="392"/>
      <c r="AP278" s="428" t="s">
        <v>7054</v>
      </c>
      <c r="AQ278" s="392"/>
      <c r="AR278" s="392" t="s">
        <v>1012</v>
      </c>
      <c r="AS278" s="479">
        <v>40177</v>
      </c>
      <c r="AT278" s="453"/>
      <c r="AU278" s="453"/>
      <c r="AV278" s="452">
        <v>40786</v>
      </c>
      <c r="AW278" s="452">
        <v>41246</v>
      </c>
      <c r="AX278" s="452">
        <v>41293</v>
      </c>
      <c r="AY278" s="452">
        <v>41250</v>
      </c>
      <c r="AZ278" s="453"/>
      <c r="BA278" s="393"/>
      <c r="BB278" s="393" t="s">
        <v>3116</v>
      </c>
      <c r="BC278" s="393" t="b">
        <v>0</v>
      </c>
      <c r="BD278" s="393" t="s">
        <v>3147</v>
      </c>
      <c r="BE278" s="392"/>
      <c r="BF278" s="394">
        <v>4</v>
      </c>
      <c r="BG278" s="394">
        <v>1</v>
      </c>
      <c r="BH278" s="394">
        <v>6</v>
      </c>
      <c r="BI278" s="394">
        <v>8</v>
      </c>
      <c r="BJ278" s="394">
        <v>9</v>
      </c>
      <c r="BK278" s="394">
        <v>7</v>
      </c>
      <c r="BL278" s="444"/>
      <c r="BM278" s="392"/>
      <c r="BN278" s="393"/>
      <c r="BO278" s="393"/>
      <c r="BP278" s="399"/>
      <c r="BQ278" s="400"/>
      <c r="BR278" s="401"/>
      <c r="BS278" s="399">
        <v>0</v>
      </c>
      <c r="BT278" s="394"/>
      <c r="BU278" s="417"/>
      <c r="BV278" s="399"/>
      <c r="BW278" s="393"/>
      <c r="BX278" s="392"/>
      <c r="BY278" s="475" t="s">
        <v>7227</v>
      </c>
      <c r="BZ278" s="393"/>
      <c r="CA278" s="441"/>
      <c r="CB278" s="400"/>
      <c r="CC278" s="398"/>
      <c r="CD278" s="398"/>
      <c r="CE278" s="398"/>
      <c r="CF278" s="398"/>
      <c r="CG278" s="398"/>
      <c r="CH278" s="398"/>
      <c r="CI278" s="398"/>
      <c r="CJ278" s="398"/>
      <c r="CK278" s="398"/>
      <c r="CL278" s="398"/>
      <c r="CM278" s="398"/>
      <c r="CN278" s="398"/>
      <c r="CO278" s="398"/>
      <c r="CP278" s="398"/>
      <c r="CQ278" s="398"/>
      <c r="CR278" s="398"/>
      <c r="CS278" s="398"/>
      <c r="CT278" s="398"/>
      <c r="CU278" s="398"/>
      <c r="CV278" s="398"/>
      <c r="CW278" s="398"/>
      <c r="CX278" s="398"/>
      <c r="CY278" s="398"/>
      <c r="CZ278" s="398"/>
      <c r="DA278" s="398"/>
      <c r="DB278" s="398"/>
      <c r="DC278" s="398"/>
      <c r="DD278" s="398"/>
      <c r="DE278" s="393"/>
      <c r="DF278" s="393"/>
      <c r="DG278" s="393"/>
      <c r="DH278" s="393"/>
      <c r="DI278" s="393"/>
      <c r="DJ278" s="393"/>
      <c r="DK278" s="896" t="s">
        <v>9698</v>
      </c>
    </row>
    <row r="279" spans="1:115" ht="25.5" x14ac:dyDescent="0.2">
      <c r="A279" s="295">
        <v>275</v>
      </c>
      <c r="B279" s="390" t="s">
        <v>2619</v>
      </c>
      <c r="C279" s="390"/>
      <c r="D279" s="391" t="s">
        <v>4422</v>
      </c>
      <c r="E279" s="704" t="s">
        <v>1042</v>
      </c>
      <c r="F279" s="393" t="s">
        <v>1340</v>
      </c>
      <c r="G279" s="393" t="s">
        <v>1676</v>
      </c>
      <c r="H279" s="393" t="s">
        <v>58</v>
      </c>
      <c r="I279" s="392"/>
      <c r="J279" s="392"/>
      <c r="K279" s="392" t="s">
        <v>2135</v>
      </c>
      <c r="L279" s="392" t="s">
        <v>1011</v>
      </c>
      <c r="M279" s="392"/>
      <c r="N279" s="393" t="s">
        <v>44</v>
      </c>
      <c r="O279" s="393" t="s">
        <v>51</v>
      </c>
      <c r="P279" s="393" t="s">
        <v>51</v>
      </c>
      <c r="Q279" s="392" t="s">
        <v>976</v>
      </c>
      <c r="R279" s="428" t="s">
        <v>9632</v>
      </c>
      <c r="S279" s="392" t="s">
        <v>977</v>
      </c>
      <c r="T279" s="394">
        <v>1</v>
      </c>
      <c r="U279" s="395">
        <v>40.090000000000003</v>
      </c>
      <c r="V279" s="395"/>
      <c r="W279" s="453"/>
      <c r="X279" s="394"/>
      <c r="Y279" s="394">
        <v>7</v>
      </c>
      <c r="Z279" s="394">
        <v>7</v>
      </c>
      <c r="AA279" s="395">
        <v>0</v>
      </c>
      <c r="AB279" s="452">
        <v>41279</v>
      </c>
      <c r="AC279" s="398">
        <v>0</v>
      </c>
      <c r="AD279" s="398">
        <v>320.39049315068496</v>
      </c>
      <c r="AE279" s="393" t="s">
        <v>37</v>
      </c>
      <c r="AF279" s="417">
        <v>0</v>
      </c>
      <c r="AG279" s="417">
        <v>19.05</v>
      </c>
      <c r="AH279" s="417">
        <v>19.05</v>
      </c>
      <c r="AI279" s="394">
        <v>1</v>
      </c>
      <c r="AJ279" s="452">
        <v>41983</v>
      </c>
      <c r="AK279" s="452">
        <v>41639</v>
      </c>
      <c r="AL279" s="393"/>
      <c r="AM279" s="393"/>
      <c r="AN279" s="417"/>
      <c r="AO279" s="392"/>
      <c r="AP279" s="428" t="s">
        <v>7054</v>
      </c>
      <c r="AQ279" s="392"/>
      <c r="AR279" s="392" t="s">
        <v>1012</v>
      </c>
      <c r="AS279" s="479">
        <v>40177</v>
      </c>
      <c r="AT279" s="453"/>
      <c r="AU279" s="453"/>
      <c r="AV279" s="453"/>
      <c r="AW279" s="453"/>
      <c r="AX279" s="453"/>
      <c r="AY279" s="453"/>
      <c r="AZ279" s="452">
        <v>41250</v>
      </c>
      <c r="BA279" s="393"/>
      <c r="BB279" s="393"/>
      <c r="BC279" s="393" t="b">
        <v>0</v>
      </c>
      <c r="BD279" s="393"/>
      <c r="BE279" s="392"/>
      <c r="BF279" s="394">
        <v>4</v>
      </c>
      <c r="BG279" s="394">
        <v>1</v>
      </c>
      <c r="BH279" s="394">
        <v>6</v>
      </c>
      <c r="BI279" s="394">
        <v>8</v>
      </c>
      <c r="BJ279" s="394">
        <v>9</v>
      </c>
      <c r="BK279" s="394">
        <v>7</v>
      </c>
      <c r="BL279" s="444" t="s">
        <v>6986</v>
      </c>
      <c r="BM279" s="392"/>
      <c r="BN279" s="393"/>
      <c r="BO279" s="393"/>
      <c r="BP279" s="399"/>
      <c r="BQ279" s="400"/>
      <c r="BR279" s="401"/>
      <c r="BS279" s="399"/>
      <c r="BT279" s="394"/>
      <c r="BU279" s="417"/>
      <c r="BV279" s="399"/>
      <c r="BW279" s="393" t="s">
        <v>3117</v>
      </c>
      <c r="BX279" s="392" t="s">
        <v>3950</v>
      </c>
      <c r="BY279" s="475" t="s">
        <v>7227</v>
      </c>
      <c r="BZ279" s="393"/>
      <c r="CA279" s="441"/>
      <c r="CB279" s="400"/>
      <c r="CC279" s="398"/>
      <c r="CD279" s="398"/>
      <c r="CE279" s="398"/>
      <c r="CF279" s="398">
        <v>2.5</v>
      </c>
      <c r="CG279" s="398">
        <v>2.5</v>
      </c>
      <c r="CH279" s="398">
        <v>2.5</v>
      </c>
      <c r="CI279" s="398">
        <v>2.5</v>
      </c>
      <c r="CJ279" s="398">
        <v>2.5</v>
      </c>
      <c r="CK279" s="398">
        <v>2.5</v>
      </c>
      <c r="CL279" s="398">
        <v>2.5</v>
      </c>
      <c r="CM279" s="398">
        <v>2.5</v>
      </c>
      <c r="CN279" s="398">
        <v>2.5</v>
      </c>
      <c r="CO279" s="398">
        <v>2.5</v>
      </c>
      <c r="CP279" s="398">
        <v>2.5</v>
      </c>
      <c r="CQ279" s="398">
        <v>2.5</v>
      </c>
      <c r="CR279" s="398">
        <v>2.5</v>
      </c>
      <c r="CS279" s="398">
        <v>2.5</v>
      </c>
      <c r="CT279" s="398">
        <v>2.5</v>
      </c>
      <c r="CU279" s="398">
        <v>2.5</v>
      </c>
      <c r="CV279" s="398">
        <v>2.5</v>
      </c>
      <c r="CW279" s="398">
        <v>2.5</v>
      </c>
      <c r="CX279" s="398">
        <v>2.5</v>
      </c>
      <c r="CY279" s="398">
        <v>2.5</v>
      </c>
      <c r="CZ279" s="398">
        <v>2.5</v>
      </c>
      <c r="DA279" s="398"/>
      <c r="DB279" s="398"/>
      <c r="DC279" s="398"/>
      <c r="DD279" s="398"/>
      <c r="DE279" s="393"/>
      <c r="DF279" s="393"/>
      <c r="DG279" s="393"/>
      <c r="DH279" s="393"/>
      <c r="DI279" s="393"/>
      <c r="DJ279" s="393"/>
      <c r="DK279" s="897"/>
    </row>
    <row r="280" spans="1:115" ht="25.5" x14ac:dyDescent="0.2">
      <c r="A280" s="295">
        <v>276</v>
      </c>
      <c r="B280" s="390" t="s">
        <v>9624</v>
      </c>
      <c r="C280" s="390"/>
      <c r="D280" s="391" t="s">
        <v>9625</v>
      </c>
      <c r="E280" s="709" t="s">
        <v>9628</v>
      </c>
      <c r="F280" s="393" t="s">
        <v>1340</v>
      </c>
      <c r="G280" s="393" t="s">
        <v>1676</v>
      </c>
      <c r="H280" s="393" t="s">
        <v>58</v>
      </c>
      <c r="I280" s="563"/>
      <c r="J280" s="563"/>
      <c r="K280" s="560" t="s">
        <v>58</v>
      </c>
      <c r="L280" s="560" t="s">
        <v>9630</v>
      </c>
      <c r="M280" s="563"/>
      <c r="N280" s="562" t="s">
        <v>44</v>
      </c>
      <c r="O280" s="393" t="s">
        <v>51</v>
      </c>
      <c r="P280" s="393" t="s">
        <v>51</v>
      </c>
      <c r="Q280" s="392" t="s">
        <v>976</v>
      </c>
      <c r="R280" s="560" t="s">
        <v>9631</v>
      </c>
      <c r="S280" s="560" t="s">
        <v>977</v>
      </c>
      <c r="T280" s="564">
        <v>1</v>
      </c>
      <c r="U280" s="565">
        <v>40.088999999999999</v>
      </c>
      <c r="V280" s="565"/>
      <c r="W280" s="566"/>
      <c r="X280" s="564"/>
      <c r="Y280" s="564">
        <v>7</v>
      </c>
      <c r="Z280" s="564">
        <v>21</v>
      </c>
      <c r="AA280" s="565">
        <v>0</v>
      </c>
      <c r="AB280" s="567">
        <v>43314</v>
      </c>
      <c r="AC280" s="568">
        <v>0</v>
      </c>
      <c r="AD280" s="568">
        <v>96.872597260273977</v>
      </c>
      <c r="AE280" s="562" t="s">
        <v>37</v>
      </c>
      <c r="AF280" s="569"/>
      <c r="AG280" s="569"/>
      <c r="AH280" s="569"/>
      <c r="AI280" s="564"/>
      <c r="AJ280" s="567"/>
      <c r="AK280" s="567"/>
      <c r="AL280" s="561"/>
      <c r="AM280" s="561"/>
      <c r="AN280" s="569"/>
      <c r="AO280" s="563"/>
      <c r="AP280" s="428" t="s">
        <v>7054</v>
      </c>
      <c r="AQ280" s="563"/>
      <c r="AR280" s="560" t="s">
        <v>55</v>
      </c>
      <c r="AS280" s="578">
        <v>40177</v>
      </c>
      <c r="AT280" s="566"/>
      <c r="AU280" s="566"/>
      <c r="AV280" s="566"/>
      <c r="AW280" s="566"/>
      <c r="AX280" s="566"/>
      <c r="AY280" s="566"/>
      <c r="AZ280" s="567">
        <v>43308</v>
      </c>
      <c r="BA280" s="561"/>
      <c r="BB280" s="561"/>
      <c r="BC280" s="561" t="b">
        <v>0</v>
      </c>
      <c r="BD280" s="561"/>
      <c r="BE280" s="563"/>
      <c r="BF280" s="394">
        <v>4</v>
      </c>
      <c r="BG280" s="394">
        <v>1</v>
      </c>
      <c r="BH280" s="394">
        <v>6</v>
      </c>
      <c r="BI280" s="394">
        <v>8</v>
      </c>
      <c r="BJ280" s="394">
        <v>9</v>
      </c>
      <c r="BK280" s="394">
        <v>7</v>
      </c>
      <c r="BL280" s="444" t="s">
        <v>6986</v>
      </c>
      <c r="BM280" s="563"/>
      <c r="BN280" s="561"/>
      <c r="BO280" s="561"/>
      <c r="BP280" s="571"/>
      <c r="BQ280" s="572"/>
      <c r="BR280" s="573"/>
      <c r="BS280" s="571"/>
      <c r="BT280" s="564"/>
      <c r="BU280" s="569"/>
      <c r="BV280" s="571"/>
      <c r="BW280" s="562" t="s">
        <v>3117</v>
      </c>
      <c r="BX280" s="563"/>
      <c r="BY280" s="562" t="s">
        <v>7227</v>
      </c>
      <c r="BZ280" s="561"/>
      <c r="CA280" s="574"/>
      <c r="CB280" s="572"/>
      <c r="CC280" s="568"/>
      <c r="CD280" s="568"/>
      <c r="CE280" s="568"/>
      <c r="CF280" s="568"/>
      <c r="CG280" s="568"/>
      <c r="CH280" s="568"/>
      <c r="CI280" s="568"/>
      <c r="CJ280" s="568"/>
      <c r="CK280" s="568"/>
      <c r="CL280" s="568"/>
      <c r="CM280" s="568"/>
      <c r="CN280" s="568">
        <v>40.088999999999999</v>
      </c>
      <c r="CO280" s="568">
        <v>40.088999999999999</v>
      </c>
      <c r="CP280" s="568">
        <v>40.088999999999999</v>
      </c>
      <c r="CQ280" s="568">
        <v>40.088999999999999</v>
      </c>
      <c r="CR280" s="568">
        <v>40.088999999999999</v>
      </c>
      <c r="CS280" s="568">
        <v>40.088999999999999</v>
      </c>
      <c r="CT280" s="568">
        <v>40.088999999999999</v>
      </c>
      <c r="CU280" s="568"/>
      <c r="CV280" s="568"/>
      <c r="CW280" s="568"/>
      <c r="CX280" s="568"/>
      <c r="CY280" s="568"/>
      <c r="CZ280" s="568"/>
      <c r="DA280" s="568"/>
      <c r="DB280" s="568"/>
      <c r="DC280" s="568"/>
      <c r="DD280" s="568"/>
      <c r="DE280" s="561"/>
      <c r="DF280" s="561"/>
      <c r="DG280" s="561"/>
      <c r="DH280" s="561"/>
      <c r="DI280" s="561"/>
      <c r="DJ280" s="561"/>
      <c r="DK280" s="897"/>
    </row>
    <row r="281" spans="1:115" ht="25.5" x14ac:dyDescent="0.2">
      <c r="A281" s="295">
        <v>277</v>
      </c>
      <c r="B281" s="390" t="s">
        <v>9626</v>
      </c>
      <c r="C281" s="390"/>
      <c r="D281" s="391" t="s">
        <v>9627</v>
      </c>
      <c r="E281" s="709" t="s">
        <v>9629</v>
      </c>
      <c r="F281" s="393" t="s">
        <v>1340</v>
      </c>
      <c r="G281" s="393" t="s">
        <v>1676</v>
      </c>
      <c r="H281" s="393" t="s">
        <v>58</v>
      </c>
      <c r="I281" s="563"/>
      <c r="J281" s="563"/>
      <c r="K281" s="560" t="s">
        <v>58</v>
      </c>
      <c r="L281" s="560" t="s">
        <v>9630</v>
      </c>
      <c r="M281" s="563"/>
      <c r="N281" s="562" t="s">
        <v>44</v>
      </c>
      <c r="O281" s="393" t="s">
        <v>51</v>
      </c>
      <c r="P281" s="393" t="s">
        <v>51</v>
      </c>
      <c r="Q281" s="392" t="s">
        <v>976</v>
      </c>
      <c r="R281" s="560" t="s">
        <v>9631</v>
      </c>
      <c r="S281" s="560" t="s">
        <v>977</v>
      </c>
      <c r="T281" s="564">
        <v>1</v>
      </c>
      <c r="U281" s="565">
        <v>40.088999999999999</v>
      </c>
      <c r="V281" s="565"/>
      <c r="W281" s="566"/>
      <c r="X281" s="564"/>
      <c r="Y281" s="564">
        <v>7</v>
      </c>
      <c r="Z281" s="564">
        <v>21</v>
      </c>
      <c r="AA281" s="565">
        <v>0</v>
      </c>
      <c r="AB281" s="567">
        <v>43314</v>
      </c>
      <c r="AC281" s="568">
        <v>0</v>
      </c>
      <c r="AD281" s="568">
        <v>96.872597260273977</v>
      </c>
      <c r="AE281" s="562" t="s">
        <v>37</v>
      </c>
      <c r="AF281" s="569"/>
      <c r="AG281" s="569"/>
      <c r="AH281" s="569"/>
      <c r="AI281" s="564"/>
      <c r="AJ281" s="567"/>
      <c r="AK281" s="567"/>
      <c r="AL281" s="561"/>
      <c r="AM281" s="561"/>
      <c r="AN281" s="569"/>
      <c r="AO281" s="563"/>
      <c r="AP281" s="560" t="s">
        <v>7054</v>
      </c>
      <c r="AQ281" s="563"/>
      <c r="AR281" s="560" t="s">
        <v>55</v>
      </c>
      <c r="AS281" s="578">
        <v>40177</v>
      </c>
      <c r="AT281" s="566"/>
      <c r="AU281" s="566"/>
      <c r="AV281" s="566"/>
      <c r="AW281" s="566"/>
      <c r="AX281" s="566"/>
      <c r="AY281" s="566"/>
      <c r="AZ281" s="567">
        <v>43308</v>
      </c>
      <c r="BA281" s="561"/>
      <c r="BB281" s="561"/>
      <c r="BC281" s="561" t="b">
        <v>0</v>
      </c>
      <c r="BD281" s="561"/>
      <c r="BE281" s="563"/>
      <c r="BF281" s="394">
        <v>4</v>
      </c>
      <c r="BG281" s="394">
        <v>1</v>
      </c>
      <c r="BH281" s="394">
        <v>6</v>
      </c>
      <c r="BI281" s="394">
        <v>8</v>
      </c>
      <c r="BJ281" s="394">
        <v>9</v>
      </c>
      <c r="BK281" s="394">
        <v>7</v>
      </c>
      <c r="BL281" s="444" t="s">
        <v>6986</v>
      </c>
      <c r="BM281" s="563"/>
      <c r="BN281" s="561"/>
      <c r="BO281" s="561"/>
      <c r="BP281" s="571"/>
      <c r="BQ281" s="572"/>
      <c r="BR281" s="573"/>
      <c r="BS281" s="571"/>
      <c r="BT281" s="564"/>
      <c r="BU281" s="569"/>
      <c r="BV281" s="571"/>
      <c r="BW281" s="562" t="s">
        <v>3117</v>
      </c>
      <c r="BX281" s="563"/>
      <c r="BY281" s="562" t="s">
        <v>7227</v>
      </c>
      <c r="BZ281" s="561"/>
      <c r="CA281" s="574"/>
      <c r="CB281" s="572"/>
      <c r="CC281" s="568"/>
      <c r="CD281" s="568"/>
      <c r="CE281" s="568"/>
      <c r="CF281" s="568"/>
      <c r="CG281" s="568"/>
      <c r="CH281" s="568"/>
      <c r="CI281" s="568"/>
      <c r="CJ281" s="568"/>
      <c r="CK281" s="568"/>
      <c r="CL281" s="568"/>
      <c r="CM281" s="568"/>
      <c r="CN281" s="568">
        <v>40.088999999999999</v>
      </c>
      <c r="CO281" s="568">
        <v>40.088999999999999</v>
      </c>
      <c r="CP281" s="568">
        <v>40.088999999999999</v>
      </c>
      <c r="CQ281" s="568">
        <v>40.088999999999999</v>
      </c>
      <c r="CR281" s="568">
        <v>40.088999999999999</v>
      </c>
      <c r="CS281" s="568">
        <v>40.088999999999999</v>
      </c>
      <c r="CT281" s="568">
        <v>40.088999999999999</v>
      </c>
      <c r="CU281" s="568"/>
      <c r="CV281" s="568"/>
      <c r="CW281" s="568"/>
      <c r="CX281" s="568"/>
      <c r="CY281" s="568"/>
      <c r="CZ281" s="568"/>
      <c r="DA281" s="568"/>
      <c r="DB281" s="568"/>
      <c r="DC281" s="568"/>
      <c r="DD281" s="568"/>
      <c r="DE281" s="561"/>
      <c r="DF281" s="561"/>
      <c r="DG281" s="561"/>
      <c r="DH281" s="561"/>
      <c r="DI281" s="561"/>
      <c r="DJ281" s="561"/>
      <c r="DK281" s="897"/>
    </row>
    <row r="282" spans="1:115" ht="51" x14ac:dyDescent="0.2">
      <c r="A282" s="295">
        <v>278</v>
      </c>
      <c r="B282" s="390" t="s">
        <v>175</v>
      </c>
      <c r="C282" s="424" t="s">
        <v>7454</v>
      </c>
      <c r="D282" s="391" t="s">
        <v>5027</v>
      </c>
      <c r="E282" s="704" t="s">
        <v>176</v>
      </c>
      <c r="F282" s="393" t="s">
        <v>1352</v>
      </c>
      <c r="G282" s="393" t="s">
        <v>1671</v>
      </c>
      <c r="H282" s="393" t="s">
        <v>117</v>
      </c>
      <c r="I282" s="392"/>
      <c r="J282" s="392" t="s">
        <v>177</v>
      </c>
      <c r="K282" s="392"/>
      <c r="L282" s="392" t="s">
        <v>178</v>
      </c>
      <c r="M282" s="392" t="s">
        <v>3951</v>
      </c>
      <c r="N282" s="393" t="s">
        <v>44</v>
      </c>
      <c r="O282" s="393" t="s">
        <v>69</v>
      </c>
      <c r="P282" s="393" t="s">
        <v>69</v>
      </c>
      <c r="Q282" s="392" t="s">
        <v>172</v>
      </c>
      <c r="R282" s="392"/>
      <c r="S282" s="392" t="s">
        <v>46</v>
      </c>
      <c r="T282" s="394">
        <v>1</v>
      </c>
      <c r="U282" s="395">
        <v>0.46500000000000002</v>
      </c>
      <c r="V282" s="395"/>
      <c r="W282" s="452">
        <v>39264</v>
      </c>
      <c r="X282" s="394">
        <v>28</v>
      </c>
      <c r="Y282" s="394"/>
      <c r="Z282" s="394"/>
      <c r="AA282" s="395"/>
      <c r="AB282" s="453"/>
      <c r="AC282" s="398">
        <v>0</v>
      </c>
      <c r="AD282" s="398">
        <v>4.6500000000000004</v>
      </c>
      <c r="AE282" s="393" t="s">
        <v>37</v>
      </c>
      <c r="AF282" s="417"/>
      <c r="AG282" s="417"/>
      <c r="AH282" s="417">
        <v>0</v>
      </c>
      <c r="AI282" s="394"/>
      <c r="AJ282" s="453"/>
      <c r="AK282" s="453"/>
      <c r="AL282" s="393"/>
      <c r="AM282" s="393"/>
      <c r="AN282" s="417"/>
      <c r="AO282" s="392"/>
      <c r="AP282" s="392" t="s">
        <v>7052</v>
      </c>
      <c r="AQ282" s="392"/>
      <c r="AR282" s="392" t="s">
        <v>3820</v>
      </c>
      <c r="AS282" s="479">
        <v>40177</v>
      </c>
      <c r="AT282" s="453"/>
      <c r="AU282" s="453"/>
      <c r="AV282" s="452">
        <v>40360</v>
      </c>
      <c r="AW282" s="452">
        <v>41274</v>
      </c>
      <c r="AX282" s="452">
        <v>41450</v>
      </c>
      <c r="AY282" s="452">
        <v>41274</v>
      </c>
      <c r="AZ282" s="453"/>
      <c r="BA282" s="393"/>
      <c r="BB282" s="393" t="s">
        <v>3116</v>
      </c>
      <c r="BC282" s="393" t="b">
        <v>1</v>
      </c>
      <c r="BD282" s="393" t="s">
        <v>3116</v>
      </c>
      <c r="BE282" s="392"/>
      <c r="BF282" s="394">
        <v>1</v>
      </c>
      <c r="BG282" s="394">
        <v>6</v>
      </c>
      <c r="BH282" s="394">
        <v>8</v>
      </c>
      <c r="BI282" s="394">
        <v>5</v>
      </c>
      <c r="BJ282" s="394">
        <v>9</v>
      </c>
      <c r="BK282" s="394">
        <v>11</v>
      </c>
      <c r="BL282" s="444"/>
      <c r="BM282" s="392"/>
      <c r="BN282" s="393"/>
      <c r="BO282" s="393"/>
      <c r="BP282" s="399"/>
      <c r="BQ282" s="400"/>
      <c r="BR282" s="401"/>
      <c r="BS282" s="399">
        <v>0</v>
      </c>
      <c r="BT282" s="394"/>
      <c r="BU282" s="417"/>
      <c r="BV282" s="399"/>
      <c r="BW282" s="393"/>
      <c r="BX282" s="392"/>
      <c r="BY282" s="475" t="s">
        <v>7227</v>
      </c>
      <c r="BZ282" s="393"/>
      <c r="CA282" s="441"/>
      <c r="CB282" s="400"/>
      <c r="CC282" s="398"/>
      <c r="CD282" s="398"/>
      <c r="CE282" s="398"/>
      <c r="CF282" s="398"/>
      <c r="CG282" s="398"/>
      <c r="CH282" s="398"/>
      <c r="CI282" s="398"/>
      <c r="CJ282" s="398"/>
      <c r="CK282" s="398"/>
      <c r="CL282" s="398"/>
      <c r="CM282" s="398"/>
      <c r="CN282" s="398"/>
      <c r="CO282" s="398"/>
      <c r="CP282" s="398"/>
      <c r="CQ282" s="398"/>
      <c r="CR282" s="398"/>
      <c r="CS282" s="398"/>
      <c r="CT282" s="398"/>
      <c r="CU282" s="398"/>
      <c r="CV282" s="398"/>
      <c r="CW282" s="398"/>
      <c r="CX282" s="398"/>
      <c r="CY282" s="398"/>
      <c r="CZ282" s="398"/>
      <c r="DA282" s="398"/>
      <c r="DB282" s="398"/>
      <c r="DC282" s="398"/>
      <c r="DD282" s="398"/>
      <c r="DE282" s="393"/>
      <c r="DF282" s="393"/>
      <c r="DG282" s="393"/>
      <c r="DH282" s="393"/>
      <c r="DI282" s="393"/>
      <c r="DJ282" s="393"/>
      <c r="DK282" s="896" t="s">
        <v>9700</v>
      </c>
    </row>
    <row r="283" spans="1:115" ht="38.25" x14ac:dyDescent="0.2">
      <c r="A283" s="295">
        <v>279</v>
      </c>
      <c r="B283" s="390" t="s">
        <v>2620</v>
      </c>
      <c r="C283" s="390"/>
      <c r="D283" s="391" t="s">
        <v>5028</v>
      </c>
      <c r="E283" s="704" t="s">
        <v>179</v>
      </c>
      <c r="F283" s="393" t="s">
        <v>1352</v>
      </c>
      <c r="G283" s="393" t="s">
        <v>1671</v>
      </c>
      <c r="H283" s="393" t="s">
        <v>117</v>
      </c>
      <c r="I283" s="392"/>
      <c r="J283" s="392"/>
      <c r="K283" s="392" t="s">
        <v>180</v>
      </c>
      <c r="L283" s="392" t="s">
        <v>178</v>
      </c>
      <c r="M283" s="392"/>
      <c r="N283" s="393" t="s">
        <v>44</v>
      </c>
      <c r="O283" s="393" t="s">
        <v>69</v>
      </c>
      <c r="P283" s="393" t="s">
        <v>69</v>
      </c>
      <c r="Q283" s="392" t="s">
        <v>172</v>
      </c>
      <c r="R283" s="392" t="s">
        <v>3952</v>
      </c>
      <c r="S283" s="392" t="s">
        <v>46</v>
      </c>
      <c r="T283" s="394">
        <v>1</v>
      </c>
      <c r="U283" s="395">
        <v>0.46500000000000002</v>
      </c>
      <c r="V283" s="395"/>
      <c r="W283" s="453"/>
      <c r="X283" s="394"/>
      <c r="Y283" s="394">
        <v>10</v>
      </c>
      <c r="Z283" s="394">
        <v>10</v>
      </c>
      <c r="AA283" s="395">
        <v>0</v>
      </c>
      <c r="AB283" s="452">
        <v>41275</v>
      </c>
      <c r="AC283" s="398">
        <v>0</v>
      </c>
      <c r="AD283" s="398">
        <v>4.6500000000000004</v>
      </c>
      <c r="AE283" s="393" t="s">
        <v>37</v>
      </c>
      <c r="AF283" s="417"/>
      <c r="AG283" s="417"/>
      <c r="AH283" s="417"/>
      <c r="AI283" s="394"/>
      <c r="AJ283" s="453"/>
      <c r="AK283" s="453"/>
      <c r="AL283" s="393"/>
      <c r="AM283" s="393"/>
      <c r="AN283" s="417"/>
      <c r="AO283" s="392"/>
      <c r="AP283" s="392" t="s">
        <v>7052</v>
      </c>
      <c r="AQ283" s="392"/>
      <c r="AR283" s="392" t="s">
        <v>3820</v>
      </c>
      <c r="AS283" s="479">
        <v>40177</v>
      </c>
      <c r="AT283" s="453"/>
      <c r="AU283" s="453"/>
      <c r="AV283" s="453"/>
      <c r="AW283" s="453"/>
      <c r="AX283" s="453"/>
      <c r="AY283" s="453"/>
      <c r="AZ283" s="452">
        <v>41274</v>
      </c>
      <c r="BA283" s="393"/>
      <c r="BB283" s="393"/>
      <c r="BC283" s="393" t="b">
        <v>0</v>
      </c>
      <c r="BD283" s="393"/>
      <c r="BE283" s="392"/>
      <c r="BF283" s="394">
        <v>1</v>
      </c>
      <c r="BG283" s="394">
        <v>6</v>
      </c>
      <c r="BH283" s="394">
        <v>8</v>
      </c>
      <c r="BI283" s="394">
        <v>5</v>
      </c>
      <c r="BJ283" s="394">
        <v>9</v>
      </c>
      <c r="BK283" s="394">
        <v>11</v>
      </c>
      <c r="BL283" s="444" t="s">
        <v>6981</v>
      </c>
      <c r="BM283" s="392"/>
      <c r="BN283" s="393"/>
      <c r="BO283" s="393"/>
      <c r="BP283" s="399"/>
      <c r="BQ283" s="400"/>
      <c r="BR283" s="401"/>
      <c r="BS283" s="399"/>
      <c r="BT283" s="394"/>
      <c r="BU283" s="417"/>
      <c r="BV283" s="399"/>
      <c r="BW283" s="393" t="s">
        <v>3117</v>
      </c>
      <c r="BX283" s="392" t="s">
        <v>3154</v>
      </c>
      <c r="BY283" s="475" t="s">
        <v>7227</v>
      </c>
      <c r="BZ283" s="393"/>
      <c r="CA283" s="441"/>
      <c r="CB283" s="400"/>
      <c r="CC283" s="398"/>
      <c r="CD283" s="398"/>
      <c r="CE283" s="398"/>
      <c r="CF283" s="398"/>
      <c r="CG283" s="398"/>
      <c r="CH283" s="398"/>
      <c r="CI283" s="398">
        <v>0.46500000000000002</v>
      </c>
      <c r="CJ283" s="398">
        <v>0.46500000000000002</v>
      </c>
      <c r="CK283" s="398">
        <v>0.46500000000000002</v>
      </c>
      <c r="CL283" s="398">
        <v>0.46500000000000002</v>
      </c>
      <c r="CM283" s="398">
        <v>0.46500000000000002</v>
      </c>
      <c r="CN283" s="398">
        <v>0.46500000000000002</v>
      </c>
      <c r="CO283" s="398">
        <v>0.46500000000000002</v>
      </c>
      <c r="CP283" s="398">
        <v>0.46500000000000002</v>
      </c>
      <c r="CQ283" s="398">
        <v>0.46500000000000002</v>
      </c>
      <c r="CR283" s="398">
        <v>0.46500000000000002</v>
      </c>
      <c r="CS283" s="398"/>
      <c r="CT283" s="398"/>
      <c r="CU283" s="398"/>
      <c r="CV283" s="398"/>
      <c r="CW283" s="398"/>
      <c r="CX283" s="398"/>
      <c r="CY283" s="398"/>
      <c r="CZ283" s="398"/>
      <c r="DA283" s="398"/>
      <c r="DB283" s="398"/>
      <c r="DC283" s="398"/>
      <c r="DD283" s="398"/>
      <c r="DE283" s="393"/>
      <c r="DF283" s="393"/>
      <c r="DG283" s="393"/>
      <c r="DH283" s="393"/>
      <c r="DI283" s="393"/>
      <c r="DJ283" s="393"/>
      <c r="DK283" s="897"/>
    </row>
    <row r="284" spans="1:115" ht="63.75" x14ac:dyDescent="0.2">
      <c r="A284" s="295">
        <v>280</v>
      </c>
      <c r="B284" s="390" t="s">
        <v>1196</v>
      </c>
      <c r="C284" s="424" t="s">
        <v>7455</v>
      </c>
      <c r="D284" s="391" t="s">
        <v>5029</v>
      </c>
      <c r="E284" s="704" t="s">
        <v>1945</v>
      </c>
      <c r="F284" s="393" t="s">
        <v>1352</v>
      </c>
      <c r="G284" s="393" t="s">
        <v>1672</v>
      </c>
      <c r="H284" s="393" t="s">
        <v>89</v>
      </c>
      <c r="I284" s="392"/>
      <c r="J284" s="392" t="s">
        <v>89</v>
      </c>
      <c r="K284" s="392"/>
      <c r="L284" s="392" t="s">
        <v>1197</v>
      </c>
      <c r="M284" s="392" t="s">
        <v>3953</v>
      </c>
      <c r="N284" s="393" t="s">
        <v>44</v>
      </c>
      <c r="O284" s="393" t="s">
        <v>5030</v>
      </c>
      <c r="P284" s="393" t="s">
        <v>5030</v>
      </c>
      <c r="Q284" s="392" t="s">
        <v>721</v>
      </c>
      <c r="R284" s="392"/>
      <c r="S284" s="392" t="s">
        <v>650</v>
      </c>
      <c r="T284" s="394">
        <v>18</v>
      </c>
      <c r="U284" s="395">
        <v>517.79299999999989</v>
      </c>
      <c r="V284" s="395"/>
      <c r="W284" s="452">
        <v>41177</v>
      </c>
      <c r="X284" s="394">
        <v>28</v>
      </c>
      <c r="Y284" s="394"/>
      <c r="Z284" s="394"/>
      <c r="AA284" s="395"/>
      <c r="AB284" s="453"/>
      <c r="AC284" s="398">
        <v>0</v>
      </c>
      <c r="AD284" s="398">
        <v>2364.7149698630133</v>
      </c>
      <c r="AE284" s="393" t="s">
        <v>225</v>
      </c>
      <c r="AF284" s="417">
        <f>SUM(AF285:AF293)</f>
        <v>0</v>
      </c>
      <c r="AG284" s="417">
        <f>SUM(AG285:AG293)</f>
        <v>427.23900000000003</v>
      </c>
      <c r="AH284" s="417">
        <v>427.23900000000003</v>
      </c>
      <c r="AI284" s="394">
        <v>1</v>
      </c>
      <c r="AJ284" s="452">
        <v>42017</v>
      </c>
      <c r="AK284" s="453">
        <v>42735</v>
      </c>
      <c r="AL284" s="393"/>
      <c r="AM284" s="393"/>
      <c r="AN284" s="417"/>
      <c r="AO284" s="428" t="s">
        <v>47</v>
      </c>
      <c r="AP284" s="428" t="s">
        <v>8175</v>
      </c>
      <c r="AQ284" s="392"/>
      <c r="AR284" s="392" t="s">
        <v>3771</v>
      </c>
      <c r="AS284" s="479">
        <v>40177</v>
      </c>
      <c r="AT284" s="453"/>
      <c r="AU284" s="453"/>
      <c r="AV284" s="452">
        <v>40584</v>
      </c>
      <c r="AW284" s="452">
        <v>41262</v>
      </c>
      <c r="AX284" s="453"/>
      <c r="AY284" s="452">
        <v>41262</v>
      </c>
      <c r="AZ284" s="453"/>
      <c r="BA284" s="393"/>
      <c r="BB284" s="393" t="s">
        <v>3147</v>
      </c>
      <c r="BC284" s="393" t="b">
        <v>0</v>
      </c>
      <c r="BD284" s="393" t="s">
        <v>3147</v>
      </c>
      <c r="BE284" s="392"/>
      <c r="BF284" s="394">
        <v>12</v>
      </c>
      <c r="BG284" s="394">
        <v>1</v>
      </c>
      <c r="BH284" s="394">
        <v>5</v>
      </c>
      <c r="BI284" s="394">
        <v>9</v>
      </c>
      <c r="BJ284" s="394">
        <v>6</v>
      </c>
      <c r="BK284" s="394">
        <v>3</v>
      </c>
      <c r="BL284" s="444"/>
      <c r="BM284" s="392"/>
      <c r="BN284" s="393"/>
      <c r="BO284" s="393"/>
      <c r="BP284" s="399"/>
      <c r="BQ284" s="400"/>
      <c r="BR284" s="401"/>
      <c r="BS284" s="399">
        <v>220.45</v>
      </c>
      <c r="BT284" s="394"/>
      <c r="BU284" s="417"/>
      <c r="BV284" s="399"/>
      <c r="BW284" s="393"/>
      <c r="BX284" s="392"/>
      <c r="BY284" s="393"/>
      <c r="BZ284" s="393"/>
      <c r="CA284" s="441"/>
      <c r="CB284" s="400"/>
      <c r="CC284" s="398"/>
      <c r="CD284" s="398"/>
      <c r="CE284" s="398"/>
      <c r="CF284" s="398"/>
      <c r="CG284" s="398"/>
      <c r="CH284" s="398"/>
      <c r="CI284" s="398"/>
      <c r="CJ284" s="398"/>
      <c r="CK284" s="398"/>
      <c r="CL284" s="398"/>
      <c r="CM284" s="398"/>
      <c r="CN284" s="398"/>
      <c r="CO284" s="398"/>
      <c r="CP284" s="398"/>
      <c r="CQ284" s="398"/>
      <c r="CR284" s="398"/>
      <c r="CS284" s="398"/>
      <c r="CT284" s="398"/>
      <c r="CU284" s="398"/>
      <c r="CV284" s="398"/>
      <c r="CW284" s="398"/>
      <c r="CX284" s="398"/>
      <c r="CY284" s="398"/>
      <c r="CZ284" s="398"/>
      <c r="DA284" s="398"/>
      <c r="DB284" s="398"/>
      <c r="DC284" s="398"/>
      <c r="DD284" s="398"/>
      <c r="DE284" s="393"/>
      <c r="DF284" s="393"/>
      <c r="DG284" s="393"/>
      <c r="DH284" s="393"/>
      <c r="DI284" s="393"/>
      <c r="DJ284" s="393"/>
      <c r="DK284" s="896" t="s">
        <v>9725</v>
      </c>
    </row>
    <row r="285" spans="1:115" ht="38.25" x14ac:dyDescent="0.2">
      <c r="A285" s="295">
        <v>281</v>
      </c>
      <c r="B285" s="390" t="s">
        <v>2621</v>
      </c>
      <c r="C285" s="390"/>
      <c r="D285" s="391" t="s">
        <v>4912</v>
      </c>
      <c r="E285" s="704" t="s">
        <v>792</v>
      </c>
      <c r="F285" s="393" t="s">
        <v>1352</v>
      </c>
      <c r="G285" s="393" t="s">
        <v>1672</v>
      </c>
      <c r="H285" s="393" t="s">
        <v>89</v>
      </c>
      <c r="I285" s="392"/>
      <c r="J285" s="392"/>
      <c r="K285" s="392" t="s">
        <v>793</v>
      </c>
      <c r="L285" s="392" t="s">
        <v>794</v>
      </c>
      <c r="M285" s="392"/>
      <c r="N285" s="393" t="s">
        <v>44</v>
      </c>
      <c r="O285" s="393" t="s">
        <v>289</v>
      </c>
      <c r="P285" s="393" t="s">
        <v>289</v>
      </c>
      <c r="Q285" s="392" t="s">
        <v>721</v>
      </c>
      <c r="R285" s="392" t="s">
        <v>3954</v>
      </c>
      <c r="S285" s="392" t="s">
        <v>650</v>
      </c>
      <c r="T285" s="394">
        <v>2</v>
      </c>
      <c r="U285" s="395">
        <v>30.155000000000001</v>
      </c>
      <c r="V285" s="395"/>
      <c r="W285" s="453"/>
      <c r="X285" s="394"/>
      <c r="Y285" s="394">
        <v>7</v>
      </c>
      <c r="Z285" s="394">
        <v>30</v>
      </c>
      <c r="AA285" s="395">
        <v>0</v>
      </c>
      <c r="AB285" s="452">
        <v>41275</v>
      </c>
      <c r="AC285" s="398">
        <v>0</v>
      </c>
      <c r="AD285" s="398">
        <v>241.32261643835616</v>
      </c>
      <c r="AE285" s="393" t="s">
        <v>225</v>
      </c>
      <c r="AF285" s="417"/>
      <c r="AG285" s="417">
        <f>31.132+39.594+35.671+34.195</f>
        <v>140.59199999999998</v>
      </c>
      <c r="AH285" s="417">
        <v>140.59199999999998</v>
      </c>
      <c r="AI285" s="394">
        <v>3</v>
      </c>
      <c r="AJ285" s="452">
        <v>42017</v>
      </c>
      <c r="AK285" s="453">
        <v>42735</v>
      </c>
      <c r="AL285" s="393"/>
      <c r="AM285" s="393"/>
      <c r="AN285" s="417"/>
      <c r="AO285" s="428" t="s">
        <v>47</v>
      </c>
      <c r="AP285" s="428" t="s">
        <v>8175</v>
      </c>
      <c r="AQ285" s="392"/>
      <c r="AR285" s="392" t="s">
        <v>3771</v>
      </c>
      <c r="AS285" s="479">
        <v>40177</v>
      </c>
      <c r="AT285" s="453"/>
      <c r="AU285" s="453"/>
      <c r="AV285" s="453"/>
      <c r="AW285" s="453"/>
      <c r="AX285" s="453"/>
      <c r="AY285" s="453"/>
      <c r="AZ285" s="452">
        <v>41262</v>
      </c>
      <c r="BA285" s="393"/>
      <c r="BB285" s="393"/>
      <c r="BC285" s="393" t="b">
        <v>0</v>
      </c>
      <c r="BD285" s="393"/>
      <c r="BE285" s="392"/>
      <c r="BF285" s="394">
        <v>12</v>
      </c>
      <c r="BG285" s="394">
        <v>1</v>
      </c>
      <c r="BH285" s="394">
        <v>5</v>
      </c>
      <c r="BI285" s="394">
        <v>9</v>
      </c>
      <c r="BJ285" s="394">
        <v>6</v>
      </c>
      <c r="BK285" s="394">
        <v>3</v>
      </c>
      <c r="BL285" s="444" t="s">
        <v>6981</v>
      </c>
      <c r="BM285" s="392"/>
      <c r="BN285" s="393"/>
      <c r="BO285" s="393"/>
      <c r="BP285" s="399"/>
      <c r="BQ285" s="400"/>
      <c r="BR285" s="401"/>
      <c r="BS285" s="399">
        <v>18</v>
      </c>
      <c r="BT285" s="394">
        <v>53246</v>
      </c>
      <c r="BU285" s="417">
        <v>0.57640000000000002</v>
      </c>
      <c r="BV285" s="399"/>
      <c r="BW285" s="393" t="s">
        <v>3117</v>
      </c>
      <c r="BX285" s="392" t="s">
        <v>3831</v>
      </c>
      <c r="BY285" s="393"/>
      <c r="BZ285" s="393"/>
      <c r="CA285" s="441" t="s">
        <v>1662</v>
      </c>
      <c r="CB285" s="400">
        <v>3</v>
      </c>
      <c r="CC285" s="398"/>
      <c r="CD285" s="398"/>
      <c r="CE285" s="398"/>
      <c r="CF285" s="398"/>
      <c r="CG285" s="398"/>
      <c r="CH285" s="398"/>
      <c r="CI285" s="398">
        <v>30.116</v>
      </c>
      <c r="CJ285" s="398">
        <v>30.116</v>
      </c>
      <c r="CK285" s="398">
        <v>30.116</v>
      </c>
      <c r="CL285" s="398">
        <v>30.116</v>
      </c>
      <c r="CM285" s="398">
        <v>30.116</v>
      </c>
      <c r="CN285" s="398">
        <v>30.116</v>
      </c>
      <c r="CO285" s="398">
        <v>30.116</v>
      </c>
      <c r="CP285" s="398"/>
      <c r="CQ285" s="398"/>
      <c r="CR285" s="398"/>
      <c r="CS285" s="398"/>
      <c r="CT285" s="398"/>
      <c r="CU285" s="398"/>
      <c r="CV285" s="398"/>
      <c r="CW285" s="398"/>
      <c r="CX285" s="398"/>
      <c r="CY285" s="398"/>
      <c r="CZ285" s="398"/>
      <c r="DA285" s="398"/>
      <c r="DB285" s="398"/>
      <c r="DC285" s="398"/>
      <c r="DD285" s="398"/>
      <c r="DE285" s="393"/>
      <c r="DF285" s="393"/>
      <c r="DG285" s="393"/>
      <c r="DH285" s="393"/>
      <c r="DI285" s="393"/>
      <c r="DJ285" s="393"/>
      <c r="DK285" s="897"/>
    </row>
    <row r="286" spans="1:115" ht="38.25" x14ac:dyDescent="0.2">
      <c r="A286" s="295">
        <v>282</v>
      </c>
      <c r="B286" s="390" t="s">
        <v>6175</v>
      </c>
      <c r="C286" s="390"/>
      <c r="D286" s="391" t="s">
        <v>6176</v>
      </c>
      <c r="E286" s="704" t="s">
        <v>6202</v>
      </c>
      <c r="F286" s="393" t="s">
        <v>1352</v>
      </c>
      <c r="G286" s="393" t="s">
        <v>1672</v>
      </c>
      <c r="H286" s="393" t="s">
        <v>89</v>
      </c>
      <c r="I286" s="392"/>
      <c r="J286" s="392"/>
      <c r="K286" s="392" t="s">
        <v>1575</v>
      </c>
      <c r="L286" s="392" t="s">
        <v>794</v>
      </c>
      <c r="M286" s="392"/>
      <c r="N286" s="393" t="s">
        <v>44</v>
      </c>
      <c r="O286" s="393" t="s">
        <v>289</v>
      </c>
      <c r="P286" s="393" t="s">
        <v>289</v>
      </c>
      <c r="Q286" s="392" t="s">
        <v>721</v>
      </c>
      <c r="R286" s="392" t="s">
        <v>6203</v>
      </c>
      <c r="S286" s="392" t="s">
        <v>650</v>
      </c>
      <c r="T286" s="394">
        <v>2</v>
      </c>
      <c r="U286" s="395">
        <v>48.12</v>
      </c>
      <c r="V286" s="395"/>
      <c r="W286" s="453"/>
      <c r="X286" s="394"/>
      <c r="Y286" s="394">
        <v>7</v>
      </c>
      <c r="Z286" s="394">
        <v>30</v>
      </c>
      <c r="AA286" s="395">
        <v>0</v>
      </c>
      <c r="AB286" s="452">
        <v>41800</v>
      </c>
      <c r="AC286" s="398">
        <v>0</v>
      </c>
      <c r="AD286" s="398">
        <v>315.87813698630134</v>
      </c>
      <c r="AE286" s="393" t="s">
        <v>225</v>
      </c>
      <c r="AF286" s="417"/>
      <c r="AG286" s="417">
        <f>2.038+36.078+41.89</f>
        <v>80.006</v>
      </c>
      <c r="AH286" s="417">
        <v>80.006</v>
      </c>
      <c r="AI286" s="394">
        <v>2</v>
      </c>
      <c r="AJ286" s="452">
        <v>42566</v>
      </c>
      <c r="AK286" s="453">
        <v>42735</v>
      </c>
      <c r="AL286" s="393"/>
      <c r="AM286" s="393"/>
      <c r="AN286" s="417"/>
      <c r="AO286" s="428" t="s">
        <v>47</v>
      </c>
      <c r="AP286" s="428" t="s">
        <v>8175</v>
      </c>
      <c r="AQ286" s="392"/>
      <c r="AR286" s="392" t="s">
        <v>3771</v>
      </c>
      <c r="AS286" s="479">
        <v>40177</v>
      </c>
      <c r="AT286" s="453"/>
      <c r="AU286" s="453"/>
      <c r="AV286" s="453"/>
      <c r="AW286" s="453"/>
      <c r="AX286" s="453"/>
      <c r="AY286" s="453"/>
      <c r="AZ286" s="452">
        <v>41800</v>
      </c>
      <c r="BA286" s="393"/>
      <c r="BB286" s="393"/>
      <c r="BC286" s="393" t="b">
        <v>0</v>
      </c>
      <c r="BD286" s="393"/>
      <c r="BE286" s="392"/>
      <c r="BF286" s="394">
        <v>12</v>
      </c>
      <c r="BG286" s="394">
        <v>1</v>
      </c>
      <c r="BH286" s="394">
        <v>5</v>
      </c>
      <c r="BI286" s="394">
        <v>9</v>
      </c>
      <c r="BJ286" s="394">
        <v>6</v>
      </c>
      <c r="BK286" s="394">
        <v>3</v>
      </c>
      <c r="BL286" s="444" t="s">
        <v>6981</v>
      </c>
      <c r="BM286" s="392"/>
      <c r="BN286" s="393"/>
      <c r="BO286" s="393"/>
      <c r="BP286" s="399"/>
      <c r="BQ286" s="400"/>
      <c r="BR286" s="401"/>
      <c r="BS286" s="399">
        <v>22</v>
      </c>
      <c r="BT286" s="394">
        <v>82750</v>
      </c>
      <c r="BU286" s="417">
        <v>0.58740000000000003</v>
      </c>
      <c r="BV286" s="399"/>
      <c r="BW286" s="393" t="s">
        <v>3117</v>
      </c>
      <c r="BX286" s="392" t="s">
        <v>3831</v>
      </c>
      <c r="BY286" s="393"/>
      <c r="BZ286" s="393"/>
      <c r="CA286" s="441" t="s">
        <v>1662</v>
      </c>
      <c r="CB286" s="400">
        <v>3</v>
      </c>
      <c r="CC286" s="398"/>
      <c r="CD286" s="398"/>
      <c r="CE286" s="398"/>
      <c r="CF286" s="398"/>
      <c r="CG286" s="398"/>
      <c r="CH286" s="398"/>
      <c r="CI286" s="398"/>
      <c r="CJ286" s="398">
        <v>28.07</v>
      </c>
      <c r="CK286" s="398">
        <v>48.12</v>
      </c>
      <c r="CL286" s="398">
        <v>48.12</v>
      </c>
      <c r="CM286" s="398">
        <v>48.12</v>
      </c>
      <c r="CN286" s="398">
        <v>48.12</v>
      </c>
      <c r="CO286" s="398">
        <v>48.12</v>
      </c>
      <c r="CP286" s="398">
        <v>48.12</v>
      </c>
      <c r="CQ286" s="398">
        <v>20.05</v>
      </c>
      <c r="CR286" s="398"/>
      <c r="CS286" s="398"/>
      <c r="CT286" s="398"/>
      <c r="CU286" s="398"/>
      <c r="CV286" s="398"/>
      <c r="CW286" s="398"/>
      <c r="CX286" s="398"/>
      <c r="CY286" s="398"/>
      <c r="CZ286" s="398"/>
      <c r="DA286" s="398"/>
      <c r="DB286" s="398"/>
      <c r="DC286" s="398"/>
      <c r="DD286" s="398"/>
      <c r="DE286" s="393"/>
      <c r="DF286" s="393"/>
      <c r="DG286" s="393"/>
      <c r="DH286" s="393"/>
      <c r="DI286" s="393"/>
      <c r="DJ286" s="393"/>
      <c r="DK286" s="897"/>
    </row>
    <row r="287" spans="1:115" ht="38.25" x14ac:dyDescent="0.2">
      <c r="A287" s="295">
        <v>283</v>
      </c>
      <c r="B287" s="390" t="s">
        <v>6611</v>
      </c>
      <c r="C287" s="390"/>
      <c r="D287" s="391" t="s">
        <v>6612</v>
      </c>
      <c r="E287" s="704" t="s">
        <v>6613</v>
      </c>
      <c r="F287" s="393" t="s">
        <v>1352</v>
      </c>
      <c r="G287" s="393" t="s">
        <v>1672</v>
      </c>
      <c r="H287" s="393" t="s">
        <v>89</v>
      </c>
      <c r="I287" s="392"/>
      <c r="J287" s="392"/>
      <c r="K287" s="392" t="s">
        <v>793</v>
      </c>
      <c r="L287" s="392" t="s">
        <v>794</v>
      </c>
      <c r="M287" s="392"/>
      <c r="N287" s="393" t="s">
        <v>44</v>
      </c>
      <c r="O287" s="393" t="s">
        <v>289</v>
      </c>
      <c r="P287" s="393" t="s">
        <v>289</v>
      </c>
      <c r="Q287" s="392" t="s">
        <v>721</v>
      </c>
      <c r="R287" s="392" t="s">
        <v>6614</v>
      </c>
      <c r="S287" s="392" t="s">
        <v>650</v>
      </c>
      <c r="T287" s="394">
        <v>2</v>
      </c>
      <c r="U287" s="395">
        <v>26.931999999999999</v>
      </c>
      <c r="V287" s="395"/>
      <c r="W287" s="453"/>
      <c r="X287" s="394"/>
      <c r="Y287" s="394">
        <v>7</v>
      </c>
      <c r="Z287" s="394">
        <v>30</v>
      </c>
      <c r="AA287" s="395">
        <v>0</v>
      </c>
      <c r="AB287" s="452">
        <v>41944</v>
      </c>
      <c r="AC287" s="398">
        <v>0</v>
      </c>
      <c r="AD287" s="398">
        <v>166.16675068493149</v>
      </c>
      <c r="AE287" s="393" t="s">
        <v>225</v>
      </c>
      <c r="AF287" s="417"/>
      <c r="AG287" s="417">
        <f>32.968+21.097+24.697</f>
        <v>78.762</v>
      </c>
      <c r="AH287" s="417">
        <v>78.762</v>
      </c>
      <c r="AI287" s="394">
        <v>2</v>
      </c>
      <c r="AJ287" s="452">
        <v>42566</v>
      </c>
      <c r="AK287" s="453">
        <v>42735</v>
      </c>
      <c r="AL287" s="393"/>
      <c r="AM287" s="393"/>
      <c r="AN287" s="417"/>
      <c r="AO287" s="428" t="s">
        <v>47</v>
      </c>
      <c r="AP287" s="428" t="s">
        <v>8175</v>
      </c>
      <c r="AQ287" s="392"/>
      <c r="AR287" s="392" t="s">
        <v>3771</v>
      </c>
      <c r="AS287" s="479">
        <v>40177</v>
      </c>
      <c r="AT287" s="453"/>
      <c r="AU287" s="453"/>
      <c r="AV287" s="453"/>
      <c r="AW287" s="453"/>
      <c r="AX287" s="453"/>
      <c r="AY287" s="453"/>
      <c r="AZ287" s="452">
        <v>41969</v>
      </c>
      <c r="BA287" s="393"/>
      <c r="BB287" s="393"/>
      <c r="BC287" s="393" t="b">
        <v>0</v>
      </c>
      <c r="BD287" s="393"/>
      <c r="BE287" s="392"/>
      <c r="BF287" s="394">
        <v>12</v>
      </c>
      <c r="BG287" s="394">
        <v>1</v>
      </c>
      <c r="BH287" s="394">
        <v>5</v>
      </c>
      <c r="BI287" s="394">
        <v>9</v>
      </c>
      <c r="BJ287" s="394">
        <v>6</v>
      </c>
      <c r="BK287" s="394">
        <v>3</v>
      </c>
      <c r="BL287" s="444" t="s">
        <v>6981</v>
      </c>
      <c r="BM287" s="392"/>
      <c r="BN287" s="393"/>
      <c r="BO287" s="393"/>
      <c r="BP287" s="399"/>
      <c r="BQ287" s="400"/>
      <c r="BR287" s="401"/>
      <c r="BS287" s="399">
        <v>11.5</v>
      </c>
      <c r="BT287" s="394">
        <v>45852</v>
      </c>
      <c r="BU287" s="417">
        <v>0.58740000000000003</v>
      </c>
      <c r="BV287" s="399"/>
      <c r="BW287" s="393" t="s">
        <v>3117</v>
      </c>
      <c r="BX287" s="392" t="s">
        <v>3831</v>
      </c>
      <c r="BY287" s="393"/>
      <c r="BZ287" s="393"/>
      <c r="CA287" s="441" t="s">
        <v>1662</v>
      </c>
      <c r="CB287" s="400">
        <v>3</v>
      </c>
      <c r="CC287" s="398"/>
      <c r="CD287" s="398"/>
      <c r="CE287" s="398"/>
      <c r="CF287" s="398"/>
      <c r="CG287" s="398"/>
      <c r="CH287" s="398"/>
      <c r="CI287" s="398"/>
      <c r="CJ287" s="398">
        <v>4.4889999999999999</v>
      </c>
      <c r="CK287" s="398">
        <v>26.931999999999999</v>
      </c>
      <c r="CL287" s="398">
        <v>26.931999999999999</v>
      </c>
      <c r="CM287" s="398">
        <v>26.931999999999999</v>
      </c>
      <c r="CN287" s="398">
        <v>26.931999999999999</v>
      </c>
      <c r="CO287" s="398">
        <v>26.931999999999999</v>
      </c>
      <c r="CP287" s="398">
        <v>26.931999999999999</v>
      </c>
      <c r="CQ287" s="398">
        <v>22.443000000000001</v>
      </c>
      <c r="CR287" s="398"/>
      <c r="CS287" s="398"/>
      <c r="CT287" s="398"/>
      <c r="CU287" s="398"/>
      <c r="CV287" s="398"/>
      <c r="CW287" s="398"/>
      <c r="CX287" s="398"/>
      <c r="CY287" s="398"/>
      <c r="CZ287" s="398"/>
      <c r="DA287" s="398"/>
      <c r="DB287" s="398"/>
      <c r="DC287" s="398"/>
      <c r="DD287" s="398"/>
      <c r="DE287" s="393"/>
      <c r="DF287" s="393"/>
      <c r="DG287" s="393"/>
      <c r="DH287" s="393"/>
      <c r="DI287" s="393"/>
      <c r="DJ287" s="393"/>
      <c r="DK287" s="897"/>
    </row>
    <row r="288" spans="1:115" ht="38.25" x14ac:dyDescent="0.2">
      <c r="A288" s="295">
        <v>284</v>
      </c>
      <c r="B288" s="390" t="s">
        <v>6615</v>
      </c>
      <c r="C288" s="390"/>
      <c r="D288" s="391" t="s">
        <v>6616</v>
      </c>
      <c r="E288" s="704" t="s">
        <v>6617</v>
      </c>
      <c r="F288" s="393" t="s">
        <v>1352</v>
      </c>
      <c r="G288" s="393" t="s">
        <v>1672</v>
      </c>
      <c r="H288" s="393" t="s">
        <v>89</v>
      </c>
      <c r="I288" s="392"/>
      <c r="J288" s="392"/>
      <c r="K288" s="392" t="s">
        <v>6618</v>
      </c>
      <c r="L288" s="392" t="s">
        <v>794</v>
      </c>
      <c r="M288" s="392"/>
      <c r="N288" s="393" t="s">
        <v>44</v>
      </c>
      <c r="O288" s="393" t="s">
        <v>289</v>
      </c>
      <c r="P288" s="393" t="s">
        <v>289</v>
      </c>
      <c r="Q288" s="392" t="s">
        <v>721</v>
      </c>
      <c r="R288" s="392" t="s">
        <v>6619</v>
      </c>
      <c r="S288" s="392" t="s">
        <v>650</v>
      </c>
      <c r="T288" s="394">
        <v>2</v>
      </c>
      <c r="U288" s="395">
        <v>8.2040000000000006</v>
      </c>
      <c r="V288" s="395"/>
      <c r="W288" s="453"/>
      <c r="X288" s="394"/>
      <c r="Y288" s="394">
        <v>7</v>
      </c>
      <c r="Z288" s="394">
        <v>30</v>
      </c>
      <c r="AA288" s="395">
        <v>0</v>
      </c>
      <c r="AB288" s="452">
        <v>41944</v>
      </c>
      <c r="AC288" s="398">
        <v>0</v>
      </c>
      <c r="AD288" s="398">
        <v>50.617556164383572</v>
      </c>
      <c r="AE288" s="393" t="s">
        <v>225</v>
      </c>
      <c r="AF288" s="417"/>
      <c r="AG288" s="417">
        <f>1.468+7.014+7.681</f>
        <v>16.163</v>
      </c>
      <c r="AH288" s="417">
        <v>16.163</v>
      </c>
      <c r="AI288" s="394">
        <v>2</v>
      </c>
      <c r="AJ288" s="452">
        <v>42566</v>
      </c>
      <c r="AK288" s="453">
        <v>42735</v>
      </c>
      <c r="AL288" s="393"/>
      <c r="AM288" s="393"/>
      <c r="AN288" s="417"/>
      <c r="AO288" s="428" t="s">
        <v>47</v>
      </c>
      <c r="AP288" s="428" t="s">
        <v>8175</v>
      </c>
      <c r="AQ288" s="392"/>
      <c r="AR288" s="392" t="s">
        <v>3771</v>
      </c>
      <c r="AS288" s="479">
        <v>40177</v>
      </c>
      <c r="AT288" s="453"/>
      <c r="AU288" s="453"/>
      <c r="AV288" s="453"/>
      <c r="AW288" s="453"/>
      <c r="AX288" s="453"/>
      <c r="AY288" s="453"/>
      <c r="AZ288" s="452">
        <v>41969</v>
      </c>
      <c r="BA288" s="393"/>
      <c r="BB288" s="393"/>
      <c r="BC288" s="393" t="b">
        <v>0</v>
      </c>
      <c r="BD288" s="393"/>
      <c r="BE288" s="392"/>
      <c r="BF288" s="394">
        <v>12</v>
      </c>
      <c r="BG288" s="394">
        <v>1</v>
      </c>
      <c r="BH288" s="394">
        <v>5</v>
      </c>
      <c r="BI288" s="394">
        <v>9</v>
      </c>
      <c r="BJ288" s="394">
        <v>6</v>
      </c>
      <c r="BK288" s="394">
        <v>3</v>
      </c>
      <c r="BL288" s="444" t="s">
        <v>6981</v>
      </c>
      <c r="BM288" s="392"/>
      <c r="BN288" s="393"/>
      <c r="BO288" s="393"/>
      <c r="BP288" s="399"/>
      <c r="BQ288" s="400"/>
      <c r="BR288" s="401"/>
      <c r="BS288" s="399">
        <v>3.75</v>
      </c>
      <c r="BT288" s="394">
        <v>14006</v>
      </c>
      <c r="BU288" s="417">
        <v>0.58740000000000003</v>
      </c>
      <c r="BV288" s="399"/>
      <c r="BW288" s="393" t="s">
        <v>3117</v>
      </c>
      <c r="BX288" s="392" t="s">
        <v>3831</v>
      </c>
      <c r="BY288" s="393"/>
      <c r="BZ288" s="393"/>
      <c r="CA288" s="441" t="s">
        <v>1662</v>
      </c>
      <c r="CB288" s="400">
        <v>3</v>
      </c>
      <c r="CC288" s="398"/>
      <c r="CD288" s="398"/>
      <c r="CE288" s="398"/>
      <c r="CF288" s="398"/>
      <c r="CG288" s="398"/>
      <c r="CH288" s="398"/>
      <c r="CI288" s="398"/>
      <c r="CJ288" s="398">
        <v>1.367</v>
      </c>
      <c r="CK288" s="398">
        <v>8.2040000000000006</v>
      </c>
      <c r="CL288" s="398">
        <v>8.2270000000000003</v>
      </c>
      <c r="CM288" s="398">
        <v>8.2270000000000003</v>
      </c>
      <c r="CN288" s="398">
        <v>8.2270000000000003</v>
      </c>
      <c r="CO288" s="398">
        <v>8.2270000000000003</v>
      </c>
      <c r="CP288" s="398">
        <v>8.2270000000000003</v>
      </c>
      <c r="CQ288" s="398">
        <v>6.8559999999999999</v>
      </c>
      <c r="CR288" s="398"/>
      <c r="CS288" s="398"/>
      <c r="CT288" s="398"/>
      <c r="CU288" s="398"/>
      <c r="CV288" s="398"/>
      <c r="CW288" s="398"/>
      <c r="CX288" s="398"/>
      <c r="CY288" s="398"/>
      <c r="CZ288" s="398"/>
      <c r="DA288" s="398"/>
      <c r="DB288" s="398"/>
      <c r="DC288" s="398"/>
      <c r="DD288" s="398"/>
      <c r="DE288" s="393"/>
      <c r="DF288" s="393"/>
      <c r="DG288" s="393"/>
      <c r="DH288" s="393"/>
      <c r="DI288" s="393"/>
      <c r="DJ288" s="393"/>
      <c r="DK288" s="897"/>
    </row>
    <row r="289" spans="1:115" ht="38.25" x14ac:dyDescent="0.2">
      <c r="A289" s="295">
        <v>285</v>
      </c>
      <c r="B289" s="390" t="s">
        <v>6620</v>
      </c>
      <c r="C289" s="390"/>
      <c r="D289" s="391" t="s">
        <v>6621</v>
      </c>
      <c r="E289" s="704" t="s">
        <v>6622</v>
      </c>
      <c r="F289" s="393" t="s">
        <v>1352</v>
      </c>
      <c r="G289" s="393" t="s">
        <v>1672</v>
      </c>
      <c r="H289" s="393" t="s">
        <v>89</v>
      </c>
      <c r="I289" s="392"/>
      <c r="J289" s="392"/>
      <c r="K289" s="392" t="s">
        <v>798</v>
      </c>
      <c r="L289" s="392" t="s">
        <v>794</v>
      </c>
      <c r="M289" s="392"/>
      <c r="N289" s="393" t="s">
        <v>44</v>
      </c>
      <c r="O289" s="393" t="s">
        <v>289</v>
      </c>
      <c r="P289" s="393" t="s">
        <v>289</v>
      </c>
      <c r="Q289" s="392" t="s">
        <v>721</v>
      </c>
      <c r="R289" s="392" t="s">
        <v>6623</v>
      </c>
      <c r="S289" s="392" t="s">
        <v>650</v>
      </c>
      <c r="T289" s="394">
        <v>2</v>
      </c>
      <c r="U289" s="395">
        <v>77.05</v>
      </c>
      <c r="V289" s="395"/>
      <c r="W289" s="453"/>
      <c r="X289" s="394"/>
      <c r="Y289" s="394">
        <v>7</v>
      </c>
      <c r="Z289" s="394">
        <v>30</v>
      </c>
      <c r="AA289" s="395">
        <v>0</v>
      </c>
      <c r="AB289" s="452">
        <v>41944</v>
      </c>
      <c r="AC289" s="398">
        <v>0</v>
      </c>
      <c r="AD289" s="398">
        <v>475.38794520547947</v>
      </c>
      <c r="AE289" s="393" t="s">
        <v>225</v>
      </c>
      <c r="AF289" s="417"/>
      <c r="AG289" s="417">
        <f>4.347+44.258+58.81</f>
        <v>107.41500000000001</v>
      </c>
      <c r="AH289" s="417">
        <v>107.41500000000001</v>
      </c>
      <c r="AI289" s="394">
        <v>2</v>
      </c>
      <c r="AJ289" s="452">
        <v>42566</v>
      </c>
      <c r="AK289" s="453">
        <v>42735</v>
      </c>
      <c r="AL289" s="393"/>
      <c r="AM289" s="393"/>
      <c r="AN289" s="417"/>
      <c r="AO289" s="428" t="s">
        <v>47</v>
      </c>
      <c r="AP289" s="428" t="s">
        <v>8175</v>
      </c>
      <c r="AQ289" s="392"/>
      <c r="AR289" s="392" t="s">
        <v>3771</v>
      </c>
      <c r="AS289" s="479">
        <v>40177</v>
      </c>
      <c r="AT289" s="453"/>
      <c r="AU289" s="453"/>
      <c r="AV289" s="453"/>
      <c r="AW289" s="453"/>
      <c r="AX289" s="453"/>
      <c r="AY289" s="453"/>
      <c r="AZ289" s="452">
        <v>41969</v>
      </c>
      <c r="BA289" s="393"/>
      <c r="BB289" s="393"/>
      <c r="BC289" s="393" t="b">
        <v>0</v>
      </c>
      <c r="BD289" s="393"/>
      <c r="BE289" s="392"/>
      <c r="BF289" s="394">
        <v>12</v>
      </c>
      <c r="BG289" s="394">
        <v>1</v>
      </c>
      <c r="BH289" s="394">
        <v>5</v>
      </c>
      <c r="BI289" s="394">
        <v>9</v>
      </c>
      <c r="BJ289" s="394">
        <v>6</v>
      </c>
      <c r="BK289" s="394">
        <v>3</v>
      </c>
      <c r="BL289" s="444" t="s">
        <v>6981</v>
      </c>
      <c r="BM289" s="392"/>
      <c r="BN289" s="393"/>
      <c r="BO289" s="393"/>
      <c r="BP289" s="399"/>
      <c r="BQ289" s="400"/>
      <c r="BR289" s="401"/>
      <c r="BS289" s="399">
        <v>29</v>
      </c>
      <c r="BT289" s="394">
        <v>131175</v>
      </c>
      <c r="BU289" s="417">
        <v>0.58740000000000003</v>
      </c>
      <c r="BV289" s="399"/>
      <c r="BW289" s="393" t="s">
        <v>3117</v>
      </c>
      <c r="BX289" s="392" t="s">
        <v>3831</v>
      </c>
      <c r="BY289" s="393"/>
      <c r="BZ289" s="393"/>
      <c r="CA289" s="441" t="s">
        <v>1662</v>
      </c>
      <c r="CB289" s="400">
        <v>3</v>
      </c>
      <c r="CC289" s="398"/>
      <c r="CD289" s="398"/>
      <c r="CE289" s="398"/>
      <c r="CF289" s="398"/>
      <c r="CG289" s="398"/>
      <c r="CH289" s="398"/>
      <c r="CI289" s="398"/>
      <c r="CJ289" s="398">
        <v>12.842000000000001</v>
      </c>
      <c r="CK289" s="398">
        <v>77.05</v>
      </c>
      <c r="CL289" s="398">
        <v>77.05</v>
      </c>
      <c r="CM289" s="398">
        <v>77.05</v>
      </c>
      <c r="CN289" s="398">
        <v>77.05</v>
      </c>
      <c r="CO289" s="398">
        <v>77.05</v>
      </c>
      <c r="CP289" s="398">
        <v>77.05</v>
      </c>
      <c r="CQ289" s="398">
        <v>64.207999999999998</v>
      </c>
      <c r="CR289" s="398"/>
      <c r="CS289" s="398"/>
      <c r="CT289" s="398"/>
      <c r="CU289" s="398"/>
      <c r="CV289" s="398"/>
      <c r="CW289" s="398"/>
      <c r="CX289" s="398"/>
      <c r="CY289" s="398"/>
      <c r="CZ289" s="398"/>
      <c r="DA289" s="398"/>
      <c r="DB289" s="398"/>
      <c r="DC289" s="398"/>
      <c r="DD289" s="398"/>
      <c r="DE289" s="393"/>
      <c r="DF289" s="393"/>
      <c r="DG289" s="393"/>
      <c r="DH289" s="393"/>
      <c r="DI289" s="393"/>
      <c r="DJ289" s="393"/>
      <c r="DK289" s="897"/>
    </row>
    <row r="290" spans="1:115" ht="38.25" x14ac:dyDescent="0.2">
      <c r="A290" s="295">
        <v>286</v>
      </c>
      <c r="B290" s="390" t="s">
        <v>7176</v>
      </c>
      <c r="C290" s="390"/>
      <c r="D290" s="391" t="s">
        <v>7177</v>
      </c>
      <c r="E290" s="704" t="s">
        <v>7178</v>
      </c>
      <c r="F290" s="393" t="s">
        <v>1352</v>
      </c>
      <c r="G290" s="393" t="s">
        <v>1672</v>
      </c>
      <c r="H290" s="393" t="s">
        <v>89</v>
      </c>
      <c r="I290" s="392"/>
      <c r="J290" s="392"/>
      <c r="K290" s="392" t="s">
        <v>7179</v>
      </c>
      <c r="L290" s="392" t="s">
        <v>7180</v>
      </c>
      <c r="M290" s="392"/>
      <c r="N290" s="393" t="s">
        <v>44</v>
      </c>
      <c r="O290" s="393" t="s">
        <v>289</v>
      </c>
      <c r="P290" s="393" t="s">
        <v>289</v>
      </c>
      <c r="Q290" s="392" t="s">
        <v>721</v>
      </c>
      <c r="R290" s="392" t="s">
        <v>7181</v>
      </c>
      <c r="S290" s="392" t="s">
        <v>650</v>
      </c>
      <c r="T290" s="394">
        <v>1</v>
      </c>
      <c r="U290" s="395">
        <v>66.994</v>
      </c>
      <c r="V290" s="395"/>
      <c r="W290" s="453"/>
      <c r="X290" s="394"/>
      <c r="Y290" s="394">
        <v>7</v>
      </c>
      <c r="Z290" s="394">
        <v>30</v>
      </c>
      <c r="AA290" s="395">
        <v>0</v>
      </c>
      <c r="AB290" s="452">
        <v>42643</v>
      </c>
      <c r="AC290" s="398">
        <v>0</v>
      </c>
      <c r="AD290" s="398">
        <v>285.04570410958905</v>
      </c>
      <c r="AE290" s="393" t="s">
        <v>225</v>
      </c>
      <c r="AF290" s="417"/>
      <c r="AG290" s="417">
        <f>3.26</f>
        <v>3.26</v>
      </c>
      <c r="AH290" s="417">
        <v>3.26</v>
      </c>
      <c r="AI290" s="394"/>
      <c r="AJ290" s="453"/>
      <c r="AK290" s="453"/>
      <c r="AL290" s="393"/>
      <c r="AM290" s="393"/>
      <c r="AN290" s="417"/>
      <c r="AO290" s="392"/>
      <c r="AP290" s="428" t="s">
        <v>8175</v>
      </c>
      <c r="AQ290" s="392"/>
      <c r="AR290" s="392" t="s">
        <v>7182</v>
      </c>
      <c r="AS290" s="479">
        <v>40177</v>
      </c>
      <c r="AT290" s="453"/>
      <c r="AU290" s="453"/>
      <c r="AV290" s="453"/>
      <c r="AW290" s="453"/>
      <c r="AX290" s="453"/>
      <c r="AY290" s="453"/>
      <c r="AZ290" s="452">
        <v>42216</v>
      </c>
      <c r="BA290" s="393"/>
      <c r="BB290" s="393"/>
      <c r="BC290" s="393" t="b">
        <v>0</v>
      </c>
      <c r="BD290" s="393"/>
      <c r="BE290" s="392"/>
      <c r="BF290" s="394">
        <v>12</v>
      </c>
      <c r="BG290" s="394">
        <v>1</v>
      </c>
      <c r="BH290" s="394">
        <v>5</v>
      </c>
      <c r="BI290" s="394">
        <v>9</v>
      </c>
      <c r="BJ290" s="394">
        <v>6</v>
      </c>
      <c r="BK290" s="394">
        <v>3</v>
      </c>
      <c r="BL290" s="444" t="s">
        <v>6981</v>
      </c>
      <c r="BM290" s="392"/>
      <c r="BN290" s="393"/>
      <c r="BO290" s="393"/>
      <c r="BP290" s="399"/>
      <c r="BQ290" s="400"/>
      <c r="BR290" s="401"/>
      <c r="BS290" s="399">
        <v>30</v>
      </c>
      <c r="BT290" s="394">
        <v>124100</v>
      </c>
      <c r="BU290" s="417">
        <v>0.5464</v>
      </c>
      <c r="BV290" s="399"/>
      <c r="BW290" s="393" t="s">
        <v>3117</v>
      </c>
      <c r="BX290" s="392" t="s">
        <v>3831</v>
      </c>
      <c r="BY290" s="393"/>
      <c r="BZ290" s="393"/>
      <c r="CA290" s="441" t="s">
        <v>1662</v>
      </c>
      <c r="CB290" s="400">
        <v>3</v>
      </c>
      <c r="CC290" s="398"/>
      <c r="CD290" s="398"/>
      <c r="CE290" s="398"/>
      <c r="CF290" s="398"/>
      <c r="CG290" s="398"/>
      <c r="CH290" s="398"/>
      <c r="CI290" s="398"/>
      <c r="CJ290" s="398"/>
      <c r="CK290" s="398"/>
      <c r="CL290" s="398">
        <v>16.748999999999999</v>
      </c>
      <c r="CM290" s="398">
        <v>66.994</v>
      </c>
      <c r="CN290" s="398">
        <v>66.994</v>
      </c>
      <c r="CO290" s="398">
        <v>66.994</v>
      </c>
      <c r="CP290" s="398">
        <v>66.994</v>
      </c>
      <c r="CQ290" s="398">
        <v>66.994</v>
      </c>
      <c r="CR290" s="398">
        <v>66.994</v>
      </c>
      <c r="CS290" s="398">
        <v>50.246000000000002</v>
      </c>
      <c r="CT290" s="398"/>
      <c r="CU290" s="398"/>
      <c r="CV290" s="398"/>
      <c r="CW290" s="398"/>
      <c r="CX290" s="398"/>
      <c r="CY290" s="398"/>
      <c r="CZ290" s="398"/>
      <c r="DA290" s="398"/>
      <c r="DB290" s="398"/>
      <c r="DC290" s="398"/>
      <c r="DD290" s="398"/>
      <c r="DE290" s="393"/>
      <c r="DF290" s="393"/>
      <c r="DG290" s="393"/>
      <c r="DH290" s="393"/>
      <c r="DI290" s="393"/>
      <c r="DJ290" s="393"/>
      <c r="DK290" s="897"/>
    </row>
    <row r="291" spans="1:115" ht="38.25" x14ac:dyDescent="0.2">
      <c r="A291" s="295">
        <v>287</v>
      </c>
      <c r="B291" s="390" t="s">
        <v>7183</v>
      </c>
      <c r="C291" s="390"/>
      <c r="D291" s="391" t="s">
        <v>7184</v>
      </c>
      <c r="E291" s="704" t="s">
        <v>7185</v>
      </c>
      <c r="F291" s="393" t="s">
        <v>1352</v>
      </c>
      <c r="G291" s="393" t="s">
        <v>1672</v>
      </c>
      <c r="H291" s="393" t="s">
        <v>89</v>
      </c>
      <c r="I291" s="392"/>
      <c r="J291" s="392"/>
      <c r="K291" s="392" t="s">
        <v>803</v>
      </c>
      <c r="L291" s="392" t="s">
        <v>7180</v>
      </c>
      <c r="M291" s="392"/>
      <c r="N291" s="393" t="s">
        <v>44</v>
      </c>
      <c r="O291" s="393" t="s">
        <v>289</v>
      </c>
      <c r="P291" s="393" t="s">
        <v>289</v>
      </c>
      <c r="Q291" s="392" t="s">
        <v>721</v>
      </c>
      <c r="R291" s="392" t="s">
        <v>7181</v>
      </c>
      <c r="S291" s="392" t="s">
        <v>650</v>
      </c>
      <c r="T291" s="394">
        <v>1</v>
      </c>
      <c r="U291" s="395">
        <v>62.27</v>
      </c>
      <c r="V291" s="395"/>
      <c r="W291" s="453"/>
      <c r="X291" s="394"/>
      <c r="Y291" s="394">
        <v>7</v>
      </c>
      <c r="Z291" s="394">
        <v>30</v>
      </c>
      <c r="AA291" s="395">
        <v>0</v>
      </c>
      <c r="AB291" s="452">
        <v>42704</v>
      </c>
      <c r="AC291" s="398">
        <v>0</v>
      </c>
      <c r="AD291" s="398">
        <v>254.5392876712329</v>
      </c>
      <c r="AE291" s="393" t="s">
        <v>225</v>
      </c>
      <c r="AF291" s="417"/>
      <c r="AG291" s="417"/>
      <c r="AH291" s="417">
        <f>SUM(AF291:AG291)</f>
        <v>0</v>
      </c>
      <c r="AI291" s="394"/>
      <c r="AJ291" s="453"/>
      <c r="AK291" s="453"/>
      <c r="AL291" s="393"/>
      <c r="AM291" s="393"/>
      <c r="AN291" s="417"/>
      <c r="AO291" s="392"/>
      <c r="AP291" s="428" t="s">
        <v>8175</v>
      </c>
      <c r="AQ291" s="392"/>
      <c r="AR291" s="392" t="s">
        <v>7182</v>
      </c>
      <c r="AS291" s="479">
        <v>40177</v>
      </c>
      <c r="AT291" s="453"/>
      <c r="AU291" s="453"/>
      <c r="AV291" s="453"/>
      <c r="AW291" s="453"/>
      <c r="AX291" s="453"/>
      <c r="AY291" s="453"/>
      <c r="AZ291" s="452">
        <v>42216</v>
      </c>
      <c r="BA291" s="393"/>
      <c r="BB291" s="393"/>
      <c r="BC291" s="393" t="b">
        <v>0</v>
      </c>
      <c r="BD291" s="393"/>
      <c r="BE291" s="392"/>
      <c r="BF291" s="394">
        <v>12</v>
      </c>
      <c r="BG291" s="394">
        <v>1</v>
      </c>
      <c r="BH291" s="394">
        <v>5</v>
      </c>
      <c r="BI291" s="394">
        <v>9</v>
      </c>
      <c r="BJ291" s="394">
        <v>6</v>
      </c>
      <c r="BK291" s="394">
        <v>3</v>
      </c>
      <c r="BL291" s="444" t="s">
        <v>6981</v>
      </c>
      <c r="BM291" s="392"/>
      <c r="BN291" s="393"/>
      <c r="BO291" s="393"/>
      <c r="BP291" s="399"/>
      <c r="BQ291" s="400"/>
      <c r="BR291" s="401"/>
      <c r="BS291" s="399">
        <v>30</v>
      </c>
      <c r="BT291" s="394">
        <v>115700</v>
      </c>
      <c r="BU291" s="417">
        <v>0.5464</v>
      </c>
      <c r="BV291" s="399"/>
      <c r="BW291" s="393" t="s">
        <v>3117</v>
      </c>
      <c r="BX291" s="392" t="s">
        <v>3831</v>
      </c>
      <c r="BY291" s="393"/>
      <c r="BZ291" s="393"/>
      <c r="CA291" s="441" t="s">
        <v>1662</v>
      </c>
      <c r="CB291" s="400">
        <v>3</v>
      </c>
      <c r="CC291" s="398"/>
      <c r="CD291" s="398"/>
      <c r="CE291" s="398"/>
      <c r="CF291" s="398"/>
      <c r="CG291" s="398"/>
      <c r="CH291" s="398"/>
      <c r="CI291" s="398"/>
      <c r="CJ291" s="398"/>
      <c r="CK291" s="398"/>
      <c r="CL291" s="398">
        <v>5.1890000000000001</v>
      </c>
      <c r="CM291" s="398">
        <v>62.27</v>
      </c>
      <c r="CN291" s="398">
        <v>62.27</v>
      </c>
      <c r="CO291" s="398">
        <v>62.27</v>
      </c>
      <c r="CP291" s="398">
        <v>62.27</v>
      </c>
      <c r="CQ291" s="398">
        <v>62.27</v>
      </c>
      <c r="CR291" s="398">
        <v>62.27</v>
      </c>
      <c r="CS291" s="398">
        <v>57.081000000000003</v>
      </c>
      <c r="CT291" s="398"/>
      <c r="CU291" s="398"/>
      <c r="CV291" s="398"/>
      <c r="CW291" s="398"/>
      <c r="CX291" s="398"/>
      <c r="CY291" s="398"/>
      <c r="CZ291" s="398"/>
      <c r="DA291" s="398"/>
      <c r="DB291" s="398"/>
      <c r="DC291" s="398"/>
      <c r="DD291" s="398"/>
      <c r="DE291" s="393"/>
      <c r="DF291" s="393"/>
      <c r="DG291" s="393"/>
      <c r="DH291" s="393"/>
      <c r="DI291" s="393"/>
      <c r="DJ291" s="393"/>
      <c r="DK291" s="897"/>
    </row>
    <row r="292" spans="1:115" ht="38.25" x14ac:dyDescent="0.2">
      <c r="A292" s="295">
        <v>288</v>
      </c>
      <c r="B292" s="390" t="s">
        <v>7186</v>
      </c>
      <c r="C292" s="390"/>
      <c r="D292" s="391" t="s">
        <v>7187</v>
      </c>
      <c r="E292" s="704" t="s">
        <v>7188</v>
      </c>
      <c r="F292" s="393" t="s">
        <v>1352</v>
      </c>
      <c r="G292" s="393" t="s">
        <v>1672</v>
      </c>
      <c r="H292" s="393" t="s">
        <v>89</v>
      </c>
      <c r="I292" s="392"/>
      <c r="J292" s="392"/>
      <c r="K292" s="392" t="s">
        <v>7189</v>
      </c>
      <c r="L292" s="392" t="s">
        <v>7180</v>
      </c>
      <c r="M292" s="392"/>
      <c r="N292" s="393" t="s">
        <v>44</v>
      </c>
      <c r="O292" s="393" t="s">
        <v>289</v>
      </c>
      <c r="P292" s="393" t="s">
        <v>289</v>
      </c>
      <c r="Q292" s="392" t="s">
        <v>721</v>
      </c>
      <c r="R292" s="392" t="s">
        <v>7190</v>
      </c>
      <c r="S292" s="392" t="s">
        <v>650</v>
      </c>
      <c r="T292" s="394">
        <v>1</v>
      </c>
      <c r="U292" s="395">
        <v>37.058999999999997</v>
      </c>
      <c r="V292" s="395"/>
      <c r="W292" s="453"/>
      <c r="X292" s="394"/>
      <c r="Y292" s="394">
        <v>7</v>
      </c>
      <c r="Z292" s="394">
        <v>30</v>
      </c>
      <c r="AA292" s="395">
        <v>0</v>
      </c>
      <c r="AB292" s="452">
        <v>42675</v>
      </c>
      <c r="AC292" s="398">
        <v>0</v>
      </c>
      <c r="AD292" s="398">
        <v>154.42942191780821</v>
      </c>
      <c r="AE292" s="393" t="s">
        <v>225</v>
      </c>
      <c r="AF292" s="417"/>
      <c r="AG292" s="417"/>
      <c r="AH292" s="417">
        <f>SUM(AF292:AG292)</f>
        <v>0</v>
      </c>
      <c r="AI292" s="394"/>
      <c r="AJ292" s="453"/>
      <c r="AK292" s="453"/>
      <c r="AL292" s="393"/>
      <c r="AM292" s="393"/>
      <c r="AN292" s="417"/>
      <c r="AO292" s="428"/>
      <c r="AP292" s="428" t="s">
        <v>8175</v>
      </c>
      <c r="AQ292" s="392"/>
      <c r="AR292" s="392" t="s">
        <v>7182</v>
      </c>
      <c r="AS292" s="479">
        <v>40177</v>
      </c>
      <c r="AT292" s="453"/>
      <c r="AU292" s="453"/>
      <c r="AV292" s="453"/>
      <c r="AW292" s="453"/>
      <c r="AX292" s="453"/>
      <c r="AY292" s="453"/>
      <c r="AZ292" s="452">
        <v>42216</v>
      </c>
      <c r="BA292" s="393"/>
      <c r="BB292" s="393"/>
      <c r="BC292" s="393" t="b">
        <v>0</v>
      </c>
      <c r="BD292" s="393"/>
      <c r="BE292" s="392"/>
      <c r="BF292" s="394">
        <v>12</v>
      </c>
      <c r="BG292" s="394">
        <v>1</v>
      </c>
      <c r="BH292" s="394">
        <v>5</v>
      </c>
      <c r="BI292" s="394">
        <v>9</v>
      </c>
      <c r="BJ292" s="394">
        <v>6</v>
      </c>
      <c r="BK292" s="394">
        <v>3</v>
      </c>
      <c r="BL292" s="444" t="s">
        <v>6981</v>
      </c>
      <c r="BM292" s="392"/>
      <c r="BN292" s="393"/>
      <c r="BO292" s="393"/>
      <c r="BP292" s="399"/>
      <c r="BQ292" s="400"/>
      <c r="BR292" s="401"/>
      <c r="BS292" s="399">
        <v>17</v>
      </c>
      <c r="BT292" s="394">
        <v>68510</v>
      </c>
      <c r="BU292" s="417">
        <v>0.5464</v>
      </c>
      <c r="BV292" s="399"/>
      <c r="BW292" s="393" t="s">
        <v>3117</v>
      </c>
      <c r="BX292" s="392" t="s">
        <v>3831</v>
      </c>
      <c r="BY292" s="393"/>
      <c r="BZ292" s="393"/>
      <c r="CA292" s="441" t="s">
        <v>1662</v>
      </c>
      <c r="CB292" s="400">
        <v>3</v>
      </c>
      <c r="CC292" s="398"/>
      <c r="CD292" s="398"/>
      <c r="CE292" s="398"/>
      <c r="CF292" s="398"/>
      <c r="CG292" s="398"/>
      <c r="CH292" s="398"/>
      <c r="CI292" s="398"/>
      <c r="CJ292" s="398"/>
      <c r="CK292" s="398"/>
      <c r="CL292" s="398">
        <v>6.1769999999999996</v>
      </c>
      <c r="CM292" s="398">
        <v>37.058999999999997</v>
      </c>
      <c r="CN292" s="398">
        <v>37.058999999999997</v>
      </c>
      <c r="CO292" s="398">
        <v>37.058999999999997</v>
      </c>
      <c r="CP292" s="398">
        <v>37.058999999999997</v>
      </c>
      <c r="CQ292" s="398">
        <v>37.058999999999997</v>
      </c>
      <c r="CR292" s="398">
        <v>37.058999999999997</v>
      </c>
      <c r="CS292" s="398">
        <v>30.882999999999999</v>
      </c>
      <c r="CT292" s="398"/>
      <c r="CU292" s="398"/>
      <c r="CV292" s="398"/>
      <c r="CW292" s="398"/>
      <c r="CX292" s="398"/>
      <c r="CY292" s="398"/>
      <c r="CZ292" s="398"/>
      <c r="DA292" s="398"/>
      <c r="DB292" s="398"/>
      <c r="DC292" s="398"/>
      <c r="DD292" s="398"/>
      <c r="DE292" s="393"/>
      <c r="DF292" s="393"/>
      <c r="DG292" s="393"/>
      <c r="DH292" s="393"/>
      <c r="DI292" s="393"/>
      <c r="DJ292" s="393"/>
      <c r="DK292" s="897"/>
    </row>
    <row r="293" spans="1:115" ht="38.25" x14ac:dyDescent="0.2">
      <c r="A293" s="295">
        <v>289</v>
      </c>
      <c r="B293" s="390" t="s">
        <v>7229</v>
      </c>
      <c r="C293" s="390"/>
      <c r="D293" s="391" t="s">
        <v>7230</v>
      </c>
      <c r="E293" s="704" t="s">
        <v>7231</v>
      </c>
      <c r="F293" s="393" t="s">
        <v>1352</v>
      </c>
      <c r="G293" s="393" t="s">
        <v>1672</v>
      </c>
      <c r="H293" s="393" t="s">
        <v>89</v>
      </c>
      <c r="I293" s="392"/>
      <c r="J293" s="392"/>
      <c r="K293" s="392" t="s">
        <v>7232</v>
      </c>
      <c r="L293" s="392" t="s">
        <v>7180</v>
      </c>
      <c r="M293" s="392"/>
      <c r="N293" s="393" t="s">
        <v>44</v>
      </c>
      <c r="O293" s="393" t="s">
        <v>289</v>
      </c>
      <c r="P293" s="393" t="s">
        <v>289</v>
      </c>
      <c r="Q293" s="392" t="s">
        <v>721</v>
      </c>
      <c r="R293" s="392" t="s">
        <v>7233</v>
      </c>
      <c r="S293" s="392" t="s">
        <v>650</v>
      </c>
      <c r="T293" s="394">
        <v>1</v>
      </c>
      <c r="U293" s="395">
        <v>13.305999999999999</v>
      </c>
      <c r="V293" s="395"/>
      <c r="W293" s="453"/>
      <c r="X293" s="394"/>
      <c r="Y293" s="394">
        <v>7</v>
      </c>
      <c r="Z293" s="394">
        <v>30</v>
      </c>
      <c r="AA293" s="395">
        <v>0</v>
      </c>
      <c r="AB293" s="452">
        <v>42689</v>
      </c>
      <c r="AC293" s="398">
        <v>0</v>
      </c>
      <c r="AD293" s="398">
        <v>54.937375342465756</v>
      </c>
      <c r="AE293" s="393" t="s">
        <v>225</v>
      </c>
      <c r="AF293" s="417"/>
      <c r="AG293" s="417">
        <f>1.041</f>
        <v>1.0409999999999999</v>
      </c>
      <c r="AH293" s="417">
        <v>1.0409999999999999</v>
      </c>
      <c r="AI293" s="394"/>
      <c r="AJ293" s="453">
        <v>43112</v>
      </c>
      <c r="AK293" s="453">
        <v>42735</v>
      </c>
      <c r="AL293" s="393"/>
      <c r="AM293" s="393"/>
      <c r="AN293" s="417"/>
      <c r="AO293" s="428" t="s">
        <v>47</v>
      </c>
      <c r="AP293" s="428" t="s">
        <v>8175</v>
      </c>
      <c r="AQ293" s="392"/>
      <c r="AR293" s="392" t="s">
        <v>7182</v>
      </c>
      <c r="AS293" s="479">
        <v>40177</v>
      </c>
      <c r="AT293" s="453"/>
      <c r="AU293" s="453"/>
      <c r="AV293" s="453"/>
      <c r="AW293" s="453"/>
      <c r="AX293" s="453"/>
      <c r="AY293" s="453"/>
      <c r="AZ293" s="452">
        <v>42258</v>
      </c>
      <c r="BA293" s="393"/>
      <c r="BB293" s="393"/>
      <c r="BC293" s="393" t="b">
        <v>0</v>
      </c>
      <c r="BD293" s="393"/>
      <c r="BE293" s="392"/>
      <c r="BF293" s="394">
        <v>12</v>
      </c>
      <c r="BG293" s="394">
        <v>1</v>
      </c>
      <c r="BH293" s="394">
        <v>5</v>
      </c>
      <c r="BI293" s="394">
        <v>9</v>
      </c>
      <c r="BJ293" s="394">
        <v>6</v>
      </c>
      <c r="BK293" s="394">
        <v>3</v>
      </c>
      <c r="BL293" s="444" t="s">
        <v>6981</v>
      </c>
      <c r="BM293" s="392"/>
      <c r="BN293" s="393"/>
      <c r="BO293" s="393"/>
      <c r="BP293" s="399"/>
      <c r="BQ293" s="400"/>
      <c r="BR293" s="401"/>
      <c r="BS293" s="399">
        <v>6</v>
      </c>
      <c r="BT293" s="394">
        <v>24353</v>
      </c>
      <c r="BU293" s="417">
        <v>0.5464</v>
      </c>
      <c r="BV293" s="399"/>
      <c r="BW293" s="393" t="s">
        <v>3117</v>
      </c>
      <c r="BX293" s="392" t="s">
        <v>3831</v>
      </c>
      <c r="BY293" s="393"/>
      <c r="BZ293" s="393"/>
      <c r="CA293" s="441" t="s">
        <v>1662</v>
      </c>
      <c r="CB293" s="400">
        <v>3</v>
      </c>
      <c r="CC293" s="398"/>
      <c r="CD293" s="398"/>
      <c r="CE293" s="398"/>
      <c r="CF293" s="398"/>
      <c r="CG293" s="398"/>
      <c r="CH293" s="398"/>
      <c r="CI293" s="398"/>
      <c r="CJ293" s="398"/>
      <c r="CK293" s="398"/>
      <c r="CL293" s="398">
        <v>1.663</v>
      </c>
      <c r="CM293" s="398">
        <v>13.305999999999999</v>
      </c>
      <c r="CN293" s="398">
        <v>13.305999999999999</v>
      </c>
      <c r="CO293" s="398">
        <v>13.305999999999999</v>
      </c>
      <c r="CP293" s="398">
        <v>13.305999999999999</v>
      </c>
      <c r="CQ293" s="398">
        <v>13.305999999999999</v>
      </c>
      <c r="CR293" s="398">
        <v>13.305999999999999</v>
      </c>
      <c r="CS293" s="398">
        <v>11.643000000000001</v>
      </c>
      <c r="CT293" s="398"/>
      <c r="CU293" s="398"/>
      <c r="CV293" s="398"/>
      <c r="CW293" s="398"/>
      <c r="CX293" s="398"/>
      <c r="CY293" s="398"/>
      <c r="CZ293" s="398"/>
      <c r="DA293" s="398"/>
      <c r="DB293" s="398"/>
      <c r="DC293" s="398"/>
      <c r="DD293" s="398"/>
      <c r="DE293" s="393"/>
      <c r="DF293" s="393"/>
      <c r="DG293" s="393"/>
      <c r="DH293" s="393"/>
      <c r="DI293" s="393"/>
      <c r="DJ293" s="393"/>
      <c r="DK293" s="897"/>
    </row>
    <row r="294" spans="1:115" ht="38.25" x14ac:dyDescent="0.2">
      <c r="A294" s="295">
        <v>290</v>
      </c>
      <c r="B294" s="390" t="s">
        <v>9200</v>
      </c>
      <c r="C294" s="390"/>
      <c r="D294" s="391" t="s">
        <v>9201</v>
      </c>
      <c r="E294" s="709" t="s">
        <v>9208</v>
      </c>
      <c r="F294" s="393" t="s">
        <v>1352</v>
      </c>
      <c r="G294" s="393" t="s">
        <v>1672</v>
      </c>
      <c r="H294" s="393" t="s">
        <v>89</v>
      </c>
      <c r="I294" s="563"/>
      <c r="J294" s="563"/>
      <c r="K294" s="560" t="s">
        <v>9212</v>
      </c>
      <c r="L294" s="392" t="s">
        <v>7180</v>
      </c>
      <c r="M294" s="563"/>
      <c r="N294" s="393" t="s">
        <v>44</v>
      </c>
      <c r="O294" s="393" t="s">
        <v>289</v>
      </c>
      <c r="P294" s="393" t="s">
        <v>289</v>
      </c>
      <c r="Q294" s="392" t="s">
        <v>721</v>
      </c>
      <c r="R294" s="392" t="s">
        <v>7233</v>
      </c>
      <c r="S294" s="392" t="s">
        <v>650</v>
      </c>
      <c r="T294" s="394">
        <v>1</v>
      </c>
      <c r="U294" s="565">
        <v>14.522</v>
      </c>
      <c r="V294" s="565"/>
      <c r="W294" s="566"/>
      <c r="X294" s="564"/>
      <c r="Y294" s="564">
        <v>7</v>
      </c>
      <c r="Z294" s="564">
        <v>30</v>
      </c>
      <c r="AA294" s="565">
        <v>0</v>
      </c>
      <c r="AB294" s="567">
        <v>43101</v>
      </c>
      <c r="AC294" s="568">
        <v>0</v>
      </c>
      <c r="AD294" s="568">
        <v>43.566000000000003</v>
      </c>
      <c r="AE294" s="393" t="s">
        <v>225</v>
      </c>
      <c r="AF294" s="569"/>
      <c r="AG294" s="569"/>
      <c r="AH294" s="569"/>
      <c r="AI294" s="564"/>
      <c r="AJ294" s="566"/>
      <c r="AK294" s="566"/>
      <c r="AL294" s="561"/>
      <c r="AM294" s="561"/>
      <c r="AN294" s="569"/>
      <c r="AO294" s="563"/>
      <c r="AP294" s="428" t="s">
        <v>8175</v>
      </c>
      <c r="AQ294" s="563"/>
      <c r="AR294" s="392" t="s">
        <v>7182</v>
      </c>
      <c r="AS294" s="479">
        <v>40177</v>
      </c>
      <c r="AT294" s="566"/>
      <c r="AU294" s="566"/>
      <c r="AV294" s="566"/>
      <c r="AW294" s="566"/>
      <c r="AX294" s="566"/>
      <c r="AY294" s="566"/>
      <c r="AZ294" s="567">
        <v>43006</v>
      </c>
      <c r="BA294" s="561"/>
      <c r="BB294" s="561"/>
      <c r="BC294" s="561" t="b">
        <v>1</v>
      </c>
      <c r="BD294" s="561"/>
      <c r="BE294" s="563"/>
      <c r="BF294" s="394">
        <v>12</v>
      </c>
      <c r="BG294" s="394">
        <v>1</v>
      </c>
      <c r="BH294" s="394">
        <v>5</v>
      </c>
      <c r="BI294" s="394">
        <v>9</v>
      </c>
      <c r="BJ294" s="394">
        <v>6</v>
      </c>
      <c r="BK294" s="394">
        <v>3</v>
      </c>
      <c r="BL294" s="444" t="s">
        <v>6981</v>
      </c>
      <c r="BM294" s="563"/>
      <c r="BN294" s="561"/>
      <c r="BO294" s="561"/>
      <c r="BP294" s="571"/>
      <c r="BQ294" s="572"/>
      <c r="BR294" s="573"/>
      <c r="BS294" s="571">
        <v>6</v>
      </c>
      <c r="BT294" s="564">
        <v>21275</v>
      </c>
      <c r="BU294" s="569">
        <v>0.68259999999999998</v>
      </c>
      <c r="BV294" s="571"/>
      <c r="BW294" s="393" t="s">
        <v>3117</v>
      </c>
      <c r="BX294" s="560" t="s">
        <v>3831</v>
      </c>
      <c r="BY294" s="561"/>
      <c r="BZ294" s="561"/>
      <c r="CA294" s="441" t="s">
        <v>1662</v>
      </c>
      <c r="CB294" s="400">
        <v>3</v>
      </c>
      <c r="CC294" s="568"/>
      <c r="CD294" s="568"/>
      <c r="CE294" s="568"/>
      <c r="CF294" s="568"/>
      <c r="CG294" s="568"/>
      <c r="CH294" s="568"/>
      <c r="CI294" s="568"/>
      <c r="CJ294" s="568"/>
      <c r="CK294" s="568"/>
      <c r="CL294" s="568"/>
      <c r="CM294" s="568"/>
      <c r="CN294" s="568">
        <v>14.522</v>
      </c>
      <c r="CO294" s="568">
        <v>14.522</v>
      </c>
      <c r="CP294" s="568">
        <v>14.522</v>
      </c>
      <c r="CQ294" s="568">
        <v>14.522</v>
      </c>
      <c r="CR294" s="568">
        <v>14.522</v>
      </c>
      <c r="CS294" s="568">
        <v>14.522</v>
      </c>
      <c r="CT294" s="568">
        <v>14.522</v>
      </c>
      <c r="CU294" s="568"/>
      <c r="CV294" s="568"/>
      <c r="CW294" s="568"/>
      <c r="CX294" s="568"/>
      <c r="CY294" s="568"/>
      <c r="CZ294" s="568"/>
      <c r="DA294" s="568"/>
      <c r="DB294" s="568"/>
      <c r="DC294" s="568"/>
      <c r="DD294" s="568"/>
      <c r="DE294" s="561"/>
      <c r="DF294" s="561"/>
      <c r="DG294" s="561"/>
      <c r="DH294" s="561"/>
      <c r="DI294" s="561"/>
      <c r="DJ294" s="561"/>
      <c r="DK294" s="897"/>
    </row>
    <row r="295" spans="1:115" ht="38.25" x14ac:dyDescent="0.2">
      <c r="A295" s="295">
        <v>291</v>
      </c>
      <c r="B295" s="390" t="s">
        <v>9202</v>
      </c>
      <c r="C295" s="390"/>
      <c r="D295" s="391" t="s">
        <v>9203</v>
      </c>
      <c r="E295" s="709" t="s">
        <v>9209</v>
      </c>
      <c r="F295" s="393" t="s">
        <v>1352</v>
      </c>
      <c r="G295" s="393" t="s">
        <v>1672</v>
      </c>
      <c r="H295" s="393" t="s">
        <v>89</v>
      </c>
      <c r="I295" s="563"/>
      <c r="J295" s="563"/>
      <c r="K295" s="560" t="s">
        <v>9213</v>
      </c>
      <c r="L295" s="392" t="s">
        <v>7180</v>
      </c>
      <c r="M295" s="563"/>
      <c r="N295" s="393" t="s">
        <v>44</v>
      </c>
      <c r="O295" s="393" t="s">
        <v>289</v>
      </c>
      <c r="P295" s="393" t="s">
        <v>289</v>
      </c>
      <c r="Q295" s="392" t="s">
        <v>721</v>
      </c>
      <c r="R295" s="560" t="s">
        <v>9214</v>
      </c>
      <c r="S295" s="392" t="s">
        <v>650</v>
      </c>
      <c r="T295" s="394">
        <v>1</v>
      </c>
      <c r="U295" s="565">
        <v>25.51</v>
      </c>
      <c r="V295" s="565"/>
      <c r="W295" s="566"/>
      <c r="X295" s="564"/>
      <c r="Y295" s="564">
        <v>7</v>
      </c>
      <c r="Z295" s="564">
        <v>30</v>
      </c>
      <c r="AA295" s="565">
        <v>0</v>
      </c>
      <c r="AB295" s="567">
        <v>43313</v>
      </c>
      <c r="AC295" s="568">
        <v>0</v>
      </c>
      <c r="AD295" s="568">
        <v>61.713232876712333</v>
      </c>
      <c r="AE295" s="393" t="s">
        <v>225</v>
      </c>
      <c r="AF295" s="569"/>
      <c r="AG295" s="569"/>
      <c r="AH295" s="569"/>
      <c r="AI295" s="564"/>
      <c r="AJ295" s="566"/>
      <c r="AK295" s="566"/>
      <c r="AL295" s="561"/>
      <c r="AM295" s="561"/>
      <c r="AN295" s="569"/>
      <c r="AO295" s="563"/>
      <c r="AP295" s="428" t="s">
        <v>8175</v>
      </c>
      <c r="AQ295" s="563"/>
      <c r="AR295" s="392" t="s">
        <v>7182</v>
      </c>
      <c r="AS295" s="479">
        <v>40177</v>
      </c>
      <c r="AT295" s="566"/>
      <c r="AU295" s="566"/>
      <c r="AV295" s="566"/>
      <c r="AW295" s="566"/>
      <c r="AX295" s="566"/>
      <c r="AY295" s="566"/>
      <c r="AZ295" s="567">
        <v>43006</v>
      </c>
      <c r="BA295" s="561"/>
      <c r="BB295" s="561"/>
      <c r="BC295" s="561" t="b">
        <v>1</v>
      </c>
      <c r="BD295" s="561"/>
      <c r="BE295" s="563"/>
      <c r="BF295" s="394">
        <v>12</v>
      </c>
      <c r="BG295" s="394">
        <v>1</v>
      </c>
      <c r="BH295" s="394">
        <v>5</v>
      </c>
      <c r="BI295" s="394">
        <v>9</v>
      </c>
      <c r="BJ295" s="394">
        <v>6</v>
      </c>
      <c r="BK295" s="394">
        <v>3</v>
      </c>
      <c r="BL295" s="444" t="s">
        <v>6981</v>
      </c>
      <c r="BM295" s="563"/>
      <c r="BN295" s="561"/>
      <c r="BO295" s="561"/>
      <c r="BP295" s="571"/>
      <c r="BQ295" s="572"/>
      <c r="BR295" s="573"/>
      <c r="BS295" s="571">
        <v>8.1999999999999993</v>
      </c>
      <c r="BT295" s="564">
        <v>37371</v>
      </c>
      <c r="BU295" s="569">
        <v>0.68259999999999998</v>
      </c>
      <c r="BV295" s="571"/>
      <c r="BW295" s="393" t="s">
        <v>3117</v>
      </c>
      <c r="BX295" s="560" t="s">
        <v>3831</v>
      </c>
      <c r="BY295" s="561"/>
      <c r="BZ295" s="561"/>
      <c r="CA295" s="441" t="s">
        <v>1662</v>
      </c>
      <c r="CB295" s="400">
        <v>3</v>
      </c>
      <c r="CC295" s="568"/>
      <c r="CD295" s="568"/>
      <c r="CE295" s="568"/>
      <c r="CF295" s="568"/>
      <c r="CG295" s="568"/>
      <c r="CH295" s="568"/>
      <c r="CI295" s="568"/>
      <c r="CJ295" s="568"/>
      <c r="CK295" s="568"/>
      <c r="CL295" s="568"/>
      <c r="CM295" s="568"/>
      <c r="CN295" s="568">
        <v>10.629</v>
      </c>
      <c r="CO295" s="568">
        <v>25.51</v>
      </c>
      <c r="CP295" s="568">
        <v>25.51</v>
      </c>
      <c r="CQ295" s="568">
        <v>25.51</v>
      </c>
      <c r="CR295" s="568">
        <v>25.51</v>
      </c>
      <c r="CS295" s="568">
        <v>25.51</v>
      </c>
      <c r="CT295" s="568">
        <v>25.51</v>
      </c>
      <c r="CU295" s="568">
        <v>14.881</v>
      </c>
      <c r="CV295" s="568"/>
      <c r="CW295" s="568"/>
      <c r="CX295" s="568"/>
      <c r="CY295" s="568"/>
      <c r="CZ295" s="568"/>
      <c r="DA295" s="568"/>
      <c r="DB295" s="568"/>
      <c r="DC295" s="568"/>
      <c r="DD295" s="568"/>
      <c r="DE295" s="561"/>
      <c r="DF295" s="561"/>
      <c r="DG295" s="561"/>
      <c r="DH295" s="561"/>
      <c r="DI295" s="561"/>
      <c r="DJ295" s="561"/>
      <c r="DK295" s="897"/>
    </row>
    <row r="296" spans="1:115" ht="38.25" x14ac:dyDescent="0.2">
      <c r="A296" s="295">
        <v>292</v>
      </c>
      <c r="B296" s="390" t="s">
        <v>9204</v>
      </c>
      <c r="C296" s="390"/>
      <c r="D296" s="391" t="s">
        <v>9205</v>
      </c>
      <c r="E296" s="709" t="s">
        <v>9210</v>
      </c>
      <c r="F296" s="393" t="s">
        <v>1352</v>
      </c>
      <c r="G296" s="393" t="s">
        <v>1672</v>
      </c>
      <c r="H296" s="393" t="s">
        <v>89</v>
      </c>
      <c r="I296" s="563"/>
      <c r="J296" s="563"/>
      <c r="K296" s="560" t="s">
        <v>9215</v>
      </c>
      <c r="L296" s="392" t="s">
        <v>7180</v>
      </c>
      <c r="M296" s="563"/>
      <c r="N296" s="393" t="s">
        <v>44</v>
      </c>
      <c r="O296" s="393" t="s">
        <v>289</v>
      </c>
      <c r="P296" s="393" t="s">
        <v>289</v>
      </c>
      <c r="Q296" s="392" t="s">
        <v>721</v>
      </c>
      <c r="R296" s="560" t="s">
        <v>9216</v>
      </c>
      <c r="S296" s="392" t="s">
        <v>650</v>
      </c>
      <c r="T296" s="394">
        <v>1</v>
      </c>
      <c r="U296" s="565">
        <v>63.226999999999997</v>
      </c>
      <c r="V296" s="565"/>
      <c r="W296" s="566"/>
      <c r="X296" s="564"/>
      <c r="Y296" s="564">
        <v>7</v>
      </c>
      <c r="Z296" s="564">
        <v>30</v>
      </c>
      <c r="AA296" s="565">
        <v>0</v>
      </c>
      <c r="AB296" s="567">
        <v>43374</v>
      </c>
      <c r="AC296" s="568">
        <v>0</v>
      </c>
      <c r="AD296" s="568">
        <v>142.39066849315068</v>
      </c>
      <c r="AE296" s="393" t="s">
        <v>225</v>
      </c>
      <c r="AF296" s="569"/>
      <c r="AG296" s="569"/>
      <c r="AH296" s="569"/>
      <c r="AI296" s="564"/>
      <c r="AJ296" s="566"/>
      <c r="AK296" s="566"/>
      <c r="AL296" s="561"/>
      <c r="AM296" s="561"/>
      <c r="AN296" s="569"/>
      <c r="AO296" s="563"/>
      <c r="AP296" s="428" t="s">
        <v>8175</v>
      </c>
      <c r="AQ296" s="563"/>
      <c r="AR296" s="392" t="s">
        <v>7182</v>
      </c>
      <c r="AS296" s="479">
        <v>40177</v>
      </c>
      <c r="AT296" s="566"/>
      <c r="AU296" s="566"/>
      <c r="AV296" s="566"/>
      <c r="AW296" s="566"/>
      <c r="AX296" s="566"/>
      <c r="AY296" s="566"/>
      <c r="AZ296" s="567">
        <v>43006</v>
      </c>
      <c r="BA296" s="561"/>
      <c r="BB296" s="561"/>
      <c r="BC296" s="561" t="b">
        <v>1</v>
      </c>
      <c r="BD296" s="561"/>
      <c r="BE296" s="563"/>
      <c r="BF296" s="394">
        <v>12</v>
      </c>
      <c r="BG296" s="394">
        <v>1</v>
      </c>
      <c r="BH296" s="394">
        <v>5</v>
      </c>
      <c r="BI296" s="394">
        <v>9</v>
      </c>
      <c r="BJ296" s="394">
        <v>6</v>
      </c>
      <c r="BK296" s="394">
        <v>3</v>
      </c>
      <c r="BL296" s="444" t="s">
        <v>6981</v>
      </c>
      <c r="BM296" s="563"/>
      <c r="BN296" s="561"/>
      <c r="BO296" s="561"/>
      <c r="BP296" s="571"/>
      <c r="BQ296" s="572"/>
      <c r="BR296" s="573"/>
      <c r="BS296" s="571">
        <v>24</v>
      </c>
      <c r="BT296" s="564">
        <v>92624</v>
      </c>
      <c r="BU296" s="569">
        <v>0.68259999999999998</v>
      </c>
      <c r="BV296" s="571"/>
      <c r="BW296" s="393" t="s">
        <v>3117</v>
      </c>
      <c r="BX296" s="560" t="s">
        <v>3831</v>
      </c>
      <c r="BY296" s="561"/>
      <c r="BZ296" s="561"/>
      <c r="CA296" s="441" t="s">
        <v>1662</v>
      </c>
      <c r="CB296" s="400">
        <v>3</v>
      </c>
      <c r="CC296" s="568"/>
      <c r="CD296" s="568"/>
      <c r="CE296" s="568"/>
      <c r="CF296" s="568"/>
      <c r="CG296" s="568"/>
      <c r="CH296" s="568"/>
      <c r="CI296" s="568"/>
      <c r="CJ296" s="568"/>
      <c r="CK296" s="568"/>
      <c r="CL296" s="568"/>
      <c r="CM296" s="568"/>
      <c r="CN296" s="568">
        <v>15.807</v>
      </c>
      <c r="CO296" s="568">
        <v>63.226999999999997</v>
      </c>
      <c r="CP296" s="568">
        <v>63.226999999999997</v>
      </c>
      <c r="CQ296" s="568">
        <v>63.226999999999997</v>
      </c>
      <c r="CR296" s="568">
        <v>63.226999999999997</v>
      </c>
      <c r="CS296" s="568">
        <v>63.226999999999997</v>
      </c>
      <c r="CT296" s="568">
        <v>63.226999999999997</v>
      </c>
      <c r="CU296" s="568">
        <v>47.42</v>
      </c>
      <c r="CV296" s="568"/>
      <c r="CW296" s="568"/>
      <c r="CX296" s="568"/>
      <c r="CY296" s="568"/>
      <c r="CZ296" s="568"/>
      <c r="DA296" s="568"/>
      <c r="DB296" s="568"/>
      <c r="DC296" s="568"/>
      <c r="DD296" s="568"/>
      <c r="DE296" s="561"/>
      <c r="DF296" s="561"/>
      <c r="DG296" s="561"/>
      <c r="DH296" s="561"/>
      <c r="DI296" s="561"/>
      <c r="DJ296" s="561"/>
      <c r="DK296" s="897"/>
    </row>
    <row r="297" spans="1:115" ht="38.25" x14ac:dyDescent="0.2">
      <c r="A297" s="295">
        <v>293</v>
      </c>
      <c r="B297" s="390" t="s">
        <v>9206</v>
      </c>
      <c r="C297" s="390"/>
      <c r="D297" s="391" t="s">
        <v>9207</v>
      </c>
      <c r="E297" s="709" t="s">
        <v>9211</v>
      </c>
      <c r="F297" s="393" t="s">
        <v>1352</v>
      </c>
      <c r="G297" s="393" t="s">
        <v>1672</v>
      </c>
      <c r="H297" s="393" t="s">
        <v>89</v>
      </c>
      <c r="I297" s="563"/>
      <c r="J297" s="563"/>
      <c r="K297" s="560" t="s">
        <v>9217</v>
      </c>
      <c r="L297" s="392" t="s">
        <v>7180</v>
      </c>
      <c r="M297" s="563"/>
      <c r="N297" s="393" t="s">
        <v>44</v>
      </c>
      <c r="O297" s="393" t="s">
        <v>289</v>
      </c>
      <c r="P297" s="393" t="s">
        <v>289</v>
      </c>
      <c r="Q297" s="392" t="s">
        <v>721</v>
      </c>
      <c r="R297" s="560" t="s">
        <v>9218</v>
      </c>
      <c r="S297" s="392" t="s">
        <v>650</v>
      </c>
      <c r="T297" s="394">
        <v>1</v>
      </c>
      <c r="U297" s="565">
        <v>44.444000000000003</v>
      </c>
      <c r="V297" s="565"/>
      <c r="W297" s="566"/>
      <c r="X297" s="564"/>
      <c r="Y297" s="564">
        <v>7</v>
      </c>
      <c r="Z297" s="564">
        <v>30</v>
      </c>
      <c r="AA297" s="565">
        <v>0</v>
      </c>
      <c r="AB297" s="567">
        <v>43221</v>
      </c>
      <c r="AC297" s="568">
        <v>0</v>
      </c>
      <c r="AD297" s="568">
        <v>118.72027397260274</v>
      </c>
      <c r="AE297" s="393" t="s">
        <v>225</v>
      </c>
      <c r="AF297" s="569"/>
      <c r="AG297" s="569"/>
      <c r="AH297" s="569"/>
      <c r="AI297" s="564"/>
      <c r="AJ297" s="566"/>
      <c r="AK297" s="566"/>
      <c r="AL297" s="561"/>
      <c r="AM297" s="561"/>
      <c r="AN297" s="569"/>
      <c r="AO297" s="563"/>
      <c r="AP297" s="428" t="s">
        <v>8175</v>
      </c>
      <c r="AQ297" s="563"/>
      <c r="AR297" s="392" t="s">
        <v>7182</v>
      </c>
      <c r="AS297" s="479">
        <v>40177</v>
      </c>
      <c r="AT297" s="566"/>
      <c r="AU297" s="566"/>
      <c r="AV297" s="566"/>
      <c r="AW297" s="566"/>
      <c r="AX297" s="566"/>
      <c r="AY297" s="566"/>
      <c r="AZ297" s="567">
        <v>43006</v>
      </c>
      <c r="BA297" s="561"/>
      <c r="BB297" s="561"/>
      <c r="BC297" s="561" t="b">
        <v>1</v>
      </c>
      <c r="BD297" s="561"/>
      <c r="BE297" s="563"/>
      <c r="BF297" s="394">
        <v>12</v>
      </c>
      <c r="BG297" s="394">
        <v>1</v>
      </c>
      <c r="BH297" s="394">
        <v>5</v>
      </c>
      <c r="BI297" s="394">
        <v>9</v>
      </c>
      <c r="BJ297" s="394">
        <v>6</v>
      </c>
      <c r="BK297" s="394">
        <v>3</v>
      </c>
      <c r="BL297" s="444" t="s">
        <v>6981</v>
      </c>
      <c r="BM297" s="563"/>
      <c r="BN297" s="561"/>
      <c r="BO297" s="561"/>
      <c r="BP297" s="571"/>
      <c r="BQ297" s="572"/>
      <c r="BR297" s="573"/>
      <c r="BS297" s="571">
        <v>15</v>
      </c>
      <c r="BT297" s="564">
        <v>65109</v>
      </c>
      <c r="BU297" s="569">
        <v>0.68259999999999998</v>
      </c>
      <c r="BV297" s="571"/>
      <c r="BW297" s="393" t="s">
        <v>3117</v>
      </c>
      <c r="BX297" s="560" t="s">
        <v>3831</v>
      </c>
      <c r="BY297" s="561"/>
      <c r="BZ297" s="561"/>
      <c r="CA297" s="441" t="s">
        <v>1662</v>
      </c>
      <c r="CB297" s="400">
        <v>3</v>
      </c>
      <c r="CC297" s="568"/>
      <c r="CD297" s="568"/>
      <c r="CE297" s="568"/>
      <c r="CF297" s="568"/>
      <c r="CG297" s="568"/>
      <c r="CH297" s="568"/>
      <c r="CI297" s="568"/>
      <c r="CJ297" s="568"/>
      <c r="CK297" s="568"/>
      <c r="CL297" s="568"/>
      <c r="CM297" s="568"/>
      <c r="CN297" s="568">
        <v>29.629000000000001</v>
      </c>
      <c r="CO297" s="568">
        <v>44.444000000000003</v>
      </c>
      <c r="CP297" s="568">
        <v>44.444000000000003</v>
      </c>
      <c r="CQ297" s="568">
        <v>44.444000000000003</v>
      </c>
      <c r="CR297" s="568">
        <v>44.444000000000003</v>
      </c>
      <c r="CS297" s="568">
        <v>44.444000000000003</v>
      </c>
      <c r="CT297" s="568">
        <v>44.444000000000003</v>
      </c>
      <c r="CU297" s="568">
        <v>14.815</v>
      </c>
      <c r="CV297" s="568"/>
      <c r="CW297" s="568"/>
      <c r="CX297" s="568"/>
      <c r="CY297" s="568"/>
      <c r="CZ297" s="568"/>
      <c r="DA297" s="568"/>
      <c r="DB297" s="568"/>
      <c r="DC297" s="568"/>
      <c r="DD297" s="568"/>
      <c r="DE297" s="561"/>
      <c r="DF297" s="561"/>
      <c r="DG297" s="561"/>
      <c r="DH297" s="561"/>
      <c r="DI297" s="561"/>
      <c r="DJ297" s="561"/>
      <c r="DK297" s="897"/>
    </row>
    <row r="298" spans="1:115" ht="51" x14ac:dyDescent="0.2">
      <c r="A298" s="295">
        <v>294</v>
      </c>
      <c r="B298" s="390" t="s">
        <v>1010</v>
      </c>
      <c r="C298" s="424" t="s">
        <v>7456</v>
      </c>
      <c r="D298" s="391" t="s">
        <v>5031</v>
      </c>
      <c r="E298" s="705" t="s">
        <v>1946</v>
      </c>
      <c r="F298" s="393" t="s">
        <v>1340</v>
      </c>
      <c r="G298" s="393" t="s">
        <v>1359</v>
      </c>
      <c r="H298" s="393" t="s">
        <v>1346</v>
      </c>
      <c r="I298" s="392"/>
      <c r="J298" s="392" t="s">
        <v>1346</v>
      </c>
      <c r="K298" s="392"/>
      <c r="L298" s="392" t="s">
        <v>1011</v>
      </c>
      <c r="M298" s="392" t="s">
        <v>3955</v>
      </c>
      <c r="N298" s="393" t="s">
        <v>44</v>
      </c>
      <c r="O298" s="393" t="s">
        <v>51</v>
      </c>
      <c r="P298" s="393" t="s">
        <v>51</v>
      </c>
      <c r="Q298" s="392" t="s">
        <v>976</v>
      </c>
      <c r="R298" s="392"/>
      <c r="S298" s="392" t="s">
        <v>977</v>
      </c>
      <c r="T298" s="394">
        <v>3</v>
      </c>
      <c r="U298" s="395">
        <v>128.279</v>
      </c>
      <c r="V298" s="395"/>
      <c r="W298" s="452">
        <v>40189</v>
      </c>
      <c r="X298" s="394">
        <v>28</v>
      </c>
      <c r="Y298" s="394"/>
      <c r="Z298" s="394"/>
      <c r="AA298" s="395"/>
      <c r="AB298" s="453"/>
      <c r="AC298" s="398">
        <v>0</v>
      </c>
      <c r="AD298" s="398">
        <v>601.42106575342473</v>
      </c>
      <c r="AE298" s="393" t="s">
        <v>37</v>
      </c>
      <c r="AF298" s="417"/>
      <c r="AG298" s="417"/>
      <c r="AH298" s="417">
        <v>0</v>
      </c>
      <c r="AI298" s="394"/>
      <c r="AJ298" s="453"/>
      <c r="AK298" s="453"/>
      <c r="AL298" s="393"/>
      <c r="AM298" s="393"/>
      <c r="AN298" s="417"/>
      <c r="AO298" s="392"/>
      <c r="AP298" s="392" t="s">
        <v>7054</v>
      </c>
      <c r="AQ298" s="392"/>
      <c r="AR298" s="392" t="s">
        <v>1012</v>
      </c>
      <c r="AS298" s="479">
        <v>40177</v>
      </c>
      <c r="AT298" s="453"/>
      <c r="AU298" s="453"/>
      <c r="AV298" s="452">
        <v>40784</v>
      </c>
      <c r="AW298" s="452">
        <v>41261</v>
      </c>
      <c r="AX298" s="453"/>
      <c r="AY298" s="452">
        <v>41262</v>
      </c>
      <c r="AZ298" s="453"/>
      <c r="BA298" s="393"/>
      <c r="BB298" s="393" t="s">
        <v>3116</v>
      </c>
      <c r="BC298" s="393" t="b">
        <v>0</v>
      </c>
      <c r="BD298" s="393" t="s">
        <v>3147</v>
      </c>
      <c r="BE298" s="392"/>
      <c r="BF298" s="394">
        <v>4</v>
      </c>
      <c r="BG298" s="394">
        <v>9</v>
      </c>
      <c r="BH298" s="394">
        <v>8</v>
      </c>
      <c r="BI298" s="394">
        <v>11</v>
      </c>
      <c r="BJ298" s="394">
        <v>6</v>
      </c>
      <c r="BK298" s="394">
        <v>7</v>
      </c>
      <c r="BL298" s="444"/>
      <c r="BM298" s="392"/>
      <c r="BN298" s="393"/>
      <c r="BO298" s="393"/>
      <c r="BP298" s="399"/>
      <c r="BQ298" s="400"/>
      <c r="BR298" s="401"/>
      <c r="BS298" s="399">
        <v>0</v>
      </c>
      <c r="BT298" s="394"/>
      <c r="BU298" s="417"/>
      <c r="BV298" s="399"/>
      <c r="BW298" s="393"/>
      <c r="BX298" s="392"/>
      <c r="BY298" s="475" t="s">
        <v>7227</v>
      </c>
      <c r="BZ298" s="393"/>
      <c r="CA298" s="441"/>
      <c r="CB298" s="400"/>
      <c r="CC298" s="398"/>
      <c r="CD298" s="398"/>
      <c r="CE298" s="398"/>
      <c r="CF298" s="398"/>
      <c r="CG298" s="398"/>
      <c r="CH298" s="398"/>
      <c r="CI298" s="398"/>
      <c r="CJ298" s="398"/>
      <c r="CK298" s="398"/>
      <c r="CL298" s="398"/>
      <c r="CM298" s="398"/>
      <c r="CN298" s="398"/>
      <c r="CO298" s="398"/>
      <c r="CP298" s="398"/>
      <c r="CQ298" s="398"/>
      <c r="CR298" s="398"/>
      <c r="CS298" s="398"/>
      <c r="CT298" s="398"/>
      <c r="CU298" s="398"/>
      <c r="CV298" s="398"/>
      <c r="CW298" s="398"/>
      <c r="CX298" s="398"/>
      <c r="CY298" s="398"/>
      <c r="CZ298" s="398"/>
      <c r="DA298" s="398"/>
      <c r="DB298" s="398"/>
      <c r="DC298" s="398"/>
      <c r="DD298" s="398"/>
      <c r="DE298" s="393"/>
      <c r="DF298" s="393"/>
      <c r="DG298" s="393"/>
      <c r="DH298" s="393"/>
      <c r="DI298" s="393"/>
      <c r="DJ298" s="393"/>
      <c r="DK298" s="896" t="s">
        <v>9698</v>
      </c>
    </row>
    <row r="299" spans="1:115" ht="38.25" x14ac:dyDescent="0.2">
      <c r="A299" s="295">
        <v>295</v>
      </c>
      <c r="B299" s="390" t="s">
        <v>2622</v>
      </c>
      <c r="C299" s="390"/>
      <c r="D299" s="391" t="s">
        <v>4595</v>
      </c>
      <c r="E299" s="704" t="s">
        <v>1013</v>
      </c>
      <c r="F299" s="393" t="s">
        <v>1340</v>
      </c>
      <c r="G299" s="393" t="s">
        <v>1359</v>
      </c>
      <c r="H299" s="393" t="s">
        <v>1346</v>
      </c>
      <c r="I299" s="392"/>
      <c r="J299" s="392"/>
      <c r="K299" s="392" t="s">
        <v>2136</v>
      </c>
      <c r="L299" s="392" t="s">
        <v>1011</v>
      </c>
      <c r="M299" s="392"/>
      <c r="N299" s="393" t="s">
        <v>44</v>
      </c>
      <c r="O299" s="393" t="s">
        <v>51</v>
      </c>
      <c r="P299" s="393" t="s">
        <v>51</v>
      </c>
      <c r="Q299" s="392" t="s">
        <v>976</v>
      </c>
      <c r="R299" s="392" t="s">
        <v>3956</v>
      </c>
      <c r="S299" s="392" t="s">
        <v>977</v>
      </c>
      <c r="T299" s="394">
        <v>1</v>
      </c>
      <c r="U299" s="395">
        <v>42.773000000000003</v>
      </c>
      <c r="V299" s="395"/>
      <c r="W299" s="453"/>
      <c r="X299" s="394"/>
      <c r="Y299" s="394">
        <v>7</v>
      </c>
      <c r="Z299" s="394">
        <v>7</v>
      </c>
      <c r="AA299" s="395">
        <v>0</v>
      </c>
      <c r="AB299" s="452">
        <v>41293</v>
      </c>
      <c r="AC299" s="398">
        <v>0</v>
      </c>
      <c r="AD299" s="398">
        <v>340.1918328767124</v>
      </c>
      <c r="AE299" s="393" t="s">
        <v>37</v>
      </c>
      <c r="AF299" s="417"/>
      <c r="AG299" s="417"/>
      <c r="AH299" s="417"/>
      <c r="AI299" s="394"/>
      <c r="AJ299" s="453"/>
      <c r="AK299" s="453"/>
      <c r="AL299" s="393"/>
      <c r="AM299" s="393"/>
      <c r="AN299" s="417"/>
      <c r="AO299" s="392"/>
      <c r="AP299" s="392" t="s">
        <v>7054</v>
      </c>
      <c r="AQ299" s="392"/>
      <c r="AR299" s="392" t="s">
        <v>1012</v>
      </c>
      <c r="AS299" s="479">
        <v>40177</v>
      </c>
      <c r="AT299" s="397"/>
      <c r="AU299" s="397"/>
      <c r="AV299" s="453"/>
      <c r="AW299" s="453"/>
      <c r="AX299" s="453"/>
      <c r="AY299" s="453"/>
      <c r="AZ299" s="452">
        <v>41262</v>
      </c>
      <c r="BA299" s="393"/>
      <c r="BB299" s="393"/>
      <c r="BC299" s="393" t="b">
        <v>0</v>
      </c>
      <c r="BD299" s="393"/>
      <c r="BE299" s="392"/>
      <c r="BF299" s="394">
        <v>4</v>
      </c>
      <c r="BG299" s="394">
        <v>9</v>
      </c>
      <c r="BH299" s="394">
        <v>8</v>
      </c>
      <c r="BI299" s="394">
        <v>11</v>
      </c>
      <c r="BJ299" s="394">
        <v>6</v>
      </c>
      <c r="BK299" s="394">
        <v>7</v>
      </c>
      <c r="BL299" s="444" t="s">
        <v>6985</v>
      </c>
      <c r="BM299" s="392"/>
      <c r="BN299" s="393"/>
      <c r="BO299" s="393"/>
      <c r="BP299" s="399"/>
      <c r="BQ299" s="400"/>
      <c r="BR299" s="401"/>
      <c r="BS299" s="399"/>
      <c r="BT299" s="394"/>
      <c r="BU299" s="417"/>
      <c r="BV299" s="399">
        <v>180</v>
      </c>
      <c r="BW299" s="393" t="s">
        <v>3117</v>
      </c>
      <c r="BX299" s="392" t="s">
        <v>3182</v>
      </c>
      <c r="BY299" s="475" t="s">
        <v>7227</v>
      </c>
      <c r="BZ299" s="393"/>
      <c r="CA299" s="441"/>
      <c r="CB299" s="400"/>
      <c r="CC299" s="398"/>
      <c r="CD299" s="398"/>
      <c r="CE299" s="398"/>
      <c r="CF299" s="398">
        <v>2.2610000000000001</v>
      </c>
      <c r="CG299" s="398">
        <v>2.2610000000000001</v>
      </c>
      <c r="CH299" s="398">
        <v>2.2610000000000001</v>
      </c>
      <c r="CI299" s="398">
        <v>2.2610000000000001</v>
      </c>
      <c r="CJ299" s="398">
        <v>2.2610000000000001</v>
      </c>
      <c r="CK299" s="398">
        <v>2.2610000000000001</v>
      </c>
      <c r="CL299" s="398">
        <v>2.2610000000000001</v>
      </c>
      <c r="CM299" s="398">
        <v>2.2610000000000001</v>
      </c>
      <c r="CN299" s="398">
        <v>2.2610000000000001</v>
      </c>
      <c r="CO299" s="398">
        <v>2.2610000000000001</v>
      </c>
      <c r="CP299" s="398">
        <v>2.2610000000000001</v>
      </c>
      <c r="CQ299" s="398">
        <v>2.2610000000000001</v>
      </c>
      <c r="CR299" s="398">
        <v>2.2610000000000001</v>
      </c>
      <c r="CS299" s="398">
        <v>2.2610000000000001</v>
      </c>
      <c r="CT299" s="398">
        <v>2.2610000000000001</v>
      </c>
      <c r="CU299" s="398">
        <v>2.2610000000000001</v>
      </c>
      <c r="CV299" s="398">
        <v>2.2610000000000001</v>
      </c>
      <c r="CW299" s="398">
        <v>2.2610000000000001</v>
      </c>
      <c r="CX299" s="398">
        <v>2.2610000000000001</v>
      </c>
      <c r="CY299" s="398">
        <v>2.2610000000000001</v>
      </c>
      <c r="CZ299" s="398">
        <v>2.2610000000000001</v>
      </c>
      <c r="DA299" s="398"/>
      <c r="DB299" s="398"/>
      <c r="DC299" s="398"/>
      <c r="DD299" s="398"/>
      <c r="DE299" s="393"/>
      <c r="DF299" s="393"/>
      <c r="DG299" s="393"/>
      <c r="DH299" s="393"/>
      <c r="DI299" s="393"/>
      <c r="DJ299" s="393"/>
      <c r="DK299" s="897"/>
    </row>
    <row r="300" spans="1:115" ht="38.25" x14ac:dyDescent="0.2">
      <c r="A300" s="295">
        <v>296</v>
      </c>
      <c r="B300" s="449" t="s">
        <v>9093</v>
      </c>
      <c r="C300" s="390"/>
      <c r="D300" s="474" t="s">
        <v>9094</v>
      </c>
      <c r="E300" s="705" t="s">
        <v>9095</v>
      </c>
      <c r="F300" s="393" t="s">
        <v>1340</v>
      </c>
      <c r="G300" s="393" t="s">
        <v>1359</v>
      </c>
      <c r="H300" s="393" t="s">
        <v>1346</v>
      </c>
      <c r="I300" s="392"/>
      <c r="J300" s="392"/>
      <c r="K300" s="428" t="s">
        <v>9096</v>
      </c>
      <c r="L300" s="392" t="s">
        <v>1011</v>
      </c>
      <c r="M300" s="392"/>
      <c r="N300" s="393" t="s">
        <v>44</v>
      </c>
      <c r="O300" s="393" t="s">
        <v>51</v>
      </c>
      <c r="P300" s="393" t="s">
        <v>51</v>
      </c>
      <c r="Q300" s="392" t="s">
        <v>976</v>
      </c>
      <c r="R300" s="428" t="s">
        <v>9097</v>
      </c>
      <c r="S300" s="392" t="s">
        <v>977</v>
      </c>
      <c r="T300" s="394">
        <v>1</v>
      </c>
      <c r="U300" s="395">
        <v>42.773000000000003</v>
      </c>
      <c r="V300" s="395"/>
      <c r="W300" s="453"/>
      <c r="X300" s="394"/>
      <c r="Y300" s="394">
        <v>7</v>
      </c>
      <c r="Z300" s="394">
        <v>7</v>
      </c>
      <c r="AA300" s="395">
        <v>0</v>
      </c>
      <c r="AB300" s="452">
        <v>42844</v>
      </c>
      <c r="AC300" s="398">
        <v>0</v>
      </c>
      <c r="AD300" s="398">
        <v>158.43587945205482</v>
      </c>
      <c r="AE300" s="393" t="s">
        <v>37</v>
      </c>
      <c r="AF300" s="417"/>
      <c r="AG300" s="417"/>
      <c r="AH300" s="417"/>
      <c r="AI300" s="394"/>
      <c r="AJ300" s="453"/>
      <c r="AK300" s="453"/>
      <c r="AL300" s="393"/>
      <c r="AM300" s="393"/>
      <c r="AN300" s="417"/>
      <c r="AO300" s="392"/>
      <c r="AP300" s="392" t="s">
        <v>7054</v>
      </c>
      <c r="AQ300" s="392"/>
      <c r="AR300" s="428" t="s">
        <v>1049</v>
      </c>
      <c r="AS300" s="479">
        <v>40177</v>
      </c>
      <c r="AT300" s="453"/>
      <c r="AU300" s="453"/>
      <c r="AV300" s="453"/>
      <c r="AW300" s="453"/>
      <c r="AX300" s="453"/>
      <c r="AY300" s="453"/>
      <c r="AZ300" s="452">
        <v>42844</v>
      </c>
      <c r="BA300" s="393"/>
      <c r="BB300" s="393"/>
      <c r="BC300" s="393" t="b">
        <v>0</v>
      </c>
      <c r="BD300" s="393"/>
      <c r="BE300" s="392"/>
      <c r="BF300" s="394">
        <v>4</v>
      </c>
      <c r="BG300" s="394">
        <v>9</v>
      </c>
      <c r="BH300" s="394">
        <v>8</v>
      </c>
      <c r="BI300" s="394">
        <v>11</v>
      </c>
      <c r="BJ300" s="394">
        <v>6</v>
      </c>
      <c r="BK300" s="394">
        <v>7</v>
      </c>
      <c r="BL300" s="444" t="s">
        <v>6985</v>
      </c>
      <c r="BM300" s="392"/>
      <c r="BN300" s="393"/>
      <c r="BO300" s="393"/>
      <c r="BP300" s="399"/>
      <c r="BQ300" s="400"/>
      <c r="BR300" s="401"/>
      <c r="BS300" s="399"/>
      <c r="BT300" s="394"/>
      <c r="BU300" s="417"/>
      <c r="BV300" s="399">
        <v>180</v>
      </c>
      <c r="BW300" s="393" t="s">
        <v>3117</v>
      </c>
      <c r="BX300" s="392" t="s">
        <v>3182</v>
      </c>
      <c r="BY300" s="475" t="s">
        <v>7227</v>
      </c>
      <c r="BZ300" s="393"/>
      <c r="CA300" s="441"/>
      <c r="CB300" s="400"/>
      <c r="CC300" s="398"/>
      <c r="CD300" s="398"/>
      <c r="CE300" s="398"/>
      <c r="CF300" s="398"/>
      <c r="CG300" s="398"/>
      <c r="CH300" s="398"/>
      <c r="CI300" s="398"/>
      <c r="CJ300" s="398"/>
      <c r="CK300" s="398"/>
      <c r="CL300" s="398"/>
      <c r="CM300" s="398">
        <v>2.2610000000000001</v>
      </c>
      <c r="CN300" s="398">
        <v>2.2610000000000001</v>
      </c>
      <c r="CO300" s="398">
        <v>2.2610000000000001</v>
      </c>
      <c r="CP300" s="398">
        <v>2.2610000000000001</v>
      </c>
      <c r="CQ300" s="398">
        <v>2.2610000000000001</v>
      </c>
      <c r="CR300" s="398">
        <v>2.2610000000000001</v>
      </c>
      <c r="CS300" s="398">
        <v>2.2610000000000001</v>
      </c>
      <c r="CT300" s="398">
        <v>2.2610000000000001</v>
      </c>
      <c r="CU300" s="398">
        <v>2.2610000000000001</v>
      </c>
      <c r="CV300" s="398">
        <v>2.2610000000000001</v>
      </c>
      <c r="CW300" s="398">
        <v>2.2610000000000001</v>
      </c>
      <c r="CX300" s="398">
        <v>2.2610000000000001</v>
      </c>
      <c r="CY300" s="398">
        <v>2.2610000000000001</v>
      </c>
      <c r="CZ300" s="398">
        <v>2.2610000000000001</v>
      </c>
      <c r="DA300" s="398">
        <v>2.2610000000000001</v>
      </c>
      <c r="DB300" s="398">
        <v>2.2610000000000001</v>
      </c>
      <c r="DC300" s="398">
        <v>2.2610000000000001</v>
      </c>
      <c r="DD300" s="398">
        <v>2.2610000000000001</v>
      </c>
      <c r="DE300" s="398">
        <v>2.2610000000000001</v>
      </c>
      <c r="DF300" s="398">
        <v>2.2610000000000001</v>
      </c>
      <c r="DG300" s="398">
        <v>2.2610000000000001</v>
      </c>
      <c r="DH300" s="393"/>
      <c r="DI300" s="393"/>
      <c r="DJ300" s="393"/>
      <c r="DK300" s="897"/>
    </row>
    <row r="301" spans="1:115" ht="25.5" x14ac:dyDescent="0.2">
      <c r="A301" s="295">
        <v>297</v>
      </c>
      <c r="B301" s="390" t="s">
        <v>9620</v>
      </c>
      <c r="C301" s="390"/>
      <c r="D301" s="391" t="s">
        <v>9621</v>
      </c>
      <c r="E301" s="709" t="s">
        <v>9622</v>
      </c>
      <c r="F301" s="393" t="s">
        <v>1340</v>
      </c>
      <c r="G301" s="393" t="s">
        <v>1359</v>
      </c>
      <c r="H301" s="393" t="s">
        <v>1346</v>
      </c>
      <c r="I301" s="563"/>
      <c r="J301" s="563"/>
      <c r="K301" s="560" t="s">
        <v>9096</v>
      </c>
      <c r="L301" s="560" t="s">
        <v>1011</v>
      </c>
      <c r="M301" s="563"/>
      <c r="N301" s="562" t="s">
        <v>44</v>
      </c>
      <c r="O301" s="393" t="s">
        <v>51</v>
      </c>
      <c r="P301" s="393" t="s">
        <v>51</v>
      </c>
      <c r="Q301" s="392" t="s">
        <v>976</v>
      </c>
      <c r="R301" s="560" t="s">
        <v>9623</v>
      </c>
      <c r="S301" s="560" t="s">
        <v>977</v>
      </c>
      <c r="T301" s="564">
        <v>1</v>
      </c>
      <c r="U301" s="565">
        <v>42.732999999999997</v>
      </c>
      <c r="V301" s="565"/>
      <c r="W301" s="566"/>
      <c r="X301" s="564"/>
      <c r="Y301" s="564">
        <v>7</v>
      </c>
      <c r="Z301" s="564">
        <v>21</v>
      </c>
      <c r="AA301" s="565">
        <v>0</v>
      </c>
      <c r="AB301" s="567">
        <v>43318</v>
      </c>
      <c r="AC301" s="568">
        <v>0</v>
      </c>
      <c r="AD301" s="568">
        <v>102.79335342465754</v>
      </c>
      <c r="AE301" s="562" t="s">
        <v>37</v>
      </c>
      <c r="AF301" s="569"/>
      <c r="AG301" s="569"/>
      <c r="AH301" s="569"/>
      <c r="AI301" s="564"/>
      <c r="AJ301" s="566"/>
      <c r="AK301" s="566"/>
      <c r="AL301" s="561"/>
      <c r="AM301" s="561"/>
      <c r="AN301" s="569"/>
      <c r="AO301" s="563"/>
      <c r="AP301" s="560" t="s">
        <v>7054</v>
      </c>
      <c r="AQ301" s="563"/>
      <c r="AR301" s="560" t="s">
        <v>1049</v>
      </c>
      <c r="AS301" s="578">
        <v>40177</v>
      </c>
      <c r="AT301" s="566"/>
      <c r="AU301" s="566"/>
      <c r="AV301" s="566"/>
      <c r="AW301" s="566"/>
      <c r="AX301" s="566"/>
      <c r="AY301" s="566"/>
      <c r="AZ301" s="567">
        <v>43305</v>
      </c>
      <c r="BA301" s="561"/>
      <c r="BB301" s="561"/>
      <c r="BC301" s="561" t="b">
        <v>0</v>
      </c>
      <c r="BD301" s="561"/>
      <c r="BE301" s="563"/>
      <c r="BF301" s="394">
        <v>4</v>
      </c>
      <c r="BG301" s="394">
        <v>9</v>
      </c>
      <c r="BH301" s="394">
        <v>8</v>
      </c>
      <c r="BI301" s="394">
        <v>11</v>
      </c>
      <c r="BJ301" s="394">
        <v>6</v>
      </c>
      <c r="BK301" s="394">
        <v>7</v>
      </c>
      <c r="BL301" s="444" t="s">
        <v>6985</v>
      </c>
      <c r="BM301" s="563"/>
      <c r="BN301" s="561"/>
      <c r="BO301" s="561"/>
      <c r="BP301" s="571"/>
      <c r="BQ301" s="572"/>
      <c r="BR301" s="573"/>
      <c r="BS301" s="571"/>
      <c r="BT301" s="564"/>
      <c r="BU301" s="569"/>
      <c r="BV301" s="571"/>
      <c r="BW301" s="562" t="s">
        <v>3117</v>
      </c>
      <c r="BX301" s="563"/>
      <c r="BY301" s="562" t="s">
        <v>7227</v>
      </c>
      <c r="BZ301" s="561"/>
      <c r="CA301" s="574"/>
      <c r="CB301" s="572"/>
      <c r="CC301" s="568"/>
      <c r="CD301" s="568"/>
      <c r="CE301" s="568"/>
      <c r="CF301" s="568"/>
      <c r="CG301" s="568"/>
      <c r="CH301" s="568"/>
      <c r="CI301" s="568"/>
      <c r="CJ301" s="568"/>
      <c r="CK301" s="568"/>
      <c r="CL301" s="568"/>
      <c r="CM301" s="568"/>
      <c r="CN301" s="568">
        <v>42.773000000000003</v>
      </c>
      <c r="CO301" s="568">
        <v>42.773000000000003</v>
      </c>
      <c r="CP301" s="568">
        <v>42.773000000000003</v>
      </c>
      <c r="CQ301" s="568">
        <v>42.773000000000003</v>
      </c>
      <c r="CR301" s="568">
        <v>42.773000000000003</v>
      </c>
      <c r="CS301" s="568">
        <v>42.773000000000003</v>
      </c>
      <c r="CT301" s="568">
        <v>42.773000000000003</v>
      </c>
      <c r="CU301" s="568"/>
      <c r="CV301" s="568"/>
      <c r="CW301" s="568"/>
      <c r="CX301" s="568"/>
      <c r="CY301" s="568"/>
      <c r="CZ301" s="568"/>
      <c r="DA301" s="568"/>
      <c r="DB301" s="568"/>
      <c r="DC301" s="568"/>
      <c r="DD301" s="568"/>
      <c r="DE301" s="568"/>
      <c r="DF301" s="568"/>
      <c r="DG301" s="568"/>
      <c r="DH301" s="561"/>
      <c r="DI301" s="561"/>
      <c r="DJ301" s="561"/>
      <c r="DK301" s="897"/>
    </row>
    <row r="302" spans="1:115" ht="51" x14ac:dyDescent="0.2">
      <c r="A302" s="295">
        <v>298</v>
      </c>
      <c r="B302" s="390" t="s">
        <v>181</v>
      </c>
      <c r="C302" s="424" t="s">
        <v>7457</v>
      </c>
      <c r="D302" s="391"/>
      <c r="E302" s="706" t="s">
        <v>1947</v>
      </c>
      <c r="F302" s="390" t="s">
        <v>1352</v>
      </c>
      <c r="G302" s="390" t="s">
        <v>1671</v>
      </c>
      <c r="H302" s="390" t="s">
        <v>117</v>
      </c>
      <c r="I302" s="402"/>
      <c r="J302" s="402" t="s">
        <v>182</v>
      </c>
      <c r="K302" s="402"/>
      <c r="L302" s="402" t="s">
        <v>183</v>
      </c>
      <c r="M302" s="402" t="s">
        <v>3957</v>
      </c>
      <c r="N302" s="390" t="s">
        <v>33</v>
      </c>
      <c r="O302" s="390" t="s">
        <v>69</v>
      </c>
      <c r="P302" s="390" t="s">
        <v>69</v>
      </c>
      <c r="Q302" s="402" t="s">
        <v>172</v>
      </c>
      <c r="R302" s="402"/>
      <c r="S302" s="402" t="s">
        <v>46</v>
      </c>
      <c r="T302" s="411">
        <v>1</v>
      </c>
      <c r="U302" s="412">
        <v>4.1349999999999998</v>
      </c>
      <c r="V302" s="412"/>
      <c r="W302" s="457">
        <v>39448</v>
      </c>
      <c r="X302" s="411">
        <v>28</v>
      </c>
      <c r="Y302" s="411"/>
      <c r="Z302" s="411"/>
      <c r="AA302" s="412"/>
      <c r="AB302" s="454"/>
      <c r="AC302" s="413">
        <v>8.27</v>
      </c>
      <c r="AD302" s="413">
        <v>41.349999999999994</v>
      </c>
      <c r="AE302" s="390" t="s">
        <v>37</v>
      </c>
      <c r="AF302" s="419"/>
      <c r="AG302" s="419"/>
      <c r="AH302" s="419">
        <v>0</v>
      </c>
      <c r="AI302" s="411"/>
      <c r="AJ302" s="454"/>
      <c r="AK302" s="454"/>
      <c r="AL302" s="390"/>
      <c r="AM302" s="390"/>
      <c r="AN302" s="419"/>
      <c r="AO302" s="402"/>
      <c r="AP302" s="402" t="s">
        <v>7052</v>
      </c>
      <c r="AQ302" s="402"/>
      <c r="AR302" s="402" t="s">
        <v>4213</v>
      </c>
      <c r="AS302" s="481">
        <v>40177</v>
      </c>
      <c r="AT302" s="454"/>
      <c r="AU302" s="454"/>
      <c r="AV302" s="454"/>
      <c r="AW302" s="454"/>
      <c r="AX302" s="454"/>
      <c r="AY302" s="454"/>
      <c r="AZ302" s="454"/>
      <c r="BA302" s="390"/>
      <c r="BB302" s="390" t="s">
        <v>3116</v>
      </c>
      <c r="BC302" s="390" t="b">
        <v>1</v>
      </c>
      <c r="BD302" s="390" t="s">
        <v>3116</v>
      </c>
      <c r="BE302" s="402"/>
      <c r="BF302" s="411">
        <v>1</v>
      </c>
      <c r="BG302" s="411">
        <v>6</v>
      </c>
      <c r="BH302" s="411">
        <v>8</v>
      </c>
      <c r="BI302" s="411">
        <v>9</v>
      </c>
      <c r="BJ302" s="411">
        <v>5</v>
      </c>
      <c r="BK302" s="411">
        <v>11</v>
      </c>
      <c r="BL302" s="445"/>
      <c r="BM302" s="402"/>
      <c r="BN302" s="390"/>
      <c r="BO302" s="390"/>
      <c r="BP302" s="414"/>
      <c r="BQ302" s="415"/>
      <c r="BR302" s="416"/>
      <c r="BS302" s="414">
        <v>0</v>
      </c>
      <c r="BT302" s="411"/>
      <c r="BU302" s="419"/>
      <c r="BV302" s="414"/>
      <c r="BW302" s="390"/>
      <c r="BX302" s="402"/>
      <c r="BY302" s="390"/>
      <c r="BZ302" s="390"/>
      <c r="CA302" s="442"/>
      <c r="CB302" s="415"/>
      <c r="CC302" s="413"/>
      <c r="CD302" s="413"/>
      <c r="CE302" s="413"/>
      <c r="CF302" s="413"/>
      <c r="CG302" s="413"/>
      <c r="CH302" s="413"/>
      <c r="CI302" s="413"/>
      <c r="CJ302" s="413"/>
      <c r="CK302" s="413"/>
      <c r="CL302" s="413"/>
      <c r="CM302" s="413"/>
      <c r="CN302" s="413"/>
      <c r="CO302" s="413"/>
      <c r="CP302" s="413"/>
      <c r="CQ302" s="413"/>
      <c r="CR302" s="413"/>
      <c r="CS302" s="413"/>
      <c r="CT302" s="413"/>
      <c r="CU302" s="413"/>
      <c r="CV302" s="413"/>
      <c r="CW302" s="413"/>
      <c r="CX302" s="413"/>
      <c r="CY302" s="413"/>
      <c r="CZ302" s="413"/>
      <c r="DA302" s="413"/>
      <c r="DB302" s="413"/>
      <c r="DC302" s="413"/>
      <c r="DD302" s="413"/>
      <c r="DE302" s="390"/>
      <c r="DF302" s="390"/>
      <c r="DG302" s="390"/>
      <c r="DH302" s="390"/>
      <c r="DI302" s="390"/>
      <c r="DJ302" s="390"/>
      <c r="DK302" s="897"/>
    </row>
    <row r="303" spans="1:115" ht="51" x14ac:dyDescent="0.2">
      <c r="A303" s="295">
        <v>299</v>
      </c>
      <c r="B303" s="390" t="s">
        <v>2623</v>
      </c>
      <c r="C303" s="390"/>
      <c r="D303" s="391"/>
      <c r="E303" s="706" t="s">
        <v>184</v>
      </c>
      <c r="F303" s="390" t="s">
        <v>1352</v>
      </c>
      <c r="G303" s="390" t="s">
        <v>1671</v>
      </c>
      <c r="H303" s="390" t="s">
        <v>117</v>
      </c>
      <c r="I303" s="402"/>
      <c r="J303" s="402"/>
      <c r="K303" s="402" t="s">
        <v>185</v>
      </c>
      <c r="L303" s="402" t="s">
        <v>183</v>
      </c>
      <c r="M303" s="402"/>
      <c r="N303" s="390" t="s">
        <v>33</v>
      </c>
      <c r="O303" s="390" t="s">
        <v>69</v>
      </c>
      <c r="P303" s="390" t="s">
        <v>69</v>
      </c>
      <c r="Q303" s="402" t="s">
        <v>172</v>
      </c>
      <c r="R303" s="402" t="s">
        <v>3958</v>
      </c>
      <c r="S303" s="402" t="s">
        <v>46</v>
      </c>
      <c r="T303" s="411">
        <v>1</v>
      </c>
      <c r="U303" s="412">
        <v>4.1349999999999998</v>
      </c>
      <c r="V303" s="412"/>
      <c r="W303" s="454"/>
      <c r="X303" s="411"/>
      <c r="Y303" s="411">
        <v>10</v>
      </c>
      <c r="Z303" s="411">
        <v>10</v>
      </c>
      <c r="AA303" s="412">
        <v>0</v>
      </c>
      <c r="AB303" s="457">
        <v>40544</v>
      </c>
      <c r="AC303" s="413">
        <v>8.27</v>
      </c>
      <c r="AD303" s="413">
        <v>41.349999999999994</v>
      </c>
      <c r="AE303" s="390" t="s">
        <v>37</v>
      </c>
      <c r="AF303" s="419"/>
      <c r="AG303" s="419"/>
      <c r="AH303" s="419"/>
      <c r="AI303" s="411"/>
      <c r="AJ303" s="454"/>
      <c r="AK303" s="454"/>
      <c r="AL303" s="390"/>
      <c r="AM303" s="390"/>
      <c r="AN303" s="419"/>
      <c r="AO303" s="402"/>
      <c r="AP303" s="402" t="s">
        <v>7052</v>
      </c>
      <c r="AQ303" s="402"/>
      <c r="AR303" s="402" t="s">
        <v>4213</v>
      </c>
      <c r="AS303" s="481">
        <v>40177</v>
      </c>
      <c r="AT303" s="454"/>
      <c r="AU303" s="454"/>
      <c r="AV303" s="454"/>
      <c r="AW303" s="454"/>
      <c r="AX303" s="454"/>
      <c r="AY303" s="454"/>
      <c r="AZ303" s="454"/>
      <c r="BA303" s="390"/>
      <c r="BB303" s="390"/>
      <c r="BC303" s="390" t="b">
        <v>0</v>
      </c>
      <c r="BD303" s="390"/>
      <c r="BE303" s="402"/>
      <c r="BF303" s="411">
        <v>1</v>
      </c>
      <c r="BG303" s="411">
        <v>6</v>
      </c>
      <c r="BH303" s="411">
        <v>8</v>
      </c>
      <c r="BI303" s="411">
        <v>9</v>
      </c>
      <c r="BJ303" s="411">
        <v>5</v>
      </c>
      <c r="BK303" s="411">
        <v>11</v>
      </c>
      <c r="BL303" s="445" t="s">
        <v>6985</v>
      </c>
      <c r="BM303" s="402"/>
      <c r="BN303" s="390"/>
      <c r="BO303" s="390"/>
      <c r="BP303" s="414"/>
      <c r="BQ303" s="415"/>
      <c r="BR303" s="416"/>
      <c r="BS303" s="414"/>
      <c r="BT303" s="411"/>
      <c r="BU303" s="419"/>
      <c r="BV303" s="414"/>
      <c r="BW303" s="390" t="s">
        <v>3117</v>
      </c>
      <c r="BX303" s="402" t="s">
        <v>3223</v>
      </c>
      <c r="BY303" s="390"/>
      <c r="BZ303" s="390"/>
      <c r="CA303" s="442"/>
      <c r="CB303" s="415"/>
      <c r="CC303" s="413"/>
      <c r="CD303" s="413"/>
      <c r="CE303" s="413"/>
      <c r="CF303" s="413"/>
      <c r="CG303" s="413">
        <v>4.1349999999999998</v>
      </c>
      <c r="CH303" s="413">
        <v>4.1349999999999998</v>
      </c>
      <c r="CI303" s="413">
        <v>4.1349999999999998</v>
      </c>
      <c r="CJ303" s="413">
        <v>4.1349999999999998</v>
      </c>
      <c r="CK303" s="413">
        <v>4.1349999999999998</v>
      </c>
      <c r="CL303" s="413">
        <v>4.1349999999999998</v>
      </c>
      <c r="CM303" s="413">
        <v>4.1349999999999998</v>
      </c>
      <c r="CN303" s="413">
        <v>4.1349999999999998</v>
      </c>
      <c r="CO303" s="413">
        <v>4.1349999999999998</v>
      </c>
      <c r="CP303" s="413">
        <v>4.1349999999999998</v>
      </c>
      <c r="CQ303" s="413"/>
      <c r="CR303" s="413"/>
      <c r="CS303" s="413"/>
      <c r="CT303" s="413"/>
      <c r="CU303" s="413"/>
      <c r="CV303" s="413"/>
      <c r="CW303" s="413"/>
      <c r="CX303" s="413"/>
      <c r="CY303" s="413"/>
      <c r="CZ303" s="413"/>
      <c r="DA303" s="413"/>
      <c r="DB303" s="413"/>
      <c r="DC303" s="413"/>
      <c r="DD303" s="413"/>
      <c r="DE303" s="390"/>
      <c r="DF303" s="390"/>
      <c r="DG303" s="390"/>
      <c r="DH303" s="390"/>
      <c r="DI303" s="390"/>
      <c r="DJ303" s="390"/>
      <c r="DK303" s="897"/>
    </row>
    <row r="304" spans="1:115" ht="38.25" x14ac:dyDescent="0.2">
      <c r="A304" s="295">
        <v>300</v>
      </c>
      <c r="B304" s="390" t="s">
        <v>378</v>
      </c>
      <c r="C304" s="424" t="s">
        <v>7458</v>
      </c>
      <c r="D304" s="391"/>
      <c r="E304" s="710" t="s">
        <v>1948</v>
      </c>
      <c r="F304" s="390" t="s">
        <v>1352</v>
      </c>
      <c r="G304" s="390" t="s">
        <v>1673</v>
      </c>
      <c r="H304" s="390" t="s">
        <v>42</v>
      </c>
      <c r="I304" s="402"/>
      <c r="J304" s="402" t="s">
        <v>370</v>
      </c>
      <c r="K304" s="402"/>
      <c r="L304" s="402" t="s">
        <v>379</v>
      </c>
      <c r="M304" s="402" t="s">
        <v>3959</v>
      </c>
      <c r="N304" s="390" t="s">
        <v>33</v>
      </c>
      <c r="O304" s="390" t="s">
        <v>80</v>
      </c>
      <c r="P304" s="390" t="s">
        <v>80</v>
      </c>
      <c r="Q304" s="402" t="s">
        <v>380</v>
      </c>
      <c r="R304" s="402"/>
      <c r="S304" s="402" t="s">
        <v>153</v>
      </c>
      <c r="T304" s="411">
        <v>1</v>
      </c>
      <c r="U304" s="412">
        <v>3.7090000000000001</v>
      </c>
      <c r="V304" s="412"/>
      <c r="W304" s="457">
        <v>39328</v>
      </c>
      <c r="X304" s="411">
        <v>28</v>
      </c>
      <c r="Y304" s="411"/>
      <c r="Z304" s="411"/>
      <c r="AA304" s="412"/>
      <c r="AB304" s="454"/>
      <c r="AC304" s="413">
        <v>8.7430000000000003</v>
      </c>
      <c r="AD304" s="413">
        <v>39.59992602739726</v>
      </c>
      <c r="AE304" s="390" t="s">
        <v>96</v>
      </c>
      <c r="AF304" s="419"/>
      <c r="AG304" s="419"/>
      <c r="AH304" s="419">
        <v>0</v>
      </c>
      <c r="AI304" s="411"/>
      <c r="AJ304" s="454"/>
      <c r="AK304" s="454"/>
      <c r="AL304" s="390"/>
      <c r="AM304" s="390"/>
      <c r="AN304" s="419"/>
      <c r="AO304" s="402"/>
      <c r="AP304" s="402" t="s">
        <v>55</v>
      </c>
      <c r="AQ304" s="402"/>
      <c r="AR304" s="402" t="s">
        <v>249</v>
      </c>
      <c r="AS304" s="481">
        <v>40178</v>
      </c>
      <c r="AT304" s="454"/>
      <c r="AU304" s="454"/>
      <c r="AV304" s="454"/>
      <c r="AW304" s="454"/>
      <c r="AX304" s="454"/>
      <c r="AY304" s="454"/>
      <c r="AZ304" s="454"/>
      <c r="BA304" s="390"/>
      <c r="BB304" s="390" t="s">
        <v>3147</v>
      </c>
      <c r="BC304" s="390" t="b">
        <v>1</v>
      </c>
      <c r="BD304" s="390" t="s">
        <v>3147</v>
      </c>
      <c r="BE304" s="402"/>
      <c r="BF304" s="411">
        <v>5</v>
      </c>
      <c r="BG304" s="411">
        <v>6</v>
      </c>
      <c r="BH304" s="411">
        <v>9</v>
      </c>
      <c r="BI304" s="411">
        <v>3</v>
      </c>
      <c r="BJ304" s="411">
        <v>1</v>
      </c>
      <c r="BK304" s="411">
        <v>11</v>
      </c>
      <c r="BL304" s="445"/>
      <c r="BM304" s="402"/>
      <c r="BN304" s="390"/>
      <c r="BO304" s="390"/>
      <c r="BP304" s="414"/>
      <c r="BQ304" s="415"/>
      <c r="BR304" s="416"/>
      <c r="BS304" s="414">
        <v>0</v>
      </c>
      <c r="BT304" s="411"/>
      <c r="BU304" s="419"/>
      <c r="BV304" s="414"/>
      <c r="BW304" s="390"/>
      <c r="BX304" s="402"/>
      <c r="BY304" s="390"/>
      <c r="BZ304" s="390"/>
      <c r="CA304" s="442"/>
      <c r="CB304" s="415"/>
      <c r="CC304" s="413"/>
      <c r="CD304" s="413"/>
      <c r="CE304" s="413"/>
      <c r="CF304" s="413"/>
      <c r="CG304" s="413"/>
      <c r="CH304" s="413"/>
      <c r="CI304" s="413"/>
      <c r="CJ304" s="413"/>
      <c r="CK304" s="413"/>
      <c r="CL304" s="413"/>
      <c r="CM304" s="413"/>
      <c r="CN304" s="413"/>
      <c r="CO304" s="413"/>
      <c r="CP304" s="413"/>
      <c r="CQ304" s="413"/>
      <c r="CR304" s="413"/>
      <c r="CS304" s="413"/>
      <c r="CT304" s="413"/>
      <c r="CU304" s="413"/>
      <c r="CV304" s="413"/>
      <c r="CW304" s="413"/>
      <c r="CX304" s="413"/>
      <c r="CY304" s="413"/>
      <c r="CZ304" s="413"/>
      <c r="DA304" s="413"/>
      <c r="DB304" s="413"/>
      <c r="DC304" s="413"/>
      <c r="DD304" s="413"/>
      <c r="DE304" s="390"/>
      <c r="DF304" s="390"/>
      <c r="DG304" s="390"/>
      <c r="DH304" s="390"/>
      <c r="DI304" s="390"/>
      <c r="DJ304" s="390"/>
      <c r="DK304" s="897"/>
    </row>
    <row r="305" spans="1:115" ht="25.5" x14ac:dyDescent="0.2">
      <c r="A305" s="295">
        <v>301</v>
      </c>
      <c r="B305" s="390" t="s">
        <v>2624</v>
      </c>
      <c r="C305" s="390"/>
      <c r="D305" s="391"/>
      <c r="E305" s="706" t="s">
        <v>381</v>
      </c>
      <c r="F305" s="390" t="s">
        <v>1352</v>
      </c>
      <c r="G305" s="390" t="s">
        <v>1673</v>
      </c>
      <c r="H305" s="390" t="s">
        <v>42</v>
      </c>
      <c r="I305" s="402"/>
      <c r="J305" s="402"/>
      <c r="K305" s="402" t="s">
        <v>382</v>
      </c>
      <c r="L305" s="402" t="s">
        <v>379</v>
      </c>
      <c r="M305" s="402"/>
      <c r="N305" s="390" t="s">
        <v>33</v>
      </c>
      <c r="O305" s="390" t="s">
        <v>80</v>
      </c>
      <c r="P305" s="390" t="s">
        <v>80</v>
      </c>
      <c r="Q305" s="402" t="s">
        <v>380</v>
      </c>
      <c r="R305" s="402" t="s">
        <v>3960</v>
      </c>
      <c r="S305" s="402" t="s">
        <v>153</v>
      </c>
      <c r="T305" s="411">
        <v>1</v>
      </c>
      <c r="U305" s="412">
        <v>3.7090000000000001</v>
      </c>
      <c r="V305" s="412"/>
      <c r="W305" s="454"/>
      <c r="X305" s="411"/>
      <c r="Y305" s="411">
        <v>7</v>
      </c>
      <c r="Z305" s="411">
        <v>30</v>
      </c>
      <c r="AA305" s="412">
        <v>1</v>
      </c>
      <c r="AB305" s="457">
        <v>40299</v>
      </c>
      <c r="AC305" s="413">
        <v>8.7430000000000003</v>
      </c>
      <c r="AD305" s="413">
        <v>39.59992602739726</v>
      </c>
      <c r="AE305" s="390" t="s">
        <v>96</v>
      </c>
      <c r="AF305" s="419"/>
      <c r="AG305" s="419"/>
      <c r="AH305" s="419"/>
      <c r="AI305" s="411"/>
      <c r="AJ305" s="454"/>
      <c r="AK305" s="454"/>
      <c r="AL305" s="390"/>
      <c r="AM305" s="390"/>
      <c r="AN305" s="419"/>
      <c r="AO305" s="402"/>
      <c r="AP305" s="402" t="s">
        <v>55</v>
      </c>
      <c r="AQ305" s="402"/>
      <c r="AR305" s="402" t="s">
        <v>249</v>
      </c>
      <c r="AS305" s="481">
        <v>40178</v>
      </c>
      <c r="AT305" s="454"/>
      <c r="AU305" s="454"/>
      <c r="AV305" s="454"/>
      <c r="AW305" s="454"/>
      <c r="AX305" s="454"/>
      <c r="AY305" s="454"/>
      <c r="AZ305" s="454"/>
      <c r="BA305" s="390"/>
      <c r="BB305" s="390"/>
      <c r="BC305" s="390" t="b">
        <v>0</v>
      </c>
      <c r="BD305" s="390"/>
      <c r="BE305" s="402"/>
      <c r="BF305" s="411">
        <v>5</v>
      </c>
      <c r="BG305" s="411">
        <v>6</v>
      </c>
      <c r="BH305" s="411">
        <v>9</v>
      </c>
      <c r="BI305" s="411">
        <v>3</v>
      </c>
      <c r="BJ305" s="411">
        <v>1</v>
      </c>
      <c r="BK305" s="411">
        <v>11</v>
      </c>
      <c r="BL305" s="445" t="s">
        <v>6981</v>
      </c>
      <c r="BM305" s="402"/>
      <c r="BN305" s="390"/>
      <c r="BO305" s="390"/>
      <c r="BP305" s="414"/>
      <c r="BQ305" s="415"/>
      <c r="BR305" s="416"/>
      <c r="BS305" s="414"/>
      <c r="BT305" s="411"/>
      <c r="BU305" s="419"/>
      <c r="BV305" s="414"/>
      <c r="BW305" s="390" t="s">
        <v>3117</v>
      </c>
      <c r="BX305" s="402" t="s">
        <v>3194</v>
      </c>
      <c r="BY305" s="390"/>
      <c r="BZ305" s="390"/>
      <c r="CA305" s="442"/>
      <c r="CB305" s="415"/>
      <c r="CC305" s="413"/>
      <c r="CD305" s="413"/>
      <c r="CE305" s="413">
        <v>9.3800000000000008</v>
      </c>
      <c r="CF305" s="413">
        <v>1.9710000000000001</v>
      </c>
      <c r="CG305" s="413">
        <v>2.9340000000000002</v>
      </c>
      <c r="CH305" s="413">
        <v>3.8319999999999999</v>
      </c>
      <c r="CI305" s="413">
        <v>4.6680000000000001</v>
      </c>
      <c r="CJ305" s="413">
        <v>5.4480000000000004</v>
      </c>
      <c r="CK305" s="413">
        <v>6.1760000000000002</v>
      </c>
      <c r="CL305" s="413">
        <v>6.1760000000000002</v>
      </c>
      <c r="CM305" s="413">
        <v>6.1760000000000002</v>
      </c>
      <c r="CN305" s="413">
        <v>6.1760000000000002</v>
      </c>
      <c r="CO305" s="413">
        <v>6.1760000000000002</v>
      </c>
      <c r="CP305" s="413">
        <v>6.1760000000000002</v>
      </c>
      <c r="CQ305" s="413">
        <v>6.1760000000000002</v>
      </c>
      <c r="CR305" s="413">
        <v>6.1760000000000002</v>
      </c>
      <c r="CS305" s="413">
        <v>6.1760000000000002</v>
      </c>
      <c r="CT305" s="413">
        <v>6.1760000000000002</v>
      </c>
      <c r="CU305" s="413">
        <v>6.1760000000000002</v>
      </c>
      <c r="CV305" s="413">
        <v>6.1760000000000002</v>
      </c>
      <c r="CW305" s="413">
        <v>6.1760000000000002</v>
      </c>
      <c r="CX305" s="413">
        <v>6.1760000000000002</v>
      </c>
      <c r="CY305" s="413">
        <v>6.1760000000000002</v>
      </c>
      <c r="CZ305" s="413"/>
      <c r="DA305" s="413"/>
      <c r="DB305" s="413"/>
      <c r="DC305" s="413"/>
      <c r="DD305" s="413"/>
      <c r="DE305" s="390"/>
      <c r="DF305" s="390"/>
      <c r="DG305" s="390"/>
      <c r="DH305" s="390"/>
      <c r="DI305" s="390"/>
      <c r="DJ305" s="390"/>
      <c r="DK305" s="897"/>
    </row>
    <row r="306" spans="1:115" ht="51" x14ac:dyDescent="0.2">
      <c r="A306" s="295">
        <v>302</v>
      </c>
      <c r="B306" s="390" t="s">
        <v>247</v>
      </c>
      <c r="C306" s="424" t="s">
        <v>7459</v>
      </c>
      <c r="D306" s="391" t="s">
        <v>5523</v>
      </c>
      <c r="E306" s="704" t="s">
        <v>1949</v>
      </c>
      <c r="F306" s="393" t="s">
        <v>1352</v>
      </c>
      <c r="G306" s="393" t="s">
        <v>1672</v>
      </c>
      <c r="H306" s="393" t="s">
        <v>89</v>
      </c>
      <c r="I306" s="392"/>
      <c r="J306" s="392" t="s">
        <v>2137</v>
      </c>
      <c r="K306" s="392"/>
      <c r="L306" s="392" t="s">
        <v>248</v>
      </c>
      <c r="M306" s="392" t="s">
        <v>3961</v>
      </c>
      <c r="N306" s="393" t="s">
        <v>44</v>
      </c>
      <c r="O306" s="393" t="s">
        <v>69</v>
      </c>
      <c r="P306" s="393" t="s">
        <v>69</v>
      </c>
      <c r="Q306" s="392" t="s">
        <v>172</v>
      </c>
      <c r="R306" s="392"/>
      <c r="S306" s="392" t="s">
        <v>46</v>
      </c>
      <c r="T306" s="394">
        <v>1</v>
      </c>
      <c r="U306" s="395">
        <v>28.454999999999998</v>
      </c>
      <c r="V306" s="395"/>
      <c r="W306" s="452">
        <v>39255</v>
      </c>
      <c r="X306" s="394">
        <v>28</v>
      </c>
      <c r="Y306" s="394"/>
      <c r="Z306" s="394"/>
      <c r="AA306" s="395"/>
      <c r="AB306" s="453"/>
      <c r="AC306" s="398">
        <v>134.535</v>
      </c>
      <c r="AD306" s="398">
        <v>313.16091780821915</v>
      </c>
      <c r="AE306" s="393" t="s">
        <v>96</v>
      </c>
      <c r="AF306" s="417"/>
      <c r="AG306" s="417"/>
      <c r="AH306" s="417">
        <v>0</v>
      </c>
      <c r="AI306" s="394"/>
      <c r="AJ306" s="453"/>
      <c r="AK306" s="453"/>
      <c r="AL306" s="393"/>
      <c r="AM306" s="393"/>
      <c r="AN306" s="417"/>
      <c r="AO306" s="392"/>
      <c r="AP306" s="392" t="s">
        <v>55</v>
      </c>
      <c r="AQ306" s="392"/>
      <c r="AR306" s="392" t="s">
        <v>249</v>
      </c>
      <c r="AS306" s="479">
        <v>40178</v>
      </c>
      <c r="AT306" s="453"/>
      <c r="AU306" s="453"/>
      <c r="AV306" s="452">
        <v>40954</v>
      </c>
      <c r="AW306" s="452">
        <v>40956</v>
      </c>
      <c r="AX306" s="453"/>
      <c r="AY306" s="452">
        <v>41285</v>
      </c>
      <c r="AZ306" s="453"/>
      <c r="BA306" s="393"/>
      <c r="BB306" s="393" t="s">
        <v>3116</v>
      </c>
      <c r="BC306" s="393" t="b">
        <v>0</v>
      </c>
      <c r="BD306" s="393" t="s">
        <v>3116</v>
      </c>
      <c r="BE306" s="392"/>
      <c r="BF306" s="394">
        <v>8</v>
      </c>
      <c r="BG306" s="394">
        <v>12</v>
      </c>
      <c r="BH306" s="394">
        <v>5</v>
      </c>
      <c r="BI306" s="394">
        <v>2</v>
      </c>
      <c r="BJ306" s="394">
        <v>1</v>
      </c>
      <c r="BK306" s="394">
        <v>6</v>
      </c>
      <c r="BL306" s="444"/>
      <c r="BM306" s="392"/>
      <c r="BN306" s="393"/>
      <c r="BO306" s="393"/>
      <c r="BP306" s="399"/>
      <c r="BQ306" s="400"/>
      <c r="BR306" s="401"/>
      <c r="BS306" s="399">
        <v>0</v>
      </c>
      <c r="BT306" s="394"/>
      <c r="BU306" s="417"/>
      <c r="BV306" s="399"/>
      <c r="BW306" s="393"/>
      <c r="BX306" s="392"/>
      <c r="BY306" s="393"/>
      <c r="BZ306" s="393"/>
      <c r="CA306" s="441"/>
      <c r="CB306" s="400"/>
      <c r="CC306" s="398"/>
      <c r="CD306" s="398"/>
      <c r="CE306" s="398"/>
      <c r="CF306" s="398"/>
      <c r="CG306" s="398"/>
      <c r="CH306" s="398"/>
      <c r="CI306" s="398"/>
      <c r="CJ306" s="398"/>
      <c r="CK306" s="398"/>
      <c r="CL306" s="398"/>
      <c r="CM306" s="398"/>
      <c r="CN306" s="398"/>
      <c r="CO306" s="398"/>
      <c r="CP306" s="398"/>
      <c r="CQ306" s="398"/>
      <c r="CR306" s="398"/>
      <c r="CS306" s="398"/>
      <c r="CT306" s="398"/>
      <c r="CU306" s="398"/>
      <c r="CV306" s="398"/>
      <c r="CW306" s="398"/>
      <c r="CX306" s="398"/>
      <c r="CY306" s="398"/>
      <c r="CZ306" s="398"/>
      <c r="DA306" s="398"/>
      <c r="DB306" s="398"/>
      <c r="DC306" s="398"/>
      <c r="DD306" s="398"/>
      <c r="DE306" s="393"/>
      <c r="DF306" s="393"/>
      <c r="DG306" s="393"/>
      <c r="DH306" s="393"/>
      <c r="DI306" s="393"/>
      <c r="DJ306" s="393"/>
      <c r="DK306" s="896" t="s">
        <v>9700</v>
      </c>
    </row>
    <row r="307" spans="1:115" ht="38.25" x14ac:dyDescent="0.2">
      <c r="A307" s="295">
        <v>303</v>
      </c>
      <c r="B307" s="390" t="s">
        <v>2625</v>
      </c>
      <c r="C307" s="390"/>
      <c r="D307" s="391" t="s">
        <v>5524</v>
      </c>
      <c r="E307" s="704" t="s">
        <v>250</v>
      </c>
      <c r="F307" s="393" t="s">
        <v>1352</v>
      </c>
      <c r="G307" s="393" t="s">
        <v>1672</v>
      </c>
      <c r="H307" s="393" t="s">
        <v>89</v>
      </c>
      <c r="I307" s="392"/>
      <c r="J307" s="392"/>
      <c r="K307" s="392" t="s">
        <v>2138</v>
      </c>
      <c r="L307" s="392" t="s">
        <v>251</v>
      </c>
      <c r="M307" s="392"/>
      <c r="N307" s="393" t="s">
        <v>44</v>
      </c>
      <c r="O307" s="393" t="s">
        <v>69</v>
      </c>
      <c r="P307" s="393" t="s">
        <v>69</v>
      </c>
      <c r="Q307" s="392" t="s">
        <v>172</v>
      </c>
      <c r="R307" s="392" t="s">
        <v>3962</v>
      </c>
      <c r="S307" s="392" t="s">
        <v>46</v>
      </c>
      <c r="T307" s="394">
        <v>1</v>
      </c>
      <c r="U307" s="395">
        <v>28.454999999999998</v>
      </c>
      <c r="V307" s="395"/>
      <c r="W307" s="453"/>
      <c r="X307" s="394"/>
      <c r="Y307" s="394">
        <v>7</v>
      </c>
      <c r="Z307" s="394">
        <v>20</v>
      </c>
      <c r="AA307" s="395">
        <v>0</v>
      </c>
      <c r="AB307" s="452">
        <v>40179</v>
      </c>
      <c r="AC307" s="398">
        <v>134.535</v>
      </c>
      <c r="AD307" s="398">
        <v>313.16091780821915</v>
      </c>
      <c r="AE307" s="393" t="s">
        <v>96</v>
      </c>
      <c r="AF307" s="417"/>
      <c r="AG307" s="417"/>
      <c r="AH307" s="417"/>
      <c r="AI307" s="394"/>
      <c r="AJ307" s="453"/>
      <c r="AK307" s="453"/>
      <c r="AL307" s="393"/>
      <c r="AM307" s="393"/>
      <c r="AN307" s="417"/>
      <c r="AO307" s="392"/>
      <c r="AP307" s="392" t="s">
        <v>55</v>
      </c>
      <c r="AQ307" s="392"/>
      <c r="AR307" s="392" t="s">
        <v>249</v>
      </c>
      <c r="AS307" s="479">
        <v>40178</v>
      </c>
      <c r="AT307" s="453"/>
      <c r="AU307" s="453"/>
      <c r="AV307" s="453"/>
      <c r="AW307" s="453"/>
      <c r="AX307" s="453"/>
      <c r="AY307" s="453"/>
      <c r="AZ307" s="452">
        <v>41285</v>
      </c>
      <c r="BA307" s="393"/>
      <c r="BB307" s="393"/>
      <c r="BC307" s="393" t="b">
        <v>0</v>
      </c>
      <c r="BD307" s="393"/>
      <c r="BE307" s="392"/>
      <c r="BF307" s="394">
        <v>8</v>
      </c>
      <c r="BG307" s="394">
        <v>12</v>
      </c>
      <c r="BH307" s="394">
        <v>5</v>
      </c>
      <c r="BI307" s="394">
        <v>2</v>
      </c>
      <c r="BJ307" s="394">
        <v>1</v>
      </c>
      <c r="BK307" s="394">
        <v>6</v>
      </c>
      <c r="BL307" s="444" t="s">
        <v>6985</v>
      </c>
      <c r="BM307" s="392"/>
      <c r="BN307" s="393"/>
      <c r="BO307" s="393"/>
      <c r="BP307" s="399"/>
      <c r="BQ307" s="400"/>
      <c r="BR307" s="401"/>
      <c r="BS307" s="399"/>
      <c r="BT307" s="394"/>
      <c r="BU307" s="417"/>
      <c r="BV307" s="399"/>
      <c r="BW307" s="393" t="s">
        <v>3165</v>
      </c>
      <c r="BX307" s="392" t="s">
        <v>3199</v>
      </c>
      <c r="BY307" s="393"/>
      <c r="BZ307" s="393"/>
      <c r="CA307" s="441"/>
      <c r="CB307" s="400"/>
      <c r="CC307" s="398"/>
      <c r="CD307" s="398"/>
      <c r="CE307" s="398"/>
      <c r="CF307" s="398">
        <v>44.844999999999999</v>
      </c>
      <c r="CG307" s="398">
        <v>44.844999999999999</v>
      </c>
      <c r="CH307" s="398">
        <v>44.844999999999999</v>
      </c>
      <c r="CI307" s="398">
        <v>44.844999999999999</v>
      </c>
      <c r="CJ307" s="398">
        <v>44.844999999999999</v>
      </c>
      <c r="CK307" s="398">
        <v>44.844999999999999</v>
      </c>
      <c r="CL307" s="398">
        <v>44.844999999999999</v>
      </c>
      <c r="CM307" s="398">
        <v>44.844999999999999</v>
      </c>
      <c r="CN307" s="398">
        <v>44.844999999999999</v>
      </c>
      <c r="CO307" s="398">
        <v>44.844999999999999</v>
      </c>
      <c r="CP307" s="398">
        <v>44.844999999999999</v>
      </c>
      <c r="CQ307" s="398">
        <v>44.844999999999999</v>
      </c>
      <c r="CR307" s="398">
        <v>44.844999999999999</v>
      </c>
      <c r="CS307" s="398">
        <v>44.844999999999999</v>
      </c>
      <c r="CT307" s="398">
        <v>44.844999999999999</v>
      </c>
      <c r="CU307" s="398">
        <v>44.844999999999999</v>
      </c>
      <c r="CV307" s="398">
        <v>44.844999999999999</v>
      </c>
      <c r="CW307" s="398">
        <v>44.844999999999999</v>
      </c>
      <c r="CX307" s="398">
        <v>44.844999999999999</v>
      </c>
      <c r="CY307" s="398">
        <v>44.844999999999999</v>
      </c>
      <c r="CZ307" s="398">
        <v>44.844999999999999</v>
      </c>
      <c r="DA307" s="398"/>
      <c r="DB307" s="398"/>
      <c r="DC307" s="398"/>
      <c r="DD307" s="398"/>
      <c r="DE307" s="393"/>
      <c r="DF307" s="393"/>
      <c r="DG307" s="393"/>
      <c r="DH307" s="393"/>
      <c r="DI307" s="393"/>
      <c r="DJ307" s="393"/>
      <c r="DK307" s="897"/>
    </row>
    <row r="308" spans="1:115" ht="89.25" x14ac:dyDescent="0.2">
      <c r="A308" s="295">
        <v>304</v>
      </c>
      <c r="B308" s="390" t="s">
        <v>186</v>
      </c>
      <c r="C308" s="424" t="s">
        <v>7460</v>
      </c>
      <c r="D308" s="391"/>
      <c r="E308" s="706" t="s">
        <v>187</v>
      </c>
      <c r="F308" s="390" t="s">
        <v>1352</v>
      </c>
      <c r="G308" s="390" t="s">
        <v>1671</v>
      </c>
      <c r="H308" s="390" t="s">
        <v>117</v>
      </c>
      <c r="I308" s="402"/>
      <c r="J308" s="402" t="s">
        <v>188</v>
      </c>
      <c r="K308" s="402"/>
      <c r="L308" s="402" t="s">
        <v>189</v>
      </c>
      <c r="M308" s="402" t="s">
        <v>3963</v>
      </c>
      <c r="N308" s="390" t="s">
        <v>33</v>
      </c>
      <c r="O308" s="390" t="s">
        <v>69</v>
      </c>
      <c r="P308" s="390" t="s">
        <v>69</v>
      </c>
      <c r="Q308" s="402" t="s">
        <v>172</v>
      </c>
      <c r="R308" s="402"/>
      <c r="S308" s="402" t="s">
        <v>190</v>
      </c>
      <c r="T308" s="411">
        <v>1</v>
      </c>
      <c r="U308" s="412">
        <v>2.8279999999999998</v>
      </c>
      <c r="V308" s="412"/>
      <c r="W308" s="457">
        <v>39886</v>
      </c>
      <c r="X308" s="411">
        <v>28</v>
      </c>
      <c r="Y308" s="411"/>
      <c r="Z308" s="411"/>
      <c r="AA308" s="412"/>
      <c r="AB308" s="454"/>
      <c r="AC308" s="413">
        <v>7.3047240000000002</v>
      </c>
      <c r="AD308" s="413">
        <v>28.279999999999998</v>
      </c>
      <c r="AE308" s="390" t="s">
        <v>37</v>
      </c>
      <c r="AF308" s="419"/>
      <c r="AG308" s="419"/>
      <c r="AH308" s="419">
        <v>0</v>
      </c>
      <c r="AI308" s="411"/>
      <c r="AJ308" s="454"/>
      <c r="AK308" s="454"/>
      <c r="AL308" s="390"/>
      <c r="AM308" s="390"/>
      <c r="AN308" s="419"/>
      <c r="AO308" s="402"/>
      <c r="AP308" s="402" t="s">
        <v>7040</v>
      </c>
      <c r="AQ308" s="402"/>
      <c r="AR308" s="402" t="s">
        <v>191</v>
      </c>
      <c r="AS308" s="481">
        <v>40179</v>
      </c>
      <c r="AT308" s="454"/>
      <c r="AU308" s="454"/>
      <c r="AV308" s="454"/>
      <c r="AW308" s="454"/>
      <c r="AX308" s="454"/>
      <c r="AY308" s="454"/>
      <c r="AZ308" s="454"/>
      <c r="BA308" s="390"/>
      <c r="BB308" s="390" t="s">
        <v>3147</v>
      </c>
      <c r="BC308" s="390" t="b">
        <v>0</v>
      </c>
      <c r="BD308" s="390" t="s">
        <v>3147</v>
      </c>
      <c r="BE308" s="402"/>
      <c r="BF308" s="411">
        <v>7</v>
      </c>
      <c r="BG308" s="411">
        <v>8</v>
      </c>
      <c r="BH308" s="411">
        <v>6</v>
      </c>
      <c r="BI308" s="411">
        <v>1</v>
      </c>
      <c r="BJ308" s="411">
        <v>9</v>
      </c>
      <c r="BK308" s="411"/>
      <c r="BL308" s="445"/>
      <c r="BM308" s="402"/>
      <c r="BN308" s="390"/>
      <c r="BO308" s="390"/>
      <c r="BP308" s="414"/>
      <c r="BQ308" s="415"/>
      <c r="BR308" s="416"/>
      <c r="BS308" s="414">
        <v>0</v>
      </c>
      <c r="BT308" s="411"/>
      <c r="BU308" s="419"/>
      <c r="BV308" s="414"/>
      <c r="BW308" s="390"/>
      <c r="BX308" s="402"/>
      <c r="BY308" s="390"/>
      <c r="BZ308" s="390"/>
      <c r="CA308" s="442"/>
      <c r="CB308" s="415"/>
      <c r="CC308" s="413"/>
      <c r="CD308" s="413"/>
      <c r="CE308" s="413"/>
      <c r="CF308" s="413"/>
      <c r="CG308" s="413"/>
      <c r="CH308" s="413"/>
      <c r="CI308" s="413"/>
      <c r="CJ308" s="413"/>
      <c r="CK308" s="413"/>
      <c r="CL308" s="413"/>
      <c r="CM308" s="413"/>
      <c r="CN308" s="413"/>
      <c r="CO308" s="413"/>
      <c r="CP308" s="413"/>
      <c r="CQ308" s="413"/>
      <c r="CR308" s="413"/>
      <c r="CS308" s="413"/>
      <c r="CT308" s="413"/>
      <c r="CU308" s="413"/>
      <c r="CV308" s="413"/>
      <c r="CW308" s="413"/>
      <c r="CX308" s="413"/>
      <c r="CY308" s="413"/>
      <c r="CZ308" s="413"/>
      <c r="DA308" s="413"/>
      <c r="DB308" s="413"/>
      <c r="DC308" s="413"/>
      <c r="DD308" s="413"/>
      <c r="DE308" s="390"/>
      <c r="DF308" s="390"/>
      <c r="DG308" s="390"/>
      <c r="DH308" s="390"/>
      <c r="DI308" s="390"/>
      <c r="DJ308" s="390"/>
      <c r="DK308" s="897"/>
    </row>
    <row r="309" spans="1:115" ht="38.25" x14ac:dyDescent="0.2">
      <c r="A309" s="295">
        <v>305</v>
      </c>
      <c r="B309" s="390" t="s">
        <v>2626</v>
      </c>
      <c r="C309" s="390"/>
      <c r="D309" s="391"/>
      <c r="E309" s="706" t="s">
        <v>192</v>
      </c>
      <c r="F309" s="390" t="s">
        <v>1352</v>
      </c>
      <c r="G309" s="390" t="s">
        <v>1671</v>
      </c>
      <c r="H309" s="390" t="s">
        <v>117</v>
      </c>
      <c r="I309" s="402"/>
      <c r="J309" s="402"/>
      <c r="K309" s="402" t="s">
        <v>193</v>
      </c>
      <c r="L309" s="402" t="s">
        <v>189</v>
      </c>
      <c r="M309" s="402"/>
      <c r="N309" s="390" t="s">
        <v>33</v>
      </c>
      <c r="O309" s="390" t="s">
        <v>69</v>
      </c>
      <c r="P309" s="390" t="s">
        <v>69</v>
      </c>
      <c r="Q309" s="402" t="s">
        <v>172</v>
      </c>
      <c r="R309" s="402" t="s">
        <v>3964</v>
      </c>
      <c r="S309" s="402" t="s">
        <v>190</v>
      </c>
      <c r="T309" s="411">
        <v>1</v>
      </c>
      <c r="U309" s="412">
        <v>2.8279999999999998</v>
      </c>
      <c r="V309" s="412"/>
      <c r="W309" s="454"/>
      <c r="X309" s="411"/>
      <c r="Y309" s="411">
        <v>10</v>
      </c>
      <c r="Z309" s="411">
        <v>20</v>
      </c>
      <c r="AA309" s="412">
        <v>0</v>
      </c>
      <c r="AB309" s="457">
        <v>40299</v>
      </c>
      <c r="AC309" s="413">
        <v>7.3047240000000002</v>
      </c>
      <c r="AD309" s="413">
        <v>28.279999999999998</v>
      </c>
      <c r="AE309" s="390" t="s">
        <v>37</v>
      </c>
      <c r="AF309" s="419"/>
      <c r="AG309" s="419"/>
      <c r="AH309" s="419"/>
      <c r="AI309" s="411"/>
      <c r="AJ309" s="454"/>
      <c r="AK309" s="454"/>
      <c r="AL309" s="390"/>
      <c r="AM309" s="390"/>
      <c r="AN309" s="419"/>
      <c r="AO309" s="402"/>
      <c r="AP309" s="402" t="s">
        <v>7040</v>
      </c>
      <c r="AQ309" s="402"/>
      <c r="AR309" s="402" t="s">
        <v>191</v>
      </c>
      <c r="AS309" s="481">
        <v>40179</v>
      </c>
      <c r="AT309" s="454"/>
      <c r="AU309" s="454"/>
      <c r="AV309" s="454"/>
      <c r="AW309" s="454"/>
      <c r="AX309" s="454"/>
      <c r="AY309" s="454"/>
      <c r="AZ309" s="454"/>
      <c r="BA309" s="390"/>
      <c r="BB309" s="390"/>
      <c r="BC309" s="390" t="b">
        <v>0</v>
      </c>
      <c r="BD309" s="390"/>
      <c r="BE309" s="402"/>
      <c r="BF309" s="411">
        <v>7</v>
      </c>
      <c r="BG309" s="411">
        <v>8</v>
      </c>
      <c r="BH309" s="411">
        <v>6</v>
      </c>
      <c r="BI309" s="411">
        <v>1</v>
      </c>
      <c r="BJ309" s="411">
        <v>9</v>
      </c>
      <c r="BK309" s="411"/>
      <c r="BL309" s="445" t="s">
        <v>6981</v>
      </c>
      <c r="BM309" s="402"/>
      <c r="BN309" s="390"/>
      <c r="BO309" s="390"/>
      <c r="BP309" s="414"/>
      <c r="BQ309" s="415"/>
      <c r="BR309" s="416"/>
      <c r="BS309" s="414"/>
      <c r="BT309" s="411"/>
      <c r="BU309" s="419"/>
      <c r="BV309" s="414"/>
      <c r="BW309" s="390" t="s">
        <v>3165</v>
      </c>
      <c r="BX309" s="402" t="s">
        <v>3199</v>
      </c>
      <c r="BY309" s="390"/>
      <c r="BZ309" s="390"/>
      <c r="CA309" s="442"/>
      <c r="CB309" s="415"/>
      <c r="CC309" s="413"/>
      <c r="CD309" s="413"/>
      <c r="CE309" s="413"/>
      <c r="CF309" s="413">
        <v>2.8279999999999998</v>
      </c>
      <c r="CG309" s="413">
        <v>2.8279999999999998</v>
      </c>
      <c r="CH309" s="413">
        <v>2.8279999999999998</v>
      </c>
      <c r="CI309" s="413">
        <v>2.8279999999999998</v>
      </c>
      <c r="CJ309" s="413">
        <v>2.8279999999999998</v>
      </c>
      <c r="CK309" s="413">
        <v>2.8279999999999998</v>
      </c>
      <c r="CL309" s="413">
        <v>2.8279999999999998</v>
      </c>
      <c r="CM309" s="413">
        <v>2.8279999999999998</v>
      </c>
      <c r="CN309" s="413">
        <v>2.8279999999999998</v>
      </c>
      <c r="CO309" s="413">
        <v>2.8279999999999998</v>
      </c>
      <c r="CP309" s="413"/>
      <c r="CQ309" s="413"/>
      <c r="CR309" s="413"/>
      <c r="CS309" s="413"/>
      <c r="CT309" s="413"/>
      <c r="CU309" s="413"/>
      <c r="CV309" s="413"/>
      <c r="CW309" s="413"/>
      <c r="CX309" s="413"/>
      <c r="CY309" s="413"/>
      <c r="CZ309" s="413"/>
      <c r="DA309" s="413"/>
      <c r="DB309" s="413"/>
      <c r="DC309" s="413"/>
      <c r="DD309" s="413"/>
      <c r="DE309" s="390"/>
      <c r="DF309" s="390"/>
      <c r="DG309" s="390"/>
      <c r="DH309" s="390"/>
      <c r="DI309" s="390"/>
      <c r="DJ309" s="390"/>
      <c r="DK309" s="897"/>
    </row>
    <row r="310" spans="1:115" ht="51" x14ac:dyDescent="0.2">
      <c r="A310" s="295">
        <v>306</v>
      </c>
      <c r="B310" s="390" t="s">
        <v>928</v>
      </c>
      <c r="C310" s="424" t="s">
        <v>7461</v>
      </c>
      <c r="D310" s="391"/>
      <c r="E310" s="707" t="s">
        <v>1950</v>
      </c>
      <c r="F310" s="404" t="s">
        <v>1375</v>
      </c>
      <c r="G310" s="404" t="s">
        <v>1361</v>
      </c>
      <c r="H310" s="404" t="s">
        <v>137</v>
      </c>
      <c r="I310" s="403"/>
      <c r="J310" s="403" t="s">
        <v>137</v>
      </c>
      <c r="K310" s="403"/>
      <c r="L310" s="403" t="s">
        <v>929</v>
      </c>
      <c r="M310" s="403" t="s">
        <v>3965</v>
      </c>
      <c r="N310" s="404" t="s">
        <v>3142</v>
      </c>
      <c r="O310" s="404" t="s">
        <v>827</v>
      </c>
      <c r="P310" s="404" t="s">
        <v>827</v>
      </c>
      <c r="Q310" s="403" t="s">
        <v>923</v>
      </c>
      <c r="R310" s="403"/>
      <c r="S310" s="403" t="s">
        <v>46</v>
      </c>
      <c r="T310" s="405">
        <v>1</v>
      </c>
      <c r="U310" s="406">
        <v>7.6070000000000002</v>
      </c>
      <c r="V310" s="406"/>
      <c r="W310" s="456">
        <v>39923</v>
      </c>
      <c r="X310" s="405">
        <v>28</v>
      </c>
      <c r="Y310" s="405"/>
      <c r="Z310" s="405"/>
      <c r="AA310" s="406"/>
      <c r="AB310" s="455"/>
      <c r="AC310" s="407">
        <v>20.919250000000002</v>
      </c>
      <c r="AD310" s="407">
        <v>76.070000000000007</v>
      </c>
      <c r="AE310" s="404" t="s">
        <v>37</v>
      </c>
      <c r="AF310" s="418"/>
      <c r="AG310" s="418"/>
      <c r="AH310" s="418">
        <v>0</v>
      </c>
      <c r="AI310" s="405"/>
      <c r="AJ310" s="455"/>
      <c r="AK310" s="455"/>
      <c r="AL310" s="404"/>
      <c r="AM310" s="404"/>
      <c r="AN310" s="418"/>
      <c r="AO310" s="403"/>
      <c r="AP310" s="403" t="s">
        <v>7055</v>
      </c>
      <c r="AQ310" s="403"/>
      <c r="AR310" s="403" t="s">
        <v>929</v>
      </c>
      <c r="AS310" s="482">
        <v>40228</v>
      </c>
      <c r="AT310" s="455"/>
      <c r="AU310" s="455"/>
      <c r="AV310" s="455"/>
      <c r="AW310" s="455"/>
      <c r="AX310" s="455"/>
      <c r="AY310" s="455"/>
      <c r="AZ310" s="455"/>
      <c r="BA310" s="404"/>
      <c r="BB310" s="404" t="s">
        <v>3116</v>
      </c>
      <c r="BC310" s="404" t="b">
        <v>0</v>
      </c>
      <c r="BD310" s="404" t="s">
        <v>3116</v>
      </c>
      <c r="BE310" s="403"/>
      <c r="BF310" s="405">
        <v>11</v>
      </c>
      <c r="BG310" s="405">
        <v>9</v>
      </c>
      <c r="BH310" s="405">
        <v>4</v>
      </c>
      <c r="BI310" s="405">
        <v>5</v>
      </c>
      <c r="BJ310" s="405">
        <v>8</v>
      </c>
      <c r="BK310" s="405"/>
      <c r="BL310" s="446"/>
      <c r="BM310" s="403"/>
      <c r="BN310" s="404"/>
      <c r="BO310" s="404"/>
      <c r="BP310" s="408"/>
      <c r="BQ310" s="409"/>
      <c r="BR310" s="410"/>
      <c r="BS310" s="408">
        <v>0</v>
      </c>
      <c r="BT310" s="405"/>
      <c r="BU310" s="418"/>
      <c r="BV310" s="408"/>
      <c r="BW310" s="404"/>
      <c r="BX310" s="403"/>
      <c r="BY310" s="404"/>
      <c r="BZ310" s="404"/>
      <c r="CA310" s="443"/>
      <c r="CB310" s="409"/>
      <c r="CC310" s="407"/>
      <c r="CD310" s="407"/>
      <c r="CE310" s="407"/>
      <c r="CF310" s="407"/>
      <c r="CG310" s="407"/>
      <c r="CH310" s="407"/>
      <c r="CI310" s="407"/>
      <c r="CJ310" s="407"/>
      <c r="CK310" s="407"/>
      <c r="CL310" s="407"/>
      <c r="CM310" s="407"/>
      <c r="CN310" s="407"/>
      <c r="CO310" s="407"/>
      <c r="CP310" s="407"/>
      <c r="CQ310" s="407"/>
      <c r="CR310" s="407"/>
      <c r="CS310" s="407"/>
      <c r="CT310" s="407"/>
      <c r="CU310" s="407"/>
      <c r="CV310" s="407"/>
      <c r="CW310" s="407"/>
      <c r="CX310" s="407"/>
      <c r="CY310" s="407"/>
      <c r="CZ310" s="407"/>
      <c r="DA310" s="407"/>
      <c r="DB310" s="407"/>
      <c r="DC310" s="407"/>
      <c r="DD310" s="407"/>
      <c r="DE310" s="404"/>
      <c r="DF310" s="404"/>
      <c r="DG310" s="404"/>
      <c r="DH310" s="404"/>
      <c r="DI310" s="404"/>
      <c r="DJ310" s="404"/>
      <c r="DK310" s="897"/>
    </row>
    <row r="311" spans="1:115" ht="38.25" x14ac:dyDescent="0.2">
      <c r="A311" s="295">
        <v>307</v>
      </c>
      <c r="B311" s="390" t="s">
        <v>2627</v>
      </c>
      <c r="C311" s="390"/>
      <c r="D311" s="391"/>
      <c r="E311" s="707" t="s">
        <v>930</v>
      </c>
      <c r="F311" s="404" t="s">
        <v>1375</v>
      </c>
      <c r="G311" s="404" t="s">
        <v>1361</v>
      </c>
      <c r="H311" s="404" t="s">
        <v>137</v>
      </c>
      <c r="I311" s="403"/>
      <c r="J311" s="403"/>
      <c r="K311" s="403" t="s">
        <v>137</v>
      </c>
      <c r="L311" s="403" t="s">
        <v>929</v>
      </c>
      <c r="M311" s="403"/>
      <c r="N311" s="404" t="s">
        <v>3142</v>
      </c>
      <c r="O311" s="404" t="s">
        <v>827</v>
      </c>
      <c r="P311" s="404" t="s">
        <v>827</v>
      </c>
      <c r="Q311" s="403" t="s">
        <v>923</v>
      </c>
      <c r="R311" s="403" t="s">
        <v>3491</v>
      </c>
      <c r="S311" s="403" t="s">
        <v>46</v>
      </c>
      <c r="T311" s="405">
        <v>1</v>
      </c>
      <c r="U311" s="406">
        <v>7.6070000000000002</v>
      </c>
      <c r="V311" s="406"/>
      <c r="W311" s="455"/>
      <c r="X311" s="405"/>
      <c r="Y311" s="405">
        <v>10</v>
      </c>
      <c r="Z311" s="405">
        <v>10</v>
      </c>
      <c r="AA311" s="406">
        <v>-0.2</v>
      </c>
      <c r="AB311" s="456">
        <v>40452</v>
      </c>
      <c r="AC311" s="407">
        <v>20.919250000000002</v>
      </c>
      <c r="AD311" s="407">
        <v>76.070000000000007</v>
      </c>
      <c r="AE311" s="404" t="s">
        <v>37</v>
      </c>
      <c r="AF311" s="418"/>
      <c r="AG311" s="418"/>
      <c r="AH311" s="418"/>
      <c r="AI311" s="405"/>
      <c r="AJ311" s="455"/>
      <c r="AK311" s="455"/>
      <c r="AL311" s="404"/>
      <c r="AM311" s="404"/>
      <c r="AN311" s="418"/>
      <c r="AO311" s="403"/>
      <c r="AP311" s="403" t="s">
        <v>7055</v>
      </c>
      <c r="AQ311" s="403"/>
      <c r="AR311" s="403" t="s">
        <v>929</v>
      </c>
      <c r="AS311" s="482">
        <v>40228</v>
      </c>
      <c r="AT311" s="455"/>
      <c r="AU311" s="455"/>
      <c r="AV311" s="455"/>
      <c r="AW311" s="455"/>
      <c r="AX311" s="455"/>
      <c r="AY311" s="455"/>
      <c r="AZ311" s="455"/>
      <c r="BA311" s="404"/>
      <c r="BB311" s="404"/>
      <c r="BC311" s="404" t="b">
        <v>0</v>
      </c>
      <c r="BD311" s="404"/>
      <c r="BE311" s="403"/>
      <c r="BF311" s="405">
        <v>11</v>
      </c>
      <c r="BG311" s="405">
        <v>9</v>
      </c>
      <c r="BH311" s="405">
        <v>4</v>
      </c>
      <c r="BI311" s="405">
        <v>5</v>
      </c>
      <c r="BJ311" s="405">
        <v>8</v>
      </c>
      <c r="BK311" s="405"/>
      <c r="BL311" s="446" t="s">
        <v>6981</v>
      </c>
      <c r="BM311" s="403"/>
      <c r="BN311" s="404"/>
      <c r="BO311" s="404"/>
      <c r="BP311" s="408"/>
      <c r="BQ311" s="409"/>
      <c r="BR311" s="410"/>
      <c r="BS311" s="408"/>
      <c r="BT311" s="405"/>
      <c r="BU311" s="418">
        <v>1.02</v>
      </c>
      <c r="BV311" s="408"/>
      <c r="BW311" s="404" t="s">
        <v>3117</v>
      </c>
      <c r="BX311" s="403" t="s">
        <v>3177</v>
      </c>
      <c r="BY311" s="404"/>
      <c r="BZ311" s="404"/>
      <c r="CA311" s="443" t="s">
        <v>1663</v>
      </c>
      <c r="CB311" s="409"/>
      <c r="CC311" s="407"/>
      <c r="CD311" s="407"/>
      <c r="CE311" s="407"/>
      <c r="CF311" s="407"/>
      <c r="CG311" s="407">
        <v>8.4009999999999998</v>
      </c>
      <c r="CH311" s="407">
        <v>8.4009999999999998</v>
      </c>
      <c r="CI311" s="407">
        <v>8.2330000000000005</v>
      </c>
      <c r="CJ311" s="407">
        <v>8.0679999999999996</v>
      </c>
      <c r="CK311" s="407">
        <v>7.907</v>
      </c>
      <c r="CL311" s="407">
        <v>7.7489999999999997</v>
      </c>
      <c r="CM311" s="407">
        <v>7.3609999999999998</v>
      </c>
      <c r="CN311" s="407">
        <v>6.9930000000000003</v>
      </c>
      <c r="CO311" s="407">
        <v>6.6440000000000001</v>
      </c>
      <c r="CP311" s="407">
        <v>6.3109999999999999</v>
      </c>
      <c r="CQ311" s="407"/>
      <c r="CR311" s="407"/>
      <c r="CS311" s="407"/>
      <c r="CT311" s="407"/>
      <c r="CU311" s="407"/>
      <c r="CV311" s="407"/>
      <c r="CW311" s="407"/>
      <c r="CX311" s="407"/>
      <c r="CY311" s="407"/>
      <c r="CZ311" s="407"/>
      <c r="DA311" s="407"/>
      <c r="DB311" s="407"/>
      <c r="DC311" s="407"/>
      <c r="DD311" s="407"/>
      <c r="DE311" s="404"/>
      <c r="DF311" s="404"/>
      <c r="DG311" s="404"/>
      <c r="DH311" s="404"/>
      <c r="DI311" s="404"/>
      <c r="DJ311" s="404"/>
      <c r="DK311" s="897"/>
    </row>
    <row r="312" spans="1:115" ht="38.25" x14ac:dyDescent="0.2">
      <c r="A312" s="295">
        <v>308</v>
      </c>
      <c r="B312" s="390" t="s">
        <v>1000</v>
      </c>
      <c r="C312" s="424" t="s">
        <v>7462</v>
      </c>
      <c r="D312" s="391" t="s">
        <v>5032</v>
      </c>
      <c r="E312" s="704" t="s">
        <v>1001</v>
      </c>
      <c r="F312" s="393" t="s">
        <v>1340</v>
      </c>
      <c r="G312" s="393" t="s">
        <v>1359</v>
      </c>
      <c r="H312" s="393" t="s">
        <v>1002</v>
      </c>
      <c r="I312" s="392"/>
      <c r="J312" s="392" t="s">
        <v>1002</v>
      </c>
      <c r="K312" s="392"/>
      <c r="L312" s="392" t="s">
        <v>1003</v>
      </c>
      <c r="M312" s="392" t="s">
        <v>3966</v>
      </c>
      <c r="N312" s="393" t="s">
        <v>44</v>
      </c>
      <c r="O312" s="393" t="s">
        <v>51</v>
      </c>
      <c r="P312" s="393" t="s">
        <v>51</v>
      </c>
      <c r="Q312" s="392" t="s">
        <v>976</v>
      </c>
      <c r="R312" s="392"/>
      <c r="S312" s="392" t="s">
        <v>977</v>
      </c>
      <c r="T312" s="394">
        <v>1</v>
      </c>
      <c r="U312" s="395">
        <v>46.584000000000003</v>
      </c>
      <c r="V312" s="395"/>
      <c r="W312" s="452">
        <v>40246</v>
      </c>
      <c r="X312" s="394">
        <v>28</v>
      </c>
      <c r="Y312" s="394"/>
      <c r="Z312" s="394"/>
      <c r="AA312" s="395"/>
      <c r="AB312" s="453"/>
      <c r="AC312" s="398">
        <v>55.155456000000001</v>
      </c>
      <c r="AD312" s="398">
        <v>465.84000000000003</v>
      </c>
      <c r="AE312" s="393" t="s">
        <v>225</v>
      </c>
      <c r="AF312" s="417"/>
      <c r="AG312" s="417"/>
      <c r="AH312" s="417">
        <v>0</v>
      </c>
      <c r="AI312" s="394"/>
      <c r="AJ312" s="453"/>
      <c r="AK312" s="453"/>
      <c r="AL312" s="393"/>
      <c r="AM312" s="393"/>
      <c r="AN312" s="417"/>
      <c r="AO312" s="392"/>
      <c r="AP312" s="392" t="s">
        <v>7056</v>
      </c>
      <c r="AQ312" s="392"/>
      <c r="AR312" s="392" t="s">
        <v>368</v>
      </c>
      <c r="AS312" s="479">
        <v>40236</v>
      </c>
      <c r="AT312" s="397"/>
      <c r="AU312" s="397"/>
      <c r="AV312" s="452">
        <v>40474</v>
      </c>
      <c r="AW312" s="452">
        <v>40760</v>
      </c>
      <c r="AX312" s="452">
        <v>40782</v>
      </c>
      <c r="AY312" s="452">
        <v>40841</v>
      </c>
      <c r="AZ312" s="453"/>
      <c r="BA312" s="393"/>
      <c r="BB312" s="393" t="s">
        <v>3116</v>
      </c>
      <c r="BC312" s="393" t="b">
        <v>0</v>
      </c>
      <c r="BD312" s="393" t="s">
        <v>3116</v>
      </c>
      <c r="BE312" s="392" t="s">
        <v>6245</v>
      </c>
      <c r="BF312" s="394">
        <v>1</v>
      </c>
      <c r="BG312" s="394">
        <v>6</v>
      </c>
      <c r="BH312" s="394">
        <v>8</v>
      </c>
      <c r="BI312" s="394">
        <v>9</v>
      </c>
      <c r="BJ312" s="394">
        <v>4</v>
      </c>
      <c r="BK312" s="394">
        <v>11</v>
      </c>
      <c r="BL312" s="444"/>
      <c r="BM312" s="392"/>
      <c r="BN312" s="393"/>
      <c r="BO312" s="393"/>
      <c r="BP312" s="399"/>
      <c r="BQ312" s="400"/>
      <c r="BR312" s="401"/>
      <c r="BS312" s="399">
        <v>0</v>
      </c>
      <c r="BT312" s="394"/>
      <c r="BU312" s="417"/>
      <c r="BV312" s="399"/>
      <c r="BW312" s="393"/>
      <c r="BX312" s="392"/>
      <c r="BY312" s="393"/>
      <c r="BZ312" s="393"/>
      <c r="CA312" s="441"/>
      <c r="CB312" s="400"/>
      <c r="CC312" s="398"/>
      <c r="CD312" s="398"/>
      <c r="CE312" s="398"/>
      <c r="CF312" s="398"/>
      <c r="CG312" s="398"/>
      <c r="CH312" s="398"/>
      <c r="CI312" s="398"/>
      <c r="CJ312" s="398"/>
      <c r="CK312" s="398"/>
      <c r="CL312" s="398"/>
      <c r="CM312" s="398"/>
      <c r="CN312" s="398"/>
      <c r="CO312" s="398"/>
      <c r="CP312" s="398"/>
      <c r="CQ312" s="398"/>
      <c r="CR312" s="398"/>
      <c r="CS312" s="398"/>
      <c r="CT312" s="398"/>
      <c r="CU312" s="398"/>
      <c r="CV312" s="398"/>
      <c r="CW312" s="398"/>
      <c r="CX312" s="398"/>
      <c r="CY312" s="398"/>
      <c r="CZ312" s="398"/>
      <c r="DA312" s="398"/>
      <c r="DB312" s="398"/>
      <c r="DC312" s="398"/>
      <c r="DD312" s="398"/>
      <c r="DE312" s="393"/>
      <c r="DF312" s="393"/>
      <c r="DG312" s="393"/>
      <c r="DH312" s="393"/>
      <c r="DI312" s="393"/>
      <c r="DJ312" s="393"/>
      <c r="DK312" s="896" t="s">
        <v>9701</v>
      </c>
    </row>
    <row r="313" spans="1:115" ht="51" x14ac:dyDescent="0.2">
      <c r="A313" s="295">
        <v>309</v>
      </c>
      <c r="B313" s="390" t="s">
        <v>2628</v>
      </c>
      <c r="C313" s="390"/>
      <c r="D313" s="391" t="s">
        <v>1004</v>
      </c>
      <c r="E313" s="704" t="s">
        <v>1005</v>
      </c>
      <c r="F313" s="393" t="s">
        <v>1340</v>
      </c>
      <c r="G313" s="393" t="s">
        <v>1359</v>
      </c>
      <c r="H313" s="393" t="s">
        <v>1002</v>
      </c>
      <c r="I313" s="392"/>
      <c r="J313" s="392"/>
      <c r="K313" s="392" t="s">
        <v>2139</v>
      </c>
      <c r="L313" s="392" t="s">
        <v>1003</v>
      </c>
      <c r="M313" s="392"/>
      <c r="N313" s="393" t="s">
        <v>44</v>
      </c>
      <c r="O313" s="393" t="s">
        <v>51</v>
      </c>
      <c r="P313" s="393" t="s">
        <v>51</v>
      </c>
      <c r="Q313" s="392" t="s">
        <v>976</v>
      </c>
      <c r="R313" s="392" t="s">
        <v>3967</v>
      </c>
      <c r="S313" s="392" t="s">
        <v>977</v>
      </c>
      <c r="T313" s="394">
        <v>1</v>
      </c>
      <c r="U313" s="395">
        <v>46.584000000000003</v>
      </c>
      <c r="V313" s="395"/>
      <c r="W313" s="453"/>
      <c r="X313" s="394"/>
      <c r="Y313" s="394">
        <v>10</v>
      </c>
      <c r="Z313" s="394">
        <v>10</v>
      </c>
      <c r="AA313" s="395">
        <v>0</v>
      </c>
      <c r="AB313" s="452">
        <v>40841</v>
      </c>
      <c r="AC313" s="398">
        <v>55.155456000000001</v>
      </c>
      <c r="AD313" s="398">
        <v>465.84000000000003</v>
      </c>
      <c r="AE313" s="393" t="s">
        <v>225</v>
      </c>
      <c r="AF313" s="417"/>
      <c r="AG313" s="417"/>
      <c r="AH313" s="417"/>
      <c r="AI313" s="394"/>
      <c r="AJ313" s="453"/>
      <c r="AK313" s="453"/>
      <c r="AL313" s="393"/>
      <c r="AM313" s="393"/>
      <c r="AN313" s="417"/>
      <c r="AO313" s="392"/>
      <c r="AP313" s="392" t="s">
        <v>7056</v>
      </c>
      <c r="AQ313" s="392"/>
      <c r="AR313" s="392" t="s">
        <v>368</v>
      </c>
      <c r="AS313" s="479">
        <v>40236</v>
      </c>
      <c r="AT313" s="397"/>
      <c r="AU313" s="397"/>
      <c r="AV313" s="453"/>
      <c r="AW313" s="453"/>
      <c r="AX313" s="453"/>
      <c r="AY313" s="453"/>
      <c r="AZ313" s="452">
        <v>40841</v>
      </c>
      <c r="BA313" s="393"/>
      <c r="BB313" s="393"/>
      <c r="BC313" s="393" t="b">
        <v>0</v>
      </c>
      <c r="BD313" s="393"/>
      <c r="BE313" s="392"/>
      <c r="BF313" s="394">
        <v>1</v>
      </c>
      <c r="BG313" s="394">
        <v>6</v>
      </c>
      <c r="BH313" s="394">
        <v>8</v>
      </c>
      <c r="BI313" s="394">
        <v>9</v>
      </c>
      <c r="BJ313" s="394">
        <v>4</v>
      </c>
      <c r="BK313" s="394">
        <v>11</v>
      </c>
      <c r="BL313" s="444" t="s">
        <v>6982</v>
      </c>
      <c r="BM313" s="392"/>
      <c r="BN313" s="393" t="s">
        <v>3968</v>
      </c>
      <c r="BO313" s="393"/>
      <c r="BP313" s="399"/>
      <c r="BQ313" s="400"/>
      <c r="BR313" s="401"/>
      <c r="BS313" s="399"/>
      <c r="BT313" s="394"/>
      <c r="BU313" s="417"/>
      <c r="BV313" s="399">
        <v>179.98</v>
      </c>
      <c r="BW313" s="393" t="s">
        <v>3117</v>
      </c>
      <c r="BX313" s="392" t="s">
        <v>3259</v>
      </c>
      <c r="BY313" s="393"/>
      <c r="BZ313" s="393"/>
      <c r="CA313" s="441"/>
      <c r="CB313" s="400"/>
      <c r="CC313" s="398"/>
      <c r="CD313" s="398"/>
      <c r="CE313" s="398"/>
      <c r="CF313" s="398"/>
      <c r="CG313" s="398">
        <v>33.982999999999997</v>
      </c>
      <c r="CH313" s="398">
        <v>47.984999999999999</v>
      </c>
      <c r="CI313" s="398">
        <v>47.984999999999999</v>
      </c>
      <c r="CJ313" s="398">
        <v>47.984999999999999</v>
      </c>
      <c r="CK313" s="398">
        <v>47.984999999999999</v>
      </c>
      <c r="CL313" s="398">
        <v>47.984999999999999</v>
      </c>
      <c r="CM313" s="398">
        <v>47.984999999999999</v>
      </c>
      <c r="CN313" s="398">
        <v>47.984999999999999</v>
      </c>
      <c r="CO313" s="398">
        <v>47.984999999999999</v>
      </c>
      <c r="CP313" s="398">
        <v>47.984999999999999</v>
      </c>
      <c r="CQ313" s="398"/>
      <c r="CR313" s="398"/>
      <c r="CS313" s="398"/>
      <c r="CT313" s="398"/>
      <c r="CU313" s="398"/>
      <c r="CV313" s="398"/>
      <c r="CW313" s="398"/>
      <c r="CX313" s="398"/>
      <c r="CY313" s="398"/>
      <c r="CZ313" s="398"/>
      <c r="DA313" s="398"/>
      <c r="DB313" s="398"/>
      <c r="DC313" s="398"/>
      <c r="DD313" s="398"/>
      <c r="DE313" s="393"/>
      <c r="DF313" s="393"/>
      <c r="DG313" s="393"/>
      <c r="DH313" s="393"/>
      <c r="DI313" s="393"/>
      <c r="DJ313" s="393"/>
      <c r="DK313" s="897"/>
    </row>
    <row r="314" spans="1:115" ht="76.5" x14ac:dyDescent="0.2">
      <c r="A314" s="295">
        <v>310</v>
      </c>
      <c r="B314" s="390" t="s">
        <v>340</v>
      </c>
      <c r="C314" s="424" t="s">
        <v>7463</v>
      </c>
      <c r="D314" s="391"/>
      <c r="E314" s="706" t="s">
        <v>341</v>
      </c>
      <c r="F314" s="390" t="s">
        <v>1352</v>
      </c>
      <c r="G314" s="390" t="s">
        <v>1672</v>
      </c>
      <c r="H314" s="390" t="s">
        <v>261</v>
      </c>
      <c r="I314" s="402"/>
      <c r="J314" s="402" t="s">
        <v>261</v>
      </c>
      <c r="K314" s="402"/>
      <c r="L314" s="402" t="s">
        <v>262</v>
      </c>
      <c r="M314" s="402" t="s">
        <v>3969</v>
      </c>
      <c r="N314" s="390" t="s">
        <v>33</v>
      </c>
      <c r="O314" s="390" t="s">
        <v>34</v>
      </c>
      <c r="P314" s="390" t="s">
        <v>34</v>
      </c>
      <c r="Q314" s="402" t="s">
        <v>338</v>
      </c>
      <c r="R314" s="402"/>
      <c r="S314" s="402" t="s">
        <v>64</v>
      </c>
      <c r="T314" s="411">
        <v>1</v>
      </c>
      <c r="U314" s="412">
        <v>2.964</v>
      </c>
      <c r="V314" s="412"/>
      <c r="W314" s="457">
        <v>40374</v>
      </c>
      <c r="X314" s="411">
        <v>28</v>
      </c>
      <c r="Y314" s="411"/>
      <c r="Z314" s="411"/>
      <c r="AA314" s="412"/>
      <c r="AB314" s="454"/>
      <c r="AC314" s="413">
        <v>0.96</v>
      </c>
      <c r="AD314" s="413">
        <v>29.64</v>
      </c>
      <c r="AE314" s="390" t="s">
        <v>72</v>
      </c>
      <c r="AF314" s="419"/>
      <c r="AG314" s="419"/>
      <c r="AH314" s="419">
        <v>0</v>
      </c>
      <c r="AI314" s="411"/>
      <c r="AJ314" s="454"/>
      <c r="AK314" s="454"/>
      <c r="AL314" s="390"/>
      <c r="AM314" s="390"/>
      <c r="AN314" s="419"/>
      <c r="AO314" s="402"/>
      <c r="AP314" s="402" t="s">
        <v>55</v>
      </c>
      <c r="AQ314" s="402"/>
      <c r="AR314" s="402" t="s">
        <v>55</v>
      </c>
      <c r="AS314" s="481">
        <v>40274</v>
      </c>
      <c r="AT314" s="454"/>
      <c r="AU314" s="454"/>
      <c r="AV314" s="454"/>
      <c r="AW314" s="454"/>
      <c r="AX314" s="454"/>
      <c r="AY314" s="454"/>
      <c r="AZ314" s="454"/>
      <c r="BA314" s="390"/>
      <c r="BB314" s="390" t="s">
        <v>3116</v>
      </c>
      <c r="BC314" s="390" t="b">
        <v>0</v>
      </c>
      <c r="BD314" s="390" t="s">
        <v>3116</v>
      </c>
      <c r="BE314" s="402"/>
      <c r="BF314" s="411">
        <v>1</v>
      </c>
      <c r="BG314" s="411">
        <v>4</v>
      </c>
      <c r="BH314" s="411">
        <v>9</v>
      </c>
      <c r="BI314" s="411"/>
      <c r="BJ314" s="411"/>
      <c r="BK314" s="411"/>
      <c r="BL314" s="445"/>
      <c r="BM314" s="402"/>
      <c r="BN314" s="390"/>
      <c r="BO314" s="390"/>
      <c r="BP314" s="414"/>
      <c r="BQ314" s="415"/>
      <c r="BR314" s="416"/>
      <c r="BS314" s="414">
        <v>0</v>
      </c>
      <c r="BT314" s="411"/>
      <c r="BU314" s="419"/>
      <c r="BV314" s="414"/>
      <c r="BW314" s="390"/>
      <c r="BX314" s="402"/>
      <c r="BY314" s="390"/>
      <c r="BZ314" s="390"/>
      <c r="CA314" s="442"/>
      <c r="CB314" s="415"/>
      <c r="CC314" s="413"/>
      <c r="CD314" s="413"/>
      <c r="CE314" s="413"/>
      <c r="CF314" s="413"/>
      <c r="CG314" s="413"/>
      <c r="CH314" s="413"/>
      <c r="CI314" s="413"/>
      <c r="CJ314" s="413"/>
      <c r="CK314" s="413"/>
      <c r="CL314" s="413"/>
      <c r="CM314" s="413"/>
      <c r="CN314" s="413"/>
      <c r="CO314" s="413"/>
      <c r="CP314" s="413"/>
      <c r="CQ314" s="413"/>
      <c r="CR314" s="413"/>
      <c r="CS314" s="413"/>
      <c r="CT314" s="413"/>
      <c r="CU314" s="413"/>
      <c r="CV314" s="413"/>
      <c r="CW314" s="413"/>
      <c r="CX314" s="413"/>
      <c r="CY314" s="413"/>
      <c r="CZ314" s="413"/>
      <c r="DA314" s="413"/>
      <c r="DB314" s="413"/>
      <c r="DC314" s="413"/>
      <c r="DD314" s="413"/>
      <c r="DE314" s="390"/>
      <c r="DF314" s="390"/>
      <c r="DG314" s="390"/>
      <c r="DH314" s="390"/>
      <c r="DI314" s="390"/>
      <c r="DJ314" s="390"/>
      <c r="DK314" s="897"/>
    </row>
    <row r="315" spans="1:115" ht="38.25" x14ac:dyDescent="0.2">
      <c r="A315" s="295">
        <v>311</v>
      </c>
      <c r="B315" s="390" t="s">
        <v>2629</v>
      </c>
      <c r="C315" s="390"/>
      <c r="D315" s="391"/>
      <c r="E315" s="706" t="s">
        <v>342</v>
      </c>
      <c r="F315" s="390" t="s">
        <v>1352</v>
      </c>
      <c r="G315" s="390" t="s">
        <v>1672</v>
      </c>
      <c r="H315" s="390" t="s">
        <v>261</v>
      </c>
      <c r="I315" s="402"/>
      <c r="J315" s="402"/>
      <c r="K315" s="402" t="s">
        <v>1951</v>
      </c>
      <c r="L315" s="402" t="s">
        <v>262</v>
      </c>
      <c r="M315" s="402"/>
      <c r="N315" s="390" t="s">
        <v>33</v>
      </c>
      <c r="O315" s="390" t="s">
        <v>34</v>
      </c>
      <c r="P315" s="390" t="s">
        <v>34</v>
      </c>
      <c r="Q315" s="402" t="s">
        <v>338</v>
      </c>
      <c r="R315" s="402" t="s">
        <v>3970</v>
      </c>
      <c r="S315" s="402" t="s">
        <v>64</v>
      </c>
      <c r="T315" s="411">
        <v>1</v>
      </c>
      <c r="U315" s="412">
        <v>2.964</v>
      </c>
      <c r="V315" s="412"/>
      <c r="W315" s="454"/>
      <c r="X315" s="411"/>
      <c r="Y315" s="411">
        <v>10</v>
      </c>
      <c r="Z315" s="411">
        <v>10</v>
      </c>
      <c r="AA315" s="412">
        <v>0</v>
      </c>
      <c r="AB315" s="457">
        <v>40909</v>
      </c>
      <c r="AC315" s="413">
        <v>0.96</v>
      </c>
      <c r="AD315" s="413">
        <v>29.64</v>
      </c>
      <c r="AE315" s="390" t="s">
        <v>72</v>
      </c>
      <c r="AF315" s="419"/>
      <c r="AG315" s="419"/>
      <c r="AH315" s="419"/>
      <c r="AI315" s="411"/>
      <c r="AJ315" s="454"/>
      <c r="AK315" s="454"/>
      <c r="AL315" s="390"/>
      <c r="AM315" s="390"/>
      <c r="AN315" s="419"/>
      <c r="AO315" s="402"/>
      <c r="AP315" s="402" t="s">
        <v>55</v>
      </c>
      <c r="AQ315" s="402"/>
      <c r="AR315" s="402" t="s">
        <v>55</v>
      </c>
      <c r="AS315" s="481">
        <v>40274</v>
      </c>
      <c r="AT315" s="454"/>
      <c r="AU315" s="454"/>
      <c r="AV315" s="454"/>
      <c r="AW315" s="454"/>
      <c r="AX315" s="454"/>
      <c r="AY315" s="454"/>
      <c r="AZ315" s="454"/>
      <c r="BA315" s="390"/>
      <c r="BB315" s="390"/>
      <c r="BC315" s="390" t="b">
        <v>0</v>
      </c>
      <c r="BD315" s="390"/>
      <c r="BE315" s="402"/>
      <c r="BF315" s="411">
        <v>1</v>
      </c>
      <c r="BG315" s="411">
        <v>4</v>
      </c>
      <c r="BH315" s="411">
        <v>9</v>
      </c>
      <c r="BI315" s="411"/>
      <c r="BJ315" s="411"/>
      <c r="BK315" s="411"/>
      <c r="BL315" s="445" t="s">
        <v>6981</v>
      </c>
      <c r="BM315" s="402"/>
      <c r="BN315" s="390"/>
      <c r="BO315" s="390"/>
      <c r="BP315" s="414"/>
      <c r="BQ315" s="415"/>
      <c r="BR315" s="416"/>
      <c r="BS315" s="414"/>
      <c r="BT315" s="411"/>
      <c r="BU315" s="419"/>
      <c r="BV315" s="414">
        <v>6.4274100000000001</v>
      </c>
      <c r="BW315" s="390" t="s">
        <v>3117</v>
      </c>
      <c r="BX315" s="402" t="s">
        <v>3149</v>
      </c>
      <c r="BY315" s="390"/>
      <c r="BZ315" s="390"/>
      <c r="CA315" s="442"/>
      <c r="CB315" s="415"/>
      <c r="CC315" s="413"/>
      <c r="CD315" s="413"/>
      <c r="CE315" s="413"/>
      <c r="CF315" s="413">
        <v>2.964</v>
      </c>
      <c r="CG315" s="413">
        <v>2.964</v>
      </c>
      <c r="CH315" s="413">
        <v>2.964</v>
      </c>
      <c r="CI315" s="413">
        <v>2.964</v>
      </c>
      <c r="CJ315" s="413">
        <v>2.964</v>
      </c>
      <c r="CK315" s="413">
        <v>2.964</v>
      </c>
      <c r="CL315" s="413">
        <v>2.964</v>
      </c>
      <c r="CM315" s="413">
        <v>2.964</v>
      </c>
      <c r="CN315" s="413">
        <v>2.964</v>
      </c>
      <c r="CO315" s="413">
        <v>2.964</v>
      </c>
      <c r="CP315" s="413"/>
      <c r="CQ315" s="413"/>
      <c r="CR315" s="413"/>
      <c r="CS315" s="413"/>
      <c r="CT315" s="413"/>
      <c r="CU315" s="413"/>
      <c r="CV315" s="413"/>
      <c r="CW315" s="413"/>
      <c r="CX315" s="413"/>
      <c r="CY315" s="413"/>
      <c r="CZ315" s="413"/>
      <c r="DA315" s="413"/>
      <c r="DB315" s="413"/>
      <c r="DC315" s="413"/>
      <c r="DD315" s="413"/>
      <c r="DE315" s="390"/>
      <c r="DF315" s="390"/>
      <c r="DG315" s="390"/>
      <c r="DH315" s="390"/>
      <c r="DI315" s="390"/>
      <c r="DJ315" s="390"/>
      <c r="DK315" s="897"/>
    </row>
    <row r="316" spans="1:115" ht="38.25" x14ac:dyDescent="0.2">
      <c r="A316" s="295">
        <v>312</v>
      </c>
      <c r="B316" s="390" t="s">
        <v>477</v>
      </c>
      <c r="C316" s="424" t="s">
        <v>7464</v>
      </c>
      <c r="D316" s="391" t="s">
        <v>5033</v>
      </c>
      <c r="E316" s="704" t="s">
        <v>478</v>
      </c>
      <c r="F316" s="393" t="s">
        <v>1352</v>
      </c>
      <c r="G316" s="393" t="s">
        <v>1673</v>
      </c>
      <c r="H316" s="393" t="s">
        <v>42</v>
      </c>
      <c r="I316" s="392"/>
      <c r="J316" s="392" t="s">
        <v>42</v>
      </c>
      <c r="K316" s="392"/>
      <c r="L316" s="392" t="s">
        <v>479</v>
      </c>
      <c r="M316" s="392" t="s">
        <v>3971</v>
      </c>
      <c r="N316" s="393" t="s">
        <v>44</v>
      </c>
      <c r="O316" s="393" t="s">
        <v>51</v>
      </c>
      <c r="P316" s="393" t="s">
        <v>51</v>
      </c>
      <c r="Q316" s="392" t="s">
        <v>426</v>
      </c>
      <c r="R316" s="392"/>
      <c r="S316" s="392" t="s">
        <v>256</v>
      </c>
      <c r="T316" s="394">
        <v>1</v>
      </c>
      <c r="U316" s="395">
        <v>1.2999999999999999E-2</v>
      </c>
      <c r="V316" s="395"/>
      <c r="W316" s="452">
        <v>39554</v>
      </c>
      <c r="X316" s="394">
        <v>28</v>
      </c>
      <c r="Y316" s="394"/>
      <c r="Z316" s="394"/>
      <c r="AA316" s="395"/>
      <c r="AB316" s="453"/>
      <c r="AC316" s="398">
        <v>0</v>
      </c>
      <c r="AD316" s="398">
        <v>0.13</v>
      </c>
      <c r="AE316" s="393" t="s">
        <v>72</v>
      </c>
      <c r="AF316" s="417"/>
      <c r="AG316" s="417"/>
      <c r="AH316" s="417">
        <v>0</v>
      </c>
      <c r="AI316" s="394"/>
      <c r="AJ316" s="453"/>
      <c r="AK316" s="453"/>
      <c r="AL316" s="393"/>
      <c r="AM316" s="393"/>
      <c r="AN316" s="417"/>
      <c r="AO316" s="392"/>
      <c r="AP316" s="392" t="s">
        <v>55</v>
      </c>
      <c r="AQ316" s="392"/>
      <c r="AR316" s="392" t="s">
        <v>479</v>
      </c>
      <c r="AS316" s="479">
        <v>40278</v>
      </c>
      <c r="AT316" s="453"/>
      <c r="AU316" s="453"/>
      <c r="AV316" s="452">
        <v>40449</v>
      </c>
      <c r="AW316" s="452">
        <v>41194</v>
      </c>
      <c r="AX316" s="452">
        <v>41257</v>
      </c>
      <c r="AY316" s="452">
        <v>41197</v>
      </c>
      <c r="AZ316" s="453"/>
      <c r="BA316" s="393"/>
      <c r="BB316" s="393" t="s">
        <v>3147</v>
      </c>
      <c r="BC316" s="393" t="b">
        <v>0</v>
      </c>
      <c r="BD316" s="393" t="s">
        <v>3147</v>
      </c>
      <c r="BE316" s="392"/>
      <c r="BF316" s="394">
        <v>5</v>
      </c>
      <c r="BG316" s="394">
        <v>10</v>
      </c>
      <c r="BH316" s="394">
        <v>7</v>
      </c>
      <c r="BI316" s="394">
        <v>9</v>
      </c>
      <c r="BJ316" s="394"/>
      <c r="BK316" s="394"/>
      <c r="BL316" s="444"/>
      <c r="BM316" s="392"/>
      <c r="BN316" s="393"/>
      <c r="BO316" s="393"/>
      <c r="BP316" s="399"/>
      <c r="BQ316" s="400"/>
      <c r="BR316" s="401"/>
      <c r="BS316" s="399">
        <v>0</v>
      </c>
      <c r="BT316" s="394"/>
      <c r="BU316" s="417"/>
      <c r="BV316" s="399"/>
      <c r="BW316" s="393"/>
      <c r="BX316" s="392"/>
      <c r="BY316" s="393"/>
      <c r="BZ316" s="393"/>
      <c r="CA316" s="441"/>
      <c r="CB316" s="400"/>
      <c r="CC316" s="398"/>
      <c r="CD316" s="398"/>
      <c r="CE316" s="398"/>
      <c r="CF316" s="398"/>
      <c r="CG316" s="398"/>
      <c r="CH316" s="398"/>
      <c r="CI316" s="398"/>
      <c r="CJ316" s="398"/>
      <c r="CK316" s="398"/>
      <c r="CL316" s="398"/>
      <c r="CM316" s="398"/>
      <c r="CN316" s="398"/>
      <c r="CO316" s="398"/>
      <c r="CP316" s="398"/>
      <c r="CQ316" s="398"/>
      <c r="CR316" s="398"/>
      <c r="CS316" s="398"/>
      <c r="CT316" s="398"/>
      <c r="CU316" s="398"/>
      <c r="CV316" s="398"/>
      <c r="CW316" s="398"/>
      <c r="CX316" s="398"/>
      <c r="CY316" s="398"/>
      <c r="CZ316" s="398"/>
      <c r="DA316" s="398"/>
      <c r="DB316" s="398"/>
      <c r="DC316" s="398"/>
      <c r="DD316" s="398"/>
      <c r="DE316" s="393"/>
      <c r="DF316" s="393"/>
      <c r="DG316" s="393"/>
      <c r="DH316" s="393"/>
      <c r="DI316" s="393"/>
      <c r="DJ316" s="393"/>
      <c r="DK316" s="896" t="s">
        <v>9700</v>
      </c>
    </row>
    <row r="317" spans="1:115" ht="25.5" x14ac:dyDescent="0.2">
      <c r="A317" s="295">
        <v>313</v>
      </c>
      <c r="B317" s="390" t="s">
        <v>2630</v>
      </c>
      <c r="C317" s="390"/>
      <c r="D317" s="391" t="s">
        <v>4360</v>
      </c>
      <c r="E317" s="704" t="s">
        <v>480</v>
      </c>
      <c r="F317" s="393" t="s">
        <v>1352</v>
      </c>
      <c r="G317" s="393" t="s">
        <v>1673</v>
      </c>
      <c r="H317" s="393" t="s">
        <v>42</v>
      </c>
      <c r="I317" s="392"/>
      <c r="J317" s="392"/>
      <c r="K317" s="392" t="s">
        <v>2140</v>
      </c>
      <c r="L317" s="392" t="s">
        <v>479</v>
      </c>
      <c r="M317" s="392"/>
      <c r="N317" s="393" t="s">
        <v>44</v>
      </c>
      <c r="O317" s="393" t="s">
        <v>51</v>
      </c>
      <c r="P317" s="393" t="s">
        <v>51</v>
      </c>
      <c r="Q317" s="392" t="s">
        <v>426</v>
      </c>
      <c r="R317" s="392" t="s">
        <v>1421</v>
      </c>
      <c r="S317" s="392" t="s">
        <v>256</v>
      </c>
      <c r="T317" s="394">
        <v>1</v>
      </c>
      <c r="U317" s="395">
        <v>1.2999999999999999E-2</v>
      </c>
      <c r="V317" s="395"/>
      <c r="W317" s="453"/>
      <c r="X317" s="394"/>
      <c r="Y317" s="394">
        <v>10</v>
      </c>
      <c r="Z317" s="394">
        <v>10</v>
      </c>
      <c r="AA317" s="395">
        <v>0</v>
      </c>
      <c r="AB317" s="452">
        <v>41197</v>
      </c>
      <c r="AC317" s="398"/>
      <c r="AD317" s="398">
        <v>0.13</v>
      </c>
      <c r="AE317" s="393" t="s">
        <v>72</v>
      </c>
      <c r="AF317" s="417"/>
      <c r="AG317" s="417"/>
      <c r="AH317" s="417"/>
      <c r="AI317" s="394"/>
      <c r="AJ317" s="453"/>
      <c r="AK317" s="453"/>
      <c r="AL317" s="393"/>
      <c r="AM317" s="393"/>
      <c r="AN317" s="417"/>
      <c r="AO317" s="392"/>
      <c r="AP317" s="392" t="s">
        <v>55</v>
      </c>
      <c r="AQ317" s="392"/>
      <c r="AR317" s="392" t="s">
        <v>479</v>
      </c>
      <c r="AS317" s="479">
        <v>40278</v>
      </c>
      <c r="AT317" s="453"/>
      <c r="AU317" s="453"/>
      <c r="AV317" s="453"/>
      <c r="AW317" s="453"/>
      <c r="AX317" s="453"/>
      <c r="AY317" s="453"/>
      <c r="AZ317" s="452">
        <v>41197</v>
      </c>
      <c r="BA317" s="393"/>
      <c r="BB317" s="393"/>
      <c r="BC317" s="393" t="b">
        <v>0</v>
      </c>
      <c r="BD317" s="393"/>
      <c r="BE317" s="392"/>
      <c r="BF317" s="394">
        <v>5</v>
      </c>
      <c r="BG317" s="394">
        <v>10</v>
      </c>
      <c r="BH317" s="394">
        <v>7</v>
      </c>
      <c r="BI317" s="394">
        <v>9</v>
      </c>
      <c r="BJ317" s="394"/>
      <c r="BK317" s="394"/>
      <c r="BL317" s="444" t="s">
        <v>6981</v>
      </c>
      <c r="BM317" s="392"/>
      <c r="BN317" s="393"/>
      <c r="BO317" s="393"/>
      <c r="BP317" s="399"/>
      <c r="BQ317" s="400"/>
      <c r="BR317" s="401"/>
      <c r="BS317" s="399"/>
      <c r="BT317" s="394"/>
      <c r="BU317" s="417"/>
      <c r="BV317" s="399">
        <v>2.1999999999999999E-2</v>
      </c>
      <c r="BW317" s="393" t="s">
        <v>3117</v>
      </c>
      <c r="BX317" s="392" t="s">
        <v>3177</v>
      </c>
      <c r="BY317" s="393"/>
      <c r="BZ317" s="393"/>
      <c r="CA317" s="441"/>
      <c r="CB317" s="400"/>
      <c r="CC317" s="398"/>
      <c r="CD317" s="398"/>
      <c r="CE317" s="398"/>
      <c r="CF317" s="398"/>
      <c r="CG317" s="398">
        <v>0.02</v>
      </c>
      <c r="CH317" s="398">
        <v>0.02</v>
      </c>
      <c r="CI317" s="398">
        <v>0.02</v>
      </c>
      <c r="CJ317" s="398">
        <v>0.02</v>
      </c>
      <c r="CK317" s="398">
        <v>0.02</v>
      </c>
      <c r="CL317" s="398">
        <v>2E-3</v>
      </c>
      <c r="CM317" s="398">
        <v>0</v>
      </c>
      <c r="CN317" s="398">
        <v>0</v>
      </c>
      <c r="CO317" s="398">
        <v>0</v>
      </c>
      <c r="CP317" s="398">
        <v>0</v>
      </c>
      <c r="CQ317" s="398"/>
      <c r="CR317" s="398"/>
      <c r="CS317" s="398"/>
      <c r="CT317" s="398"/>
      <c r="CU317" s="398"/>
      <c r="CV317" s="398"/>
      <c r="CW317" s="398"/>
      <c r="CX317" s="398"/>
      <c r="CY317" s="398"/>
      <c r="CZ317" s="398"/>
      <c r="DA317" s="398"/>
      <c r="DB317" s="398"/>
      <c r="DC317" s="398"/>
      <c r="DD317" s="398"/>
      <c r="DE317" s="393"/>
      <c r="DF317" s="393"/>
      <c r="DG317" s="393"/>
      <c r="DH317" s="393"/>
      <c r="DI317" s="393"/>
      <c r="DJ317" s="393"/>
      <c r="DK317" s="897"/>
    </row>
    <row r="318" spans="1:115" ht="51" x14ac:dyDescent="0.2">
      <c r="A318" s="295">
        <v>314</v>
      </c>
      <c r="B318" s="390" t="s">
        <v>931</v>
      </c>
      <c r="C318" s="424" t="s">
        <v>7465</v>
      </c>
      <c r="D318" s="391" t="s">
        <v>1610</v>
      </c>
      <c r="E318" s="704" t="s">
        <v>932</v>
      </c>
      <c r="F318" s="393" t="s">
        <v>1375</v>
      </c>
      <c r="G318" s="393" t="s">
        <v>1361</v>
      </c>
      <c r="H318" s="393" t="s">
        <v>137</v>
      </c>
      <c r="I318" s="392"/>
      <c r="J318" s="392" t="s">
        <v>137</v>
      </c>
      <c r="K318" s="392"/>
      <c r="L318" s="392" t="s">
        <v>933</v>
      </c>
      <c r="M318" s="392" t="s">
        <v>3972</v>
      </c>
      <c r="N318" s="393" t="s">
        <v>44</v>
      </c>
      <c r="O318" s="393" t="s">
        <v>827</v>
      </c>
      <c r="P318" s="393" t="s">
        <v>827</v>
      </c>
      <c r="Q318" s="392" t="s">
        <v>923</v>
      </c>
      <c r="R318" s="392"/>
      <c r="S318" s="392" t="s">
        <v>46</v>
      </c>
      <c r="T318" s="394">
        <v>7</v>
      </c>
      <c r="U318" s="395">
        <v>325.83499999999998</v>
      </c>
      <c r="V318" s="395"/>
      <c r="W318" s="452">
        <v>40572</v>
      </c>
      <c r="X318" s="394">
        <v>28</v>
      </c>
      <c r="Y318" s="394"/>
      <c r="Z318" s="394"/>
      <c r="AA318" s="395"/>
      <c r="AB318" s="453"/>
      <c r="AC318" s="398">
        <v>166.262</v>
      </c>
      <c r="AD318" s="398">
        <v>3258.3500000000004</v>
      </c>
      <c r="AE318" s="393" t="s">
        <v>355</v>
      </c>
      <c r="AF318" s="417">
        <f>SUM(AF319:AF320)</f>
        <v>48.975999999999999</v>
      </c>
      <c r="AG318" s="417">
        <f>SUM(AG319:AG320)</f>
        <v>50.193999999999996</v>
      </c>
      <c r="AH318" s="417">
        <v>99.169999999999987</v>
      </c>
      <c r="AI318" s="394">
        <v>3</v>
      </c>
      <c r="AJ318" s="452">
        <v>41908</v>
      </c>
      <c r="AK318" s="452">
        <v>41274</v>
      </c>
      <c r="AL318" s="393"/>
      <c r="AM318" s="393"/>
      <c r="AN318" s="417"/>
      <c r="AO318" s="392"/>
      <c r="AP318" s="392" t="s">
        <v>7057</v>
      </c>
      <c r="AQ318" s="392"/>
      <c r="AR318" s="392" t="s">
        <v>882</v>
      </c>
      <c r="AS318" s="479">
        <v>40326</v>
      </c>
      <c r="AT318" s="453"/>
      <c r="AU318" s="453"/>
      <c r="AV318" s="452">
        <v>40493</v>
      </c>
      <c r="AW318" s="452">
        <v>40606</v>
      </c>
      <c r="AX318" s="453"/>
      <c r="AY318" s="452">
        <v>40614</v>
      </c>
      <c r="AZ318" s="453"/>
      <c r="BA318" s="393"/>
      <c r="BB318" s="393" t="s">
        <v>3116</v>
      </c>
      <c r="BC318" s="393" t="b">
        <v>0</v>
      </c>
      <c r="BD318" s="393" t="s">
        <v>3116</v>
      </c>
      <c r="BE318" s="392"/>
      <c r="BF318" s="394">
        <v>10</v>
      </c>
      <c r="BG318" s="394">
        <v>9</v>
      </c>
      <c r="BH318" s="394">
        <v>5</v>
      </c>
      <c r="BI318" s="394">
        <v>8</v>
      </c>
      <c r="BJ318" s="394">
        <v>7</v>
      </c>
      <c r="BK318" s="394"/>
      <c r="BL318" s="444"/>
      <c r="BM318" s="392"/>
      <c r="BN318" s="393"/>
      <c r="BO318" s="393"/>
      <c r="BP318" s="399"/>
      <c r="BQ318" s="400"/>
      <c r="BR318" s="401"/>
      <c r="BS318" s="399">
        <v>0</v>
      </c>
      <c r="BT318" s="394"/>
      <c r="BU318" s="417"/>
      <c r="BV318" s="399"/>
      <c r="BW318" s="393"/>
      <c r="BX318" s="392"/>
      <c r="BY318" s="393"/>
      <c r="BZ318" s="393"/>
      <c r="CA318" s="441"/>
      <c r="CB318" s="400"/>
      <c r="CC318" s="398"/>
      <c r="CD318" s="398"/>
      <c r="CE318" s="398"/>
      <c r="CF318" s="398"/>
      <c r="CG318" s="398"/>
      <c r="CH318" s="398"/>
      <c r="CI318" s="398"/>
      <c r="CJ318" s="398"/>
      <c r="CK318" s="398"/>
      <c r="CL318" s="398"/>
      <c r="CM318" s="398"/>
      <c r="CN318" s="398"/>
      <c r="CO318" s="398"/>
      <c r="CP318" s="398"/>
      <c r="CQ318" s="398"/>
      <c r="CR318" s="398"/>
      <c r="CS318" s="398"/>
      <c r="CT318" s="398"/>
      <c r="CU318" s="398"/>
      <c r="CV318" s="398"/>
      <c r="CW318" s="398"/>
      <c r="CX318" s="398"/>
      <c r="CY318" s="398"/>
      <c r="CZ318" s="398"/>
      <c r="DA318" s="398"/>
      <c r="DB318" s="398"/>
      <c r="DC318" s="398"/>
      <c r="DD318" s="398"/>
      <c r="DE318" s="393"/>
      <c r="DF318" s="393"/>
      <c r="DG318" s="393"/>
      <c r="DH318" s="393"/>
      <c r="DI318" s="393"/>
      <c r="DJ318" s="393"/>
      <c r="DK318" s="896" t="s">
        <v>9705</v>
      </c>
    </row>
    <row r="319" spans="1:115" ht="38.25" x14ac:dyDescent="0.2">
      <c r="A319" s="295">
        <v>315</v>
      </c>
      <c r="B319" s="390" t="s">
        <v>2631</v>
      </c>
      <c r="C319" s="390"/>
      <c r="D319" s="391" t="s">
        <v>934</v>
      </c>
      <c r="E319" s="704" t="s">
        <v>935</v>
      </c>
      <c r="F319" s="393" t="s">
        <v>1375</v>
      </c>
      <c r="G319" s="393" t="s">
        <v>1361</v>
      </c>
      <c r="H319" s="393" t="s">
        <v>137</v>
      </c>
      <c r="I319" s="392"/>
      <c r="J319" s="392"/>
      <c r="K319" s="392" t="s">
        <v>2141</v>
      </c>
      <c r="L319" s="392" t="s">
        <v>933</v>
      </c>
      <c r="M319" s="392"/>
      <c r="N319" s="393" t="s">
        <v>44</v>
      </c>
      <c r="O319" s="393" t="s">
        <v>827</v>
      </c>
      <c r="P319" s="393" t="s">
        <v>827</v>
      </c>
      <c r="Q319" s="392" t="s">
        <v>923</v>
      </c>
      <c r="R319" s="392" t="s">
        <v>4423</v>
      </c>
      <c r="S319" s="392" t="s">
        <v>46</v>
      </c>
      <c r="T319" s="394">
        <v>1</v>
      </c>
      <c r="U319" s="395">
        <v>77.004999999999995</v>
      </c>
      <c r="V319" s="395"/>
      <c r="W319" s="453"/>
      <c r="X319" s="394"/>
      <c r="Y319" s="394">
        <v>10</v>
      </c>
      <c r="Z319" s="394">
        <v>15</v>
      </c>
      <c r="AA319" s="395">
        <v>0</v>
      </c>
      <c r="AB319" s="452">
        <v>40614</v>
      </c>
      <c r="AC319" s="398">
        <v>138.71199999999999</v>
      </c>
      <c r="AD319" s="398">
        <v>770.05</v>
      </c>
      <c r="AE319" s="393" t="s">
        <v>355</v>
      </c>
      <c r="AF319" s="417">
        <f>14.227+30.139</f>
        <v>44.366</v>
      </c>
      <c r="AG319" s="417">
        <f>38.638</f>
        <v>38.637999999999998</v>
      </c>
      <c r="AH319" s="417">
        <v>83.003999999999991</v>
      </c>
      <c r="AI319" s="394">
        <v>3</v>
      </c>
      <c r="AJ319" s="452">
        <v>41908</v>
      </c>
      <c r="AK319" s="452">
        <v>41274</v>
      </c>
      <c r="AL319" s="393"/>
      <c r="AM319" s="393"/>
      <c r="AN319" s="417"/>
      <c r="AO319" s="392"/>
      <c r="AP319" s="392" t="s">
        <v>7057</v>
      </c>
      <c r="AQ319" s="392"/>
      <c r="AR319" s="392" t="s">
        <v>882</v>
      </c>
      <c r="AS319" s="479">
        <v>40326</v>
      </c>
      <c r="AT319" s="453"/>
      <c r="AU319" s="453"/>
      <c r="AV319" s="453"/>
      <c r="AW319" s="453"/>
      <c r="AX319" s="453"/>
      <c r="AY319" s="453"/>
      <c r="AZ319" s="452">
        <v>40614</v>
      </c>
      <c r="BA319" s="393"/>
      <c r="BB319" s="393"/>
      <c r="BC319" s="393" t="b">
        <v>0</v>
      </c>
      <c r="BD319" s="393"/>
      <c r="BE319" s="392"/>
      <c r="BF319" s="394">
        <v>10</v>
      </c>
      <c r="BG319" s="394">
        <v>9</v>
      </c>
      <c r="BH319" s="394">
        <v>5</v>
      </c>
      <c r="BI319" s="394">
        <v>8</v>
      </c>
      <c r="BJ319" s="394">
        <v>7</v>
      </c>
      <c r="BK319" s="394"/>
      <c r="BL319" s="444" t="s">
        <v>6981</v>
      </c>
      <c r="BM319" s="392"/>
      <c r="BN319" s="393"/>
      <c r="BO319" s="393"/>
      <c r="BP319" s="399"/>
      <c r="BQ319" s="400"/>
      <c r="BR319" s="401"/>
      <c r="BS319" s="399"/>
      <c r="BT319" s="394"/>
      <c r="BU319" s="417">
        <v>0.94020000000000004</v>
      </c>
      <c r="BV319" s="399">
        <v>81.903999999999996</v>
      </c>
      <c r="BW319" s="393" t="s">
        <v>3117</v>
      </c>
      <c r="BX319" s="392" t="s">
        <v>3223</v>
      </c>
      <c r="BY319" s="393"/>
      <c r="BZ319" s="393"/>
      <c r="CA319" s="441" t="s">
        <v>1664</v>
      </c>
      <c r="CB319" s="400"/>
      <c r="CC319" s="398"/>
      <c r="CD319" s="398"/>
      <c r="CE319" s="398"/>
      <c r="CF319" s="398"/>
      <c r="CG319" s="398">
        <v>63.58</v>
      </c>
      <c r="CH319" s="398">
        <v>77.004999999999995</v>
      </c>
      <c r="CI319" s="398">
        <v>77.004999999999995</v>
      </c>
      <c r="CJ319" s="398">
        <v>77.004999999999995</v>
      </c>
      <c r="CK319" s="398">
        <v>77.004999999999995</v>
      </c>
      <c r="CL319" s="398">
        <v>77.004999999999995</v>
      </c>
      <c r="CM319" s="398">
        <v>77.004999999999995</v>
      </c>
      <c r="CN319" s="398">
        <v>77.004999999999995</v>
      </c>
      <c r="CO319" s="398">
        <v>77.004999999999995</v>
      </c>
      <c r="CP319" s="398">
        <v>77.004999999999995</v>
      </c>
      <c r="CQ319" s="398">
        <v>12.834</v>
      </c>
      <c r="CR319" s="398"/>
      <c r="CS319" s="398"/>
      <c r="CT319" s="398"/>
      <c r="CU319" s="398"/>
      <c r="CV319" s="398"/>
      <c r="CW319" s="398"/>
      <c r="CX319" s="398"/>
      <c r="CY319" s="398"/>
      <c r="CZ319" s="398"/>
      <c r="DA319" s="398"/>
      <c r="DB319" s="398"/>
      <c r="DC319" s="398"/>
      <c r="DD319" s="398"/>
      <c r="DE319" s="393"/>
      <c r="DF319" s="393"/>
      <c r="DG319" s="393"/>
      <c r="DH319" s="393"/>
      <c r="DI319" s="393"/>
      <c r="DJ319" s="393"/>
      <c r="DK319" s="897"/>
    </row>
    <row r="320" spans="1:115" ht="25.5" x14ac:dyDescent="0.2">
      <c r="A320" s="295">
        <v>316</v>
      </c>
      <c r="B320" s="390" t="s">
        <v>2632</v>
      </c>
      <c r="C320" s="390"/>
      <c r="D320" s="391" t="s">
        <v>2279</v>
      </c>
      <c r="E320" s="704" t="s">
        <v>2315</v>
      </c>
      <c r="F320" s="393" t="s">
        <v>1375</v>
      </c>
      <c r="G320" s="393" t="s">
        <v>1361</v>
      </c>
      <c r="H320" s="393" t="s">
        <v>137</v>
      </c>
      <c r="I320" s="392"/>
      <c r="J320" s="392"/>
      <c r="K320" s="392" t="s">
        <v>159</v>
      </c>
      <c r="L320" s="392" t="s">
        <v>933</v>
      </c>
      <c r="M320" s="392"/>
      <c r="N320" s="393" t="s">
        <v>44</v>
      </c>
      <c r="O320" s="393" t="s">
        <v>827</v>
      </c>
      <c r="P320" s="393" t="s">
        <v>827</v>
      </c>
      <c r="Q320" s="392" t="s">
        <v>923</v>
      </c>
      <c r="R320" s="392" t="s">
        <v>4424</v>
      </c>
      <c r="S320" s="392" t="s">
        <v>46</v>
      </c>
      <c r="T320" s="394">
        <v>1</v>
      </c>
      <c r="U320" s="395">
        <v>41.46</v>
      </c>
      <c r="V320" s="395"/>
      <c r="W320" s="453"/>
      <c r="X320" s="394"/>
      <c r="Y320" s="394">
        <v>10</v>
      </c>
      <c r="Z320" s="394">
        <v>15</v>
      </c>
      <c r="AA320" s="395">
        <v>0</v>
      </c>
      <c r="AB320" s="452">
        <v>41000</v>
      </c>
      <c r="AC320" s="398">
        <v>27.55</v>
      </c>
      <c r="AD320" s="398">
        <v>414.6</v>
      </c>
      <c r="AE320" s="393" t="s">
        <v>355</v>
      </c>
      <c r="AF320" s="417">
        <f>4.61</f>
        <v>4.6100000000000003</v>
      </c>
      <c r="AG320" s="417">
        <f>11.556</f>
        <v>11.555999999999999</v>
      </c>
      <c r="AH320" s="417">
        <v>16.166</v>
      </c>
      <c r="AI320" s="394">
        <v>3</v>
      </c>
      <c r="AJ320" s="452">
        <v>41974</v>
      </c>
      <c r="AK320" s="452">
        <v>41274</v>
      </c>
      <c r="AL320" s="393"/>
      <c r="AM320" s="393"/>
      <c r="AN320" s="417"/>
      <c r="AO320" s="392"/>
      <c r="AP320" s="392" t="s">
        <v>7057</v>
      </c>
      <c r="AQ320" s="392"/>
      <c r="AR320" s="392" t="s">
        <v>882</v>
      </c>
      <c r="AS320" s="480"/>
      <c r="AT320" s="453"/>
      <c r="AU320" s="453"/>
      <c r="AV320" s="453"/>
      <c r="AW320" s="453"/>
      <c r="AX320" s="453"/>
      <c r="AY320" s="453"/>
      <c r="AZ320" s="452">
        <v>40997</v>
      </c>
      <c r="BA320" s="393"/>
      <c r="BB320" s="393"/>
      <c r="BC320" s="393" t="b">
        <v>0</v>
      </c>
      <c r="BD320" s="393"/>
      <c r="BE320" s="392"/>
      <c r="BF320" s="394">
        <v>10</v>
      </c>
      <c r="BG320" s="394">
        <v>9</v>
      </c>
      <c r="BH320" s="394">
        <v>5</v>
      </c>
      <c r="BI320" s="394">
        <v>8</v>
      </c>
      <c r="BJ320" s="394">
        <v>7</v>
      </c>
      <c r="BK320" s="394"/>
      <c r="BL320" s="444" t="s">
        <v>6981</v>
      </c>
      <c r="BM320" s="392"/>
      <c r="BN320" s="393"/>
      <c r="BO320" s="393"/>
      <c r="BP320" s="399"/>
      <c r="BQ320" s="400"/>
      <c r="BR320" s="401"/>
      <c r="BS320" s="399"/>
      <c r="BT320" s="394"/>
      <c r="BU320" s="417">
        <v>0.95469999999999999</v>
      </c>
      <c r="BV320" s="399">
        <v>43.426000000000002</v>
      </c>
      <c r="BW320" s="393" t="s">
        <v>3117</v>
      </c>
      <c r="BX320" s="392" t="s">
        <v>3223</v>
      </c>
      <c r="BY320" s="393"/>
      <c r="BZ320" s="393"/>
      <c r="CA320" s="441"/>
      <c r="CB320" s="400"/>
      <c r="CC320" s="398"/>
      <c r="CD320" s="398"/>
      <c r="CE320" s="398"/>
      <c r="CF320" s="398"/>
      <c r="CG320" s="398"/>
      <c r="CH320" s="398">
        <v>31.105</v>
      </c>
      <c r="CI320" s="398">
        <v>41.46</v>
      </c>
      <c r="CJ320" s="398">
        <v>41.46</v>
      </c>
      <c r="CK320" s="398">
        <v>41.46</v>
      </c>
      <c r="CL320" s="398">
        <v>41.46</v>
      </c>
      <c r="CM320" s="398">
        <v>41.46</v>
      </c>
      <c r="CN320" s="398">
        <v>41.46</v>
      </c>
      <c r="CO320" s="398">
        <v>41.46</v>
      </c>
      <c r="CP320" s="398">
        <v>41.46</v>
      </c>
      <c r="CQ320" s="398">
        <v>41.46</v>
      </c>
      <c r="CR320" s="398">
        <v>10.355</v>
      </c>
      <c r="CS320" s="398"/>
      <c r="CT320" s="398"/>
      <c r="CU320" s="398"/>
      <c r="CV320" s="398"/>
      <c r="CW320" s="398"/>
      <c r="CX320" s="398"/>
      <c r="CY320" s="398"/>
      <c r="CZ320" s="398"/>
      <c r="DA320" s="398"/>
      <c r="DB320" s="398"/>
      <c r="DC320" s="398"/>
      <c r="DD320" s="398"/>
      <c r="DE320" s="393"/>
      <c r="DF320" s="393"/>
      <c r="DG320" s="393"/>
      <c r="DH320" s="393"/>
      <c r="DI320" s="393"/>
      <c r="DJ320" s="393"/>
      <c r="DK320" s="897"/>
    </row>
    <row r="321" spans="1:115" ht="25.5" x14ac:dyDescent="0.2">
      <c r="A321" s="295">
        <v>317</v>
      </c>
      <c r="B321" s="390" t="s">
        <v>4361</v>
      </c>
      <c r="C321" s="390"/>
      <c r="D321" s="391" t="s">
        <v>4362</v>
      </c>
      <c r="E321" s="704" t="s">
        <v>4363</v>
      </c>
      <c r="F321" s="393" t="s">
        <v>1375</v>
      </c>
      <c r="G321" s="393" t="s">
        <v>1361</v>
      </c>
      <c r="H321" s="393" t="s">
        <v>137</v>
      </c>
      <c r="I321" s="392"/>
      <c r="J321" s="392"/>
      <c r="K321" s="392" t="s">
        <v>159</v>
      </c>
      <c r="L321" s="392" t="s">
        <v>933</v>
      </c>
      <c r="M321" s="392"/>
      <c r="N321" s="393" t="s">
        <v>44</v>
      </c>
      <c r="O321" s="393" t="s">
        <v>827</v>
      </c>
      <c r="P321" s="393" t="s">
        <v>827</v>
      </c>
      <c r="Q321" s="392" t="s">
        <v>923</v>
      </c>
      <c r="R321" s="392" t="s">
        <v>4424</v>
      </c>
      <c r="S321" s="392" t="s">
        <v>46</v>
      </c>
      <c r="T321" s="394">
        <v>1</v>
      </c>
      <c r="U321" s="395">
        <v>41.521999999999998</v>
      </c>
      <c r="V321" s="395"/>
      <c r="W321" s="453"/>
      <c r="X321" s="394"/>
      <c r="Y321" s="394">
        <v>10</v>
      </c>
      <c r="Z321" s="394">
        <v>15</v>
      </c>
      <c r="AA321" s="395">
        <v>0</v>
      </c>
      <c r="AB321" s="452">
        <v>41275</v>
      </c>
      <c r="AC321" s="398">
        <v>0</v>
      </c>
      <c r="AD321" s="398">
        <v>415.21999999999997</v>
      </c>
      <c r="AE321" s="393" t="s">
        <v>355</v>
      </c>
      <c r="AF321" s="417"/>
      <c r="AG321" s="417"/>
      <c r="AH321" s="417"/>
      <c r="AI321" s="394"/>
      <c r="AJ321" s="453"/>
      <c r="AK321" s="453"/>
      <c r="AL321" s="393"/>
      <c r="AM321" s="393"/>
      <c r="AN321" s="417"/>
      <c r="AO321" s="392"/>
      <c r="AP321" s="392" t="s">
        <v>7057</v>
      </c>
      <c r="AQ321" s="392"/>
      <c r="AR321" s="392" t="s">
        <v>882</v>
      </c>
      <c r="AS321" s="480"/>
      <c r="AT321" s="453"/>
      <c r="AU321" s="453"/>
      <c r="AV321" s="453"/>
      <c r="AW321" s="453"/>
      <c r="AX321" s="453"/>
      <c r="AY321" s="453"/>
      <c r="AZ321" s="452">
        <v>41271</v>
      </c>
      <c r="BA321" s="393"/>
      <c r="BB321" s="393"/>
      <c r="BC321" s="393" t="b">
        <v>0</v>
      </c>
      <c r="BD321" s="393"/>
      <c r="BE321" s="392"/>
      <c r="BF321" s="394">
        <v>10</v>
      </c>
      <c r="BG321" s="394">
        <v>9</v>
      </c>
      <c r="BH321" s="394">
        <v>5</v>
      </c>
      <c r="BI321" s="394">
        <v>8</v>
      </c>
      <c r="BJ321" s="394">
        <v>7</v>
      </c>
      <c r="BK321" s="394"/>
      <c r="BL321" s="444" t="s">
        <v>6981</v>
      </c>
      <c r="BM321" s="392"/>
      <c r="BN321" s="393"/>
      <c r="BO321" s="393"/>
      <c r="BP321" s="399"/>
      <c r="BQ321" s="400"/>
      <c r="BR321" s="401"/>
      <c r="BS321" s="399"/>
      <c r="BT321" s="394"/>
      <c r="BU321" s="417">
        <v>0.97699999999999998</v>
      </c>
      <c r="BV321" s="399">
        <v>42.494</v>
      </c>
      <c r="BW321" s="393" t="s">
        <v>3117</v>
      </c>
      <c r="BX321" s="392" t="s">
        <v>4364</v>
      </c>
      <c r="BY321" s="393" t="s">
        <v>7224</v>
      </c>
      <c r="BZ321" s="393"/>
      <c r="CA321" s="441"/>
      <c r="CB321" s="400"/>
      <c r="CC321" s="398"/>
      <c r="CD321" s="398"/>
      <c r="CE321" s="398"/>
      <c r="CF321" s="398"/>
      <c r="CG321" s="398"/>
      <c r="CH321" s="398"/>
      <c r="CI321" s="398">
        <v>41.521999999999998</v>
      </c>
      <c r="CJ321" s="398">
        <v>41.521999999999998</v>
      </c>
      <c r="CK321" s="398">
        <v>41.521999999999998</v>
      </c>
      <c r="CL321" s="398">
        <v>41.521999999999998</v>
      </c>
      <c r="CM321" s="398">
        <v>41.521999999999998</v>
      </c>
      <c r="CN321" s="398">
        <v>41.521999999999998</v>
      </c>
      <c r="CO321" s="398">
        <v>41.521999999999998</v>
      </c>
      <c r="CP321" s="398">
        <v>41.521999999999998</v>
      </c>
      <c r="CQ321" s="398">
        <v>41.521999999999998</v>
      </c>
      <c r="CR321" s="398">
        <v>41.521999999999998</v>
      </c>
      <c r="CS321" s="398"/>
      <c r="CT321" s="398"/>
      <c r="CU321" s="398"/>
      <c r="CV321" s="398"/>
      <c r="CW321" s="398"/>
      <c r="CX321" s="398"/>
      <c r="CY321" s="398"/>
      <c r="CZ321" s="398"/>
      <c r="DA321" s="398"/>
      <c r="DB321" s="398"/>
      <c r="DC321" s="398"/>
      <c r="DD321" s="398"/>
      <c r="DE321" s="393"/>
      <c r="DF321" s="393"/>
      <c r="DG321" s="393"/>
      <c r="DH321" s="393"/>
      <c r="DI321" s="393"/>
      <c r="DJ321" s="393"/>
      <c r="DK321" s="897"/>
    </row>
    <row r="322" spans="1:115" ht="25.5" x14ac:dyDescent="0.2">
      <c r="A322" s="295">
        <v>318</v>
      </c>
      <c r="B322" s="390" t="s">
        <v>4425</v>
      </c>
      <c r="C322" s="390"/>
      <c r="D322" s="391" t="s">
        <v>6976</v>
      </c>
      <c r="E322" s="704" t="s">
        <v>4426</v>
      </c>
      <c r="F322" s="393" t="s">
        <v>1375</v>
      </c>
      <c r="G322" s="393" t="s">
        <v>1361</v>
      </c>
      <c r="H322" s="393" t="s">
        <v>137</v>
      </c>
      <c r="I322" s="392"/>
      <c r="J322" s="392"/>
      <c r="K322" s="392" t="s">
        <v>159</v>
      </c>
      <c r="L322" s="392" t="s">
        <v>933</v>
      </c>
      <c r="M322" s="392"/>
      <c r="N322" s="393" t="s">
        <v>44</v>
      </c>
      <c r="O322" s="393" t="s">
        <v>827</v>
      </c>
      <c r="P322" s="393" t="s">
        <v>827</v>
      </c>
      <c r="Q322" s="392" t="s">
        <v>923</v>
      </c>
      <c r="R322" s="392" t="s">
        <v>4424</v>
      </c>
      <c r="S322" s="392" t="s">
        <v>46</v>
      </c>
      <c r="T322" s="394">
        <v>1</v>
      </c>
      <c r="U322" s="395">
        <v>41.503999999999998</v>
      </c>
      <c r="V322" s="395"/>
      <c r="W322" s="453"/>
      <c r="X322" s="394"/>
      <c r="Y322" s="394">
        <v>10</v>
      </c>
      <c r="Z322" s="394">
        <v>15</v>
      </c>
      <c r="AA322" s="395">
        <v>0</v>
      </c>
      <c r="AB322" s="452">
        <v>41456</v>
      </c>
      <c r="AC322" s="398">
        <v>0</v>
      </c>
      <c r="AD322" s="398">
        <v>415.03999999999996</v>
      </c>
      <c r="AE322" s="393" t="s">
        <v>355</v>
      </c>
      <c r="AF322" s="417"/>
      <c r="AG322" s="417"/>
      <c r="AH322" s="417"/>
      <c r="AI322" s="394"/>
      <c r="AJ322" s="453"/>
      <c r="AK322" s="453"/>
      <c r="AL322" s="393"/>
      <c r="AM322" s="393"/>
      <c r="AN322" s="417"/>
      <c r="AO322" s="392"/>
      <c r="AP322" s="392" t="s">
        <v>7057</v>
      </c>
      <c r="AQ322" s="392"/>
      <c r="AR322" s="392" t="s">
        <v>882</v>
      </c>
      <c r="AS322" s="480"/>
      <c r="AT322" s="453"/>
      <c r="AU322" s="453"/>
      <c r="AV322" s="453"/>
      <c r="AW322" s="453"/>
      <c r="AX322" s="453"/>
      <c r="AY322" s="453"/>
      <c r="AZ322" s="452">
        <v>41281</v>
      </c>
      <c r="BA322" s="393"/>
      <c r="BB322" s="393"/>
      <c r="BC322" s="393" t="b">
        <v>0</v>
      </c>
      <c r="BD322" s="393"/>
      <c r="BE322" s="392"/>
      <c r="BF322" s="394">
        <v>10</v>
      </c>
      <c r="BG322" s="394">
        <v>9</v>
      </c>
      <c r="BH322" s="394">
        <v>5</v>
      </c>
      <c r="BI322" s="394">
        <v>8</v>
      </c>
      <c r="BJ322" s="394">
        <v>7</v>
      </c>
      <c r="BK322" s="394"/>
      <c r="BL322" s="444" t="s">
        <v>6981</v>
      </c>
      <c r="BM322" s="392"/>
      <c r="BN322" s="393"/>
      <c r="BO322" s="393"/>
      <c r="BP322" s="399"/>
      <c r="BQ322" s="400"/>
      <c r="BR322" s="401"/>
      <c r="BS322" s="399"/>
      <c r="BT322" s="394"/>
      <c r="BU322" s="417">
        <v>0.97699999999999998</v>
      </c>
      <c r="BV322" s="399">
        <v>42.475999999999999</v>
      </c>
      <c r="BW322" s="393" t="s">
        <v>3117</v>
      </c>
      <c r="BX322" s="392"/>
      <c r="BY322" s="393" t="s">
        <v>7224</v>
      </c>
      <c r="BZ322" s="393"/>
      <c r="CA322" s="441"/>
      <c r="CB322" s="400"/>
      <c r="CC322" s="398"/>
      <c r="CD322" s="398"/>
      <c r="CE322" s="398"/>
      <c r="CF322" s="398"/>
      <c r="CG322" s="398"/>
      <c r="CH322" s="398"/>
      <c r="CI322" s="398">
        <v>20.751999999999999</v>
      </c>
      <c r="CJ322" s="398">
        <v>41.503999999999998</v>
      </c>
      <c r="CK322" s="398">
        <v>41.503999999999998</v>
      </c>
      <c r="CL322" s="398">
        <v>41.503999999999998</v>
      </c>
      <c r="CM322" s="398">
        <v>41.503999999999998</v>
      </c>
      <c r="CN322" s="398">
        <v>41.503999999999998</v>
      </c>
      <c r="CO322" s="398">
        <v>41.503999999999998</v>
      </c>
      <c r="CP322" s="398">
        <v>41.503999999999998</v>
      </c>
      <c r="CQ322" s="398">
        <v>41.503999999999998</v>
      </c>
      <c r="CR322" s="398">
        <v>41.503999999999998</v>
      </c>
      <c r="CS322" s="398">
        <v>20.751999999999999</v>
      </c>
      <c r="CT322" s="398"/>
      <c r="CU322" s="398"/>
      <c r="CV322" s="398"/>
      <c r="CW322" s="398"/>
      <c r="CX322" s="398"/>
      <c r="CY322" s="398"/>
      <c r="CZ322" s="398"/>
      <c r="DA322" s="398"/>
      <c r="DB322" s="398"/>
      <c r="DC322" s="398"/>
      <c r="DD322" s="398"/>
      <c r="DE322" s="393"/>
      <c r="DF322" s="393"/>
      <c r="DG322" s="393"/>
      <c r="DH322" s="393"/>
      <c r="DI322" s="393"/>
      <c r="DJ322" s="393"/>
      <c r="DK322" s="897"/>
    </row>
    <row r="323" spans="1:115" ht="25.5" x14ac:dyDescent="0.2">
      <c r="A323" s="295">
        <v>319</v>
      </c>
      <c r="B323" s="390" t="s">
        <v>4427</v>
      </c>
      <c r="C323" s="390"/>
      <c r="D323" s="391" t="s">
        <v>6977</v>
      </c>
      <c r="E323" s="704" t="s">
        <v>4428</v>
      </c>
      <c r="F323" s="393" t="s">
        <v>1375</v>
      </c>
      <c r="G323" s="393" t="s">
        <v>1361</v>
      </c>
      <c r="H323" s="393" t="s">
        <v>137</v>
      </c>
      <c r="I323" s="392"/>
      <c r="J323" s="392"/>
      <c r="K323" s="392" t="s">
        <v>159</v>
      </c>
      <c r="L323" s="392" t="s">
        <v>933</v>
      </c>
      <c r="M323" s="392"/>
      <c r="N323" s="393" t="s">
        <v>44</v>
      </c>
      <c r="O323" s="393" t="s">
        <v>827</v>
      </c>
      <c r="P323" s="393" t="s">
        <v>827</v>
      </c>
      <c r="Q323" s="392" t="s">
        <v>923</v>
      </c>
      <c r="R323" s="392" t="s">
        <v>4424</v>
      </c>
      <c r="S323" s="392" t="s">
        <v>46</v>
      </c>
      <c r="T323" s="394">
        <v>1</v>
      </c>
      <c r="U323" s="395">
        <v>41.475999999999999</v>
      </c>
      <c r="V323" s="395"/>
      <c r="W323" s="453"/>
      <c r="X323" s="394"/>
      <c r="Y323" s="394">
        <v>10</v>
      </c>
      <c r="Z323" s="394">
        <v>15</v>
      </c>
      <c r="AA323" s="395">
        <v>0</v>
      </c>
      <c r="AB323" s="452">
        <v>41456</v>
      </c>
      <c r="AC323" s="398">
        <v>0</v>
      </c>
      <c r="AD323" s="398">
        <v>414.76</v>
      </c>
      <c r="AE323" s="393" t="s">
        <v>355</v>
      </c>
      <c r="AF323" s="417"/>
      <c r="AG323" s="417"/>
      <c r="AH323" s="417"/>
      <c r="AI323" s="394"/>
      <c r="AJ323" s="453"/>
      <c r="AK323" s="453"/>
      <c r="AL323" s="393"/>
      <c r="AM323" s="393"/>
      <c r="AN323" s="417"/>
      <c r="AO323" s="392"/>
      <c r="AP323" s="392" t="s">
        <v>7057</v>
      </c>
      <c r="AQ323" s="392"/>
      <c r="AR323" s="392" t="s">
        <v>882</v>
      </c>
      <c r="AS323" s="480"/>
      <c r="AT323" s="453"/>
      <c r="AU323" s="453"/>
      <c r="AV323" s="453"/>
      <c r="AW323" s="453"/>
      <c r="AX323" s="453"/>
      <c r="AY323" s="453"/>
      <c r="AZ323" s="452">
        <v>41281</v>
      </c>
      <c r="BA323" s="393"/>
      <c r="BB323" s="393"/>
      <c r="BC323" s="393" t="b">
        <v>0</v>
      </c>
      <c r="BD323" s="393"/>
      <c r="BE323" s="392"/>
      <c r="BF323" s="394">
        <v>10</v>
      </c>
      <c r="BG323" s="394">
        <v>9</v>
      </c>
      <c r="BH323" s="394">
        <v>5</v>
      </c>
      <c r="BI323" s="394">
        <v>8</v>
      </c>
      <c r="BJ323" s="394">
        <v>7</v>
      </c>
      <c r="BK323" s="394"/>
      <c r="BL323" s="444" t="s">
        <v>6981</v>
      </c>
      <c r="BM323" s="392"/>
      <c r="BN323" s="393"/>
      <c r="BO323" s="393"/>
      <c r="BP323" s="399"/>
      <c r="BQ323" s="400"/>
      <c r="BR323" s="401"/>
      <c r="BS323" s="399"/>
      <c r="BT323" s="394"/>
      <c r="BU323" s="417">
        <v>0.97699999999999998</v>
      </c>
      <c r="BV323" s="399">
        <v>42.447000000000003</v>
      </c>
      <c r="BW323" s="393" t="s">
        <v>3117</v>
      </c>
      <c r="BX323" s="392"/>
      <c r="BY323" s="393" t="s">
        <v>7224</v>
      </c>
      <c r="BZ323" s="393"/>
      <c r="CA323" s="441"/>
      <c r="CB323" s="400"/>
      <c r="CC323" s="398"/>
      <c r="CD323" s="398"/>
      <c r="CE323" s="398"/>
      <c r="CF323" s="398"/>
      <c r="CG323" s="398"/>
      <c r="CH323" s="398"/>
      <c r="CI323" s="398"/>
      <c r="CJ323" s="398">
        <v>41.475999999999999</v>
      </c>
      <c r="CK323" s="398">
        <v>41.475999999999999</v>
      </c>
      <c r="CL323" s="398">
        <v>41.475999999999999</v>
      </c>
      <c r="CM323" s="398">
        <v>41.475999999999999</v>
      </c>
      <c r="CN323" s="398">
        <v>41.475999999999999</v>
      </c>
      <c r="CO323" s="398">
        <v>41.475999999999999</v>
      </c>
      <c r="CP323" s="398">
        <v>41.475999999999999</v>
      </c>
      <c r="CQ323" s="398">
        <v>41.475999999999999</v>
      </c>
      <c r="CR323" s="398">
        <v>41.475999999999999</v>
      </c>
      <c r="CS323" s="398">
        <v>41.475999999999999</v>
      </c>
      <c r="CT323" s="398"/>
      <c r="CU323" s="398"/>
      <c r="CV323" s="398"/>
      <c r="CW323" s="398"/>
      <c r="CX323" s="398"/>
      <c r="CY323" s="398"/>
      <c r="CZ323" s="398"/>
      <c r="DA323" s="398"/>
      <c r="DB323" s="398"/>
      <c r="DC323" s="398"/>
      <c r="DD323" s="398"/>
      <c r="DE323" s="393"/>
      <c r="DF323" s="393"/>
      <c r="DG323" s="393"/>
      <c r="DH323" s="393"/>
      <c r="DI323" s="393"/>
      <c r="DJ323" s="393"/>
      <c r="DK323" s="897"/>
    </row>
    <row r="324" spans="1:115" ht="25.5" x14ac:dyDescent="0.2">
      <c r="A324" s="295">
        <v>320</v>
      </c>
      <c r="B324" s="390" t="s">
        <v>4429</v>
      </c>
      <c r="C324" s="390"/>
      <c r="D324" s="391" t="s">
        <v>6978</v>
      </c>
      <c r="E324" s="704" t="s">
        <v>4430</v>
      </c>
      <c r="F324" s="393" t="s">
        <v>1375</v>
      </c>
      <c r="G324" s="393" t="s">
        <v>1361</v>
      </c>
      <c r="H324" s="393" t="s">
        <v>137</v>
      </c>
      <c r="I324" s="392"/>
      <c r="J324" s="392"/>
      <c r="K324" s="392" t="s">
        <v>159</v>
      </c>
      <c r="L324" s="392" t="s">
        <v>933</v>
      </c>
      <c r="M324" s="392"/>
      <c r="N324" s="393" t="s">
        <v>44</v>
      </c>
      <c r="O324" s="393" t="s">
        <v>827</v>
      </c>
      <c r="P324" s="393" t="s">
        <v>827</v>
      </c>
      <c r="Q324" s="392" t="s">
        <v>923</v>
      </c>
      <c r="R324" s="392" t="s">
        <v>4424</v>
      </c>
      <c r="S324" s="392" t="s">
        <v>46</v>
      </c>
      <c r="T324" s="394">
        <v>1</v>
      </c>
      <c r="U324" s="395">
        <v>41.448</v>
      </c>
      <c r="V324" s="395"/>
      <c r="W324" s="453"/>
      <c r="X324" s="394"/>
      <c r="Y324" s="394">
        <v>10</v>
      </c>
      <c r="Z324" s="394">
        <v>15</v>
      </c>
      <c r="AA324" s="395">
        <v>0</v>
      </c>
      <c r="AB324" s="452">
        <v>41456</v>
      </c>
      <c r="AC324" s="398">
        <v>0</v>
      </c>
      <c r="AD324" s="398">
        <v>414.48</v>
      </c>
      <c r="AE324" s="393" t="s">
        <v>355</v>
      </c>
      <c r="AF324" s="417"/>
      <c r="AG324" s="417"/>
      <c r="AH324" s="417"/>
      <c r="AI324" s="394"/>
      <c r="AJ324" s="453"/>
      <c r="AK324" s="453"/>
      <c r="AL324" s="393"/>
      <c r="AM324" s="393"/>
      <c r="AN324" s="417"/>
      <c r="AO324" s="392"/>
      <c r="AP324" s="392" t="s">
        <v>7057</v>
      </c>
      <c r="AQ324" s="392"/>
      <c r="AR324" s="392" t="s">
        <v>882</v>
      </c>
      <c r="AS324" s="480"/>
      <c r="AT324" s="397"/>
      <c r="AU324" s="397"/>
      <c r="AV324" s="453"/>
      <c r="AW324" s="453"/>
      <c r="AX324" s="453"/>
      <c r="AY324" s="453"/>
      <c r="AZ324" s="452">
        <v>41281</v>
      </c>
      <c r="BA324" s="393"/>
      <c r="BB324" s="393"/>
      <c r="BC324" s="393" t="b">
        <v>0</v>
      </c>
      <c r="BD324" s="393"/>
      <c r="BE324" s="392"/>
      <c r="BF324" s="394">
        <v>10</v>
      </c>
      <c r="BG324" s="394">
        <v>9</v>
      </c>
      <c r="BH324" s="394">
        <v>5</v>
      </c>
      <c r="BI324" s="394">
        <v>8</v>
      </c>
      <c r="BJ324" s="394">
        <v>7</v>
      </c>
      <c r="BK324" s="394"/>
      <c r="BL324" s="444" t="s">
        <v>6981</v>
      </c>
      <c r="BM324" s="392"/>
      <c r="BN324" s="393"/>
      <c r="BO324" s="393"/>
      <c r="BP324" s="399"/>
      <c r="BQ324" s="400"/>
      <c r="BR324" s="401"/>
      <c r="BS324" s="399"/>
      <c r="BT324" s="394"/>
      <c r="BU324" s="417">
        <v>0.97699999999999998</v>
      </c>
      <c r="BV324" s="399">
        <v>42.417999999999999</v>
      </c>
      <c r="BW324" s="393" t="s">
        <v>3117</v>
      </c>
      <c r="BX324" s="392"/>
      <c r="BY324" s="393" t="s">
        <v>7224</v>
      </c>
      <c r="BZ324" s="393"/>
      <c r="CA324" s="441"/>
      <c r="CB324" s="400"/>
      <c r="CC324" s="398"/>
      <c r="CD324" s="398"/>
      <c r="CE324" s="398"/>
      <c r="CF324" s="398"/>
      <c r="CG324" s="398"/>
      <c r="CH324" s="398"/>
      <c r="CI324" s="398"/>
      <c r="CJ324" s="398">
        <v>41.448</v>
      </c>
      <c r="CK324" s="398">
        <v>41.448</v>
      </c>
      <c r="CL324" s="398">
        <v>41.448</v>
      </c>
      <c r="CM324" s="398">
        <v>41.448</v>
      </c>
      <c r="CN324" s="398">
        <v>41.448</v>
      </c>
      <c r="CO324" s="398">
        <v>41.448</v>
      </c>
      <c r="CP324" s="398">
        <v>41.448</v>
      </c>
      <c r="CQ324" s="398">
        <v>41.448</v>
      </c>
      <c r="CR324" s="398">
        <v>41.448</v>
      </c>
      <c r="CS324" s="398">
        <v>41.448</v>
      </c>
      <c r="CT324" s="398"/>
      <c r="CU324" s="398"/>
      <c r="CV324" s="398"/>
      <c r="CW324" s="398"/>
      <c r="CX324" s="398"/>
      <c r="CY324" s="398"/>
      <c r="CZ324" s="398"/>
      <c r="DA324" s="398"/>
      <c r="DB324" s="398"/>
      <c r="DC324" s="398"/>
      <c r="DD324" s="398"/>
      <c r="DE324" s="393"/>
      <c r="DF324" s="393"/>
      <c r="DG324" s="393"/>
      <c r="DH324" s="393"/>
      <c r="DI324" s="393"/>
      <c r="DJ324" s="393"/>
      <c r="DK324" s="897"/>
    </row>
    <row r="325" spans="1:115" ht="25.5" x14ac:dyDescent="0.2">
      <c r="A325" s="295">
        <v>321</v>
      </c>
      <c r="B325" s="390" t="s">
        <v>4431</v>
      </c>
      <c r="C325" s="390"/>
      <c r="D325" s="391" t="s">
        <v>6979</v>
      </c>
      <c r="E325" s="704" t="s">
        <v>4432</v>
      </c>
      <c r="F325" s="393" t="s">
        <v>1375</v>
      </c>
      <c r="G325" s="393" t="s">
        <v>1361</v>
      </c>
      <c r="H325" s="393" t="s">
        <v>137</v>
      </c>
      <c r="I325" s="392"/>
      <c r="J325" s="392"/>
      <c r="K325" s="392" t="s">
        <v>159</v>
      </c>
      <c r="L325" s="392" t="s">
        <v>933</v>
      </c>
      <c r="M325" s="392"/>
      <c r="N325" s="393" t="s">
        <v>44</v>
      </c>
      <c r="O325" s="393" t="s">
        <v>827</v>
      </c>
      <c r="P325" s="393" t="s">
        <v>827</v>
      </c>
      <c r="Q325" s="392" t="s">
        <v>923</v>
      </c>
      <c r="R325" s="392" t="s">
        <v>4424</v>
      </c>
      <c r="S325" s="392" t="s">
        <v>46</v>
      </c>
      <c r="T325" s="394">
        <v>1</v>
      </c>
      <c r="U325" s="395">
        <v>41.42</v>
      </c>
      <c r="V325" s="395"/>
      <c r="W325" s="453"/>
      <c r="X325" s="394"/>
      <c r="Y325" s="394">
        <v>10</v>
      </c>
      <c r="Z325" s="394">
        <v>15</v>
      </c>
      <c r="AA325" s="395">
        <v>0</v>
      </c>
      <c r="AB325" s="452">
        <v>41456</v>
      </c>
      <c r="AC325" s="398">
        <v>0</v>
      </c>
      <c r="AD325" s="398">
        <v>414.20000000000005</v>
      </c>
      <c r="AE325" s="393" t="s">
        <v>355</v>
      </c>
      <c r="AF325" s="417"/>
      <c r="AG325" s="417"/>
      <c r="AH325" s="417"/>
      <c r="AI325" s="394"/>
      <c r="AJ325" s="453"/>
      <c r="AK325" s="453"/>
      <c r="AL325" s="393"/>
      <c r="AM325" s="393"/>
      <c r="AN325" s="417"/>
      <c r="AO325" s="392"/>
      <c r="AP325" s="392" t="s">
        <v>7057</v>
      </c>
      <c r="AQ325" s="392"/>
      <c r="AR325" s="392" t="s">
        <v>882</v>
      </c>
      <c r="AS325" s="480"/>
      <c r="AT325" s="453"/>
      <c r="AU325" s="453"/>
      <c r="AV325" s="453"/>
      <c r="AW325" s="453"/>
      <c r="AX325" s="453"/>
      <c r="AY325" s="453"/>
      <c r="AZ325" s="452">
        <v>41281</v>
      </c>
      <c r="BA325" s="393"/>
      <c r="BB325" s="393"/>
      <c r="BC325" s="393" t="b">
        <v>0</v>
      </c>
      <c r="BD325" s="393"/>
      <c r="BE325" s="392"/>
      <c r="BF325" s="394">
        <v>10</v>
      </c>
      <c r="BG325" s="394">
        <v>9</v>
      </c>
      <c r="BH325" s="394">
        <v>5</v>
      </c>
      <c r="BI325" s="394">
        <v>8</v>
      </c>
      <c r="BJ325" s="394">
        <v>7</v>
      </c>
      <c r="BK325" s="394"/>
      <c r="BL325" s="444" t="s">
        <v>6981</v>
      </c>
      <c r="BM325" s="392"/>
      <c r="BN325" s="393"/>
      <c r="BO325" s="393"/>
      <c r="BP325" s="399"/>
      <c r="BQ325" s="400"/>
      <c r="BR325" s="401"/>
      <c r="BS325" s="399"/>
      <c r="BT325" s="394"/>
      <c r="BU325" s="417">
        <v>0.97699999999999998</v>
      </c>
      <c r="BV325" s="399">
        <v>42.389000000000003</v>
      </c>
      <c r="BW325" s="393" t="s">
        <v>3117</v>
      </c>
      <c r="BX325" s="392"/>
      <c r="BY325" s="393" t="s">
        <v>7224</v>
      </c>
      <c r="BZ325" s="393"/>
      <c r="CA325" s="441"/>
      <c r="CB325" s="400"/>
      <c r="CC325" s="398"/>
      <c r="CD325" s="398"/>
      <c r="CE325" s="398"/>
      <c r="CF325" s="398"/>
      <c r="CG325" s="398"/>
      <c r="CH325" s="398"/>
      <c r="CI325" s="398"/>
      <c r="CJ325" s="398">
        <v>6.9029999999999996</v>
      </c>
      <c r="CK325" s="398">
        <v>41.42</v>
      </c>
      <c r="CL325" s="398">
        <v>41.42</v>
      </c>
      <c r="CM325" s="398">
        <v>41.42</v>
      </c>
      <c r="CN325" s="398">
        <v>41.42</v>
      </c>
      <c r="CO325" s="398">
        <v>41.42</v>
      </c>
      <c r="CP325" s="398">
        <v>41.42</v>
      </c>
      <c r="CQ325" s="398">
        <v>41.42</v>
      </c>
      <c r="CR325" s="398">
        <v>41.42</v>
      </c>
      <c r="CS325" s="398">
        <v>41.42</v>
      </c>
      <c r="CT325" s="398">
        <v>34.517000000000003</v>
      </c>
      <c r="CU325" s="398"/>
      <c r="CV325" s="398"/>
      <c r="CW325" s="398"/>
      <c r="CX325" s="398"/>
      <c r="CY325" s="398"/>
      <c r="CZ325" s="398"/>
      <c r="DA325" s="398"/>
      <c r="DB325" s="398"/>
      <c r="DC325" s="398"/>
      <c r="DD325" s="398"/>
      <c r="DE325" s="393"/>
      <c r="DF325" s="393"/>
      <c r="DG325" s="393"/>
      <c r="DH325" s="393"/>
      <c r="DI325" s="393"/>
      <c r="DJ325" s="393"/>
      <c r="DK325" s="897"/>
    </row>
    <row r="326" spans="1:115" ht="51" x14ac:dyDescent="0.2">
      <c r="A326" s="295">
        <v>322</v>
      </c>
      <c r="B326" s="390" t="s">
        <v>518</v>
      </c>
      <c r="C326" s="424" t="s">
        <v>7466</v>
      </c>
      <c r="D326" s="391"/>
      <c r="E326" s="706" t="s">
        <v>519</v>
      </c>
      <c r="F326" s="390" t="s">
        <v>1352</v>
      </c>
      <c r="G326" s="390" t="s">
        <v>1672</v>
      </c>
      <c r="H326" s="390" t="s">
        <v>632</v>
      </c>
      <c r="I326" s="402"/>
      <c r="J326" s="402" t="s">
        <v>632</v>
      </c>
      <c r="K326" s="402"/>
      <c r="L326" s="402" t="s">
        <v>520</v>
      </c>
      <c r="M326" s="402" t="s">
        <v>3973</v>
      </c>
      <c r="N326" s="390" t="s">
        <v>33</v>
      </c>
      <c r="O326" s="390" t="s">
        <v>51</v>
      </c>
      <c r="P326" s="390" t="s">
        <v>51</v>
      </c>
      <c r="Q326" s="402" t="s">
        <v>426</v>
      </c>
      <c r="R326" s="402"/>
      <c r="S326" s="402" t="s">
        <v>427</v>
      </c>
      <c r="T326" s="411">
        <v>1</v>
      </c>
      <c r="U326" s="412">
        <v>21.922999999999998</v>
      </c>
      <c r="V326" s="412"/>
      <c r="W326" s="457">
        <v>39948</v>
      </c>
      <c r="X326" s="411">
        <v>28</v>
      </c>
      <c r="Y326" s="411"/>
      <c r="Z326" s="411"/>
      <c r="AA326" s="412"/>
      <c r="AB326" s="454"/>
      <c r="AC326" s="413">
        <v>53.250999999999998</v>
      </c>
      <c r="AD326" s="413">
        <v>219.23</v>
      </c>
      <c r="AE326" s="390" t="s">
        <v>72</v>
      </c>
      <c r="AF326" s="419"/>
      <c r="AG326" s="419"/>
      <c r="AH326" s="419">
        <v>0</v>
      </c>
      <c r="AI326" s="411"/>
      <c r="AJ326" s="454"/>
      <c r="AK326" s="454"/>
      <c r="AL326" s="390"/>
      <c r="AM326" s="390"/>
      <c r="AN326" s="419"/>
      <c r="AO326" s="402"/>
      <c r="AP326" s="402" t="s">
        <v>55</v>
      </c>
      <c r="AQ326" s="402"/>
      <c r="AR326" s="402" t="s">
        <v>249</v>
      </c>
      <c r="AS326" s="481">
        <v>40331</v>
      </c>
      <c r="AT326" s="454"/>
      <c r="AU326" s="454"/>
      <c r="AV326" s="454"/>
      <c r="AW326" s="454"/>
      <c r="AX326" s="454"/>
      <c r="AY326" s="454"/>
      <c r="AZ326" s="454"/>
      <c r="BA326" s="390"/>
      <c r="BB326" s="390" t="s">
        <v>3116</v>
      </c>
      <c r="BC326" s="390" t="b">
        <v>0</v>
      </c>
      <c r="BD326" s="390" t="s">
        <v>3116</v>
      </c>
      <c r="BE326" s="402"/>
      <c r="BF326" s="411">
        <v>4</v>
      </c>
      <c r="BG326" s="411">
        <v>9</v>
      </c>
      <c r="BH326" s="411">
        <v>7</v>
      </c>
      <c r="BI326" s="411">
        <v>8</v>
      </c>
      <c r="BJ326" s="411"/>
      <c r="BK326" s="411"/>
      <c r="BL326" s="445"/>
      <c r="BM326" s="402"/>
      <c r="BN326" s="390"/>
      <c r="BO326" s="390"/>
      <c r="BP326" s="414"/>
      <c r="BQ326" s="415"/>
      <c r="BR326" s="416"/>
      <c r="BS326" s="414">
        <v>0</v>
      </c>
      <c r="BT326" s="411"/>
      <c r="BU326" s="419"/>
      <c r="BV326" s="414"/>
      <c r="BW326" s="390"/>
      <c r="BX326" s="402"/>
      <c r="BY326" s="390"/>
      <c r="BZ326" s="390"/>
      <c r="CA326" s="442"/>
      <c r="CB326" s="415"/>
      <c r="CC326" s="413"/>
      <c r="CD326" s="413"/>
      <c r="CE326" s="413"/>
      <c r="CF326" s="413"/>
      <c r="CG326" s="413"/>
      <c r="CH326" s="413"/>
      <c r="CI326" s="413"/>
      <c r="CJ326" s="413"/>
      <c r="CK326" s="413"/>
      <c r="CL326" s="413"/>
      <c r="CM326" s="413"/>
      <c r="CN326" s="413"/>
      <c r="CO326" s="413"/>
      <c r="CP326" s="413"/>
      <c r="CQ326" s="413"/>
      <c r="CR326" s="413"/>
      <c r="CS326" s="413"/>
      <c r="CT326" s="413"/>
      <c r="CU326" s="413"/>
      <c r="CV326" s="413"/>
      <c r="CW326" s="413"/>
      <c r="CX326" s="413"/>
      <c r="CY326" s="413"/>
      <c r="CZ326" s="413"/>
      <c r="DA326" s="413"/>
      <c r="DB326" s="413"/>
      <c r="DC326" s="413"/>
      <c r="DD326" s="413"/>
      <c r="DE326" s="390"/>
      <c r="DF326" s="390"/>
      <c r="DG326" s="390"/>
      <c r="DH326" s="390"/>
      <c r="DI326" s="390"/>
      <c r="DJ326" s="390"/>
      <c r="DK326" s="897"/>
    </row>
    <row r="327" spans="1:115" ht="38.25" x14ac:dyDescent="0.2">
      <c r="A327" s="295">
        <v>323</v>
      </c>
      <c r="B327" s="390" t="s">
        <v>2633</v>
      </c>
      <c r="C327" s="390"/>
      <c r="D327" s="391"/>
      <c r="E327" s="706" t="s">
        <v>521</v>
      </c>
      <c r="F327" s="390" t="s">
        <v>1352</v>
      </c>
      <c r="G327" s="390" t="s">
        <v>1672</v>
      </c>
      <c r="H327" s="390" t="s">
        <v>632</v>
      </c>
      <c r="I327" s="402"/>
      <c r="J327" s="402"/>
      <c r="K327" s="402" t="s">
        <v>2142</v>
      </c>
      <c r="L327" s="402" t="s">
        <v>520</v>
      </c>
      <c r="M327" s="402"/>
      <c r="N327" s="390" t="s">
        <v>33</v>
      </c>
      <c r="O327" s="390" t="s">
        <v>51</v>
      </c>
      <c r="P327" s="390" t="s">
        <v>51</v>
      </c>
      <c r="Q327" s="402" t="s">
        <v>426</v>
      </c>
      <c r="R327" s="402" t="s">
        <v>3974</v>
      </c>
      <c r="S327" s="402" t="s">
        <v>427</v>
      </c>
      <c r="T327" s="411">
        <v>1</v>
      </c>
      <c r="U327" s="412">
        <v>21.922999999999998</v>
      </c>
      <c r="V327" s="412"/>
      <c r="W327" s="454"/>
      <c r="X327" s="411"/>
      <c r="Y327" s="411">
        <v>10</v>
      </c>
      <c r="Z327" s="411">
        <v>8</v>
      </c>
      <c r="AA327" s="412">
        <v>-2</v>
      </c>
      <c r="AB327" s="457">
        <v>40544</v>
      </c>
      <c r="AC327" s="413">
        <v>53.250999999999998</v>
      </c>
      <c r="AD327" s="413">
        <v>219.23</v>
      </c>
      <c r="AE327" s="390" t="s">
        <v>72</v>
      </c>
      <c r="AF327" s="419"/>
      <c r="AG327" s="419"/>
      <c r="AH327" s="419"/>
      <c r="AI327" s="411"/>
      <c r="AJ327" s="454"/>
      <c r="AK327" s="454"/>
      <c r="AL327" s="390"/>
      <c r="AM327" s="390"/>
      <c r="AN327" s="419"/>
      <c r="AO327" s="402"/>
      <c r="AP327" s="402" t="s">
        <v>55</v>
      </c>
      <c r="AQ327" s="402"/>
      <c r="AR327" s="402" t="s">
        <v>249</v>
      </c>
      <c r="AS327" s="481">
        <v>40331</v>
      </c>
      <c r="AT327" s="454"/>
      <c r="AU327" s="454"/>
      <c r="AV327" s="454"/>
      <c r="AW327" s="454"/>
      <c r="AX327" s="454"/>
      <c r="AY327" s="454"/>
      <c r="AZ327" s="454"/>
      <c r="BA327" s="390"/>
      <c r="BB327" s="390"/>
      <c r="BC327" s="390" t="b">
        <v>0</v>
      </c>
      <c r="BD327" s="390"/>
      <c r="BE327" s="402"/>
      <c r="BF327" s="411">
        <v>4</v>
      </c>
      <c r="BG327" s="411">
        <v>9</v>
      </c>
      <c r="BH327" s="411">
        <v>7</v>
      </c>
      <c r="BI327" s="411">
        <v>8</v>
      </c>
      <c r="BJ327" s="411"/>
      <c r="BK327" s="411"/>
      <c r="BL327" s="445" t="s">
        <v>6981</v>
      </c>
      <c r="BM327" s="402"/>
      <c r="BN327" s="390"/>
      <c r="BO327" s="390"/>
      <c r="BP327" s="414"/>
      <c r="BQ327" s="415"/>
      <c r="BR327" s="416"/>
      <c r="BS327" s="414"/>
      <c r="BT327" s="411"/>
      <c r="BU327" s="419">
        <v>0.52500000000000002</v>
      </c>
      <c r="BV327" s="414"/>
      <c r="BW327" s="390" t="s">
        <v>3165</v>
      </c>
      <c r="BX327" s="402" t="s">
        <v>3975</v>
      </c>
      <c r="BY327" s="390"/>
      <c r="BZ327" s="390"/>
      <c r="CA327" s="442"/>
      <c r="CB327" s="415"/>
      <c r="CC327" s="413"/>
      <c r="CD327" s="413"/>
      <c r="CE327" s="413"/>
      <c r="CF327" s="413"/>
      <c r="CG327" s="413">
        <v>27.565999999999999</v>
      </c>
      <c r="CH327" s="413">
        <v>25.684999999999999</v>
      </c>
      <c r="CI327" s="413">
        <v>23.803999999999998</v>
      </c>
      <c r="CJ327" s="413">
        <v>21.922999999999998</v>
      </c>
      <c r="CK327" s="413">
        <v>20.042999999999999</v>
      </c>
      <c r="CL327" s="413">
        <v>18.161999999999999</v>
      </c>
      <c r="CM327" s="413">
        <v>16.280999999999999</v>
      </c>
      <c r="CN327" s="413">
        <v>0</v>
      </c>
      <c r="CO327" s="413"/>
      <c r="CP327" s="413"/>
      <c r="CQ327" s="413"/>
      <c r="CR327" s="413"/>
      <c r="CS327" s="413"/>
      <c r="CT327" s="413"/>
      <c r="CU327" s="413"/>
      <c r="CV327" s="413"/>
      <c r="CW327" s="413"/>
      <c r="CX327" s="413"/>
      <c r="CY327" s="413"/>
      <c r="CZ327" s="413"/>
      <c r="DA327" s="413"/>
      <c r="DB327" s="413"/>
      <c r="DC327" s="413"/>
      <c r="DD327" s="413"/>
      <c r="DE327" s="390"/>
      <c r="DF327" s="390"/>
      <c r="DG327" s="390"/>
      <c r="DH327" s="390"/>
      <c r="DI327" s="390"/>
      <c r="DJ327" s="390"/>
      <c r="DK327" s="897"/>
    </row>
    <row r="328" spans="1:115" ht="51" x14ac:dyDescent="0.2">
      <c r="A328" s="295">
        <v>324</v>
      </c>
      <c r="B328" s="390" t="s">
        <v>417</v>
      </c>
      <c r="C328" s="424" t="s">
        <v>7467</v>
      </c>
      <c r="D328" s="391" t="s">
        <v>5034</v>
      </c>
      <c r="E328" s="705" t="s">
        <v>1952</v>
      </c>
      <c r="F328" s="393" t="s">
        <v>1352</v>
      </c>
      <c r="G328" s="393" t="s">
        <v>1672</v>
      </c>
      <c r="H328" s="393" t="s">
        <v>632</v>
      </c>
      <c r="I328" s="392"/>
      <c r="J328" s="392" t="s">
        <v>632</v>
      </c>
      <c r="K328" s="392"/>
      <c r="L328" s="392" t="s">
        <v>418</v>
      </c>
      <c r="M328" s="392" t="s">
        <v>3976</v>
      </c>
      <c r="N328" s="393" t="s">
        <v>44</v>
      </c>
      <c r="O328" s="393" t="s">
        <v>80</v>
      </c>
      <c r="P328" s="393" t="s">
        <v>80</v>
      </c>
      <c r="Q328" s="392" t="s">
        <v>403</v>
      </c>
      <c r="R328" s="392"/>
      <c r="S328" s="392" t="s">
        <v>81</v>
      </c>
      <c r="T328" s="394">
        <v>3</v>
      </c>
      <c r="U328" s="395">
        <v>757.125</v>
      </c>
      <c r="V328" s="395"/>
      <c r="W328" s="452">
        <v>41183</v>
      </c>
      <c r="X328" s="394">
        <v>28</v>
      </c>
      <c r="Y328" s="394"/>
      <c r="Z328" s="394"/>
      <c r="AA328" s="395"/>
      <c r="AB328" s="453"/>
      <c r="AC328" s="398">
        <v>0</v>
      </c>
      <c r="AD328" s="398">
        <v>7571.25</v>
      </c>
      <c r="AE328" s="393" t="s">
        <v>54</v>
      </c>
      <c r="AF328" s="417"/>
      <c r="AG328" s="417"/>
      <c r="AH328" s="417">
        <v>0</v>
      </c>
      <c r="AI328" s="394"/>
      <c r="AJ328" s="453"/>
      <c r="AK328" s="453"/>
      <c r="AL328" s="393"/>
      <c r="AM328" s="393"/>
      <c r="AN328" s="417"/>
      <c r="AO328" s="392"/>
      <c r="AP328" s="428" t="s">
        <v>9663</v>
      </c>
      <c r="AQ328" s="428"/>
      <c r="AR328" s="392" t="s">
        <v>274</v>
      </c>
      <c r="AS328" s="479">
        <v>40345</v>
      </c>
      <c r="AT328" s="397"/>
      <c r="AU328" s="397"/>
      <c r="AV328" s="452">
        <v>40973</v>
      </c>
      <c r="AW328" s="452">
        <v>41108</v>
      </c>
      <c r="AX328" s="452">
        <v>41173</v>
      </c>
      <c r="AY328" s="452">
        <v>41110</v>
      </c>
      <c r="AZ328" s="453"/>
      <c r="BA328" s="393"/>
      <c r="BB328" s="393" t="s">
        <v>3147</v>
      </c>
      <c r="BC328" s="393" t="b">
        <v>1</v>
      </c>
      <c r="BD328" s="393" t="s">
        <v>3147</v>
      </c>
      <c r="BE328" s="392"/>
      <c r="BF328" s="394">
        <v>1</v>
      </c>
      <c r="BG328" s="394">
        <v>6</v>
      </c>
      <c r="BH328" s="394">
        <v>5</v>
      </c>
      <c r="BI328" s="394">
        <v>7</v>
      </c>
      <c r="BJ328" s="394">
        <v>12</v>
      </c>
      <c r="BK328" s="394">
        <v>9</v>
      </c>
      <c r="BL328" s="444"/>
      <c r="BM328" s="392"/>
      <c r="BN328" s="393"/>
      <c r="BO328" s="393"/>
      <c r="BP328" s="399"/>
      <c r="BQ328" s="400"/>
      <c r="BR328" s="401"/>
      <c r="BS328" s="399">
        <v>5</v>
      </c>
      <c r="BT328" s="394"/>
      <c r="BU328" s="417"/>
      <c r="BV328" s="399"/>
      <c r="BW328" s="393"/>
      <c r="BX328" s="392"/>
      <c r="BY328" s="393"/>
      <c r="BZ328" s="393"/>
      <c r="CA328" s="441"/>
      <c r="CB328" s="400"/>
      <c r="CC328" s="398"/>
      <c r="CD328" s="398"/>
      <c r="CE328" s="398"/>
      <c r="CF328" s="398"/>
      <c r="CG328" s="398"/>
      <c r="CH328" s="398"/>
      <c r="CI328" s="398"/>
      <c r="CJ328" s="398"/>
      <c r="CK328" s="398"/>
      <c r="CL328" s="398"/>
      <c r="CM328" s="398"/>
      <c r="CN328" s="398"/>
      <c r="CO328" s="398"/>
      <c r="CP328" s="398"/>
      <c r="CQ328" s="398"/>
      <c r="CR328" s="398"/>
      <c r="CS328" s="398"/>
      <c r="CT328" s="398"/>
      <c r="CU328" s="398"/>
      <c r="CV328" s="398"/>
      <c r="CW328" s="398"/>
      <c r="CX328" s="398"/>
      <c r="CY328" s="398"/>
      <c r="CZ328" s="398"/>
      <c r="DA328" s="398"/>
      <c r="DB328" s="398"/>
      <c r="DC328" s="398"/>
      <c r="DD328" s="398"/>
      <c r="DE328" s="393"/>
      <c r="DF328" s="393"/>
      <c r="DG328" s="393"/>
      <c r="DH328" s="393"/>
      <c r="DI328" s="393"/>
      <c r="DJ328" s="393"/>
      <c r="DK328" s="896" t="s">
        <v>9703</v>
      </c>
    </row>
    <row r="329" spans="1:115" ht="38.25" x14ac:dyDescent="0.2">
      <c r="A329" s="295">
        <v>325</v>
      </c>
      <c r="B329" s="390" t="s">
        <v>2634</v>
      </c>
      <c r="C329" s="390"/>
      <c r="D329" s="391" t="s">
        <v>3144</v>
      </c>
      <c r="E329" s="704" t="s">
        <v>419</v>
      </c>
      <c r="F329" s="393" t="s">
        <v>1352</v>
      </c>
      <c r="G329" s="393" t="s">
        <v>1672</v>
      </c>
      <c r="H329" s="393" t="s">
        <v>632</v>
      </c>
      <c r="I329" s="392"/>
      <c r="J329" s="392"/>
      <c r="K329" s="392" t="s">
        <v>2143</v>
      </c>
      <c r="L329" s="392" t="s">
        <v>418</v>
      </c>
      <c r="M329" s="392"/>
      <c r="N329" s="393" t="s">
        <v>44</v>
      </c>
      <c r="O329" s="393" t="s">
        <v>80</v>
      </c>
      <c r="P329" s="393" t="s">
        <v>80</v>
      </c>
      <c r="Q329" s="392" t="s">
        <v>403</v>
      </c>
      <c r="R329" s="392" t="s">
        <v>3977</v>
      </c>
      <c r="S329" s="392" t="s">
        <v>81</v>
      </c>
      <c r="T329" s="394">
        <v>1</v>
      </c>
      <c r="U329" s="395">
        <v>469.18200000000002</v>
      </c>
      <c r="V329" s="395"/>
      <c r="W329" s="453"/>
      <c r="X329" s="394"/>
      <c r="Y329" s="394">
        <v>10</v>
      </c>
      <c r="Z329" s="394">
        <v>20</v>
      </c>
      <c r="AA329" s="395">
        <v>100</v>
      </c>
      <c r="AB329" s="452">
        <v>41426</v>
      </c>
      <c r="AC329" s="398">
        <v>0</v>
      </c>
      <c r="AD329" s="398">
        <v>4691.82</v>
      </c>
      <c r="AE329" s="393" t="s">
        <v>54</v>
      </c>
      <c r="AF329" s="417"/>
      <c r="AG329" s="417"/>
      <c r="AH329" s="417"/>
      <c r="AI329" s="394"/>
      <c r="AJ329" s="453"/>
      <c r="AK329" s="453"/>
      <c r="AL329" s="393"/>
      <c r="AM329" s="393"/>
      <c r="AN329" s="417"/>
      <c r="AO329" s="392"/>
      <c r="AP329" s="428" t="s">
        <v>9663</v>
      </c>
      <c r="AQ329" s="392"/>
      <c r="AR329" s="392" t="s">
        <v>274</v>
      </c>
      <c r="AS329" s="479">
        <v>40345</v>
      </c>
      <c r="AT329" s="453"/>
      <c r="AU329" s="453"/>
      <c r="AV329" s="453"/>
      <c r="AW329" s="453"/>
      <c r="AX329" s="453"/>
      <c r="AY329" s="453"/>
      <c r="AZ329" s="452">
        <v>41110</v>
      </c>
      <c r="BA329" s="393"/>
      <c r="BB329" s="393"/>
      <c r="BC329" s="393" t="b">
        <v>0</v>
      </c>
      <c r="BD329" s="393"/>
      <c r="BE329" s="392"/>
      <c r="BF329" s="394">
        <v>1</v>
      </c>
      <c r="BG329" s="394">
        <v>6</v>
      </c>
      <c r="BH329" s="394">
        <v>5</v>
      </c>
      <c r="BI329" s="394">
        <v>7</v>
      </c>
      <c r="BJ329" s="394">
        <v>12</v>
      </c>
      <c r="BK329" s="394">
        <v>9</v>
      </c>
      <c r="BL329" s="444" t="s">
        <v>6981</v>
      </c>
      <c r="BM329" s="392"/>
      <c r="BN329" s="393"/>
      <c r="BO329" s="393"/>
      <c r="BP329" s="399"/>
      <c r="BQ329" s="400"/>
      <c r="BR329" s="401"/>
      <c r="BS329" s="399">
        <v>5</v>
      </c>
      <c r="BT329" s="394">
        <v>35040</v>
      </c>
      <c r="BU329" s="417">
        <v>0.54159999999999997</v>
      </c>
      <c r="BV329" s="399"/>
      <c r="BW329" s="393" t="s">
        <v>3117</v>
      </c>
      <c r="BX329" s="392"/>
      <c r="BY329" s="393"/>
      <c r="BZ329" s="393"/>
      <c r="CA329" s="441" t="s">
        <v>1662</v>
      </c>
      <c r="CB329" s="400">
        <v>3</v>
      </c>
      <c r="CC329" s="398"/>
      <c r="CD329" s="398"/>
      <c r="CE329" s="398"/>
      <c r="CF329" s="398"/>
      <c r="CG329" s="398">
        <v>66.308999999999997</v>
      </c>
      <c r="CH329" s="398">
        <v>164.65899999999999</v>
      </c>
      <c r="CI329" s="398">
        <v>299.61099999999999</v>
      </c>
      <c r="CJ329" s="398">
        <v>390.57900000000001</v>
      </c>
      <c r="CK329" s="398">
        <v>476.16800000000001</v>
      </c>
      <c r="CL329" s="398">
        <v>542.44799999999998</v>
      </c>
      <c r="CM329" s="398">
        <v>595.11900000000003</v>
      </c>
      <c r="CN329" s="398">
        <v>638.06299999999999</v>
      </c>
      <c r="CO329" s="398">
        <v>673.93600000000004</v>
      </c>
      <c r="CP329" s="398">
        <v>704.56899999999996</v>
      </c>
      <c r="CQ329" s="398"/>
      <c r="CR329" s="398"/>
      <c r="CS329" s="398"/>
      <c r="CT329" s="398"/>
      <c r="CU329" s="398"/>
      <c r="CV329" s="398"/>
      <c r="CW329" s="398"/>
      <c r="CX329" s="398"/>
      <c r="CY329" s="398"/>
      <c r="CZ329" s="398"/>
      <c r="DA329" s="398"/>
      <c r="DB329" s="398"/>
      <c r="DC329" s="398"/>
      <c r="DD329" s="398"/>
      <c r="DE329" s="393"/>
      <c r="DF329" s="393"/>
      <c r="DG329" s="393"/>
      <c r="DH329" s="393"/>
      <c r="DI329" s="393"/>
      <c r="DJ329" s="393"/>
      <c r="DK329" s="897"/>
    </row>
    <row r="330" spans="1:115" ht="38.25" x14ac:dyDescent="0.2">
      <c r="A330" s="295">
        <v>326</v>
      </c>
      <c r="B330" s="390" t="s">
        <v>8277</v>
      </c>
      <c r="C330" s="390"/>
      <c r="D330" s="391" t="s">
        <v>8278</v>
      </c>
      <c r="E330" s="709" t="s">
        <v>8279</v>
      </c>
      <c r="F330" s="393" t="s">
        <v>1352</v>
      </c>
      <c r="G330" s="393" t="s">
        <v>1672</v>
      </c>
      <c r="H330" s="393" t="s">
        <v>632</v>
      </c>
      <c r="I330" s="563"/>
      <c r="J330" s="563"/>
      <c r="K330" s="560" t="s">
        <v>8280</v>
      </c>
      <c r="L330" s="560" t="s">
        <v>418</v>
      </c>
      <c r="M330" s="563"/>
      <c r="N330" s="562" t="s">
        <v>44</v>
      </c>
      <c r="O330" s="393" t="s">
        <v>80</v>
      </c>
      <c r="P330" s="393" t="s">
        <v>80</v>
      </c>
      <c r="Q330" s="392" t="s">
        <v>403</v>
      </c>
      <c r="R330" s="392" t="s">
        <v>3977</v>
      </c>
      <c r="S330" s="428" t="s">
        <v>81</v>
      </c>
      <c r="T330" s="564">
        <v>1</v>
      </c>
      <c r="U330" s="565">
        <v>232.74600000000001</v>
      </c>
      <c r="V330" s="565"/>
      <c r="W330" s="566"/>
      <c r="X330" s="564"/>
      <c r="Y330" s="394">
        <v>10</v>
      </c>
      <c r="Z330" s="564">
        <v>20</v>
      </c>
      <c r="AA330" s="565">
        <v>100</v>
      </c>
      <c r="AB330" s="567">
        <v>42635</v>
      </c>
      <c r="AC330" s="568">
        <v>0</v>
      </c>
      <c r="AD330" s="568">
        <v>2327.46</v>
      </c>
      <c r="AE330" s="562" t="s">
        <v>54</v>
      </c>
      <c r="AF330" s="569"/>
      <c r="AG330" s="569"/>
      <c r="AH330" s="569"/>
      <c r="AI330" s="564"/>
      <c r="AJ330" s="566"/>
      <c r="AK330" s="566"/>
      <c r="AL330" s="561"/>
      <c r="AM330" s="561"/>
      <c r="AN330" s="569"/>
      <c r="AO330" s="563"/>
      <c r="AP330" s="563"/>
      <c r="AQ330" s="563"/>
      <c r="AR330" s="560" t="s">
        <v>274</v>
      </c>
      <c r="AS330" s="578">
        <v>40345</v>
      </c>
      <c r="AT330" s="566"/>
      <c r="AU330" s="566"/>
      <c r="AV330" s="566"/>
      <c r="AW330" s="566"/>
      <c r="AX330" s="566"/>
      <c r="AY330" s="566"/>
      <c r="AZ330" s="567">
        <v>42635</v>
      </c>
      <c r="BA330" s="561"/>
      <c r="BB330" s="561"/>
      <c r="BC330" s="561" t="b">
        <v>0</v>
      </c>
      <c r="BD330" s="561"/>
      <c r="BE330" s="563"/>
      <c r="BF330" s="394">
        <v>1</v>
      </c>
      <c r="BG330" s="394">
        <v>6</v>
      </c>
      <c r="BH330" s="394">
        <v>5</v>
      </c>
      <c r="BI330" s="394">
        <v>7</v>
      </c>
      <c r="BJ330" s="394">
        <v>12</v>
      </c>
      <c r="BK330" s="394">
        <v>9</v>
      </c>
      <c r="BL330" s="444" t="s">
        <v>6981</v>
      </c>
      <c r="BM330" s="563"/>
      <c r="BN330" s="561"/>
      <c r="BO330" s="561"/>
      <c r="BP330" s="571"/>
      <c r="BQ330" s="572"/>
      <c r="BR330" s="573"/>
      <c r="BS330" s="571"/>
      <c r="BT330" s="564"/>
      <c r="BU330" s="569"/>
      <c r="BV330" s="571"/>
      <c r="BW330" s="561"/>
      <c r="BX330" s="563"/>
      <c r="BY330" s="561"/>
      <c r="BZ330" s="561"/>
      <c r="CA330" s="574"/>
      <c r="CB330" s="572"/>
      <c r="CC330" s="568"/>
      <c r="CD330" s="568"/>
      <c r="CE330" s="568"/>
      <c r="CF330" s="568"/>
      <c r="CG330" s="568"/>
      <c r="CH330" s="568"/>
      <c r="CI330" s="568"/>
      <c r="CJ330" s="568"/>
      <c r="CK330" s="568"/>
      <c r="CL330" s="568">
        <v>96.715000000000003</v>
      </c>
      <c r="CM330" s="568">
        <v>580.00099999999998</v>
      </c>
      <c r="CN330" s="579">
        <v>430.65199999999999</v>
      </c>
      <c r="CO330" s="579">
        <v>321.79899999999998</v>
      </c>
      <c r="CP330" s="568">
        <v>244.755</v>
      </c>
      <c r="CQ330" s="568">
        <v>182.65700000000001</v>
      </c>
      <c r="CR330" s="568">
        <v>141.76900000000001</v>
      </c>
      <c r="CS330" s="568">
        <v>110.845</v>
      </c>
      <c r="CT330" s="568">
        <v>90.745000000000005</v>
      </c>
      <c r="CU330" s="568">
        <v>74.932000000000002</v>
      </c>
      <c r="CV330" s="568">
        <v>52.585999999999999</v>
      </c>
      <c r="CW330" s="568"/>
      <c r="CX330" s="568"/>
      <c r="CY330" s="568"/>
      <c r="CZ330" s="568"/>
      <c r="DA330" s="568"/>
      <c r="DB330" s="568"/>
      <c r="DC330" s="568"/>
      <c r="DD330" s="568"/>
      <c r="DE330" s="561"/>
      <c r="DF330" s="561"/>
      <c r="DG330" s="561"/>
      <c r="DH330" s="561"/>
      <c r="DI330" s="561"/>
      <c r="DJ330" s="561"/>
      <c r="DK330" s="897"/>
    </row>
    <row r="331" spans="1:115" ht="38.25" x14ac:dyDescent="0.2">
      <c r="A331" s="295">
        <v>327</v>
      </c>
      <c r="B331" s="390" t="s">
        <v>9573</v>
      </c>
      <c r="C331" s="390"/>
      <c r="D331" s="391" t="s">
        <v>9574</v>
      </c>
      <c r="E331" s="709" t="s">
        <v>9575</v>
      </c>
      <c r="F331" s="393" t="s">
        <v>1352</v>
      </c>
      <c r="G331" s="393" t="s">
        <v>1672</v>
      </c>
      <c r="H331" s="393" t="s">
        <v>632</v>
      </c>
      <c r="I331" s="563"/>
      <c r="J331" s="563"/>
      <c r="K331" s="560" t="s">
        <v>9576</v>
      </c>
      <c r="L331" s="560" t="s">
        <v>418</v>
      </c>
      <c r="M331" s="563"/>
      <c r="N331" s="562" t="s">
        <v>44</v>
      </c>
      <c r="O331" s="393" t="s">
        <v>80</v>
      </c>
      <c r="P331" s="393" t="s">
        <v>80</v>
      </c>
      <c r="Q331" s="392" t="s">
        <v>403</v>
      </c>
      <c r="R331" s="392" t="s">
        <v>3977</v>
      </c>
      <c r="S331" s="428" t="s">
        <v>81</v>
      </c>
      <c r="T331" s="564">
        <v>1</v>
      </c>
      <c r="U331" s="565">
        <v>55.197000000000003</v>
      </c>
      <c r="V331" s="565"/>
      <c r="W331" s="566"/>
      <c r="X331" s="564"/>
      <c r="Y331" s="564">
        <v>10</v>
      </c>
      <c r="Z331" s="564">
        <v>20</v>
      </c>
      <c r="AA331" s="565"/>
      <c r="AB331" s="567">
        <v>43282</v>
      </c>
      <c r="AC331" s="568">
        <v>0</v>
      </c>
      <c r="AD331" s="568">
        <v>551.97</v>
      </c>
      <c r="AE331" s="562" t="s">
        <v>54</v>
      </c>
      <c r="AF331" s="569"/>
      <c r="AG331" s="569"/>
      <c r="AH331" s="569"/>
      <c r="AI331" s="564"/>
      <c r="AJ331" s="566"/>
      <c r="AK331" s="566"/>
      <c r="AL331" s="561"/>
      <c r="AM331" s="561"/>
      <c r="AN331" s="569"/>
      <c r="AO331" s="563"/>
      <c r="AP331" s="563"/>
      <c r="AQ331" s="563"/>
      <c r="AR331" s="560" t="s">
        <v>274</v>
      </c>
      <c r="AS331" s="578">
        <v>40345</v>
      </c>
      <c r="AT331" s="566"/>
      <c r="AU331" s="566"/>
      <c r="AV331" s="566"/>
      <c r="AW331" s="566"/>
      <c r="AX331" s="566"/>
      <c r="AY331" s="566"/>
      <c r="AZ331" s="567">
        <v>43281</v>
      </c>
      <c r="BA331" s="561"/>
      <c r="BB331" s="561"/>
      <c r="BC331" s="561" t="b">
        <v>0</v>
      </c>
      <c r="BD331" s="561"/>
      <c r="BE331" s="563"/>
      <c r="BF331" s="394">
        <v>1</v>
      </c>
      <c r="BG331" s="394">
        <v>6</v>
      </c>
      <c r="BH331" s="394">
        <v>5</v>
      </c>
      <c r="BI331" s="394">
        <v>7</v>
      </c>
      <c r="BJ331" s="394">
        <v>12</v>
      </c>
      <c r="BK331" s="394">
        <v>9</v>
      </c>
      <c r="BL331" s="444" t="s">
        <v>6981</v>
      </c>
      <c r="BM331" s="563"/>
      <c r="BN331" s="561"/>
      <c r="BO331" s="561"/>
      <c r="BP331" s="571"/>
      <c r="BQ331" s="572"/>
      <c r="BR331" s="573"/>
      <c r="BS331" s="571"/>
      <c r="BT331" s="564"/>
      <c r="BU331" s="569">
        <v>0.54159999999999997</v>
      </c>
      <c r="BV331" s="571"/>
      <c r="BW331" s="562" t="s">
        <v>3117</v>
      </c>
      <c r="BX331" s="563"/>
      <c r="BY331" s="561"/>
      <c r="BZ331" s="561"/>
      <c r="CA331" s="574"/>
      <c r="CB331" s="572"/>
      <c r="CC331" s="568"/>
      <c r="CD331" s="568"/>
      <c r="CE331" s="568"/>
      <c r="CF331" s="568"/>
      <c r="CG331" s="568"/>
      <c r="CH331" s="568"/>
      <c r="CI331" s="568"/>
      <c r="CJ331" s="568"/>
      <c r="CK331" s="568"/>
      <c r="CL331" s="568"/>
      <c r="CM331" s="568"/>
      <c r="CN331" s="579">
        <v>66.378</v>
      </c>
      <c r="CO331" s="579">
        <v>101.227</v>
      </c>
      <c r="CP331" s="568">
        <v>79.715999999999994</v>
      </c>
      <c r="CQ331" s="568">
        <v>64.325000000000003</v>
      </c>
      <c r="CR331" s="568">
        <v>53.15</v>
      </c>
      <c r="CS331" s="568">
        <v>44.898000000000003</v>
      </c>
      <c r="CT331" s="568">
        <v>38.689</v>
      </c>
      <c r="CU331" s="568">
        <v>33.923999999999999</v>
      </c>
      <c r="CV331" s="568">
        <v>30.19</v>
      </c>
      <c r="CW331" s="568">
        <v>27.204000000000001</v>
      </c>
      <c r="CX331" s="568">
        <v>12.272</v>
      </c>
      <c r="CY331" s="568"/>
      <c r="CZ331" s="568"/>
      <c r="DA331" s="568"/>
      <c r="DB331" s="568"/>
      <c r="DC331" s="568"/>
      <c r="DD331" s="568"/>
      <c r="DE331" s="561"/>
      <c r="DF331" s="561"/>
      <c r="DG331" s="561"/>
      <c r="DH331" s="561"/>
      <c r="DI331" s="561"/>
      <c r="DJ331" s="561"/>
      <c r="DK331" s="897"/>
    </row>
    <row r="332" spans="1:115" ht="63.75" x14ac:dyDescent="0.2">
      <c r="A332" s="295">
        <v>328</v>
      </c>
      <c r="B332" s="390" t="s">
        <v>343</v>
      </c>
      <c r="C332" s="424" t="s">
        <v>7468</v>
      </c>
      <c r="D332" s="391"/>
      <c r="E332" s="707" t="s">
        <v>344</v>
      </c>
      <c r="F332" s="404" t="s">
        <v>1352</v>
      </c>
      <c r="G332" s="404" t="s">
        <v>1672</v>
      </c>
      <c r="H332" s="404" t="s">
        <v>261</v>
      </c>
      <c r="I332" s="403"/>
      <c r="J332" s="403" t="s">
        <v>261</v>
      </c>
      <c r="K332" s="403"/>
      <c r="L332" s="403" t="s">
        <v>3772</v>
      </c>
      <c r="M332" s="403" t="s">
        <v>3978</v>
      </c>
      <c r="N332" s="459" t="s">
        <v>2412</v>
      </c>
      <c r="O332" s="404" t="s">
        <v>34</v>
      </c>
      <c r="P332" s="404" t="s">
        <v>34</v>
      </c>
      <c r="Q332" s="403" t="s">
        <v>338</v>
      </c>
      <c r="R332" s="403"/>
      <c r="S332" s="403" t="s">
        <v>256</v>
      </c>
      <c r="T332" s="405"/>
      <c r="U332" s="406"/>
      <c r="V332" s="406"/>
      <c r="W332" s="456">
        <v>40483</v>
      </c>
      <c r="X332" s="405">
        <v>28</v>
      </c>
      <c r="Y332" s="405"/>
      <c r="Z332" s="405"/>
      <c r="AA332" s="406"/>
      <c r="AB332" s="455"/>
      <c r="AC332" s="407"/>
      <c r="AD332" s="407"/>
      <c r="AE332" s="404" t="s">
        <v>72</v>
      </c>
      <c r="AF332" s="418"/>
      <c r="AG332" s="418"/>
      <c r="AH332" s="418"/>
      <c r="AI332" s="405"/>
      <c r="AJ332" s="455"/>
      <c r="AK332" s="455"/>
      <c r="AL332" s="404"/>
      <c r="AM332" s="404"/>
      <c r="AN332" s="418"/>
      <c r="AO332" s="403"/>
      <c r="AP332" s="403" t="s">
        <v>55</v>
      </c>
      <c r="AQ332" s="403"/>
      <c r="AR332" s="403" t="s">
        <v>3772</v>
      </c>
      <c r="AS332" s="482">
        <v>40351</v>
      </c>
      <c r="AT332" s="455">
        <v>41284</v>
      </c>
      <c r="AU332" s="455"/>
      <c r="AV332" s="455"/>
      <c r="AW332" s="455"/>
      <c r="AX332" s="455"/>
      <c r="AY332" s="455"/>
      <c r="AZ332" s="455"/>
      <c r="BA332" s="404"/>
      <c r="BB332" s="404" t="s">
        <v>3147</v>
      </c>
      <c r="BC332" s="404" t="b">
        <v>0</v>
      </c>
      <c r="BD332" s="404" t="s">
        <v>3147</v>
      </c>
      <c r="BE332" s="403"/>
      <c r="BF332" s="405">
        <v>4</v>
      </c>
      <c r="BG332" s="405">
        <v>9</v>
      </c>
      <c r="BH332" s="405">
        <v>12</v>
      </c>
      <c r="BI332" s="405">
        <v>5</v>
      </c>
      <c r="BJ332" s="405"/>
      <c r="BK332" s="405"/>
      <c r="BL332" s="446"/>
      <c r="BM332" s="403"/>
      <c r="BN332" s="404"/>
      <c r="BO332" s="404"/>
      <c r="BP332" s="408"/>
      <c r="BQ332" s="409"/>
      <c r="BR332" s="410"/>
      <c r="BS332" s="408"/>
      <c r="BT332" s="405"/>
      <c r="BU332" s="418"/>
      <c r="BV332" s="408"/>
      <c r="BW332" s="404"/>
      <c r="BX332" s="403"/>
      <c r="BY332" s="404"/>
      <c r="BZ332" s="404"/>
      <c r="CA332" s="443"/>
      <c r="CB332" s="409"/>
      <c r="CC332" s="407"/>
      <c r="CD332" s="407"/>
      <c r="CE332" s="407"/>
      <c r="CF332" s="407"/>
      <c r="CG332" s="407"/>
      <c r="CH332" s="407"/>
      <c r="CI332" s="407"/>
      <c r="CJ332" s="407"/>
      <c r="CK332" s="407"/>
      <c r="CL332" s="407"/>
      <c r="CM332" s="407"/>
      <c r="CN332" s="407"/>
      <c r="CO332" s="407"/>
      <c r="CP332" s="407"/>
      <c r="CQ332" s="407"/>
      <c r="CR332" s="407"/>
      <c r="CS332" s="407"/>
      <c r="CT332" s="407"/>
      <c r="CU332" s="407"/>
      <c r="CV332" s="407"/>
      <c r="CW332" s="407"/>
      <c r="CX332" s="407"/>
      <c r="CY332" s="407"/>
      <c r="CZ332" s="407"/>
      <c r="DA332" s="407"/>
      <c r="DB332" s="407"/>
      <c r="DC332" s="407"/>
      <c r="DD332" s="407"/>
      <c r="DE332" s="404"/>
      <c r="DF332" s="404"/>
      <c r="DG332" s="404"/>
      <c r="DH332" s="404"/>
      <c r="DI332" s="404"/>
      <c r="DJ332" s="404"/>
      <c r="DK332" s="897"/>
    </row>
    <row r="333" spans="1:115" ht="38.25" x14ac:dyDescent="0.2">
      <c r="A333" s="295">
        <v>329</v>
      </c>
      <c r="B333" s="390" t="s">
        <v>2635</v>
      </c>
      <c r="C333" s="390"/>
      <c r="D333" s="391"/>
      <c r="E333" s="707" t="s">
        <v>345</v>
      </c>
      <c r="F333" s="404" t="s">
        <v>1352</v>
      </c>
      <c r="G333" s="404" t="s">
        <v>1672</v>
      </c>
      <c r="H333" s="404" t="s">
        <v>261</v>
      </c>
      <c r="I333" s="403"/>
      <c r="J333" s="403"/>
      <c r="K333" s="403" t="s">
        <v>1953</v>
      </c>
      <c r="L333" s="403" t="s">
        <v>3772</v>
      </c>
      <c r="M333" s="403"/>
      <c r="N333" s="459" t="s">
        <v>2412</v>
      </c>
      <c r="O333" s="404" t="s">
        <v>34</v>
      </c>
      <c r="P333" s="404" t="s">
        <v>34</v>
      </c>
      <c r="Q333" s="403" t="s">
        <v>338</v>
      </c>
      <c r="R333" s="403" t="s">
        <v>4365</v>
      </c>
      <c r="S333" s="403" t="s">
        <v>256</v>
      </c>
      <c r="T333" s="405">
        <v>1</v>
      </c>
      <c r="U333" s="406">
        <v>7.7119999999999997</v>
      </c>
      <c r="V333" s="406"/>
      <c r="W333" s="455"/>
      <c r="X333" s="405"/>
      <c r="Y333" s="405">
        <v>10</v>
      </c>
      <c r="Z333" s="405">
        <v>20</v>
      </c>
      <c r="AA333" s="406">
        <v>0</v>
      </c>
      <c r="AB333" s="456">
        <v>40452</v>
      </c>
      <c r="AC333" s="407">
        <v>17.352</v>
      </c>
      <c r="AD333" s="407">
        <v>77.12</v>
      </c>
      <c r="AE333" s="404" t="s">
        <v>72</v>
      </c>
      <c r="AF333" s="418"/>
      <c r="AG333" s="418"/>
      <c r="AH333" s="418"/>
      <c r="AI333" s="405"/>
      <c r="AJ333" s="455"/>
      <c r="AK333" s="455"/>
      <c r="AL333" s="404"/>
      <c r="AM333" s="404"/>
      <c r="AN333" s="418"/>
      <c r="AO333" s="403"/>
      <c r="AP333" s="403" t="s">
        <v>55</v>
      </c>
      <c r="AQ333" s="403"/>
      <c r="AR333" s="403" t="s">
        <v>3772</v>
      </c>
      <c r="AS333" s="482">
        <v>40351</v>
      </c>
      <c r="AT333" s="455">
        <v>41284</v>
      </c>
      <c r="AU333" s="455"/>
      <c r="AV333" s="455"/>
      <c r="AW333" s="455"/>
      <c r="AX333" s="455"/>
      <c r="AY333" s="455"/>
      <c r="AZ333" s="455"/>
      <c r="BA333" s="404"/>
      <c r="BB333" s="404"/>
      <c r="BC333" s="404" t="b">
        <v>0</v>
      </c>
      <c r="BD333" s="404"/>
      <c r="BE333" s="403"/>
      <c r="BF333" s="405">
        <v>4</v>
      </c>
      <c r="BG333" s="405">
        <v>9</v>
      </c>
      <c r="BH333" s="405">
        <v>12</v>
      </c>
      <c r="BI333" s="405">
        <v>5</v>
      </c>
      <c r="BJ333" s="405"/>
      <c r="BK333" s="405"/>
      <c r="BL333" s="446" t="s">
        <v>6981</v>
      </c>
      <c r="BM333" s="403"/>
      <c r="BN333" s="404"/>
      <c r="BO333" s="404"/>
      <c r="BP333" s="408"/>
      <c r="BQ333" s="409"/>
      <c r="BR333" s="410"/>
      <c r="BS333" s="408"/>
      <c r="BT333" s="405"/>
      <c r="BU333" s="418"/>
      <c r="BV333" s="408">
        <v>2.0192670000000001</v>
      </c>
      <c r="BW333" s="404" t="s">
        <v>3165</v>
      </c>
      <c r="BX333" s="403" t="s">
        <v>3199</v>
      </c>
      <c r="BY333" s="404"/>
      <c r="BZ333" s="404"/>
      <c r="CA333" s="443"/>
      <c r="CB333" s="409"/>
      <c r="CC333" s="407"/>
      <c r="CD333" s="407"/>
      <c r="CE333" s="407"/>
      <c r="CF333" s="407">
        <v>1.9279999999999999</v>
      </c>
      <c r="CG333" s="407">
        <v>7.7119999999999997</v>
      </c>
      <c r="CH333" s="407">
        <v>7.7119999999999997</v>
      </c>
      <c r="CI333" s="407">
        <v>7.7119999999999997</v>
      </c>
      <c r="CJ333" s="407">
        <v>7.7119999999999997</v>
      </c>
      <c r="CK333" s="407">
        <v>7.7119999999999997</v>
      </c>
      <c r="CL333" s="407">
        <v>7.7119999999999997</v>
      </c>
      <c r="CM333" s="407">
        <v>7.7119999999999997</v>
      </c>
      <c r="CN333" s="407">
        <v>7.7119999999999997</v>
      </c>
      <c r="CO333" s="407">
        <v>7.7119999999999997</v>
      </c>
      <c r="CP333" s="407">
        <v>5.7839999999999998</v>
      </c>
      <c r="CQ333" s="407"/>
      <c r="CR333" s="407"/>
      <c r="CS333" s="407"/>
      <c r="CT333" s="407"/>
      <c r="CU333" s="407"/>
      <c r="CV333" s="407"/>
      <c r="CW333" s="407"/>
      <c r="CX333" s="407"/>
      <c r="CY333" s="407"/>
      <c r="CZ333" s="407"/>
      <c r="DA333" s="407"/>
      <c r="DB333" s="407"/>
      <c r="DC333" s="407"/>
      <c r="DD333" s="407"/>
      <c r="DE333" s="404"/>
      <c r="DF333" s="404"/>
      <c r="DG333" s="404"/>
      <c r="DH333" s="404"/>
      <c r="DI333" s="404"/>
      <c r="DJ333" s="404"/>
      <c r="DK333" s="897"/>
    </row>
    <row r="334" spans="1:115" ht="25.5" x14ac:dyDescent="0.2">
      <c r="A334" s="295">
        <v>330</v>
      </c>
      <c r="B334" s="390" t="s">
        <v>105</v>
      </c>
      <c r="C334" s="424" t="s">
        <v>7469</v>
      </c>
      <c r="D334" s="391"/>
      <c r="E334" s="706" t="s">
        <v>106</v>
      </c>
      <c r="F334" s="390" t="s">
        <v>1352</v>
      </c>
      <c r="G334" s="390" t="s">
        <v>1671</v>
      </c>
      <c r="H334" s="390" t="s">
        <v>107</v>
      </c>
      <c r="I334" s="402"/>
      <c r="J334" s="402" t="s">
        <v>107</v>
      </c>
      <c r="K334" s="402"/>
      <c r="L334" s="402" t="s">
        <v>108</v>
      </c>
      <c r="M334" s="402" t="s">
        <v>3979</v>
      </c>
      <c r="N334" s="390" t="s">
        <v>33</v>
      </c>
      <c r="O334" s="390" t="s">
        <v>1411</v>
      </c>
      <c r="P334" s="390" t="s">
        <v>1411</v>
      </c>
      <c r="Q334" s="402" t="s">
        <v>109</v>
      </c>
      <c r="R334" s="402"/>
      <c r="S334" s="402" t="s">
        <v>110</v>
      </c>
      <c r="T334" s="411">
        <v>1</v>
      </c>
      <c r="U334" s="412">
        <v>12.89739</v>
      </c>
      <c r="V334" s="412"/>
      <c r="W334" s="457">
        <v>40358</v>
      </c>
      <c r="X334" s="411">
        <v>28</v>
      </c>
      <c r="Y334" s="411"/>
      <c r="Z334" s="411"/>
      <c r="AA334" s="412"/>
      <c r="AB334" s="454"/>
      <c r="AC334" s="413">
        <v>32.243474999999997</v>
      </c>
      <c r="AD334" s="413">
        <v>128.97389999999999</v>
      </c>
      <c r="AE334" s="390" t="s">
        <v>111</v>
      </c>
      <c r="AF334" s="419"/>
      <c r="AG334" s="419"/>
      <c r="AH334" s="419">
        <v>0</v>
      </c>
      <c r="AI334" s="411"/>
      <c r="AJ334" s="454"/>
      <c r="AK334" s="454"/>
      <c r="AL334" s="390"/>
      <c r="AM334" s="390"/>
      <c r="AN334" s="419"/>
      <c r="AO334" s="402"/>
      <c r="AP334" s="402" t="s">
        <v>55</v>
      </c>
      <c r="AQ334" s="402"/>
      <c r="AR334" s="402" t="s">
        <v>112</v>
      </c>
      <c r="AS334" s="481">
        <v>40358</v>
      </c>
      <c r="AT334" s="454"/>
      <c r="AU334" s="454"/>
      <c r="AV334" s="454"/>
      <c r="AW334" s="454"/>
      <c r="AX334" s="454"/>
      <c r="AY334" s="454"/>
      <c r="AZ334" s="454"/>
      <c r="BA334" s="390"/>
      <c r="BB334" s="390" t="s">
        <v>3147</v>
      </c>
      <c r="BC334" s="390" t="b">
        <v>0</v>
      </c>
      <c r="BD334" s="390" t="s">
        <v>3147</v>
      </c>
      <c r="BE334" s="402"/>
      <c r="BF334" s="411">
        <v>1</v>
      </c>
      <c r="BG334" s="411">
        <v>9</v>
      </c>
      <c r="BH334" s="411"/>
      <c r="BI334" s="411"/>
      <c r="BJ334" s="411"/>
      <c r="BK334" s="411"/>
      <c r="BL334" s="445"/>
      <c r="BM334" s="402"/>
      <c r="BN334" s="390"/>
      <c r="BO334" s="390"/>
      <c r="BP334" s="414"/>
      <c r="BQ334" s="415"/>
      <c r="BR334" s="416"/>
      <c r="BS334" s="414">
        <v>0</v>
      </c>
      <c r="BT334" s="411"/>
      <c r="BU334" s="419"/>
      <c r="BV334" s="414"/>
      <c r="BW334" s="390"/>
      <c r="BX334" s="402"/>
      <c r="BY334" s="390"/>
      <c r="BZ334" s="390"/>
      <c r="CA334" s="442"/>
      <c r="CB334" s="415"/>
      <c r="CC334" s="413"/>
      <c r="CD334" s="413"/>
      <c r="CE334" s="413"/>
      <c r="CF334" s="413"/>
      <c r="CG334" s="413"/>
      <c r="CH334" s="413"/>
      <c r="CI334" s="413"/>
      <c r="CJ334" s="413"/>
      <c r="CK334" s="413"/>
      <c r="CL334" s="413"/>
      <c r="CM334" s="413"/>
      <c r="CN334" s="413"/>
      <c r="CO334" s="413"/>
      <c r="CP334" s="413"/>
      <c r="CQ334" s="413"/>
      <c r="CR334" s="413"/>
      <c r="CS334" s="413"/>
      <c r="CT334" s="413"/>
      <c r="CU334" s="413"/>
      <c r="CV334" s="413"/>
      <c r="CW334" s="413"/>
      <c r="CX334" s="413"/>
      <c r="CY334" s="413"/>
      <c r="CZ334" s="413"/>
      <c r="DA334" s="413"/>
      <c r="DB334" s="413"/>
      <c r="DC334" s="413"/>
      <c r="DD334" s="413"/>
      <c r="DE334" s="390"/>
      <c r="DF334" s="390"/>
      <c r="DG334" s="390"/>
      <c r="DH334" s="390"/>
      <c r="DI334" s="390"/>
      <c r="DJ334" s="390"/>
      <c r="DK334" s="897"/>
    </row>
    <row r="335" spans="1:115" ht="25.5" x14ac:dyDescent="0.2">
      <c r="A335" s="295">
        <v>331</v>
      </c>
      <c r="B335" s="390" t="s">
        <v>2636</v>
      </c>
      <c r="C335" s="390"/>
      <c r="D335" s="391"/>
      <c r="E335" s="706" t="s">
        <v>113</v>
      </c>
      <c r="F335" s="390" t="s">
        <v>1352</v>
      </c>
      <c r="G335" s="390" t="s">
        <v>1671</v>
      </c>
      <c r="H335" s="390" t="s">
        <v>107</v>
      </c>
      <c r="I335" s="402"/>
      <c r="J335" s="402"/>
      <c r="K335" s="402" t="s">
        <v>114</v>
      </c>
      <c r="L335" s="402" t="s">
        <v>108</v>
      </c>
      <c r="M335" s="402"/>
      <c r="N335" s="390" t="s">
        <v>33</v>
      </c>
      <c r="O335" s="390" t="s">
        <v>1411</v>
      </c>
      <c r="P335" s="390" t="s">
        <v>1411</v>
      </c>
      <c r="Q335" s="402" t="s">
        <v>109</v>
      </c>
      <c r="R335" s="402" t="s">
        <v>3980</v>
      </c>
      <c r="S335" s="402" t="s">
        <v>110</v>
      </c>
      <c r="T335" s="411">
        <v>1</v>
      </c>
      <c r="U335" s="412">
        <v>12.89739</v>
      </c>
      <c r="V335" s="412"/>
      <c r="W335" s="454"/>
      <c r="X335" s="411"/>
      <c r="Y335" s="411">
        <v>10</v>
      </c>
      <c r="Z335" s="411">
        <v>10</v>
      </c>
      <c r="AA335" s="412">
        <v>0</v>
      </c>
      <c r="AB335" s="457">
        <v>40360</v>
      </c>
      <c r="AC335" s="413">
        <v>32.243474999999997</v>
      </c>
      <c r="AD335" s="413">
        <v>128.97389999999999</v>
      </c>
      <c r="AE335" s="390" t="s">
        <v>111</v>
      </c>
      <c r="AF335" s="419"/>
      <c r="AG335" s="419"/>
      <c r="AH335" s="419"/>
      <c r="AI335" s="411"/>
      <c r="AJ335" s="454"/>
      <c r="AK335" s="454"/>
      <c r="AL335" s="390"/>
      <c r="AM335" s="390"/>
      <c r="AN335" s="419"/>
      <c r="AO335" s="402"/>
      <c r="AP335" s="402" t="s">
        <v>55</v>
      </c>
      <c r="AQ335" s="402"/>
      <c r="AR335" s="402" t="s">
        <v>112</v>
      </c>
      <c r="AS335" s="481">
        <v>40358</v>
      </c>
      <c r="AT335" s="454"/>
      <c r="AU335" s="454"/>
      <c r="AV335" s="454"/>
      <c r="AW335" s="454"/>
      <c r="AX335" s="454"/>
      <c r="AY335" s="454"/>
      <c r="AZ335" s="454"/>
      <c r="BA335" s="390"/>
      <c r="BB335" s="390"/>
      <c r="BC335" s="390" t="b">
        <v>0</v>
      </c>
      <c r="BD335" s="390"/>
      <c r="BE335" s="402"/>
      <c r="BF335" s="411">
        <v>1</v>
      </c>
      <c r="BG335" s="411">
        <v>9</v>
      </c>
      <c r="BH335" s="411"/>
      <c r="BI335" s="411"/>
      <c r="BJ335" s="411"/>
      <c r="BK335" s="411"/>
      <c r="BL335" s="445" t="s">
        <v>6981</v>
      </c>
      <c r="BM335" s="402"/>
      <c r="BN335" s="390"/>
      <c r="BO335" s="390"/>
      <c r="BP335" s="414"/>
      <c r="BQ335" s="415"/>
      <c r="BR335" s="416"/>
      <c r="BS335" s="414"/>
      <c r="BT335" s="411"/>
      <c r="BU335" s="419">
        <v>0.53749999999999998</v>
      </c>
      <c r="BV335" s="414"/>
      <c r="BW335" s="390" t="s">
        <v>3117</v>
      </c>
      <c r="BX335" s="402" t="s">
        <v>3154</v>
      </c>
      <c r="BY335" s="390"/>
      <c r="BZ335" s="390"/>
      <c r="CA335" s="442"/>
      <c r="CB335" s="415"/>
      <c r="CC335" s="413"/>
      <c r="CD335" s="413"/>
      <c r="CE335" s="413"/>
      <c r="CF335" s="413"/>
      <c r="CG335" s="413">
        <v>12.89739</v>
      </c>
      <c r="CH335" s="413">
        <v>12.89739</v>
      </c>
      <c r="CI335" s="413">
        <v>12.89739</v>
      </c>
      <c r="CJ335" s="413">
        <v>12.89739</v>
      </c>
      <c r="CK335" s="413">
        <v>12.89739</v>
      </c>
      <c r="CL335" s="413">
        <v>12.89739</v>
      </c>
      <c r="CM335" s="413">
        <v>12.89739</v>
      </c>
      <c r="CN335" s="413">
        <v>12.89739</v>
      </c>
      <c r="CO335" s="413">
        <v>12.89739</v>
      </c>
      <c r="CP335" s="413">
        <v>12.89739</v>
      </c>
      <c r="CQ335" s="413"/>
      <c r="CR335" s="413"/>
      <c r="CS335" s="413"/>
      <c r="CT335" s="413"/>
      <c r="CU335" s="413"/>
      <c r="CV335" s="413"/>
      <c r="CW335" s="413"/>
      <c r="CX335" s="413"/>
      <c r="CY335" s="413"/>
      <c r="CZ335" s="413"/>
      <c r="DA335" s="413"/>
      <c r="DB335" s="413"/>
      <c r="DC335" s="413"/>
      <c r="DD335" s="413"/>
      <c r="DE335" s="390"/>
      <c r="DF335" s="390"/>
      <c r="DG335" s="390"/>
      <c r="DH335" s="390"/>
      <c r="DI335" s="390"/>
      <c r="DJ335" s="390"/>
      <c r="DK335" s="897"/>
    </row>
    <row r="336" spans="1:115" ht="89.25" x14ac:dyDescent="0.2">
      <c r="A336" s="295">
        <v>332</v>
      </c>
      <c r="B336" s="390" t="s">
        <v>149</v>
      </c>
      <c r="C336" s="424" t="s">
        <v>7470</v>
      </c>
      <c r="D336" s="391" t="s">
        <v>5035</v>
      </c>
      <c r="E336" s="704" t="s">
        <v>150</v>
      </c>
      <c r="F336" s="393" t="s">
        <v>1340</v>
      </c>
      <c r="G336" s="393" t="s">
        <v>1677</v>
      </c>
      <c r="H336" s="393" t="s">
        <v>151</v>
      </c>
      <c r="I336" s="392"/>
      <c r="J336" s="392" t="s">
        <v>151</v>
      </c>
      <c r="K336" s="392"/>
      <c r="L336" s="392" t="s">
        <v>3773</v>
      </c>
      <c r="M336" s="392" t="s">
        <v>3981</v>
      </c>
      <c r="N336" s="393" t="s">
        <v>44</v>
      </c>
      <c r="O336" s="393" t="s">
        <v>69</v>
      </c>
      <c r="P336" s="393" t="s">
        <v>69</v>
      </c>
      <c r="Q336" s="392" t="s">
        <v>152</v>
      </c>
      <c r="R336" s="392"/>
      <c r="S336" s="392" t="s">
        <v>153</v>
      </c>
      <c r="T336" s="394">
        <v>2</v>
      </c>
      <c r="U336" s="395">
        <v>7.3109999999999999</v>
      </c>
      <c r="V336" s="395"/>
      <c r="W336" s="452">
        <v>40375</v>
      </c>
      <c r="X336" s="394">
        <v>28</v>
      </c>
      <c r="Y336" s="394"/>
      <c r="Z336" s="394"/>
      <c r="AA336" s="395"/>
      <c r="AB336" s="453"/>
      <c r="AC336" s="398">
        <v>0</v>
      </c>
      <c r="AD336" s="398">
        <v>55.701169863013696</v>
      </c>
      <c r="AE336" s="393" t="s">
        <v>72</v>
      </c>
      <c r="AF336" s="417"/>
      <c r="AG336" s="417"/>
      <c r="AH336" s="417">
        <v>0</v>
      </c>
      <c r="AI336" s="394"/>
      <c r="AJ336" s="453"/>
      <c r="AK336" s="453"/>
      <c r="AL336" s="393"/>
      <c r="AM336" s="393"/>
      <c r="AN336" s="417"/>
      <c r="AO336" s="392"/>
      <c r="AP336" s="392" t="s">
        <v>55</v>
      </c>
      <c r="AQ336" s="392"/>
      <c r="AR336" s="392" t="s">
        <v>3773</v>
      </c>
      <c r="AS336" s="479">
        <v>40375</v>
      </c>
      <c r="AT336" s="397"/>
      <c r="AU336" s="397"/>
      <c r="AV336" s="452">
        <v>41176</v>
      </c>
      <c r="AW336" s="452">
        <v>41199</v>
      </c>
      <c r="AX336" s="452">
        <v>41258</v>
      </c>
      <c r="AY336" s="452">
        <v>41199</v>
      </c>
      <c r="AZ336" s="453"/>
      <c r="BA336" s="393"/>
      <c r="BB336" s="393" t="s">
        <v>3147</v>
      </c>
      <c r="BC336" s="393" t="b">
        <v>0</v>
      </c>
      <c r="BD336" s="393" t="s">
        <v>3116</v>
      </c>
      <c r="BE336" s="392"/>
      <c r="BF336" s="394">
        <v>1</v>
      </c>
      <c r="BG336" s="394">
        <v>3</v>
      </c>
      <c r="BH336" s="394">
        <v>6</v>
      </c>
      <c r="BI336" s="394">
        <v>9</v>
      </c>
      <c r="BJ336" s="394">
        <v>5</v>
      </c>
      <c r="BK336" s="394">
        <v>11</v>
      </c>
      <c r="BL336" s="444"/>
      <c r="BM336" s="392"/>
      <c r="BN336" s="393"/>
      <c r="BO336" s="393"/>
      <c r="BP336" s="399"/>
      <c r="BQ336" s="400"/>
      <c r="BR336" s="401"/>
      <c r="BS336" s="399">
        <v>0</v>
      </c>
      <c r="BT336" s="394"/>
      <c r="BU336" s="417"/>
      <c r="BV336" s="399"/>
      <c r="BW336" s="393"/>
      <c r="BX336" s="392"/>
      <c r="BY336" s="393"/>
      <c r="BZ336" s="393"/>
      <c r="CA336" s="441"/>
      <c r="CB336" s="400"/>
      <c r="CC336" s="398"/>
      <c r="CD336" s="398"/>
      <c r="CE336" s="398"/>
      <c r="CF336" s="398"/>
      <c r="CG336" s="398"/>
      <c r="CH336" s="398"/>
      <c r="CI336" s="398"/>
      <c r="CJ336" s="398"/>
      <c r="CK336" s="398"/>
      <c r="CL336" s="398"/>
      <c r="CM336" s="398"/>
      <c r="CN336" s="398"/>
      <c r="CO336" s="398"/>
      <c r="CP336" s="398"/>
      <c r="CQ336" s="398"/>
      <c r="CR336" s="398"/>
      <c r="CS336" s="398"/>
      <c r="CT336" s="398"/>
      <c r="CU336" s="398"/>
      <c r="CV336" s="398"/>
      <c r="CW336" s="398"/>
      <c r="CX336" s="398"/>
      <c r="CY336" s="398"/>
      <c r="CZ336" s="398"/>
      <c r="DA336" s="398"/>
      <c r="DB336" s="398"/>
      <c r="DC336" s="398"/>
      <c r="DD336" s="398"/>
      <c r="DE336" s="393"/>
      <c r="DF336" s="393"/>
      <c r="DG336" s="393"/>
      <c r="DH336" s="393"/>
      <c r="DI336" s="393"/>
      <c r="DJ336" s="393"/>
      <c r="DK336" s="896" t="s">
        <v>9741</v>
      </c>
    </row>
    <row r="337" spans="1:115" ht="51" x14ac:dyDescent="0.2">
      <c r="A337" s="295">
        <v>333</v>
      </c>
      <c r="B337" s="390" t="s">
        <v>2637</v>
      </c>
      <c r="C337" s="390"/>
      <c r="D337" s="391" t="s">
        <v>4366</v>
      </c>
      <c r="E337" s="704" t="s">
        <v>154</v>
      </c>
      <c r="F337" s="393" t="s">
        <v>1340</v>
      </c>
      <c r="G337" s="393" t="s">
        <v>1677</v>
      </c>
      <c r="H337" s="393" t="s">
        <v>151</v>
      </c>
      <c r="I337" s="392"/>
      <c r="J337" s="392"/>
      <c r="K337" s="392" t="s">
        <v>155</v>
      </c>
      <c r="L337" s="392" t="s">
        <v>3773</v>
      </c>
      <c r="M337" s="392"/>
      <c r="N337" s="393" t="s">
        <v>44</v>
      </c>
      <c r="O337" s="393" t="s">
        <v>69</v>
      </c>
      <c r="P337" s="393" t="s">
        <v>69</v>
      </c>
      <c r="Q337" s="392" t="s">
        <v>152</v>
      </c>
      <c r="R337" s="392" t="s">
        <v>3982</v>
      </c>
      <c r="S337" s="392" t="s">
        <v>153</v>
      </c>
      <c r="T337" s="394">
        <v>1</v>
      </c>
      <c r="U337" s="395">
        <v>3.4569999999999999</v>
      </c>
      <c r="V337" s="395"/>
      <c r="W337" s="453"/>
      <c r="X337" s="394"/>
      <c r="Y337" s="394">
        <v>7</v>
      </c>
      <c r="Z337" s="394">
        <v>30</v>
      </c>
      <c r="AA337" s="395">
        <v>0</v>
      </c>
      <c r="AB337" s="452">
        <v>41199</v>
      </c>
      <c r="AC337" s="398"/>
      <c r="AD337" s="398">
        <v>28.385284931506845</v>
      </c>
      <c r="AE337" s="393" t="s">
        <v>72</v>
      </c>
      <c r="AF337" s="417"/>
      <c r="AG337" s="417"/>
      <c r="AH337" s="417"/>
      <c r="AI337" s="394"/>
      <c r="AJ337" s="453"/>
      <c r="AK337" s="453"/>
      <c r="AL337" s="393"/>
      <c r="AM337" s="393"/>
      <c r="AN337" s="417"/>
      <c r="AO337" s="392"/>
      <c r="AP337" s="392" t="s">
        <v>55</v>
      </c>
      <c r="AQ337" s="392"/>
      <c r="AR337" s="392" t="s">
        <v>3773</v>
      </c>
      <c r="AS337" s="479">
        <v>40375</v>
      </c>
      <c r="AT337" s="453"/>
      <c r="AU337" s="453"/>
      <c r="AV337" s="453"/>
      <c r="AW337" s="453"/>
      <c r="AX337" s="453"/>
      <c r="AY337" s="453"/>
      <c r="AZ337" s="452">
        <v>41199</v>
      </c>
      <c r="BA337" s="393"/>
      <c r="BB337" s="393"/>
      <c r="BC337" s="393" t="b">
        <v>0</v>
      </c>
      <c r="BD337" s="393"/>
      <c r="BE337" s="392"/>
      <c r="BF337" s="394">
        <v>1</v>
      </c>
      <c r="BG337" s="394">
        <v>3</v>
      </c>
      <c r="BH337" s="394">
        <v>6</v>
      </c>
      <c r="BI337" s="394">
        <v>9</v>
      </c>
      <c r="BJ337" s="394">
        <v>5</v>
      </c>
      <c r="BK337" s="394">
        <v>11</v>
      </c>
      <c r="BL337" s="444" t="s">
        <v>6981</v>
      </c>
      <c r="BM337" s="392"/>
      <c r="BN337" s="393"/>
      <c r="BO337" s="393"/>
      <c r="BP337" s="399"/>
      <c r="BQ337" s="400"/>
      <c r="BR337" s="401"/>
      <c r="BS337" s="399"/>
      <c r="BT337" s="394"/>
      <c r="BU337" s="417">
        <v>0.31119999999999998</v>
      </c>
      <c r="BV337" s="399"/>
      <c r="BW337" s="393" t="s">
        <v>3117</v>
      </c>
      <c r="BX337" s="392" t="s">
        <v>3160</v>
      </c>
      <c r="BY337" s="393"/>
      <c r="BZ337" s="393"/>
      <c r="CA337" s="441" t="s">
        <v>1664</v>
      </c>
      <c r="CB337" s="400"/>
      <c r="CC337" s="398"/>
      <c r="CD337" s="398"/>
      <c r="CE337" s="398"/>
      <c r="CF337" s="398"/>
      <c r="CG337" s="398">
        <v>15.212999999999999</v>
      </c>
      <c r="CH337" s="398">
        <v>15.212999999999999</v>
      </c>
      <c r="CI337" s="398">
        <v>15.212999999999999</v>
      </c>
      <c r="CJ337" s="398">
        <v>15.212999999999999</v>
      </c>
      <c r="CK337" s="398">
        <v>15.212999999999999</v>
      </c>
      <c r="CL337" s="398">
        <v>15.212999999999999</v>
      </c>
      <c r="CM337" s="398">
        <v>15.212999999999999</v>
      </c>
      <c r="CN337" s="398">
        <v>15.212999999999999</v>
      </c>
      <c r="CO337" s="398">
        <v>15.212999999999999</v>
      </c>
      <c r="CP337" s="398">
        <v>15.212999999999999</v>
      </c>
      <c r="CQ337" s="398">
        <v>15.212999999999999</v>
      </c>
      <c r="CR337" s="398">
        <v>15.212999999999999</v>
      </c>
      <c r="CS337" s="398">
        <v>15.212999999999999</v>
      </c>
      <c r="CT337" s="398">
        <v>15.212999999999999</v>
      </c>
      <c r="CU337" s="398">
        <v>15.212999999999999</v>
      </c>
      <c r="CV337" s="398">
        <v>15.212999999999999</v>
      </c>
      <c r="CW337" s="398">
        <v>15.212999999999999</v>
      </c>
      <c r="CX337" s="398">
        <v>15.212999999999999</v>
      </c>
      <c r="CY337" s="398">
        <v>15.212999999999999</v>
      </c>
      <c r="CZ337" s="398">
        <v>15.212999999999999</v>
      </c>
      <c r="DA337" s="398">
        <v>15.212999999999999</v>
      </c>
      <c r="DB337" s="398"/>
      <c r="DC337" s="398"/>
      <c r="DD337" s="398"/>
      <c r="DE337" s="393"/>
      <c r="DF337" s="393"/>
      <c r="DG337" s="393"/>
      <c r="DH337" s="393"/>
      <c r="DI337" s="393"/>
      <c r="DJ337" s="393"/>
      <c r="DK337" s="897"/>
    </row>
    <row r="338" spans="1:115" ht="51" x14ac:dyDescent="0.2">
      <c r="A338" s="295">
        <v>334</v>
      </c>
      <c r="B338" s="390" t="s">
        <v>5829</v>
      </c>
      <c r="C338" s="390"/>
      <c r="D338" s="391" t="s">
        <v>5830</v>
      </c>
      <c r="E338" s="704" t="s">
        <v>5831</v>
      </c>
      <c r="F338" s="393" t="s">
        <v>1340</v>
      </c>
      <c r="G338" s="393" t="s">
        <v>1677</v>
      </c>
      <c r="H338" s="393" t="s">
        <v>151</v>
      </c>
      <c r="I338" s="392"/>
      <c r="J338" s="392"/>
      <c r="K338" s="392" t="s">
        <v>155</v>
      </c>
      <c r="L338" s="392" t="s">
        <v>3773</v>
      </c>
      <c r="M338" s="392"/>
      <c r="N338" s="393" t="s">
        <v>44</v>
      </c>
      <c r="O338" s="393" t="s">
        <v>69</v>
      </c>
      <c r="P338" s="393" t="s">
        <v>69</v>
      </c>
      <c r="Q338" s="392" t="s">
        <v>152</v>
      </c>
      <c r="R338" s="392" t="s">
        <v>3982</v>
      </c>
      <c r="S338" s="392" t="s">
        <v>153</v>
      </c>
      <c r="T338" s="394">
        <v>1</v>
      </c>
      <c r="U338" s="395">
        <v>3.8540000000000001</v>
      </c>
      <c r="V338" s="395"/>
      <c r="W338" s="453"/>
      <c r="X338" s="394"/>
      <c r="Y338" s="394">
        <v>7</v>
      </c>
      <c r="Z338" s="394">
        <v>30</v>
      </c>
      <c r="AA338" s="395">
        <v>0</v>
      </c>
      <c r="AB338" s="452">
        <v>41609</v>
      </c>
      <c r="AC338" s="398"/>
      <c r="AD338" s="398">
        <v>27.315884931506851</v>
      </c>
      <c r="AE338" s="393" t="s">
        <v>72</v>
      </c>
      <c r="AF338" s="417"/>
      <c r="AG338" s="417"/>
      <c r="AH338" s="417"/>
      <c r="AI338" s="394"/>
      <c r="AJ338" s="453"/>
      <c r="AK338" s="453"/>
      <c r="AL338" s="393"/>
      <c r="AM338" s="393"/>
      <c r="AN338" s="417"/>
      <c r="AO338" s="392"/>
      <c r="AP338" s="392" t="s">
        <v>55</v>
      </c>
      <c r="AQ338" s="392"/>
      <c r="AR338" s="392" t="s">
        <v>3773</v>
      </c>
      <c r="AS338" s="479">
        <v>40375</v>
      </c>
      <c r="AT338" s="453"/>
      <c r="AU338" s="453"/>
      <c r="AV338" s="453"/>
      <c r="AW338" s="453"/>
      <c r="AX338" s="453"/>
      <c r="AY338" s="453"/>
      <c r="AZ338" s="452">
        <v>41669</v>
      </c>
      <c r="BA338" s="393"/>
      <c r="BB338" s="393"/>
      <c r="BC338" s="393" t="b">
        <v>0</v>
      </c>
      <c r="BD338" s="393"/>
      <c r="BE338" s="392"/>
      <c r="BF338" s="394">
        <v>1</v>
      </c>
      <c r="BG338" s="394">
        <v>3</v>
      </c>
      <c r="BH338" s="394">
        <v>6</v>
      </c>
      <c r="BI338" s="394">
        <v>9</v>
      </c>
      <c r="BJ338" s="394">
        <v>5</v>
      </c>
      <c r="BK338" s="394">
        <v>11</v>
      </c>
      <c r="BL338" s="444" t="s">
        <v>6981</v>
      </c>
      <c r="BM338" s="392"/>
      <c r="BN338" s="393"/>
      <c r="BO338" s="393"/>
      <c r="BP338" s="399"/>
      <c r="BQ338" s="400"/>
      <c r="BR338" s="401"/>
      <c r="BS338" s="399"/>
      <c r="BT338" s="394"/>
      <c r="BU338" s="417"/>
      <c r="BV338" s="399"/>
      <c r="BW338" s="393" t="s">
        <v>3117</v>
      </c>
      <c r="BX338" s="392" t="s">
        <v>3160</v>
      </c>
      <c r="BY338" s="393"/>
      <c r="BZ338" s="393"/>
      <c r="CA338" s="441"/>
      <c r="CB338" s="400"/>
      <c r="CC338" s="398"/>
      <c r="CD338" s="398"/>
      <c r="CE338" s="398"/>
      <c r="CF338" s="398"/>
      <c r="CG338" s="398"/>
      <c r="CH338" s="398"/>
      <c r="CI338" s="398">
        <v>0.32100000000000001</v>
      </c>
      <c r="CJ338" s="398">
        <v>3.8540000000000001</v>
      </c>
      <c r="CK338" s="398">
        <v>3.8540000000000001</v>
      </c>
      <c r="CL338" s="398">
        <v>3.8540000000000001</v>
      </c>
      <c r="CM338" s="398">
        <v>3.8540000000000001</v>
      </c>
      <c r="CN338" s="398">
        <v>3.8540000000000001</v>
      </c>
      <c r="CO338" s="398">
        <v>3.8540000000000001</v>
      </c>
      <c r="CP338" s="398"/>
      <c r="CQ338" s="398"/>
      <c r="CR338" s="398"/>
      <c r="CS338" s="398"/>
      <c r="CT338" s="398"/>
      <c r="CU338" s="398"/>
      <c r="CV338" s="398"/>
      <c r="CW338" s="398"/>
      <c r="CX338" s="398"/>
      <c r="CY338" s="398"/>
      <c r="CZ338" s="398"/>
      <c r="DA338" s="398"/>
      <c r="DB338" s="398"/>
      <c r="DC338" s="398"/>
      <c r="DD338" s="398"/>
      <c r="DE338" s="393"/>
      <c r="DF338" s="393"/>
      <c r="DG338" s="393"/>
      <c r="DH338" s="393"/>
      <c r="DI338" s="393"/>
      <c r="DJ338" s="393"/>
      <c r="DK338" s="897"/>
    </row>
    <row r="339" spans="1:115" ht="76.5" x14ac:dyDescent="0.2">
      <c r="A339" s="295">
        <v>335</v>
      </c>
      <c r="B339" s="390" t="s">
        <v>665</v>
      </c>
      <c r="C339" s="424" t="s">
        <v>7471</v>
      </c>
      <c r="D339" s="391"/>
      <c r="E339" s="706" t="s">
        <v>666</v>
      </c>
      <c r="F339" s="390" t="s">
        <v>1340</v>
      </c>
      <c r="G339" s="390" t="s">
        <v>1677</v>
      </c>
      <c r="H339" s="390" t="s">
        <v>667</v>
      </c>
      <c r="I339" s="402"/>
      <c r="J339" s="402" t="s">
        <v>667</v>
      </c>
      <c r="K339" s="402"/>
      <c r="L339" s="402" t="s">
        <v>668</v>
      </c>
      <c r="M339" s="402" t="s">
        <v>3983</v>
      </c>
      <c r="N339" s="390" t="s">
        <v>33</v>
      </c>
      <c r="O339" s="390" t="s">
        <v>669</v>
      </c>
      <c r="P339" s="390" t="s">
        <v>669</v>
      </c>
      <c r="Q339" s="402" t="s">
        <v>670</v>
      </c>
      <c r="R339" s="402"/>
      <c r="S339" s="402" t="s">
        <v>671</v>
      </c>
      <c r="T339" s="411">
        <v>1</v>
      </c>
      <c r="U339" s="412">
        <v>0.30314000000000002</v>
      </c>
      <c r="V339" s="412"/>
      <c r="W339" s="457">
        <v>40385</v>
      </c>
      <c r="X339" s="411">
        <v>28</v>
      </c>
      <c r="Y339" s="411"/>
      <c r="Z339" s="411"/>
      <c r="AA339" s="412"/>
      <c r="AB339" s="454"/>
      <c r="AC339" s="413">
        <v>606.28</v>
      </c>
      <c r="AD339" s="413">
        <v>3.0314000000000001</v>
      </c>
      <c r="AE339" s="390" t="s">
        <v>225</v>
      </c>
      <c r="AF339" s="419"/>
      <c r="AG339" s="419"/>
      <c r="AH339" s="419">
        <v>0</v>
      </c>
      <c r="AI339" s="411"/>
      <c r="AJ339" s="454"/>
      <c r="AK339" s="454"/>
      <c r="AL339" s="390"/>
      <c r="AM339" s="390"/>
      <c r="AN339" s="419"/>
      <c r="AO339" s="402"/>
      <c r="AP339" s="402" t="s">
        <v>7058</v>
      </c>
      <c r="AQ339" s="402"/>
      <c r="AR339" s="402" t="s">
        <v>672</v>
      </c>
      <c r="AS339" s="481">
        <v>40381</v>
      </c>
      <c r="AT339" s="454"/>
      <c r="AU339" s="454"/>
      <c r="AV339" s="454"/>
      <c r="AW339" s="454"/>
      <c r="AX339" s="454"/>
      <c r="AY339" s="454"/>
      <c r="AZ339" s="454"/>
      <c r="BA339" s="390"/>
      <c r="BB339" s="390" t="s">
        <v>3116</v>
      </c>
      <c r="BC339" s="390" t="b">
        <v>0</v>
      </c>
      <c r="BD339" s="390" t="s">
        <v>3116</v>
      </c>
      <c r="BE339" s="402"/>
      <c r="BF339" s="411">
        <v>1</v>
      </c>
      <c r="BG339" s="411">
        <v>6</v>
      </c>
      <c r="BH339" s="411">
        <v>11</v>
      </c>
      <c r="BI339" s="411">
        <v>9</v>
      </c>
      <c r="BJ339" s="411"/>
      <c r="BK339" s="411"/>
      <c r="BL339" s="445"/>
      <c r="BM339" s="402"/>
      <c r="BN339" s="390"/>
      <c r="BO339" s="390"/>
      <c r="BP339" s="414"/>
      <c r="BQ339" s="415"/>
      <c r="BR339" s="416"/>
      <c r="BS339" s="414">
        <v>0</v>
      </c>
      <c r="BT339" s="411"/>
      <c r="BU339" s="419"/>
      <c r="BV339" s="414"/>
      <c r="BW339" s="390"/>
      <c r="BX339" s="402"/>
      <c r="BY339" s="390"/>
      <c r="BZ339" s="390"/>
      <c r="CA339" s="442"/>
      <c r="CB339" s="415"/>
      <c r="CC339" s="413"/>
      <c r="CD339" s="413"/>
      <c r="CE339" s="413"/>
      <c r="CF339" s="413"/>
      <c r="CG339" s="413"/>
      <c r="CH339" s="413"/>
      <c r="CI339" s="413"/>
      <c r="CJ339" s="413"/>
      <c r="CK339" s="413"/>
      <c r="CL339" s="413"/>
      <c r="CM339" s="413"/>
      <c r="CN339" s="413"/>
      <c r="CO339" s="413"/>
      <c r="CP339" s="413"/>
      <c r="CQ339" s="413"/>
      <c r="CR339" s="413"/>
      <c r="CS339" s="413"/>
      <c r="CT339" s="413"/>
      <c r="CU339" s="413"/>
      <c r="CV339" s="413"/>
      <c r="CW339" s="413"/>
      <c r="CX339" s="413"/>
      <c r="CY339" s="413"/>
      <c r="CZ339" s="413"/>
      <c r="DA339" s="413"/>
      <c r="DB339" s="413"/>
      <c r="DC339" s="413"/>
      <c r="DD339" s="413"/>
      <c r="DE339" s="390"/>
      <c r="DF339" s="390"/>
      <c r="DG339" s="390"/>
      <c r="DH339" s="390"/>
      <c r="DI339" s="390"/>
      <c r="DJ339" s="390"/>
      <c r="DK339" s="897"/>
    </row>
    <row r="340" spans="1:115" ht="25.5" x14ac:dyDescent="0.2">
      <c r="A340" s="295">
        <v>336</v>
      </c>
      <c r="B340" s="390" t="s">
        <v>2638</v>
      </c>
      <c r="C340" s="390"/>
      <c r="D340" s="391"/>
      <c r="E340" s="706" t="s">
        <v>673</v>
      </c>
      <c r="F340" s="390" t="s">
        <v>1340</v>
      </c>
      <c r="G340" s="390" t="s">
        <v>1677</v>
      </c>
      <c r="H340" s="390" t="s">
        <v>667</v>
      </c>
      <c r="I340" s="402"/>
      <c r="J340" s="402"/>
      <c r="K340" s="402" t="s">
        <v>674</v>
      </c>
      <c r="L340" s="402" t="s">
        <v>668</v>
      </c>
      <c r="M340" s="402"/>
      <c r="N340" s="390" t="s">
        <v>33</v>
      </c>
      <c r="O340" s="390" t="s">
        <v>669</v>
      </c>
      <c r="P340" s="390" t="s">
        <v>669</v>
      </c>
      <c r="Q340" s="402" t="s">
        <v>670</v>
      </c>
      <c r="R340" s="402" t="s">
        <v>3984</v>
      </c>
      <c r="S340" s="402" t="s">
        <v>671</v>
      </c>
      <c r="T340" s="411">
        <v>1</v>
      </c>
      <c r="U340" s="412">
        <v>0.30314000000000002</v>
      </c>
      <c r="V340" s="412"/>
      <c r="W340" s="454"/>
      <c r="X340" s="411"/>
      <c r="Y340" s="411">
        <v>10</v>
      </c>
      <c r="Z340" s="411">
        <v>10</v>
      </c>
      <c r="AA340" s="412">
        <v>0</v>
      </c>
      <c r="AB340" s="457">
        <v>40544</v>
      </c>
      <c r="AC340" s="413">
        <v>606.28</v>
      </c>
      <c r="AD340" s="413">
        <v>3.0314000000000001</v>
      </c>
      <c r="AE340" s="390" t="s">
        <v>225</v>
      </c>
      <c r="AF340" s="419"/>
      <c r="AG340" s="419"/>
      <c r="AH340" s="419"/>
      <c r="AI340" s="411"/>
      <c r="AJ340" s="454"/>
      <c r="AK340" s="454"/>
      <c r="AL340" s="390"/>
      <c r="AM340" s="390"/>
      <c r="AN340" s="419"/>
      <c r="AO340" s="402"/>
      <c r="AP340" s="402" t="s">
        <v>7058</v>
      </c>
      <c r="AQ340" s="402"/>
      <c r="AR340" s="402" t="s">
        <v>672</v>
      </c>
      <c r="AS340" s="481">
        <v>40381</v>
      </c>
      <c r="AT340" s="454"/>
      <c r="AU340" s="454"/>
      <c r="AV340" s="454"/>
      <c r="AW340" s="454"/>
      <c r="AX340" s="454"/>
      <c r="AY340" s="454"/>
      <c r="AZ340" s="454"/>
      <c r="BA340" s="390"/>
      <c r="BB340" s="390"/>
      <c r="BC340" s="390" t="b">
        <v>0</v>
      </c>
      <c r="BD340" s="390"/>
      <c r="BE340" s="402"/>
      <c r="BF340" s="411">
        <v>1</v>
      </c>
      <c r="BG340" s="411">
        <v>6</v>
      </c>
      <c r="BH340" s="411">
        <v>11</v>
      </c>
      <c r="BI340" s="411">
        <v>9</v>
      </c>
      <c r="BJ340" s="411"/>
      <c r="BK340" s="411"/>
      <c r="BL340" s="445" t="s">
        <v>1451</v>
      </c>
      <c r="BM340" s="402" t="s">
        <v>3985</v>
      </c>
      <c r="BN340" s="390" t="s">
        <v>58</v>
      </c>
      <c r="BO340" s="390" t="s">
        <v>3986</v>
      </c>
      <c r="BP340" s="414" t="s">
        <v>3511</v>
      </c>
      <c r="BQ340" s="415"/>
      <c r="BR340" s="416"/>
      <c r="BS340" s="414"/>
      <c r="BT340" s="411"/>
      <c r="BU340" s="419"/>
      <c r="BV340" s="414"/>
      <c r="BW340" s="390" t="s">
        <v>3117</v>
      </c>
      <c r="BX340" s="402" t="s">
        <v>1447</v>
      </c>
      <c r="BY340" s="390"/>
      <c r="BZ340" s="390"/>
      <c r="CA340" s="442" t="s">
        <v>1662</v>
      </c>
      <c r="CB340" s="415">
        <v>3</v>
      </c>
      <c r="CC340" s="413"/>
      <c r="CD340" s="413"/>
      <c r="CE340" s="413"/>
      <c r="CF340" s="413"/>
      <c r="CG340" s="413">
        <v>0.30314000000000002</v>
      </c>
      <c r="CH340" s="413">
        <v>0.30314000000000002</v>
      </c>
      <c r="CI340" s="413">
        <v>0.30314000000000002</v>
      </c>
      <c r="CJ340" s="413">
        <v>0.30314000000000002</v>
      </c>
      <c r="CK340" s="413">
        <v>0.30314000000000002</v>
      </c>
      <c r="CL340" s="413">
        <v>0.30314000000000002</v>
      </c>
      <c r="CM340" s="413">
        <v>0.30314000000000002</v>
      </c>
      <c r="CN340" s="413">
        <v>0.30314000000000002</v>
      </c>
      <c r="CO340" s="413">
        <v>0.30314000000000002</v>
      </c>
      <c r="CP340" s="413">
        <v>0.30314000000000002</v>
      </c>
      <c r="CQ340" s="413"/>
      <c r="CR340" s="413"/>
      <c r="CS340" s="413"/>
      <c r="CT340" s="413"/>
      <c r="CU340" s="413"/>
      <c r="CV340" s="413"/>
      <c r="CW340" s="413"/>
      <c r="CX340" s="413"/>
      <c r="CY340" s="413"/>
      <c r="CZ340" s="413"/>
      <c r="DA340" s="413"/>
      <c r="DB340" s="413"/>
      <c r="DC340" s="413"/>
      <c r="DD340" s="413"/>
      <c r="DE340" s="390"/>
      <c r="DF340" s="390"/>
      <c r="DG340" s="390"/>
      <c r="DH340" s="390"/>
      <c r="DI340" s="390"/>
      <c r="DJ340" s="390"/>
      <c r="DK340" s="897"/>
    </row>
    <row r="341" spans="1:115" ht="25.5" x14ac:dyDescent="0.2">
      <c r="A341" s="295">
        <v>337</v>
      </c>
      <c r="B341" s="390" t="s">
        <v>580</v>
      </c>
      <c r="C341" s="424" t="s">
        <v>7472</v>
      </c>
      <c r="D341" s="391"/>
      <c r="E341" s="707" t="s">
        <v>581</v>
      </c>
      <c r="F341" s="404" t="s">
        <v>1340</v>
      </c>
      <c r="G341" s="404" t="s">
        <v>1677</v>
      </c>
      <c r="H341" s="404" t="s">
        <v>151</v>
      </c>
      <c r="I341" s="403"/>
      <c r="J341" s="403" t="s">
        <v>151</v>
      </c>
      <c r="K341" s="403"/>
      <c r="L341" s="403" t="s">
        <v>582</v>
      </c>
      <c r="M341" s="403" t="s">
        <v>3987</v>
      </c>
      <c r="N341" s="404" t="s">
        <v>3142</v>
      </c>
      <c r="O341" s="404" t="s">
        <v>69</v>
      </c>
      <c r="P341" s="404" t="s">
        <v>69</v>
      </c>
      <c r="Q341" s="403" t="s">
        <v>572</v>
      </c>
      <c r="R341" s="403"/>
      <c r="S341" s="403" t="s">
        <v>573</v>
      </c>
      <c r="T341" s="405">
        <v>1</v>
      </c>
      <c r="U341" s="406">
        <v>2.3439999999999999</v>
      </c>
      <c r="V341" s="406"/>
      <c r="W341" s="456">
        <v>40422</v>
      </c>
      <c r="X341" s="405">
        <v>10</v>
      </c>
      <c r="Y341" s="405"/>
      <c r="Z341" s="405"/>
      <c r="AA341" s="406"/>
      <c r="AB341" s="455"/>
      <c r="AC341" s="407">
        <v>4.6879999999999997</v>
      </c>
      <c r="AD341" s="407">
        <v>23.439999999999998</v>
      </c>
      <c r="AE341" s="404" t="s">
        <v>72</v>
      </c>
      <c r="AF341" s="418"/>
      <c r="AG341" s="418"/>
      <c r="AH341" s="418">
        <v>0</v>
      </c>
      <c r="AI341" s="405"/>
      <c r="AJ341" s="455"/>
      <c r="AK341" s="455"/>
      <c r="AL341" s="404"/>
      <c r="AM341" s="404"/>
      <c r="AN341" s="418"/>
      <c r="AO341" s="403"/>
      <c r="AP341" s="403" t="s">
        <v>55</v>
      </c>
      <c r="AQ341" s="403"/>
      <c r="AR341" s="403" t="s">
        <v>582</v>
      </c>
      <c r="AS341" s="482">
        <v>40389</v>
      </c>
      <c r="AT341" s="455"/>
      <c r="AU341" s="455"/>
      <c r="AV341" s="455"/>
      <c r="AW341" s="455"/>
      <c r="AX341" s="455"/>
      <c r="AY341" s="455"/>
      <c r="AZ341" s="455"/>
      <c r="BA341" s="404"/>
      <c r="BB341" s="404" t="s">
        <v>3116</v>
      </c>
      <c r="BC341" s="404" t="b">
        <v>0</v>
      </c>
      <c r="BD341" s="404" t="s">
        <v>3310</v>
      </c>
      <c r="BE341" s="403"/>
      <c r="BF341" s="405">
        <v>3</v>
      </c>
      <c r="BG341" s="405">
        <v>2</v>
      </c>
      <c r="BH341" s="405">
        <v>1</v>
      </c>
      <c r="BI341" s="405">
        <v>6</v>
      </c>
      <c r="BJ341" s="405">
        <v>9</v>
      </c>
      <c r="BK341" s="405">
        <v>7</v>
      </c>
      <c r="BL341" s="446"/>
      <c r="BM341" s="403"/>
      <c r="BN341" s="404"/>
      <c r="BO341" s="404"/>
      <c r="BP341" s="408"/>
      <c r="BQ341" s="409"/>
      <c r="BR341" s="410"/>
      <c r="BS341" s="408">
        <v>0</v>
      </c>
      <c r="BT341" s="405"/>
      <c r="BU341" s="418"/>
      <c r="BV341" s="408"/>
      <c r="BW341" s="404"/>
      <c r="BX341" s="403"/>
      <c r="BY341" s="404"/>
      <c r="BZ341" s="404"/>
      <c r="CA341" s="443"/>
      <c r="CB341" s="409"/>
      <c r="CC341" s="407"/>
      <c r="CD341" s="407"/>
      <c r="CE341" s="407"/>
      <c r="CF341" s="407"/>
      <c r="CG341" s="407"/>
      <c r="CH341" s="407"/>
      <c r="CI341" s="407"/>
      <c r="CJ341" s="407"/>
      <c r="CK341" s="407"/>
      <c r="CL341" s="407"/>
      <c r="CM341" s="407"/>
      <c r="CN341" s="407"/>
      <c r="CO341" s="407"/>
      <c r="CP341" s="407"/>
      <c r="CQ341" s="407"/>
      <c r="CR341" s="407"/>
      <c r="CS341" s="407"/>
      <c r="CT341" s="407"/>
      <c r="CU341" s="407"/>
      <c r="CV341" s="407"/>
      <c r="CW341" s="407"/>
      <c r="CX341" s="407"/>
      <c r="CY341" s="407"/>
      <c r="CZ341" s="407"/>
      <c r="DA341" s="407"/>
      <c r="DB341" s="407"/>
      <c r="DC341" s="407"/>
      <c r="DD341" s="407"/>
      <c r="DE341" s="404"/>
      <c r="DF341" s="404"/>
      <c r="DG341" s="404"/>
      <c r="DH341" s="404"/>
      <c r="DI341" s="404"/>
      <c r="DJ341" s="404"/>
      <c r="DK341" s="897"/>
    </row>
    <row r="342" spans="1:115" ht="38.25" x14ac:dyDescent="0.2">
      <c r="A342" s="295">
        <v>338</v>
      </c>
      <c r="B342" s="390" t="s">
        <v>2639</v>
      </c>
      <c r="C342" s="390"/>
      <c r="D342" s="391"/>
      <c r="E342" s="707" t="s">
        <v>583</v>
      </c>
      <c r="F342" s="404" t="s">
        <v>1340</v>
      </c>
      <c r="G342" s="404" t="s">
        <v>1677</v>
      </c>
      <c r="H342" s="404" t="s">
        <v>151</v>
      </c>
      <c r="I342" s="403"/>
      <c r="J342" s="403"/>
      <c r="K342" s="403" t="s">
        <v>584</v>
      </c>
      <c r="L342" s="403" t="s">
        <v>582</v>
      </c>
      <c r="M342" s="403"/>
      <c r="N342" s="404" t="s">
        <v>3142</v>
      </c>
      <c r="O342" s="404" t="s">
        <v>69</v>
      </c>
      <c r="P342" s="404" t="s">
        <v>69</v>
      </c>
      <c r="Q342" s="403" t="s">
        <v>572</v>
      </c>
      <c r="R342" s="403" t="s">
        <v>3988</v>
      </c>
      <c r="S342" s="403" t="s">
        <v>573</v>
      </c>
      <c r="T342" s="405">
        <v>1</v>
      </c>
      <c r="U342" s="406">
        <v>2.3439999999999999</v>
      </c>
      <c r="V342" s="406"/>
      <c r="W342" s="455"/>
      <c r="X342" s="405"/>
      <c r="Y342" s="405">
        <v>10</v>
      </c>
      <c r="Z342" s="405">
        <v>10</v>
      </c>
      <c r="AA342" s="406">
        <v>0</v>
      </c>
      <c r="AB342" s="456">
        <v>40544</v>
      </c>
      <c r="AC342" s="407">
        <v>4.6879999999999997</v>
      </c>
      <c r="AD342" s="407">
        <v>23.439999999999998</v>
      </c>
      <c r="AE342" s="404" t="s">
        <v>72</v>
      </c>
      <c r="AF342" s="418"/>
      <c r="AG342" s="418"/>
      <c r="AH342" s="418"/>
      <c r="AI342" s="405"/>
      <c r="AJ342" s="455"/>
      <c r="AK342" s="455"/>
      <c r="AL342" s="404"/>
      <c r="AM342" s="404"/>
      <c r="AN342" s="418"/>
      <c r="AO342" s="403"/>
      <c r="AP342" s="403" t="s">
        <v>55</v>
      </c>
      <c r="AQ342" s="403"/>
      <c r="AR342" s="403" t="s">
        <v>582</v>
      </c>
      <c r="AS342" s="482">
        <v>40389</v>
      </c>
      <c r="AT342" s="455"/>
      <c r="AU342" s="455"/>
      <c r="AV342" s="455"/>
      <c r="AW342" s="455"/>
      <c r="AX342" s="455"/>
      <c r="AY342" s="455"/>
      <c r="AZ342" s="455"/>
      <c r="BA342" s="404"/>
      <c r="BB342" s="404"/>
      <c r="BC342" s="404" t="b">
        <v>0</v>
      </c>
      <c r="BD342" s="404"/>
      <c r="BE342" s="403"/>
      <c r="BF342" s="405">
        <v>3</v>
      </c>
      <c r="BG342" s="405">
        <v>2</v>
      </c>
      <c r="BH342" s="405">
        <v>1</v>
      </c>
      <c r="BI342" s="405">
        <v>6</v>
      </c>
      <c r="BJ342" s="405">
        <v>9</v>
      </c>
      <c r="BK342" s="405">
        <v>7</v>
      </c>
      <c r="BL342" s="446" t="s">
        <v>6981</v>
      </c>
      <c r="BM342" s="403"/>
      <c r="BN342" s="404"/>
      <c r="BO342" s="404"/>
      <c r="BP342" s="408"/>
      <c r="BQ342" s="409"/>
      <c r="BR342" s="410"/>
      <c r="BS342" s="408"/>
      <c r="BT342" s="405"/>
      <c r="BU342" s="418"/>
      <c r="BV342" s="408"/>
      <c r="BW342" s="404" t="s">
        <v>3117</v>
      </c>
      <c r="BX342" s="403" t="s">
        <v>3199</v>
      </c>
      <c r="BY342" s="404"/>
      <c r="BZ342" s="404"/>
      <c r="CA342" s="443" t="s">
        <v>1664</v>
      </c>
      <c r="CB342" s="409"/>
      <c r="CC342" s="407"/>
      <c r="CD342" s="407"/>
      <c r="CE342" s="407"/>
      <c r="CF342" s="407"/>
      <c r="CG342" s="407">
        <v>0.78100000000000003</v>
      </c>
      <c r="CH342" s="407">
        <v>2.3439999999999999</v>
      </c>
      <c r="CI342" s="407">
        <v>2.3439999999999999</v>
      </c>
      <c r="CJ342" s="407">
        <v>2.3439999999999999</v>
      </c>
      <c r="CK342" s="407">
        <v>2.3439999999999999</v>
      </c>
      <c r="CL342" s="407">
        <v>2.3439999999999999</v>
      </c>
      <c r="CM342" s="407">
        <v>2.3439999999999999</v>
      </c>
      <c r="CN342" s="407">
        <v>2.3439999999999999</v>
      </c>
      <c r="CO342" s="407">
        <v>2.3439999999999999</v>
      </c>
      <c r="CP342" s="407">
        <v>2.3439999999999999</v>
      </c>
      <c r="CQ342" s="407">
        <v>1.5629999999999999</v>
      </c>
      <c r="CR342" s="407"/>
      <c r="CS342" s="407"/>
      <c r="CT342" s="407"/>
      <c r="CU342" s="407"/>
      <c r="CV342" s="407"/>
      <c r="CW342" s="407"/>
      <c r="CX342" s="407"/>
      <c r="CY342" s="407"/>
      <c r="CZ342" s="407"/>
      <c r="DA342" s="407"/>
      <c r="DB342" s="407"/>
      <c r="DC342" s="407"/>
      <c r="DD342" s="407"/>
      <c r="DE342" s="404"/>
      <c r="DF342" s="404"/>
      <c r="DG342" s="404"/>
      <c r="DH342" s="404"/>
      <c r="DI342" s="404"/>
      <c r="DJ342" s="404"/>
      <c r="DK342" s="897"/>
    </row>
    <row r="343" spans="1:115" ht="38.25" x14ac:dyDescent="0.2">
      <c r="A343" s="295">
        <v>339</v>
      </c>
      <c r="B343" s="390" t="s">
        <v>540</v>
      </c>
      <c r="C343" s="424" t="s">
        <v>7473</v>
      </c>
      <c r="D343" s="391" t="s">
        <v>5036</v>
      </c>
      <c r="E343" s="704" t="s">
        <v>1954</v>
      </c>
      <c r="F343" s="393" t="s">
        <v>1352</v>
      </c>
      <c r="G343" s="393" t="s">
        <v>1671</v>
      </c>
      <c r="H343" s="393" t="s">
        <v>107</v>
      </c>
      <c r="I343" s="392"/>
      <c r="J343" s="392" t="s">
        <v>107</v>
      </c>
      <c r="K343" s="392"/>
      <c r="L343" s="392" t="s">
        <v>541</v>
      </c>
      <c r="M343" s="392" t="s">
        <v>3989</v>
      </c>
      <c r="N343" s="393" t="s">
        <v>44</v>
      </c>
      <c r="O343" s="393" t="s">
        <v>34</v>
      </c>
      <c r="P343" s="393" t="s">
        <v>34</v>
      </c>
      <c r="Q343" s="392" t="s">
        <v>1096</v>
      </c>
      <c r="R343" s="392"/>
      <c r="S343" s="392" t="s">
        <v>256</v>
      </c>
      <c r="T343" s="394">
        <v>24</v>
      </c>
      <c r="U343" s="395">
        <v>9.6879999999999988</v>
      </c>
      <c r="V343" s="395"/>
      <c r="W343" s="452">
        <v>40113</v>
      </c>
      <c r="X343" s="394">
        <v>28</v>
      </c>
      <c r="Y343" s="394"/>
      <c r="Z343" s="394"/>
      <c r="AA343" s="395"/>
      <c r="AB343" s="453"/>
      <c r="AC343" s="398">
        <v>2.784E-2</v>
      </c>
      <c r="AD343" s="398">
        <v>96.88</v>
      </c>
      <c r="AE343" s="393" t="s">
        <v>111</v>
      </c>
      <c r="AF343" s="417"/>
      <c r="AG343" s="417"/>
      <c r="AH343" s="417">
        <v>0</v>
      </c>
      <c r="AI343" s="394"/>
      <c r="AJ343" s="453"/>
      <c r="AK343" s="453"/>
      <c r="AL343" s="393"/>
      <c r="AM343" s="393"/>
      <c r="AN343" s="417"/>
      <c r="AO343" s="392"/>
      <c r="AP343" s="392" t="s">
        <v>55</v>
      </c>
      <c r="AQ343" s="392"/>
      <c r="AR343" s="392" t="s">
        <v>541</v>
      </c>
      <c r="AS343" s="479">
        <v>40397</v>
      </c>
      <c r="AT343" s="453"/>
      <c r="AU343" s="453"/>
      <c r="AV343" s="452">
        <v>40591</v>
      </c>
      <c r="AW343" s="452">
        <v>40849</v>
      </c>
      <c r="AX343" s="453"/>
      <c r="AY343" s="452">
        <v>40835</v>
      </c>
      <c r="AZ343" s="453"/>
      <c r="BA343" s="393"/>
      <c r="BB343" s="393" t="s">
        <v>3147</v>
      </c>
      <c r="BC343" s="393" t="b">
        <v>0</v>
      </c>
      <c r="BD343" s="393" t="s">
        <v>3147</v>
      </c>
      <c r="BE343" s="392"/>
      <c r="BF343" s="394">
        <v>9</v>
      </c>
      <c r="BG343" s="394">
        <v>4</v>
      </c>
      <c r="BH343" s="394">
        <v>8</v>
      </c>
      <c r="BI343" s="394"/>
      <c r="BJ343" s="394"/>
      <c r="BK343" s="394"/>
      <c r="BL343" s="444"/>
      <c r="BM343" s="392"/>
      <c r="BN343" s="393"/>
      <c r="BO343" s="393"/>
      <c r="BP343" s="399"/>
      <c r="BQ343" s="400"/>
      <c r="BR343" s="401"/>
      <c r="BS343" s="399">
        <v>0</v>
      </c>
      <c r="BT343" s="394"/>
      <c r="BU343" s="417"/>
      <c r="BV343" s="399"/>
      <c r="BW343" s="393"/>
      <c r="BX343" s="392" t="s">
        <v>4367</v>
      </c>
      <c r="BY343" s="393"/>
      <c r="BZ343" s="393"/>
      <c r="CA343" s="441"/>
      <c r="CB343" s="400"/>
      <c r="CC343" s="398"/>
      <c r="CD343" s="398"/>
      <c r="CE343" s="398"/>
      <c r="CF343" s="398"/>
      <c r="CG343" s="398"/>
      <c r="CH343" s="398"/>
      <c r="CI343" s="398"/>
      <c r="CJ343" s="398"/>
      <c r="CK343" s="398"/>
      <c r="CL343" s="398"/>
      <c r="CM343" s="398"/>
      <c r="CN343" s="398"/>
      <c r="CO343" s="398"/>
      <c r="CP343" s="398"/>
      <c r="CQ343" s="398"/>
      <c r="CR343" s="398"/>
      <c r="CS343" s="398"/>
      <c r="CT343" s="398"/>
      <c r="CU343" s="398"/>
      <c r="CV343" s="398"/>
      <c r="CW343" s="398"/>
      <c r="CX343" s="398"/>
      <c r="CY343" s="398"/>
      <c r="CZ343" s="398"/>
      <c r="DA343" s="398"/>
      <c r="DB343" s="398"/>
      <c r="DC343" s="398"/>
      <c r="DD343" s="398"/>
      <c r="DE343" s="393"/>
      <c r="DF343" s="393"/>
      <c r="DG343" s="393"/>
      <c r="DH343" s="393"/>
      <c r="DI343" s="393"/>
      <c r="DJ343" s="393"/>
      <c r="DK343" s="896" t="s">
        <v>9708</v>
      </c>
    </row>
    <row r="344" spans="1:115" ht="25.5" x14ac:dyDescent="0.2">
      <c r="A344" s="295">
        <v>340</v>
      </c>
      <c r="B344" s="390" t="s">
        <v>2640</v>
      </c>
      <c r="C344" s="390"/>
      <c r="D344" s="391" t="s">
        <v>542</v>
      </c>
      <c r="E344" s="704" t="s">
        <v>543</v>
      </c>
      <c r="F344" s="393" t="s">
        <v>1352</v>
      </c>
      <c r="G344" s="393" t="s">
        <v>1671</v>
      </c>
      <c r="H344" s="393" t="s">
        <v>107</v>
      </c>
      <c r="I344" s="392"/>
      <c r="J344" s="392"/>
      <c r="K344" s="392" t="s">
        <v>544</v>
      </c>
      <c r="L344" s="392" t="s">
        <v>541</v>
      </c>
      <c r="M344" s="392"/>
      <c r="N344" s="393" t="s">
        <v>44</v>
      </c>
      <c r="O344" s="393" t="s">
        <v>34</v>
      </c>
      <c r="P344" s="393" t="s">
        <v>34</v>
      </c>
      <c r="Q344" s="392" t="s">
        <v>1096</v>
      </c>
      <c r="R344" s="392" t="s">
        <v>3990</v>
      </c>
      <c r="S344" s="392" t="s">
        <v>256</v>
      </c>
      <c r="T344" s="394">
        <v>11</v>
      </c>
      <c r="U344" s="395">
        <v>5.0999999999999997E-2</v>
      </c>
      <c r="V344" s="395"/>
      <c r="W344" s="453"/>
      <c r="X344" s="394"/>
      <c r="Y344" s="394">
        <v>10</v>
      </c>
      <c r="Z344" s="394">
        <v>10</v>
      </c>
      <c r="AA344" s="395">
        <v>0</v>
      </c>
      <c r="AB344" s="452">
        <v>40877</v>
      </c>
      <c r="AC344" s="398">
        <v>4.3350000000000003E-3</v>
      </c>
      <c r="AD344" s="398">
        <v>0.51</v>
      </c>
      <c r="AE344" s="393" t="s">
        <v>111</v>
      </c>
      <c r="AF344" s="417"/>
      <c r="AG344" s="417"/>
      <c r="AH344" s="417"/>
      <c r="AI344" s="394"/>
      <c r="AJ344" s="453"/>
      <c r="AK344" s="453"/>
      <c r="AL344" s="393"/>
      <c r="AM344" s="393"/>
      <c r="AN344" s="417"/>
      <c r="AO344" s="392"/>
      <c r="AP344" s="392" t="s">
        <v>55</v>
      </c>
      <c r="AQ344" s="392"/>
      <c r="AR344" s="392" t="s">
        <v>541</v>
      </c>
      <c r="AS344" s="479">
        <v>40397</v>
      </c>
      <c r="AT344" s="453"/>
      <c r="AU344" s="453"/>
      <c r="AV344" s="453"/>
      <c r="AW344" s="453"/>
      <c r="AX344" s="453"/>
      <c r="AY344" s="453"/>
      <c r="AZ344" s="452">
        <v>40835</v>
      </c>
      <c r="BA344" s="393"/>
      <c r="BB344" s="393"/>
      <c r="BC344" s="393" t="b">
        <v>0</v>
      </c>
      <c r="BD344" s="393"/>
      <c r="BE344" s="392"/>
      <c r="BF344" s="394">
        <v>9</v>
      </c>
      <c r="BG344" s="394">
        <v>4</v>
      </c>
      <c r="BH344" s="394">
        <v>8</v>
      </c>
      <c r="BI344" s="394"/>
      <c r="BJ344" s="394"/>
      <c r="BK344" s="394"/>
      <c r="BL344" s="444" t="s">
        <v>6981</v>
      </c>
      <c r="BM344" s="392"/>
      <c r="BN344" s="393"/>
      <c r="BO344" s="393"/>
      <c r="BP344" s="399"/>
      <c r="BQ344" s="400"/>
      <c r="BR344" s="401"/>
      <c r="BS344" s="399"/>
      <c r="BT344" s="394"/>
      <c r="BU344" s="417">
        <v>0.67369999999999997</v>
      </c>
      <c r="BV344" s="399">
        <v>7.6280000000000001E-2</v>
      </c>
      <c r="BW344" s="393" t="s">
        <v>3117</v>
      </c>
      <c r="BX344" s="392" t="s">
        <v>4364</v>
      </c>
      <c r="BY344" s="393" t="s">
        <v>7224</v>
      </c>
      <c r="BZ344" s="393"/>
      <c r="CA344" s="441"/>
      <c r="CB344" s="400"/>
      <c r="CC344" s="398"/>
      <c r="CD344" s="398"/>
      <c r="CE344" s="398"/>
      <c r="CF344" s="398"/>
      <c r="CG344" s="398">
        <v>5.0999999999999997E-2</v>
      </c>
      <c r="CH344" s="398">
        <v>5.0999999999999997E-2</v>
      </c>
      <c r="CI344" s="398">
        <v>5.0999999999999997E-2</v>
      </c>
      <c r="CJ344" s="398">
        <v>5.0999999999999997E-2</v>
      </c>
      <c r="CK344" s="398">
        <v>5.0999999999999997E-2</v>
      </c>
      <c r="CL344" s="398">
        <v>5.0999999999999997E-2</v>
      </c>
      <c r="CM344" s="398">
        <v>5.0999999999999997E-2</v>
      </c>
      <c r="CN344" s="398">
        <v>5.0999999999999997E-2</v>
      </c>
      <c r="CO344" s="398">
        <v>5.0999999999999997E-2</v>
      </c>
      <c r="CP344" s="398">
        <v>5.0999999999999997E-2</v>
      </c>
      <c r="CQ344" s="398"/>
      <c r="CR344" s="398"/>
      <c r="CS344" s="398"/>
      <c r="CT344" s="398"/>
      <c r="CU344" s="398"/>
      <c r="CV344" s="398"/>
      <c r="CW344" s="398"/>
      <c r="CX344" s="398"/>
      <c r="CY344" s="398"/>
      <c r="CZ344" s="398"/>
      <c r="DA344" s="398"/>
      <c r="DB344" s="398"/>
      <c r="DC344" s="398"/>
      <c r="DD344" s="398"/>
      <c r="DE344" s="393"/>
      <c r="DF344" s="393"/>
      <c r="DG344" s="393"/>
      <c r="DH344" s="393"/>
      <c r="DI344" s="393"/>
      <c r="DJ344" s="393"/>
      <c r="DK344" s="897"/>
    </row>
    <row r="345" spans="1:115" ht="25.5" x14ac:dyDescent="0.2">
      <c r="A345" s="295">
        <v>341</v>
      </c>
      <c r="B345" s="390" t="s">
        <v>4368</v>
      </c>
      <c r="C345" s="390"/>
      <c r="D345" s="391" t="s">
        <v>4369</v>
      </c>
      <c r="E345" s="704" t="s">
        <v>4370</v>
      </c>
      <c r="F345" s="393" t="s">
        <v>1352</v>
      </c>
      <c r="G345" s="393" t="s">
        <v>1671</v>
      </c>
      <c r="H345" s="393" t="s">
        <v>107</v>
      </c>
      <c r="I345" s="392"/>
      <c r="J345" s="392"/>
      <c r="K345" s="392" t="s">
        <v>4371</v>
      </c>
      <c r="L345" s="392" t="s">
        <v>541</v>
      </c>
      <c r="M345" s="392"/>
      <c r="N345" s="393" t="s">
        <v>44</v>
      </c>
      <c r="O345" s="393" t="s">
        <v>34</v>
      </c>
      <c r="P345" s="393" t="s">
        <v>34</v>
      </c>
      <c r="Q345" s="392" t="s">
        <v>1096</v>
      </c>
      <c r="R345" s="392" t="s">
        <v>4372</v>
      </c>
      <c r="S345" s="392" t="s">
        <v>256</v>
      </c>
      <c r="T345" s="394">
        <v>1</v>
      </c>
      <c r="U345" s="395">
        <v>0.45600000000000002</v>
      </c>
      <c r="V345" s="395"/>
      <c r="W345" s="453"/>
      <c r="X345" s="394"/>
      <c r="Y345" s="394">
        <v>10</v>
      </c>
      <c r="Z345" s="394">
        <v>10</v>
      </c>
      <c r="AA345" s="395">
        <v>0</v>
      </c>
      <c r="AB345" s="452">
        <v>41260</v>
      </c>
      <c r="AC345" s="398">
        <v>1.8380000000000001E-2</v>
      </c>
      <c r="AD345" s="398">
        <v>4.5600000000000005</v>
      </c>
      <c r="AE345" s="393" t="s">
        <v>111</v>
      </c>
      <c r="AF345" s="417"/>
      <c r="AG345" s="417"/>
      <c r="AH345" s="417"/>
      <c r="AI345" s="394"/>
      <c r="AJ345" s="453"/>
      <c r="AK345" s="453"/>
      <c r="AL345" s="393"/>
      <c r="AM345" s="393"/>
      <c r="AN345" s="417"/>
      <c r="AO345" s="392"/>
      <c r="AP345" s="392"/>
      <c r="AQ345" s="392"/>
      <c r="AR345" s="392" t="s">
        <v>541</v>
      </c>
      <c r="AS345" s="480"/>
      <c r="AT345" s="453"/>
      <c r="AU345" s="453"/>
      <c r="AV345" s="453"/>
      <c r="AW345" s="453"/>
      <c r="AX345" s="453"/>
      <c r="AY345" s="453"/>
      <c r="AZ345" s="452">
        <v>41260</v>
      </c>
      <c r="BA345" s="393"/>
      <c r="BB345" s="393"/>
      <c r="BC345" s="393" t="b">
        <v>0</v>
      </c>
      <c r="BD345" s="393"/>
      <c r="BE345" s="392"/>
      <c r="BF345" s="394">
        <v>9</v>
      </c>
      <c r="BG345" s="394">
        <v>2</v>
      </c>
      <c r="BH345" s="394">
        <v>8</v>
      </c>
      <c r="BI345" s="394"/>
      <c r="BJ345" s="394"/>
      <c r="BK345" s="394"/>
      <c r="BL345" s="444" t="s">
        <v>6981</v>
      </c>
      <c r="BM345" s="392"/>
      <c r="BN345" s="393"/>
      <c r="BO345" s="393"/>
      <c r="BP345" s="399"/>
      <c r="BQ345" s="400"/>
      <c r="BR345" s="401"/>
      <c r="BS345" s="399"/>
      <c r="BT345" s="394"/>
      <c r="BU345" s="417">
        <v>0.67369999999999997</v>
      </c>
      <c r="BV345" s="399">
        <v>0.67700000000000005</v>
      </c>
      <c r="BW345" s="393" t="s">
        <v>3117</v>
      </c>
      <c r="BX345" s="392" t="s">
        <v>4364</v>
      </c>
      <c r="BY345" s="393" t="s">
        <v>7224</v>
      </c>
      <c r="BZ345" s="393"/>
      <c r="CA345" s="441"/>
      <c r="CB345" s="400"/>
      <c r="CC345" s="398"/>
      <c r="CD345" s="398"/>
      <c r="CE345" s="398"/>
      <c r="CF345" s="398"/>
      <c r="CG345" s="398"/>
      <c r="CH345" s="398">
        <v>1.8380000000000001E-2</v>
      </c>
      <c r="CI345" s="398">
        <v>0.45600000000000002</v>
      </c>
      <c r="CJ345" s="398">
        <v>0.45600000000000002</v>
      </c>
      <c r="CK345" s="398">
        <v>0.45600000000000002</v>
      </c>
      <c r="CL345" s="398">
        <v>0.45600000000000002</v>
      </c>
      <c r="CM345" s="398">
        <v>0.45600000000000002</v>
      </c>
      <c r="CN345" s="398">
        <v>0.45600000000000002</v>
      </c>
      <c r="CO345" s="398">
        <v>0.45600000000000002</v>
      </c>
      <c r="CP345" s="398">
        <v>0.45600000000000002</v>
      </c>
      <c r="CQ345" s="398">
        <v>0.45600000000000002</v>
      </c>
      <c r="CR345" s="398">
        <v>0.43762000000000001</v>
      </c>
      <c r="CS345" s="398"/>
      <c r="CT345" s="398"/>
      <c r="CU345" s="398"/>
      <c r="CV345" s="398"/>
      <c r="CW345" s="398"/>
      <c r="CX345" s="398"/>
      <c r="CY345" s="398"/>
      <c r="CZ345" s="398"/>
      <c r="DA345" s="398"/>
      <c r="DB345" s="398"/>
      <c r="DC345" s="398"/>
      <c r="DD345" s="398"/>
      <c r="DE345" s="393"/>
      <c r="DF345" s="393"/>
      <c r="DG345" s="393"/>
      <c r="DH345" s="393"/>
      <c r="DI345" s="393"/>
      <c r="DJ345" s="393"/>
      <c r="DK345" s="897"/>
    </row>
    <row r="346" spans="1:115" ht="25.5" x14ac:dyDescent="0.2">
      <c r="A346" s="295">
        <v>342</v>
      </c>
      <c r="B346" s="390" t="s">
        <v>4373</v>
      </c>
      <c r="C346" s="390"/>
      <c r="D346" s="391" t="s">
        <v>4374</v>
      </c>
      <c r="E346" s="704" t="s">
        <v>4375</v>
      </c>
      <c r="F346" s="393" t="s">
        <v>1352</v>
      </c>
      <c r="G346" s="393" t="s">
        <v>1671</v>
      </c>
      <c r="H346" s="393" t="s">
        <v>107</v>
      </c>
      <c r="I346" s="392"/>
      <c r="J346" s="392"/>
      <c r="K346" s="392" t="s">
        <v>957</v>
      </c>
      <c r="L346" s="392" t="s">
        <v>541</v>
      </c>
      <c r="M346" s="392"/>
      <c r="N346" s="393" t="s">
        <v>44</v>
      </c>
      <c r="O346" s="393" t="s">
        <v>34</v>
      </c>
      <c r="P346" s="393" t="s">
        <v>34</v>
      </c>
      <c r="Q346" s="392" t="s">
        <v>1096</v>
      </c>
      <c r="R346" s="392" t="s">
        <v>4372</v>
      </c>
      <c r="S346" s="392" t="s">
        <v>256</v>
      </c>
      <c r="T346" s="394">
        <v>1</v>
      </c>
      <c r="U346" s="395">
        <v>4.8000000000000001E-2</v>
      </c>
      <c r="V346" s="395"/>
      <c r="W346" s="453"/>
      <c r="X346" s="394"/>
      <c r="Y346" s="394">
        <v>10</v>
      </c>
      <c r="Z346" s="394">
        <v>10</v>
      </c>
      <c r="AA346" s="395">
        <v>0</v>
      </c>
      <c r="AB346" s="452">
        <v>41260</v>
      </c>
      <c r="AC346" s="398">
        <v>1.9E-3</v>
      </c>
      <c r="AD346" s="398">
        <v>0.48</v>
      </c>
      <c r="AE346" s="393" t="s">
        <v>111</v>
      </c>
      <c r="AF346" s="417"/>
      <c r="AG346" s="417"/>
      <c r="AH346" s="417"/>
      <c r="AI346" s="394"/>
      <c r="AJ346" s="453"/>
      <c r="AK346" s="453"/>
      <c r="AL346" s="393"/>
      <c r="AM346" s="393"/>
      <c r="AN346" s="417"/>
      <c r="AO346" s="392"/>
      <c r="AP346" s="392"/>
      <c r="AQ346" s="392"/>
      <c r="AR346" s="392" t="s">
        <v>541</v>
      </c>
      <c r="AS346" s="480"/>
      <c r="AT346" s="453"/>
      <c r="AU346" s="453"/>
      <c r="AV346" s="453"/>
      <c r="AW346" s="453"/>
      <c r="AX346" s="453"/>
      <c r="AY346" s="453"/>
      <c r="AZ346" s="452">
        <v>41260</v>
      </c>
      <c r="BA346" s="393"/>
      <c r="BB346" s="393"/>
      <c r="BC346" s="393" t="b">
        <v>0</v>
      </c>
      <c r="BD346" s="393"/>
      <c r="BE346" s="392"/>
      <c r="BF346" s="394">
        <v>9</v>
      </c>
      <c r="BG346" s="394">
        <v>2</v>
      </c>
      <c r="BH346" s="394">
        <v>8</v>
      </c>
      <c r="BI346" s="394"/>
      <c r="BJ346" s="394"/>
      <c r="BK346" s="394"/>
      <c r="BL346" s="444" t="s">
        <v>6981</v>
      </c>
      <c r="BM346" s="392"/>
      <c r="BN346" s="393"/>
      <c r="BO346" s="393"/>
      <c r="BP346" s="399"/>
      <c r="BQ346" s="400"/>
      <c r="BR346" s="401"/>
      <c r="BS346" s="399"/>
      <c r="BT346" s="394"/>
      <c r="BU346" s="417">
        <v>0.67369999999999997</v>
      </c>
      <c r="BV346" s="399">
        <v>7.2340000000000002E-2</v>
      </c>
      <c r="BW346" s="393" t="s">
        <v>3117</v>
      </c>
      <c r="BX346" s="392" t="s">
        <v>4364</v>
      </c>
      <c r="BY346" s="393" t="s">
        <v>7224</v>
      </c>
      <c r="BZ346" s="393"/>
      <c r="CA346" s="441"/>
      <c r="CB346" s="400"/>
      <c r="CC346" s="398"/>
      <c r="CD346" s="398"/>
      <c r="CE346" s="398"/>
      <c r="CF346" s="398"/>
      <c r="CG346" s="398"/>
      <c r="CH346" s="398">
        <v>1.9E-3</v>
      </c>
      <c r="CI346" s="398">
        <v>4.8000000000000001E-2</v>
      </c>
      <c r="CJ346" s="398">
        <v>4.8000000000000001E-2</v>
      </c>
      <c r="CK346" s="398">
        <v>4.8000000000000001E-2</v>
      </c>
      <c r="CL346" s="398">
        <v>4.8000000000000001E-2</v>
      </c>
      <c r="CM346" s="398">
        <v>4.8000000000000001E-2</v>
      </c>
      <c r="CN346" s="398">
        <v>4.8000000000000001E-2</v>
      </c>
      <c r="CO346" s="398">
        <v>4.8000000000000001E-2</v>
      </c>
      <c r="CP346" s="398">
        <v>4.8000000000000001E-2</v>
      </c>
      <c r="CQ346" s="398">
        <v>4.8000000000000001E-2</v>
      </c>
      <c r="CR346" s="398">
        <v>4.7100000000000003E-2</v>
      </c>
      <c r="CS346" s="398"/>
      <c r="CT346" s="398"/>
      <c r="CU346" s="398"/>
      <c r="CV346" s="398"/>
      <c r="CW346" s="398"/>
      <c r="CX346" s="398"/>
      <c r="CY346" s="398"/>
      <c r="CZ346" s="398"/>
      <c r="DA346" s="398"/>
      <c r="DB346" s="398"/>
      <c r="DC346" s="398"/>
      <c r="DD346" s="398"/>
      <c r="DE346" s="393"/>
      <c r="DF346" s="393"/>
      <c r="DG346" s="393"/>
      <c r="DH346" s="393"/>
      <c r="DI346" s="393"/>
      <c r="DJ346" s="393"/>
      <c r="DK346" s="897"/>
    </row>
    <row r="347" spans="1:115" ht="25.5" x14ac:dyDescent="0.2">
      <c r="A347" s="295">
        <v>343</v>
      </c>
      <c r="B347" s="390" t="s">
        <v>4376</v>
      </c>
      <c r="C347" s="390"/>
      <c r="D347" s="391" t="s">
        <v>4377</v>
      </c>
      <c r="E347" s="704" t="s">
        <v>4378</v>
      </c>
      <c r="F347" s="393" t="s">
        <v>1352</v>
      </c>
      <c r="G347" s="393" t="s">
        <v>1671</v>
      </c>
      <c r="H347" s="393" t="s">
        <v>107</v>
      </c>
      <c r="I347" s="392"/>
      <c r="J347" s="392"/>
      <c r="K347" s="392" t="s">
        <v>4379</v>
      </c>
      <c r="L347" s="392" t="s">
        <v>541</v>
      </c>
      <c r="M347" s="392"/>
      <c r="N347" s="393" t="s">
        <v>44</v>
      </c>
      <c r="O347" s="393" t="s">
        <v>34</v>
      </c>
      <c r="P347" s="393" t="s">
        <v>34</v>
      </c>
      <c r="Q347" s="392" t="s">
        <v>1096</v>
      </c>
      <c r="R347" s="392" t="s">
        <v>4372</v>
      </c>
      <c r="S347" s="392" t="s">
        <v>256</v>
      </c>
      <c r="T347" s="394">
        <v>1</v>
      </c>
      <c r="U347" s="395">
        <v>2.5999999999999999E-2</v>
      </c>
      <c r="V347" s="395"/>
      <c r="W347" s="453"/>
      <c r="X347" s="394"/>
      <c r="Y347" s="394">
        <v>10</v>
      </c>
      <c r="Z347" s="394">
        <v>10</v>
      </c>
      <c r="AA347" s="395">
        <v>0</v>
      </c>
      <c r="AB347" s="452">
        <v>41260</v>
      </c>
      <c r="AC347" s="398">
        <v>1E-3</v>
      </c>
      <c r="AD347" s="398">
        <v>0.26</v>
      </c>
      <c r="AE347" s="393" t="s">
        <v>111</v>
      </c>
      <c r="AF347" s="417"/>
      <c r="AG347" s="417"/>
      <c r="AH347" s="417"/>
      <c r="AI347" s="394"/>
      <c r="AJ347" s="453"/>
      <c r="AK347" s="453"/>
      <c r="AL347" s="393"/>
      <c r="AM347" s="393"/>
      <c r="AN347" s="417"/>
      <c r="AO347" s="392"/>
      <c r="AP347" s="392"/>
      <c r="AQ347" s="392"/>
      <c r="AR347" s="392" t="s">
        <v>541</v>
      </c>
      <c r="AS347" s="480"/>
      <c r="AT347" s="453"/>
      <c r="AU347" s="453"/>
      <c r="AV347" s="453"/>
      <c r="AW347" s="453"/>
      <c r="AX347" s="453"/>
      <c r="AY347" s="453"/>
      <c r="AZ347" s="452">
        <v>41260</v>
      </c>
      <c r="BA347" s="393"/>
      <c r="BB347" s="393"/>
      <c r="BC347" s="393" t="b">
        <v>0</v>
      </c>
      <c r="BD347" s="393"/>
      <c r="BE347" s="392"/>
      <c r="BF347" s="394">
        <v>9</v>
      </c>
      <c r="BG347" s="394">
        <v>2</v>
      </c>
      <c r="BH347" s="394">
        <v>8</v>
      </c>
      <c r="BI347" s="394"/>
      <c r="BJ347" s="394"/>
      <c r="BK347" s="394"/>
      <c r="BL347" s="444" t="s">
        <v>6981</v>
      </c>
      <c r="BM347" s="392"/>
      <c r="BN347" s="393"/>
      <c r="BO347" s="393"/>
      <c r="BP347" s="399"/>
      <c r="BQ347" s="400"/>
      <c r="BR347" s="401"/>
      <c r="BS347" s="399"/>
      <c r="BT347" s="394"/>
      <c r="BU347" s="417">
        <v>0.67369999999999997</v>
      </c>
      <c r="BV347" s="399">
        <v>3.9199999999999999E-2</v>
      </c>
      <c r="BW347" s="393" t="s">
        <v>3117</v>
      </c>
      <c r="BX347" s="392" t="s">
        <v>4364</v>
      </c>
      <c r="BY347" s="393" t="s">
        <v>7224</v>
      </c>
      <c r="BZ347" s="393"/>
      <c r="CA347" s="441"/>
      <c r="CB347" s="400"/>
      <c r="CC347" s="398"/>
      <c r="CD347" s="398"/>
      <c r="CE347" s="398"/>
      <c r="CF347" s="398"/>
      <c r="CG347" s="398"/>
      <c r="CH347" s="398">
        <v>1E-3</v>
      </c>
      <c r="CI347" s="398">
        <v>2.5999999999999999E-2</v>
      </c>
      <c r="CJ347" s="398">
        <v>2.5999999999999999E-2</v>
      </c>
      <c r="CK347" s="398">
        <v>2.5999999999999999E-2</v>
      </c>
      <c r="CL347" s="398">
        <v>2.5999999999999999E-2</v>
      </c>
      <c r="CM347" s="398">
        <v>2.5999999999999999E-2</v>
      </c>
      <c r="CN347" s="398">
        <v>2.5999999999999999E-2</v>
      </c>
      <c r="CO347" s="398">
        <v>2.5999999999999999E-2</v>
      </c>
      <c r="CP347" s="398">
        <v>2.5999999999999999E-2</v>
      </c>
      <c r="CQ347" s="398">
        <v>2.5999999999999999E-2</v>
      </c>
      <c r="CR347" s="398">
        <v>2.5000000000000001E-2</v>
      </c>
      <c r="CS347" s="398"/>
      <c r="CT347" s="398"/>
      <c r="CU347" s="398"/>
      <c r="CV347" s="398"/>
      <c r="CW347" s="398"/>
      <c r="CX347" s="398"/>
      <c r="CY347" s="398"/>
      <c r="CZ347" s="398"/>
      <c r="DA347" s="398"/>
      <c r="DB347" s="398"/>
      <c r="DC347" s="398"/>
      <c r="DD347" s="398"/>
      <c r="DE347" s="393"/>
      <c r="DF347" s="393"/>
      <c r="DG347" s="393"/>
      <c r="DH347" s="393"/>
      <c r="DI347" s="393"/>
      <c r="DJ347" s="393"/>
      <c r="DK347" s="897"/>
    </row>
    <row r="348" spans="1:115" ht="25.5" x14ac:dyDescent="0.2">
      <c r="A348" s="295">
        <v>344</v>
      </c>
      <c r="B348" s="390" t="s">
        <v>4380</v>
      </c>
      <c r="C348" s="390"/>
      <c r="D348" s="391" t="s">
        <v>4381</v>
      </c>
      <c r="E348" s="704" t="s">
        <v>4382</v>
      </c>
      <c r="F348" s="393" t="s">
        <v>1352</v>
      </c>
      <c r="G348" s="393" t="s">
        <v>1671</v>
      </c>
      <c r="H348" s="393" t="s">
        <v>107</v>
      </c>
      <c r="I348" s="392"/>
      <c r="J348" s="392"/>
      <c r="K348" s="392" t="s">
        <v>299</v>
      </c>
      <c r="L348" s="392" t="s">
        <v>541</v>
      </c>
      <c r="M348" s="392"/>
      <c r="N348" s="393" t="s">
        <v>44</v>
      </c>
      <c r="O348" s="393" t="s">
        <v>34</v>
      </c>
      <c r="P348" s="393" t="s">
        <v>34</v>
      </c>
      <c r="Q348" s="392" t="s">
        <v>1096</v>
      </c>
      <c r="R348" s="392" t="s">
        <v>4372</v>
      </c>
      <c r="S348" s="392" t="s">
        <v>256</v>
      </c>
      <c r="T348" s="394">
        <v>1</v>
      </c>
      <c r="U348" s="395">
        <v>3.7999999999999999E-2</v>
      </c>
      <c r="V348" s="395"/>
      <c r="W348" s="453"/>
      <c r="X348" s="394"/>
      <c r="Y348" s="394">
        <v>10</v>
      </c>
      <c r="Z348" s="394">
        <v>10</v>
      </c>
      <c r="AA348" s="395">
        <v>0</v>
      </c>
      <c r="AB348" s="452">
        <v>41260</v>
      </c>
      <c r="AC348" s="398">
        <v>1.5E-3</v>
      </c>
      <c r="AD348" s="398">
        <v>0.38</v>
      </c>
      <c r="AE348" s="393" t="s">
        <v>111</v>
      </c>
      <c r="AF348" s="417"/>
      <c r="AG348" s="417"/>
      <c r="AH348" s="417"/>
      <c r="AI348" s="394"/>
      <c r="AJ348" s="453"/>
      <c r="AK348" s="453"/>
      <c r="AL348" s="393"/>
      <c r="AM348" s="393"/>
      <c r="AN348" s="417"/>
      <c r="AO348" s="392"/>
      <c r="AP348" s="392"/>
      <c r="AQ348" s="392"/>
      <c r="AR348" s="392" t="s">
        <v>541</v>
      </c>
      <c r="AS348" s="480"/>
      <c r="AT348" s="453"/>
      <c r="AU348" s="453"/>
      <c r="AV348" s="453"/>
      <c r="AW348" s="453"/>
      <c r="AX348" s="453"/>
      <c r="AY348" s="453"/>
      <c r="AZ348" s="452">
        <v>41260</v>
      </c>
      <c r="BA348" s="393"/>
      <c r="BB348" s="393"/>
      <c r="BC348" s="393" t="b">
        <v>0</v>
      </c>
      <c r="BD348" s="393"/>
      <c r="BE348" s="392"/>
      <c r="BF348" s="394">
        <v>9</v>
      </c>
      <c r="BG348" s="394">
        <v>2</v>
      </c>
      <c r="BH348" s="394">
        <v>8</v>
      </c>
      <c r="BI348" s="394"/>
      <c r="BJ348" s="394"/>
      <c r="BK348" s="394"/>
      <c r="BL348" s="444" t="s">
        <v>6981</v>
      </c>
      <c r="BM348" s="392"/>
      <c r="BN348" s="393"/>
      <c r="BO348" s="393"/>
      <c r="BP348" s="399"/>
      <c r="BQ348" s="400"/>
      <c r="BR348" s="401"/>
      <c r="BS348" s="399"/>
      <c r="BT348" s="394"/>
      <c r="BU348" s="417">
        <v>0.67369999999999997</v>
      </c>
      <c r="BV348" s="399">
        <v>5.7000000000000002E-2</v>
      </c>
      <c r="BW348" s="393" t="s">
        <v>3117</v>
      </c>
      <c r="BX348" s="392" t="s">
        <v>4364</v>
      </c>
      <c r="BY348" s="393" t="s">
        <v>7224</v>
      </c>
      <c r="BZ348" s="393"/>
      <c r="CA348" s="441"/>
      <c r="CB348" s="400"/>
      <c r="CC348" s="398"/>
      <c r="CD348" s="398"/>
      <c r="CE348" s="398"/>
      <c r="CF348" s="398"/>
      <c r="CG348" s="398"/>
      <c r="CH348" s="398">
        <v>1.5E-3</v>
      </c>
      <c r="CI348" s="398">
        <v>3.7999999999999999E-2</v>
      </c>
      <c r="CJ348" s="398">
        <v>3.7999999999999999E-2</v>
      </c>
      <c r="CK348" s="398">
        <v>3.7999999999999999E-2</v>
      </c>
      <c r="CL348" s="398">
        <v>3.7999999999999999E-2</v>
      </c>
      <c r="CM348" s="398">
        <v>3.7999999999999999E-2</v>
      </c>
      <c r="CN348" s="398">
        <v>3.7999999999999999E-2</v>
      </c>
      <c r="CO348" s="398">
        <v>3.7999999999999999E-2</v>
      </c>
      <c r="CP348" s="398">
        <v>3.7999999999999999E-2</v>
      </c>
      <c r="CQ348" s="398">
        <v>3.7999999999999999E-2</v>
      </c>
      <c r="CR348" s="398">
        <v>3.6499999999999998E-2</v>
      </c>
      <c r="CS348" s="398"/>
      <c r="CT348" s="398"/>
      <c r="CU348" s="398"/>
      <c r="CV348" s="398"/>
      <c r="CW348" s="398"/>
      <c r="CX348" s="398"/>
      <c r="CY348" s="398"/>
      <c r="CZ348" s="398"/>
      <c r="DA348" s="398"/>
      <c r="DB348" s="398"/>
      <c r="DC348" s="398"/>
      <c r="DD348" s="398"/>
      <c r="DE348" s="393"/>
      <c r="DF348" s="393"/>
      <c r="DG348" s="393"/>
      <c r="DH348" s="393"/>
      <c r="DI348" s="393"/>
      <c r="DJ348" s="393"/>
      <c r="DK348" s="897"/>
    </row>
    <row r="349" spans="1:115" ht="25.5" x14ac:dyDescent="0.2">
      <c r="A349" s="295">
        <v>345</v>
      </c>
      <c r="B349" s="390" t="s">
        <v>4383</v>
      </c>
      <c r="C349" s="390"/>
      <c r="D349" s="391" t="s">
        <v>4384</v>
      </c>
      <c r="E349" s="704" t="s">
        <v>4385</v>
      </c>
      <c r="F349" s="393" t="s">
        <v>1352</v>
      </c>
      <c r="G349" s="393" t="s">
        <v>1671</v>
      </c>
      <c r="H349" s="393" t="s">
        <v>107</v>
      </c>
      <c r="I349" s="392"/>
      <c r="J349" s="392"/>
      <c r="K349" s="392" t="s">
        <v>299</v>
      </c>
      <c r="L349" s="392" t="s">
        <v>541</v>
      </c>
      <c r="M349" s="392"/>
      <c r="N349" s="393" t="s">
        <v>44</v>
      </c>
      <c r="O349" s="393" t="s">
        <v>34</v>
      </c>
      <c r="P349" s="393" t="s">
        <v>34</v>
      </c>
      <c r="Q349" s="392" t="s">
        <v>1096</v>
      </c>
      <c r="R349" s="392" t="s">
        <v>4372</v>
      </c>
      <c r="S349" s="392" t="s">
        <v>256</v>
      </c>
      <c r="T349" s="394">
        <v>1</v>
      </c>
      <c r="U349" s="395">
        <v>1.7999999999999999E-2</v>
      </c>
      <c r="V349" s="395"/>
      <c r="W349" s="453"/>
      <c r="X349" s="394"/>
      <c r="Y349" s="394">
        <v>10</v>
      </c>
      <c r="Z349" s="394">
        <v>10</v>
      </c>
      <c r="AA349" s="395">
        <v>0</v>
      </c>
      <c r="AB349" s="452">
        <v>41260</v>
      </c>
      <c r="AC349" s="398">
        <v>7.2499999999999995E-4</v>
      </c>
      <c r="AD349" s="398">
        <v>0.18</v>
      </c>
      <c r="AE349" s="393" t="s">
        <v>111</v>
      </c>
      <c r="AF349" s="417"/>
      <c r="AG349" s="417"/>
      <c r="AH349" s="417"/>
      <c r="AI349" s="394"/>
      <c r="AJ349" s="453"/>
      <c r="AK349" s="453"/>
      <c r="AL349" s="393"/>
      <c r="AM349" s="393"/>
      <c r="AN349" s="417"/>
      <c r="AO349" s="392"/>
      <c r="AP349" s="392"/>
      <c r="AQ349" s="392"/>
      <c r="AR349" s="392" t="s">
        <v>541</v>
      </c>
      <c r="AS349" s="480"/>
      <c r="AT349" s="453"/>
      <c r="AU349" s="453"/>
      <c r="AV349" s="453"/>
      <c r="AW349" s="453"/>
      <c r="AX349" s="453"/>
      <c r="AY349" s="453"/>
      <c r="AZ349" s="452">
        <v>41260</v>
      </c>
      <c r="BA349" s="393"/>
      <c r="BB349" s="393"/>
      <c r="BC349" s="393" t="b">
        <v>0</v>
      </c>
      <c r="BD349" s="393"/>
      <c r="BE349" s="392"/>
      <c r="BF349" s="394">
        <v>9</v>
      </c>
      <c r="BG349" s="394">
        <v>2</v>
      </c>
      <c r="BH349" s="394">
        <v>8</v>
      </c>
      <c r="BI349" s="394"/>
      <c r="BJ349" s="394"/>
      <c r="BK349" s="394"/>
      <c r="BL349" s="444" t="s">
        <v>6981</v>
      </c>
      <c r="BM349" s="392"/>
      <c r="BN349" s="393"/>
      <c r="BO349" s="393"/>
      <c r="BP349" s="399"/>
      <c r="BQ349" s="400"/>
      <c r="BR349" s="401"/>
      <c r="BS349" s="399"/>
      <c r="BT349" s="394"/>
      <c r="BU349" s="417">
        <v>0.67369999999999997</v>
      </c>
      <c r="BV349" s="399">
        <v>2.6599999999999999E-2</v>
      </c>
      <c r="BW349" s="393" t="s">
        <v>3117</v>
      </c>
      <c r="BX349" s="392" t="s">
        <v>4364</v>
      </c>
      <c r="BY349" s="393" t="s">
        <v>7224</v>
      </c>
      <c r="BZ349" s="393"/>
      <c r="CA349" s="441"/>
      <c r="CB349" s="400"/>
      <c r="CC349" s="398"/>
      <c r="CD349" s="398"/>
      <c r="CE349" s="398"/>
      <c r="CF349" s="398"/>
      <c r="CG349" s="398"/>
      <c r="CH349" s="398">
        <v>7.2499999999999995E-4</v>
      </c>
      <c r="CI349" s="398">
        <v>1.7999999999999999E-2</v>
      </c>
      <c r="CJ349" s="398">
        <v>1.7999999999999999E-2</v>
      </c>
      <c r="CK349" s="398">
        <v>1.7999999999999999E-2</v>
      </c>
      <c r="CL349" s="398">
        <v>1.7999999999999999E-2</v>
      </c>
      <c r="CM349" s="398">
        <v>1.7999999999999999E-2</v>
      </c>
      <c r="CN349" s="398">
        <v>1.7999999999999999E-2</v>
      </c>
      <c r="CO349" s="398">
        <v>1.7999999999999999E-2</v>
      </c>
      <c r="CP349" s="398">
        <v>1.7999999999999999E-2</v>
      </c>
      <c r="CQ349" s="398">
        <v>1.7999999999999999E-2</v>
      </c>
      <c r="CR349" s="398">
        <v>1.7274999999999999E-2</v>
      </c>
      <c r="CS349" s="398"/>
      <c r="CT349" s="398"/>
      <c r="CU349" s="398"/>
      <c r="CV349" s="398"/>
      <c r="CW349" s="398"/>
      <c r="CX349" s="398"/>
      <c r="CY349" s="398"/>
      <c r="CZ349" s="398"/>
      <c r="DA349" s="398"/>
      <c r="DB349" s="398"/>
      <c r="DC349" s="398"/>
      <c r="DD349" s="398"/>
      <c r="DE349" s="393"/>
      <c r="DF349" s="393"/>
      <c r="DG349" s="393"/>
      <c r="DH349" s="393"/>
      <c r="DI349" s="393"/>
      <c r="DJ349" s="393"/>
      <c r="DK349" s="897"/>
    </row>
    <row r="350" spans="1:115" ht="25.5" x14ac:dyDescent="0.2">
      <c r="A350" s="295">
        <v>346</v>
      </c>
      <c r="B350" s="390" t="s">
        <v>6650</v>
      </c>
      <c r="C350" s="390"/>
      <c r="D350" s="391" t="s">
        <v>6651</v>
      </c>
      <c r="E350" s="704" t="s">
        <v>6652</v>
      </c>
      <c r="F350" s="393" t="s">
        <v>1352</v>
      </c>
      <c r="G350" s="393" t="s">
        <v>1671</v>
      </c>
      <c r="H350" s="393" t="s">
        <v>107</v>
      </c>
      <c r="I350" s="392"/>
      <c r="J350" s="392"/>
      <c r="K350" s="392" t="s">
        <v>6653</v>
      </c>
      <c r="L350" s="392" t="s">
        <v>541</v>
      </c>
      <c r="M350" s="392"/>
      <c r="N350" s="393" t="s">
        <v>44</v>
      </c>
      <c r="O350" s="393" t="s">
        <v>34</v>
      </c>
      <c r="P350" s="393" t="s">
        <v>34</v>
      </c>
      <c r="Q350" s="392" t="s">
        <v>1096</v>
      </c>
      <c r="R350" s="392" t="s">
        <v>4372</v>
      </c>
      <c r="S350" s="392" t="s">
        <v>256</v>
      </c>
      <c r="T350" s="394">
        <v>1</v>
      </c>
      <c r="U350" s="395">
        <v>0.121</v>
      </c>
      <c r="V350" s="395"/>
      <c r="W350" s="453"/>
      <c r="X350" s="394"/>
      <c r="Y350" s="394">
        <v>10</v>
      </c>
      <c r="Z350" s="394">
        <v>10</v>
      </c>
      <c r="AA350" s="395">
        <v>0</v>
      </c>
      <c r="AB350" s="452">
        <v>41992</v>
      </c>
      <c r="AC350" s="398"/>
      <c r="AD350" s="398">
        <v>1.21</v>
      </c>
      <c r="AE350" s="393" t="s">
        <v>111</v>
      </c>
      <c r="AF350" s="417"/>
      <c r="AG350" s="417"/>
      <c r="AH350" s="417"/>
      <c r="AI350" s="394"/>
      <c r="AJ350" s="453"/>
      <c r="AK350" s="453"/>
      <c r="AL350" s="393"/>
      <c r="AM350" s="393"/>
      <c r="AN350" s="417"/>
      <c r="AO350" s="392"/>
      <c r="AP350" s="392"/>
      <c r="AQ350" s="392"/>
      <c r="AR350" s="392" t="s">
        <v>541</v>
      </c>
      <c r="AS350" s="480"/>
      <c r="AT350" s="453"/>
      <c r="AU350" s="453"/>
      <c r="AV350" s="453"/>
      <c r="AW350" s="453"/>
      <c r="AX350" s="453"/>
      <c r="AY350" s="453"/>
      <c r="AZ350" s="452">
        <v>41992</v>
      </c>
      <c r="BA350" s="393"/>
      <c r="BB350" s="393"/>
      <c r="BC350" s="393" t="b">
        <v>0</v>
      </c>
      <c r="BD350" s="393"/>
      <c r="BE350" s="392"/>
      <c r="BF350" s="394">
        <v>9</v>
      </c>
      <c r="BG350" s="394">
        <v>2</v>
      </c>
      <c r="BH350" s="394">
        <v>8</v>
      </c>
      <c r="BI350" s="394"/>
      <c r="BJ350" s="394"/>
      <c r="BK350" s="394"/>
      <c r="BL350" s="444" t="s">
        <v>6981</v>
      </c>
      <c r="BM350" s="392"/>
      <c r="BN350" s="393"/>
      <c r="BO350" s="393"/>
      <c r="BP350" s="399"/>
      <c r="BQ350" s="400"/>
      <c r="BR350" s="401"/>
      <c r="BS350" s="399"/>
      <c r="BT350" s="394"/>
      <c r="BU350" s="417">
        <v>0.67369999999999997</v>
      </c>
      <c r="BV350" s="399">
        <v>0.18090000000000001</v>
      </c>
      <c r="BW350" s="393" t="s">
        <v>3117</v>
      </c>
      <c r="BX350" s="392" t="s">
        <v>4364</v>
      </c>
      <c r="BY350" s="393" t="s">
        <v>7224</v>
      </c>
      <c r="BZ350" s="393"/>
      <c r="CA350" s="441"/>
      <c r="CB350" s="400"/>
      <c r="CC350" s="398"/>
      <c r="CD350" s="398"/>
      <c r="CE350" s="398"/>
      <c r="CF350" s="398"/>
      <c r="CG350" s="398"/>
      <c r="CH350" s="398"/>
      <c r="CI350" s="398"/>
      <c r="CJ350" s="398"/>
      <c r="CK350" s="398">
        <v>0.121</v>
      </c>
      <c r="CL350" s="398">
        <v>0.121</v>
      </c>
      <c r="CM350" s="398">
        <v>0.121</v>
      </c>
      <c r="CN350" s="398">
        <v>0.121</v>
      </c>
      <c r="CO350" s="398">
        <v>0.121</v>
      </c>
      <c r="CP350" s="398">
        <v>0.121</v>
      </c>
      <c r="CQ350" s="398">
        <v>0.121</v>
      </c>
      <c r="CR350" s="398">
        <v>0.121</v>
      </c>
      <c r="CS350" s="398">
        <v>0.121</v>
      </c>
      <c r="CT350" s="398">
        <v>0.121</v>
      </c>
      <c r="CU350" s="398"/>
      <c r="CV350" s="398"/>
      <c r="CW350" s="398"/>
      <c r="CX350" s="398"/>
      <c r="CY350" s="398"/>
      <c r="CZ350" s="398"/>
      <c r="DA350" s="398"/>
      <c r="DB350" s="398"/>
      <c r="DC350" s="398"/>
      <c r="DD350" s="398"/>
      <c r="DE350" s="393"/>
      <c r="DF350" s="393"/>
      <c r="DG350" s="393"/>
      <c r="DH350" s="393"/>
      <c r="DI350" s="393"/>
      <c r="DJ350" s="393"/>
      <c r="DK350" s="897"/>
    </row>
    <row r="351" spans="1:115" ht="25.5" x14ac:dyDescent="0.2">
      <c r="A351" s="295">
        <v>347</v>
      </c>
      <c r="B351" s="390" t="s">
        <v>6654</v>
      </c>
      <c r="C351" s="390"/>
      <c r="D351" s="391" t="s">
        <v>6655</v>
      </c>
      <c r="E351" s="704" t="s">
        <v>6656</v>
      </c>
      <c r="F351" s="393" t="s">
        <v>1352</v>
      </c>
      <c r="G351" s="393" t="s">
        <v>1671</v>
      </c>
      <c r="H351" s="393" t="s">
        <v>107</v>
      </c>
      <c r="I351" s="392"/>
      <c r="J351" s="392"/>
      <c r="K351" s="392" t="s">
        <v>6657</v>
      </c>
      <c r="L351" s="392" t="s">
        <v>541</v>
      </c>
      <c r="M351" s="392"/>
      <c r="N351" s="393" t="s">
        <v>44</v>
      </c>
      <c r="O351" s="393" t="s">
        <v>34</v>
      </c>
      <c r="P351" s="393" t="s">
        <v>34</v>
      </c>
      <c r="Q351" s="392" t="s">
        <v>1096</v>
      </c>
      <c r="R351" s="392" t="s">
        <v>4372</v>
      </c>
      <c r="S351" s="392" t="s">
        <v>256</v>
      </c>
      <c r="T351" s="394">
        <v>1</v>
      </c>
      <c r="U351" s="395">
        <v>0.70599999999999996</v>
      </c>
      <c r="V351" s="395"/>
      <c r="W351" s="453"/>
      <c r="X351" s="394"/>
      <c r="Y351" s="394">
        <v>10</v>
      </c>
      <c r="Z351" s="394">
        <v>10</v>
      </c>
      <c r="AA351" s="395">
        <v>0</v>
      </c>
      <c r="AB351" s="452">
        <v>41992</v>
      </c>
      <c r="AC351" s="398"/>
      <c r="AD351" s="398">
        <v>7.06</v>
      </c>
      <c r="AE351" s="393" t="s">
        <v>111</v>
      </c>
      <c r="AF351" s="417"/>
      <c r="AG351" s="417"/>
      <c r="AH351" s="417"/>
      <c r="AI351" s="394"/>
      <c r="AJ351" s="453"/>
      <c r="AK351" s="453"/>
      <c r="AL351" s="393"/>
      <c r="AM351" s="393"/>
      <c r="AN351" s="417"/>
      <c r="AO351" s="392"/>
      <c r="AP351" s="392"/>
      <c r="AQ351" s="392"/>
      <c r="AR351" s="392" t="s">
        <v>541</v>
      </c>
      <c r="AS351" s="480"/>
      <c r="AT351" s="453"/>
      <c r="AU351" s="453"/>
      <c r="AV351" s="453"/>
      <c r="AW351" s="453"/>
      <c r="AX351" s="453"/>
      <c r="AY351" s="453"/>
      <c r="AZ351" s="452">
        <v>41992</v>
      </c>
      <c r="BA351" s="393"/>
      <c r="BB351" s="393"/>
      <c r="BC351" s="393" t="b">
        <v>0</v>
      </c>
      <c r="BD351" s="393"/>
      <c r="BE351" s="392"/>
      <c r="BF351" s="394">
        <v>9</v>
      </c>
      <c r="BG351" s="394">
        <v>2</v>
      </c>
      <c r="BH351" s="394">
        <v>8</v>
      </c>
      <c r="BI351" s="394"/>
      <c r="BJ351" s="394"/>
      <c r="BK351" s="394"/>
      <c r="BL351" s="444" t="s">
        <v>6981</v>
      </c>
      <c r="BM351" s="392"/>
      <c r="BN351" s="393"/>
      <c r="BO351" s="393"/>
      <c r="BP351" s="399"/>
      <c r="BQ351" s="400"/>
      <c r="BR351" s="401"/>
      <c r="BS351" s="399"/>
      <c r="BT351" s="394"/>
      <c r="BU351" s="417">
        <v>0.67369999999999997</v>
      </c>
      <c r="BV351" s="399">
        <v>1.048</v>
      </c>
      <c r="BW351" s="393" t="s">
        <v>3117</v>
      </c>
      <c r="BX351" s="392" t="s">
        <v>4364</v>
      </c>
      <c r="BY351" s="393" t="s">
        <v>7224</v>
      </c>
      <c r="BZ351" s="393"/>
      <c r="CA351" s="441"/>
      <c r="CB351" s="400"/>
      <c r="CC351" s="398"/>
      <c r="CD351" s="398"/>
      <c r="CE351" s="398"/>
      <c r="CF351" s="398"/>
      <c r="CG351" s="398"/>
      <c r="CH351" s="398"/>
      <c r="CI351" s="398"/>
      <c r="CJ351" s="398"/>
      <c r="CK351" s="398">
        <v>0.70599999999999996</v>
      </c>
      <c r="CL351" s="398">
        <v>0.70599999999999996</v>
      </c>
      <c r="CM351" s="398">
        <v>0.70599999999999996</v>
      </c>
      <c r="CN351" s="398">
        <v>0.70599999999999996</v>
      </c>
      <c r="CO351" s="398">
        <v>0.70599999999999996</v>
      </c>
      <c r="CP351" s="398">
        <v>0.70599999999999996</v>
      </c>
      <c r="CQ351" s="398">
        <v>0.70599999999999996</v>
      </c>
      <c r="CR351" s="398">
        <v>0.70599999999999996</v>
      </c>
      <c r="CS351" s="398">
        <v>0.70599999999999996</v>
      </c>
      <c r="CT351" s="398">
        <v>0.70599999999999996</v>
      </c>
      <c r="CU351" s="398"/>
      <c r="CV351" s="398"/>
      <c r="CW351" s="398"/>
      <c r="CX351" s="398"/>
      <c r="CY351" s="398"/>
      <c r="CZ351" s="398"/>
      <c r="DA351" s="398"/>
      <c r="DB351" s="398"/>
      <c r="DC351" s="398"/>
      <c r="DD351" s="398"/>
      <c r="DE351" s="393"/>
      <c r="DF351" s="393"/>
      <c r="DG351" s="393"/>
      <c r="DH351" s="393"/>
      <c r="DI351" s="393"/>
      <c r="DJ351" s="393"/>
      <c r="DK351" s="897"/>
    </row>
    <row r="352" spans="1:115" ht="25.5" x14ac:dyDescent="0.2">
      <c r="A352" s="295">
        <v>348</v>
      </c>
      <c r="B352" s="390" t="s">
        <v>6658</v>
      </c>
      <c r="C352" s="390"/>
      <c r="D352" s="391" t="s">
        <v>6659</v>
      </c>
      <c r="E352" s="704" t="s">
        <v>6660</v>
      </c>
      <c r="F352" s="393" t="s">
        <v>1352</v>
      </c>
      <c r="G352" s="393" t="s">
        <v>1671</v>
      </c>
      <c r="H352" s="393" t="s">
        <v>107</v>
      </c>
      <c r="I352" s="392"/>
      <c r="J352" s="392"/>
      <c r="K352" s="392" t="s">
        <v>6661</v>
      </c>
      <c r="L352" s="392" t="s">
        <v>541</v>
      </c>
      <c r="M352" s="392"/>
      <c r="N352" s="393" t="s">
        <v>44</v>
      </c>
      <c r="O352" s="393" t="s">
        <v>34</v>
      </c>
      <c r="P352" s="393" t="s">
        <v>34</v>
      </c>
      <c r="Q352" s="392" t="s">
        <v>1096</v>
      </c>
      <c r="R352" s="392" t="s">
        <v>4372</v>
      </c>
      <c r="S352" s="392" t="s">
        <v>256</v>
      </c>
      <c r="T352" s="394">
        <v>1</v>
      </c>
      <c r="U352" s="395">
        <v>0.16300000000000001</v>
      </c>
      <c r="V352" s="395"/>
      <c r="W352" s="453"/>
      <c r="X352" s="394"/>
      <c r="Y352" s="394">
        <v>10</v>
      </c>
      <c r="Z352" s="394">
        <v>10</v>
      </c>
      <c r="AA352" s="395">
        <v>0</v>
      </c>
      <c r="AB352" s="452">
        <v>41992</v>
      </c>
      <c r="AC352" s="398"/>
      <c r="AD352" s="398">
        <v>1.6300000000000001</v>
      </c>
      <c r="AE352" s="393" t="s">
        <v>111</v>
      </c>
      <c r="AF352" s="417"/>
      <c r="AG352" s="417"/>
      <c r="AH352" s="417"/>
      <c r="AI352" s="394"/>
      <c r="AJ352" s="453"/>
      <c r="AK352" s="453"/>
      <c r="AL352" s="393"/>
      <c r="AM352" s="393"/>
      <c r="AN352" s="417"/>
      <c r="AO352" s="392"/>
      <c r="AP352" s="392"/>
      <c r="AQ352" s="392"/>
      <c r="AR352" s="392" t="s">
        <v>541</v>
      </c>
      <c r="AS352" s="480"/>
      <c r="AT352" s="453"/>
      <c r="AU352" s="453"/>
      <c r="AV352" s="453"/>
      <c r="AW352" s="453"/>
      <c r="AX352" s="453"/>
      <c r="AY352" s="453"/>
      <c r="AZ352" s="452">
        <v>41992</v>
      </c>
      <c r="BA352" s="393"/>
      <c r="BB352" s="393"/>
      <c r="BC352" s="393" t="b">
        <v>0</v>
      </c>
      <c r="BD352" s="393"/>
      <c r="BE352" s="392"/>
      <c r="BF352" s="394">
        <v>9</v>
      </c>
      <c r="BG352" s="394">
        <v>2</v>
      </c>
      <c r="BH352" s="394">
        <v>8</v>
      </c>
      <c r="BI352" s="394"/>
      <c r="BJ352" s="394"/>
      <c r="BK352" s="394"/>
      <c r="BL352" s="444" t="s">
        <v>6981</v>
      </c>
      <c r="BM352" s="392"/>
      <c r="BN352" s="393"/>
      <c r="BO352" s="393"/>
      <c r="BP352" s="399"/>
      <c r="BQ352" s="400"/>
      <c r="BR352" s="401"/>
      <c r="BS352" s="399"/>
      <c r="BT352" s="394"/>
      <c r="BU352" s="417">
        <v>0.67369999999999997</v>
      </c>
      <c r="BV352" s="399">
        <v>0.24299999999999999</v>
      </c>
      <c r="BW352" s="393" t="s">
        <v>3117</v>
      </c>
      <c r="BX352" s="392" t="s">
        <v>4364</v>
      </c>
      <c r="BY352" s="393" t="s">
        <v>7224</v>
      </c>
      <c r="BZ352" s="393"/>
      <c r="CA352" s="441"/>
      <c r="CB352" s="400"/>
      <c r="CC352" s="398"/>
      <c r="CD352" s="398"/>
      <c r="CE352" s="398"/>
      <c r="CF352" s="398"/>
      <c r="CG352" s="398"/>
      <c r="CH352" s="398"/>
      <c r="CI352" s="398"/>
      <c r="CJ352" s="398"/>
      <c r="CK352" s="398">
        <v>0.16300000000000001</v>
      </c>
      <c r="CL352" s="398">
        <v>0.16300000000000001</v>
      </c>
      <c r="CM352" s="398">
        <v>0.16300000000000001</v>
      </c>
      <c r="CN352" s="398">
        <v>0.16300000000000001</v>
      </c>
      <c r="CO352" s="398">
        <v>0.16300000000000001</v>
      </c>
      <c r="CP352" s="398">
        <v>0.16300000000000001</v>
      </c>
      <c r="CQ352" s="398">
        <v>0.16300000000000001</v>
      </c>
      <c r="CR352" s="398">
        <v>0.16300000000000001</v>
      </c>
      <c r="CS352" s="398">
        <v>0.16300000000000001</v>
      </c>
      <c r="CT352" s="398">
        <v>0.16300000000000001</v>
      </c>
      <c r="CU352" s="398"/>
      <c r="CV352" s="398"/>
      <c r="CW352" s="398"/>
      <c r="CX352" s="398"/>
      <c r="CY352" s="398"/>
      <c r="CZ352" s="398"/>
      <c r="DA352" s="398"/>
      <c r="DB352" s="398"/>
      <c r="DC352" s="398"/>
      <c r="DD352" s="398"/>
      <c r="DE352" s="393"/>
      <c r="DF352" s="393"/>
      <c r="DG352" s="393"/>
      <c r="DH352" s="393"/>
      <c r="DI352" s="393"/>
      <c r="DJ352" s="393"/>
      <c r="DK352" s="897"/>
    </row>
    <row r="353" spans="1:115" ht="25.5" x14ac:dyDescent="0.2">
      <c r="A353" s="295">
        <v>349</v>
      </c>
      <c r="B353" s="390" t="s">
        <v>6662</v>
      </c>
      <c r="C353" s="390"/>
      <c r="D353" s="391" t="s">
        <v>6663</v>
      </c>
      <c r="E353" s="704" t="s">
        <v>6664</v>
      </c>
      <c r="F353" s="393" t="s">
        <v>1352</v>
      </c>
      <c r="G353" s="393" t="s">
        <v>1671</v>
      </c>
      <c r="H353" s="393" t="s">
        <v>107</v>
      </c>
      <c r="I353" s="392"/>
      <c r="J353" s="392"/>
      <c r="K353" s="392" t="s">
        <v>6665</v>
      </c>
      <c r="L353" s="392" t="s">
        <v>541</v>
      </c>
      <c r="M353" s="392"/>
      <c r="N353" s="393" t="s">
        <v>44</v>
      </c>
      <c r="O353" s="393" t="s">
        <v>34</v>
      </c>
      <c r="P353" s="393" t="s">
        <v>34</v>
      </c>
      <c r="Q353" s="392" t="s">
        <v>1096</v>
      </c>
      <c r="R353" s="392" t="s">
        <v>4372</v>
      </c>
      <c r="S353" s="392" t="s">
        <v>256</v>
      </c>
      <c r="T353" s="394">
        <v>1</v>
      </c>
      <c r="U353" s="395">
        <v>0.17799999999999999</v>
      </c>
      <c r="V353" s="395"/>
      <c r="W353" s="453"/>
      <c r="X353" s="394"/>
      <c r="Y353" s="394">
        <v>10</v>
      </c>
      <c r="Z353" s="394">
        <v>10</v>
      </c>
      <c r="AA353" s="395">
        <v>0</v>
      </c>
      <c r="AB353" s="452">
        <v>41992</v>
      </c>
      <c r="AC353" s="398"/>
      <c r="AD353" s="398">
        <v>1.7799999999999998</v>
      </c>
      <c r="AE353" s="393" t="s">
        <v>111</v>
      </c>
      <c r="AF353" s="417"/>
      <c r="AG353" s="417"/>
      <c r="AH353" s="417"/>
      <c r="AI353" s="394"/>
      <c r="AJ353" s="453"/>
      <c r="AK353" s="453"/>
      <c r="AL353" s="393"/>
      <c r="AM353" s="393"/>
      <c r="AN353" s="417"/>
      <c r="AO353" s="392"/>
      <c r="AP353" s="392"/>
      <c r="AQ353" s="392"/>
      <c r="AR353" s="392" t="s">
        <v>541</v>
      </c>
      <c r="AS353" s="480"/>
      <c r="AT353" s="453"/>
      <c r="AU353" s="453"/>
      <c r="AV353" s="453"/>
      <c r="AW353" s="453"/>
      <c r="AX353" s="453"/>
      <c r="AY353" s="453"/>
      <c r="AZ353" s="452">
        <v>41992</v>
      </c>
      <c r="BA353" s="393"/>
      <c r="BB353" s="393"/>
      <c r="BC353" s="393" t="b">
        <v>0</v>
      </c>
      <c r="BD353" s="393"/>
      <c r="BE353" s="392"/>
      <c r="BF353" s="394">
        <v>9</v>
      </c>
      <c r="BG353" s="394">
        <v>2</v>
      </c>
      <c r="BH353" s="394">
        <v>8</v>
      </c>
      <c r="BI353" s="394"/>
      <c r="BJ353" s="394"/>
      <c r="BK353" s="394"/>
      <c r="BL353" s="444" t="s">
        <v>6981</v>
      </c>
      <c r="BM353" s="392"/>
      <c r="BN353" s="393"/>
      <c r="BO353" s="393"/>
      <c r="BP353" s="399"/>
      <c r="BQ353" s="400"/>
      <c r="BR353" s="401"/>
      <c r="BS353" s="399"/>
      <c r="BT353" s="394"/>
      <c r="BU353" s="417">
        <v>0.67369999999999997</v>
      </c>
      <c r="BV353" s="399">
        <v>0.26450000000000001</v>
      </c>
      <c r="BW353" s="393" t="s">
        <v>3117</v>
      </c>
      <c r="BX353" s="392" t="s">
        <v>4364</v>
      </c>
      <c r="BY353" s="393" t="s">
        <v>7224</v>
      </c>
      <c r="BZ353" s="393"/>
      <c r="CA353" s="441"/>
      <c r="CB353" s="400"/>
      <c r="CC353" s="398"/>
      <c r="CD353" s="398"/>
      <c r="CE353" s="398"/>
      <c r="CF353" s="398"/>
      <c r="CG353" s="398"/>
      <c r="CH353" s="398"/>
      <c r="CI353" s="398"/>
      <c r="CJ353" s="398"/>
      <c r="CK353" s="398">
        <v>0.17799999999999999</v>
      </c>
      <c r="CL353" s="398">
        <v>0.17799999999999999</v>
      </c>
      <c r="CM353" s="398">
        <v>0.17799999999999999</v>
      </c>
      <c r="CN353" s="398">
        <v>0.17799999999999999</v>
      </c>
      <c r="CO353" s="398">
        <v>0.17799999999999999</v>
      </c>
      <c r="CP353" s="398">
        <v>0.17799999999999999</v>
      </c>
      <c r="CQ353" s="398">
        <v>0.17799999999999999</v>
      </c>
      <c r="CR353" s="398">
        <v>0.17799999999999999</v>
      </c>
      <c r="CS353" s="398">
        <v>0.17799999999999999</v>
      </c>
      <c r="CT353" s="398">
        <v>0.17799999999999999</v>
      </c>
      <c r="CU353" s="398"/>
      <c r="CV353" s="398"/>
      <c r="CW353" s="398"/>
      <c r="CX353" s="398"/>
      <c r="CY353" s="398"/>
      <c r="CZ353" s="398"/>
      <c r="DA353" s="398"/>
      <c r="DB353" s="398"/>
      <c r="DC353" s="398"/>
      <c r="DD353" s="398"/>
      <c r="DE353" s="393"/>
      <c r="DF353" s="393"/>
      <c r="DG353" s="393"/>
      <c r="DH353" s="393"/>
      <c r="DI353" s="393"/>
      <c r="DJ353" s="393"/>
      <c r="DK353" s="897"/>
    </row>
    <row r="354" spans="1:115" ht="38.25" x14ac:dyDescent="0.2">
      <c r="A354" s="295">
        <v>350</v>
      </c>
      <c r="B354" s="390" t="s">
        <v>6666</v>
      </c>
      <c r="C354" s="390"/>
      <c r="D354" s="391" t="s">
        <v>6667</v>
      </c>
      <c r="E354" s="704" t="s">
        <v>6668</v>
      </c>
      <c r="F354" s="393" t="s">
        <v>1352</v>
      </c>
      <c r="G354" s="393" t="s">
        <v>1671</v>
      </c>
      <c r="H354" s="393" t="s">
        <v>107</v>
      </c>
      <c r="I354" s="392"/>
      <c r="J354" s="392"/>
      <c r="K354" s="392" t="s">
        <v>6669</v>
      </c>
      <c r="L354" s="392" t="s">
        <v>541</v>
      </c>
      <c r="M354" s="392"/>
      <c r="N354" s="393" t="s">
        <v>44</v>
      </c>
      <c r="O354" s="393" t="s">
        <v>34</v>
      </c>
      <c r="P354" s="393" t="s">
        <v>34</v>
      </c>
      <c r="Q354" s="392" t="s">
        <v>1096</v>
      </c>
      <c r="R354" s="392" t="s">
        <v>4372</v>
      </c>
      <c r="S354" s="392" t="s">
        <v>256</v>
      </c>
      <c r="T354" s="394">
        <v>1</v>
      </c>
      <c r="U354" s="395">
        <v>2.1999999999999999E-2</v>
      </c>
      <c r="V354" s="395"/>
      <c r="W354" s="453"/>
      <c r="X354" s="394"/>
      <c r="Y354" s="394">
        <v>10</v>
      </c>
      <c r="Z354" s="394">
        <v>10</v>
      </c>
      <c r="AA354" s="395">
        <v>0</v>
      </c>
      <c r="AB354" s="452">
        <v>41992</v>
      </c>
      <c r="AC354" s="398"/>
      <c r="AD354" s="398">
        <v>0.21999999999999997</v>
      </c>
      <c r="AE354" s="393" t="s">
        <v>111</v>
      </c>
      <c r="AF354" s="417"/>
      <c r="AG354" s="417"/>
      <c r="AH354" s="417"/>
      <c r="AI354" s="394"/>
      <c r="AJ354" s="453"/>
      <c r="AK354" s="453"/>
      <c r="AL354" s="393"/>
      <c r="AM354" s="393"/>
      <c r="AN354" s="417"/>
      <c r="AO354" s="392"/>
      <c r="AP354" s="392"/>
      <c r="AQ354" s="392"/>
      <c r="AR354" s="392" t="s">
        <v>541</v>
      </c>
      <c r="AS354" s="480"/>
      <c r="AT354" s="453"/>
      <c r="AU354" s="453"/>
      <c r="AV354" s="453"/>
      <c r="AW354" s="453"/>
      <c r="AX354" s="453"/>
      <c r="AY354" s="453"/>
      <c r="AZ354" s="452">
        <v>41992</v>
      </c>
      <c r="BA354" s="393"/>
      <c r="BB354" s="393"/>
      <c r="BC354" s="393" t="b">
        <v>0</v>
      </c>
      <c r="BD354" s="393"/>
      <c r="BE354" s="392"/>
      <c r="BF354" s="394">
        <v>9</v>
      </c>
      <c r="BG354" s="394">
        <v>2</v>
      </c>
      <c r="BH354" s="394">
        <v>8</v>
      </c>
      <c r="BI354" s="394"/>
      <c r="BJ354" s="394"/>
      <c r="BK354" s="394"/>
      <c r="BL354" s="444" t="s">
        <v>6981</v>
      </c>
      <c r="BM354" s="392"/>
      <c r="BN354" s="393"/>
      <c r="BO354" s="393"/>
      <c r="BP354" s="399"/>
      <c r="BQ354" s="400"/>
      <c r="BR354" s="401"/>
      <c r="BS354" s="399"/>
      <c r="BT354" s="394"/>
      <c r="BU354" s="417">
        <v>0.67369999999999997</v>
      </c>
      <c r="BV354" s="399">
        <v>3.3939999999999998E-2</v>
      </c>
      <c r="BW354" s="393" t="s">
        <v>3117</v>
      </c>
      <c r="BX354" s="392" t="s">
        <v>4364</v>
      </c>
      <c r="BY354" s="393" t="s">
        <v>7224</v>
      </c>
      <c r="BZ354" s="393"/>
      <c r="CA354" s="441"/>
      <c r="CB354" s="400"/>
      <c r="CC354" s="398"/>
      <c r="CD354" s="398"/>
      <c r="CE354" s="398"/>
      <c r="CF354" s="398"/>
      <c r="CG354" s="398"/>
      <c r="CH354" s="398"/>
      <c r="CI354" s="398"/>
      <c r="CJ354" s="398"/>
      <c r="CK354" s="398">
        <v>2.1999999999999999E-2</v>
      </c>
      <c r="CL354" s="398">
        <v>2.1999999999999999E-2</v>
      </c>
      <c r="CM354" s="398">
        <v>2.1999999999999999E-2</v>
      </c>
      <c r="CN354" s="398">
        <v>2.1999999999999999E-2</v>
      </c>
      <c r="CO354" s="398">
        <v>2.1999999999999999E-2</v>
      </c>
      <c r="CP354" s="398">
        <v>2.1999999999999999E-2</v>
      </c>
      <c r="CQ354" s="398">
        <v>2.1999999999999999E-2</v>
      </c>
      <c r="CR354" s="398">
        <v>2.1999999999999999E-2</v>
      </c>
      <c r="CS354" s="398">
        <v>2.1999999999999999E-2</v>
      </c>
      <c r="CT354" s="398">
        <v>2.1999999999999999E-2</v>
      </c>
      <c r="CU354" s="398"/>
      <c r="CV354" s="398"/>
      <c r="CW354" s="398"/>
      <c r="CX354" s="398"/>
      <c r="CY354" s="398"/>
      <c r="CZ354" s="398"/>
      <c r="DA354" s="398"/>
      <c r="DB354" s="398"/>
      <c r="DC354" s="398"/>
      <c r="DD354" s="398"/>
      <c r="DE354" s="393"/>
      <c r="DF354" s="393"/>
      <c r="DG354" s="393"/>
      <c r="DH354" s="393"/>
      <c r="DI354" s="393"/>
      <c r="DJ354" s="393"/>
      <c r="DK354" s="897"/>
    </row>
    <row r="355" spans="1:115" ht="25.5" x14ac:dyDescent="0.2">
      <c r="A355" s="295">
        <v>351</v>
      </c>
      <c r="B355" s="390" t="s">
        <v>7967</v>
      </c>
      <c r="C355" s="390"/>
      <c r="D355" s="391" t="s">
        <v>7970</v>
      </c>
      <c r="E355" s="705" t="s">
        <v>7973</v>
      </c>
      <c r="F355" s="393" t="s">
        <v>1352</v>
      </c>
      <c r="G355" s="393" t="s">
        <v>1671</v>
      </c>
      <c r="H355" s="393" t="s">
        <v>107</v>
      </c>
      <c r="I355" s="392"/>
      <c r="J355" s="392"/>
      <c r="K355" s="428" t="s">
        <v>7976</v>
      </c>
      <c r="L355" s="392" t="s">
        <v>541</v>
      </c>
      <c r="M355" s="392"/>
      <c r="N355" s="393" t="s">
        <v>44</v>
      </c>
      <c r="O355" s="393" t="s">
        <v>34</v>
      </c>
      <c r="P355" s="393" t="s">
        <v>34</v>
      </c>
      <c r="Q355" s="392" t="s">
        <v>1096</v>
      </c>
      <c r="R355" s="392" t="s">
        <v>4372</v>
      </c>
      <c r="S355" s="392" t="s">
        <v>256</v>
      </c>
      <c r="T355" s="394">
        <v>1</v>
      </c>
      <c r="U355" s="395">
        <v>0.19800000000000001</v>
      </c>
      <c r="V355" s="395"/>
      <c r="W355" s="453"/>
      <c r="X355" s="394"/>
      <c r="Y355" s="394">
        <v>10</v>
      </c>
      <c r="Z355" s="394">
        <v>10</v>
      </c>
      <c r="AA355" s="395">
        <v>0</v>
      </c>
      <c r="AB355" s="452">
        <v>42360</v>
      </c>
      <c r="AC355" s="398"/>
      <c r="AD355" s="398">
        <v>1.98</v>
      </c>
      <c r="AE355" s="475" t="s">
        <v>111</v>
      </c>
      <c r="AF355" s="417"/>
      <c r="AG355" s="417"/>
      <c r="AH355" s="417"/>
      <c r="AI355" s="394"/>
      <c r="AJ355" s="453"/>
      <c r="AK355" s="453"/>
      <c r="AL355" s="393"/>
      <c r="AM355" s="393"/>
      <c r="AN355" s="417"/>
      <c r="AO355" s="392"/>
      <c r="AP355" s="428"/>
      <c r="AQ355" s="428"/>
      <c r="AR355" s="428" t="s">
        <v>541</v>
      </c>
      <c r="AS355" s="480"/>
      <c r="AT355" s="453"/>
      <c r="AU355" s="453"/>
      <c r="AV355" s="453"/>
      <c r="AW355" s="453"/>
      <c r="AX355" s="453"/>
      <c r="AY355" s="453"/>
      <c r="AZ355" s="452">
        <v>42360</v>
      </c>
      <c r="BA355" s="393"/>
      <c r="BB355" s="393"/>
      <c r="BC355" s="393" t="b">
        <v>0</v>
      </c>
      <c r="BD355" s="393"/>
      <c r="BE355" s="392"/>
      <c r="BF355" s="394">
        <v>9</v>
      </c>
      <c r="BG355" s="394">
        <v>2</v>
      </c>
      <c r="BH355" s="394">
        <v>8</v>
      </c>
      <c r="BI355" s="394"/>
      <c r="BJ355" s="394"/>
      <c r="BK355" s="394"/>
      <c r="BL355" s="444" t="s">
        <v>6981</v>
      </c>
      <c r="BM355" s="392"/>
      <c r="BN355" s="393"/>
      <c r="BO355" s="393"/>
      <c r="BP355" s="399"/>
      <c r="BQ355" s="400"/>
      <c r="BR355" s="401"/>
      <c r="BS355" s="399"/>
      <c r="BT355" s="394"/>
      <c r="BU355" s="417">
        <v>0.67369999999999997</v>
      </c>
      <c r="BV355" s="399"/>
      <c r="BW355" s="393" t="s">
        <v>3117</v>
      </c>
      <c r="BX355" s="392" t="s">
        <v>4364</v>
      </c>
      <c r="BY355" s="393"/>
      <c r="BZ355" s="393"/>
      <c r="CA355" s="441"/>
      <c r="CB355" s="400"/>
      <c r="CC355" s="398"/>
      <c r="CD355" s="398"/>
      <c r="CE355" s="398"/>
      <c r="CF355" s="398"/>
      <c r="CG355" s="398"/>
      <c r="CH355" s="398"/>
      <c r="CI355" s="398"/>
      <c r="CJ355" s="398"/>
      <c r="CK355" s="398"/>
      <c r="CL355" s="398">
        <v>0.19800000000000001</v>
      </c>
      <c r="CM355" s="398">
        <v>0.19800000000000001</v>
      </c>
      <c r="CN355" s="398">
        <v>0.19800000000000001</v>
      </c>
      <c r="CO355" s="398">
        <v>0.19800000000000001</v>
      </c>
      <c r="CP355" s="398">
        <v>0.19800000000000001</v>
      </c>
      <c r="CQ355" s="398">
        <v>0.19800000000000001</v>
      </c>
      <c r="CR355" s="398">
        <v>0.19800000000000001</v>
      </c>
      <c r="CS355" s="398">
        <v>0.19800000000000001</v>
      </c>
      <c r="CT355" s="398">
        <v>0.19800000000000001</v>
      </c>
      <c r="CU355" s="398">
        <v>0.19800000000000001</v>
      </c>
      <c r="CV355" s="398"/>
      <c r="CW355" s="398"/>
      <c r="CX355" s="398"/>
      <c r="CY355" s="398"/>
      <c r="CZ355" s="398"/>
      <c r="DA355" s="398"/>
      <c r="DB355" s="398"/>
      <c r="DC355" s="398"/>
      <c r="DD355" s="398"/>
      <c r="DE355" s="393"/>
      <c r="DF355" s="393"/>
      <c r="DG355" s="393"/>
      <c r="DH355" s="393"/>
      <c r="DI355" s="393"/>
      <c r="DJ355" s="393"/>
      <c r="DK355" s="897"/>
    </row>
    <row r="356" spans="1:115" ht="38.25" x14ac:dyDescent="0.2">
      <c r="A356" s="295">
        <v>352</v>
      </c>
      <c r="B356" s="390" t="s">
        <v>7968</v>
      </c>
      <c r="C356" s="390"/>
      <c r="D356" s="391" t="s">
        <v>7971</v>
      </c>
      <c r="E356" s="705" t="s">
        <v>7974</v>
      </c>
      <c r="F356" s="393" t="s">
        <v>1352</v>
      </c>
      <c r="G356" s="393" t="s">
        <v>1671</v>
      </c>
      <c r="H356" s="393" t="s">
        <v>107</v>
      </c>
      <c r="I356" s="392"/>
      <c r="J356" s="392"/>
      <c r="K356" s="428" t="s">
        <v>7977</v>
      </c>
      <c r="L356" s="392" t="s">
        <v>541</v>
      </c>
      <c r="M356" s="392"/>
      <c r="N356" s="393" t="s">
        <v>44</v>
      </c>
      <c r="O356" s="393" t="s">
        <v>34</v>
      </c>
      <c r="P356" s="393" t="s">
        <v>34</v>
      </c>
      <c r="Q356" s="392" t="s">
        <v>1096</v>
      </c>
      <c r="R356" s="428" t="s">
        <v>4372</v>
      </c>
      <c r="S356" s="392" t="s">
        <v>256</v>
      </c>
      <c r="T356" s="394">
        <v>1</v>
      </c>
      <c r="U356" s="395">
        <v>7.383</v>
      </c>
      <c r="V356" s="395"/>
      <c r="W356" s="453"/>
      <c r="X356" s="394"/>
      <c r="Y356" s="394">
        <v>10</v>
      </c>
      <c r="Z356" s="394">
        <v>10</v>
      </c>
      <c r="AA356" s="395">
        <v>0</v>
      </c>
      <c r="AB356" s="452">
        <v>42360</v>
      </c>
      <c r="AC356" s="398"/>
      <c r="AD356" s="398">
        <v>73.83</v>
      </c>
      <c r="AE356" s="475" t="s">
        <v>111</v>
      </c>
      <c r="AF356" s="417"/>
      <c r="AG356" s="417"/>
      <c r="AH356" s="417"/>
      <c r="AI356" s="394"/>
      <c r="AJ356" s="453"/>
      <c r="AK356" s="453"/>
      <c r="AL356" s="393"/>
      <c r="AM356" s="393"/>
      <c r="AN356" s="417"/>
      <c r="AO356" s="392"/>
      <c r="AP356" s="428"/>
      <c r="AQ356" s="428"/>
      <c r="AR356" s="428" t="s">
        <v>541</v>
      </c>
      <c r="AS356" s="480"/>
      <c r="AT356" s="453"/>
      <c r="AU356" s="453"/>
      <c r="AV356" s="453"/>
      <c r="AW356" s="453"/>
      <c r="AX356" s="453"/>
      <c r="AY356" s="453"/>
      <c r="AZ356" s="452">
        <v>42360</v>
      </c>
      <c r="BA356" s="393"/>
      <c r="BB356" s="393"/>
      <c r="BC356" s="393" t="b">
        <v>0</v>
      </c>
      <c r="BD356" s="393"/>
      <c r="BE356" s="392"/>
      <c r="BF356" s="394">
        <v>9</v>
      </c>
      <c r="BG356" s="394">
        <v>2</v>
      </c>
      <c r="BH356" s="394">
        <v>8</v>
      </c>
      <c r="BI356" s="394"/>
      <c r="BJ356" s="394"/>
      <c r="BK356" s="394"/>
      <c r="BL356" s="444" t="s">
        <v>6981</v>
      </c>
      <c r="BM356" s="392"/>
      <c r="BN356" s="393"/>
      <c r="BO356" s="393"/>
      <c r="BP356" s="399"/>
      <c r="BQ356" s="400"/>
      <c r="BR356" s="401"/>
      <c r="BS356" s="399"/>
      <c r="BT356" s="394"/>
      <c r="BU356" s="417">
        <v>0.67369999999999997</v>
      </c>
      <c r="BV356" s="399"/>
      <c r="BW356" s="475" t="s">
        <v>3117</v>
      </c>
      <c r="BX356" s="428" t="s">
        <v>4364</v>
      </c>
      <c r="BY356" s="393"/>
      <c r="BZ356" s="393"/>
      <c r="CA356" s="441"/>
      <c r="CB356" s="400"/>
      <c r="CC356" s="398"/>
      <c r="CD356" s="398"/>
      <c r="CE356" s="398"/>
      <c r="CF356" s="398"/>
      <c r="CG356" s="398"/>
      <c r="CH356" s="398"/>
      <c r="CI356" s="398"/>
      <c r="CJ356" s="398"/>
      <c r="CK356" s="398"/>
      <c r="CL356" s="398">
        <v>7.383</v>
      </c>
      <c r="CM356" s="398">
        <v>7.383</v>
      </c>
      <c r="CN356" s="398">
        <v>7.383</v>
      </c>
      <c r="CO356" s="398">
        <v>7.383</v>
      </c>
      <c r="CP356" s="398">
        <v>7.383</v>
      </c>
      <c r="CQ356" s="398">
        <v>7.383</v>
      </c>
      <c r="CR356" s="398">
        <v>7.383</v>
      </c>
      <c r="CS356" s="398">
        <v>7.383</v>
      </c>
      <c r="CT356" s="398">
        <v>7.383</v>
      </c>
      <c r="CU356" s="398">
        <v>7.383</v>
      </c>
      <c r="CV356" s="398"/>
      <c r="CW356" s="398"/>
      <c r="CX356" s="398"/>
      <c r="CY356" s="398"/>
      <c r="CZ356" s="398"/>
      <c r="DA356" s="398"/>
      <c r="DB356" s="398"/>
      <c r="DC356" s="398"/>
      <c r="DD356" s="398"/>
      <c r="DE356" s="393"/>
      <c r="DF356" s="393"/>
      <c r="DG356" s="393"/>
      <c r="DH356" s="393"/>
      <c r="DI356" s="393"/>
      <c r="DJ356" s="393"/>
      <c r="DK356" s="897"/>
    </row>
    <row r="357" spans="1:115" ht="89.25" x14ac:dyDescent="0.2">
      <c r="A357" s="295">
        <v>353</v>
      </c>
      <c r="B357" s="390" t="s">
        <v>7969</v>
      </c>
      <c r="C357" s="390"/>
      <c r="D357" s="391" t="s">
        <v>7972</v>
      </c>
      <c r="E357" s="705" t="s">
        <v>7975</v>
      </c>
      <c r="F357" s="393" t="s">
        <v>1352</v>
      </c>
      <c r="G357" s="393" t="s">
        <v>1671</v>
      </c>
      <c r="H357" s="393" t="s">
        <v>107</v>
      </c>
      <c r="I357" s="392"/>
      <c r="J357" s="392"/>
      <c r="K357" s="428" t="s">
        <v>7978</v>
      </c>
      <c r="L357" s="392" t="s">
        <v>541</v>
      </c>
      <c r="M357" s="392"/>
      <c r="N357" s="393" t="s">
        <v>44</v>
      </c>
      <c r="O357" s="393" t="s">
        <v>34</v>
      </c>
      <c r="P357" s="393" t="s">
        <v>34</v>
      </c>
      <c r="Q357" s="392" t="s">
        <v>1096</v>
      </c>
      <c r="R357" s="428" t="s">
        <v>4372</v>
      </c>
      <c r="S357" s="392" t="s">
        <v>256</v>
      </c>
      <c r="T357" s="394">
        <v>1</v>
      </c>
      <c r="U357" s="395">
        <v>0.28000000000000003</v>
      </c>
      <c r="V357" s="395"/>
      <c r="W357" s="453"/>
      <c r="X357" s="394"/>
      <c r="Y357" s="394">
        <v>10</v>
      </c>
      <c r="Z357" s="394">
        <v>10</v>
      </c>
      <c r="AA357" s="395">
        <v>0</v>
      </c>
      <c r="AB357" s="452">
        <v>42360</v>
      </c>
      <c r="AC357" s="398"/>
      <c r="AD357" s="398">
        <v>2.8000000000000003</v>
      </c>
      <c r="AE357" s="475" t="s">
        <v>111</v>
      </c>
      <c r="AF357" s="417"/>
      <c r="AG357" s="417"/>
      <c r="AH357" s="417"/>
      <c r="AI357" s="394"/>
      <c r="AJ357" s="453"/>
      <c r="AK357" s="453"/>
      <c r="AL357" s="393"/>
      <c r="AM357" s="393"/>
      <c r="AN357" s="417"/>
      <c r="AO357" s="392"/>
      <c r="AP357" s="428"/>
      <c r="AQ357" s="428"/>
      <c r="AR357" s="428" t="s">
        <v>541</v>
      </c>
      <c r="AS357" s="480"/>
      <c r="AT357" s="453"/>
      <c r="AU357" s="453"/>
      <c r="AV357" s="453"/>
      <c r="AW357" s="453"/>
      <c r="AX357" s="453"/>
      <c r="AY357" s="453"/>
      <c r="AZ357" s="452">
        <v>42360</v>
      </c>
      <c r="BA357" s="393"/>
      <c r="BB357" s="393"/>
      <c r="BC357" s="393" t="b">
        <v>0</v>
      </c>
      <c r="BD357" s="393"/>
      <c r="BE357" s="392"/>
      <c r="BF357" s="394">
        <v>9</v>
      </c>
      <c r="BG357" s="394">
        <v>2</v>
      </c>
      <c r="BH357" s="394">
        <v>8</v>
      </c>
      <c r="BI357" s="394"/>
      <c r="BJ357" s="394"/>
      <c r="BK357" s="394"/>
      <c r="BL357" s="444" t="s">
        <v>6981</v>
      </c>
      <c r="BM357" s="392"/>
      <c r="BN357" s="393"/>
      <c r="BO357" s="393"/>
      <c r="BP357" s="399"/>
      <c r="BQ357" s="400"/>
      <c r="BR357" s="401"/>
      <c r="BS357" s="399"/>
      <c r="BT357" s="394"/>
      <c r="BU357" s="444">
        <v>0.67369999999999997</v>
      </c>
      <c r="BV357" s="399"/>
      <c r="BW357" s="475" t="s">
        <v>3117</v>
      </c>
      <c r="BX357" s="428" t="s">
        <v>4364</v>
      </c>
      <c r="BY357" s="393"/>
      <c r="BZ357" s="393"/>
      <c r="CA357" s="441"/>
      <c r="CB357" s="400"/>
      <c r="CC357" s="398"/>
      <c r="CD357" s="398"/>
      <c r="CE357" s="398"/>
      <c r="CF357" s="398"/>
      <c r="CG357" s="398"/>
      <c r="CH357" s="398"/>
      <c r="CI357" s="398"/>
      <c r="CJ357" s="398"/>
      <c r="CK357" s="398"/>
      <c r="CL357" s="398">
        <v>0.28000000000000003</v>
      </c>
      <c r="CM357" s="398">
        <v>0.28000000000000003</v>
      </c>
      <c r="CN357" s="398">
        <v>0.28000000000000003</v>
      </c>
      <c r="CO357" s="398">
        <v>0.28000000000000003</v>
      </c>
      <c r="CP357" s="398">
        <v>0.28000000000000003</v>
      </c>
      <c r="CQ357" s="398">
        <v>0.28000000000000003</v>
      </c>
      <c r="CR357" s="398">
        <v>0.28000000000000003</v>
      </c>
      <c r="CS357" s="398">
        <v>0.28000000000000003</v>
      </c>
      <c r="CT357" s="398">
        <v>0.28000000000000003</v>
      </c>
      <c r="CU357" s="398">
        <v>0.28000000000000003</v>
      </c>
      <c r="CV357" s="398"/>
      <c r="CW357" s="398"/>
      <c r="CX357" s="398"/>
      <c r="CY357" s="398"/>
      <c r="CZ357" s="398"/>
      <c r="DA357" s="398"/>
      <c r="DB357" s="398"/>
      <c r="DC357" s="398"/>
      <c r="DD357" s="398"/>
      <c r="DE357" s="393"/>
      <c r="DF357" s="393"/>
      <c r="DG357" s="393"/>
      <c r="DH357" s="393"/>
      <c r="DI357" s="393"/>
      <c r="DJ357" s="393"/>
      <c r="DK357" s="897"/>
    </row>
    <row r="358" spans="1:115" ht="51" x14ac:dyDescent="0.2">
      <c r="A358" s="295">
        <v>354</v>
      </c>
      <c r="B358" s="390" t="s">
        <v>411</v>
      </c>
      <c r="C358" s="424" t="s">
        <v>7474</v>
      </c>
      <c r="D358" s="391" t="s">
        <v>5037</v>
      </c>
      <c r="E358" s="704" t="s">
        <v>1955</v>
      </c>
      <c r="F358" s="393" t="s">
        <v>1375</v>
      </c>
      <c r="G358" s="393" t="s">
        <v>1669</v>
      </c>
      <c r="H358" s="393" t="s">
        <v>412</v>
      </c>
      <c r="I358" s="392"/>
      <c r="J358" s="392" t="s">
        <v>412</v>
      </c>
      <c r="K358" s="392"/>
      <c r="L358" s="392" t="s">
        <v>413</v>
      </c>
      <c r="M358" s="392" t="s">
        <v>3991</v>
      </c>
      <c r="N358" s="393" t="s">
        <v>44</v>
      </c>
      <c r="O358" s="393" t="s">
        <v>80</v>
      </c>
      <c r="P358" s="393" t="s">
        <v>80</v>
      </c>
      <c r="Q358" s="392" t="s">
        <v>403</v>
      </c>
      <c r="R358" s="392" t="s">
        <v>4372</v>
      </c>
      <c r="S358" s="392" t="s">
        <v>81</v>
      </c>
      <c r="T358" s="394">
        <v>1</v>
      </c>
      <c r="U358" s="395">
        <v>138.37700000000001</v>
      </c>
      <c r="V358" s="395"/>
      <c r="W358" s="452">
        <v>40766</v>
      </c>
      <c r="X358" s="394">
        <v>28</v>
      </c>
      <c r="Y358" s="394"/>
      <c r="Z358" s="394"/>
      <c r="AA358" s="395"/>
      <c r="AB358" s="453"/>
      <c r="AC358" s="398">
        <v>0</v>
      </c>
      <c r="AD358" s="398">
        <v>1085.0273260273973</v>
      </c>
      <c r="AE358" s="393" t="s">
        <v>225</v>
      </c>
      <c r="AF358" s="417"/>
      <c r="AG358" s="417"/>
      <c r="AH358" s="417">
        <v>11.169</v>
      </c>
      <c r="AI358" s="394"/>
      <c r="AJ358" s="453"/>
      <c r="AK358" s="453"/>
      <c r="AL358" s="393"/>
      <c r="AM358" s="393"/>
      <c r="AN358" s="417"/>
      <c r="AO358" s="428" t="s">
        <v>47</v>
      </c>
      <c r="AP358" s="392" t="s">
        <v>7053</v>
      </c>
      <c r="AQ358" s="392"/>
      <c r="AR358" s="392" t="s">
        <v>414</v>
      </c>
      <c r="AS358" s="479">
        <v>40401</v>
      </c>
      <c r="AT358" s="453"/>
      <c r="AU358" s="453"/>
      <c r="AV358" s="452">
        <v>40466</v>
      </c>
      <c r="AW358" s="452">
        <v>41261</v>
      </c>
      <c r="AX358" s="453"/>
      <c r="AY358" s="452">
        <v>41261</v>
      </c>
      <c r="AZ358" s="453"/>
      <c r="BA358" s="393"/>
      <c r="BB358" s="393" t="s">
        <v>3147</v>
      </c>
      <c r="BC358" s="393" t="b">
        <v>0</v>
      </c>
      <c r="BD358" s="393" t="s">
        <v>3147</v>
      </c>
      <c r="BE358" s="392"/>
      <c r="BF358" s="394">
        <v>1</v>
      </c>
      <c r="BG358" s="394">
        <v>6</v>
      </c>
      <c r="BH358" s="394">
        <v>8</v>
      </c>
      <c r="BI358" s="394">
        <v>7</v>
      </c>
      <c r="BJ358" s="394">
        <v>5</v>
      </c>
      <c r="BK358" s="394">
        <v>9</v>
      </c>
      <c r="BL358" s="444"/>
      <c r="BM358" s="392"/>
      <c r="BN358" s="393"/>
      <c r="BO358" s="393"/>
      <c r="BP358" s="399"/>
      <c r="BQ358" s="400"/>
      <c r="BR358" s="401"/>
      <c r="BS358" s="399">
        <v>6.3840000000000003</v>
      </c>
      <c r="BT358" s="394"/>
      <c r="BU358" s="417"/>
      <c r="BV358" s="399"/>
      <c r="BW358" s="393"/>
      <c r="BX358" s="392"/>
      <c r="BY358" s="393"/>
      <c r="BZ358" s="393"/>
      <c r="CA358" s="441"/>
      <c r="CB358" s="400"/>
      <c r="CC358" s="398"/>
      <c r="CD358" s="398"/>
      <c r="CE358" s="398"/>
      <c r="CF358" s="398"/>
      <c r="CG358" s="398"/>
      <c r="CH358" s="398"/>
      <c r="CI358" s="398"/>
      <c r="CJ358" s="398"/>
      <c r="CK358" s="398"/>
      <c r="CL358" s="398"/>
      <c r="CM358" s="398"/>
      <c r="CN358" s="398"/>
      <c r="CO358" s="398"/>
      <c r="CP358" s="398"/>
      <c r="CQ358" s="398"/>
      <c r="CR358" s="398"/>
      <c r="CS358" s="398"/>
      <c r="CT358" s="398"/>
      <c r="CU358" s="398"/>
      <c r="CV358" s="398"/>
      <c r="CW358" s="398"/>
      <c r="CX358" s="398"/>
      <c r="CY358" s="398"/>
      <c r="CZ358" s="398"/>
      <c r="DA358" s="398"/>
      <c r="DB358" s="398"/>
      <c r="DC358" s="398"/>
      <c r="DD358" s="398"/>
      <c r="DE358" s="393"/>
      <c r="DF358" s="393"/>
      <c r="DG358" s="393"/>
      <c r="DH358" s="393"/>
      <c r="DI358" s="393"/>
      <c r="DJ358" s="393"/>
      <c r="DK358" s="896" t="s">
        <v>9727</v>
      </c>
    </row>
    <row r="359" spans="1:115" ht="25.5" x14ac:dyDescent="0.2">
      <c r="A359" s="295">
        <v>355</v>
      </c>
      <c r="B359" s="390" t="s">
        <v>2641</v>
      </c>
      <c r="C359" s="390"/>
      <c r="D359" s="391" t="s">
        <v>4596</v>
      </c>
      <c r="E359" s="704" t="s">
        <v>415</v>
      </c>
      <c r="F359" s="393" t="s">
        <v>1375</v>
      </c>
      <c r="G359" s="393" t="s">
        <v>1669</v>
      </c>
      <c r="H359" s="393" t="s">
        <v>412</v>
      </c>
      <c r="I359" s="392"/>
      <c r="J359" s="392"/>
      <c r="K359" s="392" t="s">
        <v>416</v>
      </c>
      <c r="L359" s="392" t="s">
        <v>413</v>
      </c>
      <c r="M359" s="392"/>
      <c r="N359" s="393" t="s">
        <v>44</v>
      </c>
      <c r="O359" s="393" t="s">
        <v>80</v>
      </c>
      <c r="P359" s="393" t="s">
        <v>80</v>
      </c>
      <c r="Q359" s="392" t="s">
        <v>403</v>
      </c>
      <c r="R359" s="392" t="s">
        <v>3992</v>
      </c>
      <c r="S359" s="392" t="s">
        <v>81</v>
      </c>
      <c r="T359" s="394">
        <v>1</v>
      </c>
      <c r="U359" s="395">
        <v>138.37700000000001</v>
      </c>
      <c r="V359" s="395"/>
      <c r="W359" s="453"/>
      <c r="X359" s="394"/>
      <c r="Y359" s="394">
        <v>7</v>
      </c>
      <c r="Z359" s="394">
        <v>21</v>
      </c>
      <c r="AA359" s="395">
        <v>20</v>
      </c>
      <c r="AB359" s="452">
        <v>41334</v>
      </c>
      <c r="AC359" s="398">
        <v>0</v>
      </c>
      <c r="AD359" s="398">
        <v>1085.0273260273973</v>
      </c>
      <c r="AE359" s="393" t="s">
        <v>225</v>
      </c>
      <c r="AF359" s="417"/>
      <c r="AG359" s="417">
        <f>11.169</f>
        <v>11.169</v>
      </c>
      <c r="AH359" s="417">
        <v>11.169</v>
      </c>
      <c r="AI359" s="394">
        <v>1</v>
      </c>
      <c r="AJ359" s="453">
        <v>42881</v>
      </c>
      <c r="AK359" s="453">
        <v>42582</v>
      </c>
      <c r="AL359" s="393"/>
      <c r="AM359" s="393"/>
      <c r="AN359" s="417"/>
      <c r="AO359" s="428" t="s">
        <v>47</v>
      </c>
      <c r="AP359" s="392" t="s">
        <v>7053</v>
      </c>
      <c r="AQ359" s="392"/>
      <c r="AR359" s="392" t="s">
        <v>414</v>
      </c>
      <c r="AS359" s="479">
        <v>40401</v>
      </c>
      <c r="AT359" s="453"/>
      <c r="AU359" s="453"/>
      <c r="AV359" s="453"/>
      <c r="AW359" s="453"/>
      <c r="AX359" s="453"/>
      <c r="AY359" s="453"/>
      <c r="AZ359" s="452">
        <v>41261</v>
      </c>
      <c r="BA359" s="393"/>
      <c r="BB359" s="393"/>
      <c r="BC359" s="393" t="b">
        <v>0</v>
      </c>
      <c r="BD359" s="393"/>
      <c r="BE359" s="392"/>
      <c r="BF359" s="394">
        <v>1</v>
      </c>
      <c r="BG359" s="394">
        <v>6</v>
      </c>
      <c r="BH359" s="394">
        <v>8</v>
      </c>
      <c r="BI359" s="394">
        <v>7</v>
      </c>
      <c r="BJ359" s="394">
        <v>5</v>
      </c>
      <c r="BK359" s="394">
        <v>9</v>
      </c>
      <c r="BL359" s="444" t="s">
        <v>6981</v>
      </c>
      <c r="BM359" s="392"/>
      <c r="BN359" s="393"/>
      <c r="BO359" s="393"/>
      <c r="BP359" s="399"/>
      <c r="BQ359" s="400"/>
      <c r="BR359" s="401"/>
      <c r="BS359" s="399">
        <v>6.3840000000000003</v>
      </c>
      <c r="BT359" s="394">
        <v>478839</v>
      </c>
      <c r="BU359" s="417">
        <v>0.71379999999999999</v>
      </c>
      <c r="BV359" s="399"/>
      <c r="BW359" s="393" t="s">
        <v>3117</v>
      </c>
      <c r="BX359" s="392" t="s">
        <v>3154</v>
      </c>
      <c r="BY359" s="393"/>
      <c r="BZ359" s="393"/>
      <c r="CA359" s="441" t="s">
        <v>1662</v>
      </c>
      <c r="CB359" s="400">
        <v>3</v>
      </c>
      <c r="CC359" s="398"/>
      <c r="CD359" s="398"/>
      <c r="CE359" s="398"/>
      <c r="CF359" s="398"/>
      <c r="CG359" s="398">
        <v>75.947000000000003</v>
      </c>
      <c r="CH359" s="398">
        <v>101.503</v>
      </c>
      <c r="CI359" s="398">
        <v>126.092</v>
      </c>
      <c r="CJ359" s="398">
        <v>149.83799999999999</v>
      </c>
      <c r="CK359" s="398">
        <v>163.11000000000001</v>
      </c>
      <c r="CL359" s="398">
        <v>184.71</v>
      </c>
      <c r="CM359" s="398">
        <v>197.59700000000001</v>
      </c>
      <c r="CN359" s="398">
        <v>197.59700000000001</v>
      </c>
      <c r="CO359" s="398">
        <v>197.59700000000001</v>
      </c>
      <c r="CP359" s="398">
        <v>197.59700000000001</v>
      </c>
      <c r="CQ359" s="398">
        <v>197.59700000000001</v>
      </c>
      <c r="CR359" s="398">
        <v>197.59700000000001</v>
      </c>
      <c r="CS359" s="398">
        <v>197.59700000000001</v>
      </c>
      <c r="CT359" s="398">
        <v>197.59700000000001</v>
      </c>
      <c r="CU359" s="398"/>
      <c r="CV359" s="398"/>
      <c r="CW359" s="398"/>
      <c r="CX359" s="398"/>
      <c r="CY359" s="398"/>
      <c r="CZ359" s="398"/>
      <c r="DA359" s="398"/>
      <c r="DB359" s="398"/>
      <c r="DC359" s="398"/>
      <c r="DD359" s="398"/>
      <c r="DE359" s="393"/>
      <c r="DF359" s="393"/>
      <c r="DG359" s="393"/>
      <c r="DH359" s="393"/>
      <c r="DI359" s="393"/>
      <c r="DJ359" s="393"/>
      <c r="DK359" s="897"/>
    </row>
    <row r="360" spans="1:115" ht="51" x14ac:dyDescent="0.2">
      <c r="A360" s="295">
        <v>356</v>
      </c>
      <c r="B360" s="390" t="s">
        <v>795</v>
      </c>
      <c r="C360" s="424" t="s">
        <v>7475</v>
      </c>
      <c r="D360" s="391" t="s">
        <v>5038</v>
      </c>
      <c r="E360" s="704" t="s">
        <v>796</v>
      </c>
      <c r="F360" s="393" t="s">
        <v>1352</v>
      </c>
      <c r="G360" s="393" t="s">
        <v>1672</v>
      </c>
      <c r="H360" s="393" t="s">
        <v>89</v>
      </c>
      <c r="I360" s="392"/>
      <c r="J360" s="392" t="s">
        <v>89</v>
      </c>
      <c r="K360" s="392"/>
      <c r="L360" s="392" t="s">
        <v>90</v>
      </c>
      <c r="M360" s="392" t="s">
        <v>3993</v>
      </c>
      <c r="N360" s="393" t="s">
        <v>44</v>
      </c>
      <c r="O360" s="393" t="s">
        <v>289</v>
      </c>
      <c r="P360" s="393" t="s">
        <v>289</v>
      </c>
      <c r="Q360" s="392" t="s">
        <v>721</v>
      </c>
      <c r="R360" s="392"/>
      <c r="S360" s="392" t="s">
        <v>291</v>
      </c>
      <c r="T360" s="394">
        <v>13</v>
      </c>
      <c r="U360" s="395">
        <v>130.47499999999999</v>
      </c>
      <c r="V360" s="395"/>
      <c r="W360" s="452">
        <v>41091</v>
      </c>
      <c r="X360" s="394">
        <v>28</v>
      </c>
      <c r="Y360" s="394"/>
      <c r="Z360" s="394"/>
      <c r="AA360" s="395"/>
      <c r="AB360" s="453"/>
      <c r="AC360" s="398">
        <v>1.6930000000000001</v>
      </c>
      <c r="AD360" s="398">
        <v>1304.7499999999998</v>
      </c>
      <c r="AE360" s="393" t="s">
        <v>96</v>
      </c>
      <c r="AF360" s="417"/>
      <c r="AG360" s="417"/>
      <c r="AH360" s="417">
        <v>0</v>
      </c>
      <c r="AI360" s="394"/>
      <c r="AJ360" s="453"/>
      <c r="AK360" s="453"/>
      <c r="AL360" s="393"/>
      <c r="AM360" s="393"/>
      <c r="AN360" s="417"/>
      <c r="AO360" s="392"/>
      <c r="AP360" s="392" t="s">
        <v>7059</v>
      </c>
      <c r="AQ360" s="392"/>
      <c r="AR360" s="392" t="s">
        <v>97</v>
      </c>
      <c r="AS360" s="479">
        <v>40401</v>
      </c>
      <c r="AT360" s="453"/>
      <c r="AU360" s="453"/>
      <c r="AV360" s="452">
        <v>40506</v>
      </c>
      <c r="AW360" s="452">
        <v>40829</v>
      </c>
      <c r="AX360" s="452">
        <v>41067</v>
      </c>
      <c r="AY360" s="452">
        <v>41019</v>
      </c>
      <c r="AZ360" s="453"/>
      <c r="BA360" s="393"/>
      <c r="BB360" s="393" t="s">
        <v>3147</v>
      </c>
      <c r="BC360" s="393" t="b">
        <v>1</v>
      </c>
      <c r="BD360" s="393" t="s">
        <v>3310</v>
      </c>
      <c r="BE360" s="392"/>
      <c r="BF360" s="394">
        <v>2</v>
      </c>
      <c r="BG360" s="394">
        <v>4</v>
      </c>
      <c r="BH360" s="394">
        <v>9</v>
      </c>
      <c r="BI360" s="394">
        <v>5</v>
      </c>
      <c r="BJ360" s="394">
        <v>10</v>
      </c>
      <c r="BK360" s="394">
        <v>11</v>
      </c>
      <c r="BL360" s="444"/>
      <c r="BM360" s="392"/>
      <c r="BN360" s="393"/>
      <c r="BO360" s="393"/>
      <c r="BP360" s="399"/>
      <c r="BQ360" s="400"/>
      <c r="BR360" s="401"/>
      <c r="BS360" s="399">
        <v>54.08</v>
      </c>
      <c r="BT360" s="394"/>
      <c r="BU360" s="417"/>
      <c r="BV360" s="399"/>
      <c r="BW360" s="393"/>
      <c r="BX360" s="392"/>
      <c r="BY360" s="393"/>
      <c r="BZ360" s="393"/>
      <c r="CA360" s="441"/>
      <c r="CB360" s="400"/>
      <c r="CC360" s="398"/>
      <c r="CD360" s="398"/>
      <c r="CE360" s="398"/>
      <c r="CF360" s="398"/>
      <c r="CG360" s="398"/>
      <c r="CH360" s="398"/>
      <c r="CI360" s="398"/>
      <c r="CJ360" s="398"/>
      <c r="CK360" s="398"/>
      <c r="CL360" s="398"/>
      <c r="CM360" s="398"/>
      <c r="CN360" s="398"/>
      <c r="CO360" s="398"/>
      <c r="CP360" s="398"/>
      <c r="CQ360" s="398"/>
      <c r="CR360" s="398"/>
      <c r="CS360" s="398"/>
      <c r="CT360" s="398"/>
      <c r="CU360" s="398"/>
      <c r="CV360" s="398"/>
      <c r="CW360" s="398"/>
      <c r="CX360" s="398"/>
      <c r="CY360" s="398"/>
      <c r="CZ360" s="398"/>
      <c r="DA360" s="398"/>
      <c r="DB360" s="398"/>
      <c r="DC360" s="398"/>
      <c r="DD360" s="398"/>
      <c r="DE360" s="393"/>
      <c r="DF360" s="393"/>
      <c r="DG360" s="393"/>
      <c r="DH360" s="393"/>
      <c r="DI360" s="393"/>
      <c r="DJ360" s="393"/>
      <c r="DK360" s="896" t="s">
        <v>9714</v>
      </c>
    </row>
    <row r="361" spans="1:115" ht="51" x14ac:dyDescent="0.2">
      <c r="A361" s="295">
        <v>357</v>
      </c>
      <c r="B361" s="390" t="s">
        <v>2642</v>
      </c>
      <c r="C361" s="390"/>
      <c r="D361" s="391" t="s">
        <v>2316</v>
      </c>
      <c r="E361" s="704" t="s">
        <v>797</v>
      </c>
      <c r="F361" s="393" t="s">
        <v>1352</v>
      </c>
      <c r="G361" s="393" t="s">
        <v>1672</v>
      </c>
      <c r="H361" s="393" t="s">
        <v>89</v>
      </c>
      <c r="I361" s="392"/>
      <c r="J361" s="392"/>
      <c r="K361" s="392" t="s">
        <v>798</v>
      </c>
      <c r="L361" s="392" t="s">
        <v>90</v>
      </c>
      <c r="M361" s="392" t="s">
        <v>3993</v>
      </c>
      <c r="N361" s="393" t="s">
        <v>44</v>
      </c>
      <c r="O361" s="393" t="s">
        <v>289</v>
      </c>
      <c r="P361" s="393" t="s">
        <v>289</v>
      </c>
      <c r="Q361" s="392" t="s">
        <v>721</v>
      </c>
      <c r="R361" s="392" t="s">
        <v>3191</v>
      </c>
      <c r="S361" s="392" t="s">
        <v>291</v>
      </c>
      <c r="T361" s="394">
        <v>1</v>
      </c>
      <c r="U361" s="395">
        <v>3.3860000000000001</v>
      </c>
      <c r="V361" s="395"/>
      <c r="W361" s="453"/>
      <c r="X361" s="394"/>
      <c r="Y361" s="394">
        <v>10</v>
      </c>
      <c r="Z361" s="394">
        <v>30</v>
      </c>
      <c r="AA361" s="395">
        <v>0</v>
      </c>
      <c r="AB361" s="452">
        <v>41091</v>
      </c>
      <c r="AC361" s="398">
        <v>1.6930000000000001</v>
      </c>
      <c r="AD361" s="398">
        <v>33.86</v>
      </c>
      <c r="AE361" s="393" t="s">
        <v>96</v>
      </c>
      <c r="AF361" s="417"/>
      <c r="AG361" s="417"/>
      <c r="AH361" s="417"/>
      <c r="AI361" s="394"/>
      <c r="AJ361" s="453"/>
      <c r="AK361" s="453"/>
      <c r="AL361" s="393"/>
      <c r="AM361" s="393"/>
      <c r="AN361" s="417"/>
      <c r="AO361" s="392"/>
      <c r="AP361" s="392" t="s">
        <v>7059</v>
      </c>
      <c r="AQ361" s="392"/>
      <c r="AR361" s="392" t="s">
        <v>97</v>
      </c>
      <c r="AS361" s="479">
        <v>40401</v>
      </c>
      <c r="AT361" s="453"/>
      <c r="AU361" s="453"/>
      <c r="AV361" s="453"/>
      <c r="AW361" s="453"/>
      <c r="AX361" s="453"/>
      <c r="AY361" s="453"/>
      <c r="AZ361" s="452">
        <v>41019</v>
      </c>
      <c r="BA361" s="393"/>
      <c r="BB361" s="393"/>
      <c r="BC361" s="393" t="b">
        <v>0</v>
      </c>
      <c r="BD361" s="393"/>
      <c r="BE361" s="392"/>
      <c r="BF361" s="394">
        <v>2</v>
      </c>
      <c r="BG361" s="394">
        <v>4</v>
      </c>
      <c r="BH361" s="394">
        <v>9</v>
      </c>
      <c r="BI361" s="394">
        <v>5</v>
      </c>
      <c r="BJ361" s="394">
        <v>10</v>
      </c>
      <c r="BK361" s="394">
        <v>11</v>
      </c>
      <c r="BL361" s="444" t="s">
        <v>6985</v>
      </c>
      <c r="BM361" s="392"/>
      <c r="BN361" s="393"/>
      <c r="BO361" s="393"/>
      <c r="BP361" s="399"/>
      <c r="BQ361" s="400"/>
      <c r="BR361" s="401"/>
      <c r="BS361" s="399">
        <v>1.5</v>
      </c>
      <c r="BT361" s="394">
        <v>5870</v>
      </c>
      <c r="BU361" s="417">
        <v>0.57640000000000002</v>
      </c>
      <c r="BV361" s="399"/>
      <c r="BW361" s="393" t="s">
        <v>3117</v>
      </c>
      <c r="BX361" s="392" t="s">
        <v>4364</v>
      </c>
      <c r="BY361" s="393" t="s">
        <v>7228</v>
      </c>
      <c r="BZ361" s="393"/>
      <c r="CA361" s="441"/>
      <c r="CB361" s="400"/>
      <c r="CC361" s="398"/>
      <c r="CD361" s="398"/>
      <c r="CE361" s="398"/>
      <c r="CF361" s="398">
        <v>3.3860000000000001</v>
      </c>
      <c r="CG361" s="398">
        <v>3.3860000000000001</v>
      </c>
      <c r="CH361" s="398">
        <v>3.3860000000000001</v>
      </c>
      <c r="CI361" s="398">
        <v>3.3860000000000001</v>
      </c>
      <c r="CJ361" s="398">
        <v>3.3860000000000001</v>
      </c>
      <c r="CK361" s="398">
        <v>3.3860000000000001</v>
      </c>
      <c r="CL361" s="398">
        <v>3.3860000000000001</v>
      </c>
      <c r="CM361" s="398">
        <v>3.3860000000000001</v>
      </c>
      <c r="CN361" s="398">
        <v>3.3860000000000001</v>
      </c>
      <c r="CO361" s="398">
        <v>3.3860000000000001</v>
      </c>
      <c r="CP361" s="398"/>
      <c r="CQ361" s="398"/>
      <c r="CR361" s="398"/>
      <c r="CS361" s="398"/>
      <c r="CT361" s="398"/>
      <c r="CU361" s="398"/>
      <c r="CV361" s="398"/>
      <c r="CW361" s="398"/>
      <c r="CX361" s="398"/>
      <c r="CY361" s="398"/>
      <c r="CZ361" s="398"/>
      <c r="DA361" s="398"/>
      <c r="DB361" s="398"/>
      <c r="DC361" s="398"/>
      <c r="DD361" s="398"/>
      <c r="DE361" s="393"/>
      <c r="DF361" s="393"/>
      <c r="DG361" s="393"/>
      <c r="DH361" s="393"/>
      <c r="DI361" s="393"/>
      <c r="DJ361" s="393"/>
      <c r="DK361" s="897"/>
    </row>
    <row r="362" spans="1:115" ht="51" x14ac:dyDescent="0.2">
      <c r="A362" s="295">
        <v>358</v>
      </c>
      <c r="B362" s="390" t="s">
        <v>5884</v>
      </c>
      <c r="C362" s="390"/>
      <c r="D362" s="391" t="s">
        <v>4676</v>
      </c>
      <c r="E362" s="704" t="s">
        <v>4677</v>
      </c>
      <c r="F362" s="393" t="s">
        <v>1352</v>
      </c>
      <c r="G362" s="393" t="s">
        <v>1672</v>
      </c>
      <c r="H362" s="393" t="s">
        <v>89</v>
      </c>
      <c r="I362" s="392"/>
      <c r="J362" s="392"/>
      <c r="K362" s="392" t="s">
        <v>4678</v>
      </c>
      <c r="L362" s="392" t="s">
        <v>90</v>
      </c>
      <c r="M362" s="392" t="s">
        <v>3993</v>
      </c>
      <c r="N362" s="393" t="s">
        <v>44</v>
      </c>
      <c r="O362" s="393" t="s">
        <v>289</v>
      </c>
      <c r="P362" s="393" t="s">
        <v>289</v>
      </c>
      <c r="Q362" s="392" t="s">
        <v>721</v>
      </c>
      <c r="R362" s="392" t="s">
        <v>3191</v>
      </c>
      <c r="S362" s="392" t="s">
        <v>291</v>
      </c>
      <c r="T362" s="394">
        <v>1</v>
      </c>
      <c r="U362" s="395">
        <v>12.933999999999999</v>
      </c>
      <c r="V362" s="395"/>
      <c r="W362" s="453"/>
      <c r="X362" s="394"/>
      <c r="Y362" s="394">
        <v>10</v>
      </c>
      <c r="Z362" s="394">
        <v>30</v>
      </c>
      <c r="AA362" s="395">
        <v>0</v>
      </c>
      <c r="AB362" s="452">
        <v>41426</v>
      </c>
      <c r="AC362" s="398">
        <v>0</v>
      </c>
      <c r="AD362" s="398">
        <v>129.34</v>
      </c>
      <c r="AE362" s="393" t="s">
        <v>96</v>
      </c>
      <c r="AF362" s="417"/>
      <c r="AG362" s="417"/>
      <c r="AH362" s="417"/>
      <c r="AI362" s="394"/>
      <c r="AJ362" s="453"/>
      <c r="AK362" s="453"/>
      <c r="AL362" s="393"/>
      <c r="AM362" s="393"/>
      <c r="AN362" s="417"/>
      <c r="AO362" s="392"/>
      <c r="AP362" s="392"/>
      <c r="AQ362" s="392"/>
      <c r="AR362" s="392" t="s">
        <v>97</v>
      </c>
      <c r="AS362" s="480"/>
      <c r="AT362" s="453"/>
      <c r="AU362" s="453"/>
      <c r="AV362" s="453"/>
      <c r="AW362" s="453"/>
      <c r="AX362" s="453"/>
      <c r="AY362" s="453"/>
      <c r="AZ362" s="452">
        <v>41391</v>
      </c>
      <c r="BA362" s="393"/>
      <c r="BB362" s="393"/>
      <c r="BC362" s="393" t="b">
        <v>0</v>
      </c>
      <c r="BD362" s="393"/>
      <c r="BE362" s="392"/>
      <c r="BF362" s="394">
        <v>2</v>
      </c>
      <c r="BG362" s="394">
        <v>4</v>
      </c>
      <c r="BH362" s="394">
        <v>9</v>
      </c>
      <c r="BI362" s="394">
        <v>5</v>
      </c>
      <c r="BJ362" s="394">
        <v>10</v>
      </c>
      <c r="BK362" s="394">
        <v>11</v>
      </c>
      <c r="BL362" s="444" t="s">
        <v>6985</v>
      </c>
      <c r="BM362" s="392"/>
      <c r="BN362" s="393"/>
      <c r="BO362" s="393"/>
      <c r="BP362" s="399"/>
      <c r="BQ362" s="400"/>
      <c r="BR362" s="401"/>
      <c r="BS362" s="399">
        <v>5.0999999999999996</v>
      </c>
      <c r="BT362" s="394">
        <v>22439</v>
      </c>
      <c r="BU362" s="417">
        <v>0.57640000000000002</v>
      </c>
      <c r="BV362" s="399"/>
      <c r="BW362" s="393" t="s">
        <v>3117</v>
      </c>
      <c r="BX362" s="392" t="s">
        <v>1447</v>
      </c>
      <c r="BY362" s="393"/>
      <c r="BZ362" s="393"/>
      <c r="CA362" s="441" t="s">
        <v>1662</v>
      </c>
      <c r="CB362" s="400">
        <v>3</v>
      </c>
      <c r="CC362" s="398"/>
      <c r="CD362" s="398"/>
      <c r="CE362" s="398"/>
      <c r="CF362" s="398"/>
      <c r="CG362" s="398"/>
      <c r="CH362" s="398"/>
      <c r="CI362" s="398"/>
      <c r="CJ362" s="398">
        <v>12.933999999999999</v>
      </c>
      <c r="CK362" s="398">
        <v>12.933999999999999</v>
      </c>
      <c r="CL362" s="398">
        <v>12.933999999999999</v>
      </c>
      <c r="CM362" s="398">
        <v>12.933999999999999</v>
      </c>
      <c r="CN362" s="398">
        <v>12.933999999999999</v>
      </c>
      <c r="CO362" s="398">
        <v>12.933999999999999</v>
      </c>
      <c r="CP362" s="398">
        <v>12.933999999999999</v>
      </c>
      <c r="CQ362" s="398">
        <v>12.933999999999999</v>
      </c>
      <c r="CR362" s="398">
        <v>12.933999999999999</v>
      </c>
      <c r="CS362" s="398">
        <v>12.933999999999999</v>
      </c>
      <c r="CT362" s="398">
        <v>12.933999999999999</v>
      </c>
      <c r="CU362" s="398"/>
      <c r="CV362" s="398"/>
      <c r="CW362" s="398"/>
      <c r="CX362" s="398"/>
      <c r="CY362" s="398"/>
      <c r="CZ362" s="398"/>
      <c r="DA362" s="398"/>
      <c r="DB362" s="398"/>
      <c r="DC362" s="398"/>
      <c r="DD362" s="398"/>
      <c r="DE362" s="393"/>
      <c r="DF362" s="393"/>
      <c r="DG362" s="393"/>
      <c r="DH362" s="393"/>
      <c r="DI362" s="393"/>
      <c r="DJ362" s="393"/>
      <c r="DK362" s="897"/>
    </row>
    <row r="363" spans="1:115" ht="51" x14ac:dyDescent="0.2">
      <c r="A363" s="295">
        <v>359</v>
      </c>
      <c r="B363" s="390" t="s">
        <v>5885</v>
      </c>
      <c r="C363" s="390"/>
      <c r="D363" s="391" t="s">
        <v>4679</v>
      </c>
      <c r="E363" s="704" t="s">
        <v>4680</v>
      </c>
      <c r="F363" s="393" t="s">
        <v>1352</v>
      </c>
      <c r="G363" s="393" t="s">
        <v>1672</v>
      </c>
      <c r="H363" s="393" t="s">
        <v>89</v>
      </c>
      <c r="I363" s="392"/>
      <c r="J363" s="392"/>
      <c r="K363" s="392" t="s">
        <v>4678</v>
      </c>
      <c r="L363" s="392" t="s">
        <v>90</v>
      </c>
      <c r="M363" s="392" t="s">
        <v>3993</v>
      </c>
      <c r="N363" s="393" t="s">
        <v>44</v>
      </c>
      <c r="O363" s="393" t="s">
        <v>289</v>
      </c>
      <c r="P363" s="393" t="s">
        <v>289</v>
      </c>
      <c r="Q363" s="392" t="s">
        <v>721</v>
      </c>
      <c r="R363" s="392" t="s">
        <v>3191</v>
      </c>
      <c r="S363" s="392" t="s">
        <v>291</v>
      </c>
      <c r="T363" s="394">
        <v>1</v>
      </c>
      <c r="U363" s="395">
        <v>5.7569999999999997</v>
      </c>
      <c r="V363" s="395"/>
      <c r="W363" s="453"/>
      <c r="X363" s="394"/>
      <c r="Y363" s="394">
        <v>10</v>
      </c>
      <c r="Z363" s="394">
        <v>30</v>
      </c>
      <c r="AA363" s="395">
        <v>0</v>
      </c>
      <c r="AB363" s="452">
        <v>41426</v>
      </c>
      <c r="AC363" s="398">
        <v>0</v>
      </c>
      <c r="AD363" s="398">
        <v>57.569999999999993</v>
      </c>
      <c r="AE363" s="393" t="s">
        <v>96</v>
      </c>
      <c r="AF363" s="417"/>
      <c r="AG363" s="417"/>
      <c r="AH363" s="417"/>
      <c r="AI363" s="394"/>
      <c r="AJ363" s="453"/>
      <c r="AK363" s="453"/>
      <c r="AL363" s="393"/>
      <c r="AM363" s="393"/>
      <c r="AN363" s="417"/>
      <c r="AO363" s="392"/>
      <c r="AP363" s="392"/>
      <c r="AQ363" s="392"/>
      <c r="AR363" s="392" t="s">
        <v>97</v>
      </c>
      <c r="AS363" s="480"/>
      <c r="AT363" s="453"/>
      <c r="AU363" s="453"/>
      <c r="AV363" s="453"/>
      <c r="AW363" s="453"/>
      <c r="AX363" s="453"/>
      <c r="AY363" s="453"/>
      <c r="AZ363" s="452">
        <v>41391</v>
      </c>
      <c r="BA363" s="393"/>
      <c r="BB363" s="393"/>
      <c r="BC363" s="393" t="b">
        <v>0</v>
      </c>
      <c r="BD363" s="393"/>
      <c r="BE363" s="392"/>
      <c r="BF363" s="394">
        <v>2</v>
      </c>
      <c r="BG363" s="394">
        <v>4</v>
      </c>
      <c r="BH363" s="394">
        <v>9</v>
      </c>
      <c r="BI363" s="394">
        <v>5</v>
      </c>
      <c r="BJ363" s="394">
        <v>10</v>
      </c>
      <c r="BK363" s="394">
        <v>11</v>
      </c>
      <c r="BL363" s="444" t="s">
        <v>6985</v>
      </c>
      <c r="BM363" s="392"/>
      <c r="BN363" s="393"/>
      <c r="BO363" s="393"/>
      <c r="BP363" s="399"/>
      <c r="BQ363" s="400"/>
      <c r="BR363" s="401"/>
      <c r="BS363" s="399">
        <v>2.34</v>
      </c>
      <c r="BT363" s="394">
        <v>9989</v>
      </c>
      <c r="BU363" s="417">
        <v>0.57640000000000002</v>
      </c>
      <c r="BV363" s="399"/>
      <c r="BW363" s="393" t="s">
        <v>3117</v>
      </c>
      <c r="BX363" s="392" t="s">
        <v>4364</v>
      </c>
      <c r="BY363" s="393" t="s">
        <v>7228</v>
      </c>
      <c r="BZ363" s="393"/>
      <c r="CA363" s="441"/>
      <c r="CB363" s="400"/>
      <c r="CC363" s="398"/>
      <c r="CD363" s="398"/>
      <c r="CE363" s="398"/>
      <c r="CF363" s="398"/>
      <c r="CG363" s="398"/>
      <c r="CH363" s="398"/>
      <c r="CI363" s="398"/>
      <c r="CJ363" s="398">
        <v>5.7569999999999997</v>
      </c>
      <c r="CK363" s="398">
        <v>5.7569999999999997</v>
      </c>
      <c r="CL363" s="398">
        <v>5.7569999999999997</v>
      </c>
      <c r="CM363" s="398">
        <v>5.7569999999999997</v>
      </c>
      <c r="CN363" s="398">
        <v>5.7569999999999997</v>
      </c>
      <c r="CO363" s="398">
        <v>5.7569999999999997</v>
      </c>
      <c r="CP363" s="398">
        <v>5.7569999999999997</v>
      </c>
      <c r="CQ363" s="398">
        <v>5.7569999999999997</v>
      </c>
      <c r="CR363" s="398">
        <v>5.7569999999999997</v>
      </c>
      <c r="CS363" s="398">
        <v>5.7569999999999997</v>
      </c>
      <c r="CT363" s="398">
        <v>5.7569999999999997</v>
      </c>
      <c r="CU363" s="398"/>
      <c r="CV363" s="398"/>
      <c r="CW363" s="398"/>
      <c r="CX363" s="398"/>
      <c r="CY363" s="398"/>
      <c r="CZ363" s="398"/>
      <c r="DA363" s="398"/>
      <c r="DB363" s="398"/>
      <c r="DC363" s="398"/>
      <c r="DD363" s="398"/>
      <c r="DE363" s="393"/>
      <c r="DF363" s="393"/>
      <c r="DG363" s="393"/>
      <c r="DH363" s="393"/>
      <c r="DI363" s="393"/>
      <c r="DJ363" s="393"/>
      <c r="DK363" s="897"/>
    </row>
    <row r="364" spans="1:115" ht="51" x14ac:dyDescent="0.2">
      <c r="A364" s="295">
        <v>360</v>
      </c>
      <c r="B364" s="390" t="s">
        <v>5886</v>
      </c>
      <c r="C364" s="390"/>
      <c r="D364" s="391" t="s">
        <v>4681</v>
      </c>
      <c r="E364" s="704" t="s">
        <v>4682</v>
      </c>
      <c r="F364" s="393" t="s">
        <v>1352</v>
      </c>
      <c r="G364" s="393" t="s">
        <v>1672</v>
      </c>
      <c r="H364" s="393" t="s">
        <v>89</v>
      </c>
      <c r="I364" s="392"/>
      <c r="J364" s="392"/>
      <c r="K364" s="392" t="s">
        <v>4678</v>
      </c>
      <c r="L364" s="392" t="s">
        <v>90</v>
      </c>
      <c r="M364" s="392" t="s">
        <v>3993</v>
      </c>
      <c r="N364" s="393" t="s">
        <v>44</v>
      </c>
      <c r="O364" s="393" t="s">
        <v>289</v>
      </c>
      <c r="P364" s="393" t="s">
        <v>289</v>
      </c>
      <c r="Q364" s="392" t="s">
        <v>721</v>
      </c>
      <c r="R364" s="392" t="s">
        <v>3191</v>
      </c>
      <c r="S364" s="392" t="s">
        <v>291</v>
      </c>
      <c r="T364" s="394">
        <v>1</v>
      </c>
      <c r="U364" s="395">
        <v>7.6130000000000004</v>
      </c>
      <c r="V364" s="395"/>
      <c r="W364" s="453"/>
      <c r="X364" s="394"/>
      <c r="Y364" s="394">
        <v>10</v>
      </c>
      <c r="Z364" s="394">
        <v>30</v>
      </c>
      <c r="AA364" s="395">
        <v>0</v>
      </c>
      <c r="AB364" s="452">
        <v>41426</v>
      </c>
      <c r="AC364" s="398">
        <v>0</v>
      </c>
      <c r="AD364" s="398">
        <v>76.13000000000001</v>
      </c>
      <c r="AE364" s="393" t="s">
        <v>96</v>
      </c>
      <c r="AF364" s="417"/>
      <c r="AG364" s="417"/>
      <c r="AH364" s="417"/>
      <c r="AI364" s="394"/>
      <c r="AJ364" s="453"/>
      <c r="AK364" s="453"/>
      <c r="AL364" s="393"/>
      <c r="AM364" s="393"/>
      <c r="AN364" s="417"/>
      <c r="AO364" s="392"/>
      <c r="AP364" s="392"/>
      <c r="AQ364" s="392"/>
      <c r="AR364" s="392" t="s">
        <v>97</v>
      </c>
      <c r="AS364" s="480"/>
      <c r="AT364" s="453"/>
      <c r="AU364" s="453"/>
      <c r="AV364" s="453"/>
      <c r="AW364" s="453"/>
      <c r="AX364" s="453"/>
      <c r="AY364" s="453"/>
      <c r="AZ364" s="452">
        <v>41391</v>
      </c>
      <c r="BA364" s="393"/>
      <c r="BB364" s="393"/>
      <c r="BC364" s="393" t="b">
        <v>0</v>
      </c>
      <c r="BD364" s="393"/>
      <c r="BE364" s="392"/>
      <c r="BF364" s="394">
        <v>2</v>
      </c>
      <c r="BG364" s="394">
        <v>4</v>
      </c>
      <c r="BH364" s="394">
        <v>9</v>
      </c>
      <c r="BI364" s="394">
        <v>5</v>
      </c>
      <c r="BJ364" s="394">
        <v>10</v>
      </c>
      <c r="BK364" s="394">
        <v>11</v>
      </c>
      <c r="BL364" s="444" t="s">
        <v>6985</v>
      </c>
      <c r="BM364" s="392"/>
      <c r="BN364" s="393"/>
      <c r="BO364" s="393"/>
      <c r="BP364" s="399"/>
      <c r="BQ364" s="400"/>
      <c r="BR364" s="401"/>
      <c r="BS364" s="399">
        <v>2.34</v>
      </c>
      <c r="BT364" s="394">
        <v>9989</v>
      </c>
      <c r="BU364" s="417">
        <v>0.57640000000000002</v>
      </c>
      <c r="BV364" s="399"/>
      <c r="BW364" s="393" t="s">
        <v>3117</v>
      </c>
      <c r="BX364" s="392" t="s">
        <v>4364</v>
      </c>
      <c r="BY364" s="393" t="s">
        <v>7228</v>
      </c>
      <c r="BZ364" s="393"/>
      <c r="CA364" s="441"/>
      <c r="CB364" s="400"/>
      <c r="CC364" s="398"/>
      <c r="CD364" s="398"/>
      <c r="CE364" s="398"/>
      <c r="CF364" s="398"/>
      <c r="CG364" s="398"/>
      <c r="CH364" s="398"/>
      <c r="CI364" s="398"/>
      <c r="CJ364" s="398">
        <v>5.7569999999999997</v>
      </c>
      <c r="CK364" s="398">
        <v>5.7569999999999997</v>
      </c>
      <c r="CL364" s="398">
        <v>5.7569999999999997</v>
      </c>
      <c r="CM364" s="398">
        <v>5.7569999999999997</v>
      </c>
      <c r="CN364" s="398">
        <v>5.7569999999999997</v>
      </c>
      <c r="CO364" s="398">
        <v>5.7569999999999997</v>
      </c>
      <c r="CP364" s="398">
        <v>5.7569999999999997</v>
      </c>
      <c r="CQ364" s="398">
        <v>5.7569999999999997</v>
      </c>
      <c r="CR364" s="398">
        <v>5.7569999999999997</v>
      </c>
      <c r="CS364" s="398">
        <v>5.7569999999999997</v>
      </c>
      <c r="CT364" s="398">
        <v>5.7569999999999997</v>
      </c>
      <c r="CU364" s="398"/>
      <c r="CV364" s="398"/>
      <c r="CW364" s="398"/>
      <c r="CX364" s="398"/>
      <c r="CY364" s="398"/>
      <c r="CZ364" s="398"/>
      <c r="DA364" s="398"/>
      <c r="DB364" s="398"/>
      <c r="DC364" s="398"/>
      <c r="DD364" s="398"/>
      <c r="DE364" s="393"/>
      <c r="DF364" s="393"/>
      <c r="DG364" s="393"/>
      <c r="DH364" s="393"/>
      <c r="DI364" s="393"/>
      <c r="DJ364" s="393"/>
      <c r="DK364" s="897"/>
    </row>
    <row r="365" spans="1:115" ht="51" x14ac:dyDescent="0.2">
      <c r="A365" s="295">
        <v>361</v>
      </c>
      <c r="B365" s="390" t="s">
        <v>5887</v>
      </c>
      <c r="C365" s="390"/>
      <c r="D365" s="391" t="s">
        <v>5039</v>
      </c>
      <c r="E365" s="704" t="s">
        <v>5040</v>
      </c>
      <c r="F365" s="393" t="s">
        <v>1352</v>
      </c>
      <c r="G365" s="393" t="s">
        <v>1672</v>
      </c>
      <c r="H365" s="393" t="s">
        <v>89</v>
      </c>
      <c r="I365" s="392"/>
      <c r="J365" s="392"/>
      <c r="K365" s="392" t="s">
        <v>5041</v>
      </c>
      <c r="L365" s="392" t="s">
        <v>90</v>
      </c>
      <c r="M365" s="392" t="s">
        <v>3993</v>
      </c>
      <c r="N365" s="393" t="s">
        <v>44</v>
      </c>
      <c r="O365" s="393" t="s">
        <v>289</v>
      </c>
      <c r="P365" s="393" t="s">
        <v>289</v>
      </c>
      <c r="Q365" s="392" t="s">
        <v>721</v>
      </c>
      <c r="R365" s="392" t="s">
        <v>5042</v>
      </c>
      <c r="S365" s="392" t="s">
        <v>291</v>
      </c>
      <c r="T365" s="394">
        <v>1</v>
      </c>
      <c r="U365" s="395">
        <v>4.3810000000000002</v>
      </c>
      <c r="V365" s="395"/>
      <c r="W365" s="453"/>
      <c r="X365" s="394"/>
      <c r="Y365" s="394">
        <v>10</v>
      </c>
      <c r="Z365" s="394">
        <v>30</v>
      </c>
      <c r="AA365" s="395">
        <v>0</v>
      </c>
      <c r="AB365" s="452">
        <v>41456</v>
      </c>
      <c r="AC365" s="398">
        <v>0</v>
      </c>
      <c r="AD365" s="398">
        <v>43.81</v>
      </c>
      <c r="AE365" s="393" t="s">
        <v>96</v>
      </c>
      <c r="AF365" s="417"/>
      <c r="AG365" s="417"/>
      <c r="AH365" s="417"/>
      <c r="AI365" s="394"/>
      <c r="AJ365" s="453"/>
      <c r="AK365" s="453"/>
      <c r="AL365" s="393"/>
      <c r="AM365" s="393"/>
      <c r="AN365" s="417"/>
      <c r="AO365" s="392"/>
      <c r="AP365" s="392"/>
      <c r="AQ365" s="392"/>
      <c r="AR365" s="392" t="s">
        <v>97</v>
      </c>
      <c r="AS365" s="480"/>
      <c r="AT365" s="453"/>
      <c r="AU365" s="453"/>
      <c r="AV365" s="453"/>
      <c r="AW365" s="453"/>
      <c r="AX365" s="453"/>
      <c r="AY365" s="453"/>
      <c r="AZ365" s="452">
        <v>41454</v>
      </c>
      <c r="BA365" s="393"/>
      <c r="BB365" s="393"/>
      <c r="BC365" s="393" t="b">
        <v>0</v>
      </c>
      <c r="BD365" s="393"/>
      <c r="BE365" s="392"/>
      <c r="BF365" s="394">
        <v>2</v>
      </c>
      <c r="BG365" s="394">
        <v>4</v>
      </c>
      <c r="BH365" s="394">
        <v>9</v>
      </c>
      <c r="BI365" s="394">
        <v>5</v>
      </c>
      <c r="BJ365" s="394">
        <v>10</v>
      </c>
      <c r="BK365" s="394">
        <v>11</v>
      </c>
      <c r="BL365" s="444" t="s">
        <v>6985</v>
      </c>
      <c r="BM365" s="392"/>
      <c r="BN365" s="393"/>
      <c r="BO365" s="393"/>
      <c r="BP365" s="399"/>
      <c r="BQ365" s="400"/>
      <c r="BR365" s="401"/>
      <c r="BS365" s="399">
        <v>2</v>
      </c>
      <c r="BT365" s="394">
        <v>7601</v>
      </c>
      <c r="BU365" s="417">
        <v>0.57640000000000002</v>
      </c>
      <c r="BV365" s="399"/>
      <c r="BW365" s="393" t="s">
        <v>3117</v>
      </c>
      <c r="BX365" s="392" t="s">
        <v>4364</v>
      </c>
      <c r="BY365" s="393" t="s">
        <v>7228</v>
      </c>
      <c r="BZ365" s="393"/>
      <c r="CA365" s="441"/>
      <c r="CB365" s="400">
        <v>3</v>
      </c>
      <c r="CC365" s="398"/>
      <c r="CD365" s="398"/>
      <c r="CE365" s="398"/>
      <c r="CF365" s="398"/>
      <c r="CG365" s="398"/>
      <c r="CH365" s="398"/>
      <c r="CI365" s="398">
        <v>2.19</v>
      </c>
      <c r="CJ365" s="398">
        <v>4.3810000000000002</v>
      </c>
      <c r="CK365" s="398">
        <v>4.3810000000000002</v>
      </c>
      <c r="CL365" s="398">
        <v>4.3810000000000002</v>
      </c>
      <c r="CM365" s="398">
        <v>4.3810000000000002</v>
      </c>
      <c r="CN365" s="398">
        <v>4.3810000000000002</v>
      </c>
      <c r="CO365" s="398">
        <v>4.3810000000000002</v>
      </c>
      <c r="CP365" s="398">
        <v>4.3810000000000002</v>
      </c>
      <c r="CQ365" s="398">
        <v>4.3810000000000002</v>
      </c>
      <c r="CR365" s="398">
        <v>4.3810000000000002</v>
      </c>
      <c r="CS365" s="398">
        <v>2.19</v>
      </c>
      <c r="CT365" s="398"/>
      <c r="CU365" s="398"/>
      <c r="CV365" s="398"/>
      <c r="CW365" s="398"/>
      <c r="CX365" s="398"/>
      <c r="CY365" s="398"/>
      <c r="CZ365" s="398"/>
      <c r="DA365" s="398"/>
      <c r="DB365" s="398"/>
      <c r="DC365" s="398"/>
      <c r="DD365" s="398"/>
      <c r="DE365" s="393"/>
      <c r="DF365" s="393"/>
      <c r="DG365" s="393"/>
      <c r="DH365" s="393"/>
      <c r="DI365" s="393"/>
      <c r="DJ365" s="393"/>
      <c r="DK365" s="897"/>
    </row>
    <row r="366" spans="1:115" ht="51" x14ac:dyDescent="0.2">
      <c r="A366" s="295">
        <v>362</v>
      </c>
      <c r="B366" s="390" t="s">
        <v>5888</v>
      </c>
      <c r="C366" s="390"/>
      <c r="D366" s="391" t="s">
        <v>5043</v>
      </c>
      <c r="E366" s="704" t="s">
        <v>5044</v>
      </c>
      <c r="F366" s="393" t="s">
        <v>1352</v>
      </c>
      <c r="G366" s="393" t="s">
        <v>1672</v>
      </c>
      <c r="H366" s="393" t="s">
        <v>89</v>
      </c>
      <c r="I366" s="392"/>
      <c r="J366" s="392"/>
      <c r="K366" s="392" t="s">
        <v>793</v>
      </c>
      <c r="L366" s="392" t="s">
        <v>90</v>
      </c>
      <c r="M366" s="392" t="s">
        <v>3993</v>
      </c>
      <c r="N366" s="393" t="s">
        <v>44</v>
      </c>
      <c r="O366" s="393" t="s">
        <v>289</v>
      </c>
      <c r="P366" s="393" t="s">
        <v>289</v>
      </c>
      <c r="Q366" s="392" t="s">
        <v>721</v>
      </c>
      <c r="R366" s="392" t="s">
        <v>5045</v>
      </c>
      <c r="S366" s="392" t="s">
        <v>291</v>
      </c>
      <c r="T366" s="394">
        <v>1</v>
      </c>
      <c r="U366" s="395">
        <v>6.3209999999999997</v>
      </c>
      <c r="V366" s="395"/>
      <c r="W366" s="453"/>
      <c r="X366" s="394"/>
      <c r="Y366" s="394">
        <v>10</v>
      </c>
      <c r="Z366" s="394">
        <v>30</v>
      </c>
      <c r="AA366" s="395">
        <v>0</v>
      </c>
      <c r="AB366" s="452">
        <v>41456</v>
      </c>
      <c r="AC366" s="398">
        <v>0</v>
      </c>
      <c r="AD366" s="398">
        <v>63.209999999999994</v>
      </c>
      <c r="AE366" s="393" t="s">
        <v>96</v>
      </c>
      <c r="AF366" s="417"/>
      <c r="AG366" s="417"/>
      <c r="AH366" s="417"/>
      <c r="AI366" s="394"/>
      <c r="AJ366" s="453"/>
      <c r="AK366" s="453"/>
      <c r="AL366" s="393"/>
      <c r="AM366" s="393"/>
      <c r="AN366" s="417"/>
      <c r="AO366" s="392"/>
      <c r="AP366" s="392"/>
      <c r="AQ366" s="392"/>
      <c r="AR366" s="392" t="s">
        <v>97</v>
      </c>
      <c r="AS366" s="480"/>
      <c r="AT366" s="453"/>
      <c r="AU366" s="453"/>
      <c r="AV366" s="453"/>
      <c r="AW366" s="453"/>
      <c r="AX366" s="453"/>
      <c r="AY366" s="453"/>
      <c r="AZ366" s="452">
        <v>41454</v>
      </c>
      <c r="BA366" s="393"/>
      <c r="BB366" s="393"/>
      <c r="BC366" s="393" t="b">
        <v>0</v>
      </c>
      <c r="BD366" s="393"/>
      <c r="BE366" s="392"/>
      <c r="BF366" s="394">
        <v>2</v>
      </c>
      <c r="BG366" s="394">
        <v>4</v>
      </c>
      <c r="BH366" s="394">
        <v>9</v>
      </c>
      <c r="BI366" s="394">
        <v>5</v>
      </c>
      <c r="BJ366" s="394">
        <v>10</v>
      </c>
      <c r="BK366" s="394">
        <v>11</v>
      </c>
      <c r="BL366" s="444" t="s">
        <v>6985</v>
      </c>
      <c r="BM366" s="392"/>
      <c r="BN366" s="393"/>
      <c r="BO366" s="393"/>
      <c r="BP366" s="399"/>
      <c r="BQ366" s="400"/>
      <c r="BR366" s="401"/>
      <c r="BS366" s="399">
        <v>2.8</v>
      </c>
      <c r="BT366" s="394">
        <v>10966</v>
      </c>
      <c r="BU366" s="417">
        <v>0.57640000000000002</v>
      </c>
      <c r="BV366" s="399"/>
      <c r="BW366" s="393" t="s">
        <v>3117</v>
      </c>
      <c r="BX366" s="392" t="s">
        <v>4364</v>
      </c>
      <c r="BY366" s="393" t="s">
        <v>7228</v>
      </c>
      <c r="BZ366" s="393"/>
      <c r="CA366" s="441"/>
      <c r="CB366" s="400"/>
      <c r="CC366" s="398"/>
      <c r="CD366" s="398"/>
      <c r="CE366" s="398"/>
      <c r="CF366" s="398"/>
      <c r="CG366" s="398"/>
      <c r="CH366" s="398"/>
      <c r="CI366" s="398">
        <v>3.1604999999999999</v>
      </c>
      <c r="CJ366" s="398">
        <v>6.3209999999999997</v>
      </c>
      <c r="CK366" s="398">
        <v>6.3209999999999997</v>
      </c>
      <c r="CL366" s="398">
        <v>6.3209999999999997</v>
      </c>
      <c r="CM366" s="398">
        <v>6.3209999999999997</v>
      </c>
      <c r="CN366" s="398">
        <v>6.3209999999999997</v>
      </c>
      <c r="CO366" s="398">
        <v>6.3209999999999997</v>
      </c>
      <c r="CP366" s="398">
        <v>6.3209999999999997</v>
      </c>
      <c r="CQ366" s="398">
        <v>6.3209999999999997</v>
      </c>
      <c r="CR366" s="398">
        <v>6.3209999999999997</v>
      </c>
      <c r="CS366" s="398">
        <v>3.1604999999999999</v>
      </c>
      <c r="CT366" s="398"/>
      <c r="CU366" s="398"/>
      <c r="CV366" s="398"/>
      <c r="CW366" s="398"/>
      <c r="CX366" s="398"/>
      <c r="CY366" s="398"/>
      <c r="CZ366" s="398"/>
      <c r="DA366" s="398"/>
      <c r="DB366" s="398"/>
      <c r="DC366" s="398"/>
      <c r="DD366" s="398"/>
      <c r="DE366" s="393"/>
      <c r="DF366" s="393"/>
      <c r="DG366" s="393"/>
      <c r="DH366" s="393"/>
      <c r="DI366" s="393"/>
      <c r="DJ366" s="393"/>
      <c r="DK366" s="897"/>
    </row>
    <row r="367" spans="1:115" ht="51" x14ac:dyDescent="0.2">
      <c r="A367" s="295">
        <v>363</v>
      </c>
      <c r="B367" s="390" t="s">
        <v>5889</v>
      </c>
      <c r="C367" s="390"/>
      <c r="D367" s="391" t="s">
        <v>5046</v>
      </c>
      <c r="E367" s="704" t="s">
        <v>5047</v>
      </c>
      <c r="F367" s="393" t="s">
        <v>1352</v>
      </c>
      <c r="G367" s="393" t="s">
        <v>1672</v>
      </c>
      <c r="H367" s="393" t="s">
        <v>89</v>
      </c>
      <c r="I367" s="392"/>
      <c r="J367" s="392"/>
      <c r="K367" s="392" t="s">
        <v>5048</v>
      </c>
      <c r="L367" s="392" t="s">
        <v>90</v>
      </c>
      <c r="M367" s="392" t="s">
        <v>3993</v>
      </c>
      <c r="N367" s="393" t="s">
        <v>44</v>
      </c>
      <c r="O367" s="393" t="s">
        <v>289</v>
      </c>
      <c r="P367" s="393" t="s">
        <v>289</v>
      </c>
      <c r="Q367" s="392" t="s">
        <v>721</v>
      </c>
      <c r="R367" s="392" t="s">
        <v>5049</v>
      </c>
      <c r="S367" s="392" t="s">
        <v>291</v>
      </c>
      <c r="T367" s="394">
        <v>1</v>
      </c>
      <c r="U367" s="395">
        <v>6.79</v>
      </c>
      <c r="V367" s="395"/>
      <c r="W367" s="453"/>
      <c r="X367" s="394"/>
      <c r="Y367" s="394">
        <v>10</v>
      </c>
      <c r="Z367" s="394">
        <v>30</v>
      </c>
      <c r="AA367" s="395">
        <v>0</v>
      </c>
      <c r="AB367" s="452">
        <v>41456</v>
      </c>
      <c r="AC367" s="398">
        <v>0</v>
      </c>
      <c r="AD367" s="398">
        <v>67.900000000000006</v>
      </c>
      <c r="AE367" s="393" t="s">
        <v>96</v>
      </c>
      <c r="AF367" s="417"/>
      <c r="AG367" s="417"/>
      <c r="AH367" s="417"/>
      <c r="AI367" s="394"/>
      <c r="AJ367" s="453"/>
      <c r="AK367" s="453"/>
      <c r="AL367" s="393"/>
      <c r="AM367" s="393"/>
      <c r="AN367" s="417"/>
      <c r="AO367" s="392"/>
      <c r="AP367" s="392"/>
      <c r="AQ367" s="392"/>
      <c r="AR367" s="392" t="s">
        <v>97</v>
      </c>
      <c r="AS367" s="480"/>
      <c r="AT367" s="453"/>
      <c r="AU367" s="453"/>
      <c r="AV367" s="453"/>
      <c r="AW367" s="453"/>
      <c r="AX367" s="453"/>
      <c r="AY367" s="453"/>
      <c r="AZ367" s="452">
        <v>41454</v>
      </c>
      <c r="BA367" s="393"/>
      <c r="BB367" s="393"/>
      <c r="BC367" s="393" t="b">
        <v>0</v>
      </c>
      <c r="BD367" s="393"/>
      <c r="BE367" s="392"/>
      <c r="BF367" s="394">
        <v>2</v>
      </c>
      <c r="BG367" s="394">
        <v>4</v>
      </c>
      <c r="BH367" s="394">
        <v>9</v>
      </c>
      <c r="BI367" s="394">
        <v>5</v>
      </c>
      <c r="BJ367" s="394">
        <v>10</v>
      </c>
      <c r="BK367" s="394">
        <v>11</v>
      </c>
      <c r="BL367" s="444" t="s">
        <v>6985</v>
      </c>
      <c r="BM367" s="392"/>
      <c r="BN367" s="393"/>
      <c r="BO367" s="393"/>
      <c r="BP367" s="399"/>
      <c r="BQ367" s="400"/>
      <c r="BR367" s="401"/>
      <c r="BS367" s="399">
        <v>3</v>
      </c>
      <c r="BT367" s="394">
        <v>11780</v>
      </c>
      <c r="BU367" s="417">
        <v>0.57640000000000002</v>
      </c>
      <c r="BV367" s="399"/>
      <c r="BW367" s="393" t="s">
        <v>3117</v>
      </c>
      <c r="BX367" s="392" t="s">
        <v>4364</v>
      </c>
      <c r="BY367" s="393" t="s">
        <v>7228</v>
      </c>
      <c r="BZ367" s="393"/>
      <c r="CA367" s="441"/>
      <c r="CB367" s="400"/>
      <c r="CC367" s="398"/>
      <c r="CD367" s="398"/>
      <c r="CE367" s="398"/>
      <c r="CF367" s="398"/>
      <c r="CG367" s="398"/>
      <c r="CH367" s="398"/>
      <c r="CI367" s="398">
        <v>3.395</v>
      </c>
      <c r="CJ367" s="398">
        <v>6.79</v>
      </c>
      <c r="CK367" s="398">
        <v>6.79</v>
      </c>
      <c r="CL367" s="398">
        <v>6.79</v>
      </c>
      <c r="CM367" s="398">
        <v>6.79</v>
      </c>
      <c r="CN367" s="398">
        <v>6.79</v>
      </c>
      <c r="CO367" s="398">
        <v>6.79</v>
      </c>
      <c r="CP367" s="398">
        <v>6.79</v>
      </c>
      <c r="CQ367" s="398">
        <v>6.79</v>
      </c>
      <c r="CR367" s="398">
        <v>6.79</v>
      </c>
      <c r="CS367" s="398">
        <v>3.395</v>
      </c>
      <c r="CT367" s="398"/>
      <c r="CU367" s="398"/>
      <c r="CV367" s="398"/>
      <c r="CW367" s="398"/>
      <c r="CX367" s="398"/>
      <c r="CY367" s="398"/>
      <c r="CZ367" s="398"/>
      <c r="DA367" s="398"/>
      <c r="DB367" s="398"/>
      <c r="DC367" s="398"/>
      <c r="DD367" s="398"/>
      <c r="DE367" s="393"/>
      <c r="DF367" s="393"/>
      <c r="DG367" s="393"/>
      <c r="DH367" s="393"/>
      <c r="DI367" s="393"/>
      <c r="DJ367" s="393"/>
      <c r="DK367" s="897"/>
    </row>
    <row r="368" spans="1:115" ht="51" x14ac:dyDescent="0.2">
      <c r="A368" s="295">
        <v>364</v>
      </c>
      <c r="B368" s="390" t="s">
        <v>5890</v>
      </c>
      <c r="C368" s="390"/>
      <c r="D368" s="391" t="s">
        <v>5050</v>
      </c>
      <c r="E368" s="704" t="s">
        <v>5051</v>
      </c>
      <c r="F368" s="393" t="s">
        <v>1352</v>
      </c>
      <c r="G368" s="393" t="s">
        <v>1672</v>
      </c>
      <c r="H368" s="393" t="s">
        <v>89</v>
      </c>
      <c r="I368" s="392"/>
      <c r="J368" s="392"/>
      <c r="K368" s="392" t="s">
        <v>4678</v>
      </c>
      <c r="L368" s="392" t="s">
        <v>90</v>
      </c>
      <c r="M368" s="392" t="s">
        <v>3993</v>
      </c>
      <c r="N368" s="393" t="s">
        <v>44</v>
      </c>
      <c r="O368" s="393" t="s">
        <v>289</v>
      </c>
      <c r="P368" s="393" t="s">
        <v>289</v>
      </c>
      <c r="Q368" s="392" t="s">
        <v>721</v>
      </c>
      <c r="R368" s="392" t="s">
        <v>5052</v>
      </c>
      <c r="S368" s="392" t="s">
        <v>291</v>
      </c>
      <c r="T368" s="394">
        <v>1</v>
      </c>
      <c r="U368" s="395">
        <v>8.9130000000000003</v>
      </c>
      <c r="V368" s="395"/>
      <c r="W368" s="453"/>
      <c r="X368" s="394"/>
      <c r="Y368" s="394">
        <v>10</v>
      </c>
      <c r="Z368" s="394">
        <v>30</v>
      </c>
      <c r="AA368" s="395">
        <v>0</v>
      </c>
      <c r="AB368" s="452">
        <v>41456</v>
      </c>
      <c r="AC368" s="398">
        <v>0</v>
      </c>
      <c r="AD368" s="398">
        <v>89.13</v>
      </c>
      <c r="AE368" s="393" t="s">
        <v>96</v>
      </c>
      <c r="AF368" s="417"/>
      <c r="AG368" s="417"/>
      <c r="AH368" s="417"/>
      <c r="AI368" s="394"/>
      <c r="AJ368" s="453"/>
      <c r="AK368" s="453"/>
      <c r="AL368" s="393"/>
      <c r="AM368" s="393"/>
      <c r="AN368" s="417"/>
      <c r="AO368" s="392"/>
      <c r="AP368" s="392"/>
      <c r="AQ368" s="392"/>
      <c r="AR368" s="392" t="s">
        <v>97</v>
      </c>
      <c r="AS368" s="480"/>
      <c r="AT368" s="453"/>
      <c r="AU368" s="453"/>
      <c r="AV368" s="453"/>
      <c r="AW368" s="453"/>
      <c r="AX368" s="453"/>
      <c r="AY368" s="453"/>
      <c r="AZ368" s="452">
        <v>41454</v>
      </c>
      <c r="BA368" s="393"/>
      <c r="BB368" s="393"/>
      <c r="BC368" s="393" t="b">
        <v>0</v>
      </c>
      <c r="BD368" s="393"/>
      <c r="BE368" s="392"/>
      <c r="BF368" s="394">
        <v>2</v>
      </c>
      <c r="BG368" s="394">
        <v>4</v>
      </c>
      <c r="BH368" s="394">
        <v>9</v>
      </c>
      <c r="BI368" s="394">
        <v>5</v>
      </c>
      <c r="BJ368" s="394">
        <v>10</v>
      </c>
      <c r="BK368" s="394">
        <v>11</v>
      </c>
      <c r="BL368" s="444" t="s">
        <v>6985</v>
      </c>
      <c r="BM368" s="392"/>
      <c r="BN368" s="393"/>
      <c r="BO368" s="393"/>
      <c r="BP368" s="399"/>
      <c r="BQ368" s="400"/>
      <c r="BR368" s="401"/>
      <c r="BS368" s="399">
        <v>3.6</v>
      </c>
      <c r="BT368" s="394">
        <v>15464</v>
      </c>
      <c r="BU368" s="417">
        <v>0.57640000000000002</v>
      </c>
      <c r="BV368" s="399"/>
      <c r="BW368" s="393" t="s">
        <v>3117</v>
      </c>
      <c r="BX368" s="392" t="s">
        <v>4364</v>
      </c>
      <c r="BY368" s="393" t="s">
        <v>7228</v>
      </c>
      <c r="BZ368" s="393"/>
      <c r="CA368" s="441"/>
      <c r="CB368" s="400"/>
      <c r="CC368" s="398"/>
      <c r="CD368" s="398"/>
      <c r="CE368" s="398"/>
      <c r="CF368" s="398"/>
      <c r="CG368" s="398"/>
      <c r="CH368" s="398"/>
      <c r="CI368" s="398">
        <v>4.4565000000000001</v>
      </c>
      <c r="CJ368" s="398">
        <v>8.9130000000000003</v>
      </c>
      <c r="CK368" s="398">
        <v>8.9130000000000003</v>
      </c>
      <c r="CL368" s="398">
        <v>8.9130000000000003</v>
      </c>
      <c r="CM368" s="398">
        <v>8.9130000000000003</v>
      </c>
      <c r="CN368" s="398">
        <v>8.9130000000000003</v>
      </c>
      <c r="CO368" s="398">
        <v>8.9130000000000003</v>
      </c>
      <c r="CP368" s="398">
        <v>8.9130000000000003</v>
      </c>
      <c r="CQ368" s="398">
        <v>8.9130000000000003</v>
      </c>
      <c r="CR368" s="398">
        <v>8.9130000000000003</v>
      </c>
      <c r="CS368" s="398">
        <v>4.4565000000000001</v>
      </c>
      <c r="CT368" s="398"/>
      <c r="CU368" s="398"/>
      <c r="CV368" s="398"/>
      <c r="CW368" s="398"/>
      <c r="CX368" s="398"/>
      <c r="CY368" s="398"/>
      <c r="CZ368" s="398"/>
      <c r="DA368" s="398"/>
      <c r="DB368" s="398"/>
      <c r="DC368" s="398"/>
      <c r="DD368" s="398"/>
      <c r="DE368" s="393"/>
      <c r="DF368" s="393"/>
      <c r="DG368" s="393"/>
      <c r="DH368" s="393"/>
      <c r="DI368" s="393"/>
      <c r="DJ368" s="393"/>
      <c r="DK368" s="897"/>
    </row>
    <row r="369" spans="1:115" ht="51" x14ac:dyDescent="0.2">
      <c r="A369" s="295">
        <v>365</v>
      </c>
      <c r="B369" s="390" t="s">
        <v>5891</v>
      </c>
      <c r="C369" s="390"/>
      <c r="D369" s="391" t="s">
        <v>5053</v>
      </c>
      <c r="E369" s="704" t="s">
        <v>5054</v>
      </c>
      <c r="F369" s="393" t="s">
        <v>1352</v>
      </c>
      <c r="G369" s="393" t="s">
        <v>1672</v>
      </c>
      <c r="H369" s="393" t="s">
        <v>89</v>
      </c>
      <c r="I369" s="392"/>
      <c r="J369" s="392"/>
      <c r="K369" s="392" t="s">
        <v>5041</v>
      </c>
      <c r="L369" s="392" t="s">
        <v>90</v>
      </c>
      <c r="M369" s="392" t="s">
        <v>3993</v>
      </c>
      <c r="N369" s="393" t="s">
        <v>44</v>
      </c>
      <c r="O369" s="393" t="s">
        <v>289</v>
      </c>
      <c r="P369" s="393" t="s">
        <v>289</v>
      </c>
      <c r="Q369" s="392" t="s">
        <v>721</v>
      </c>
      <c r="R369" s="392" t="s">
        <v>5055</v>
      </c>
      <c r="S369" s="392" t="s">
        <v>291</v>
      </c>
      <c r="T369" s="394">
        <v>1</v>
      </c>
      <c r="U369" s="395">
        <v>17.689</v>
      </c>
      <c r="V369" s="395"/>
      <c r="W369" s="453"/>
      <c r="X369" s="394"/>
      <c r="Y369" s="394">
        <v>10</v>
      </c>
      <c r="Z369" s="394">
        <v>30</v>
      </c>
      <c r="AA369" s="395">
        <v>0</v>
      </c>
      <c r="AB369" s="452">
        <v>41456</v>
      </c>
      <c r="AC369" s="398">
        <v>0</v>
      </c>
      <c r="AD369" s="398">
        <v>176.89</v>
      </c>
      <c r="AE369" s="393" t="s">
        <v>96</v>
      </c>
      <c r="AF369" s="417"/>
      <c r="AG369" s="417"/>
      <c r="AH369" s="417"/>
      <c r="AI369" s="394"/>
      <c r="AJ369" s="453"/>
      <c r="AK369" s="453"/>
      <c r="AL369" s="393"/>
      <c r="AM369" s="393"/>
      <c r="AN369" s="417"/>
      <c r="AO369" s="392"/>
      <c r="AP369" s="392"/>
      <c r="AQ369" s="392"/>
      <c r="AR369" s="392" t="s">
        <v>97</v>
      </c>
      <c r="AS369" s="480"/>
      <c r="AT369" s="453"/>
      <c r="AU369" s="453"/>
      <c r="AV369" s="453"/>
      <c r="AW369" s="453"/>
      <c r="AX369" s="453"/>
      <c r="AY369" s="453"/>
      <c r="AZ369" s="452">
        <v>41454</v>
      </c>
      <c r="BA369" s="393"/>
      <c r="BB369" s="393"/>
      <c r="BC369" s="393" t="b">
        <v>0</v>
      </c>
      <c r="BD369" s="393"/>
      <c r="BE369" s="392"/>
      <c r="BF369" s="394">
        <v>2</v>
      </c>
      <c r="BG369" s="394">
        <v>4</v>
      </c>
      <c r="BH369" s="394">
        <v>9</v>
      </c>
      <c r="BI369" s="394">
        <v>5</v>
      </c>
      <c r="BJ369" s="394">
        <v>10</v>
      </c>
      <c r="BK369" s="394">
        <v>11</v>
      </c>
      <c r="BL369" s="444" t="s">
        <v>6985</v>
      </c>
      <c r="BM369" s="392"/>
      <c r="BN369" s="393"/>
      <c r="BO369" s="393"/>
      <c r="BP369" s="399"/>
      <c r="BQ369" s="400"/>
      <c r="BR369" s="401"/>
      <c r="BS369" s="399">
        <v>8</v>
      </c>
      <c r="BT369" s="394">
        <v>30690</v>
      </c>
      <c r="BU369" s="417">
        <v>0.57640000000000002</v>
      </c>
      <c r="BV369" s="399"/>
      <c r="BW369" s="393" t="s">
        <v>3117</v>
      </c>
      <c r="BX369" s="392" t="s">
        <v>4364</v>
      </c>
      <c r="BY369" s="393"/>
      <c r="BZ369" s="393"/>
      <c r="CA369" s="441" t="s">
        <v>1662</v>
      </c>
      <c r="CB369" s="400">
        <v>3</v>
      </c>
      <c r="CC369" s="398"/>
      <c r="CD369" s="398"/>
      <c r="CE369" s="398"/>
      <c r="CF369" s="398"/>
      <c r="CG369" s="398"/>
      <c r="CH369" s="398"/>
      <c r="CI369" s="398">
        <v>8.8445</v>
      </c>
      <c r="CJ369" s="398">
        <v>17.689</v>
      </c>
      <c r="CK369" s="398">
        <v>17.689</v>
      </c>
      <c r="CL369" s="398">
        <v>17.689</v>
      </c>
      <c r="CM369" s="398">
        <v>17.689</v>
      </c>
      <c r="CN369" s="398">
        <v>17.689</v>
      </c>
      <c r="CO369" s="398">
        <v>17.689</v>
      </c>
      <c r="CP369" s="398">
        <v>17.689</v>
      </c>
      <c r="CQ369" s="398">
        <v>17.689</v>
      </c>
      <c r="CR369" s="398">
        <v>17.689</v>
      </c>
      <c r="CS369" s="398">
        <v>8.8445</v>
      </c>
      <c r="CT369" s="398"/>
      <c r="CU369" s="398"/>
      <c r="CV369" s="398"/>
      <c r="CW369" s="398"/>
      <c r="CX369" s="398"/>
      <c r="CY369" s="398"/>
      <c r="CZ369" s="398"/>
      <c r="DA369" s="398"/>
      <c r="DB369" s="398"/>
      <c r="DC369" s="398"/>
      <c r="DD369" s="398"/>
      <c r="DE369" s="393"/>
      <c r="DF369" s="393"/>
      <c r="DG369" s="393"/>
      <c r="DH369" s="393"/>
      <c r="DI369" s="393"/>
      <c r="DJ369" s="393"/>
      <c r="DK369" s="897"/>
    </row>
    <row r="370" spans="1:115" ht="51" x14ac:dyDescent="0.2">
      <c r="A370" s="295">
        <v>366</v>
      </c>
      <c r="B370" s="390" t="s">
        <v>5892</v>
      </c>
      <c r="C370" s="390"/>
      <c r="D370" s="391" t="s">
        <v>5056</v>
      </c>
      <c r="E370" s="704" t="s">
        <v>5057</v>
      </c>
      <c r="F370" s="393" t="s">
        <v>1352</v>
      </c>
      <c r="G370" s="393" t="s">
        <v>1672</v>
      </c>
      <c r="H370" s="393" t="s">
        <v>89</v>
      </c>
      <c r="I370" s="392"/>
      <c r="J370" s="392"/>
      <c r="K370" s="392" t="s">
        <v>5058</v>
      </c>
      <c r="L370" s="392" t="s">
        <v>90</v>
      </c>
      <c r="M370" s="392" t="s">
        <v>3993</v>
      </c>
      <c r="N370" s="393" t="s">
        <v>44</v>
      </c>
      <c r="O370" s="393" t="s">
        <v>289</v>
      </c>
      <c r="P370" s="393" t="s">
        <v>289</v>
      </c>
      <c r="Q370" s="392" t="s">
        <v>721</v>
      </c>
      <c r="R370" s="392" t="s">
        <v>5059</v>
      </c>
      <c r="S370" s="392" t="s">
        <v>291</v>
      </c>
      <c r="T370" s="394">
        <v>1</v>
      </c>
      <c r="U370" s="395">
        <v>26.015000000000001</v>
      </c>
      <c r="V370" s="395"/>
      <c r="W370" s="453"/>
      <c r="X370" s="394"/>
      <c r="Y370" s="394">
        <v>10</v>
      </c>
      <c r="Z370" s="394">
        <v>30</v>
      </c>
      <c r="AA370" s="395">
        <v>0</v>
      </c>
      <c r="AB370" s="452">
        <v>41640</v>
      </c>
      <c r="AC370" s="398">
        <v>0</v>
      </c>
      <c r="AD370" s="398">
        <v>260.14999999999998</v>
      </c>
      <c r="AE370" s="393" t="s">
        <v>96</v>
      </c>
      <c r="AF370" s="417"/>
      <c r="AG370" s="417"/>
      <c r="AH370" s="417"/>
      <c r="AI370" s="394"/>
      <c r="AJ370" s="453"/>
      <c r="AK370" s="453"/>
      <c r="AL370" s="393"/>
      <c r="AM370" s="393"/>
      <c r="AN370" s="417"/>
      <c r="AO370" s="392"/>
      <c r="AP370" s="392"/>
      <c r="AQ370" s="392"/>
      <c r="AR370" s="392" t="s">
        <v>97</v>
      </c>
      <c r="AS370" s="480"/>
      <c r="AT370" s="453"/>
      <c r="AU370" s="453"/>
      <c r="AV370" s="453"/>
      <c r="AW370" s="453"/>
      <c r="AX370" s="453"/>
      <c r="AY370" s="453"/>
      <c r="AZ370" s="452">
        <v>41454</v>
      </c>
      <c r="BA370" s="393"/>
      <c r="BB370" s="393"/>
      <c r="BC370" s="393" t="b">
        <v>0</v>
      </c>
      <c r="BD370" s="393"/>
      <c r="BE370" s="392"/>
      <c r="BF370" s="394">
        <v>2</v>
      </c>
      <c r="BG370" s="394">
        <v>4</v>
      </c>
      <c r="BH370" s="394">
        <v>9</v>
      </c>
      <c r="BI370" s="394">
        <v>5</v>
      </c>
      <c r="BJ370" s="394">
        <v>10</v>
      </c>
      <c r="BK370" s="394">
        <v>11</v>
      </c>
      <c r="BL370" s="444" t="s">
        <v>6985</v>
      </c>
      <c r="BM370" s="392"/>
      <c r="BN370" s="393"/>
      <c r="BO370" s="393"/>
      <c r="BP370" s="399"/>
      <c r="BQ370" s="400"/>
      <c r="BR370" s="401"/>
      <c r="BS370" s="399">
        <v>10</v>
      </c>
      <c r="BT370" s="394">
        <v>45134</v>
      </c>
      <c r="BU370" s="417">
        <v>0.57640000000000002</v>
      </c>
      <c r="BV370" s="399"/>
      <c r="BW370" s="393" t="s">
        <v>3117</v>
      </c>
      <c r="BX370" s="392" t="s">
        <v>4364</v>
      </c>
      <c r="BY370" s="393"/>
      <c r="BZ370" s="393"/>
      <c r="CA370" s="441" t="s">
        <v>1662</v>
      </c>
      <c r="CB370" s="400">
        <v>3</v>
      </c>
      <c r="CC370" s="398"/>
      <c r="CD370" s="398"/>
      <c r="CE370" s="398"/>
      <c r="CF370" s="398"/>
      <c r="CG370" s="398"/>
      <c r="CH370" s="398"/>
      <c r="CI370" s="398">
        <v>13.0075</v>
      </c>
      <c r="CJ370" s="398">
        <v>26.015000000000001</v>
      </c>
      <c r="CK370" s="398">
        <v>26.015000000000001</v>
      </c>
      <c r="CL370" s="398">
        <v>26.015000000000001</v>
      </c>
      <c r="CM370" s="398">
        <v>26.015000000000001</v>
      </c>
      <c r="CN370" s="398">
        <v>26.015000000000001</v>
      </c>
      <c r="CO370" s="398">
        <v>26.015000000000001</v>
      </c>
      <c r="CP370" s="398">
        <v>26.015000000000001</v>
      </c>
      <c r="CQ370" s="398">
        <v>26.015000000000001</v>
      </c>
      <c r="CR370" s="398">
        <v>26.015000000000001</v>
      </c>
      <c r="CS370" s="398">
        <v>13.0075</v>
      </c>
      <c r="CT370" s="398"/>
      <c r="CU370" s="398"/>
      <c r="CV370" s="398"/>
      <c r="CW370" s="398"/>
      <c r="CX370" s="398"/>
      <c r="CY370" s="398"/>
      <c r="CZ370" s="398"/>
      <c r="DA370" s="398"/>
      <c r="DB370" s="398"/>
      <c r="DC370" s="398"/>
      <c r="DD370" s="398"/>
      <c r="DE370" s="393"/>
      <c r="DF370" s="393"/>
      <c r="DG370" s="393"/>
      <c r="DH370" s="393"/>
      <c r="DI370" s="393"/>
      <c r="DJ370" s="393"/>
      <c r="DK370" s="897"/>
    </row>
    <row r="371" spans="1:115" ht="51" x14ac:dyDescent="0.2">
      <c r="A371" s="295">
        <v>367</v>
      </c>
      <c r="B371" s="390" t="s">
        <v>5893</v>
      </c>
      <c r="C371" s="390"/>
      <c r="D371" s="391" t="s">
        <v>5060</v>
      </c>
      <c r="E371" s="704" t="s">
        <v>5061</v>
      </c>
      <c r="F371" s="393" t="s">
        <v>1352</v>
      </c>
      <c r="G371" s="393" t="s">
        <v>1672</v>
      </c>
      <c r="H371" s="393" t="s">
        <v>89</v>
      </c>
      <c r="I371" s="392"/>
      <c r="J371" s="392"/>
      <c r="K371" s="392" t="s">
        <v>5062</v>
      </c>
      <c r="L371" s="392" t="s">
        <v>90</v>
      </c>
      <c r="M371" s="392" t="s">
        <v>3993</v>
      </c>
      <c r="N371" s="393" t="s">
        <v>44</v>
      </c>
      <c r="O371" s="393" t="s">
        <v>289</v>
      </c>
      <c r="P371" s="393" t="s">
        <v>289</v>
      </c>
      <c r="Q371" s="392" t="s">
        <v>721</v>
      </c>
      <c r="R371" s="392" t="s">
        <v>3935</v>
      </c>
      <c r="S371" s="392" t="s">
        <v>291</v>
      </c>
      <c r="T371" s="394">
        <v>1</v>
      </c>
      <c r="U371" s="395">
        <v>11.983000000000001</v>
      </c>
      <c r="V371" s="395"/>
      <c r="W371" s="453"/>
      <c r="X371" s="394"/>
      <c r="Y371" s="394">
        <v>10</v>
      </c>
      <c r="Z371" s="394">
        <v>30</v>
      </c>
      <c r="AA371" s="395">
        <v>0</v>
      </c>
      <c r="AB371" s="452">
        <v>41456</v>
      </c>
      <c r="AC371" s="398">
        <v>0</v>
      </c>
      <c r="AD371" s="398">
        <v>119.83000000000001</v>
      </c>
      <c r="AE371" s="393" t="s">
        <v>96</v>
      </c>
      <c r="AF371" s="417"/>
      <c r="AG371" s="417"/>
      <c r="AH371" s="417"/>
      <c r="AI371" s="394"/>
      <c r="AJ371" s="453"/>
      <c r="AK371" s="453"/>
      <c r="AL371" s="393"/>
      <c r="AM371" s="393"/>
      <c r="AN371" s="417"/>
      <c r="AO371" s="392"/>
      <c r="AP371" s="392"/>
      <c r="AQ371" s="392"/>
      <c r="AR371" s="392" t="s">
        <v>97</v>
      </c>
      <c r="AS371" s="480"/>
      <c r="AT371" s="453"/>
      <c r="AU371" s="453"/>
      <c r="AV371" s="453"/>
      <c r="AW371" s="453"/>
      <c r="AX371" s="453"/>
      <c r="AY371" s="453"/>
      <c r="AZ371" s="452">
        <v>41454</v>
      </c>
      <c r="BA371" s="393"/>
      <c r="BB371" s="393"/>
      <c r="BC371" s="393" t="b">
        <v>0</v>
      </c>
      <c r="BD371" s="393"/>
      <c r="BE371" s="392"/>
      <c r="BF371" s="394">
        <v>2</v>
      </c>
      <c r="BG371" s="394">
        <v>4</v>
      </c>
      <c r="BH371" s="394">
        <v>9</v>
      </c>
      <c r="BI371" s="394">
        <v>5</v>
      </c>
      <c r="BJ371" s="394">
        <v>10</v>
      </c>
      <c r="BK371" s="394">
        <v>11</v>
      </c>
      <c r="BL371" s="444" t="s">
        <v>6985</v>
      </c>
      <c r="BM371" s="392"/>
      <c r="BN371" s="393"/>
      <c r="BO371" s="393"/>
      <c r="BP371" s="399"/>
      <c r="BQ371" s="400"/>
      <c r="BR371" s="401"/>
      <c r="BS371" s="399">
        <v>6</v>
      </c>
      <c r="BT371" s="394">
        <v>20790</v>
      </c>
      <c r="BU371" s="417">
        <v>0.57640000000000002</v>
      </c>
      <c r="BV371" s="399"/>
      <c r="BW371" s="393" t="s">
        <v>3117</v>
      </c>
      <c r="BX371" s="392" t="s">
        <v>4364</v>
      </c>
      <c r="BY371" s="393"/>
      <c r="BZ371" s="393"/>
      <c r="CA371" s="441" t="s">
        <v>1662</v>
      </c>
      <c r="CB371" s="400">
        <v>3</v>
      </c>
      <c r="CC371" s="398"/>
      <c r="CD371" s="398"/>
      <c r="CE371" s="398"/>
      <c r="CF371" s="398"/>
      <c r="CG371" s="398"/>
      <c r="CH371" s="398"/>
      <c r="CI371" s="398">
        <v>5.9915000000000003</v>
      </c>
      <c r="CJ371" s="398">
        <v>11.983000000000001</v>
      </c>
      <c r="CK371" s="398">
        <v>11.983000000000001</v>
      </c>
      <c r="CL371" s="398">
        <v>11.983000000000001</v>
      </c>
      <c r="CM371" s="398">
        <v>11.983000000000001</v>
      </c>
      <c r="CN371" s="398">
        <v>11.983000000000001</v>
      </c>
      <c r="CO371" s="398">
        <v>11.983000000000001</v>
      </c>
      <c r="CP371" s="398">
        <v>11.983000000000001</v>
      </c>
      <c r="CQ371" s="398">
        <v>11.983000000000001</v>
      </c>
      <c r="CR371" s="398">
        <v>11.983000000000001</v>
      </c>
      <c r="CS371" s="398">
        <v>5.9915000000000003</v>
      </c>
      <c r="CT371" s="398"/>
      <c r="CU371" s="398"/>
      <c r="CV371" s="398"/>
      <c r="CW371" s="398"/>
      <c r="CX371" s="398"/>
      <c r="CY371" s="398"/>
      <c r="CZ371" s="398"/>
      <c r="DA371" s="398"/>
      <c r="DB371" s="398"/>
      <c r="DC371" s="398"/>
      <c r="DD371" s="398"/>
      <c r="DE371" s="393"/>
      <c r="DF371" s="393"/>
      <c r="DG371" s="393"/>
      <c r="DH371" s="393"/>
      <c r="DI371" s="393"/>
      <c r="DJ371" s="393"/>
      <c r="DK371" s="897"/>
    </row>
    <row r="372" spans="1:115" ht="51" x14ac:dyDescent="0.2">
      <c r="A372" s="295">
        <v>368</v>
      </c>
      <c r="B372" s="390" t="s">
        <v>5894</v>
      </c>
      <c r="C372" s="390"/>
      <c r="D372" s="391" t="s">
        <v>5255</v>
      </c>
      <c r="E372" s="704" t="s">
        <v>5256</v>
      </c>
      <c r="F372" s="393" t="s">
        <v>1352</v>
      </c>
      <c r="G372" s="393" t="s">
        <v>1672</v>
      </c>
      <c r="H372" s="393" t="s">
        <v>89</v>
      </c>
      <c r="I372" s="392"/>
      <c r="J372" s="392"/>
      <c r="K372" s="392" t="s">
        <v>5062</v>
      </c>
      <c r="L372" s="392" t="s">
        <v>90</v>
      </c>
      <c r="M372" s="392" t="s">
        <v>3993</v>
      </c>
      <c r="N372" s="393" t="s">
        <v>44</v>
      </c>
      <c r="O372" s="393" t="s">
        <v>289</v>
      </c>
      <c r="P372" s="393" t="s">
        <v>289</v>
      </c>
      <c r="Q372" s="392" t="s">
        <v>721</v>
      </c>
      <c r="R372" s="392" t="s">
        <v>3935</v>
      </c>
      <c r="S372" s="392" t="s">
        <v>291</v>
      </c>
      <c r="T372" s="394">
        <v>1</v>
      </c>
      <c r="U372" s="395">
        <v>5.9859999999999998</v>
      </c>
      <c r="V372" s="395"/>
      <c r="W372" s="453"/>
      <c r="X372" s="394"/>
      <c r="Y372" s="394">
        <v>10</v>
      </c>
      <c r="Z372" s="394">
        <v>30</v>
      </c>
      <c r="AA372" s="395">
        <v>0</v>
      </c>
      <c r="AB372" s="452">
        <v>41487</v>
      </c>
      <c r="AC372" s="398">
        <v>0</v>
      </c>
      <c r="AD372" s="398">
        <v>59.86</v>
      </c>
      <c r="AE372" s="393" t="s">
        <v>96</v>
      </c>
      <c r="AF372" s="417"/>
      <c r="AG372" s="417"/>
      <c r="AH372" s="417"/>
      <c r="AI372" s="394"/>
      <c r="AJ372" s="453"/>
      <c r="AK372" s="453"/>
      <c r="AL372" s="393"/>
      <c r="AM372" s="393"/>
      <c r="AN372" s="417"/>
      <c r="AO372" s="392"/>
      <c r="AP372" s="392"/>
      <c r="AQ372" s="392"/>
      <c r="AR372" s="392" t="s">
        <v>97</v>
      </c>
      <c r="AS372" s="480"/>
      <c r="AT372" s="453"/>
      <c r="AU372" s="453"/>
      <c r="AV372" s="453"/>
      <c r="AW372" s="453"/>
      <c r="AX372" s="453"/>
      <c r="AY372" s="453"/>
      <c r="AZ372" s="452">
        <v>41460</v>
      </c>
      <c r="BA372" s="393"/>
      <c r="BB372" s="393"/>
      <c r="BC372" s="393" t="b">
        <v>0</v>
      </c>
      <c r="BD372" s="393"/>
      <c r="BE372" s="392"/>
      <c r="BF372" s="394">
        <v>2</v>
      </c>
      <c r="BG372" s="394">
        <v>4</v>
      </c>
      <c r="BH372" s="394">
        <v>9</v>
      </c>
      <c r="BI372" s="394">
        <v>5</v>
      </c>
      <c r="BJ372" s="394">
        <v>10</v>
      </c>
      <c r="BK372" s="394">
        <v>11</v>
      </c>
      <c r="BL372" s="444" t="s">
        <v>6985</v>
      </c>
      <c r="BM372" s="392"/>
      <c r="BN372" s="393"/>
      <c r="BO372" s="393"/>
      <c r="BP372" s="399"/>
      <c r="BQ372" s="400"/>
      <c r="BR372" s="401"/>
      <c r="BS372" s="399">
        <v>2.4</v>
      </c>
      <c r="BT372" s="394">
        <v>10385</v>
      </c>
      <c r="BU372" s="417">
        <v>0.57640000000000002</v>
      </c>
      <c r="BV372" s="399"/>
      <c r="BW372" s="393" t="s">
        <v>3117</v>
      </c>
      <c r="BX372" s="392" t="s">
        <v>4364</v>
      </c>
      <c r="BY372" s="393"/>
      <c r="BZ372" s="393"/>
      <c r="CA372" s="441" t="s">
        <v>1662</v>
      </c>
      <c r="CB372" s="400">
        <v>3</v>
      </c>
      <c r="CC372" s="398"/>
      <c r="CD372" s="398"/>
      <c r="CE372" s="398"/>
      <c r="CF372" s="398"/>
      <c r="CG372" s="398"/>
      <c r="CH372" s="398"/>
      <c r="CI372" s="398">
        <v>2.4940000000000002</v>
      </c>
      <c r="CJ372" s="398">
        <v>5.9859999999999998</v>
      </c>
      <c r="CK372" s="398">
        <v>5.9859999999999998</v>
      </c>
      <c r="CL372" s="398">
        <v>5.9859999999999998</v>
      </c>
      <c r="CM372" s="398">
        <v>5.9859999999999998</v>
      </c>
      <c r="CN372" s="398">
        <v>5.9859999999999998</v>
      </c>
      <c r="CO372" s="398">
        <v>5.9859999999999998</v>
      </c>
      <c r="CP372" s="398">
        <v>5.9859999999999998</v>
      </c>
      <c r="CQ372" s="398">
        <v>5.9859999999999998</v>
      </c>
      <c r="CR372" s="398">
        <v>5.9859999999999998</v>
      </c>
      <c r="CS372" s="398">
        <v>3.492</v>
      </c>
      <c r="CT372" s="398"/>
      <c r="CU372" s="398"/>
      <c r="CV372" s="398"/>
      <c r="CW372" s="398"/>
      <c r="CX372" s="398"/>
      <c r="CY372" s="398"/>
      <c r="CZ372" s="398"/>
      <c r="DA372" s="398"/>
      <c r="DB372" s="398"/>
      <c r="DC372" s="398"/>
      <c r="DD372" s="398"/>
      <c r="DE372" s="393"/>
      <c r="DF372" s="393"/>
      <c r="DG372" s="393"/>
      <c r="DH372" s="393"/>
      <c r="DI372" s="393"/>
      <c r="DJ372" s="393"/>
      <c r="DK372" s="897"/>
    </row>
    <row r="373" spans="1:115" ht="51" x14ac:dyDescent="0.2">
      <c r="A373" s="295">
        <v>369</v>
      </c>
      <c r="B373" s="390" t="s">
        <v>5895</v>
      </c>
      <c r="C373" s="390"/>
      <c r="D373" s="391" t="s">
        <v>5257</v>
      </c>
      <c r="E373" s="704" t="s">
        <v>5258</v>
      </c>
      <c r="F373" s="393" t="s">
        <v>1352</v>
      </c>
      <c r="G373" s="393" t="s">
        <v>1672</v>
      </c>
      <c r="H373" s="393" t="s">
        <v>89</v>
      </c>
      <c r="I373" s="392"/>
      <c r="J373" s="392"/>
      <c r="K373" s="392" t="s">
        <v>5062</v>
      </c>
      <c r="L373" s="392" t="s">
        <v>90</v>
      </c>
      <c r="M373" s="392" t="s">
        <v>3993</v>
      </c>
      <c r="N373" s="393" t="s">
        <v>44</v>
      </c>
      <c r="O373" s="393" t="s">
        <v>289</v>
      </c>
      <c r="P373" s="393" t="s">
        <v>289</v>
      </c>
      <c r="Q373" s="392" t="s">
        <v>721</v>
      </c>
      <c r="R373" s="392" t="s">
        <v>3935</v>
      </c>
      <c r="S373" s="392" t="s">
        <v>291</v>
      </c>
      <c r="T373" s="394">
        <v>1</v>
      </c>
      <c r="U373" s="395">
        <v>12.707000000000001</v>
      </c>
      <c r="V373" s="395"/>
      <c r="W373" s="453"/>
      <c r="X373" s="394"/>
      <c r="Y373" s="394">
        <v>10</v>
      </c>
      <c r="Z373" s="394">
        <v>30</v>
      </c>
      <c r="AA373" s="395">
        <v>0</v>
      </c>
      <c r="AB373" s="452">
        <v>41487</v>
      </c>
      <c r="AC373" s="398">
        <v>0</v>
      </c>
      <c r="AD373" s="398">
        <v>127.07000000000001</v>
      </c>
      <c r="AE373" s="393" t="s">
        <v>96</v>
      </c>
      <c r="AF373" s="417"/>
      <c r="AG373" s="417"/>
      <c r="AH373" s="417"/>
      <c r="AI373" s="394"/>
      <c r="AJ373" s="453"/>
      <c r="AK373" s="453"/>
      <c r="AL373" s="393"/>
      <c r="AM373" s="393"/>
      <c r="AN373" s="417"/>
      <c r="AO373" s="392"/>
      <c r="AP373" s="392"/>
      <c r="AQ373" s="392"/>
      <c r="AR373" s="392" t="s">
        <v>97</v>
      </c>
      <c r="AS373" s="480"/>
      <c r="AT373" s="453"/>
      <c r="AU373" s="453"/>
      <c r="AV373" s="453"/>
      <c r="AW373" s="453"/>
      <c r="AX373" s="453"/>
      <c r="AY373" s="453"/>
      <c r="AZ373" s="452">
        <v>41460</v>
      </c>
      <c r="BA373" s="393"/>
      <c r="BB373" s="393"/>
      <c r="BC373" s="393" t="b">
        <v>0</v>
      </c>
      <c r="BD373" s="393"/>
      <c r="BE373" s="392"/>
      <c r="BF373" s="394">
        <v>2</v>
      </c>
      <c r="BG373" s="394">
        <v>4</v>
      </c>
      <c r="BH373" s="394">
        <v>9</v>
      </c>
      <c r="BI373" s="394">
        <v>5</v>
      </c>
      <c r="BJ373" s="394">
        <v>10</v>
      </c>
      <c r="BK373" s="394">
        <v>11</v>
      </c>
      <c r="BL373" s="444" t="s">
        <v>6985</v>
      </c>
      <c r="BM373" s="392"/>
      <c r="BN373" s="393"/>
      <c r="BO373" s="393"/>
      <c r="BP373" s="399"/>
      <c r="BQ373" s="400"/>
      <c r="BR373" s="401"/>
      <c r="BS373" s="399">
        <v>5</v>
      </c>
      <c r="BT373" s="394">
        <v>22050</v>
      </c>
      <c r="BU373" s="417">
        <v>0.57640000000000002</v>
      </c>
      <c r="BV373" s="399"/>
      <c r="BW373" s="393" t="s">
        <v>3117</v>
      </c>
      <c r="BX373" s="392" t="s">
        <v>4364</v>
      </c>
      <c r="BY373" s="393" t="s">
        <v>7223</v>
      </c>
      <c r="BZ373" s="393"/>
      <c r="CA373" s="441"/>
      <c r="CB373" s="400"/>
      <c r="CC373" s="398"/>
      <c r="CD373" s="398"/>
      <c r="CE373" s="398"/>
      <c r="CF373" s="398"/>
      <c r="CG373" s="398"/>
      <c r="CH373" s="398"/>
      <c r="CI373" s="398">
        <v>5.2949999999999999</v>
      </c>
      <c r="CJ373" s="398">
        <v>12.707000000000001</v>
      </c>
      <c r="CK373" s="398">
        <v>12.707000000000001</v>
      </c>
      <c r="CL373" s="398">
        <v>12.707000000000001</v>
      </c>
      <c r="CM373" s="398">
        <v>12.707000000000001</v>
      </c>
      <c r="CN373" s="398">
        <v>12.707000000000001</v>
      </c>
      <c r="CO373" s="398">
        <v>12.707000000000001</v>
      </c>
      <c r="CP373" s="398">
        <v>12.707000000000001</v>
      </c>
      <c r="CQ373" s="398">
        <v>12.707000000000001</v>
      </c>
      <c r="CR373" s="398">
        <v>12.707000000000001</v>
      </c>
      <c r="CS373" s="398">
        <v>7.4119999999999999</v>
      </c>
      <c r="CT373" s="398"/>
      <c r="CU373" s="398"/>
      <c r="CV373" s="398"/>
      <c r="CW373" s="398"/>
      <c r="CX373" s="398"/>
      <c r="CY373" s="398"/>
      <c r="CZ373" s="398"/>
      <c r="DA373" s="398"/>
      <c r="DB373" s="398"/>
      <c r="DC373" s="398"/>
      <c r="DD373" s="398"/>
      <c r="DE373" s="393"/>
      <c r="DF373" s="393"/>
      <c r="DG373" s="393"/>
      <c r="DH373" s="393"/>
      <c r="DI373" s="393"/>
      <c r="DJ373" s="393"/>
      <c r="DK373" s="897"/>
    </row>
    <row r="374" spans="1:115" ht="63.75" x14ac:dyDescent="0.2">
      <c r="A374" s="295">
        <v>370</v>
      </c>
      <c r="B374" s="390" t="s">
        <v>526</v>
      </c>
      <c r="C374" s="424" t="s">
        <v>7476</v>
      </c>
      <c r="D374" s="391"/>
      <c r="E374" s="707" t="s">
        <v>527</v>
      </c>
      <c r="F374" s="404" t="s">
        <v>1352</v>
      </c>
      <c r="G374" s="404" t="s">
        <v>1672</v>
      </c>
      <c r="H374" s="404" t="s">
        <v>261</v>
      </c>
      <c r="I374" s="403"/>
      <c r="J374" s="403" t="s">
        <v>261</v>
      </c>
      <c r="K374" s="403"/>
      <c r="L374" s="403" t="s">
        <v>3772</v>
      </c>
      <c r="M374" s="403" t="s">
        <v>3994</v>
      </c>
      <c r="N374" s="404" t="s">
        <v>2412</v>
      </c>
      <c r="O374" s="404" t="s">
        <v>51</v>
      </c>
      <c r="P374" s="404" t="s">
        <v>51</v>
      </c>
      <c r="Q374" s="403" t="s">
        <v>426</v>
      </c>
      <c r="R374" s="403"/>
      <c r="S374" s="403" t="s">
        <v>64</v>
      </c>
      <c r="T374" s="405"/>
      <c r="U374" s="406"/>
      <c r="V374" s="406"/>
      <c r="W374" s="456">
        <v>40513</v>
      </c>
      <c r="X374" s="405">
        <v>28</v>
      </c>
      <c r="Y374" s="405"/>
      <c r="Z374" s="405"/>
      <c r="AA374" s="406"/>
      <c r="AB374" s="455"/>
      <c r="AC374" s="407"/>
      <c r="AD374" s="407"/>
      <c r="AE374" s="404" t="s">
        <v>72</v>
      </c>
      <c r="AF374" s="418"/>
      <c r="AG374" s="418"/>
      <c r="AH374" s="418"/>
      <c r="AI374" s="405"/>
      <c r="AJ374" s="455"/>
      <c r="AK374" s="455"/>
      <c r="AL374" s="404"/>
      <c r="AM374" s="404"/>
      <c r="AN374" s="418"/>
      <c r="AO374" s="403"/>
      <c r="AP374" s="403" t="s">
        <v>55</v>
      </c>
      <c r="AQ374" s="403"/>
      <c r="AR374" s="403" t="s">
        <v>3772</v>
      </c>
      <c r="AS374" s="482">
        <v>40404</v>
      </c>
      <c r="AT374" s="456">
        <v>41191</v>
      </c>
      <c r="AU374" s="455"/>
      <c r="AV374" s="455"/>
      <c r="AW374" s="455"/>
      <c r="AX374" s="455"/>
      <c r="AY374" s="455"/>
      <c r="AZ374" s="455"/>
      <c r="BA374" s="404"/>
      <c r="BB374" s="404" t="s">
        <v>3147</v>
      </c>
      <c r="BC374" s="404" t="b">
        <v>0</v>
      </c>
      <c r="BD374" s="404" t="s">
        <v>3147</v>
      </c>
      <c r="BE374" s="403"/>
      <c r="BF374" s="405">
        <v>4</v>
      </c>
      <c r="BG374" s="405">
        <v>9</v>
      </c>
      <c r="BH374" s="405">
        <v>12</v>
      </c>
      <c r="BI374" s="405">
        <v>5</v>
      </c>
      <c r="BJ374" s="405">
        <v>8</v>
      </c>
      <c r="BK374" s="405"/>
      <c r="BL374" s="446"/>
      <c r="BM374" s="403"/>
      <c r="BN374" s="404"/>
      <c r="BO374" s="404"/>
      <c r="BP374" s="408"/>
      <c r="BQ374" s="409"/>
      <c r="BR374" s="410"/>
      <c r="BS374" s="408"/>
      <c r="BT374" s="405"/>
      <c r="BU374" s="418"/>
      <c r="BV374" s="408"/>
      <c r="BW374" s="404"/>
      <c r="BX374" s="403"/>
      <c r="BY374" s="404"/>
      <c r="BZ374" s="404"/>
      <c r="CA374" s="443"/>
      <c r="CB374" s="409"/>
      <c r="CC374" s="407"/>
      <c r="CD374" s="407"/>
      <c r="CE374" s="407"/>
      <c r="CF374" s="407"/>
      <c r="CG374" s="407"/>
      <c r="CH374" s="407"/>
      <c r="CI374" s="407"/>
      <c r="CJ374" s="407"/>
      <c r="CK374" s="407"/>
      <c r="CL374" s="407"/>
      <c r="CM374" s="407"/>
      <c r="CN374" s="407"/>
      <c r="CO374" s="407"/>
      <c r="CP374" s="407"/>
      <c r="CQ374" s="407"/>
      <c r="CR374" s="407"/>
      <c r="CS374" s="407"/>
      <c r="CT374" s="407"/>
      <c r="CU374" s="407"/>
      <c r="CV374" s="407"/>
      <c r="CW374" s="407"/>
      <c r="CX374" s="407"/>
      <c r="CY374" s="407"/>
      <c r="CZ374" s="407"/>
      <c r="DA374" s="407"/>
      <c r="DB374" s="407"/>
      <c r="DC374" s="407"/>
      <c r="DD374" s="407"/>
      <c r="DE374" s="404"/>
      <c r="DF374" s="404"/>
      <c r="DG374" s="404"/>
      <c r="DH374" s="404"/>
      <c r="DI374" s="404"/>
      <c r="DJ374" s="404"/>
      <c r="DK374" s="897"/>
    </row>
    <row r="375" spans="1:115" ht="51" x14ac:dyDescent="0.2">
      <c r="A375" s="295">
        <v>371</v>
      </c>
      <c r="B375" s="390" t="s">
        <v>2643</v>
      </c>
      <c r="C375" s="390"/>
      <c r="D375" s="391"/>
      <c r="E375" s="707" t="s">
        <v>528</v>
      </c>
      <c r="F375" s="404" t="s">
        <v>1352</v>
      </c>
      <c r="G375" s="404" t="s">
        <v>1672</v>
      </c>
      <c r="H375" s="404" t="s">
        <v>261</v>
      </c>
      <c r="I375" s="403"/>
      <c r="J375" s="403"/>
      <c r="K375" s="403" t="s">
        <v>529</v>
      </c>
      <c r="L375" s="403" t="s">
        <v>3772</v>
      </c>
      <c r="M375" s="403"/>
      <c r="N375" s="404" t="s">
        <v>2412</v>
      </c>
      <c r="O375" s="404" t="s">
        <v>51</v>
      </c>
      <c r="P375" s="404" t="s">
        <v>51</v>
      </c>
      <c r="Q375" s="403" t="s">
        <v>426</v>
      </c>
      <c r="R375" s="403" t="s">
        <v>3995</v>
      </c>
      <c r="S375" s="403" t="s">
        <v>64</v>
      </c>
      <c r="T375" s="405">
        <v>1</v>
      </c>
      <c r="U375" s="406">
        <v>2.4769999999999999</v>
      </c>
      <c r="V375" s="406"/>
      <c r="W375" s="455"/>
      <c r="X375" s="405"/>
      <c r="Y375" s="405">
        <v>10</v>
      </c>
      <c r="Z375" s="405">
        <v>6</v>
      </c>
      <c r="AA375" s="406">
        <v>0</v>
      </c>
      <c r="AB375" s="456">
        <v>40634</v>
      </c>
      <c r="AC375" s="407">
        <v>1.857</v>
      </c>
      <c r="AD375" s="407">
        <v>24.77</v>
      </c>
      <c r="AE375" s="404" t="s">
        <v>72</v>
      </c>
      <c r="AF375" s="418"/>
      <c r="AG375" s="418"/>
      <c r="AH375" s="418"/>
      <c r="AI375" s="405"/>
      <c r="AJ375" s="455"/>
      <c r="AK375" s="455"/>
      <c r="AL375" s="404"/>
      <c r="AM375" s="404"/>
      <c r="AN375" s="418"/>
      <c r="AO375" s="403"/>
      <c r="AP375" s="403" t="s">
        <v>55</v>
      </c>
      <c r="AQ375" s="403"/>
      <c r="AR375" s="403" t="s">
        <v>3772</v>
      </c>
      <c r="AS375" s="482">
        <v>40404</v>
      </c>
      <c r="AT375" s="456">
        <v>41191</v>
      </c>
      <c r="AU375" s="455"/>
      <c r="AV375" s="455"/>
      <c r="AW375" s="455"/>
      <c r="AX375" s="455"/>
      <c r="AY375" s="455"/>
      <c r="AZ375" s="455"/>
      <c r="BA375" s="404"/>
      <c r="BB375" s="404"/>
      <c r="BC375" s="404" t="b">
        <v>0</v>
      </c>
      <c r="BD375" s="404"/>
      <c r="BE375" s="403"/>
      <c r="BF375" s="405">
        <v>4</v>
      </c>
      <c r="BG375" s="405">
        <v>9</v>
      </c>
      <c r="BH375" s="405">
        <v>12</v>
      </c>
      <c r="BI375" s="405">
        <v>5</v>
      </c>
      <c r="BJ375" s="405">
        <v>8</v>
      </c>
      <c r="BK375" s="405"/>
      <c r="BL375" s="446" t="s">
        <v>6981</v>
      </c>
      <c r="BM375" s="403"/>
      <c r="BN375" s="404"/>
      <c r="BO375" s="404"/>
      <c r="BP375" s="408"/>
      <c r="BQ375" s="409"/>
      <c r="BR375" s="410"/>
      <c r="BS375" s="408"/>
      <c r="BT375" s="405"/>
      <c r="BU375" s="418"/>
      <c r="BV375" s="408">
        <v>5.2130000000000001</v>
      </c>
      <c r="BW375" s="404" t="s">
        <v>3117</v>
      </c>
      <c r="BX375" s="403" t="s">
        <v>3160</v>
      </c>
      <c r="BY375" s="404"/>
      <c r="BZ375" s="404"/>
      <c r="CA375" s="443"/>
      <c r="CB375" s="409"/>
      <c r="CC375" s="407"/>
      <c r="CD375" s="407"/>
      <c r="CE375" s="407"/>
      <c r="CF375" s="407"/>
      <c r="CG375" s="407">
        <v>1.857</v>
      </c>
      <c r="CH375" s="407">
        <v>2.4769999999999999</v>
      </c>
      <c r="CI375" s="407">
        <v>2.4769999999999999</v>
      </c>
      <c r="CJ375" s="407">
        <v>2.4769999999999999</v>
      </c>
      <c r="CK375" s="407">
        <v>2.4769999999999999</v>
      </c>
      <c r="CL375" s="407">
        <v>2.4769999999999999</v>
      </c>
      <c r="CM375" s="407">
        <v>2.4769999999999999</v>
      </c>
      <c r="CN375" s="407">
        <v>2.4769999999999999</v>
      </c>
      <c r="CO375" s="407">
        <v>2.4769999999999999</v>
      </c>
      <c r="CP375" s="407">
        <v>2.4769999999999999</v>
      </c>
      <c r="CQ375" s="407">
        <v>0.62</v>
      </c>
      <c r="CR375" s="407"/>
      <c r="CS375" s="407"/>
      <c r="CT375" s="407"/>
      <c r="CU375" s="407"/>
      <c r="CV375" s="407"/>
      <c r="CW375" s="407"/>
      <c r="CX375" s="407"/>
      <c r="CY375" s="407"/>
      <c r="CZ375" s="407"/>
      <c r="DA375" s="407"/>
      <c r="DB375" s="407"/>
      <c r="DC375" s="407"/>
      <c r="DD375" s="407"/>
      <c r="DE375" s="404"/>
      <c r="DF375" s="404"/>
      <c r="DG375" s="404"/>
      <c r="DH375" s="404"/>
      <c r="DI375" s="404"/>
      <c r="DJ375" s="404"/>
      <c r="DK375" s="897"/>
    </row>
    <row r="376" spans="1:115" ht="63.75" x14ac:dyDescent="0.2">
      <c r="A376" s="295">
        <v>372</v>
      </c>
      <c r="B376" s="390" t="s">
        <v>213</v>
      </c>
      <c r="C376" s="424" t="s">
        <v>7477</v>
      </c>
      <c r="D376" s="391"/>
      <c r="E376" s="707" t="s">
        <v>214</v>
      </c>
      <c r="F376" s="404" t="s">
        <v>1352</v>
      </c>
      <c r="G376" s="404" t="s">
        <v>1673</v>
      </c>
      <c r="H376" s="404" t="s">
        <v>42</v>
      </c>
      <c r="I376" s="403"/>
      <c r="J376" s="403" t="s">
        <v>42</v>
      </c>
      <c r="K376" s="403"/>
      <c r="L376" s="403" t="s">
        <v>215</v>
      </c>
      <c r="M376" s="403" t="s">
        <v>3996</v>
      </c>
      <c r="N376" s="404" t="s">
        <v>3142</v>
      </c>
      <c r="O376" s="404" t="s">
        <v>69</v>
      </c>
      <c r="P376" s="404" t="s">
        <v>69</v>
      </c>
      <c r="Q376" s="403" t="s">
        <v>172</v>
      </c>
      <c r="R376" s="403"/>
      <c r="S376" s="403" t="s">
        <v>216</v>
      </c>
      <c r="T376" s="405">
        <v>1</v>
      </c>
      <c r="U376" s="406">
        <v>57.661999999999999</v>
      </c>
      <c r="V376" s="406"/>
      <c r="W376" s="456">
        <v>40281</v>
      </c>
      <c r="X376" s="405">
        <v>28</v>
      </c>
      <c r="Y376" s="405"/>
      <c r="Z376" s="405"/>
      <c r="AA376" s="406"/>
      <c r="AB376" s="455"/>
      <c r="AC376" s="407">
        <v>110.538054</v>
      </c>
      <c r="AD376" s="407">
        <v>576.62</v>
      </c>
      <c r="AE376" s="404" t="s">
        <v>54</v>
      </c>
      <c r="AF376" s="418"/>
      <c r="AG376" s="418"/>
      <c r="AH376" s="418">
        <v>0</v>
      </c>
      <c r="AI376" s="405"/>
      <c r="AJ376" s="455"/>
      <c r="AK376" s="455"/>
      <c r="AL376" s="404"/>
      <c r="AM376" s="404"/>
      <c r="AN376" s="418"/>
      <c r="AO376" s="403"/>
      <c r="AP376" s="403" t="s">
        <v>55</v>
      </c>
      <c r="AQ376" s="403"/>
      <c r="AR376" s="403" t="s">
        <v>215</v>
      </c>
      <c r="AS376" s="482">
        <v>40443</v>
      </c>
      <c r="AT376" s="455"/>
      <c r="AU376" s="455"/>
      <c r="AV376" s="455"/>
      <c r="AW376" s="455"/>
      <c r="AX376" s="455"/>
      <c r="AY376" s="455"/>
      <c r="AZ376" s="455"/>
      <c r="BA376" s="404"/>
      <c r="BB376" s="404" t="s">
        <v>3147</v>
      </c>
      <c r="BC376" s="404" t="b">
        <v>0</v>
      </c>
      <c r="BD376" s="404" t="s">
        <v>3147</v>
      </c>
      <c r="BE376" s="403"/>
      <c r="BF376" s="405">
        <v>8</v>
      </c>
      <c r="BG376" s="405">
        <v>9</v>
      </c>
      <c r="BH376" s="405">
        <v>1</v>
      </c>
      <c r="BI376" s="405">
        <v>6</v>
      </c>
      <c r="BJ376" s="405">
        <v>4</v>
      </c>
      <c r="BK376" s="405">
        <v>2</v>
      </c>
      <c r="BL376" s="446"/>
      <c r="BM376" s="403"/>
      <c r="BN376" s="404"/>
      <c r="BO376" s="404"/>
      <c r="BP376" s="408"/>
      <c r="BQ376" s="409"/>
      <c r="BR376" s="410"/>
      <c r="BS376" s="408">
        <v>1.74</v>
      </c>
      <c r="BT376" s="405"/>
      <c r="BU376" s="418"/>
      <c r="BV376" s="408"/>
      <c r="BW376" s="404"/>
      <c r="BX376" s="403"/>
      <c r="BY376" s="404"/>
      <c r="BZ376" s="404"/>
      <c r="CA376" s="443"/>
      <c r="CB376" s="409"/>
      <c r="CC376" s="407"/>
      <c r="CD376" s="407"/>
      <c r="CE376" s="407"/>
      <c r="CF376" s="407"/>
      <c r="CG376" s="407"/>
      <c r="CH376" s="407"/>
      <c r="CI376" s="407"/>
      <c r="CJ376" s="407"/>
      <c r="CK376" s="407"/>
      <c r="CL376" s="407"/>
      <c r="CM376" s="407"/>
      <c r="CN376" s="407"/>
      <c r="CO376" s="407"/>
      <c r="CP376" s="407"/>
      <c r="CQ376" s="407"/>
      <c r="CR376" s="407"/>
      <c r="CS376" s="407"/>
      <c r="CT376" s="407"/>
      <c r="CU376" s="407"/>
      <c r="CV376" s="407"/>
      <c r="CW376" s="407"/>
      <c r="CX376" s="407"/>
      <c r="CY376" s="407"/>
      <c r="CZ376" s="407"/>
      <c r="DA376" s="407"/>
      <c r="DB376" s="407"/>
      <c r="DC376" s="407"/>
      <c r="DD376" s="407"/>
      <c r="DE376" s="404"/>
      <c r="DF376" s="404"/>
      <c r="DG376" s="404"/>
      <c r="DH376" s="404"/>
      <c r="DI376" s="404"/>
      <c r="DJ376" s="404"/>
      <c r="DK376" s="897"/>
    </row>
    <row r="377" spans="1:115" ht="51" x14ac:dyDescent="0.2">
      <c r="A377" s="295">
        <v>373</v>
      </c>
      <c r="B377" s="390" t="s">
        <v>2644</v>
      </c>
      <c r="C377" s="390"/>
      <c r="D377" s="391"/>
      <c r="E377" s="707" t="s">
        <v>217</v>
      </c>
      <c r="F377" s="404" t="s">
        <v>1352</v>
      </c>
      <c r="G377" s="404" t="s">
        <v>1673</v>
      </c>
      <c r="H377" s="404" t="s">
        <v>42</v>
      </c>
      <c r="I377" s="403"/>
      <c r="J377" s="403"/>
      <c r="K377" s="403" t="s">
        <v>85</v>
      </c>
      <c r="L377" s="403" t="s">
        <v>215</v>
      </c>
      <c r="M377" s="403"/>
      <c r="N377" s="404" t="s">
        <v>3142</v>
      </c>
      <c r="O377" s="404" t="s">
        <v>69</v>
      </c>
      <c r="P377" s="404" t="s">
        <v>69</v>
      </c>
      <c r="Q377" s="403" t="s">
        <v>172</v>
      </c>
      <c r="R377" s="403" t="s">
        <v>3997</v>
      </c>
      <c r="S377" s="403" t="s">
        <v>216</v>
      </c>
      <c r="T377" s="405">
        <v>1</v>
      </c>
      <c r="U377" s="406">
        <v>57.661999999999999</v>
      </c>
      <c r="V377" s="406"/>
      <c r="W377" s="455"/>
      <c r="X377" s="405"/>
      <c r="Y377" s="405">
        <v>10</v>
      </c>
      <c r="Z377" s="405">
        <v>20</v>
      </c>
      <c r="AA377" s="406">
        <v>0</v>
      </c>
      <c r="AB377" s="456">
        <v>40575</v>
      </c>
      <c r="AC377" s="407">
        <v>110.538054</v>
      </c>
      <c r="AD377" s="407">
        <v>576.62</v>
      </c>
      <c r="AE377" s="404" t="s">
        <v>54</v>
      </c>
      <c r="AF377" s="418"/>
      <c r="AG377" s="418"/>
      <c r="AH377" s="418"/>
      <c r="AI377" s="405"/>
      <c r="AJ377" s="455"/>
      <c r="AK377" s="455"/>
      <c r="AL377" s="404"/>
      <c r="AM377" s="404"/>
      <c r="AN377" s="418"/>
      <c r="AO377" s="403"/>
      <c r="AP377" s="403" t="s">
        <v>55</v>
      </c>
      <c r="AQ377" s="403"/>
      <c r="AR377" s="403" t="s">
        <v>215</v>
      </c>
      <c r="AS377" s="482">
        <v>40443</v>
      </c>
      <c r="AT377" s="455"/>
      <c r="AU377" s="455"/>
      <c r="AV377" s="455"/>
      <c r="AW377" s="455"/>
      <c r="AX377" s="455"/>
      <c r="AY377" s="455"/>
      <c r="AZ377" s="455"/>
      <c r="BA377" s="404"/>
      <c r="BB377" s="404"/>
      <c r="BC377" s="404" t="b">
        <v>0</v>
      </c>
      <c r="BD377" s="404"/>
      <c r="BE377" s="403"/>
      <c r="BF377" s="405">
        <v>8</v>
      </c>
      <c r="BG377" s="405">
        <v>9</v>
      </c>
      <c r="BH377" s="405">
        <v>1</v>
      </c>
      <c r="BI377" s="405">
        <v>6</v>
      </c>
      <c r="BJ377" s="405">
        <v>4</v>
      </c>
      <c r="BK377" s="405">
        <v>2</v>
      </c>
      <c r="BL377" s="446" t="s">
        <v>6981</v>
      </c>
      <c r="BM377" s="403"/>
      <c r="BN377" s="404"/>
      <c r="BO377" s="404"/>
      <c r="BP377" s="408"/>
      <c r="BQ377" s="409"/>
      <c r="BR377" s="410"/>
      <c r="BS377" s="408">
        <v>1.74</v>
      </c>
      <c r="BT377" s="405"/>
      <c r="BU377" s="418"/>
      <c r="BV377" s="408"/>
      <c r="BW377" s="404" t="s">
        <v>3117</v>
      </c>
      <c r="BX377" s="403" t="s">
        <v>3160</v>
      </c>
      <c r="BY377" s="404"/>
      <c r="BZ377" s="404"/>
      <c r="CA377" s="443"/>
      <c r="CB377" s="409"/>
      <c r="CC377" s="407"/>
      <c r="CD377" s="407"/>
      <c r="CE377" s="407"/>
      <c r="CF377" s="407"/>
      <c r="CG377" s="407">
        <v>57.661999999999999</v>
      </c>
      <c r="CH377" s="407">
        <v>57.661999999999999</v>
      </c>
      <c r="CI377" s="407">
        <v>57.661999999999999</v>
      </c>
      <c r="CJ377" s="407">
        <v>57.661999999999999</v>
      </c>
      <c r="CK377" s="407">
        <v>57.661999999999999</v>
      </c>
      <c r="CL377" s="407">
        <v>57.661999999999999</v>
      </c>
      <c r="CM377" s="407">
        <v>57.661999999999999</v>
      </c>
      <c r="CN377" s="407">
        <v>57.661999999999999</v>
      </c>
      <c r="CO377" s="407">
        <v>57.661999999999999</v>
      </c>
      <c r="CP377" s="407">
        <v>57.661999999999999</v>
      </c>
      <c r="CQ377" s="407"/>
      <c r="CR377" s="407"/>
      <c r="CS377" s="407"/>
      <c r="CT377" s="407"/>
      <c r="CU377" s="407"/>
      <c r="CV377" s="407"/>
      <c r="CW377" s="407"/>
      <c r="CX377" s="407"/>
      <c r="CY377" s="407"/>
      <c r="CZ377" s="407"/>
      <c r="DA377" s="407"/>
      <c r="DB377" s="407"/>
      <c r="DC377" s="407"/>
      <c r="DD377" s="407"/>
      <c r="DE377" s="404"/>
      <c r="DF377" s="404"/>
      <c r="DG377" s="404"/>
      <c r="DH377" s="404"/>
      <c r="DI377" s="404"/>
      <c r="DJ377" s="404"/>
      <c r="DK377" s="897"/>
    </row>
    <row r="378" spans="1:115" ht="63.75" x14ac:dyDescent="0.2">
      <c r="A378" s="295">
        <v>374</v>
      </c>
      <c r="B378" s="390" t="s">
        <v>1099</v>
      </c>
      <c r="C378" s="424" t="s">
        <v>7478</v>
      </c>
      <c r="D378" s="391"/>
      <c r="E378" s="707" t="s">
        <v>401</v>
      </c>
      <c r="F378" s="404" t="s">
        <v>1340</v>
      </c>
      <c r="G378" s="404" t="s">
        <v>1677</v>
      </c>
      <c r="H378" s="404" t="s">
        <v>151</v>
      </c>
      <c r="I378" s="403"/>
      <c r="J378" s="403" t="s">
        <v>151</v>
      </c>
      <c r="K378" s="403"/>
      <c r="L378" s="403" t="s">
        <v>1100</v>
      </c>
      <c r="M378" s="403" t="s">
        <v>3998</v>
      </c>
      <c r="N378" s="404" t="s">
        <v>2412</v>
      </c>
      <c r="O378" s="404" t="s">
        <v>80</v>
      </c>
      <c r="P378" s="404" t="s">
        <v>80</v>
      </c>
      <c r="Q378" s="403" t="s">
        <v>1101</v>
      </c>
      <c r="R378" s="403"/>
      <c r="S378" s="403" t="s">
        <v>1102</v>
      </c>
      <c r="T378" s="405"/>
      <c r="U378" s="406"/>
      <c r="V378" s="406"/>
      <c r="W378" s="456">
        <v>40391</v>
      </c>
      <c r="X378" s="405">
        <v>28</v>
      </c>
      <c r="Y378" s="405"/>
      <c r="Z378" s="405"/>
      <c r="AA378" s="406"/>
      <c r="AB378" s="455"/>
      <c r="AC378" s="407"/>
      <c r="AD378" s="407"/>
      <c r="AE378" s="404" t="s">
        <v>72</v>
      </c>
      <c r="AF378" s="418"/>
      <c r="AG378" s="418"/>
      <c r="AH378" s="418"/>
      <c r="AI378" s="405"/>
      <c r="AJ378" s="455"/>
      <c r="AK378" s="455"/>
      <c r="AL378" s="404"/>
      <c r="AM378" s="404"/>
      <c r="AN378" s="418"/>
      <c r="AO378" s="403"/>
      <c r="AP378" s="403" t="s">
        <v>7050</v>
      </c>
      <c r="AQ378" s="403"/>
      <c r="AR378" s="403" t="s">
        <v>274</v>
      </c>
      <c r="AS378" s="482">
        <v>40443</v>
      </c>
      <c r="AT378" s="456">
        <v>40856</v>
      </c>
      <c r="AU378" s="455"/>
      <c r="AV378" s="455"/>
      <c r="AW378" s="455"/>
      <c r="AX378" s="455"/>
      <c r="AY378" s="455"/>
      <c r="AZ378" s="455"/>
      <c r="BA378" s="404"/>
      <c r="BB378" s="404" t="s">
        <v>3147</v>
      </c>
      <c r="BC378" s="404" t="b">
        <v>1</v>
      </c>
      <c r="BD378" s="404" t="s">
        <v>3147</v>
      </c>
      <c r="BE378" s="403"/>
      <c r="BF378" s="405">
        <v>7</v>
      </c>
      <c r="BG378" s="405">
        <v>5</v>
      </c>
      <c r="BH378" s="405"/>
      <c r="BI378" s="405"/>
      <c r="BJ378" s="405"/>
      <c r="BK378" s="405"/>
      <c r="BL378" s="446"/>
      <c r="BM378" s="403"/>
      <c r="BN378" s="404"/>
      <c r="BO378" s="404"/>
      <c r="BP378" s="408"/>
      <c r="BQ378" s="409"/>
      <c r="BR378" s="410"/>
      <c r="BS378" s="408"/>
      <c r="BT378" s="405"/>
      <c r="BU378" s="418"/>
      <c r="BV378" s="408"/>
      <c r="BW378" s="404"/>
      <c r="BX378" s="403"/>
      <c r="BY378" s="404"/>
      <c r="BZ378" s="404"/>
      <c r="CA378" s="443"/>
      <c r="CB378" s="409"/>
      <c r="CC378" s="407"/>
      <c r="CD378" s="407"/>
      <c r="CE378" s="407"/>
      <c r="CF378" s="407"/>
      <c r="CG378" s="407"/>
      <c r="CH378" s="407"/>
      <c r="CI378" s="407"/>
      <c r="CJ378" s="407"/>
      <c r="CK378" s="407"/>
      <c r="CL378" s="407"/>
      <c r="CM378" s="407"/>
      <c r="CN378" s="407"/>
      <c r="CO378" s="407"/>
      <c r="CP378" s="407"/>
      <c r="CQ378" s="407"/>
      <c r="CR378" s="407"/>
      <c r="CS378" s="407"/>
      <c r="CT378" s="407"/>
      <c r="CU378" s="407"/>
      <c r="CV378" s="407"/>
      <c r="CW378" s="407"/>
      <c r="CX378" s="407"/>
      <c r="CY378" s="407"/>
      <c r="CZ378" s="407"/>
      <c r="DA378" s="407"/>
      <c r="DB378" s="407"/>
      <c r="DC378" s="407"/>
      <c r="DD378" s="407"/>
      <c r="DE378" s="404"/>
      <c r="DF378" s="404"/>
      <c r="DG378" s="404"/>
      <c r="DH378" s="404"/>
      <c r="DI378" s="404"/>
      <c r="DJ378" s="404"/>
      <c r="DK378" s="897"/>
    </row>
    <row r="379" spans="1:115" ht="25.5" x14ac:dyDescent="0.2">
      <c r="A379" s="295">
        <v>375</v>
      </c>
      <c r="B379" s="390" t="s">
        <v>2645</v>
      </c>
      <c r="C379" s="390"/>
      <c r="D379" s="391"/>
      <c r="E379" s="707" t="s">
        <v>404</v>
      </c>
      <c r="F379" s="404" t="s">
        <v>1340</v>
      </c>
      <c r="G379" s="404" t="s">
        <v>1677</v>
      </c>
      <c r="H379" s="404" t="s">
        <v>151</v>
      </c>
      <c r="I379" s="403"/>
      <c r="J379" s="403"/>
      <c r="K379" s="403" t="s">
        <v>2144</v>
      </c>
      <c r="L379" s="403" t="s">
        <v>1100</v>
      </c>
      <c r="M379" s="403"/>
      <c r="N379" s="404" t="s">
        <v>2412</v>
      </c>
      <c r="O379" s="404" t="s">
        <v>80</v>
      </c>
      <c r="P379" s="404" t="s">
        <v>80</v>
      </c>
      <c r="Q379" s="403" t="s">
        <v>1101</v>
      </c>
      <c r="R379" s="403" t="s">
        <v>3999</v>
      </c>
      <c r="S379" s="403" t="s">
        <v>1102</v>
      </c>
      <c r="T379" s="405">
        <v>1</v>
      </c>
      <c r="U379" s="406">
        <v>870.37599999999998</v>
      </c>
      <c r="V379" s="406"/>
      <c r="W379" s="455"/>
      <c r="X379" s="405"/>
      <c r="Y379" s="405">
        <v>7</v>
      </c>
      <c r="Z379" s="405">
        <v>15</v>
      </c>
      <c r="AA379" s="406">
        <v>150</v>
      </c>
      <c r="AB379" s="456">
        <v>40574</v>
      </c>
      <c r="AC379" s="407">
        <v>709.96100000000001</v>
      </c>
      <c r="AD379" s="407">
        <v>8636.9914301369863</v>
      </c>
      <c r="AE379" s="404" t="s">
        <v>72</v>
      </c>
      <c r="AF379" s="418"/>
      <c r="AG379" s="418"/>
      <c r="AH379" s="418"/>
      <c r="AI379" s="405"/>
      <c r="AJ379" s="455"/>
      <c r="AK379" s="455"/>
      <c r="AL379" s="404"/>
      <c r="AM379" s="404"/>
      <c r="AN379" s="418"/>
      <c r="AO379" s="403"/>
      <c r="AP379" s="403" t="s">
        <v>7050</v>
      </c>
      <c r="AQ379" s="403"/>
      <c r="AR379" s="403" t="s">
        <v>274</v>
      </c>
      <c r="AS379" s="482">
        <v>40443</v>
      </c>
      <c r="AT379" s="456">
        <v>40856</v>
      </c>
      <c r="AU379" s="455"/>
      <c r="AV379" s="455"/>
      <c r="AW379" s="455"/>
      <c r="AX379" s="455"/>
      <c r="AY379" s="455"/>
      <c r="AZ379" s="455"/>
      <c r="BA379" s="404"/>
      <c r="BB379" s="404"/>
      <c r="BC379" s="404" t="b">
        <v>0</v>
      </c>
      <c r="BD379" s="404"/>
      <c r="BE379" s="403"/>
      <c r="BF379" s="405">
        <v>7</v>
      </c>
      <c r="BG379" s="405">
        <v>5</v>
      </c>
      <c r="BH379" s="405"/>
      <c r="BI379" s="405"/>
      <c r="BJ379" s="405"/>
      <c r="BK379" s="405"/>
      <c r="BL379" s="446" t="s">
        <v>6981</v>
      </c>
      <c r="BM379" s="403"/>
      <c r="BN379" s="404"/>
      <c r="BO379" s="404"/>
      <c r="BP379" s="408"/>
      <c r="BQ379" s="409"/>
      <c r="BR379" s="410"/>
      <c r="BS379" s="408"/>
      <c r="BT379" s="405">
        <v>77541</v>
      </c>
      <c r="BU379" s="418">
        <v>0.16350000000000001</v>
      </c>
      <c r="BV379" s="408"/>
      <c r="BW379" s="404" t="s">
        <v>3117</v>
      </c>
      <c r="BX379" s="403"/>
      <c r="BY379" s="404"/>
      <c r="BZ379" s="404"/>
      <c r="CA379" s="443" t="s">
        <v>1662</v>
      </c>
      <c r="CB379" s="409">
        <v>3</v>
      </c>
      <c r="CC379" s="407"/>
      <c r="CD379" s="407"/>
      <c r="CE379" s="407"/>
      <c r="CF379" s="407"/>
      <c r="CG379" s="407">
        <v>196.21799999999999</v>
      </c>
      <c r="CH379" s="407">
        <v>513.74300000000005</v>
      </c>
      <c r="CI379" s="407">
        <v>783.22199999999998</v>
      </c>
      <c r="CJ379" s="407">
        <v>964.71900000000005</v>
      </c>
      <c r="CK379" s="407">
        <v>111.1041</v>
      </c>
      <c r="CL379" s="407">
        <v>1217.319</v>
      </c>
      <c r="CM379" s="407">
        <v>1306.3699999999999</v>
      </c>
      <c r="CN379" s="407">
        <v>1306.3699999999999</v>
      </c>
      <c r="CO379" s="407">
        <v>1306.3699999999999</v>
      </c>
      <c r="CP379" s="407">
        <v>1306.3699999999999</v>
      </c>
      <c r="CQ379" s="407">
        <v>1306.3699999999999</v>
      </c>
      <c r="CR379" s="407">
        <v>1306.3699999999999</v>
      </c>
      <c r="CS379" s="407">
        <v>1306.3699999999999</v>
      </c>
      <c r="CT379" s="407">
        <v>1306.3699999999999</v>
      </c>
      <c r="CU379" s="407"/>
      <c r="CV379" s="407"/>
      <c r="CW379" s="407"/>
      <c r="CX379" s="407"/>
      <c r="CY379" s="407"/>
      <c r="CZ379" s="407"/>
      <c r="DA379" s="407"/>
      <c r="DB379" s="407"/>
      <c r="DC379" s="407"/>
      <c r="DD379" s="407"/>
      <c r="DE379" s="404"/>
      <c r="DF379" s="404"/>
      <c r="DG379" s="404"/>
      <c r="DH379" s="404"/>
      <c r="DI379" s="404"/>
      <c r="DJ379" s="404"/>
      <c r="DK379" s="897"/>
    </row>
    <row r="380" spans="1:115" ht="63.75" x14ac:dyDescent="0.2">
      <c r="A380" s="295">
        <v>376</v>
      </c>
      <c r="B380" s="390" t="s">
        <v>194</v>
      </c>
      <c r="C380" s="424" t="s">
        <v>7479</v>
      </c>
      <c r="D380" s="391" t="s">
        <v>4670</v>
      </c>
      <c r="E380" s="704" t="s">
        <v>195</v>
      </c>
      <c r="F380" s="393" t="s">
        <v>1352</v>
      </c>
      <c r="G380" s="393" t="s">
        <v>1671</v>
      </c>
      <c r="H380" s="393" t="s">
        <v>117</v>
      </c>
      <c r="I380" s="392"/>
      <c r="J380" s="392" t="s">
        <v>196</v>
      </c>
      <c r="K380" s="392"/>
      <c r="L380" s="392" t="s">
        <v>197</v>
      </c>
      <c r="M380" s="392" t="s">
        <v>4000</v>
      </c>
      <c r="N380" s="393" t="s">
        <v>44</v>
      </c>
      <c r="O380" s="393" t="s">
        <v>69</v>
      </c>
      <c r="P380" s="393" t="s">
        <v>69</v>
      </c>
      <c r="Q380" s="392" t="s">
        <v>172</v>
      </c>
      <c r="R380" s="392"/>
      <c r="S380" s="428" t="s">
        <v>205</v>
      </c>
      <c r="T380" s="394">
        <v>87</v>
      </c>
      <c r="U380" s="395">
        <v>864.8850000000009</v>
      </c>
      <c r="V380" s="395"/>
      <c r="W380" s="452">
        <v>40522</v>
      </c>
      <c r="X380" s="394">
        <v>28</v>
      </c>
      <c r="Y380" s="394"/>
      <c r="Z380" s="394"/>
      <c r="AA380" s="395"/>
      <c r="AB380" s="453"/>
      <c r="AC380" s="398">
        <v>1</v>
      </c>
      <c r="AD380" s="398">
        <v>8648.8499999999913</v>
      </c>
      <c r="AE380" s="393" t="s">
        <v>47</v>
      </c>
      <c r="AF380" s="417">
        <f>SUM(AF381:AF467)</f>
        <v>1.411</v>
      </c>
      <c r="AG380" s="417">
        <f>SUM(AG381:AG467)</f>
        <v>1831.2060000000015</v>
      </c>
      <c r="AH380" s="417">
        <v>1832.6170000000011</v>
      </c>
      <c r="AI380" s="394">
        <v>2</v>
      </c>
      <c r="AJ380" s="452">
        <v>41642</v>
      </c>
      <c r="AK380" s="452">
        <v>42369</v>
      </c>
      <c r="AL380" s="393"/>
      <c r="AM380" s="393"/>
      <c r="AN380" s="417"/>
      <c r="AO380" s="392"/>
      <c r="AP380" s="392" t="s">
        <v>7060</v>
      </c>
      <c r="AQ380" s="392"/>
      <c r="AR380" s="392" t="s">
        <v>199</v>
      </c>
      <c r="AS380" s="479">
        <v>40479</v>
      </c>
      <c r="AT380" s="453"/>
      <c r="AU380" s="453"/>
      <c r="AV380" s="452">
        <v>40878</v>
      </c>
      <c r="AW380" s="452">
        <v>41004</v>
      </c>
      <c r="AX380" s="453"/>
      <c r="AY380" s="452">
        <v>41010</v>
      </c>
      <c r="AZ380" s="453"/>
      <c r="BA380" s="393"/>
      <c r="BB380" s="393" t="s">
        <v>3116</v>
      </c>
      <c r="BC380" s="393" t="b">
        <v>0</v>
      </c>
      <c r="BD380" s="393" t="s">
        <v>3116</v>
      </c>
      <c r="BE380" s="392" t="s">
        <v>6246</v>
      </c>
      <c r="BF380" s="394">
        <v>9</v>
      </c>
      <c r="BG380" s="394">
        <v>8</v>
      </c>
      <c r="BH380" s="394">
        <v>1</v>
      </c>
      <c r="BI380" s="394">
        <v>4</v>
      </c>
      <c r="BJ380" s="394">
        <v>6</v>
      </c>
      <c r="BK380" s="394"/>
      <c r="BL380" s="444"/>
      <c r="BM380" s="392"/>
      <c r="BN380" s="393"/>
      <c r="BO380" s="393"/>
      <c r="BP380" s="399"/>
      <c r="BQ380" s="400"/>
      <c r="BR380" s="401"/>
      <c r="BS380" s="399">
        <v>0</v>
      </c>
      <c r="BT380" s="394"/>
      <c r="BU380" s="417"/>
      <c r="BV380" s="399"/>
      <c r="BW380" s="393"/>
      <c r="BX380" s="392"/>
      <c r="BY380" s="393"/>
      <c r="BZ380" s="393"/>
      <c r="CA380" s="441"/>
      <c r="CB380" s="400"/>
      <c r="CC380" s="398"/>
      <c r="CD380" s="398"/>
      <c r="CE380" s="398"/>
      <c r="CF380" s="398"/>
      <c r="CG380" s="398"/>
      <c r="CH380" s="398"/>
      <c r="CI380" s="398"/>
      <c r="CJ380" s="398"/>
      <c r="CK380" s="398"/>
      <c r="CL380" s="398"/>
      <c r="CM380" s="398"/>
      <c r="CN380" s="398"/>
      <c r="CO380" s="398"/>
      <c r="CP380" s="398"/>
      <c r="CQ380" s="398"/>
      <c r="CR380" s="398"/>
      <c r="CS380" s="398"/>
      <c r="CT380" s="398"/>
      <c r="CU380" s="398"/>
      <c r="CV380" s="398"/>
      <c r="CW380" s="398"/>
      <c r="CX380" s="398"/>
      <c r="CY380" s="398"/>
      <c r="CZ380" s="398"/>
      <c r="DA380" s="398"/>
      <c r="DB380" s="398"/>
      <c r="DC380" s="398"/>
      <c r="DD380" s="398"/>
      <c r="DE380" s="393"/>
      <c r="DF380" s="393"/>
      <c r="DG380" s="393"/>
      <c r="DH380" s="393"/>
      <c r="DI380" s="393"/>
      <c r="DJ380" s="393"/>
      <c r="DK380" s="896" t="s">
        <v>9699</v>
      </c>
    </row>
    <row r="381" spans="1:115" ht="25.5" x14ac:dyDescent="0.2">
      <c r="A381" s="295">
        <v>377</v>
      </c>
      <c r="B381" s="390" t="s">
        <v>2646</v>
      </c>
      <c r="C381" s="390"/>
      <c r="D381" s="391" t="s">
        <v>2317</v>
      </c>
      <c r="E381" s="704" t="s">
        <v>200</v>
      </c>
      <c r="F381" s="393" t="s">
        <v>1352</v>
      </c>
      <c r="G381" s="393" t="s">
        <v>1671</v>
      </c>
      <c r="H381" s="393" t="s">
        <v>117</v>
      </c>
      <c r="I381" s="392"/>
      <c r="J381" s="392"/>
      <c r="K381" s="392" t="s">
        <v>201</v>
      </c>
      <c r="L381" s="392" t="s">
        <v>197</v>
      </c>
      <c r="M381" s="392"/>
      <c r="N381" s="393" t="s">
        <v>44</v>
      </c>
      <c r="O381" s="393" t="s">
        <v>69</v>
      </c>
      <c r="P381" s="393" t="s">
        <v>69</v>
      </c>
      <c r="Q381" s="392" t="s">
        <v>172</v>
      </c>
      <c r="R381" s="392" t="s">
        <v>4001</v>
      </c>
      <c r="S381" s="428" t="s">
        <v>205</v>
      </c>
      <c r="T381" s="394">
        <v>1</v>
      </c>
      <c r="U381" s="395">
        <v>2.278</v>
      </c>
      <c r="V381" s="395"/>
      <c r="W381" s="453"/>
      <c r="X381" s="394"/>
      <c r="Y381" s="394">
        <v>10</v>
      </c>
      <c r="Z381" s="394">
        <v>20</v>
      </c>
      <c r="AA381" s="395">
        <v>0</v>
      </c>
      <c r="AB381" s="452">
        <v>41030</v>
      </c>
      <c r="AC381" s="398">
        <v>1</v>
      </c>
      <c r="AD381" s="398">
        <v>22.78</v>
      </c>
      <c r="AE381" s="393" t="s">
        <v>47</v>
      </c>
      <c r="AF381" s="417">
        <v>1.411</v>
      </c>
      <c r="AG381" s="417">
        <f>0.932+1.681+1.97+1.979</f>
        <v>6.5620000000000003</v>
      </c>
      <c r="AH381" s="417">
        <v>7.9730000000000008</v>
      </c>
      <c r="AI381" s="394">
        <v>2</v>
      </c>
      <c r="AJ381" s="452">
        <v>41642</v>
      </c>
      <c r="AK381" s="452">
        <v>42369</v>
      </c>
      <c r="AL381" s="393"/>
      <c r="AM381" s="393"/>
      <c r="AN381" s="417"/>
      <c r="AO381" s="392"/>
      <c r="AP381" s="392" t="s">
        <v>7060</v>
      </c>
      <c r="AQ381" s="392"/>
      <c r="AR381" s="392" t="s">
        <v>199</v>
      </c>
      <c r="AS381" s="479">
        <v>40479</v>
      </c>
      <c r="AT381" s="453"/>
      <c r="AU381" s="453"/>
      <c r="AV381" s="453"/>
      <c r="AW381" s="453"/>
      <c r="AX381" s="453"/>
      <c r="AY381" s="453"/>
      <c r="AZ381" s="452">
        <v>41010</v>
      </c>
      <c r="BA381" s="393"/>
      <c r="BB381" s="393"/>
      <c r="BC381" s="393" t="b">
        <v>0</v>
      </c>
      <c r="BD381" s="393"/>
      <c r="BE381" s="392" t="s">
        <v>6053</v>
      </c>
      <c r="BF381" s="394">
        <v>9</v>
      </c>
      <c r="BG381" s="394">
        <v>8</v>
      </c>
      <c r="BH381" s="394">
        <v>1</v>
      </c>
      <c r="BI381" s="394">
        <v>4</v>
      </c>
      <c r="BJ381" s="394">
        <v>6</v>
      </c>
      <c r="BK381" s="394"/>
      <c r="BL381" s="444" t="s">
        <v>6981</v>
      </c>
      <c r="BM381" s="392"/>
      <c r="BN381" s="393"/>
      <c r="BO381" s="393"/>
      <c r="BP381" s="399"/>
      <c r="BQ381" s="400"/>
      <c r="BR381" s="401"/>
      <c r="BS381" s="399"/>
      <c r="BT381" s="394"/>
      <c r="BU381" s="417"/>
      <c r="BV381" s="399"/>
      <c r="BW381" s="393" t="s">
        <v>3117</v>
      </c>
      <c r="BX381" s="392" t="s">
        <v>4364</v>
      </c>
      <c r="BY381" s="393" t="s">
        <v>7224</v>
      </c>
      <c r="BZ381" s="393"/>
      <c r="CA381" s="441"/>
      <c r="CB381" s="400"/>
      <c r="CC381" s="398"/>
      <c r="CD381" s="398"/>
      <c r="CE381" s="398"/>
      <c r="CF381" s="398"/>
      <c r="CG381" s="398"/>
      <c r="CH381" s="398">
        <v>2.278</v>
      </c>
      <c r="CI381" s="398">
        <v>2.278</v>
      </c>
      <c r="CJ381" s="398">
        <v>2.278</v>
      </c>
      <c r="CK381" s="398">
        <v>2.278</v>
      </c>
      <c r="CL381" s="398">
        <v>2.278</v>
      </c>
      <c r="CM381" s="398">
        <v>2.278</v>
      </c>
      <c r="CN381" s="398">
        <v>2.278</v>
      </c>
      <c r="CO381" s="398">
        <v>2.278</v>
      </c>
      <c r="CP381" s="398">
        <v>2.278</v>
      </c>
      <c r="CQ381" s="398"/>
      <c r="CR381" s="398"/>
      <c r="CS381" s="398"/>
      <c r="CT381" s="398"/>
      <c r="CU381" s="398"/>
      <c r="CV381" s="398"/>
      <c r="CW381" s="398"/>
      <c r="CX381" s="398"/>
      <c r="CY381" s="398"/>
      <c r="CZ381" s="398"/>
      <c r="DA381" s="398"/>
      <c r="DB381" s="398"/>
      <c r="DC381" s="398"/>
      <c r="DD381" s="398"/>
      <c r="DE381" s="393"/>
      <c r="DF381" s="393"/>
      <c r="DG381" s="393"/>
      <c r="DH381" s="393"/>
      <c r="DI381" s="393"/>
      <c r="DJ381" s="393"/>
      <c r="DK381" s="897"/>
    </row>
    <row r="382" spans="1:115" ht="25.5" x14ac:dyDescent="0.2">
      <c r="A382" s="295">
        <v>378</v>
      </c>
      <c r="B382" s="390" t="s">
        <v>5832</v>
      </c>
      <c r="C382" s="390"/>
      <c r="D382" s="391" t="s">
        <v>4683</v>
      </c>
      <c r="E382" s="704" t="s">
        <v>4684</v>
      </c>
      <c r="F382" s="393" t="s">
        <v>1352</v>
      </c>
      <c r="G382" s="393" t="s">
        <v>1671</v>
      </c>
      <c r="H382" s="393" t="s">
        <v>117</v>
      </c>
      <c r="I382" s="392"/>
      <c r="J382" s="392"/>
      <c r="K382" s="392" t="s">
        <v>201</v>
      </c>
      <c r="L382" s="392" t="s">
        <v>197</v>
      </c>
      <c r="M382" s="392"/>
      <c r="N382" s="393" t="s">
        <v>44</v>
      </c>
      <c r="O382" s="393" t="s">
        <v>69</v>
      </c>
      <c r="P382" s="393" t="s">
        <v>69</v>
      </c>
      <c r="Q382" s="392" t="s">
        <v>172</v>
      </c>
      <c r="R382" s="392" t="s">
        <v>4685</v>
      </c>
      <c r="S382" s="428" t="s">
        <v>205</v>
      </c>
      <c r="T382" s="394">
        <v>1</v>
      </c>
      <c r="U382" s="395">
        <v>10.146000000000001</v>
      </c>
      <c r="V382" s="395"/>
      <c r="W382" s="453"/>
      <c r="X382" s="394"/>
      <c r="Y382" s="394">
        <v>10</v>
      </c>
      <c r="Z382" s="394">
        <v>20</v>
      </c>
      <c r="AA382" s="395">
        <v>0</v>
      </c>
      <c r="AB382" s="452">
        <v>41375</v>
      </c>
      <c r="AC382" s="398">
        <v>0</v>
      </c>
      <c r="AD382" s="398">
        <v>101.46000000000001</v>
      </c>
      <c r="AE382" s="393" t="s">
        <v>47</v>
      </c>
      <c r="AF382" s="417">
        <v>0</v>
      </c>
      <c r="AG382" s="417">
        <f t="shared" ref="AG382:AG390" si="0">1.517+7.625+8.941+9.107</f>
        <v>27.189999999999998</v>
      </c>
      <c r="AH382" s="417">
        <v>27.189999999999998</v>
      </c>
      <c r="AI382" s="394">
        <v>1</v>
      </c>
      <c r="AJ382" s="495">
        <v>41929</v>
      </c>
      <c r="AK382" s="452">
        <v>42369</v>
      </c>
      <c r="AL382" s="393"/>
      <c r="AM382" s="393"/>
      <c r="AN382" s="417"/>
      <c r="AO382" s="392"/>
      <c r="AP382" s="392" t="s">
        <v>7060</v>
      </c>
      <c r="AQ382" s="392"/>
      <c r="AR382" s="392" t="s">
        <v>199</v>
      </c>
      <c r="AS382" s="480"/>
      <c r="AT382" s="453"/>
      <c r="AU382" s="453"/>
      <c r="AV382" s="453"/>
      <c r="AW382" s="453"/>
      <c r="AX382" s="453"/>
      <c r="AY382" s="453"/>
      <c r="AZ382" s="452">
        <v>41375</v>
      </c>
      <c r="BA382" s="393"/>
      <c r="BB382" s="393"/>
      <c r="BC382" s="393" t="b">
        <v>0</v>
      </c>
      <c r="BD382" s="393"/>
      <c r="BE382" s="392" t="s">
        <v>6053</v>
      </c>
      <c r="BF382" s="394">
        <v>9</v>
      </c>
      <c r="BG382" s="394">
        <v>8</v>
      </c>
      <c r="BH382" s="394">
        <v>1</v>
      </c>
      <c r="BI382" s="394">
        <v>4</v>
      </c>
      <c r="BJ382" s="394">
        <v>6</v>
      </c>
      <c r="BK382" s="394"/>
      <c r="BL382" s="444" t="s">
        <v>6981</v>
      </c>
      <c r="BM382" s="392"/>
      <c r="BN382" s="393"/>
      <c r="BO382" s="393"/>
      <c r="BP382" s="399"/>
      <c r="BQ382" s="400"/>
      <c r="BR382" s="401"/>
      <c r="BS382" s="399"/>
      <c r="BT382" s="394"/>
      <c r="BU382" s="417"/>
      <c r="BV382" s="399"/>
      <c r="BW382" s="393" t="s">
        <v>3117</v>
      </c>
      <c r="BX382" s="392" t="s">
        <v>4364</v>
      </c>
      <c r="BY382" s="393" t="s">
        <v>7224</v>
      </c>
      <c r="BZ382" s="393"/>
      <c r="CA382" s="441"/>
      <c r="CB382" s="400"/>
      <c r="CC382" s="398"/>
      <c r="CD382" s="398"/>
      <c r="CE382" s="398"/>
      <c r="CF382" s="398"/>
      <c r="CG382" s="398"/>
      <c r="CH382" s="398"/>
      <c r="CI382" s="398">
        <v>7.1859999999999999</v>
      </c>
      <c r="CJ382" s="398">
        <v>10.146000000000001</v>
      </c>
      <c r="CK382" s="398">
        <v>10.146000000000001</v>
      </c>
      <c r="CL382" s="398">
        <v>10.146000000000001</v>
      </c>
      <c r="CM382" s="398">
        <v>10.146000000000001</v>
      </c>
      <c r="CN382" s="398">
        <v>10.146000000000001</v>
      </c>
      <c r="CO382" s="398">
        <v>10.146000000000001</v>
      </c>
      <c r="CP382" s="398">
        <v>10.146000000000001</v>
      </c>
      <c r="CQ382" s="398">
        <v>10.146000000000001</v>
      </c>
      <c r="CR382" s="398">
        <v>10.146000000000001</v>
      </c>
      <c r="CS382" s="398">
        <v>2.96</v>
      </c>
      <c r="CT382" s="398"/>
      <c r="CU382" s="398"/>
      <c r="CV382" s="398"/>
      <c r="CW382" s="398"/>
      <c r="CX382" s="398"/>
      <c r="CY382" s="398"/>
      <c r="CZ382" s="398"/>
      <c r="DA382" s="398"/>
      <c r="DB382" s="398"/>
      <c r="DC382" s="398"/>
      <c r="DD382" s="398"/>
      <c r="DE382" s="393"/>
      <c r="DF382" s="393"/>
      <c r="DG382" s="393"/>
      <c r="DH382" s="393"/>
      <c r="DI382" s="393"/>
      <c r="DJ382" s="393"/>
      <c r="DK382" s="897"/>
    </row>
    <row r="383" spans="1:115" ht="25.5" x14ac:dyDescent="0.2">
      <c r="A383" s="295">
        <v>379</v>
      </c>
      <c r="B383" s="390" t="s">
        <v>5833</v>
      </c>
      <c r="C383" s="390"/>
      <c r="D383" s="391" t="s">
        <v>4686</v>
      </c>
      <c r="E383" s="704" t="s">
        <v>4687</v>
      </c>
      <c r="F383" s="393" t="s">
        <v>1352</v>
      </c>
      <c r="G383" s="393" t="s">
        <v>1671</v>
      </c>
      <c r="H383" s="393" t="s">
        <v>117</v>
      </c>
      <c r="I383" s="392"/>
      <c r="J383" s="392"/>
      <c r="K383" s="392" t="s">
        <v>201</v>
      </c>
      <c r="L383" s="392" t="s">
        <v>197</v>
      </c>
      <c r="M383" s="392"/>
      <c r="N383" s="393" t="s">
        <v>44</v>
      </c>
      <c r="O383" s="393" t="s">
        <v>69</v>
      </c>
      <c r="P383" s="393" t="s">
        <v>69</v>
      </c>
      <c r="Q383" s="392" t="s">
        <v>172</v>
      </c>
      <c r="R383" s="392" t="s">
        <v>4685</v>
      </c>
      <c r="S383" s="428" t="s">
        <v>205</v>
      </c>
      <c r="T383" s="394">
        <v>1</v>
      </c>
      <c r="U383" s="395">
        <v>10.146000000000001</v>
      </c>
      <c r="V383" s="395"/>
      <c r="W383" s="453"/>
      <c r="X383" s="394"/>
      <c r="Y383" s="394">
        <v>10</v>
      </c>
      <c r="Z383" s="394">
        <v>20</v>
      </c>
      <c r="AA383" s="395">
        <v>0</v>
      </c>
      <c r="AB383" s="452">
        <v>41375</v>
      </c>
      <c r="AC383" s="398">
        <v>0</v>
      </c>
      <c r="AD383" s="398">
        <v>101.46000000000001</v>
      </c>
      <c r="AE383" s="393" t="s">
        <v>47</v>
      </c>
      <c r="AF383" s="417">
        <v>0</v>
      </c>
      <c r="AG383" s="417">
        <f t="shared" si="0"/>
        <v>27.189999999999998</v>
      </c>
      <c r="AH383" s="417">
        <v>27.189999999999998</v>
      </c>
      <c r="AI383" s="394">
        <v>1</v>
      </c>
      <c r="AJ383" s="495">
        <v>41929</v>
      </c>
      <c r="AK383" s="452">
        <v>42369</v>
      </c>
      <c r="AL383" s="393"/>
      <c r="AM383" s="393"/>
      <c r="AN383" s="417"/>
      <c r="AO383" s="392"/>
      <c r="AP383" s="392" t="s">
        <v>7060</v>
      </c>
      <c r="AQ383" s="392"/>
      <c r="AR383" s="392" t="s">
        <v>199</v>
      </c>
      <c r="AS383" s="480"/>
      <c r="AT383" s="453"/>
      <c r="AU383" s="453"/>
      <c r="AV383" s="453"/>
      <c r="AW383" s="453"/>
      <c r="AX383" s="453"/>
      <c r="AY383" s="453"/>
      <c r="AZ383" s="452">
        <v>41375</v>
      </c>
      <c r="BA383" s="393"/>
      <c r="BB383" s="393"/>
      <c r="BC383" s="393" t="b">
        <v>0</v>
      </c>
      <c r="BD383" s="393"/>
      <c r="BE383" s="392" t="s">
        <v>6053</v>
      </c>
      <c r="BF383" s="394">
        <v>9</v>
      </c>
      <c r="BG383" s="394">
        <v>8</v>
      </c>
      <c r="BH383" s="394">
        <v>1</v>
      </c>
      <c r="BI383" s="394">
        <v>4</v>
      </c>
      <c r="BJ383" s="394">
        <v>6</v>
      </c>
      <c r="BK383" s="394"/>
      <c r="BL383" s="444" t="s">
        <v>6981</v>
      </c>
      <c r="BM383" s="392"/>
      <c r="BN383" s="393"/>
      <c r="BO383" s="393"/>
      <c r="BP383" s="399"/>
      <c r="BQ383" s="400"/>
      <c r="BR383" s="401"/>
      <c r="BS383" s="399"/>
      <c r="BT383" s="394"/>
      <c r="BU383" s="417"/>
      <c r="BV383" s="399"/>
      <c r="BW383" s="393" t="s">
        <v>3117</v>
      </c>
      <c r="BX383" s="392" t="s">
        <v>4364</v>
      </c>
      <c r="BY383" s="393" t="s">
        <v>7224</v>
      </c>
      <c r="BZ383" s="393"/>
      <c r="CA383" s="441"/>
      <c r="CB383" s="400"/>
      <c r="CC383" s="398"/>
      <c r="CD383" s="398"/>
      <c r="CE383" s="398"/>
      <c r="CF383" s="398"/>
      <c r="CG383" s="398"/>
      <c r="CH383" s="398"/>
      <c r="CI383" s="398">
        <v>7.1859999999999999</v>
      </c>
      <c r="CJ383" s="398">
        <v>10.146000000000001</v>
      </c>
      <c r="CK383" s="398">
        <v>10.146000000000001</v>
      </c>
      <c r="CL383" s="398">
        <v>10.146000000000001</v>
      </c>
      <c r="CM383" s="398">
        <v>10.146000000000001</v>
      </c>
      <c r="CN383" s="398">
        <v>10.146000000000001</v>
      </c>
      <c r="CO383" s="398">
        <v>10.146000000000001</v>
      </c>
      <c r="CP383" s="398">
        <v>10.146000000000001</v>
      </c>
      <c r="CQ383" s="398">
        <v>10.146000000000001</v>
      </c>
      <c r="CR383" s="398">
        <v>10.146000000000001</v>
      </c>
      <c r="CS383" s="398">
        <v>2.96</v>
      </c>
      <c r="CT383" s="398"/>
      <c r="CU383" s="398"/>
      <c r="CV383" s="398"/>
      <c r="CW383" s="398"/>
      <c r="CX383" s="398"/>
      <c r="CY383" s="398"/>
      <c r="CZ383" s="398"/>
      <c r="DA383" s="398"/>
      <c r="DB383" s="398"/>
      <c r="DC383" s="398"/>
      <c r="DD383" s="398"/>
      <c r="DE383" s="393"/>
      <c r="DF383" s="393"/>
      <c r="DG383" s="393"/>
      <c r="DH383" s="393"/>
      <c r="DI383" s="393"/>
      <c r="DJ383" s="393"/>
      <c r="DK383" s="897"/>
    </row>
    <row r="384" spans="1:115" ht="25.5" x14ac:dyDescent="0.2">
      <c r="A384" s="295">
        <v>380</v>
      </c>
      <c r="B384" s="390" t="s">
        <v>5834</v>
      </c>
      <c r="C384" s="390"/>
      <c r="D384" s="391" t="s">
        <v>4688</v>
      </c>
      <c r="E384" s="704" t="s">
        <v>4689</v>
      </c>
      <c r="F384" s="393" t="s">
        <v>1352</v>
      </c>
      <c r="G384" s="393" t="s">
        <v>1671</v>
      </c>
      <c r="H384" s="393" t="s">
        <v>117</v>
      </c>
      <c r="I384" s="392"/>
      <c r="J384" s="392"/>
      <c r="K384" s="392" t="s">
        <v>201</v>
      </c>
      <c r="L384" s="392" t="s">
        <v>197</v>
      </c>
      <c r="M384" s="392"/>
      <c r="N384" s="393" t="s">
        <v>44</v>
      </c>
      <c r="O384" s="393" t="s">
        <v>69</v>
      </c>
      <c r="P384" s="393" t="s">
        <v>69</v>
      </c>
      <c r="Q384" s="392" t="s">
        <v>172</v>
      </c>
      <c r="R384" s="392" t="s">
        <v>4685</v>
      </c>
      <c r="S384" s="428" t="s">
        <v>205</v>
      </c>
      <c r="T384" s="394">
        <v>1</v>
      </c>
      <c r="U384" s="395">
        <v>10.146000000000001</v>
      </c>
      <c r="V384" s="395"/>
      <c r="W384" s="453"/>
      <c r="X384" s="394"/>
      <c r="Y384" s="394">
        <v>10</v>
      </c>
      <c r="Z384" s="394">
        <v>20</v>
      </c>
      <c r="AA384" s="395">
        <v>0</v>
      </c>
      <c r="AB384" s="452">
        <v>41375</v>
      </c>
      <c r="AC384" s="398">
        <v>0</v>
      </c>
      <c r="AD384" s="398">
        <v>101.46000000000001</v>
      </c>
      <c r="AE384" s="393" t="s">
        <v>47</v>
      </c>
      <c r="AF384" s="417">
        <v>0</v>
      </c>
      <c r="AG384" s="417">
        <f t="shared" si="0"/>
        <v>27.189999999999998</v>
      </c>
      <c r="AH384" s="417">
        <v>27.189999999999998</v>
      </c>
      <c r="AI384" s="394">
        <v>1</v>
      </c>
      <c r="AJ384" s="495">
        <v>41929</v>
      </c>
      <c r="AK384" s="452">
        <v>42369</v>
      </c>
      <c r="AL384" s="393"/>
      <c r="AM384" s="393"/>
      <c r="AN384" s="417"/>
      <c r="AO384" s="392"/>
      <c r="AP384" s="392" t="s">
        <v>7060</v>
      </c>
      <c r="AQ384" s="392"/>
      <c r="AR384" s="392" t="s">
        <v>199</v>
      </c>
      <c r="AS384" s="480"/>
      <c r="AT384" s="453"/>
      <c r="AU384" s="453"/>
      <c r="AV384" s="453"/>
      <c r="AW384" s="453"/>
      <c r="AX384" s="453"/>
      <c r="AY384" s="453"/>
      <c r="AZ384" s="452">
        <v>41375</v>
      </c>
      <c r="BA384" s="393"/>
      <c r="BB384" s="393"/>
      <c r="BC384" s="393" t="b">
        <v>0</v>
      </c>
      <c r="BD384" s="393"/>
      <c r="BE384" s="392" t="s">
        <v>6053</v>
      </c>
      <c r="BF384" s="394">
        <v>9</v>
      </c>
      <c r="BG384" s="394">
        <v>8</v>
      </c>
      <c r="BH384" s="394">
        <v>1</v>
      </c>
      <c r="BI384" s="394">
        <v>4</v>
      </c>
      <c r="BJ384" s="394">
        <v>6</v>
      </c>
      <c r="BK384" s="394"/>
      <c r="BL384" s="444" t="s">
        <v>6981</v>
      </c>
      <c r="BM384" s="392"/>
      <c r="BN384" s="393"/>
      <c r="BO384" s="393"/>
      <c r="BP384" s="399"/>
      <c r="BQ384" s="400"/>
      <c r="BR384" s="401"/>
      <c r="BS384" s="399"/>
      <c r="BT384" s="394"/>
      <c r="BU384" s="417"/>
      <c r="BV384" s="399"/>
      <c r="BW384" s="393" t="s">
        <v>3117</v>
      </c>
      <c r="BX384" s="392" t="s">
        <v>4364</v>
      </c>
      <c r="BY384" s="393" t="s">
        <v>7224</v>
      </c>
      <c r="BZ384" s="393"/>
      <c r="CA384" s="441"/>
      <c r="CB384" s="400"/>
      <c r="CC384" s="398"/>
      <c r="CD384" s="398"/>
      <c r="CE384" s="398"/>
      <c r="CF384" s="398"/>
      <c r="CG384" s="398"/>
      <c r="CH384" s="398"/>
      <c r="CI384" s="398">
        <v>7.1859999999999999</v>
      </c>
      <c r="CJ384" s="398">
        <v>10.146000000000001</v>
      </c>
      <c r="CK384" s="398">
        <v>10.146000000000001</v>
      </c>
      <c r="CL384" s="398">
        <v>10.146000000000001</v>
      </c>
      <c r="CM384" s="398">
        <v>10.146000000000001</v>
      </c>
      <c r="CN384" s="398">
        <v>10.146000000000001</v>
      </c>
      <c r="CO384" s="398">
        <v>10.146000000000001</v>
      </c>
      <c r="CP384" s="398">
        <v>10.146000000000001</v>
      </c>
      <c r="CQ384" s="398">
        <v>10.146000000000001</v>
      </c>
      <c r="CR384" s="398">
        <v>10.146000000000001</v>
      </c>
      <c r="CS384" s="398">
        <v>2.96</v>
      </c>
      <c r="CT384" s="398"/>
      <c r="CU384" s="398"/>
      <c r="CV384" s="398"/>
      <c r="CW384" s="398"/>
      <c r="CX384" s="398"/>
      <c r="CY384" s="398"/>
      <c r="CZ384" s="398"/>
      <c r="DA384" s="398"/>
      <c r="DB384" s="398"/>
      <c r="DC384" s="398"/>
      <c r="DD384" s="398"/>
      <c r="DE384" s="393"/>
      <c r="DF384" s="393"/>
      <c r="DG384" s="393"/>
      <c r="DH384" s="393"/>
      <c r="DI384" s="393"/>
      <c r="DJ384" s="393"/>
      <c r="DK384" s="897"/>
    </row>
    <row r="385" spans="1:115" ht="25.5" x14ac:dyDescent="0.2">
      <c r="A385" s="295">
        <v>381</v>
      </c>
      <c r="B385" s="390" t="s">
        <v>5835</v>
      </c>
      <c r="C385" s="390"/>
      <c r="D385" s="391" t="s">
        <v>4690</v>
      </c>
      <c r="E385" s="704" t="s">
        <v>4691</v>
      </c>
      <c r="F385" s="393" t="s">
        <v>1352</v>
      </c>
      <c r="G385" s="393" t="s">
        <v>1671</v>
      </c>
      <c r="H385" s="393" t="s">
        <v>117</v>
      </c>
      <c r="I385" s="392"/>
      <c r="J385" s="392"/>
      <c r="K385" s="392" t="s">
        <v>201</v>
      </c>
      <c r="L385" s="392" t="s">
        <v>197</v>
      </c>
      <c r="M385" s="392"/>
      <c r="N385" s="393" t="s">
        <v>44</v>
      </c>
      <c r="O385" s="393" t="s">
        <v>69</v>
      </c>
      <c r="P385" s="393" t="s">
        <v>69</v>
      </c>
      <c r="Q385" s="392" t="s">
        <v>172</v>
      </c>
      <c r="R385" s="392" t="s">
        <v>4685</v>
      </c>
      <c r="S385" s="428" t="s">
        <v>205</v>
      </c>
      <c r="T385" s="394">
        <v>1</v>
      </c>
      <c r="U385" s="395">
        <v>10.146000000000001</v>
      </c>
      <c r="V385" s="395"/>
      <c r="W385" s="453"/>
      <c r="X385" s="394"/>
      <c r="Y385" s="394">
        <v>10</v>
      </c>
      <c r="Z385" s="394">
        <v>20</v>
      </c>
      <c r="AA385" s="395">
        <v>0</v>
      </c>
      <c r="AB385" s="452">
        <v>41375</v>
      </c>
      <c r="AC385" s="398">
        <v>0</v>
      </c>
      <c r="AD385" s="398">
        <v>101.46000000000001</v>
      </c>
      <c r="AE385" s="393" t="s">
        <v>47</v>
      </c>
      <c r="AF385" s="417">
        <v>0</v>
      </c>
      <c r="AG385" s="417">
        <f t="shared" si="0"/>
        <v>27.189999999999998</v>
      </c>
      <c r="AH385" s="417">
        <v>27.189999999999998</v>
      </c>
      <c r="AI385" s="394">
        <v>1</v>
      </c>
      <c r="AJ385" s="495">
        <v>41929</v>
      </c>
      <c r="AK385" s="452">
        <v>42369</v>
      </c>
      <c r="AL385" s="393"/>
      <c r="AM385" s="393"/>
      <c r="AN385" s="417"/>
      <c r="AO385" s="392"/>
      <c r="AP385" s="392" t="s">
        <v>7060</v>
      </c>
      <c r="AQ385" s="392"/>
      <c r="AR385" s="392" t="s">
        <v>199</v>
      </c>
      <c r="AS385" s="480"/>
      <c r="AT385" s="453"/>
      <c r="AU385" s="453"/>
      <c r="AV385" s="453"/>
      <c r="AW385" s="453"/>
      <c r="AX385" s="453"/>
      <c r="AY385" s="453"/>
      <c r="AZ385" s="452">
        <v>41375</v>
      </c>
      <c r="BA385" s="393"/>
      <c r="BB385" s="393"/>
      <c r="BC385" s="393" t="b">
        <v>0</v>
      </c>
      <c r="BD385" s="393"/>
      <c r="BE385" s="392" t="s">
        <v>6053</v>
      </c>
      <c r="BF385" s="394">
        <v>9</v>
      </c>
      <c r="BG385" s="394">
        <v>8</v>
      </c>
      <c r="BH385" s="394">
        <v>1</v>
      </c>
      <c r="BI385" s="394">
        <v>4</v>
      </c>
      <c r="BJ385" s="394">
        <v>6</v>
      </c>
      <c r="BK385" s="394"/>
      <c r="BL385" s="444" t="s">
        <v>6981</v>
      </c>
      <c r="BM385" s="392"/>
      <c r="BN385" s="393"/>
      <c r="BO385" s="393"/>
      <c r="BP385" s="399"/>
      <c r="BQ385" s="400"/>
      <c r="BR385" s="401"/>
      <c r="BS385" s="399"/>
      <c r="BT385" s="394"/>
      <c r="BU385" s="417"/>
      <c r="BV385" s="399"/>
      <c r="BW385" s="393" t="s">
        <v>3117</v>
      </c>
      <c r="BX385" s="392" t="s">
        <v>4364</v>
      </c>
      <c r="BY385" s="393" t="s">
        <v>7224</v>
      </c>
      <c r="BZ385" s="393"/>
      <c r="CA385" s="441"/>
      <c r="CB385" s="400"/>
      <c r="CC385" s="398"/>
      <c r="CD385" s="398"/>
      <c r="CE385" s="398"/>
      <c r="CF385" s="398"/>
      <c r="CG385" s="398"/>
      <c r="CH385" s="398"/>
      <c r="CI385" s="398">
        <v>7.1859999999999999</v>
      </c>
      <c r="CJ385" s="398">
        <v>10.146000000000001</v>
      </c>
      <c r="CK385" s="398">
        <v>10.146000000000001</v>
      </c>
      <c r="CL385" s="398">
        <v>10.146000000000001</v>
      </c>
      <c r="CM385" s="398">
        <v>10.146000000000001</v>
      </c>
      <c r="CN385" s="398">
        <v>10.146000000000001</v>
      </c>
      <c r="CO385" s="398">
        <v>10.146000000000001</v>
      </c>
      <c r="CP385" s="398">
        <v>10.146000000000001</v>
      </c>
      <c r="CQ385" s="398">
        <v>10.146000000000001</v>
      </c>
      <c r="CR385" s="398">
        <v>10.146000000000001</v>
      </c>
      <c r="CS385" s="398">
        <v>2.96</v>
      </c>
      <c r="CT385" s="398"/>
      <c r="CU385" s="398"/>
      <c r="CV385" s="398"/>
      <c r="CW385" s="398"/>
      <c r="CX385" s="398"/>
      <c r="CY385" s="398"/>
      <c r="CZ385" s="398"/>
      <c r="DA385" s="398"/>
      <c r="DB385" s="398"/>
      <c r="DC385" s="398"/>
      <c r="DD385" s="398"/>
      <c r="DE385" s="393"/>
      <c r="DF385" s="393"/>
      <c r="DG385" s="393"/>
      <c r="DH385" s="393"/>
      <c r="DI385" s="393"/>
      <c r="DJ385" s="393"/>
      <c r="DK385" s="897"/>
    </row>
    <row r="386" spans="1:115" ht="25.5" x14ac:dyDescent="0.2">
      <c r="A386" s="295">
        <v>382</v>
      </c>
      <c r="B386" s="390" t="s">
        <v>5836</v>
      </c>
      <c r="C386" s="390"/>
      <c r="D386" s="391" t="s">
        <v>4692</v>
      </c>
      <c r="E386" s="704" t="s">
        <v>4693</v>
      </c>
      <c r="F386" s="393" t="s">
        <v>1352</v>
      </c>
      <c r="G386" s="393" t="s">
        <v>1671</v>
      </c>
      <c r="H386" s="393" t="s">
        <v>117</v>
      </c>
      <c r="I386" s="392"/>
      <c r="J386" s="392"/>
      <c r="K386" s="392" t="s">
        <v>201</v>
      </c>
      <c r="L386" s="392" t="s">
        <v>197</v>
      </c>
      <c r="M386" s="392"/>
      <c r="N386" s="393" t="s">
        <v>44</v>
      </c>
      <c r="O386" s="393" t="s">
        <v>69</v>
      </c>
      <c r="P386" s="393" t="s">
        <v>69</v>
      </c>
      <c r="Q386" s="392" t="s">
        <v>172</v>
      </c>
      <c r="R386" s="392" t="s">
        <v>4685</v>
      </c>
      <c r="S386" s="428" t="s">
        <v>205</v>
      </c>
      <c r="T386" s="394">
        <v>1</v>
      </c>
      <c r="U386" s="395">
        <v>10.146000000000001</v>
      </c>
      <c r="V386" s="395"/>
      <c r="W386" s="453"/>
      <c r="X386" s="394"/>
      <c r="Y386" s="394">
        <v>10</v>
      </c>
      <c r="Z386" s="394">
        <v>20</v>
      </c>
      <c r="AA386" s="395">
        <v>0</v>
      </c>
      <c r="AB386" s="452">
        <v>41375</v>
      </c>
      <c r="AC386" s="398">
        <v>0</v>
      </c>
      <c r="AD386" s="398">
        <v>101.46000000000001</v>
      </c>
      <c r="AE386" s="393" t="s">
        <v>47</v>
      </c>
      <c r="AF386" s="417">
        <v>0</v>
      </c>
      <c r="AG386" s="417">
        <f t="shared" si="0"/>
        <v>27.189999999999998</v>
      </c>
      <c r="AH386" s="417">
        <v>27.189999999999998</v>
      </c>
      <c r="AI386" s="394">
        <v>1</v>
      </c>
      <c r="AJ386" s="495">
        <v>41929</v>
      </c>
      <c r="AK386" s="452">
        <v>42369</v>
      </c>
      <c r="AL386" s="393"/>
      <c r="AM386" s="393"/>
      <c r="AN386" s="417"/>
      <c r="AO386" s="392"/>
      <c r="AP386" s="392" t="s">
        <v>7060</v>
      </c>
      <c r="AQ386" s="392"/>
      <c r="AR386" s="392" t="s">
        <v>199</v>
      </c>
      <c r="AS386" s="480"/>
      <c r="AT386" s="453"/>
      <c r="AU386" s="453"/>
      <c r="AV386" s="453"/>
      <c r="AW386" s="453"/>
      <c r="AX386" s="453"/>
      <c r="AY386" s="453"/>
      <c r="AZ386" s="452">
        <v>41375</v>
      </c>
      <c r="BA386" s="393"/>
      <c r="BB386" s="393"/>
      <c r="BC386" s="393" t="b">
        <v>0</v>
      </c>
      <c r="BD386" s="393"/>
      <c r="BE386" s="392" t="s">
        <v>6053</v>
      </c>
      <c r="BF386" s="394">
        <v>9</v>
      </c>
      <c r="BG386" s="394">
        <v>8</v>
      </c>
      <c r="BH386" s="394">
        <v>1</v>
      </c>
      <c r="BI386" s="394">
        <v>4</v>
      </c>
      <c r="BJ386" s="394">
        <v>6</v>
      </c>
      <c r="BK386" s="394"/>
      <c r="BL386" s="444" t="s">
        <v>6981</v>
      </c>
      <c r="BM386" s="392"/>
      <c r="BN386" s="393"/>
      <c r="BO386" s="393"/>
      <c r="BP386" s="399"/>
      <c r="BQ386" s="400"/>
      <c r="BR386" s="401"/>
      <c r="BS386" s="399"/>
      <c r="BT386" s="394"/>
      <c r="BU386" s="417"/>
      <c r="BV386" s="399"/>
      <c r="BW386" s="393" t="s">
        <v>3117</v>
      </c>
      <c r="BX386" s="392" t="s">
        <v>4364</v>
      </c>
      <c r="BY386" s="393" t="s">
        <v>7224</v>
      </c>
      <c r="BZ386" s="393"/>
      <c r="CA386" s="441"/>
      <c r="CB386" s="400"/>
      <c r="CC386" s="398"/>
      <c r="CD386" s="398"/>
      <c r="CE386" s="398"/>
      <c r="CF386" s="398"/>
      <c r="CG386" s="398"/>
      <c r="CH386" s="398"/>
      <c r="CI386" s="398">
        <v>7.1859999999999999</v>
      </c>
      <c r="CJ386" s="398">
        <v>10.146000000000001</v>
      </c>
      <c r="CK386" s="398">
        <v>10.146000000000001</v>
      </c>
      <c r="CL386" s="398">
        <v>10.146000000000001</v>
      </c>
      <c r="CM386" s="398">
        <v>10.146000000000001</v>
      </c>
      <c r="CN386" s="398">
        <v>10.146000000000001</v>
      </c>
      <c r="CO386" s="398">
        <v>10.146000000000001</v>
      </c>
      <c r="CP386" s="398">
        <v>10.146000000000001</v>
      </c>
      <c r="CQ386" s="398">
        <v>10.146000000000001</v>
      </c>
      <c r="CR386" s="398">
        <v>10.146000000000001</v>
      </c>
      <c r="CS386" s="398">
        <v>2.96</v>
      </c>
      <c r="CT386" s="398"/>
      <c r="CU386" s="398"/>
      <c r="CV386" s="398"/>
      <c r="CW386" s="398"/>
      <c r="CX386" s="398"/>
      <c r="CY386" s="398"/>
      <c r="CZ386" s="398"/>
      <c r="DA386" s="398"/>
      <c r="DB386" s="398"/>
      <c r="DC386" s="398"/>
      <c r="DD386" s="398"/>
      <c r="DE386" s="393"/>
      <c r="DF386" s="393"/>
      <c r="DG386" s="393"/>
      <c r="DH386" s="393"/>
      <c r="DI386" s="393"/>
      <c r="DJ386" s="393"/>
      <c r="DK386" s="897"/>
    </row>
    <row r="387" spans="1:115" ht="25.5" x14ac:dyDescent="0.2">
      <c r="A387" s="295">
        <v>383</v>
      </c>
      <c r="B387" s="390" t="s">
        <v>5837</v>
      </c>
      <c r="C387" s="390"/>
      <c r="D387" s="391" t="s">
        <v>4694</v>
      </c>
      <c r="E387" s="704" t="s">
        <v>4695</v>
      </c>
      <c r="F387" s="393" t="s">
        <v>1352</v>
      </c>
      <c r="G387" s="393" t="s">
        <v>1671</v>
      </c>
      <c r="H387" s="393" t="s">
        <v>117</v>
      </c>
      <c r="I387" s="392"/>
      <c r="J387" s="392"/>
      <c r="K387" s="392" t="s">
        <v>201</v>
      </c>
      <c r="L387" s="392" t="s">
        <v>197</v>
      </c>
      <c r="M387" s="392"/>
      <c r="N387" s="393" t="s">
        <v>44</v>
      </c>
      <c r="O387" s="393" t="s">
        <v>69</v>
      </c>
      <c r="P387" s="393" t="s">
        <v>69</v>
      </c>
      <c r="Q387" s="392" t="s">
        <v>172</v>
      </c>
      <c r="R387" s="392" t="s">
        <v>4685</v>
      </c>
      <c r="S387" s="428" t="s">
        <v>205</v>
      </c>
      <c r="T387" s="394">
        <v>1</v>
      </c>
      <c r="U387" s="395">
        <v>10.146000000000001</v>
      </c>
      <c r="V387" s="395"/>
      <c r="W387" s="453"/>
      <c r="X387" s="394"/>
      <c r="Y387" s="394">
        <v>10</v>
      </c>
      <c r="Z387" s="394">
        <v>20</v>
      </c>
      <c r="AA387" s="395">
        <v>0</v>
      </c>
      <c r="AB387" s="452">
        <v>41375</v>
      </c>
      <c r="AC387" s="398">
        <v>0</v>
      </c>
      <c r="AD387" s="398">
        <v>101.46000000000001</v>
      </c>
      <c r="AE387" s="393" t="s">
        <v>47</v>
      </c>
      <c r="AF387" s="417">
        <v>0</v>
      </c>
      <c r="AG387" s="417">
        <f t="shared" si="0"/>
        <v>27.189999999999998</v>
      </c>
      <c r="AH387" s="417">
        <v>27.189999999999998</v>
      </c>
      <c r="AI387" s="394">
        <v>1</v>
      </c>
      <c r="AJ387" s="495">
        <v>41929</v>
      </c>
      <c r="AK387" s="452">
        <v>42369</v>
      </c>
      <c r="AL387" s="393"/>
      <c r="AM387" s="393"/>
      <c r="AN387" s="417"/>
      <c r="AO387" s="392"/>
      <c r="AP387" s="392" t="s">
        <v>7060</v>
      </c>
      <c r="AQ387" s="392"/>
      <c r="AR387" s="392" t="s">
        <v>199</v>
      </c>
      <c r="AS387" s="480"/>
      <c r="AT387" s="453"/>
      <c r="AU387" s="453"/>
      <c r="AV387" s="453"/>
      <c r="AW387" s="453"/>
      <c r="AX387" s="453"/>
      <c r="AY387" s="453"/>
      <c r="AZ387" s="452">
        <v>41375</v>
      </c>
      <c r="BA387" s="393"/>
      <c r="BB387" s="393"/>
      <c r="BC387" s="393" t="b">
        <v>0</v>
      </c>
      <c r="BD387" s="393"/>
      <c r="BE387" s="392" t="s">
        <v>6053</v>
      </c>
      <c r="BF387" s="394">
        <v>9</v>
      </c>
      <c r="BG387" s="394">
        <v>8</v>
      </c>
      <c r="BH387" s="394">
        <v>1</v>
      </c>
      <c r="BI387" s="394">
        <v>4</v>
      </c>
      <c r="BJ387" s="394">
        <v>6</v>
      </c>
      <c r="BK387" s="394"/>
      <c r="BL387" s="444" t="s">
        <v>6981</v>
      </c>
      <c r="BM387" s="392"/>
      <c r="BN387" s="393"/>
      <c r="BO387" s="393"/>
      <c r="BP387" s="399"/>
      <c r="BQ387" s="400"/>
      <c r="BR387" s="401"/>
      <c r="BS387" s="399"/>
      <c r="BT387" s="394"/>
      <c r="BU387" s="417"/>
      <c r="BV387" s="399"/>
      <c r="BW387" s="393" t="s">
        <v>3117</v>
      </c>
      <c r="BX387" s="392" t="s">
        <v>4364</v>
      </c>
      <c r="BY387" s="393" t="s">
        <v>7224</v>
      </c>
      <c r="BZ387" s="393"/>
      <c r="CA387" s="441"/>
      <c r="CB387" s="400"/>
      <c r="CC387" s="398"/>
      <c r="CD387" s="398"/>
      <c r="CE387" s="398"/>
      <c r="CF387" s="398"/>
      <c r="CG387" s="398"/>
      <c r="CH387" s="398"/>
      <c r="CI387" s="398">
        <v>7.1859999999999999</v>
      </c>
      <c r="CJ387" s="398">
        <v>10.146000000000001</v>
      </c>
      <c r="CK387" s="398">
        <v>10.146000000000001</v>
      </c>
      <c r="CL387" s="398">
        <v>10.146000000000001</v>
      </c>
      <c r="CM387" s="398">
        <v>10.146000000000001</v>
      </c>
      <c r="CN387" s="398">
        <v>10.146000000000001</v>
      </c>
      <c r="CO387" s="398">
        <v>10.146000000000001</v>
      </c>
      <c r="CP387" s="398">
        <v>10.146000000000001</v>
      </c>
      <c r="CQ387" s="398">
        <v>10.146000000000001</v>
      </c>
      <c r="CR387" s="398">
        <v>10.146000000000001</v>
      </c>
      <c r="CS387" s="398">
        <v>2.96</v>
      </c>
      <c r="CT387" s="398"/>
      <c r="CU387" s="398"/>
      <c r="CV387" s="398"/>
      <c r="CW387" s="398"/>
      <c r="CX387" s="398"/>
      <c r="CY387" s="398"/>
      <c r="CZ387" s="398"/>
      <c r="DA387" s="398"/>
      <c r="DB387" s="398"/>
      <c r="DC387" s="398"/>
      <c r="DD387" s="398"/>
      <c r="DE387" s="393"/>
      <c r="DF387" s="393"/>
      <c r="DG387" s="393"/>
      <c r="DH387" s="393"/>
      <c r="DI387" s="393"/>
      <c r="DJ387" s="393"/>
      <c r="DK387" s="897"/>
    </row>
    <row r="388" spans="1:115" ht="25.5" x14ac:dyDescent="0.2">
      <c r="A388" s="295">
        <v>384</v>
      </c>
      <c r="B388" s="390" t="s">
        <v>5838</v>
      </c>
      <c r="C388" s="390"/>
      <c r="D388" s="391" t="s">
        <v>4696</v>
      </c>
      <c r="E388" s="704" t="s">
        <v>4697</v>
      </c>
      <c r="F388" s="393" t="s">
        <v>1352</v>
      </c>
      <c r="G388" s="393" t="s">
        <v>1671</v>
      </c>
      <c r="H388" s="393" t="s">
        <v>117</v>
      </c>
      <c r="I388" s="392"/>
      <c r="J388" s="392"/>
      <c r="K388" s="392" t="s">
        <v>201</v>
      </c>
      <c r="L388" s="392" t="s">
        <v>197</v>
      </c>
      <c r="M388" s="392"/>
      <c r="N388" s="393" t="s">
        <v>44</v>
      </c>
      <c r="O388" s="393" t="s">
        <v>69</v>
      </c>
      <c r="P388" s="393" t="s">
        <v>69</v>
      </c>
      <c r="Q388" s="392" t="s">
        <v>172</v>
      </c>
      <c r="R388" s="392" t="s">
        <v>4685</v>
      </c>
      <c r="S388" s="428" t="s">
        <v>205</v>
      </c>
      <c r="T388" s="394">
        <v>1</v>
      </c>
      <c r="U388" s="395">
        <v>10.146000000000001</v>
      </c>
      <c r="V388" s="395"/>
      <c r="W388" s="453"/>
      <c r="X388" s="394"/>
      <c r="Y388" s="394">
        <v>10</v>
      </c>
      <c r="Z388" s="394">
        <v>20</v>
      </c>
      <c r="AA388" s="395">
        <v>0</v>
      </c>
      <c r="AB388" s="452">
        <v>41375</v>
      </c>
      <c r="AC388" s="398">
        <v>0</v>
      </c>
      <c r="AD388" s="398">
        <v>101.46000000000001</v>
      </c>
      <c r="AE388" s="393" t="s">
        <v>47</v>
      </c>
      <c r="AF388" s="417">
        <v>0</v>
      </c>
      <c r="AG388" s="417">
        <f t="shared" si="0"/>
        <v>27.189999999999998</v>
      </c>
      <c r="AH388" s="417">
        <v>27.189999999999998</v>
      </c>
      <c r="AI388" s="394">
        <v>1</v>
      </c>
      <c r="AJ388" s="495">
        <v>41929</v>
      </c>
      <c r="AK388" s="452">
        <v>42369</v>
      </c>
      <c r="AL388" s="393"/>
      <c r="AM388" s="393"/>
      <c r="AN388" s="417"/>
      <c r="AO388" s="392"/>
      <c r="AP388" s="392" t="s">
        <v>7060</v>
      </c>
      <c r="AQ388" s="392"/>
      <c r="AR388" s="392" t="s">
        <v>199</v>
      </c>
      <c r="AS388" s="480"/>
      <c r="AT388" s="453"/>
      <c r="AU388" s="453"/>
      <c r="AV388" s="453"/>
      <c r="AW388" s="453"/>
      <c r="AX388" s="453"/>
      <c r="AY388" s="453"/>
      <c r="AZ388" s="452">
        <v>41375</v>
      </c>
      <c r="BA388" s="393"/>
      <c r="BB388" s="393"/>
      <c r="BC388" s="393" t="b">
        <v>0</v>
      </c>
      <c r="BD388" s="393"/>
      <c r="BE388" s="392" t="s">
        <v>6053</v>
      </c>
      <c r="BF388" s="394">
        <v>9</v>
      </c>
      <c r="BG388" s="394">
        <v>8</v>
      </c>
      <c r="BH388" s="394">
        <v>1</v>
      </c>
      <c r="BI388" s="394">
        <v>4</v>
      </c>
      <c r="BJ388" s="394">
        <v>6</v>
      </c>
      <c r="BK388" s="394"/>
      <c r="BL388" s="444" t="s">
        <v>6981</v>
      </c>
      <c r="BM388" s="392"/>
      <c r="BN388" s="393"/>
      <c r="BO388" s="393"/>
      <c r="BP388" s="399"/>
      <c r="BQ388" s="400"/>
      <c r="BR388" s="401"/>
      <c r="BS388" s="399"/>
      <c r="BT388" s="394"/>
      <c r="BU388" s="417"/>
      <c r="BV388" s="399"/>
      <c r="BW388" s="393" t="s">
        <v>3117</v>
      </c>
      <c r="BX388" s="392" t="s">
        <v>4364</v>
      </c>
      <c r="BY388" s="393" t="s">
        <v>7224</v>
      </c>
      <c r="BZ388" s="393"/>
      <c r="CA388" s="441"/>
      <c r="CB388" s="400"/>
      <c r="CC388" s="398"/>
      <c r="CD388" s="398"/>
      <c r="CE388" s="398"/>
      <c r="CF388" s="398"/>
      <c r="CG388" s="398"/>
      <c r="CH388" s="398"/>
      <c r="CI388" s="398">
        <v>7.1859999999999999</v>
      </c>
      <c r="CJ388" s="398">
        <v>10.146000000000001</v>
      </c>
      <c r="CK388" s="398">
        <v>10.146000000000001</v>
      </c>
      <c r="CL388" s="398">
        <v>10.146000000000001</v>
      </c>
      <c r="CM388" s="398">
        <v>10.146000000000001</v>
      </c>
      <c r="CN388" s="398">
        <v>10.146000000000001</v>
      </c>
      <c r="CO388" s="398">
        <v>10.146000000000001</v>
      </c>
      <c r="CP388" s="398">
        <v>10.146000000000001</v>
      </c>
      <c r="CQ388" s="398">
        <v>10.146000000000001</v>
      </c>
      <c r="CR388" s="398">
        <v>10.146000000000001</v>
      </c>
      <c r="CS388" s="398">
        <v>2.96</v>
      </c>
      <c r="CT388" s="398"/>
      <c r="CU388" s="398"/>
      <c r="CV388" s="398"/>
      <c r="CW388" s="398"/>
      <c r="CX388" s="398"/>
      <c r="CY388" s="398"/>
      <c r="CZ388" s="398"/>
      <c r="DA388" s="398"/>
      <c r="DB388" s="398"/>
      <c r="DC388" s="398"/>
      <c r="DD388" s="398"/>
      <c r="DE388" s="393"/>
      <c r="DF388" s="393"/>
      <c r="DG388" s="393"/>
      <c r="DH388" s="393"/>
      <c r="DI388" s="393"/>
      <c r="DJ388" s="393"/>
      <c r="DK388" s="897"/>
    </row>
    <row r="389" spans="1:115" ht="25.5" x14ac:dyDescent="0.2">
      <c r="A389" s="295">
        <v>385</v>
      </c>
      <c r="B389" s="390" t="s">
        <v>5839</v>
      </c>
      <c r="C389" s="390"/>
      <c r="D389" s="391" t="s">
        <v>4698</v>
      </c>
      <c r="E389" s="704" t="s">
        <v>4699</v>
      </c>
      <c r="F389" s="393" t="s">
        <v>1352</v>
      </c>
      <c r="G389" s="393" t="s">
        <v>1671</v>
      </c>
      <c r="H389" s="393" t="s">
        <v>117</v>
      </c>
      <c r="I389" s="392"/>
      <c r="J389" s="392"/>
      <c r="K389" s="392" t="s">
        <v>201</v>
      </c>
      <c r="L389" s="392" t="s">
        <v>197</v>
      </c>
      <c r="M389" s="392"/>
      <c r="N389" s="393" t="s">
        <v>44</v>
      </c>
      <c r="O389" s="393" t="s">
        <v>69</v>
      </c>
      <c r="P389" s="393" t="s">
        <v>69</v>
      </c>
      <c r="Q389" s="392" t="s">
        <v>172</v>
      </c>
      <c r="R389" s="392" t="s">
        <v>4685</v>
      </c>
      <c r="S389" s="428" t="s">
        <v>205</v>
      </c>
      <c r="T389" s="394">
        <v>1</v>
      </c>
      <c r="U389" s="395">
        <v>10.146000000000001</v>
      </c>
      <c r="V389" s="395"/>
      <c r="W389" s="453"/>
      <c r="X389" s="394"/>
      <c r="Y389" s="394">
        <v>10</v>
      </c>
      <c r="Z389" s="394">
        <v>20</v>
      </c>
      <c r="AA389" s="395">
        <v>0</v>
      </c>
      <c r="AB389" s="452">
        <v>41375</v>
      </c>
      <c r="AC389" s="398">
        <v>0</v>
      </c>
      <c r="AD389" s="398">
        <v>101.46000000000001</v>
      </c>
      <c r="AE389" s="393" t="s">
        <v>47</v>
      </c>
      <c r="AF389" s="417">
        <v>0</v>
      </c>
      <c r="AG389" s="417">
        <f t="shared" si="0"/>
        <v>27.189999999999998</v>
      </c>
      <c r="AH389" s="417">
        <v>27.189999999999998</v>
      </c>
      <c r="AI389" s="394">
        <v>1</v>
      </c>
      <c r="AJ389" s="495">
        <v>41929</v>
      </c>
      <c r="AK389" s="452">
        <v>42369</v>
      </c>
      <c r="AL389" s="393"/>
      <c r="AM389" s="393"/>
      <c r="AN389" s="417"/>
      <c r="AO389" s="392"/>
      <c r="AP389" s="392" t="s">
        <v>7060</v>
      </c>
      <c r="AQ389" s="392"/>
      <c r="AR389" s="392" t="s">
        <v>199</v>
      </c>
      <c r="AS389" s="480"/>
      <c r="AT389" s="453"/>
      <c r="AU389" s="453"/>
      <c r="AV389" s="453"/>
      <c r="AW389" s="453"/>
      <c r="AX389" s="453"/>
      <c r="AY389" s="453"/>
      <c r="AZ389" s="452">
        <v>41375</v>
      </c>
      <c r="BA389" s="393"/>
      <c r="BB389" s="393"/>
      <c r="BC389" s="393" t="b">
        <v>0</v>
      </c>
      <c r="BD389" s="393"/>
      <c r="BE389" s="392" t="s">
        <v>6053</v>
      </c>
      <c r="BF389" s="394">
        <v>9</v>
      </c>
      <c r="BG389" s="394">
        <v>8</v>
      </c>
      <c r="BH389" s="394">
        <v>1</v>
      </c>
      <c r="BI389" s="394">
        <v>4</v>
      </c>
      <c r="BJ389" s="394">
        <v>6</v>
      </c>
      <c r="BK389" s="394"/>
      <c r="BL389" s="444" t="s">
        <v>6981</v>
      </c>
      <c r="BM389" s="392"/>
      <c r="BN389" s="393"/>
      <c r="BO389" s="393"/>
      <c r="BP389" s="399"/>
      <c r="BQ389" s="400"/>
      <c r="BR389" s="401"/>
      <c r="BS389" s="399"/>
      <c r="BT389" s="394"/>
      <c r="BU389" s="417"/>
      <c r="BV389" s="399"/>
      <c r="BW389" s="393" t="s">
        <v>3117</v>
      </c>
      <c r="BX389" s="392" t="s">
        <v>4364</v>
      </c>
      <c r="BY389" s="393" t="s">
        <v>7224</v>
      </c>
      <c r="BZ389" s="393"/>
      <c r="CA389" s="441"/>
      <c r="CB389" s="400"/>
      <c r="CC389" s="398"/>
      <c r="CD389" s="398"/>
      <c r="CE389" s="398"/>
      <c r="CF389" s="398"/>
      <c r="CG389" s="398"/>
      <c r="CH389" s="398"/>
      <c r="CI389" s="398">
        <v>7.1859999999999999</v>
      </c>
      <c r="CJ389" s="398">
        <v>10.146000000000001</v>
      </c>
      <c r="CK389" s="398">
        <v>10.146000000000001</v>
      </c>
      <c r="CL389" s="398">
        <v>10.146000000000001</v>
      </c>
      <c r="CM389" s="398">
        <v>10.146000000000001</v>
      </c>
      <c r="CN389" s="398">
        <v>10.146000000000001</v>
      </c>
      <c r="CO389" s="398">
        <v>10.146000000000001</v>
      </c>
      <c r="CP389" s="398">
        <v>10.146000000000001</v>
      </c>
      <c r="CQ389" s="398">
        <v>10.146000000000001</v>
      </c>
      <c r="CR389" s="398">
        <v>10.146000000000001</v>
      </c>
      <c r="CS389" s="398">
        <v>2.96</v>
      </c>
      <c r="CT389" s="398"/>
      <c r="CU389" s="398"/>
      <c r="CV389" s="398"/>
      <c r="CW389" s="398"/>
      <c r="CX389" s="398"/>
      <c r="CY389" s="398"/>
      <c r="CZ389" s="398"/>
      <c r="DA389" s="398"/>
      <c r="DB389" s="398"/>
      <c r="DC389" s="398"/>
      <c r="DD389" s="398"/>
      <c r="DE389" s="393"/>
      <c r="DF389" s="393"/>
      <c r="DG389" s="393"/>
      <c r="DH389" s="393"/>
      <c r="DI389" s="393"/>
      <c r="DJ389" s="393"/>
      <c r="DK389" s="897"/>
    </row>
    <row r="390" spans="1:115" ht="25.5" x14ac:dyDescent="0.2">
      <c r="A390" s="295">
        <v>386</v>
      </c>
      <c r="B390" s="390" t="s">
        <v>5840</v>
      </c>
      <c r="C390" s="390"/>
      <c r="D390" s="391" t="s">
        <v>4700</v>
      </c>
      <c r="E390" s="704" t="s">
        <v>4701</v>
      </c>
      <c r="F390" s="393" t="s">
        <v>1352</v>
      </c>
      <c r="G390" s="393" t="s">
        <v>1671</v>
      </c>
      <c r="H390" s="393" t="s">
        <v>117</v>
      </c>
      <c r="I390" s="392"/>
      <c r="J390" s="392"/>
      <c r="K390" s="392" t="s">
        <v>201</v>
      </c>
      <c r="L390" s="392" t="s">
        <v>197</v>
      </c>
      <c r="M390" s="392"/>
      <c r="N390" s="393" t="s">
        <v>44</v>
      </c>
      <c r="O390" s="393" t="s">
        <v>69</v>
      </c>
      <c r="P390" s="393" t="s">
        <v>69</v>
      </c>
      <c r="Q390" s="392" t="s">
        <v>172</v>
      </c>
      <c r="R390" s="392" t="s">
        <v>4685</v>
      </c>
      <c r="S390" s="428" t="s">
        <v>205</v>
      </c>
      <c r="T390" s="394">
        <v>1</v>
      </c>
      <c r="U390" s="395">
        <v>10.146000000000001</v>
      </c>
      <c r="V390" s="395"/>
      <c r="W390" s="453"/>
      <c r="X390" s="394"/>
      <c r="Y390" s="394">
        <v>10</v>
      </c>
      <c r="Z390" s="394">
        <v>20</v>
      </c>
      <c r="AA390" s="395">
        <v>0</v>
      </c>
      <c r="AB390" s="452">
        <v>41375</v>
      </c>
      <c r="AC390" s="398">
        <v>0</v>
      </c>
      <c r="AD390" s="398">
        <v>101.46000000000001</v>
      </c>
      <c r="AE390" s="393" t="s">
        <v>47</v>
      </c>
      <c r="AF390" s="417">
        <v>0</v>
      </c>
      <c r="AG390" s="417">
        <f t="shared" si="0"/>
        <v>27.189999999999998</v>
      </c>
      <c r="AH390" s="417">
        <v>27.189999999999998</v>
      </c>
      <c r="AI390" s="394">
        <v>1</v>
      </c>
      <c r="AJ390" s="495">
        <v>41929</v>
      </c>
      <c r="AK390" s="452">
        <v>42369</v>
      </c>
      <c r="AL390" s="393"/>
      <c r="AM390" s="393"/>
      <c r="AN390" s="417"/>
      <c r="AO390" s="392"/>
      <c r="AP390" s="392" t="s">
        <v>7060</v>
      </c>
      <c r="AQ390" s="392"/>
      <c r="AR390" s="392" t="s">
        <v>199</v>
      </c>
      <c r="AS390" s="480"/>
      <c r="AT390" s="453"/>
      <c r="AU390" s="453"/>
      <c r="AV390" s="453"/>
      <c r="AW390" s="453"/>
      <c r="AX390" s="453"/>
      <c r="AY390" s="453"/>
      <c r="AZ390" s="452">
        <v>41375</v>
      </c>
      <c r="BA390" s="393"/>
      <c r="BB390" s="393"/>
      <c r="BC390" s="393" t="b">
        <v>0</v>
      </c>
      <c r="BD390" s="393"/>
      <c r="BE390" s="392" t="s">
        <v>6053</v>
      </c>
      <c r="BF390" s="394">
        <v>9</v>
      </c>
      <c r="BG390" s="394">
        <v>8</v>
      </c>
      <c r="BH390" s="394">
        <v>1</v>
      </c>
      <c r="BI390" s="394">
        <v>4</v>
      </c>
      <c r="BJ390" s="394">
        <v>6</v>
      </c>
      <c r="BK390" s="394"/>
      <c r="BL390" s="444" t="s">
        <v>6981</v>
      </c>
      <c r="BM390" s="392"/>
      <c r="BN390" s="393"/>
      <c r="BO390" s="393"/>
      <c r="BP390" s="399"/>
      <c r="BQ390" s="400"/>
      <c r="BR390" s="401"/>
      <c r="BS390" s="399"/>
      <c r="BT390" s="394"/>
      <c r="BU390" s="417"/>
      <c r="BV390" s="399"/>
      <c r="BW390" s="393" t="s">
        <v>3117</v>
      </c>
      <c r="BX390" s="392" t="s">
        <v>4364</v>
      </c>
      <c r="BY390" s="393" t="s">
        <v>7224</v>
      </c>
      <c r="BZ390" s="393"/>
      <c r="CA390" s="441"/>
      <c r="CB390" s="400"/>
      <c r="CC390" s="398"/>
      <c r="CD390" s="398"/>
      <c r="CE390" s="398"/>
      <c r="CF390" s="398"/>
      <c r="CG390" s="398"/>
      <c r="CH390" s="398"/>
      <c r="CI390" s="398">
        <v>7.1859999999999999</v>
      </c>
      <c r="CJ390" s="398">
        <v>10.146000000000001</v>
      </c>
      <c r="CK390" s="398">
        <v>10.146000000000001</v>
      </c>
      <c r="CL390" s="398">
        <v>10.146000000000001</v>
      </c>
      <c r="CM390" s="398">
        <v>10.146000000000001</v>
      </c>
      <c r="CN390" s="398">
        <v>10.146000000000001</v>
      </c>
      <c r="CO390" s="398">
        <v>10.146000000000001</v>
      </c>
      <c r="CP390" s="398">
        <v>10.146000000000001</v>
      </c>
      <c r="CQ390" s="398">
        <v>10.146000000000001</v>
      </c>
      <c r="CR390" s="398">
        <v>10.146000000000001</v>
      </c>
      <c r="CS390" s="398">
        <v>2.96</v>
      </c>
      <c r="CT390" s="398"/>
      <c r="CU390" s="398"/>
      <c r="CV390" s="398"/>
      <c r="CW390" s="398"/>
      <c r="CX390" s="398"/>
      <c r="CY390" s="398"/>
      <c r="CZ390" s="398"/>
      <c r="DA390" s="398"/>
      <c r="DB390" s="398"/>
      <c r="DC390" s="398"/>
      <c r="DD390" s="398"/>
      <c r="DE390" s="393"/>
      <c r="DF390" s="393"/>
      <c r="DG390" s="393"/>
      <c r="DH390" s="393"/>
      <c r="DI390" s="393"/>
      <c r="DJ390" s="393"/>
      <c r="DK390" s="897"/>
    </row>
    <row r="391" spans="1:115" ht="25.5" x14ac:dyDescent="0.2">
      <c r="A391" s="295">
        <v>387</v>
      </c>
      <c r="B391" s="390" t="s">
        <v>5841</v>
      </c>
      <c r="C391" s="390"/>
      <c r="D391" s="391" t="s">
        <v>4702</v>
      </c>
      <c r="E391" s="704" t="s">
        <v>4703</v>
      </c>
      <c r="F391" s="393" t="s">
        <v>1352</v>
      </c>
      <c r="G391" s="393" t="s">
        <v>1671</v>
      </c>
      <c r="H391" s="393" t="s">
        <v>117</v>
      </c>
      <c r="I391" s="392"/>
      <c r="J391" s="392"/>
      <c r="K391" s="392" t="s">
        <v>4704</v>
      </c>
      <c r="L391" s="392" t="s">
        <v>197</v>
      </c>
      <c r="M391" s="392"/>
      <c r="N391" s="393" t="s">
        <v>44</v>
      </c>
      <c r="O391" s="393" t="s">
        <v>69</v>
      </c>
      <c r="P391" s="393" t="s">
        <v>69</v>
      </c>
      <c r="Q391" s="392" t="s">
        <v>172</v>
      </c>
      <c r="R391" s="392" t="s">
        <v>4685</v>
      </c>
      <c r="S391" s="428" t="s">
        <v>205</v>
      </c>
      <c r="T391" s="394">
        <v>1</v>
      </c>
      <c r="U391" s="395">
        <v>9.8699999999999992</v>
      </c>
      <c r="V391" s="395"/>
      <c r="W391" s="453"/>
      <c r="X391" s="394"/>
      <c r="Y391" s="394">
        <v>10</v>
      </c>
      <c r="Z391" s="394">
        <v>20</v>
      </c>
      <c r="AA391" s="395">
        <v>0</v>
      </c>
      <c r="AB391" s="452">
        <v>41375</v>
      </c>
      <c r="AC391" s="398">
        <v>0</v>
      </c>
      <c r="AD391" s="398">
        <v>98.699999999999989</v>
      </c>
      <c r="AE391" s="393" t="s">
        <v>47</v>
      </c>
      <c r="AF391" s="417">
        <v>0</v>
      </c>
      <c r="AG391" s="417">
        <f t="shared" ref="AG391:AG407" si="1">1.479+7.401+8.615+8.712</f>
        <v>26.206999999999997</v>
      </c>
      <c r="AH391" s="417">
        <v>26.206999999999997</v>
      </c>
      <c r="AI391" s="394">
        <v>1</v>
      </c>
      <c r="AJ391" s="495">
        <v>41929</v>
      </c>
      <c r="AK391" s="452">
        <v>42369</v>
      </c>
      <c r="AL391" s="393"/>
      <c r="AM391" s="393"/>
      <c r="AN391" s="417"/>
      <c r="AO391" s="392"/>
      <c r="AP391" s="392" t="s">
        <v>7060</v>
      </c>
      <c r="AQ391" s="392"/>
      <c r="AR391" s="392" t="s">
        <v>199</v>
      </c>
      <c r="AS391" s="480"/>
      <c r="AT391" s="453"/>
      <c r="AU391" s="453"/>
      <c r="AV391" s="453"/>
      <c r="AW391" s="453"/>
      <c r="AX391" s="453"/>
      <c r="AY391" s="453"/>
      <c r="AZ391" s="452">
        <v>41375</v>
      </c>
      <c r="BA391" s="393"/>
      <c r="BB391" s="393"/>
      <c r="BC391" s="393" t="b">
        <v>0</v>
      </c>
      <c r="BD391" s="393"/>
      <c r="BE391" s="392" t="s">
        <v>6053</v>
      </c>
      <c r="BF391" s="394">
        <v>9</v>
      </c>
      <c r="BG391" s="394">
        <v>8</v>
      </c>
      <c r="BH391" s="394">
        <v>1</v>
      </c>
      <c r="BI391" s="394">
        <v>4</v>
      </c>
      <c r="BJ391" s="394">
        <v>6</v>
      </c>
      <c r="BK391" s="394"/>
      <c r="BL391" s="444" t="s">
        <v>6981</v>
      </c>
      <c r="BM391" s="392"/>
      <c r="BN391" s="393"/>
      <c r="BO391" s="393"/>
      <c r="BP391" s="399"/>
      <c r="BQ391" s="400"/>
      <c r="BR391" s="401"/>
      <c r="BS391" s="399"/>
      <c r="BT391" s="394"/>
      <c r="BU391" s="417"/>
      <c r="BV391" s="399"/>
      <c r="BW391" s="393" t="s">
        <v>3117</v>
      </c>
      <c r="BX391" s="392" t="s">
        <v>4364</v>
      </c>
      <c r="BY391" s="393" t="s">
        <v>7224</v>
      </c>
      <c r="BZ391" s="393"/>
      <c r="CA391" s="441"/>
      <c r="CB391" s="400"/>
      <c r="CC391" s="398"/>
      <c r="CD391" s="398"/>
      <c r="CE391" s="398"/>
      <c r="CF391" s="398"/>
      <c r="CG391" s="398"/>
      <c r="CH391" s="398"/>
      <c r="CI391" s="398">
        <v>6.9909999999999997</v>
      </c>
      <c r="CJ391" s="398">
        <v>9.8699999999999992</v>
      </c>
      <c r="CK391" s="398">
        <v>9.8699999999999992</v>
      </c>
      <c r="CL391" s="398">
        <v>9.8699999999999992</v>
      </c>
      <c r="CM391" s="398">
        <v>9.8699999999999992</v>
      </c>
      <c r="CN391" s="398">
        <v>9.8699999999999992</v>
      </c>
      <c r="CO391" s="398">
        <v>9.8699999999999992</v>
      </c>
      <c r="CP391" s="398">
        <v>9.8699999999999992</v>
      </c>
      <c r="CQ391" s="398">
        <v>9.8699999999999992</v>
      </c>
      <c r="CR391" s="398">
        <v>9.8699999999999992</v>
      </c>
      <c r="CS391" s="398">
        <v>2.879</v>
      </c>
      <c r="CT391" s="398"/>
      <c r="CU391" s="398"/>
      <c r="CV391" s="398"/>
      <c r="CW391" s="398"/>
      <c r="CX391" s="398"/>
      <c r="CY391" s="398"/>
      <c r="CZ391" s="398"/>
      <c r="DA391" s="398"/>
      <c r="DB391" s="398"/>
      <c r="DC391" s="398"/>
      <c r="DD391" s="398"/>
      <c r="DE391" s="393"/>
      <c r="DF391" s="393"/>
      <c r="DG391" s="393"/>
      <c r="DH391" s="393"/>
      <c r="DI391" s="393"/>
      <c r="DJ391" s="393"/>
      <c r="DK391" s="897"/>
    </row>
    <row r="392" spans="1:115" ht="25.5" x14ac:dyDescent="0.2">
      <c r="A392" s="295">
        <v>388</v>
      </c>
      <c r="B392" s="390" t="s">
        <v>5842</v>
      </c>
      <c r="C392" s="390"/>
      <c r="D392" s="391" t="s">
        <v>4705</v>
      </c>
      <c r="E392" s="704" t="s">
        <v>4706</v>
      </c>
      <c r="F392" s="393" t="s">
        <v>1352</v>
      </c>
      <c r="G392" s="393" t="s">
        <v>1671</v>
      </c>
      <c r="H392" s="393" t="s">
        <v>117</v>
      </c>
      <c r="I392" s="392"/>
      <c r="J392" s="392"/>
      <c r="K392" s="392" t="s">
        <v>4704</v>
      </c>
      <c r="L392" s="392" t="s">
        <v>197</v>
      </c>
      <c r="M392" s="392"/>
      <c r="N392" s="393" t="s">
        <v>44</v>
      </c>
      <c r="O392" s="393" t="s">
        <v>69</v>
      </c>
      <c r="P392" s="393" t="s">
        <v>69</v>
      </c>
      <c r="Q392" s="392" t="s">
        <v>172</v>
      </c>
      <c r="R392" s="392" t="s">
        <v>4685</v>
      </c>
      <c r="S392" s="428" t="s">
        <v>205</v>
      </c>
      <c r="T392" s="394">
        <v>1</v>
      </c>
      <c r="U392" s="395">
        <v>9.8699999999999992</v>
      </c>
      <c r="V392" s="395"/>
      <c r="W392" s="453"/>
      <c r="X392" s="394"/>
      <c r="Y392" s="394">
        <v>10</v>
      </c>
      <c r="Z392" s="394">
        <v>20</v>
      </c>
      <c r="AA392" s="395">
        <v>0</v>
      </c>
      <c r="AB392" s="452">
        <v>41375</v>
      </c>
      <c r="AC392" s="398">
        <v>0</v>
      </c>
      <c r="AD392" s="398">
        <v>98.699999999999989</v>
      </c>
      <c r="AE392" s="393" t="s">
        <v>47</v>
      </c>
      <c r="AF392" s="417">
        <v>0</v>
      </c>
      <c r="AG392" s="417">
        <f t="shared" si="1"/>
        <v>26.206999999999997</v>
      </c>
      <c r="AH392" s="417">
        <v>26.206999999999997</v>
      </c>
      <c r="AI392" s="394">
        <v>1</v>
      </c>
      <c r="AJ392" s="495">
        <v>41929</v>
      </c>
      <c r="AK392" s="452">
        <v>42369</v>
      </c>
      <c r="AL392" s="393"/>
      <c r="AM392" s="393"/>
      <c r="AN392" s="417"/>
      <c r="AO392" s="392"/>
      <c r="AP392" s="392" t="s">
        <v>7060</v>
      </c>
      <c r="AQ392" s="392"/>
      <c r="AR392" s="392" t="s">
        <v>199</v>
      </c>
      <c r="AS392" s="480"/>
      <c r="AT392" s="453"/>
      <c r="AU392" s="453"/>
      <c r="AV392" s="453"/>
      <c r="AW392" s="453"/>
      <c r="AX392" s="453"/>
      <c r="AY392" s="453"/>
      <c r="AZ392" s="452">
        <v>41375</v>
      </c>
      <c r="BA392" s="393"/>
      <c r="BB392" s="393"/>
      <c r="BC392" s="393" t="b">
        <v>0</v>
      </c>
      <c r="BD392" s="393"/>
      <c r="BE392" s="392" t="s">
        <v>6053</v>
      </c>
      <c r="BF392" s="394">
        <v>9</v>
      </c>
      <c r="BG392" s="394">
        <v>8</v>
      </c>
      <c r="BH392" s="394">
        <v>1</v>
      </c>
      <c r="BI392" s="394">
        <v>4</v>
      </c>
      <c r="BJ392" s="394">
        <v>6</v>
      </c>
      <c r="BK392" s="394"/>
      <c r="BL392" s="444" t="s">
        <v>6981</v>
      </c>
      <c r="BM392" s="392"/>
      <c r="BN392" s="393"/>
      <c r="BO392" s="393"/>
      <c r="BP392" s="399"/>
      <c r="BQ392" s="400"/>
      <c r="BR392" s="401"/>
      <c r="BS392" s="399"/>
      <c r="BT392" s="394"/>
      <c r="BU392" s="417"/>
      <c r="BV392" s="399"/>
      <c r="BW392" s="393" t="s">
        <v>3117</v>
      </c>
      <c r="BX392" s="392" t="s">
        <v>4364</v>
      </c>
      <c r="BY392" s="393" t="s">
        <v>7224</v>
      </c>
      <c r="BZ392" s="393"/>
      <c r="CA392" s="441"/>
      <c r="CB392" s="400"/>
      <c r="CC392" s="398"/>
      <c r="CD392" s="398"/>
      <c r="CE392" s="398"/>
      <c r="CF392" s="398"/>
      <c r="CG392" s="398"/>
      <c r="CH392" s="398"/>
      <c r="CI392" s="398">
        <v>6.9909999999999997</v>
      </c>
      <c r="CJ392" s="398">
        <v>9.8699999999999992</v>
      </c>
      <c r="CK392" s="398">
        <v>9.8699999999999992</v>
      </c>
      <c r="CL392" s="398">
        <v>9.8699999999999992</v>
      </c>
      <c r="CM392" s="398">
        <v>9.8699999999999992</v>
      </c>
      <c r="CN392" s="398">
        <v>9.8699999999999992</v>
      </c>
      <c r="CO392" s="398">
        <v>9.8699999999999992</v>
      </c>
      <c r="CP392" s="398">
        <v>9.8699999999999992</v>
      </c>
      <c r="CQ392" s="398">
        <v>9.8699999999999992</v>
      </c>
      <c r="CR392" s="398">
        <v>9.8699999999999992</v>
      </c>
      <c r="CS392" s="398">
        <v>2.879</v>
      </c>
      <c r="CT392" s="398"/>
      <c r="CU392" s="398"/>
      <c r="CV392" s="398"/>
      <c r="CW392" s="398"/>
      <c r="CX392" s="398"/>
      <c r="CY392" s="398"/>
      <c r="CZ392" s="398"/>
      <c r="DA392" s="398"/>
      <c r="DB392" s="398"/>
      <c r="DC392" s="398"/>
      <c r="DD392" s="398"/>
      <c r="DE392" s="393"/>
      <c r="DF392" s="393"/>
      <c r="DG392" s="393"/>
      <c r="DH392" s="393"/>
      <c r="DI392" s="393"/>
      <c r="DJ392" s="393"/>
      <c r="DK392" s="897"/>
    </row>
    <row r="393" spans="1:115" ht="25.5" x14ac:dyDescent="0.2">
      <c r="A393" s="295">
        <v>389</v>
      </c>
      <c r="B393" s="390" t="s">
        <v>5843</v>
      </c>
      <c r="C393" s="390"/>
      <c r="D393" s="391" t="s">
        <v>4707</v>
      </c>
      <c r="E393" s="704" t="s">
        <v>4708</v>
      </c>
      <c r="F393" s="393" t="s">
        <v>1352</v>
      </c>
      <c r="G393" s="393" t="s">
        <v>1671</v>
      </c>
      <c r="H393" s="393" t="s">
        <v>117</v>
      </c>
      <c r="I393" s="392"/>
      <c r="J393" s="392"/>
      <c r="K393" s="392" t="s">
        <v>4704</v>
      </c>
      <c r="L393" s="392" t="s">
        <v>197</v>
      </c>
      <c r="M393" s="392"/>
      <c r="N393" s="393" t="s">
        <v>44</v>
      </c>
      <c r="O393" s="393" t="s">
        <v>69</v>
      </c>
      <c r="P393" s="393" t="s">
        <v>69</v>
      </c>
      <c r="Q393" s="392" t="s">
        <v>172</v>
      </c>
      <c r="R393" s="392" t="s">
        <v>4685</v>
      </c>
      <c r="S393" s="428" t="s">
        <v>205</v>
      </c>
      <c r="T393" s="394">
        <v>1</v>
      </c>
      <c r="U393" s="395">
        <v>9.8699999999999992</v>
      </c>
      <c r="V393" s="395"/>
      <c r="W393" s="453"/>
      <c r="X393" s="394"/>
      <c r="Y393" s="394">
        <v>10</v>
      </c>
      <c r="Z393" s="394">
        <v>20</v>
      </c>
      <c r="AA393" s="395">
        <v>0</v>
      </c>
      <c r="AB393" s="452">
        <v>41375</v>
      </c>
      <c r="AC393" s="398">
        <v>0</v>
      </c>
      <c r="AD393" s="398">
        <v>98.699999999999989</v>
      </c>
      <c r="AE393" s="393" t="s">
        <v>47</v>
      </c>
      <c r="AF393" s="417">
        <v>0</v>
      </c>
      <c r="AG393" s="417">
        <f t="shared" si="1"/>
        <v>26.206999999999997</v>
      </c>
      <c r="AH393" s="417">
        <v>26.206999999999997</v>
      </c>
      <c r="AI393" s="394">
        <v>1</v>
      </c>
      <c r="AJ393" s="495">
        <v>41929</v>
      </c>
      <c r="AK393" s="452">
        <v>42369</v>
      </c>
      <c r="AL393" s="393"/>
      <c r="AM393" s="393"/>
      <c r="AN393" s="417"/>
      <c r="AO393" s="392"/>
      <c r="AP393" s="392" t="s">
        <v>7060</v>
      </c>
      <c r="AQ393" s="392"/>
      <c r="AR393" s="392" t="s">
        <v>199</v>
      </c>
      <c r="AS393" s="480"/>
      <c r="AT393" s="453"/>
      <c r="AU393" s="453"/>
      <c r="AV393" s="453"/>
      <c r="AW393" s="453"/>
      <c r="AX393" s="453"/>
      <c r="AY393" s="453"/>
      <c r="AZ393" s="452">
        <v>41375</v>
      </c>
      <c r="BA393" s="393"/>
      <c r="BB393" s="393"/>
      <c r="BC393" s="393" t="b">
        <v>0</v>
      </c>
      <c r="BD393" s="393"/>
      <c r="BE393" s="392" t="s">
        <v>6053</v>
      </c>
      <c r="BF393" s="394">
        <v>9</v>
      </c>
      <c r="BG393" s="394">
        <v>8</v>
      </c>
      <c r="BH393" s="394">
        <v>1</v>
      </c>
      <c r="BI393" s="394">
        <v>4</v>
      </c>
      <c r="BJ393" s="394">
        <v>6</v>
      </c>
      <c r="BK393" s="394"/>
      <c r="BL393" s="444" t="s">
        <v>6981</v>
      </c>
      <c r="BM393" s="392"/>
      <c r="BN393" s="393"/>
      <c r="BO393" s="393"/>
      <c r="BP393" s="399"/>
      <c r="BQ393" s="400"/>
      <c r="BR393" s="401"/>
      <c r="BS393" s="399"/>
      <c r="BT393" s="394"/>
      <c r="BU393" s="417"/>
      <c r="BV393" s="399"/>
      <c r="BW393" s="393" t="s">
        <v>3117</v>
      </c>
      <c r="BX393" s="392" t="s">
        <v>4364</v>
      </c>
      <c r="BY393" s="393" t="s">
        <v>7224</v>
      </c>
      <c r="BZ393" s="393"/>
      <c r="CA393" s="441"/>
      <c r="CB393" s="400"/>
      <c r="CC393" s="398"/>
      <c r="CD393" s="398"/>
      <c r="CE393" s="398"/>
      <c r="CF393" s="398"/>
      <c r="CG393" s="398"/>
      <c r="CH393" s="398"/>
      <c r="CI393" s="398">
        <v>6.9909999999999997</v>
      </c>
      <c r="CJ393" s="398">
        <v>9.8699999999999992</v>
      </c>
      <c r="CK393" s="398">
        <v>9.8699999999999992</v>
      </c>
      <c r="CL393" s="398">
        <v>9.8699999999999992</v>
      </c>
      <c r="CM393" s="398">
        <v>9.8699999999999992</v>
      </c>
      <c r="CN393" s="398">
        <v>9.8699999999999992</v>
      </c>
      <c r="CO393" s="398">
        <v>9.8699999999999992</v>
      </c>
      <c r="CP393" s="398">
        <v>9.8699999999999992</v>
      </c>
      <c r="CQ393" s="398">
        <v>9.8699999999999992</v>
      </c>
      <c r="CR393" s="398">
        <v>9.8699999999999992</v>
      </c>
      <c r="CS393" s="398">
        <v>2.879</v>
      </c>
      <c r="CT393" s="398"/>
      <c r="CU393" s="398"/>
      <c r="CV393" s="398"/>
      <c r="CW393" s="398"/>
      <c r="CX393" s="398"/>
      <c r="CY393" s="398"/>
      <c r="CZ393" s="398"/>
      <c r="DA393" s="398"/>
      <c r="DB393" s="398"/>
      <c r="DC393" s="398"/>
      <c r="DD393" s="398"/>
      <c r="DE393" s="393"/>
      <c r="DF393" s="393"/>
      <c r="DG393" s="393"/>
      <c r="DH393" s="393"/>
      <c r="DI393" s="393"/>
      <c r="DJ393" s="393"/>
      <c r="DK393" s="897"/>
    </row>
    <row r="394" spans="1:115" ht="25.5" x14ac:dyDescent="0.2">
      <c r="A394" s="295">
        <v>390</v>
      </c>
      <c r="B394" s="390" t="s">
        <v>5844</v>
      </c>
      <c r="C394" s="390"/>
      <c r="D394" s="391" t="s">
        <v>4709</v>
      </c>
      <c r="E394" s="704" t="s">
        <v>4710</v>
      </c>
      <c r="F394" s="393" t="s">
        <v>1352</v>
      </c>
      <c r="G394" s="393" t="s">
        <v>1671</v>
      </c>
      <c r="H394" s="393" t="s">
        <v>117</v>
      </c>
      <c r="I394" s="392"/>
      <c r="J394" s="392"/>
      <c r="K394" s="392" t="s">
        <v>4704</v>
      </c>
      <c r="L394" s="392" t="s">
        <v>197</v>
      </c>
      <c r="M394" s="392"/>
      <c r="N394" s="393" t="s">
        <v>44</v>
      </c>
      <c r="O394" s="393" t="s">
        <v>69</v>
      </c>
      <c r="P394" s="393" t="s">
        <v>69</v>
      </c>
      <c r="Q394" s="392" t="s">
        <v>172</v>
      </c>
      <c r="R394" s="392" t="s">
        <v>4685</v>
      </c>
      <c r="S394" s="428" t="s">
        <v>205</v>
      </c>
      <c r="T394" s="394">
        <v>1</v>
      </c>
      <c r="U394" s="395">
        <v>9.8699999999999992</v>
      </c>
      <c r="V394" s="395"/>
      <c r="W394" s="453"/>
      <c r="X394" s="394"/>
      <c r="Y394" s="394">
        <v>10</v>
      </c>
      <c r="Z394" s="394">
        <v>20</v>
      </c>
      <c r="AA394" s="395">
        <v>0</v>
      </c>
      <c r="AB394" s="452">
        <v>41375</v>
      </c>
      <c r="AC394" s="398">
        <v>0</v>
      </c>
      <c r="AD394" s="398">
        <v>98.699999999999989</v>
      </c>
      <c r="AE394" s="393" t="s">
        <v>47</v>
      </c>
      <c r="AF394" s="417">
        <v>0</v>
      </c>
      <c r="AG394" s="417">
        <f t="shared" si="1"/>
        <v>26.206999999999997</v>
      </c>
      <c r="AH394" s="417">
        <v>26.206999999999997</v>
      </c>
      <c r="AI394" s="394">
        <v>1</v>
      </c>
      <c r="AJ394" s="495">
        <v>41929</v>
      </c>
      <c r="AK394" s="452">
        <v>42369</v>
      </c>
      <c r="AL394" s="393"/>
      <c r="AM394" s="393"/>
      <c r="AN394" s="417"/>
      <c r="AO394" s="392"/>
      <c r="AP394" s="392" t="s">
        <v>7060</v>
      </c>
      <c r="AQ394" s="392"/>
      <c r="AR394" s="392" t="s">
        <v>199</v>
      </c>
      <c r="AS394" s="480"/>
      <c r="AT394" s="453"/>
      <c r="AU394" s="453"/>
      <c r="AV394" s="453"/>
      <c r="AW394" s="453"/>
      <c r="AX394" s="453"/>
      <c r="AY394" s="453"/>
      <c r="AZ394" s="452">
        <v>41375</v>
      </c>
      <c r="BA394" s="393"/>
      <c r="BB394" s="393"/>
      <c r="BC394" s="393" t="b">
        <v>0</v>
      </c>
      <c r="BD394" s="393"/>
      <c r="BE394" s="392" t="s">
        <v>6053</v>
      </c>
      <c r="BF394" s="394">
        <v>9</v>
      </c>
      <c r="BG394" s="394">
        <v>8</v>
      </c>
      <c r="BH394" s="394">
        <v>1</v>
      </c>
      <c r="BI394" s="394">
        <v>4</v>
      </c>
      <c r="BJ394" s="394">
        <v>6</v>
      </c>
      <c r="BK394" s="394"/>
      <c r="BL394" s="444" t="s">
        <v>6981</v>
      </c>
      <c r="BM394" s="392"/>
      <c r="BN394" s="393"/>
      <c r="BO394" s="393"/>
      <c r="BP394" s="399"/>
      <c r="BQ394" s="400"/>
      <c r="BR394" s="401"/>
      <c r="BS394" s="399"/>
      <c r="BT394" s="394"/>
      <c r="BU394" s="417"/>
      <c r="BV394" s="399"/>
      <c r="BW394" s="393" t="s">
        <v>3117</v>
      </c>
      <c r="BX394" s="392" t="s">
        <v>4364</v>
      </c>
      <c r="BY394" s="393" t="s">
        <v>7224</v>
      </c>
      <c r="BZ394" s="393"/>
      <c r="CA394" s="441"/>
      <c r="CB394" s="400"/>
      <c r="CC394" s="398"/>
      <c r="CD394" s="398"/>
      <c r="CE394" s="398"/>
      <c r="CF394" s="398"/>
      <c r="CG394" s="398"/>
      <c r="CH394" s="398"/>
      <c r="CI394" s="398">
        <v>6.9909999999999997</v>
      </c>
      <c r="CJ394" s="398">
        <v>9.8699999999999992</v>
      </c>
      <c r="CK394" s="398">
        <v>9.8699999999999992</v>
      </c>
      <c r="CL394" s="398">
        <v>9.8699999999999992</v>
      </c>
      <c r="CM394" s="398">
        <v>9.8699999999999992</v>
      </c>
      <c r="CN394" s="398">
        <v>9.8699999999999992</v>
      </c>
      <c r="CO394" s="398">
        <v>9.8699999999999992</v>
      </c>
      <c r="CP394" s="398">
        <v>9.8699999999999992</v>
      </c>
      <c r="CQ394" s="398">
        <v>9.8699999999999992</v>
      </c>
      <c r="CR394" s="398">
        <v>9.8699999999999992</v>
      </c>
      <c r="CS394" s="398">
        <v>2.879</v>
      </c>
      <c r="CT394" s="398"/>
      <c r="CU394" s="398"/>
      <c r="CV394" s="398"/>
      <c r="CW394" s="398"/>
      <c r="CX394" s="398"/>
      <c r="CY394" s="398"/>
      <c r="CZ394" s="398"/>
      <c r="DA394" s="398"/>
      <c r="DB394" s="398"/>
      <c r="DC394" s="398"/>
      <c r="DD394" s="398"/>
      <c r="DE394" s="393"/>
      <c r="DF394" s="393"/>
      <c r="DG394" s="393"/>
      <c r="DH394" s="393"/>
      <c r="DI394" s="393"/>
      <c r="DJ394" s="393"/>
      <c r="DK394" s="897"/>
    </row>
    <row r="395" spans="1:115" ht="25.5" x14ac:dyDescent="0.2">
      <c r="A395" s="295">
        <v>391</v>
      </c>
      <c r="B395" s="390" t="s">
        <v>5845</v>
      </c>
      <c r="C395" s="390"/>
      <c r="D395" s="391" t="s">
        <v>4711</v>
      </c>
      <c r="E395" s="704" t="s">
        <v>4712</v>
      </c>
      <c r="F395" s="393" t="s">
        <v>1352</v>
      </c>
      <c r="G395" s="393" t="s">
        <v>1671</v>
      </c>
      <c r="H395" s="393" t="s">
        <v>117</v>
      </c>
      <c r="I395" s="392"/>
      <c r="J395" s="392"/>
      <c r="K395" s="392" t="s">
        <v>4704</v>
      </c>
      <c r="L395" s="392" t="s">
        <v>197</v>
      </c>
      <c r="M395" s="392"/>
      <c r="N395" s="393" t="s">
        <v>44</v>
      </c>
      <c r="O395" s="393" t="s">
        <v>69</v>
      </c>
      <c r="P395" s="393" t="s">
        <v>69</v>
      </c>
      <c r="Q395" s="392" t="s">
        <v>172</v>
      </c>
      <c r="R395" s="392" t="s">
        <v>4685</v>
      </c>
      <c r="S395" s="428" t="s">
        <v>205</v>
      </c>
      <c r="T395" s="394">
        <v>1</v>
      </c>
      <c r="U395" s="395">
        <v>9.8699999999999992</v>
      </c>
      <c r="V395" s="395"/>
      <c r="W395" s="453"/>
      <c r="X395" s="394"/>
      <c r="Y395" s="394">
        <v>10</v>
      </c>
      <c r="Z395" s="394">
        <v>20</v>
      </c>
      <c r="AA395" s="395">
        <v>0</v>
      </c>
      <c r="AB395" s="452">
        <v>41375</v>
      </c>
      <c r="AC395" s="398">
        <v>0</v>
      </c>
      <c r="AD395" s="398">
        <v>98.699999999999989</v>
      </c>
      <c r="AE395" s="393" t="s">
        <v>47</v>
      </c>
      <c r="AF395" s="417">
        <v>0</v>
      </c>
      <c r="AG395" s="417">
        <f t="shared" si="1"/>
        <v>26.206999999999997</v>
      </c>
      <c r="AH395" s="417">
        <v>26.206999999999997</v>
      </c>
      <c r="AI395" s="394">
        <v>1</v>
      </c>
      <c r="AJ395" s="495">
        <v>41929</v>
      </c>
      <c r="AK395" s="452">
        <v>42369</v>
      </c>
      <c r="AL395" s="393"/>
      <c r="AM395" s="393"/>
      <c r="AN395" s="417"/>
      <c r="AO395" s="392"/>
      <c r="AP395" s="392" t="s">
        <v>7060</v>
      </c>
      <c r="AQ395" s="392"/>
      <c r="AR395" s="392" t="s">
        <v>199</v>
      </c>
      <c r="AS395" s="480"/>
      <c r="AT395" s="453"/>
      <c r="AU395" s="453"/>
      <c r="AV395" s="453"/>
      <c r="AW395" s="453"/>
      <c r="AX395" s="453"/>
      <c r="AY395" s="453"/>
      <c r="AZ395" s="452">
        <v>41375</v>
      </c>
      <c r="BA395" s="393"/>
      <c r="BB395" s="393"/>
      <c r="BC395" s="393" t="b">
        <v>0</v>
      </c>
      <c r="BD395" s="393"/>
      <c r="BE395" s="392" t="s">
        <v>6053</v>
      </c>
      <c r="BF395" s="394">
        <v>9</v>
      </c>
      <c r="BG395" s="394">
        <v>8</v>
      </c>
      <c r="BH395" s="394">
        <v>1</v>
      </c>
      <c r="BI395" s="394">
        <v>4</v>
      </c>
      <c r="BJ395" s="394">
        <v>6</v>
      </c>
      <c r="BK395" s="394"/>
      <c r="BL395" s="444" t="s">
        <v>6981</v>
      </c>
      <c r="BM395" s="392"/>
      <c r="BN395" s="393"/>
      <c r="BO395" s="393"/>
      <c r="BP395" s="399"/>
      <c r="BQ395" s="400"/>
      <c r="BR395" s="401"/>
      <c r="BS395" s="399"/>
      <c r="BT395" s="394"/>
      <c r="BU395" s="417"/>
      <c r="BV395" s="399"/>
      <c r="BW395" s="393" t="s">
        <v>3117</v>
      </c>
      <c r="BX395" s="392" t="s">
        <v>4364</v>
      </c>
      <c r="BY395" s="393" t="s">
        <v>7224</v>
      </c>
      <c r="BZ395" s="393"/>
      <c r="CA395" s="441"/>
      <c r="CB395" s="400"/>
      <c r="CC395" s="398"/>
      <c r="CD395" s="398"/>
      <c r="CE395" s="398"/>
      <c r="CF395" s="398"/>
      <c r="CG395" s="398"/>
      <c r="CH395" s="398"/>
      <c r="CI395" s="398">
        <v>6.9909999999999997</v>
      </c>
      <c r="CJ395" s="398">
        <v>9.8699999999999992</v>
      </c>
      <c r="CK395" s="398">
        <v>9.8699999999999992</v>
      </c>
      <c r="CL395" s="398">
        <v>9.8699999999999992</v>
      </c>
      <c r="CM395" s="398">
        <v>9.8699999999999992</v>
      </c>
      <c r="CN395" s="398">
        <v>9.8699999999999992</v>
      </c>
      <c r="CO395" s="398">
        <v>9.8699999999999992</v>
      </c>
      <c r="CP395" s="398">
        <v>9.8699999999999992</v>
      </c>
      <c r="CQ395" s="398">
        <v>9.8699999999999992</v>
      </c>
      <c r="CR395" s="398">
        <v>9.8699999999999992</v>
      </c>
      <c r="CS395" s="398">
        <v>2.879</v>
      </c>
      <c r="CT395" s="398"/>
      <c r="CU395" s="398"/>
      <c r="CV395" s="398"/>
      <c r="CW395" s="398"/>
      <c r="CX395" s="398"/>
      <c r="CY395" s="398"/>
      <c r="CZ395" s="398"/>
      <c r="DA395" s="398"/>
      <c r="DB395" s="398"/>
      <c r="DC395" s="398"/>
      <c r="DD395" s="398"/>
      <c r="DE395" s="393"/>
      <c r="DF395" s="393"/>
      <c r="DG395" s="393"/>
      <c r="DH395" s="393"/>
      <c r="DI395" s="393"/>
      <c r="DJ395" s="393"/>
      <c r="DK395" s="897"/>
    </row>
    <row r="396" spans="1:115" ht="25.5" x14ac:dyDescent="0.2">
      <c r="A396" s="295">
        <v>392</v>
      </c>
      <c r="B396" s="390" t="s">
        <v>5846</v>
      </c>
      <c r="C396" s="390"/>
      <c r="D396" s="391" t="s">
        <v>4713</v>
      </c>
      <c r="E396" s="704" t="s">
        <v>4714</v>
      </c>
      <c r="F396" s="393" t="s">
        <v>1352</v>
      </c>
      <c r="G396" s="393" t="s">
        <v>1671</v>
      </c>
      <c r="H396" s="393" t="s">
        <v>117</v>
      </c>
      <c r="I396" s="392"/>
      <c r="J396" s="392"/>
      <c r="K396" s="392" t="s">
        <v>4704</v>
      </c>
      <c r="L396" s="392" t="s">
        <v>197</v>
      </c>
      <c r="M396" s="392"/>
      <c r="N396" s="393" t="s">
        <v>44</v>
      </c>
      <c r="O396" s="393" t="s">
        <v>69</v>
      </c>
      <c r="P396" s="393" t="s">
        <v>69</v>
      </c>
      <c r="Q396" s="392" t="s">
        <v>172</v>
      </c>
      <c r="R396" s="392" t="s">
        <v>4685</v>
      </c>
      <c r="S396" s="428" t="s">
        <v>205</v>
      </c>
      <c r="T396" s="394">
        <v>1</v>
      </c>
      <c r="U396" s="395">
        <v>9.8699999999999992</v>
      </c>
      <c r="V396" s="395"/>
      <c r="W396" s="453"/>
      <c r="X396" s="394"/>
      <c r="Y396" s="394">
        <v>10</v>
      </c>
      <c r="Z396" s="394">
        <v>20</v>
      </c>
      <c r="AA396" s="395">
        <v>0</v>
      </c>
      <c r="AB396" s="452">
        <v>41375</v>
      </c>
      <c r="AC396" s="398">
        <v>0</v>
      </c>
      <c r="AD396" s="398">
        <v>98.699999999999989</v>
      </c>
      <c r="AE396" s="393" t="s">
        <v>47</v>
      </c>
      <c r="AF396" s="417">
        <v>0</v>
      </c>
      <c r="AG396" s="417">
        <f t="shared" si="1"/>
        <v>26.206999999999997</v>
      </c>
      <c r="AH396" s="417">
        <v>26.206999999999997</v>
      </c>
      <c r="AI396" s="394">
        <v>1</v>
      </c>
      <c r="AJ396" s="495">
        <v>41929</v>
      </c>
      <c r="AK396" s="452">
        <v>42369</v>
      </c>
      <c r="AL396" s="393"/>
      <c r="AM396" s="393"/>
      <c r="AN396" s="417"/>
      <c r="AO396" s="392"/>
      <c r="AP396" s="392" t="s">
        <v>7060</v>
      </c>
      <c r="AQ396" s="392"/>
      <c r="AR396" s="392" t="s">
        <v>199</v>
      </c>
      <c r="AS396" s="480"/>
      <c r="AT396" s="453"/>
      <c r="AU396" s="453"/>
      <c r="AV396" s="453"/>
      <c r="AW396" s="453"/>
      <c r="AX396" s="453"/>
      <c r="AY396" s="453"/>
      <c r="AZ396" s="452">
        <v>41375</v>
      </c>
      <c r="BA396" s="393"/>
      <c r="BB396" s="393"/>
      <c r="BC396" s="393" t="b">
        <v>0</v>
      </c>
      <c r="BD396" s="393"/>
      <c r="BE396" s="392" t="s">
        <v>6053</v>
      </c>
      <c r="BF396" s="394">
        <v>9</v>
      </c>
      <c r="BG396" s="394">
        <v>8</v>
      </c>
      <c r="BH396" s="394">
        <v>1</v>
      </c>
      <c r="BI396" s="394">
        <v>4</v>
      </c>
      <c r="BJ396" s="394">
        <v>6</v>
      </c>
      <c r="BK396" s="394"/>
      <c r="BL396" s="444" t="s">
        <v>6981</v>
      </c>
      <c r="BM396" s="392"/>
      <c r="BN396" s="393"/>
      <c r="BO396" s="393"/>
      <c r="BP396" s="399"/>
      <c r="BQ396" s="400"/>
      <c r="BR396" s="401"/>
      <c r="BS396" s="399"/>
      <c r="BT396" s="394"/>
      <c r="BU396" s="417"/>
      <c r="BV396" s="399"/>
      <c r="BW396" s="393" t="s">
        <v>3117</v>
      </c>
      <c r="BX396" s="392" t="s">
        <v>4364</v>
      </c>
      <c r="BY396" s="393" t="s">
        <v>7224</v>
      </c>
      <c r="BZ396" s="393"/>
      <c r="CA396" s="441"/>
      <c r="CB396" s="400"/>
      <c r="CC396" s="398"/>
      <c r="CD396" s="398"/>
      <c r="CE396" s="398"/>
      <c r="CF396" s="398"/>
      <c r="CG396" s="398"/>
      <c r="CH396" s="398"/>
      <c r="CI396" s="398">
        <v>6.9909999999999997</v>
      </c>
      <c r="CJ396" s="398">
        <v>9.8699999999999992</v>
      </c>
      <c r="CK396" s="398">
        <v>9.8699999999999992</v>
      </c>
      <c r="CL396" s="398">
        <v>9.8699999999999992</v>
      </c>
      <c r="CM396" s="398">
        <v>9.8699999999999992</v>
      </c>
      <c r="CN396" s="398">
        <v>9.8699999999999992</v>
      </c>
      <c r="CO396" s="398">
        <v>9.8699999999999992</v>
      </c>
      <c r="CP396" s="398">
        <v>9.8699999999999992</v>
      </c>
      <c r="CQ396" s="398">
        <v>9.8699999999999992</v>
      </c>
      <c r="CR396" s="398">
        <v>9.8699999999999992</v>
      </c>
      <c r="CS396" s="398">
        <v>2.879</v>
      </c>
      <c r="CT396" s="398"/>
      <c r="CU396" s="398"/>
      <c r="CV396" s="398"/>
      <c r="CW396" s="398"/>
      <c r="CX396" s="398"/>
      <c r="CY396" s="398"/>
      <c r="CZ396" s="398"/>
      <c r="DA396" s="398"/>
      <c r="DB396" s="398"/>
      <c r="DC396" s="398"/>
      <c r="DD396" s="398"/>
      <c r="DE396" s="393"/>
      <c r="DF396" s="393"/>
      <c r="DG396" s="393"/>
      <c r="DH396" s="393"/>
      <c r="DI396" s="393"/>
      <c r="DJ396" s="393"/>
      <c r="DK396" s="897"/>
    </row>
    <row r="397" spans="1:115" ht="25.5" x14ac:dyDescent="0.2">
      <c r="A397" s="295">
        <v>393</v>
      </c>
      <c r="B397" s="390" t="s">
        <v>5847</v>
      </c>
      <c r="C397" s="390"/>
      <c r="D397" s="391" t="s">
        <v>4715</v>
      </c>
      <c r="E397" s="704" t="s">
        <v>4716</v>
      </c>
      <c r="F397" s="393" t="s">
        <v>1352</v>
      </c>
      <c r="G397" s="393" t="s">
        <v>1671</v>
      </c>
      <c r="H397" s="393" t="s">
        <v>117</v>
      </c>
      <c r="I397" s="392"/>
      <c r="J397" s="392"/>
      <c r="K397" s="392" t="s">
        <v>4704</v>
      </c>
      <c r="L397" s="392" t="s">
        <v>197</v>
      </c>
      <c r="M397" s="392"/>
      <c r="N397" s="393" t="s">
        <v>44</v>
      </c>
      <c r="O397" s="393" t="s">
        <v>69</v>
      </c>
      <c r="P397" s="393" t="s">
        <v>69</v>
      </c>
      <c r="Q397" s="392" t="s">
        <v>172</v>
      </c>
      <c r="R397" s="392" t="s">
        <v>4685</v>
      </c>
      <c r="S397" s="428" t="s">
        <v>205</v>
      </c>
      <c r="T397" s="394">
        <v>1</v>
      </c>
      <c r="U397" s="395">
        <v>9.8699999999999992</v>
      </c>
      <c r="V397" s="395"/>
      <c r="W397" s="453"/>
      <c r="X397" s="394"/>
      <c r="Y397" s="394">
        <v>10</v>
      </c>
      <c r="Z397" s="394">
        <v>20</v>
      </c>
      <c r="AA397" s="395">
        <v>0</v>
      </c>
      <c r="AB397" s="452">
        <v>41375</v>
      </c>
      <c r="AC397" s="398">
        <v>0</v>
      </c>
      <c r="AD397" s="398">
        <v>98.699999999999989</v>
      </c>
      <c r="AE397" s="393" t="s">
        <v>47</v>
      </c>
      <c r="AF397" s="417">
        <v>0</v>
      </c>
      <c r="AG397" s="417">
        <f t="shared" si="1"/>
        <v>26.206999999999997</v>
      </c>
      <c r="AH397" s="417">
        <v>26.206999999999997</v>
      </c>
      <c r="AI397" s="394">
        <v>1</v>
      </c>
      <c r="AJ397" s="495">
        <v>41929</v>
      </c>
      <c r="AK397" s="452">
        <v>42369</v>
      </c>
      <c r="AL397" s="393"/>
      <c r="AM397" s="393"/>
      <c r="AN397" s="417"/>
      <c r="AO397" s="392"/>
      <c r="AP397" s="392" t="s">
        <v>7060</v>
      </c>
      <c r="AQ397" s="392"/>
      <c r="AR397" s="392" t="s">
        <v>199</v>
      </c>
      <c r="AS397" s="480"/>
      <c r="AT397" s="453"/>
      <c r="AU397" s="453"/>
      <c r="AV397" s="453"/>
      <c r="AW397" s="453"/>
      <c r="AX397" s="453"/>
      <c r="AY397" s="453"/>
      <c r="AZ397" s="452">
        <v>41375</v>
      </c>
      <c r="BA397" s="393"/>
      <c r="BB397" s="393"/>
      <c r="BC397" s="393" t="b">
        <v>0</v>
      </c>
      <c r="BD397" s="393"/>
      <c r="BE397" s="392" t="s">
        <v>6053</v>
      </c>
      <c r="BF397" s="394">
        <v>9</v>
      </c>
      <c r="BG397" s="394">
        <v>8</v>
      </c>
      <c r="BH397" s="394">
        <v>1</v>
      </c>
      <c r="BI397" s="394">
        <v>4</v>
      </c>
      <c r="BJ397" s="394">
        <v>6</v>
      </c>
      <c r="BK397" s="394"/>
      <c r="BL397" s="444" t="s">
        <v>6981</v>
      </c>
      <c r="BM397" s="392"/>
      <c r="BN397" s="393"/>
      <c r="BO397" s="393"/>
      <c r="BP397" s="399"/>
      <c r="BQ397" s="400"/>
      <c r="BR397" s="401"/>
      <c r="BS397" s="399"/>
      <c r="BT397" s="394"/>
      <c r="BU397" s="417"/>
      <c r="BV397" s="399"/>
      <c r="BW397" s="393" t="s">
        <v>3117</v>
      </c>
      <c r="BX397" s="392" t="s">
        <v>4364</v>
      </c>
      <c r="BY397" s="393" t="s">
        <v>7224</v>
      </c>
      <c r="BZ397" s="393"/>
      <c r="CA397" s="441"/>
      <c r="CB397" s="400"/>
      <c r="CC397" s="398"/>
      <c r="CD397" s="398"/>
      <c r="CE397" s="398"/>
      <c r="CF397" s="398"/>
      <c r="CG397" s="398"/>
      <c r="CH397" s="398"/>
      <c r="CI397" s="398">
        <v>6.9909999999999997</v>
      </c>
      <c r="CJ397" s="398">
        <v>9.8699999999999992</v>
      </c>
      <c r="CK397" s="398">
        <v>9.8699999999999992</v>
      </c>
      <c r="CL397" s="398">
        <v>9.8699999999999992</v>
      </c>
      <c r="CM397" s="398">
        <v>9.8699999999999992</v>
      </c>
      <c r="CN397" s="398">
        <v>9.8699999999999992</v>
      </c>
      <c r="CO397" s="398">
        <v>9.8699999999999992</v>
      </c>
      <c r="CP397" s="398">
        <v>9.8699999999999992</v>
      </c>
      <c r="CQ397" s="398">
        <v>9.8699999999999992</v>
      </c>
      <c r="CR397" s="398">
        <v>9.8699999999999992</v>
      </c>
      <c r="CS397" s="398">
        <v>2.879</v>
      </c>
      <c r="CT397" s="398"/>
      <c r="CU397" s="398"/>
      <c r="CV397" s="398"/>
      <c r="CW397" s="398"/>
      <c r="CX397" s="398"/>
      <c r="CY397" s="398"/>
      <c r="CZ397" s="398"/>
      <c r="DA397" s="398"/>
      <c r="DB397" s="398"/>
      <c r="DC397" s="398"/>
      <c r="DD397" s="398"/>
      <c r="DE397" s="393"/>
      <c r="DF397" s="393"/>
      <c r="DG397" s="393"/>
      <c r="DH397" s="393"/>
      <c r="DI397" s="393"/>
      <c r="DJ397" s="393"/>
      <c r="DK397" s="897"/>
    </row>
    <row r="398" spans="1:115" ht="25.5" x14ac:dyDescent="0.2">
      <c r="A398" s="295">
        <v>394</v>
      </c>
      <c r="B398" s="390" t="s">
        <v>5848</v>
      </c>
      <c r="C398" s="390"/>
      <c r="D398" s="391" t="s">
        <v>4717</v>
      </c>
      <c r="E398" s="704" t="s">
        <v>4718</v>
      </c>
      <c r="F398" s="393" t="s">
        <v>1352</v>
      </c>
      <c r="G398" s="393" t="s">
        <v>1671</v>
      </c>
      <c r="H398" s="393" t="s">
        <v>117</v>
      </c>
      <c r="I398" s="392"/>
      <c r="J398" s="392"/>
      <c r="K398" s="392" t="s">
        <v>4704</v>
      </c>
      <c r="L398" s="392" t="s">
        <v>197</v>
      </c>
      <c r="M398" s="392"/>
      <c r="N398" s="393" t="s">
        <v>44</v>
      </c>
      <c r="O398" s="393" t="s">
        <v>69</v>
      </c>
      <c r="P398" s="393" t="s">
        <v>69</v>
      </c>
      <c r="Q398" s="392" t="s">
        <v>172</v>
      </c>
      <c r="R398" s="392" t="s">
        <v>4685</v>
      </c>
      <c r="S398" s="428" t="s">
        <v>205</v>
      </c>
      <c r="T398" s="394">
        <v>1</v>
      </c>
      <c r="U398" s="395">
        <v>9.8699999999999992</v>
      </c>
      <c r="V398" s="395"/>
      <c r="W398" s="453"/>
      <c r="X398" s="394"/>
      <c r="Y398" s="394">
        <v>10</v>
      </c>
      <c r="Z398" s="394">
        <v>20</v>
      </c>
      <c r="AA398" s="395">
        <v>0</v>
      </c>
      <c r="AB398" s="452">
        <v>41375</v>
      </c>
      <c r="AC398" s="398">
        <v>0</v>
      </c>
      <c r="AD398" s="398">
        <v>98.699999999999989</v>
      </c>
      <c r="AE398" s="393" t="s">
        <v>47</v>
      </c>
      <c r="AF398" s="417">
        <v>0</v>
      </c>
      <c r="AG398" s="417">
        <f t="shared" si="1"/>
        <v>26.206999999999997</v>
      </c>
      <c r="AH398" s="417">
        <v>26.206999999999997</v>
      </c>
      <c r="AI398" s="394">
        <v>1</v>
      </c>
      <c r="AJ398" s="495">
        <v>41929</v>
      </c>
      <c r="AK398" s="452">
        <v>42369</v>
      </c>
      <c r="AL398" s="393"/>
      <c r="AM398" s="393"/>
      <c r="AN398" s="417"/>
      <c r="AO398" s="392"/>
      <c r="AP398" s="392" t="s">
        <v>7060</v>
      </c>
      <c r="AQ398" s="392"/>
      <c r="AR398" s="392" t="s">
        <v>199</v>
      </c>
      <c r="AS398" s="480"/>
      <c r="AT398" s="453"/>
      <c r="AU398" s="453"/>
      <c r="AV398" s="453"/>
      <c r="AW398" s="453"/>
      <c r="AX398" s="453"/>
      <c r="AY398" s="453"/>
      <c r="AZ398" s="452">
        <v>41375</v>
      </c>
      <c r="BA398" s="393"/>
      <c r="BB398" s="393"/>
      <c r="BC398" s="393" t="b">
        <v>0</v>
      </c>
      <c r="BD398" s="393"/>
      <c r="BE398" s="392" t="s">
        <v>6053</v>
      </c>
      <c r="BF398" s="394">
        <v>9</v>
      </c>
      <c r="BG398" s="394">
        <v>8</v>
      </c>
      <c r="BH398" s="394">
        <v>1</v>
      </c>
      <c r="BI398" s="394">
        <v>4</v>
      </c>
      <c r="BJ398" s="394">
        <v>6</v>
      </c>
      <c r="BK398" s="394"/>
      <c r="BL398" s="444" t="s">
        <v>6981</v>
      </c>
      <c r="BM398" s="392"/>
      <c r="BN398" s="393"/>
      <c r="BO398" s="393"/>
      <c r="BP398" s="399"/>
      <c r="BQ398" s="400"/>
      <c r="BR398" s="401"/>
      <c r="BS398" s="399"/>
      <c r="BT398" s="394"/>
      <c r="BU398" s="417"/>
      <c r="BV398" s="399"/>
      <c r="BW398" s="393" t="s">
        <v>3117</v>
      </c>
      <c r="BX398" s="392" t="s">
        <v>4364</v>
      </c>
      <c r="BY398" s="393" t="s">
        <v>7224</v>
      </c>
      <c r="BZ398" s="393"/>
      <c r="CA398" s="441"/>
      <c r="CB398" s="400"/>
      <c r="CC398" s="398"/>
      <c r="CD398" s="398"/>
      <c r="CE398" s="398"/>
      <c r="CF398" s="398"/>
      <c r="CG398" s="398"/>
      <c r="CH398" s="398"/>
      <c r="CI398" s="398">
        <v>6.9909999999999997</v>
      </c>
      <c r="CJ398" s="398">
        <v>9.8699999999999992</v>
      </c>
      <c r="CK398" s="398">
        <v>9.8699999999999992</v>
      </c>
      <c r="CL398" s="398">
        <v>9.8699999999999992</v>
      </c>
      <c r="CM398" s="398">
        <v>9.8699999999999992</v>
      </c>
      <c r="CN398" s="398">
        <v>9.8699999999999992</v>
      </c>
      <c r="CO398" s="398">
        <v>9.8699999999999992</v>
      </c>
      <c r="CP398" s="398">
        <v>9.8699999999999992</v>
      </c>
      <c r="CQ398" s="398">
        <v>9.8699999999999992</v>
      </c>
      <c r="CR398" s="398">
        <v>9.8699999999999992</v>
      </c>
      <c r="CS398" s="398">
        <v>2.879</v>
      </c>
      <c r="CT398" s="398"/>
      <c r="CU398" s="398"/>
      <c r="CV398" s="398"/>
      <c r="CW398" s="398"/>
      <c r="CX398" s="398"/>
      <c r="CY398" s="398"/>
      <c r="CZ398" s="398"/>
      <c r="DA398" s="398"/>
      <c r="DB398" s="398"/>
      <c r="DC398" s="398"/>
      <c r="DD398" s="398"/>
      <c r="DE398" s="393"/>
      <c r="DF398" s="393"/>
      <c r="DG398" s="393"/>
      <c r="DH398" s="393"/>
      <c r="DI398" s="393"/>
      <c r="DJ398" s="393"/>
      <c r="DK398" s="897"/>
    </row>
    <row r="399" spans="1:115" ht="25.5" x14ac:dyDescent="0.2">
      <c r="A399" s="295">
        <v>395</v>
      </c>
      <c r="B399" s="390" t="s">
        <v>5849</v>
      </c>
      <c r="C399" s="390"/>
      <c r="D399" s="391" t="s">
        <v>4719</v>
      </c>
      <c r="E399" s="704" t="s">
        <v>4720</v>
      </c>
      <c r="F399" s="393" t="s">
        <v>1352</v>
      </c>
      <c r="G399" s="393" t="s">
        <v>1671</v>
      </c>
      <c r="H399" s="393" t="s">
        <v>117</v>
      </c>
      <c r="I399" s="392"/>
      <c r="J399" s="392"/>
      <c r="K399" s="392" t="s">
        <v>4704</v>
      </c>
      <c r="L399" s="392" t="s">
        <v>197</v>
      </c>
      <c r="M399" s="392"/>
      <c r="N399" s="393" t="s">
        <v>44</v>
      </c>
      <c r="O399" s="393" t="s">
        <v>69</v>
      </c>
      <c r="P399" s="393" t="s">
        <v>69</v>
      </c>
      <c r="Q399" s="392" t="s">
        <v>172</v>
      </c>
      <c r="R399" s="392" t="s">
        <v>4685</v>
      </c>
      <c r="S399" s="428" t="s">
        <v>205</v>
      </c>
      <c r="T399" s="394">
        <v>1</v>
      </c>
      <c r="U399" s="395">
        <v>9.8699999999999992</v>
      </c>
      <c r="V399" s="395"/>
      <c r="W399" s="453"/>
      <c r="X399" s="394"/>
      <c r="Y399" s="394">
        <v>10</v>
      </c>
      <c r="Z399" s="394">
        <v>20</v>
      </c>
      <c r="AA399" s="395">
        <v>0</v>
      </c>
      <c r="AB399" s="452">
        <v>41375</v>
      </c>
      <c r="AC399" s="398">
        <v>0</v>
      </c>
      <c r="AD399" s="398">
        <v>98.699999999999989</v>
      </c>
      <c r="AE399" s="393" t="s">
        <v>47</v>
      </c>
      <c r="AF399" s="417">
        <v>0</v>
      </c>
      <c r="AG399" s="417">
        <f t="shared" si="1"/>
        <v>26.206999999999997</v>
      </c>
      <c r="AH399" s="417">
        <v>26.206999999999997</v>
      </c>
      <c r="AI399" s="394">
        <v>1</v>
      </c>
      <c r="AJ399" s="495">
        <v>41929</v>
      </c>
      <c r="AK399" s="452">
        <v>42369</v>
      </c>
      <c r="AL399" s="393"/>
      <c r="AM399" s="393"/>
      <c r="AN399" s="417"/>
      <c r="AO399" s="392"/>
      <c r="AP399" s="392" t="s">
        <v>7060</v>
      </c>
      <c r="AQ399" s="392"/>
      <c r="AR399" s="392" t="s">
        <v>199</v>
      </c>
      <c r="AS399" s="480"/>
      <c r="AT399" s="453"/>
      <c r="AU399" s="453"/>
      <c r="AV399" s="453"/>
      <c r="AW399" s="453"/>
      <c r="AX399" s="453"/>
      <c r="AY399" s="453"/>
      <c r="AZ399" s="452">
        <v>41375</v>
      </c>
      <c r="BA399" s="393"/>
      <c r="BB399" s="393"/>
      <c r="BC399" s="393" t="b">
        <v>0</v>
      </c>
      <c r="BD399" s="393"/>
      <c r="BE399" s="392" t="s">
        <v>6053</v>
      </c>
      <c r="BF399" s="394">
        <v>9</v>
      </c>
      <c r="BG399" s="394">
        <v>8</v>
      </c>
      <c r="BH399" s="394">
        <v>1</v>
      </c>
      <c r="BI399" s="394">
        <v>4</v>
      </c>
      <c r="BJ399" s="394">
        <v>6</v>
      </c>
      <c r="BK399" s="394"/>
      <c r="BL399" s="444" t="s">
        <v>6981</v>
      </c>
      <c r="BM399" s="392"/>
      <c r="BN399" s="393"/>
      <c r="BO399" s="393"/>
      <c r="BP399" s="399"/>
      <c r="BQ399" s="400"/>
      <c r="BR399" s="401"/>
      <c r="BS399" s="399"/>
      <c r="BT399" s="394"/>
      <c r="BU399" s="417"/>
      <c r="BV399" s="399"/>
      <c r="BW399" s="393" t="s">
        <v>3117</v>
      </c>
      <c r="BX399" s="392" t="s">
        <v>4364</v>
      </c>
      <c r="BY399" s="393" t="s">
        <v>7224</v>
      </c>
      <c r="BZ399" s="393"/>
      <c r="CA399" s="441"/>
      <c r="CB399" s="400"/>
      <c r="CC399" s="398"/>
      <c r="CD399" s="398"/>
      <c r="CE399" s="398"/>
      <c r="CF399" s="398"/>
      <c r="CG399" s="398"/>
      <c r="CH399" s="398"/>
      <c r="CI399" s="398">
        <v>6.9909999999999997</v>
      </c>
      <c r="CJ399" s="398">
        <v>9.8699999999999992</v>
      </c>
      <c r="CK399" s="398">
        <v>9.8699999999999992</v>
      </c>
      <c r="CL399" s="398">
        <v>9.8699999999999992</v>
      </c>
      <c r="CM399" s="398">
        <v>9.8699999999999992</v>
      </c>
      <c r="CN399" s="398">
        <v>9.8699999999999992</v>
      </c>
      <c r="CO399" s="398">
        <v>9.8699999999999992</v>
      </c>
      <c r="CP399" s="398">
        <v>9.8699999999999992</v>
      </c>
      <c r="CQ399" s="398">
        <v>9.8699999999999992</v>
      </c>
      <c r="CR399" s="398">
        <v>9.8699999999999992</v>
      </c>
      <c r="CS399" s="398">
        <v>2.879</v>
      </c>
      <c r="CT399" s="398"/>
      <c r="CU399" s="398"/>
      <c r="CV399" s="398"/>
      <c r="CW399" s="398"/>
      <c r="CX399" s="398"/>
      <c r="CY399" s="398"/>
      <c r="CZ399" s="398"/>
      <c r="DA399" s="398"/>
      <c r="DB399" s="398"/>
      <c r="DC399" s="398"/>
      <c r="DD399" s="398"/>
      <c r="DE399" s="393"/>
      <c r="DF399" s="393"/>
      <c r="DG399" s="393"/>
      <c r="DH399" s="393"/>
      <c r="DI399" s="393"/>
      <c r="DJ399" s="393"/>
      <c r="DK399" s="897"/>
    </row>
    <row r="400" spans="1:115" ht="25.5" x14ac:dyDescent="0.2">
      <c r="A400" s="295">
        <v>396</v>
      </c>
      <c r="B400" s="390" t="s">
        <v>5850</v>
      </c>
      <c r="C400" s="390"/>
      <c r="D400" s="391" t="s">
        <v>4721</v>
      </c>
      <c r="E400" s="704" t="s">
        <v>4722</v>
      </c>
      <c r="F400" s="393" t="s">
        <v>1352</v>
      </c>
      <c r="G400" s="393" t="s">
        <v>1671</v>
      </c>
      <c r="H400" s="393" t="s">
        <v>117</v>
      </c>
      <c r="I400" s="392"/>
      <c r="J400" s="392"/>
      <c r="K400" s="392" t="s">
        <v>4704</v>
      </c>
      <c r="L400" s="392" t="s">
        <v>197</v>
      </c>
      <c r="M400" s="392"/>
      <c r="N400" s="393" t="s">
        <v>44</v>
      </c>
      <c r="O400" s="393" t="s">
        <v>69</v>
      </c>
      <c r="P400" s="393" t="s">
        <v>69</v>
      </c>
      <c r="Q400" s="392" t="s">
        <v>172</v>
      </c>
      <c r="R400" s="392" t="s">
        <v>4685</v>
      </c>
      <c r="S400" s="428" t="s">
        <v>205</v>
      </c>
      <c r="T400" s="394">
        <v>1</v>
      </c>
      <c r="U400" s="395">
        <v>9.8699999999999992</v>
      </c>
      <c r="V400" s="395"/>
      <c r="W400" s="453"/>
      <c r="X400" s="394"/>
      <c r="Y400" s="394">
        <v>10</v>
      </c>
      <c r="Z400" s="394">
        <v>20</v>
      </c>
      <c r="AA400" s="395">
        <v>0</v>
      </c>
      <c r="AB400" s="452">
        <v>41375</v>
      </c>
      <c r="AC400" s="398">
        <v>0</v>
      </c>
      <c r="AD400" s="398">
        <v>98.699999999999989</v>
      </c>
      <c r="AE400" s="393" t="s">
        <v>47</v>
      </c>
      <c r="AF400" s="417">
        <v>0</v>
      </c>
      <c r="AG400" s="417">
        <f t="shared" si="1"/>
        <v>26.206999999999997</v>
      </c>
      <c r="AH400" s="417">
        <v>26.206999999999997</v>
      </c>
      <c r="AI400" s="394">
        <v>1</v>
      </c>
      <c r="AJ400" s="495">
        <v>41929</v>
      </c>
      <c r="AK400" s="452">
        <v>42369</v>
      </c>
      <c r="AL400" s="393"/>
      <c r="AM400" s="393"/>
      <c r="AN400" s="417"/>
      <c r="AO400" s="392"/>
      <c r="AP400" s="392" t="s">
        <v>7060</v>
      </c>
      <c r="AQ400" s="392"/>
      <c r="AR400" s="392" t="s">
        <v>199</v>
      </c>
      <c r="AS400" s="480"/>
      <c r="AT400" s="453"/>
      <c r="AU400" s="453"/>
      <c r="AV400" s="453"/>
      <c r="AW400" s="453"/>
      <c r="AX400" s="453"/>
      <c r="AY400" s="453"/>
      <c r="AZ400" s="452">
        <v>41375</v>
      </c>
      <c r="BA400" s="393"/>
      <c r="BB400" s="393"/>
      <c r="BC400" s="393" t="b">
        <v>0</v>
      </c>
      <c r="BD400" s="393"/>
      <c r="BE400" s="392" t="s">
        <v>6053</v>
      </c>
      <c r="BF400" s="394">
        <v>9</v>
      </c>
      <c r="BG400" s="394">
        <v>8</v>
      </c>
      <c r="BH400" s="394">
        <v>1</v>
      </c>
      <c r="BI400" s="394">
        <v>4</v>
      </c>
      <c r="BJ400" s="394">
        <v>6</v>
      </c>
      <c r="BK400" s="394"/>
      <c r="BL400" s="444" t="s">
        <v>6981</v>
      </c>
      <c r="BM400" s="392"/>
      <c r="BN400" s="393"/>
      <c r="BO400" s="393"/>
      <c r="BP400" s="399"/>
      <c r="BQ400" s="400"/>
      <c r="BR400" s="401"/>
      <c r="BS400" s="399"/>
      <c r="BT400" s="394"/>
      <c r="BU400" s="417"/>
      <c r="BV400" s="399"/>
      <c r="BW400" s="393" t="s">
        <v>3117</v>
      </c>
      <c r="BX400" s="392" t="s">
        <v>4364</v>
      </c>
      <c r="BY400" s="393" t="s">
        <v>7224</v>
      </c>
      <c r="BZ400" s="393"/>
      <c r="CA400" s="441"/>
      <c r="CB400" s="400"/>
      <c r="CC400" s="398"/>
      <c r="CD400" s="398"/>
      <c r="CE400" s="398"/>
      <c r="CF400" s="398"/>
      <c r="CG400" s="398"/>
      <c r="CH400" s="398"/>
      <c r="CI400" s="398">
        <v>6.9909999999999997</v>
      </c>
      <c r="CJ400" s="398">
        <v>9.8699999999999992</v>
      </c>
      <c r="CK400" s="398">
        <v>9.8699999999999992</v>
      </c>
      <c r="CL400" s="398">
        <v>9.8699999999999992</v>
      </c>
      <c r="CM400" s="398">
        <v>9.8699999999999992</v>
      </c>
      <c r="CN400" s="398">
        <v>9.8699999999999992</v>
      </c>
      <c r="CO400" s="398">
        <v>9.8699999999999992</v>
      </c>
      <c r="CP400" s="398">
        <v>9.8699999999999992</v>
      </c>
      <c r="CQ400" s="398">
        <v>9.8699999999999992</v>
      </c>
      <c r="CR400" s="398">
        <v>9.8699999999999992</v>
      </c>
      <c r="CS400" s="398">
        <v>2.879</v>
      </c>
      <c r="CT400" s="398"/>
      <c r="CU400" s="398"/>
      <c r="CV400" s="398"/>
      <c r="CW400" s="398"/>
      <c r="CX400" s="398"/>
      <c r="CY400" s="398"/>
      <c r="CZ400" s="398"/>
      <c r="DA400" s="398"/>
      <c r="DB400" s="398"/>
      <c r="DC400" s="398"/>
      <c r="DD400" s="398"/>
      <c r="DE400" s="393"/>
      <c r="DF400" s="393"/>
      <c r="DG400" s="393"/>
      <c r="DH400" s="393"/>
      <c r="DI400" s="393"/>
      <c r="DJ400" s="393"/>
      <c r="DK400" s="897"/>
    </row>
    <row r="401" spans="1:115" ht="25.5" x14ac:dyDescent="0.2">
      <c r="A401" s="295">
        <v>397</v>
      </c>
      <c r="B401" s="390" t="s">
        <v>5851</v>
      </c>
      <c r="C401" s="390"/>
      <c r="D401" s="391" t="s">
        <v>4723</v>
      </c>
      <c r="E401" s="704" t="s">
        <v>4724</v>
      </c>
      <c r="F401" s="393" t="s">
        <v>1352</v>
      </c>
      <c r="G401" s="393" t="s">
        <v>1671</v>
      </c>
      <c r="H401" s="393" t="s">
        <v>117</v>
      </c>
      <c r="I401" s="392"/>
      <c r="J401" s="392"/>
      <c r="K401" s="392" t="s">
        <v>4704</v>
      </c>
      <c r="L401" s="392" t="s">
        <v>197</v>
      </c>
      <c r="M401" s="392"/>
      <c r="N401" s="393" t="s">
        <v>44</v>
      </c>
      <c r="O401" s="393" t="s">
        <v>69</v>
      </c>
      <c r="P401" s="393" t="s">
        <v>69</v>
      </c>
      <c r="Q401" s="392" t="s">
        <v>172</v>
      </c>
      <c r="R401" s="392" t="s">
        <v>4685</v>
      </c>
      <c r="S401" s="428" t="s">
        <v>205</v>
      </c>
      <c r="T401" s="394">
        <v>1</v>
      </c>
      <c r="U401" s="395">
        <v>9.8699999999999992</v>
      </c>
      <c r="V401" s="395"/>
      <c r="W401" s="453"/>
      <c r="X401" s="394"/>
      <c r="Y401" s="394">
        <v>10</v>
      </c>
      <c r="Z401" s="394">
        <v>20</v>
      </c>
      <c r="AA401" s="395">
        <v>0</v>
      </c>
      <c r="AB401" s="452">
        <v>41375</v>
      </c>
      <c r="AC401" s="398">
        <v>0</v>
      </c>
      <c r="AD401" s="398">
        <v>98.699999999999989</v>
      </c>
      <c r="AE401" s="393" t="s">
        <v>47</v>
      </c>
      <c r="AF401" s="417">
        <v>0</v>
      </c>
      <c r="AG401" s="417">
        <f t="shared" si="1"/>
        <v>26.206999999999997</v>
      </c>
      <c r="AH401" s="417">
        <v>26.206999999999997</v>
      </c>
      <c r="AI401" s="394">
        <v>1</v>
      </c>
      <c r="AJ401" s="495">
        <v>41929</v>
      </c>
      <c r="AK401" s="452">
        <v>42369</v>
      </c>
      <c r="AL401" s="393"/>
      <c r="AM401" s="393"/>
      <c r="AN401" s="417"/>
      <c r="AO401" s="392"/>
      <c r="AP401" s="392" t="s">
        <v>7060</v>
      </c>
      <c r="AQ401" s="392"/>
      <c r="AR401" s="392" t="s">
        <v>199</v>
      </c>
      <c r="AS401" s="480"/>
      <c r="AT401" s="453"/>
      <c r="AU401" s="453"/>
      <c r="AV401" s="453"/>
      <c r="AW401" s="453"/>
      <c r="AX401" s="453"/>
      <c r="AY401" s="453"/>
      <c r="AZ401" s="452">
        <v>41375</v>
      </c>
      <c r="BA401" s="393"/>
      <c r="BB401" s="393"/>
      <c r="BC401" s="393" t="b">
        <v>0</v>
      </c>
      <c r="BD401" s="393"/>
      <c r="BE401" s="392" t="s">
        <v>6053</v>
      </c>
      <c r="BF401" s="394">
        <v>9</v>
      </c>
      <c r="BG401" s="394">
        <v>8</v>
      </c>
      <c r="BH401" s="394">
        <v>1</v>
      </c>
      <c r="BI401" s="394">
        <v>4</v>
      </c>
      <c r="BJ401" s="394">
        <v>6</v>
      </c>
      <c r="BK401" s="394"/>
      <c r="BL401" s="444" t="s">
        <v>6981</v>
      </c>
      <c r="BM401" s="392"/>
      <c r="BN401" s="393"/>
      <c r="BO401" s="393"/>
      <c r="BP401" s="399"/>
      <c r="BQ401" s="400"/>
      <c r="BR401" s="401"/>
      <c r="BS401" s="399"/>
      <c r="BT401" s="394"/>
      <c r="BU401" s="417"/>
      <c r="BV401" s="399"/>
      <c r="BW401" s="393" t="s">
        <v>3117</v>
      </c>
      <c r="BX401" s="392" t="s">
        <v>4364</v>
      </c>
      <c r="BY401" s="393" t="s">
        <v>7224</v>
      </c>
      <c r="BZ401" s="393"/>
      <c r="CA401" s="441"/>
      <c r="CB401" s="400"/>
      <c r="CC401" s="398"/>
      <c r="CD401" s="398"/>
      <c r="CE401" s="398"/>
      <c r="CF401" s="398"/>
      <c r="CG401" s="398"/>
      <c r="CH401" s="398"/>
      <c r="CI401" s="398">
        <v>6.9909999999999997</v>
      </c>
      <c r="CJ401" s="398">
        <v>9.8699999999999992</v>
      </c>
      <c r="CK401" s="398">
        <v>9.8699999999999992</v>
      </c>
      <c r="CL401" s="398">
        <v>9.8699999999999992</v>
      </c>
      <c r="CM401" s="398">
        <v>9.8699999999999992</v>
      </c>
      <c r="CN401" s="398">
        <v>9.8699999999999992</v>
      </c>
      <c r="CO401" s="398">
        <v>9.8699999999999992</v>
      </c>
      <c r="CP401" s="398">
        <v>9.8699999999999992</v>
      </c>
      <c r="CQ401" s="398">
        <v>9.8699999999999992</v>
      </c>
      <c r="CR401" s="398">
        <v>9.8699999999999992</v>
      </c>
      <c r="CS401" s="398">
        <v>2.879</v>
      </c>
      <c r="CT401" s="398"/>
      <c r="CU401" s="398"/>
      <c r="CV401" s="398"/>
      <c r="CW401" s="398"/>
      <c r="CX401" s="398"/>
      <c r="CY401" s="398"/>
      <c r="CZ401" s="398"/>
      <c r="DA401" s="398"/>
      <c r="DB401" s="398"/>
      <c r="DC401" s="398"/>
      <c r="DD401" s="398"/>
      <c r="DE401" s="393"/>
      <c r="DF401" s="393"/>
      <c r="DG401" s="393"/>
      <c r="DH401" s="393"/>
      <c r="DI401" s="393"/>
      <c r="DJ401" s="393"/>
      <c r="DK401" s="897"/>
    </row>
    <row r="402" spans="1:115" ht="25.5" x14ac:dyDescent="0.2">
      <c r="A402" s="295">
        <v>398</v>
      </c>
      <c r="B402" s="390" t="s">
        <v>5852</v>
      </c>
      <c r="C402" s="390"/>
      <c r="D402" s="391" t="s">
        <v>4725</v>
      </c>
      <c r="E402" s="704" t="s">
        <v>4726</v>
      </c>
      <c r="F402" s="393" t="s">
        <v>1352</v>
      </c>
      <c r="G402" s="393" t="s">
        <v>1671</v>
      </c>
      <c r="H402" s="393" t="s">
        <v>117</v>
      </c>
      <c r="I402" s="392"/>
      <c r="J402" s="392"/>
      <c r="K402" s="392" t="s">
        <v>4704</v>
      </c>
      <c r="L402" s="392" t="s">
        <v>197</v>
      </c>
      <c r="M402" s="392"/>
      <c r="N402" s="393" t="s">
        <v>44</v>
      </c>
      <c r="O402" s="393" t="s">
        <v>69</v>
      </c>
      <c r="P402" s="393" t="s">
        <v>69</v>
      </c>
      <c r="Q402" s="392" t="s">
        <v>172</v>
      </c>
      <c r="R402" s="392" t="s">
        <v>4685</v>
      </c>
      <c r="S402" s="428" t="s">
        <v>205</v>
      </c>
      <c r="T402" s="394">
        <v>1</v>
      </c>
      <c r="U402" s="395">
        <v>9.8699999999999992</v>
      </c>
      <c r="V402" s="395"/>
      <c r="W402" s="453"/>
      <c r="X402" s="394"/>
      <c r="Y402" s="394">
        <v>10</v>
      </c>
      <c r="Z402" s="394">
        <v>20</v>
      </c>
      <c r="AA402" s="395">
        <v>0</v>
      </c>
      <c r="AB402" s="452">
        <v>41375</v>
      </c>
      <c r="AC402" s="398">
        <v>0</v>
      </c>
      <c r="AD402" s="398">
        <v>98.699999999999989</v>
      </c>
      <c r="AE402" s="393" t="s">
        <v>47</v>
      </c>
      <c r="AF402" s="417">
        <v>0</v>
      </c>
      <c r="AG402" s="417">
        <f t="shared" si="1"/>
        <v>26.206999999999997</v>
      </c>
      <c r="AH402" s="417">
        <v>26.206999999999997</v>
      </c>
      <c r="AI402" s="394">
        <v>1</v>
      </c>
      <c r="AJ402" s="495">
        <v>41929</v>
      </c>
      <c r="AK402" s="452">
        <v>42369</v>
      </c>
      <c r="AL402" s="393"/>
      <c r="AM402" s="393"/>
      <c r="AN402" s="417"/>
      <c r="AO402" s="392"/>
      <c r="AP402" s="392" t="s">
        <v>7060</v>
      </c>
      <c r="AQ402" s="392"/>
      <c r="AR402" s="392" t="s">
        <v>199</v>
      </c>
      <c r="AS402" s="480"/>
      <c r="AT402" s="453"/>
      <c r="AU402" s="453"/>
      <c r="AV402" s="453"/>
      <c r="AW402" s="453"/>
      <c r="AX402" s="453"/>
      <c r="AY402" s="453"/>
      <c r="AZ402" s="452">
        <v>41375</v>
      </c>
      <c r="BA402" s="393"/>
      <c r="BB402" s="393"/>
      <c r="BC402" s="393" t="b">
        <v>0</v>
      </c>
      <c r="BD402" s="393"/>
      <c r="BE402" s="392" t="s">
        <v>6053</v>
      </c>
      <c r="BF402" s="394">
        <v>9</v>
      </c>
      <c r="BG402" s="394">
        <v>8</v>
      </c>
      <c r="BH402" s="394">
        <v>1</v>
      </c>
      <c r="BI402" s="394">
        <v>4</v>
      </c>
      <c r="BJ402" s="394">
        <v>6</v>
      </c>
      <c r="BK402" s="394"/>
      <c r="BL402" s="444" t="s">
        <v>6981</v>
      </c>
      <c r="BM402" s="392"/>
      <c r="BN402" s="393"/>
      <c r="BO402" s="393"/>
      <c r="BP402" s="399"/>
      <c r="BQ402" s="400"/>
      <c r="BR402" s="401"/>
      <c r="BS402" s="399"/>
      <c r="BT402" s="394"/>
      <c r="BU402" s="417"/>
      <c r="BV402" s="399"/>
      <c r="BW402" s="393" t="s">
        <v>3117</v>
      </c>
      <c r="BX402" s="392" t="s">
        <v>4364</v>
      </c>
      <c r="BY402" s="393" t="s">
        <v>7224</v>
      </c>
      <c r="BZ402" s="393"/>
      <c r="CA402" s="441"/>
      <c r="CB402" s="400"/>
      <c r="CC402" s="398"/>
      <c r="CD402" s="398"/>
      <c r="CE402" s="398"/>
      <c r="CF402" s="398"/>
      <c r="CG402" s="398"/>
      <c r="CH402" s="398"/>
      <c r="CI402" s="398">
        <v>6.9909999999999997</v>
      </c>
      <c r="CJ402" s="398">
        <v>9.8699999999999992</v>
      </c>
      <c r="CK402" s="398">
        <v>9.8699999999999992</v>
      </c>
      <c r="CL402" s="398">
        <v>9.8699999999999992</v>
      </c>
      <c r="CM402" s="398">
        <v>9.8699999999999992</v>
      </c>
      <c r="CN402" s="398">
        <v>9.8699999999999992</v>
      </c>
      <c r="CO402" s="398">
        <v>9.8699999999999992</v>
      </c>
      <c r="CP402" s="398">
        <v>9.8699999999999992</v>
      </c>
      <c r="CQ402" s="398">
        <v>9.8699999999999992</v>
      </c>
      <c r="CR402" s="398">
        <v>9.8699999999999992</v>
      </c>
      <c r="CS402" s="398">
        <v>2.879</v>
      </c>
      <c r="CT402" s="398"/>
      <c r="CU402" s="398"/>
      <c r="CV402" s="398"/>
      <c r="CW402" s="398"/>
      <c r="CX402" s="398"/>
      <c r="CY402" s="398"/>
      <c r="CZ402" s="398"/>
      <c r="DA402" s="398"/>
      <c r="DB402" s="398"/>
      <c r="DC402" s="398"/>
      <c r="DD402" s="398"/>
      <c r="DE402" s="393"/>
      <c r="DF402" s="393"/>
      <c r="DG402" s="393"/>
      <c r="DH402" s="393"/>
      <c r="DI402" s="393"/>
      <c r="DJ402" s="393"/>
      <c r="DK402" s="897"/>
    </row>
    <row r="403" spans="1:115" ht="25.5" x14ac:dyDescent="0.2">
      <c r="A403" s="295">
        <v>399</v>
      </c>
      <c r="B403" s="390" t="s">
        <v>5853</v>
      </c>
      <c r="C403" s="390"/>
      <c r="D403" s="391" t="s">
        <v>4727</v>
      </c>
      <c r="E403" s="704" t="s">
        <v>4728</v>
      </c>
      <c r="F403" s="393" t="s">
        <v>1352</v>
      </c>
      <c r="G403" s="393" t="s">
        <v>1671</v>
      </c>
      <c r="H403" s="393" t="s">
        <v>117</v>
      </c>
      <c r="I403" s="392"/>
      <c r="J403" s="392"/>
      <c r="K403" s="392" t="s">
        <v>4704</v>
      </c>
      <c r="L403" s="392" t="s">
        <v>197</v>
      </c>
      <c r="M403" s="392"/>
      <c r="N403" s="393" t="s">
        <v>44</v>
      </c>
      <c r="O403" s="393" t="s">
        <v>69</v>
      </c>
      <c r="P403" s="393" t="s">
        <v>69</v>
      </c>
      <c r="Q403" s="392" t="s">
        <v>172</v>
      </c>
      <c r="R403" s="392" t="s">
        <v>4685</v>
      </c>
      <c r="S403" s="428" t="s">
        <v>205</v>
      </c>
      <c r="T403" s="394">
        <v>1</v>
      </c>
      <c r="U403" s="395">
        <v>9.8699999999999992</v>
      </c>
      <c r="V403" s="395"/>
      <c r="W403" s="453"/>
      <c r="X403" s="394"/>
      <c r="Y403" s="394">
        <v>10</v>
      </c>
      <c r="Z403" s="394">
        <v>20</v>
      </c>
      <c r="AA403" s="395">
        <v>0</v>
      </c>
      <c r="AB403" s="452">
        <v>41375</v>
      </c>
      <c r="AC403" s="398">
        <v>0</v>
      </c>
      <c r="AD403" s="398">
        <v>98.699999999999989</v>
      </c>
      <c r="AE403" s="393" t="s">
        <v>47</v>
      </c>
      <c r="AF403" s="417">
        <v>0</v>
      </c>
      <c r="AG403" s="417">
        <f t="shared" si="1"/>
        <v>26.206999999999997</v>
      </c>
      <c r="AH403" s="417">
        <v>26.206999999999997</v>
      </c>
      <c r="AI403" s="394">
        <v>1</v>
      </c>
      <c r="AJ403" s="495">
        <v>41929</v>
      </c>
      <c r="AK403" s="452">
        <v>42369</v>
      </c>
      <c r="AL403" s="393"/>
      <c r="AM403" s="393"/>
      <c r="AN403" s="417"/>
      <c r="AO403" s="392"/>
      <c r="AP403" s="392" t="s">
        <v>7060</v>
      </c>
      <c r="AQ403" s="392"/>
      <c r="AR403" s="392" t="s">
        <v>199</v>
      </c>
      <c r="AS403" s="480"/>
      <c r="AT403" s="453"/>
      <c r="AU403" s="453"/>
      <c r="AV403" s="453"/>
      <c r="AW403" s="453"/>
      <c r="AX403" s="453"/>
      <c r="AY403" s="453"/>
      <c r="AZ403" s="452">
        <v>41375</v>
      </c>
      <c r="BA403" s="393"/>
      <c r="BB403" s="393"/>
      <c r="BC403" s="393" t="b">
        <v>0</v>
      </c>
      <c r="BD403" s="393"/>
      <c r="BE403" s="392" t="s">
        <v>6053</v>
      </c>
      <c r="BF403" s="394">
        <v>9</v>
      </c>
      <c r="BG403" s="394">
        <v>8</v>
      </c>
      <c r="BH403" s="394">
        <v>1</v>
      </c>
      <c r="BI403" s="394">
        <v>4</v>
      </c>
      <c r="BJ403" s="394">
        <v>6</v>
      </c>
      <c r="BK403" s="394"/>
      <c r="BL403" s="444" t="s">
        <v>6981</v>
      </c>
      <c r="BM403" s="392"/>
      <c r="BN403" s="393"/>
      <c r="BO403" s="393"/>
      <c r="BP403" s="399"/>
      <c r="BQ403" s="400"/>
      <c r="BR403" s="401"/>
      <c r="BS403" s="399"/>
      <c r="BT403" s="394"/>
      <c r="BU403" s="417"/>
      <c r="BV403" s="399"/>
      <c r="BW403" s="393" t="s">
        <v>3117</v>
      </c>
      <c r="BX403" s="392" t="s">
        <v>4364</v>
      </c>
      <c r="BY403" s="393" t="s">
        <v>7224</v>
      </c>
      <c r="BZ403" s="393"/>
      <c r="CA403" s="441"/>
      <c r="CB403" s="400"/>
      <c r="CC403" s="398"/>
      <c r="CD403" s="398"/>
      <c r="CE403" s="398"/>
      <c r="CF403" s="398"/>
      <c r="CG403" s="398"/>
      <c r="CH403" s="398"/>
      <c r="CI403" s="398">
        <v>6.9909999999999997</v>
      </c>
      <c r="CJ403" s="398">
        <v>9.8699999999999992</v>
      </c>
      <c r="CK403" s="398">
        <v>9.8699999999999992</v>
      </c>
      <c r="CL403" s="398">
        <v>9.8699999999999992</v>
      </c>
      <c r="CM403" s="398">
        <v>9.8699999999999992</v>
      </c>
      <c r="CN403" s="398">
        <v>9.8699999999999992</v>
      </c>
      <c r="CO403" s="398">
        <v>9.8699999999999992</v>
      </c>
      <c r="CP403" s="398">
        <v>9.8699999999999992</v>
      </c>
      <c r="CQ403" s="398">
        <v>9.8699999999999992</v>
      </c>
      <c r="CR403" s="398">
        <v>9.8699999999999992</v>
      </c>
      <c r="CS403" s="398">
        <v>2.879</v>
      </c>
      <c r="CT403" s="398"/>
      <c r="CU403" s="398"/>
      <c r="CV403" s="398"/>
      <c r="CW403" s="398"/>
      <c r="CX403" s="398"/>
      <c r="CY403" s="398"/>
      <c r="CZ403" s="398"/>
      <c r="DA403" s="398"/>
      <c r="DB403" s="398"/>
      <c r="DC403" s="398"/>
      <c r="DD403" s="398"/>
      <c r="DE403" s="393"/>
      <c r="DF403" s="393"/>
      <c r="DG403" s="393"/>
      <c r="DH403" s="393"/>
      <c r="DI403" s="393"/>
      <c r="DJ403" s="393"/>
      <c r="DK403" s="897"/>
    </row>
    <row r="404" spans="1:115" ht="25.5" x14ac:dyDescent="0.2">
      <c r="A404" s="295">
        <v>400</v>
      </c>
      <c r="B404" s="390" t="s">
        <v>5854</v>
      </c>
      <c r="C404" s="390"/>
      <c r="D404" s="391" t="s">
        <v>4729</v>
      </c>
      <c r="E404" s="704" t="s">
        <v>4730</v>
      </c>
      <c r="F404" s="393" t="s">
        <v>1352</v>
      </c>
      <c r="G404" s="393" t="s">
        <v>1671</v>
      </c>
      <c r="H404" s="393" t="s">
        <v>117</v>
      </c>
      <c r="I404" s="392"/>
      <c r="J404" s="392"/>
      <c r="K404" s="392" t="s">
        <v>4704</v>
      </c>
      <c r="L404" s="392" t="s">
        <v>197</v>
      </c>
      <c r="M404" s="392"/>
      <c r="N404" s="393" t="s">
        <v>44</v>
      </c>
      <c r="O404" s="393" t="s">
        <v>69</v>
      </c>
      <c r="P404" s="393" t="s">
        <v>69</v>
      </c>
      <c r="Q404" s="392" t="s">
        <v>172</v>
      </c>
      <c r="R404" s="392" t="s">
        <v>4685</v>
      </c>
      <c r="S404" s="428" t="s">
        <v>205</v>
      </c>
      <c r="T404" s="394">
        <v>1</v>
      </c>
      <c r="U404" s="395">
        <v>9.8699999999999992</v>
      </c>
      <c r="V404" s="395"/>
      <c r="W404" s="453"/>
      <c r="X404" s="394"/>
      <c r="Y404" s="394">
        <v>10</v>
      </c>
      <c r="Z404" s="394">
        <v>20</v>
      </c>
      <c r="AA404" s="395">
        <v>0</v>
      </c>
      <c r="AB404" s="452">
        <v>41375</v>
      </c>
      <c r="AC404" s="398">
        <v>0</v>
      </c>
      <c r="AD404" s="398">
        <v>98.699999999999989</v>
      </c>
      <c r="AE404" s="393" t="s">
        <v>47</v>
      </c>
      <c r="AF404" s="417">
        <v>0</v>
      </c>
      <c r="AG404" s="417">
        <f t="shared" si="1"/>
        <v>26.206999999999997</v>
      </c>
      <c r="AH404" s="417">
        <v>26.206999999999997</v>
      </c>
      <c r="AI404" s="394">
        <v>1</v>
      </c>
      <c r="AJ404" s="495">
        <v>41929</v>
      </c>
      <c r="AK404" s="452">
        <v>42369</v>
      </c>
      <c r="AL404" s="393"/>
      <c r="AM404" s="393"/>
      <c r="AN404" s="417"/>
      <c r="AO404" s="392"/>
      <c r="AP404" s="392" t="s">
        <v>7060</v>
      </c>
      <c r="AQ404" s="392"/>
      <c r="AR404" s="392" t="s">
        <v>199</v>
      </c>
      <c r="AS404" s="480"/>
      <c r="AT404" s="453"/>
      <c r="AU404" s="453"/>
      <c r="AV404" s="453"/>
      <c r="AW404" s="453"/>
      <c r="AX404" s="453"/>
      <c r="AY404" s="453"/>
      <c r="AZ404" s="452">
        <v>41375</v>
      </c>
      <c r="BA404" s="393"/>
      <c r="BB404" s="393"/>
      <c r="BC404" s="393" t="b">
        <v>0</v>
      </c>
      <c r="BD404" s="393"/>
      <c r="BE404" s="392" t="s">
        <v>6053</v>
      </c>
      <c r="BF404" s="394">
        <v>9</v>
      </c>
      <c r="BG404" s="394">
        <v>8</v>
      </c>
      <c r="BH404" s="394">
        <v>1</v>
      </c>
      <c r="BI404" s="394">
        <v>4</v>
      </c>
      <c r="BJ404" s="394">
        <v>6</v>
      </c>
      <c r="BK404" s="394"/>
      <c r="BL404" s="444" t="s">
        <v>6981</v>
      </c>
      <c r="BM404" s="392"/>
      <c r="BN404" s="393"/>
      <c r="BO404" s="393"/>
      <c r="BP404" s="399"/>
      <c r="BQ404" s="400"/>
      <c r="BR404" s="401"/>
      <c r="BS404" s="399"/>
      <c r="BT404" s="394"/>
      <c r="BU404" s="417"/>
      <c r="BV404" s="399"/>
      <c r="BW404" s="393" t="s">
        <v>3117</v>
      </c>
      <c r="BX404" s="392" t="s">
        <v>4364</v>
      </c>
      <c r="BY404" s="393" t="s">
        <v>7224</v>
      </c>
      <c r="BZ404" s="393"/>
      <c r="CA404" s="441"/>
      <c r="CB404" s="400"/>
      <c r="CC404" s="398"/>
      <c r="CD404" s="398"/>
      <c r="CE404" s="398"/>
      <c r="CF404" s="398"/>
      <c r="CG404" s="398"/>
      <c r="CH404" s="398"/>
      <c r="CI404" s="398">
        <v>6.9909999999999997</v>
      </c>
      <c r="CJ404" s="398">
        <v>9.8699999999999992</v>
      </c>
      <c r="CK404" s="398">
        <v>9.8699999999999992</v>
      </c>
      <c r="CL404" s="398">
        <v>9.8699999999999992</v>
      </c>
      <c r="CM404" s="398">
        <v>9.8699999999999992</v>
      </c>
      <c r="CN404" s="398">
        <v>9.8699999999999992</v>
      </c>
      <c r="CO404" s="398">
        <v>9.8699999999999992</v>
      </c>
      <c r="CP404" s="398">
        <v>9.8699999999999992</v>
      </c>
      <c r="CQ404" s="398">
        <v>9.8699999999999992</v>
      </c>
      <c r="CR404" s="398">
        <v>9.8699999999999992</v>
      </c>
      <c r="CS404" s="398">
        <v>2.879</v>
      </c>
      <c r="CT404" s="398"/>
      <c r="CU404" s="398"/>
      <c r="CV404" s="398"/>
      <c r="CW404" s="398"/>
      <c r="CX404" s="398"/>
      <c r="CY404" s="398"/>
      <c r="CZ404" s="398"/>
      <c r="DA404" s="398"/>
      <c r="DB404" s="398"/>
      <c r="DC404" s="398"/>
      <c r="DD404" s="398"/>
      <c r="DE404" s="393"/>
      <c r="DF404" s="393"/>
      <c r="DG404" s="393"/>
      <c r="DH404" s="393"/>
      <c r="DI404" s="393"/>
      <c r="DJ404" s="393"/>
      <c r="DK404" s="897"/>
    </row>
    <row r="405" spans="1:115" ht="25.5" x14ac:dyDescent="0.2">
      <c r="A405" s="295">
        <v>401</v>
      </c>
      <c r="B405" s="390" t="s">
        <v>5855</v>
      </c>
      <c r="C405" s="390"/>
      <c r="D405" s="391" t="s">
        <v>4731</v>
      </c>
      <c r="E405" s="704" t="s">
        <v>4732</v>
      </c>
      <c r="F405" s="393" t="s">
        <v>1352</v>
      </c>
      <c r="G405" s="393" t="s">
        <v>1671</v>
      </c>
      <c r="H405" s="393" t="s">
        <v>117</v>
      </c>
      <c r="I405" s="392"/>
      <c r="J405" s="392"/>
      <c r="K405" s="392" t="s">
        <v>4704</v>
      </c>
      <c r="L405" s="392" t="s">
        <v>197</v>
      </c>
      <c r="M405" s="392"/>
      <c r="N405" s="393" t="s">
        <v>44</v>
      </c>
      <c r="O405" s="393" t="s">
        <v>69</v>
      </c>
      <c r="P405" s="393" t="s">
        <v>69</v>
      </c>
      <c r="Q405" s="392" t="s">
        <v>172</v>
      </c>
      <c r="R405" s="392" t="s">
        <v>4685</v>
      </c>
      <c r="S405" s="428" t="s">
        <v>205</v>
      </c>
      <c r="T405" s="394">
        <v>1</v>
      </c>
      <c r="U405" s="395">
        <v>9.8699999999999992</v>
      </c>
      <c r="V405" s="395"/>
      <c r="W405" s="453"/>
      <c r="X405" s="394"/>
      <c r="Y405" s="394">
        <v>10</v>
      </c>
      <c r="Z405" s="394">
        <v>20</v>
      </c>
      <c r="AA405" s="395">
        <v>0</v>
      </c>
      <c r="AB405" s="452">
        <v>41375</v>
      </c>
      <c r="AC405" s="398">
        <v>0</v>
      </c>
      <c r="AD405" s="398">
        <v>98.699999999999989</v>
      </c>
      <c r="AE405" s="393" t="s">
        <v>47</v>
      </c>
      <c r="AF405" s="417">
        <v>0</v>
      </c>
      <c r="AG405" s="417">
        <f t="shared" si="1"/>
        <v>26.206999999999997</v>
      </c>
      <c r="AH405" s="417">
        <v>26.206999999999997</v>
      </c>
      <c r="AI405" s="394">
        <v>1</v>
      </c>
      <c r="AJ405" s="495">
        <v>41929</v>
      </c>
      <c r="AK405" s="452">
        <v>42369</v>
      </c>
      <c r="AL405" s="393"/>
      <c r="AM405" s="393"/>
      <c r="AN405" s="417"/>
      <c r="AO405" s="392"/>
      <c r="AP405" s="392" t="s">
        <v>7060</v>
      </c>
      <c r="AQ405" s="392"/>
      <c r="AR405" s="392" t="s">
        <v>199</v>
      </c>
      <c r="AS405" s="480"/>
      <c r="AT405" s="453"/>
      <c r="AU405" s="453"/>
      <c r="AV405" s="453"/>
      <c r="AW405" s="453"/>
      <c r="AX405" s="453"/>
      <c r="AY405" s="453"/>
      <c r="AZ405" s="452">
        <v>41375</v>
      </c>
      <c r="BA405" s="393"/>
      <c r="BB405" s="393"/>
      <c r="BC405" s="393" t="b">
        <v>0</v>
      </c>
      <c r="BD405" s="393"/>
      <c r="BE405" s="392" t="s">
        <v>6053</v>
      </c>
      <c r="BF405" s="394">
        <v>9</v>
      </c>
      <c r="BG405" s="394">
        <v>8</v>
      </c>
      <c r="BH405" s="394">
        <v>1</v>
      </c>
      <c r="BI405" s="394">
        <v>4</v>
      </c>
      <c r="BJ405" s="394">
        <v>6</v>
      </c>
      <c r="BK405" s="394"/>
      <c r="BL405" s="444" t="s">
        <v>6981</v>
      </c>
      <c r="BM405" s="392"/>
      <c r="BN405" s="393"/>
      <c r="BO405" s="393"/>
      <c r="BP405" s="399"/>
      <c r="BQ405" s="400"/>
      <c r="BR405" s="401"/>
      <c r="BS405" s="399"/>
      <c r="BT405" s="394"/>
      <c r="BU405" s="417"/>
      <c r="BV405" s="399"/>
      <c r="BW405" s="393" t="s">
        <v>3117</v>
      </c>
      <c r="BX405" s="392" t="s">
        <v>4364</v>
      </c>
      <c r="BY405" s="393" t="s">
        <v>7224</v>
      </c>
      <c r="BZ405" s="393"/>
      <c r="CA405" s="441"/>
      <c r="CB405" s="400"/>
      <c r="CC405" s="398"/>
      <c r="CD405" s="398"/>
      <c r="CE405" s="398"/>
      <c r="CF405" s="398"/>
      <c r="CG405" s="398"/>
      <c r="CH405" s="398"/>
      <c r="CI405" s="398">
        <v>6.9909999999999997</v>
      </c>
      <c r="CJ405" s="398">
        <v>9.8699999999999992</v>
      </c>
      <c r="CK405" s="398">
        <v>9.8699999999999992</v>
      </c>
      <c r="CL405" s="398">
        <v>9.8699999999999992</v>
      </c>
      <c r="CM405" s="398">
        <v>9.8699999999999992</v>
      </c>
      <c r="CN405" s="398">
        <v>9.8699999999999992</v>
      </c>
      <c r="CO405" s="398">
        <v>9.8699999999999992</v>
      </c>
      <c r="CP405" s="398">
        <v>9.8699999999999992</v>
      </c>
      <c r="CQ405" s="398">
        <v>9.8699999999999992</v>
      </c>
      <c r="CR405" s="398">
        <v>9.8699999999999992</v>
      </c>
      <c r="CS405" s="398">
        <v>2.879</v>
      </c>
      <c r="CT405" s="398"/>
      <c r="CU405" s="398"/>
      <c r="CV405" s="398"/>
      <c r="CW405" s="398"/>
      <c r="CX405" s="398"/>
      <c r="CY405" s="398"/>
      <c r="CZ405" s="398"/>
      <c r="DA405" s="398"/>
      <c r="DB405" s="398"/>
      <c r="DC405" s="398"/>
      <c r="DD405" s="398"/>
      <c r="DE405" s="393"/>
      <c r="DF405" s="393"/>
      <c r="DG405" s="393"/>
      <c r="DH405" s="393"/>
      <c r="DI405" s="393"/>
      <c r="DJ405" s="393"/>
      <c r="DK405" s="897"/>
    </row>
    <row r="406" spans="1:115" ht="25.5" x14ac:dyDescent="0.2">
      <c r="A406" s="295">
        <v>402</v>
      </c>
      <c r="B406" s="390" t="s">
        <v>5856</v>
      </c>
      <c r="C406" s="390"/>
      <c r="D406" s="391" t="s">
        <v>4733</v>
      </c>
      <c r="E406" s="704" t="s">
        <v>4734</v>
      </c>
      <c r="F406" s="393" t="s">
        <v>1352</v>
      </c>
      <c r="G406" s="393" t="s">
        <v>1671</v>
      </c>
      <c r="H406" s="393" t="s">
        <v>117</v>
      </c>
      <c r="I406" s="392"/>
      <c r="J406" s="392"/>
      <c r="K406" s="392" t="s">
        <v>4704</v>
      </c>
      <c r="L406" s="392" t="s">
        <v>197</v>
      </c>
      <c r="M406" s="392"/>
      <c r="N406" s="393" t="s">
        <v>44</v>
      </c>
      <c r="O406" s="393" t="s">
        <v>69</v>
      </c>
      <c r="P406" s="393" t="s">
        <v>69</v>
      </c>
      <c r="Q406" s="392" t="s">
        <v>172</v>
      </c>
      <c r="R406" s="392" t="s">
        <v>4685</v>
      </c>
      <c r="S406" s="428" t="s">
        <v>205</v>
      </c>
      <c r="T406" s="394">
        <v>1</v>
      </c>
      <c r="U406" s="395">
        <v>9.8699999999999992</v>
      </c>
      <c r="V406" s="395"/>
      <c r="W406" s="453"/>
      <c r="X406" s="394"/>
      <c r="Y406" s="394">
        <v>10</v>
      </c>
      <c r="Z406" s="394">
        <v>20</v>
      </c>
      <c r="AA406" s="395">
        <v>0</v>
      </c>
      <c r="AB406" s="452">
        <v>41375</v>
      </c>
      <c r="AC406" s="398">
        <v>0</v>
      </c>
      <c r="AD406" s="398">
        <v>98.699999999999989</v>
      </c>
      <c r="AE406" s="393" t="s">
        <v>47</v>
      </c>
      <c r="AF406" s="417">
        <v>0</v>
      </c>
      <c r="AG406" s="417">
        <f t="shared" si="1"/>
        <v>26.206999999999997</v>
      </c>
      <c r="AH406" s="417">
        <v>26.206999999999997</v>
      </c>
      <c r="AI406" s="394">
        <v>1</v>
      </c>
      <c r="AJ406" s="495">
        <v>41929</v>
      </c>
      <c r="AK406" s="452">
        <v>42369</v>
      </c>
      <c r="AL406" s="393"/>
      <c r="AM406" s="393"/>
      <c r="AN406" s="417"/>
      <c r="AO406" s="392"/>
      <c r="AP406" s="392" t="s">
        <v>7060</v>
      </c>
      <c r="AQ406" s="392"/>
      <c r="AR406" s="392" t="s">
        <v>199</v>
      </c>
      <c r="AS406" s="480"/>
      <c r="AT406" s="453"/>
      <c r="AU406" s="453"/>
      <c r="AV406" s="453"/>
      <c r="AW406" s="453"/>
      <c r="AX406" s="453"/>
      <c r="AY406" s="453"/>
      <c r="AZ406" s="452">
        <v>41375</v>
      </c>
      <c r="BA406" s="393"/>
      <c r="BB406" s="393"/>
      <c r="BC406" s="393" t="b">
        <v>0</v>
      </c>
      <c r="BD406" s="393"/>
      <c r="BE406" s="392" t="s">
        <v>6053</v>
      </c>
      <c r="BF406" s="394">
        <v>9</v>
      </c>
      <c r="BG406" s="394">
        <v>8</v>
      </c>
      <c r="BH406" s="394">
        <v>1</v>
      </c>
      <c r="BI406" s="394">
        <v>4</v>
      </c>
      <c r="BJ406" s="394">
        <v>6</v>
      </c>
      <c r="BK406" s="394"/>
      <c r="BL406" s="444" t="s">
        <v>6981</v>
      </c>
      <c r="BM406" s="392"/>
      <c r="BN406" s="393"/>
      <c r="BO406" s="393"/>
      <c r="BP406" s="399"/>
      <c r="BQ406" s="400"/>
      <c r="BR406" s="401"/>
      <c r="BS406" s="399"/>
      <c r="BT406" s="394"/>
      <c r="BU406" s="417"/>
      <c r="BV406" s="399"/>
      <c r="BW406" s="393" t="s">
        <v>3117</v>
      </c>
      <c r="BX406" s="392" t="s">
        <v>4364</v>
      </c>
      <c r="BY406" s="393" t="s">
        <v>7224</v>
      </c>
      <c r="BZ406" s="393"/>
      <c r="CA406" s="441"/>
      <c r="CB406" s="400"/>
      <c r="CC406" s="398"/>
      <c r="CD406" s="398"/>
      <c r="CE406" s="398"/>
      <c r="CF406" s="398"/>
      <c r="CG406" s="398"/>
      <c r="CH406" s="398"/>
      <c r="CI406" s="398">
        <v>6.9909999999999997</v>
      </c>
      <c r="CJ406" s="398">
        <v>9.8699999999999992</v>
      </c>
      <c r="CK406" s="398">
        <v>9.8699999999999992</v>
      </c>
      <c r="CL406" s="398">
        <v>9.8699999999999992</v>
      </c>
      <c r="CM406" s="398">
        <v>9.8699999999999992</v>
      </c>
      <c r="CN406" s="398">
        <v>9.8699999999999992</v>
      </c>
      <c r="CO406" s="398">
        <v>9.8699999999999992</v>
      </c>
      <c r="CP406" s="398">
        <v>9.8699999999999992</v>
      </c>
      <c r="CQ406" s="398">
        <v>9.8699999999999992</v>
      </c>
      <c r="CR406" s="398">
        <v>9.8699999999999992</v>
      </c>
      <c r="CS406" s="398">
        <v>2.879</v>
      </c>
      <c r="CT406" s="398"/>
      <c r="CU406" s="398"/>
      <c r="CV406" s="398"/>
      <c r="CW406" s="398"/>
      <c r="CX406" s="398"/>
      <c r="CY406" s="398"/>
      <c r="CZ406" s="398"/>
      <c r="DA406" s="398"/>
      <c r="DB406" s="398"/>
      <c r="DC406" s="398"/>
      <c r="DD406" s="398"/>
      <c r="DE406" s="393"/>
      <c r="DF406" s="393"/>
      <c r="DG406" s="393"/>
      <c r="DH406" s="393"/>
      <c r="DI406" s="393"/>
      <c r="DJ406" s="393"/>
      <c r="DK406" s="897"/>
    </row>
    <row r="407" spans="1:115" ht="25.5" x14ac:dyDescent="0.2">
      <c r="A407" s="295">
        <v>403</v>
      </c>
      <c r="B407" s="390" t="s">
        <v>5857</v>
      </c>
      <c r="C407" s="390"/>
      <c r="D407" s="391" t="s">
        <v>4735</v>
      </c>
      <c r="E407" s="704" t="s">
        <v>4736</v>
      </c>
      <c r="F407" s="393" t="s">
        <v>1352</v>
      </c>
      <c r="G407" s="393" t="s">
        <v>1671</v>
      </c>
      <c r="H407" s="393" t="s">
        <v>117</v>
      </c>
      <c r="I407" s="392"/>
      <c r="J407" s="392"/>
      <c r="K407" s="392" t="s">
        <v>4704</v>
      </c>
      <c r="L407" s="392" t="s">
        <v>197</v>
      </c>
      <c r="M407" s="392"/>
      <c r="N407" s="393" t="s">
        <v>44</v>
      </c>
      <c r="O407" s="393" t="s">
        <v>69</v>
      </c>
      <c r="P407" s="393" t="s">
        <v>69</v>
      </c>
      <c r="Q407" s="392" t="s">
        <v>172</v>
      </c>
      <c r="R407" s="392" t="s">
        <v>4685</v>
      </c>
      <c r="S407" s="428" t="s">
        <v>205</v>
      </c>
      <c r="T407" s="394">
        <v>1</v>
      </c>
      <c r="U407" s="395">
        <v>9.8699999999999992</v>
      </c>
      <c r="V407" s="395"/>
      <c r="W407" s="453"/>
      <c r="X407" s="394"/>
      <c r="Y407" s="394">
        <v>10</v>
      </c>
      <c r="Z407" s="394">
        <v>20</v>
      </c>
      <c r="AA407" s="395">
        <v>0</v>
      </c>
      <c r="AB407" s="452">
        <v>41375</v>
      </c>
      <c r="AC407" s="398">
        <v>0</v>
      </c>
      <c r="AD407" s="398">
        <v>98.699999999999989</v>
      </c>
      <c r="AE407" s="393" t="s">
        <v>47</v>
      </c>
      <c r="AF407" s="417">
        <v>0</v>
      </c>
      <c r="AG407" s="417">
        <f t="shared" si="1"/>
        <v>26.206999999999997</v>
      </c>
      <c r="AH407" s="417">
        <v>26.206999999999997</v>
      </c>
      <c r="AI407" s="394">
        <v>1</v>
      </c>
      <c r="AJ407" s="495">
        <v>41929</v>
      </c>
      <c r="AK407" s="452">
        <v>42369</v>
      </c>
      <c r="AL407" s="393"/>
      <c r="AM407" s="393"/>
      <c r="AN407" s="417"/>
      <c r="AO407" s="392"/>
      <c r="AP407" s="392" t="s">
        <v>7060</v>
      </c>
      <c r="AQ407" s="392"/>
      <c r="AR407" s="392" t="s">
        <v>199</v>
      </c>
      <c r="AS407" s="480"/>
      <c r="AT407" s="453"/>
      <c r="AU407" s="453"/>
      <c r="AV407" s="453"/>
      <c r="AW407" s="453"/>
      <c r="AX407" s="453"/>
      <c r="AY407" s="453"/>
      <c r="AZ407" s="452">
        <v>41375</v>
      </c>
      <c r="BA407" s="393"/>
      <c r="BB407" s="393"/>
      <c r="BC407" s="393" t="b">
        <v>0</v>
      </c>
      <c r="BD407" s="393"/>
      <c r="BE407" s="392" t="s">
        <v>6053</v>
      </c>
      <c r="BF407" s="394">
        <v>9</v>
      </c>
      <c r="BG407" s="394">
        <v>8</v>
      </c>
      <c r="BH407" s="394">
        <v>1</v>
      </c>
      <c r="BI407" s="394">
        <v>4</v>
      </c>
      <c r="BJ407" s="394">
        <v>6</v>
      </c>
      <c r="BK407" s="394"/>
      <c r="BL407" s="444" t="s">
        <v>6981</v>
      </c>
      <c r="BM407" s="392"/>
      <c r="BN407" s="393"/>
      <c r="BO407" s="393"/>
      <c r="BP407" s="399"/>
      <c r="BQ407" s="400"/>
      <c r="BR407" s="401"/>
      <c r="BS407" s="399"/>
      <c r="BT407" s="394"/>
      <c r="BU407" s="417"/>
      <c r="BV407" s="399"/>
      <c r="BW407" s="393" t="s">
        <v>3117</v>
      </c>
      <c r="BX407" s="392" t="s">
        <v>4364</v>
      </c>
      <c r="BY407" s="393" t="s">
        <v>7224</v>
      </c>
      <c r="BZ407" s="393"/>
      <c r="CA407" s="441"/>
      <c r="CB407" s="400"/>
      <c r="CC407" s="398"/>
      <c r="CD407" s="398"/>
      <c r="CE407" s="398"/>
      <c r="CF407" s="398"/>
      <c r="CG407" s="398"/>
      <c r="CH407" s="398"/>
      <c r="CI407" s="398">
        <v>6.9909999999999997</v>
      </c>
      <c r="CJ407" s="398">
        <v>9.8699999999999992</v>
      </c>
      <c r="CK407" s="398">
        <v>9.8699999999999992</v>
      </c>
      <c r="CL407" s="398">
        <v>9.8699999999999992</v>
      </c>
      <c r="CM407" s="398">
        <v>9.8699999999999992</v>
      </c>
      <c r="CN407" s="398">
        <v>9.8699999999999992</v>
      </c>
      <c r="CO407" s="398">
        <v>9.8699999999999992</v>
      </c>
      <c r="CP407" s="398">
        <v>9.8699999999999992</v>
      </c>
      <c r="CQ407" s="398">
        <v>9.8699999999999992</v>
      </c>
      <c r="CR407" s="398">
        <v>9.8699999999999992</v>
      </c>
      <c r="CS407" s="398">
        <v>2.879</v>
      </c>
      <c r="CT407" s="398"/>
      <c r="CU407" s="398"/>
      <c r="CV407" s="398"/>
      <c r="CW407" s="398"/>
      <c r="CX407" s="398"/>
      <c r="CY407" s="398"/>
      <c r="CZ407" s="398"/>
      <c r="DA407" s="398"/>
      <c r="DB407" s="398"/>
      <c r="DC407" s="398"/>
      <c r="DD407" s="398"/>
      <c r="DE407" s="393"/>
      <c r="DF407" s="393"/>
      <c r="DG407" s="393"/>
      <c r="DH407" s="393"/>
      <c r="DI407" s="393"/>
      <c r="DJ407" s="393"/>
      <c r="DK407" s="897"/>
    </row>
    <row r="408" spans="1:115" ht="25.5" x14ac:dyDescent="0.2">
      <c r="A408" s="295">
        <v>404</v>
      </c>
      <c r="B408" s="390" t="s">
        <v>5858</v>
      </c>
      <c r="C408" s="390"/>
      <c r="D408" s="391" t="s">
        <v>4737</v>
      </c>
      <c r="E408" s="704" t="s">
        <v>4738</v>
      </c>
      <c r="F408" s="393" t="s">
        <v>1352</v>
      </c>
      <c r="G408" s="393" t="s">
        <v>1671</v>
      </c>
      <c r="H408" s="393" t="s">
        <v>117</v>
      </c>
      <c r="I408" s="392"/>
      <c r="J408" s="392"/>
      <c r="K408" s="392" t="s">
        <v>4739</v>
      </c>
      <c r="L408" s="392" t="s">
        <v>197</v>
      </c>
      <c r="M408" s="392"/>
      <c r="N408" s="393" t="s">
        <v>44</v>
      </c>
      <c r="O408" s="393" t="s">
        <v>69</v>
      </c>
      <c r="P408" s="393" t="s">
        <v>69</v>
      </c>
      <c r="Q408" s="392" t="s">
        <v>172</v>
      </c>
      <c r="R408" s="392" t="s">
        <v>4685</v>
      </c>
      <c r="S408" s="428" t="s">
        <v>205</v>
      </c>
      <c r="T408" s="394">
        <v>1</v>
      </c>
      <c r="U408" s="395">
        <v>10.146000000000001</v>
      </c>
      <c r="V408" s="395"/>
      <c r="W408" s="453"/>
      <c r="X408" s="394"/>
      <c r="Y408" s="394">
        <v>10</v>
      </c>
      <c r="Z408" s="394">
        <v>20</v>
      </c>
      <c r="AA408" s="395">
        <v>0</v>
      </c>
      <c r="AB408" s="452">
        <v>41375</v>
      </c>
      <c r="AC408" s="398">
        <v>0</v>
      </c>
      <c r="AD408" s="398">
        <v>101.46000000000001</v>
      </c>
      <c r="AE408" s="393" t="s">
        <v>47</v>
      </c>
      <c r="AF408" s="417">
        <v>0</v>
      </c>
      <c r="AG408" s="417">
        <f>1.517+7.625+8.615+8.712</f>
        <v>26.468999999999998</v>
      </c>
      <c r="AH408" s="417">
        <v>26.468999999999998</v>
      </c>
      <c r="AI408" s="394">
        <v>1</v>
      </c>
      <c r="AJ408" s="495">
        <v>41929</v>
      </c>
      <c r="AK408" s="452">
        <v>42369</v>
      </c>
      <c r="AL408" s="393"/>
      <c r="AM408" s="393"/>
      <c r="AN408" s="417"/>
      <c r="AO408" s="392"/>
      <c r="AP408" s="392" t="s">
        <v>7060</v>
      </c>
      <c r="AQ408" s="392"/>
      <c r="AR408" s="392" t="s">
        <v>199</v>
      </c>
      <c r="AS408" s="480"/>
      <c r="AT408" s="453"/>
      <c r="AU408" s="453"/>
      <c r="AV408" s="453"/>
      <c r="AW408" s="453"/>
      <c r="AX408" s="453"/>
      <c r="AY408" s="453"/>
      <c r="AZ408" s="452">
        <v>41375</v>
      </c>
      <c r="BA408" s="393"/>
      <c r="BB408" s="393"/>
      <c r="BC408" s="393" t="b">
        <v>0</v>
      </c>
      <c r="BD408" s="393"/>
      <c r="BE408" s="392" t="s">
        <v>6053</v>
      </c>
      <c r="BF408" s="394">
        <v>9</v>
      </c>
      <c r="BG408" s="394">
        <v>8</v>
      </c>
      <c r="BH408" s="394">
        <v>1</v>
      </c>
      <c r="BI408" s="394">
        <v>4</v>
      </c>
      <c r="BJ408" s="394">
        <v>6</v>
      </c>
      <c r="BK408" s="394"/>
      <c r="BL408" s="444" t="s">
        <v>6981</v>
      </c>
      <c r="BM408" s="392"/>
      <c r="BN408" s="393"/>
      <c r="BO408" s="393"/>
      <c r="BP408" s="399"/>
      <c r="BQ408" s="400"/>
      <c r="BR408" s="401"/>
      <c r="BS408" s="399"/>
      <c r="BT408" s="394"/>
      <c r="BU408" s="417"/>
      <c r="BV408" s="399"/>
      <c r="BW408" s="393" t="s">
        <v>3117</v>
      </c>
      <c r="BX408" s="392" t="s">
        <v>4364</v>
      </c>
      <c r="BY408" s="393" t="s">
        <v>7224</v>
      </c>
      <c r="BZ408" s="393"/>
      <c r="CA408" s="441"/>
      <c r="CB408" s="400"/>
      <c r="CC408" s="398"/>
      <c r="CD408" s="398"/>
      <c r="CE408" s="398"/>
      <c r="CF408" s="398"/>
      <c r="CG408" s="398"/>
      <c r="CH408" s="398"/>
      <c r="CI408" s="398">
        <v>7.1859999999999999</v>
      </c>
      <c r="CJ408" s="398">
        <v>10.146000000000001</v>
      </c>
      <c r="CK408" s="398">
        <v>10.146000000000001</v>
      </c>
      <c r="CL408" s="398">
        <v>10.146000000000001</v>
      </c>
      <c r="CM408" s="398">
        <v>10.146000000000001</v>
      </c>
      <c r="CN408" s="398">
        <v>10.146000000000001</v>
      </c>
      <c r="CO408" s="398">
        <v>10.146000000000001</v>
      </c>
      <c r="CP408" s="398">
        <v>10.146000000000001</v>
      </c>
      <c r="CQ408" s="398">
        <v>10.146000000000001</v>
      </c>
      <c r="CR408" s="398">
        <v>10.146000000000001</v>
      </c>
      <c r="CS408" s="398">
        <v>2.96</v>
      </c>
      <c r="CT408" s="398"/>
      <c r="CU408" s="398"/>
      <c r="CV408" s="398"/>
      <c r="CW408" s="398"/>
      <c r="CX408" s="398"/>
      <c r="CY408" s="398"/>
      <c r="CZ408" s="398"/>
      <c r="DA408" s="398"/>
      <c r="DB408" s="398"/>
      <c r="DC408" s="398"/>
      <c r="DD408" s="398"/>
      <c r="DE408" s="393"/>
      <c r="DF408" s="393"/>
      <c r="DG408" s="393"/>
      <c r="DH408" s="393"/>
      <c r="DI408" s="393"/>
      <c r="DJ408" s="393"/>
      <c r="DK408" s="897"/>
    </row>
    <row r="409" spans="1:115" ht="25.5" x14ac:dyDescent="0.2">
      <c r="A409" s="295">
        <v>405</v>
      </c>
      <c r="B409" s="390" t="s">
        <v>5859</v>
      </c>
      <c r="C409" s="390"/>
      <c r="D409" s="391" t="s">
        <v>4740</v>
      </c>
      <c r="E409" s="704" t="s">
        <v>4741</v>
      </c>
      <c r="F409" s="393" t="s">
        <v>1352</v>
      </c>
      <c r="G409" s="393" t="s">
        <v>1671</v>
      </c>
      <c r="H409" s="393" t="s">
        <v>117</v>
      </c>
      <c r="I409" s="392"/>
      <c r="J409" s="392"/>
      <c r="K409" s="392" t="s">
        <v>4739</v>
      </c>
      <c r="L409" s="392" t="s">
        <v>197</v>
      </c>
      <c r="M409" s="392"/>
      <c r="N409" s="393" t="s">
        <v>44</v>
      </c>
      <c r="O409" s="393" t="s">
        <v>69</v>
      </c>
      <c r="P409" s="393" t="s">
        <v>69</v>
      </c>
      <c r="Q409" s="392" t="s">
        <v>172</v>
      </c>
      <c r="R409" s="392" t="s">
        <v>4685</v>
      </c>
      <c r="S409" s="428" t="s">
        <v>205</v>
      </c>
      <c r="T409" s="394">
        <v>1</v>
      </c>
      <c r="U409" s="395">
        <v>10.146000000000001</v>
      </c>
      <c r="V409" s="395"/>
      <c r="W409" s="453"/>
      <c r="X409" s="394"/>
      <c r="Y409" s="394">
        <v>10</v>
      </c>
      <c r="Z409" s="394">
        <v>20</v>
      </c>
      <c r="AA409" s="395">
        <v>0</v>
      </c>
      <c r="AB409" s="452">
        <v>41375</v>
      </c>
      <c r="AC409" s="398">
        <v>0</v>
      </c>
      <c r="AD409" s="398">
        <v>101.46000000000001</v>
      </c>
      <c r="AE409" s="393" t="s">
        <v>47</v>
      </c>
      <c r="AF409" s="417">
        <v>0</v>
      </c>
      <c r="AG409" s="417">
        <f>1.517+7.625+8.615+8.712</f>
        <v>26.468999999999998</v>
      </c>
      <c r="AH409" s="417">
        <v>26.468999999999998</v>
      </c>
      <c r="AI409" s="394">
        <v>1</v>
      </c>
      <c r="AJ409" s="495">
        <v>41929</v>
      </c>
      <c r="AK409" s="452">
        <v>42369</v>
      </c>
      <c r="AL409" s="393"/>
      <c r="AM409" s="393"/>
      <c r="AN409" s="417"/>
      <c r="AO409" s="392"/>
      <c r="AP409" s="392" t="s">
        <v>7060</v>
      </c>
      <c r="AQ409" s="392"/>
      <c r="AR409" s="392" t="s">
        <v>199</v>
      </c>
      <c r="AS409" s="480"/>
      <c r="AT409" s="453"/>
      <c r="AU409" s="453"/>
      <c r="AV409" s="453"/>
      <c r="AW409" s="453"/>
      <c r="AX409" s="453"/>
      <c r="AY409" s="453"/>
      <c r="AZ409" s="452">
        <v>41375</v>
      </c>
      <c r="BA409" s="393"/>
      <c r="BB409" s="393"/>
      <c r="BC409" s="393" t="b">
        <v>0</v>
      </c>
      <c r="BD409" s="393"/>
      <c r="BE409" s="392" t="s">
        <v>6053</v>
      </c>
      <c r="BF409" s="394">
        <v>9</v>
      </c>
      <c r="BG409" s="394">
        <v>8</v>
      </c>
      <c r="BH409" s="394">
        <v>1</v>
      </c>
      <c r="BI409" s="394">
        <v>4</v>
      </c>
      <c r="BJ409" s="394">
        <v>6</v>
      </c>
      <c r="BK409" s="394"/>
      <c r="BL409" s="444" t="s">
        <v>6981</v>
      </c>
      <c r="BM409" s="392"/>
      <c r="BN409" s="393"/>
      <c r="BO409" s="393"/>
      <c r="BP409" s="399"/>
      <c r="BQ409" s="400"/>
      <c r="BR409" s="401"/>
      <c r="BS409" s="399"/>
      <c r="BT409" s="394"/>
      <c r="BU409" s="417"/>
      <c r="BV409" s="399"/>
      <c r="BW409" s="393" t="s">
        <v>3117</v>
      </c>
      <c r="BX409" s="392" t="s">
        <v>4364</v>
      </c>
      <c r="BY409" s="393" t="s">
        <v>7224</v>
      </c>
      <c r="BZ409" s="393"/>
      <c r="CA409" s="441"/>
      <c r="CB409" s="400"/>
      <c r="CC409" s="398"/>
      <c r="CD409" s="398"/>
      <c r="CE409" s="398"/>
      <c r="CF409" s="398"/>
      <c r="CG409" s="398"/>
      <c r="CH409" s="398"/>
      <c r="CI409" s="398">
        <v>7.1859999999999999</v>
      </c>
      <c r="CJ409" s="398">
        <v>10.146000000000001</v>
      </c>
      <c r="CK409" s="398">
        <v>10.146000000000001</v>
      </c>
      <c r="CL409" s="398">
        <v>10.146000000000001</v>
      </c>
      <c r="CM409" s="398">
        <v>10.146000000000001</v>
      </c>
      <c r="CN409" s="398">
        <v>10.146000000000001</v>
      </c>
      <c r="CO409" s="398">
        <v>10.146000000000001</v>
      </c>
      <c r="CP409" s="398">
        <v>10.146000000000001</v>
      </c>
      <c r="CQ409" s="398">
        <v>10.146000000000001</v>
      </c>
      <c r="CR409" s="398">
        <v>10.146000000000001</v>
      </c>
      <c r="CS409" s="398">
        <v>2.96</v>
      </c>
      <c r="CT409" s="398"/>
      <c r="CU409" s="398"/>
      <c r="CV409" s="398"/>
      <c r="CW409" s="398"/>
      <c r="CX409" s="398"/>
      <c r="CY409" s="398"/>
      <c r="CZ409" s="398"/>
      <c r="DA409" s="398"/>
      <c r="DB409" s="398"/>
      <c r="DC409" s="398"/>
      <c r="DD409" s="398"/>
      <c r="DE409" s="393"/>
      <c r="DF409" s="393"/>
      <c r="DG409" s="393"/>
      <c r="DH409" s="393"/>
      <c r="DI409" s="393"/>
      <c r="DJ409" s="393"/>
      <c r="DK409" s="897"/>
    </row>
    <row r="410" spans="1:115" ht="25.5" x14ac:dyDescent="0.2">
      <c r="A410" s="295">
        <v>406</v>
      </c>
      <c r="B410" s="390" t="s">
        <v>5860</v>
      </c>
      <c r="C410" s="390"/>
      <c r="D410" s="391" t="s">
        <v>4742</v>
      </c>
      <c r="E410" s="704" t="s">
        <v>4743</v>
      </c>
      <c r="F410" s="393" t="s">
        <v>1352</v>
      </c>
      <c r="G410" s="393" t="s">
        <v>1671</v>
      </c>
      <c r="H410" s="393" t="s">
        <v>117</v>
      </c>
      <c r="I410" s="392"/>
      <c r="J410" s="392"/>
      <c r="K410" s="392" t="s">
        <v>4739</v>
      </c>
      <c r="L410" s="392" t="s">
        <v>197</v>
      </c>
      <c r="M410" s="392"/>
      <c r="N410" s="393" t="s">
        <v>44</v>
      </c>
      <c r="O410" s="393" t="s">
        <v>69</v>
      </c>
      <c r="P410" s="393" t="s">
        <v>69</v>
      </c>
      <c r="Q410" s="392" t="s">
        <v>172</v>
      </c>
      <c r="R410" s="392" t="s">
        <v>4685</v>
      </c>
      <c r="S410" s="428" t="s">
        <v>205</v>
      </c>
      <c r="T410" s="394">
        <v>1</v>
      </c>
      <c r="U410" s="395">
        <v>10.146000000000001</v>
      </c>
      <c r="V410" s="395"/>
      <c r="W410" s="453"/>
      <c r="X410" s="394"/>
      <c r="Y410" s="394">
        <v>10</v>
      </c>
      <c r="Z410" s="394">
        <v>20</v>
      </c>
      <c r="AA410" s="395">
        <v>0</v>
      </c>
      <c r="AB410" s="452">
        <v>41375</v>
      </c>
      <c r="AC410" s="398">
        <v>0</v>
      </c>
      <c r="AD410" s="398">
        <v>101.46000000000001</v>
      </c>
      <c r="AE410" s="393" t="s">
        <v>47</v>
      </c>
      <c r="AF410" s="417">
        <v>0</v>
      </c>
      <c r="AG410" s="417">
        <f>1.517+7.625+8.615+8.712</f>
        <v>26.468999999999998</v>
      </c>
      <c r="AH410" s="417">
        <v>26.468999999999998</v>
      </c>
      <c r="AI410" s="394">
        <v>1</v>
      </c>
      <c r="AJ410" s="495">
        <v>41929</v>
      </c>
      <c r="AK410" s="452">
        <v>42369</v>
      </c>
      <c r="AL410" s="393"/>
      <c r="AM410" s="393"/>
      <c r="AN410" s="417"/>
      <c r="AO410" s="392"/>
      <c r="AP410" s="392" t="s">
        <v>7060</v>
      </c>
      <c r="AQ410" s="392"/>
      <c r="AR410" s="392" t="s">
        <v>199</v>
      </c>
      <c r="AS410" s="480"/>
      <c r="AT410" s="453"/>
      <c r="AU410" s="453"/>
      <c r="AV410" s="453"/>
      <c r="AW410" s="453"/>
      <c r="AX410" s="453"/>
      <c r="AY410" s="453"/>
      <c r="AZ410" s="452">
        <v>41375</v>
      </c>
      <c r="BA410" s="393"/>
      <c r="BB410" s="393"/>
      <c r="BC410" s="393" t="b">
        <v>0</v>
      </c>
      <c r="BD410" s="393"/>
      <c r="BE410" s="392" t="s">
        <v>6053</v>
      </c>
      <c r="BF410" s="394">
        <v>9</v>
      </c>
      <c r="BG410" s="394">
        <v>8</v>
      </c>
      <c r="BH410" s="394">
        <v>1</v>
      </c>
      <c r="BI410" s="394">
        <v>4</v>
      </c>
      <c r="BJ410" s="394">
        <v>6</v>
      </c>
      <c r="BK410" s="394"/>
      <c r="BL410" s="444" t="s">
        <v>6981</v>
      </c>
      <c r="BM410" s="392"/>
      <c r="BN410" s="393"/>
      <c r="BO410" s="393"/>
      <c r="BP410" s="399"/>
      <c r="BQ410" s="400"/>
      <c r="BR410" s="401"/>
      <c r="BS410" s="399"/>
      <c r="BT410" s="394"/>
      <c r="BU410" s="417"/>
      <c r="BV410" s="399"/>
      <c r="BW410" s="393" t="s">
        <v>3117</v>
      </c>
      <c r="BX410" s="392" t="s">
        <v>4364</v>
      </c>
      <c r="BY410" s="393" t="s">
        <v>7224</v>
      </c>
      <c r="BZ410" s="393"/>
      <c r="CA410" s="441"/>
      <c r="CB410" s="400"/>
      <c r="CC410" s="398"/>
      <c r="CD410" s="398"/>
      <c r="CE410" s="398"/>
      <c r="CF410" s="398"/>
      <c r="CG410" s="398"/>
      <c r="CH410" s="398"/>
      <c r="CI410" s="398">
        <v>7.1859999999999999</v>
      </c>
      <c r="CJ410" s="398">
        <v>10.146000000000001</v>
      </c>
      <c r="CK410" s="398">
        <v>10.146000000000001</v>
      </c>
      <c r="CL410" s="398">
        <v>10.146000000000001</v>
      </c>
      <c r="CM410" s="398">
        <v>10.146000000000001</v>
      </c>
      <c r="CN410" s="398">
        <v>10.146000000000001</v>
      </c>
      <c r="CO410" s="398">
        <v>10.146000000000001</v>
      </c>
      <c r="CP410" s="398">
        <v>10.146000000000001</v>
      </c>
      <c r="CQ410" s="398">
        <v>10.146000000000001</v>
      </c>
      <c r="CR410" s="398">
        <v>10.146000000000001</v>
      </c>
      <c r="CS410" s="398">
        <v>2.96</v>
      </c>
      <c r="CT410" s="398"/>
      <c r="CU410" s="398"/>
      <c r="CV410" s="398"/>
      <c r="CW410" s="398"/>
      <c r="CX410" s="398"/>
      <c r="CY410" s="398"/>
      <c r="CZ410" s="398"/>
      <c r="DA410" s="398"/>
      <c r="DB410" s="398"/>
      <c r="DC410" s="398"/>
      <c r="DD410" s="398"/>
      <c r="DE410" s="393"/>
      <c r="DF410" s="393"/>
      <c r="DG410" s="393"/>
      <c r="DH410" s="393"/>
      <c r="DI410" s="393"/>
      <c r="DJ410" s="393"/>
      <c r="DK410" s="897"/>
    </row>
    <row r="411" spans="1:115" ht="25.5" x14ac:dyDescent="0.2">
      <c r="A411" s="295">
        <v>407</v>
      </c>
      <c r="B411" s="390" t="s">
        <v>5861</v>
      </c>
      <c r="C411" s="390"/>
      <c r="D411" s="391" t="s">
        <v>4744</v>
      </c>
      <c r="E411" s="704" t="s">
        <v>4745</v>
      </c>
      <c r="F411" s="393" t="s">
        <v>1352</v>
      </c>
      <c r="G411" s="393" t="s">
        <v>1671</v>
      </c>
      <c r="H411" s="393" t="s">
        <v>117</v>
      </c>
      <c r="I411" s="392"/>
      <c r="J411" s="392"/>
      <c r="K411" s="392" t="s">
        <v>4739</v>
      </c>
      <c r="L411" s="392" t="s">
        <v>197</v>
      </c>
      <c r="M411" s="392"/>
      <c r="N411" s="393" t="s">
        <v>44</v>
      </c>
      <c r="O411" s="393" t="s">
        <v>69</v>
      </c>
      <c r="P411" s="393" t="s">
        <v>69</v>
      </c>
      <c r="Q411" s="392" t="s">
        <v>172</v>
      </c>
      <c r="R411" s="392" t="s">
        <v>4685</v>
      </c>
      <c r="S411" s="428" t="s">
        <v>205</v>
      </c>
      <c r="T411" s="394">
        <v>1</v>
      </c>
      <c r="U411" s="395">
        <v>10.146000000000001</v>
      </c>
      <c r="V411" s="395"/>
      <c r="W411" s="453"/>
      <c r="X411" s="394"/>
      <c r="Y411" s="394">
        <v>10</v>
      </c>
      <c r="Z411" s="394">
        <v>20</v>
      </c>
      <c r="AA411" s="395">
        <v>0</v>
      </c>
      <c r="AB411" s="452">
        <v>41375</v>
      </c>
      <c r="AC411" s="398">
        <v>0</v>
      </c>
      <c r="AD411" s="398">
        <v>101.46000000000001</v>
      </c>
      <c r="AE411" s="393" t="s">
        <v>47</v>
      </c>
      <c r="AF411" s="417">
        <v>0</v>
      </c>
      <c r="AG411" s="417">
        <f>1.517+7.625+8.615+8.712</f>
        <v>26.468999999999998</v>
      </c>
      <c r="AH411" s="417">
        <v>26.468999999999998</v>
      </c>
      <c r="AI411" s="394">
        <v>1</v>
      </c>
      <c r="AJ411" s="495">
        <v>41929</v>
      </c>
      <c r="AK411" s="452">
        <v>42369</v>
      </c>
      <c r="AL411" s="393"/>
      <c r="AM411" s="393"/>
      <c r="AN411" s="417"/>
      <c r="AO411" s="392"/>
      <c r="AP411" s="392" t="s">
        <v>7060</v>
      </c>
      <c r="AQ411" s="392"/>
      <c r="AR411" s="392" t="s">
        <v>199</v>
      </c>
      <c r="AS411" s="480"/>
      <c r="AT411" s="453"/>
      <c r="AU411" s="453"/>
      <c r="AV411" s="453"/>
      <c r="AW411" s="453"/>
      <c r="AX411" s="453"/>
      <c r="AY411" s="453"/>
      <c r="AZ411" s="452">
        <v>41375</v>
      </c>
      <c r="BA411" s="393"/>
      <c r="BB411" s="393"/>
      <c r="BC411" s="393" t="b">
        <v>0</v>
      </c>
      <c r="BD411" s="393"/>
      <c r="BE411" s="392" t="s">
        <v>6053</v>
      </c>
      <c r="BF411" s="394">
        <v>9</v>
      </c>
      <c r="BG411" s="394">
        <v>8</v>
      </c>
      <c r="BH411" s="394">
        <v>1</v>
      </c>
      <c r="BI411" s="394">
        <v>4</v>
      </c>
      <c r="BJ411" s="394">
        <v>6</v>
      </c>
      <c r="BK411" s="394"/>
      <c r="BL411" s="444" t="s">
        <v>6981</v>
      </c>
      <c r="BM411" s="392"/>
      <c r="BN411" s="393"/>
      <c r="BO411" s="393"/>
      <c r="BP411" s="399"/>
      <c r="BQ411" s="400"/>
      <c r="BR411" s="401"/>
      <c r="BS411" s="399"/>
      <c r="BT411" s="394"/>
      <c r="BU411" s="417"/>
      <c r="BV411" s="399"/>
      <c r="BW411" s="393" t="s">
        <v>3117</v>
      </c>
      <c r="BX411" s="392" t="s">
        <v>4364</v>
      </c>
      <c r="BY411" s="393" t="s">
        <v>7224</v>
      </c>
      <c r="BZ411" s="393"/>
      <c r="CA411" s="441"/>
      <c r="CB411" s="400"/>
      <c r="CC411" s="398"/>
      <c r="CD411" s="398"/>
      <c r="CE411" s="398"/>
      <c r="CF411" s="398"/>
      <c r="CG411" s="398"/>
      <c r="CH411" s="398"/>
      <c r="CI411" s="398">
        <v>7.1859999999999999</v>
      </c>
      <c r="CJ411" s="398">
        <v>10.146000000000001</v>
      </c>
      <c r="CK411" s="398">
        <v>10.146000000000001</v>
      </c>
      <c r="CL411" s="398">
        <v>10.146000000000001</v>
      </c>
      <c r="CM411" s="398">
        <v>10.146000000000001</v>
      </c>
      <c r="CN411" s="398">
        <v>10.146000000000001</v>
      </c>
      <c r="CO411" s="398">
        <v>10.146000000000001</v>
      </c>
      <c r="CP411" s="398">
        <v>10.146000000000001</v>
      </c>
      <c r="CQ411" s="398">
        <v>10.146000000000001</v>
      </c>
      <c r="CR411" s="398">
        <v>10.146000000000001</v>
      </c>
      <c r="CS411" s="398">
        <v>2.96</v>
      </c>
      <c r="CT411" s="398"/>
      <c r="CU411" s="398"/>
      <c r="CV411" s="398"/>
      <c r="CW411" s="398"/>
      <c r="CX411" s="398"/>
      <c r="CY411" s="398"/>
      <c r="CZ411" s="398"/>
      <c r="DA411" s="398"/>
      <c r="DB411" s="398"/>
      <c r="DC411" s="398"/>
      <c r="DD411" s="398"/>
      <c r="DE411" s="393"/>
      <c r="DF411" s="393"/>
      <c r="DG411" s="393"/>
      <c r="DH411" s="393"/>
      <c r="DI411" s="393"/>
      <c r="DJ411" s="393"/>
      <c r="DK411" s="897"/>
    </row>
    <row r="412" spans="1:115" ht="25.5" x14ac:dyDescent="0.2">
      <c r="A412" s="295">
        <v>408</v>
      </c>
      <c r="B412" s="390" t="s">
        <v>5862</v>
      </c>
      <c r="C412" s="390"/>
      <c r="D412" s="391" t="s">
        <v>4746</v>
      </c>
      <c r="E412" s="704" t="s">
        <v>4747</v>
      </c>
      <c r="F412" s="393" t="s">
        <v>1352</v>
      </c>
      <c r="G412" s="393" t="s">
        <v>1671</v>
      </c>
      <c r="H412" s="393" t="s">
        <v>117</v>
      </c>
      <c r="I412" s="392"/>
      <c r="J412" s="392"/>
      <c r="K412" s="392" t="s">
        <v>4748</v>
      </c>
      <c r="L412" s="392" t="s">
        <v>197</v>
      </c>
      <c r="M412" s="392"/>
      <c r="N412" s="393" t="s">
        <v>44</v>
      </c>
      <c r="O412" s="393" t="s">
        <v>69</v>
      </c>
      <c r="P412" s="393" t="s">
        <v>69</v>
      </c>
      <c r="Q412" s="392" t="s">
        <v>172</v>
      </c>
      <c r="R412" s="392" t="s">
        <v>4685</v>
      </c>
      <c r="S412" s="428" t="s">
        <v>205</v>
      </c>
      <c r="T412" s="394">
        <v>1</v>
      </c>
      <c r="U412" s="395">
        <v>9.8699999999999992</v>
      </c>
      <c r="V412" s="395"/>
      <c r="W412" s="453"/>
      <c r="X412" s="394"/>
      <c r="Y412" s="394">
        <v>10</v>
      </c>
      <c r="Z412" s="394">
        <v>20</v>
      </c>
      <c r="AA412" s="395">
        <v>0</v>
      </c>
      <c r="AB412" s="452">
        <v>41375</v>
      </c>
      <c r="AC412" s="398">
        <v>0</v>
      </c>
      <c r="AD412" s="398">
        <v>98.699999999999989</v>
      </c>
      <c r="AE412" s="393" t="s">
        <v>47</v>
      </c>
      <c r="AF412" s="417">
        <v>0</v>
      </c>
      <c r="AG412" s="417">
        <f>1.479+7.401+8.615+8.712</f>
        <v>26.206999999999997</v>
      </c>
      <c r="AH412" s="417">
        <v>26.206999999999997</v>
      </c>
      <c r="AI412" s="394">
        <v>1</v>
      </c>
      <c r="AJ412" s="495">
        <v>41929</v>
      </c>
      <c r="AK412" s="452">
        <v>42369</v>
      </c>
      <c r="AL412" s="393"/>
      <c r="AM412" s="393"/>
      <c r="AN412" s="417"/>
      <c r="AO412" s="392"/>
      <c r="AP412" s="392" t="s">
        <v>7060</v>
      </c>
      <c r="AQ412" s="392"/>
      <c r="AR412" s="392" t="s">
        <v>199</v>
      </c>
      <c r="AS412" s="480"/>
      <c r="AT412" s="453"/>
      <c r="AU412" s="453"/>
      <c r="AV412" s="453"/>
      <c r="AW412" s="453"/>
      <c r="AX412" s="453"/>
      <c r="AY412" s="453"/>
      <c r="AZ412" s="452">
        <v>41375</v>
      </c>
      <c r="BA412" s="393"/>
      <c r="BB412" s="393"/>
      <c r="BC412" s="393" t="b">
        <v>0</v>
      </c>
      <c r="BD412" s="393"/>
      <c r="BE412" s="392" t="s">
        <v>6053</v>
      </c>
      <c r="BF412" s="394">
        <v>9</v>
      </c>
      <c r="BG412" s="394">
        <v>8</v>
      </c>
      <c r="BH412" s="394">
        <v>1</v>
      </c>
      <c r="BI412" s="394">
        <v>4</v>
      </c>
      <c r="BJ412" s="394">
        <v>6</v>
      </c>
      <c r="BK412" s="394"/>
      <c r="BL412" s="444" t="s">
        <v>6981</v>
      </c>
      <c r="BM412" s="392"/>
      <c r="BN412" s="393"/>
      <c r="BO412" s="393"/>
      <c r="BP412" s="399"/>
      <c r="BQ412" s="400"/>
      <c r="BR412" s="401"/>
      <c r="BS412" s="399"/>
      <c r="BT412" s="394"/>
      <c r="BU412" s="417"/>
      <c r="BV412" s="399"/>
      <c r="BW412" s="393" t="s">
        <v>3117</v>
      </c>
      <c r="BX412" s="392" t="s">
        <v>4364</v>
      </c>
      <c r="BY412" s="393" t="s">
        <v>7224</v>
      </c>
      <c r="BZ412" s="393"/>
      <c r="CA412" s="441"/>
      <c r="CB412" s="400"/>
      <c r="CC412" s="398"/>
      <c r="CD412" s="398"/>
      <c r="CE412" s="398"/>
      <c r="CF412" s="398"/>
      <c r="CG412" s="398"/>
      <c r="CH412" s="398"/>
      <c r="CI412" s="398">
        <v>6.9909999999999997</v>
      </c>
      <c r="CJ412" s="398">
        <v>9.8699999999999992</v>
      </c>
      <c r="CK412" s="398">
        <v>9.8699999999999992</v>
      </c>
      <c r="CL412" s="398">
        <v>9.8699999999999992</v>
      </c>
      <c r="CM412" s="398">
        <v>9.8699999999999992</v>
      </c>
      <c r="CN412" s="398">
        <v>9.8699999999999992</v>
      </c>
      <c r="CO412" s="398">
        <v>9.8699999999999992</v>
      </c>
      <c r="CP412" s="398">
        <v>9.8699999999999992</v>
      </c>
      <c r="CQ412" s="398">
        <v>9.8699999999999992</v>
      </c>
      <c r="CR412" s="398">
        <v>9.8699999999999992</v>
      </c>
      <c r="CS412" s="398">
        <v>2.879</v>
      </c>
      <c r="CT412" s="398"/>
      <c r="CU412" s="398"/>
      <c r="CV412" s="398"/>
      <c r="CW412" s="398"/>
      <c r="CX412" s="398"/>
      <c r="CY412" s="398"/>
      <c r="CZ412" s="398"/>
      <c r="DA412" s="398"/>
      <c r="DB412" s="398"/>
      <c r="DC412" s="398"/>
      <c r="DD412" s="398"/>
      <c r="DE412" s="393"/>
      <c r="DF412" s="393"/>
      <c r="DG412" s="393"/>
      <c r="DH412" s="393"/>
      <c r="DI412" s="393"/>
      <c r="DJ412" s="393"/>
      <c r="DK412" s="897"/>
    </row>
    <row r="413" spans="1:115" ht="25.5" x14ac:dyDescent="0.2">
      <c r="A413" s="295">
        <v>409</v>
      </c>
      <c r="B413" s="390" t="s">
        <v>5863</v>
      </c>
      <c r="C413" s="390"/>
      <c r="D413" s="391" t="s">
        <v>4749</v>
      </c>
      <c r="E413" s="704" t="s">
        <v>4750</v>
      </c>
      <c r="F413" s="393" t="s">
        <v>1352</v>
      </c>
      <c r="G413" s="393" t="s">
        <v>1671</v>
      </c>
      <c r="H413" s="393" t="s">
        <v>117</v>
      </c>
      <c r="I413" s="392"/>
      <c r="J413" s="392"/>
      <c r="K413" s="392" t="s">
        <v>4748</v>
      </c>
      <c r="L413" s="392" t="s">
        <v>197</v>
      </c>
      <c r="M413" s="392"/>
      <c r="N413" s="393" t="s">
        <v>44</v>
      </c>
      <c r="O413" s="393" t="s">
        <v>69</v>
      </c>
      <c r="P413" s="393" t="s">
        <v>69</v>
      </c>
      <c r="Q413" s="392" t="s">
        <v>172</v>
      </c>
      <c r="R413" s="392" t="s">
        <v>4685</v>
      </c>
      <c r="S413" s="428" t="s">
        <v>205</v>
      </c>
      <c r="T413" s="394">
        <v>1</v>
      </c>
      <c r="U413" s="395">
        <v>9.8699999999999992</v>
      </c>
      <c r="V413" s="395"/>
      <c r="W413" s="453"/>
      <c r="X413" s="394"/>
      <c r="Y413" s="394">
        <v>10</v>
      </c>
      <c r="Z413" s="394">
        <v>20</v>
      </c>
      <c r="AA413" s="395">
        <v>0</v>
      </c>
      <c r="AB413" s="452">
        <v>41375</v>
      </c>
      <c r="AC413" s="398">
        <v>0</v>
      </c>
      <c r="AD413" s="398">
        <v>98.699999999999989</v>
      </c>
      <c r="AE413" s="393" t="s">
        <v>47</v>
      </c>
      <c r="AF413" s="417">
        <v>0</v>
      </c>
      <c r="AG413" s="417">
        <f>1.479+7.401+8.615+8.712</f>
        <v>26.206999999999997</v>
      </c>
      <c r="AH413" s="417">
        <v>26.206999999999997</v>
      </c>
      <c r="AI413" s="394">
        <v>1</v>
      </c>
      <c r="AJ413" s="495">
        <v>41929</v>
      </c>
      <c r="AK413" s="452">
        <v>42369</v>
      </c>
      <c r="AL413" s="393"/>
      <c r="AM413" s="393"/>
      <c r="AN413" s="417"/>
      <c r="AO413" s="392"/>
      <c r="AP413" s="392" t="s">
        <v>7060</v>
      </c>
      <c r="AQ413" s="392"/>
      <c r="AR413" s="392" t="s">
        <v>199</v>
      </c>
      <c r="AS413" s="480"/>
      <c r="AT413" s="453"/>
      <c r="AU413" s="453"/>
      <c r="AV413" s="453"/>
      <c r="AW413" s="453"/>
      <c r="AX413" s="453"/>
      <c r="AY413" s="453"/>
      <c r="AZ413" s="452">
        <v>41375</v>
      </c>
      <c r="BA413" s="393"/>
      <c r="BB413" s="393"/>
      <c r="BC413" s="393" t="b">
        <v>0</v>
      </c>
      <c r="BD413" s="393"/>
      <c r="BE413" s="392" t="s">
        <v>6053</v>
      </c>
      <c r="BF413" s="394">
        <v>9</v>
      </c>
      <c r="BG413" s="394">
        <v>8</v>
      </c>
      <c r="BH413" s="394">
        <v>1</v>
      </c>
      <c r="BI413" s="394">
        <v>4</v>
      </c>
      <c r="BJ413" s="394">
        <v>6</v>
      </c>
      <c r="BK413" s="394"/>
      <c r="BL413" s="444" t="s">
        <v>6981</v>
      </c>
      <c r="BM413" s="392"/>
      <c r="BN413" s="393"/>
      <c r="BO413" s="393"/>
      <c r="BP413" s="399"/>
      <c r="BQ413" s="400"/>
      <c r="BR413" s="401"/>
      <c r="BS413" s="399"/>
      <c r="BT413" s="394"/>
      <c r="BU413" s="417"/>
      <c r="BV413" s="399"/>
      <c r="BW413" s="393" t="s">
        <v>3117</v>
      </c>
      <c r="BX413" s="392" t="s">
        <v>4364</v>
      </c>
      <c r="BY413" s="393" t="s">
        <v>7224</v>
      </c>
      <c r="BZ413" s="393"/>
      <c r="CA413" s="441"/>
      <c r="CB413" s="400"/>
      <c r="CC413" s="398"/>
      <c r="CD413" s="398"/>
      <c r="CE413" s="398"/>
      <c r="CF413" s="398"/>
      <c r="CG413" s="398"/>
      <c r="CH413" s="398"/>
      <c r="CI413" s="398">
        <v>6.9909999999999997</v>
      </c>
      <c r="CJ413" s="398">
        <v>9.8699999999999992</v>
      </c>
      <c r="CK413" s="398">
        <v>9.8699999999999992</v>
      </c>
      <c r="CL413" s="398">
        <v>9.8699999999999992</v>
      </c>
      <c r="CM413" s="398">
        <v>9.8699999999999992</v>
      </c>
      <c r="CN413" s="398">
        <v>9.8699999999999992</v>
      </c>
      <c r="CO413" s="398">
        <v>9.8699999999999992</v>
      </c>
      <c r="CP413" s="398">
        <v>9.8699999999999992</v>
      </c>
      <c r="CQ413" s="398">
        <v>9.8699999999999992</v>
      </c>
      <c r="CR413" s="398">
        <v>9.8699999999999992</v>
      </c>
      <c r="CS413" s="398">
        <v>2.879</v>
      </c>
      <c r="CT413" s="398"/>
      <c r="CU413" s="398"/>
      <c r="CV413" s="398"/>
      <c r="CW413" s="398"/>
      <c r="CX413" s="398"/>
      <c r="CY413" s="398"/>
      <c r="CZ413" s="398"/>
      <c r="DA413" s="398"/>
      <c r="DB413" s="398"/>
      <c r="DC413" s="398"/>
      <c r="DD413" s="398"/>
      <c r="DE413" s="393"/>
      <c r="DF413" s="393"/>
      <c r="DG413" s="393"/>
      <c r="DH413" s="393"/>
      <c r="DI413" s="393"/>
      <c r="DJ413" s="393"/>
      <c r="DK413" s="897"/>
    </row>
    <row r="414" spans="1:115" ht="25.5" x14ac:dyDescent="0.2">
      <c r="A414" s="295">
        <v>410</v>
      </c>
      <c r="B414" s="390" t="s">
        <v>5864</v>
      </c>
      <c r="C414" s="390"/>
      <c r="D414" s="391" t="s">
        <v>4751</v>
      </c>
      <c r="E414" s="704" t="s">
        <v>4752</v>
      </c>
      <c r="F414" s="393" t="s">
        <v>1352</v>
      </c>
      <c r="G414" s="393" t="s">
        <v>1671</v>
      </c>
      <c r="H414" s="393" t="s">
        <v>117</v>
      </c>
      <c r="I414" s="392"/>
      <c r="J414" s="392"/>
      <c r="K414" s="392" t="s">
        <v>4748</v>
      </c>
      <c r="L414" s="392" t="s">
        <v>197</v>
      </c>
      <c r="M414" s="392"/>
      <c r="N414" s="393" t="s">
        <v>44</v>
      </c>
      <c r="O414" s="393" t="s">
        <v>69</v>
      </c>
      <c r="P414" s="393" t="s">
        <v>69</v>
      </c>
      <c r="Q414" s="392" t="s">
        <v>172</v>
      </c>
      <c r="R414" s="392" t="s">
        <v>4685</v>
      </c>
      <c r="S414" s="428" t="s">
        <v>205</v>
      </c>
      <c r="T414" s="394">
        <v>1</v>
      </c>
      <c r="U414" s="395">
        <v>9.8699999999999992</v>
      </c>
      <c r="V414" s="395"/>
      <c r="W414" s="453"/>
      <c r="X414" s="394"/>
      <c r="Y414" s="394">
        <v>10</v>
      </c>
      <c r="Z414" s="394">
        <v>20</v>
      </c>
      <c r="AA414" s="395">
        <v>0</v>
      </c>
      <c r="AB414" s="452">
        <v>41375</v>
      </c>
      <c r="AC414" s="398">
        <v>0</v>
      </c>
      <c r="AD414" s="398">
        <v>98.699999999999989</v>
      </c>
      <c r="AE414" s="393" t="s">
        <v>47</v>
      </c>
      <c r="AF414" s="417">
        <v>0</v>
      </c>
      <c r="AG414" s="417">
        <f>1.479+7.401+8.615+8.712</f>
        <v>26.206999999999997</v>
      </c>
      <c r="AH414" s="417">
        <v>26.206999999999997</v>
      </c>
      <c r="AI414" s="394">
        <v>1</v>
      </c>
      <c r="AJ414" s="495">
        <v>41929</v>
      </c>
      <c r="AK414" s="452">
        <v>42369</v>
      </c>
      <c r="AL414" s="393"/>
      <c r="AM414" s="393"/>
      <c r="AN414" s="417"/>
      <c r="AO414" s="392"/>
      <c r="AP414" s="392" t="s">
        <v>7060</v>
      </c>
      <c r="AQ414" s="392"/>
      <c r="AR414" s="392" t="s">
        <v>199</v>
      </c>
      <c r="AS414" s="480"/>
      <c r="AT414" s="453"/>
      <c r="AU414" s="453"/>
      <c r="AV414" s="453"/>
      <c r="AW414" s="453"/>
      <c r="AX414" s="453"/>
      <c r="AY414" s="453"/>
      <c r="AZ414" s="452">
        <v>41375</v>
      </c>
      <c r="BA414" s="393"/>
      <c r="BB414" s="393"/>
      <c r="BC414" s="393" t="b">
        <v>0</v>
      </c>
      <c r="BD414" s="393"/>
      <c r="BE414" s="392" t="s">
        <v>6053</v>
      </c>
      <c r="BF414" s="394">
        <v>9</v>
      </c>
      <c r="BG414" s="394">
        <v>8</v>
      </c>
      <c r="BH414" s="394">
        <v>1</v>
      </c>
      <c r="BI414" s="394">
        <v>4</v>
      </c>
      <c r="BJ414" s="394">
        <v>6</v>
      </c>
      <c r="BK414" s="394"/>
      <c r="BL414" s="444" t="s">
        <v>6981</v>
      </c>
      <c r="BM414" s="392"/>
      <c r="BN414" s="393"/>
      <c r="BO414" s="393"/>
      <c r="BP414" s="399"/>
      <c r="BQ414" s="400"/>
      <c r="BR414" s="401"/>
      <c r="BS414" s="399"/>
      <c r="BT414" s="394"/>
      <c r="BU414" s="417"/>
      <c r="BV414" s="399"/>
      <c r="BW414" s="393" t="s">
        <v>3117</v>
      </c>
      <c r="BX414" s="392" t="s">
        <v>4364</v>
      </c>
      <c r="BY414" s="393" t="s">
        <v>7224</v>
      </c>
      <c r="BZ414" s="393"/>
      <c r="CA414" s="441"/>
      <c r="CB414" s="400"/>
      <c r="CC414" s="398"/>
      <c r="CD414" s="398"/>
      <c r="CE414" s="398"/>
      <c r="CF414" s="398"/>
      <c r="CG414" s="398"/>
      <c r="CH414" s="398"/>
      <c r="CI414" s="398">
        <v>6.9909999999999997</v>
      </c>
      <c r="CJ414" s="398">
        <v>9.8699999999999992</v>
      </c>
      <c r="CK414" s="398">
        <v>9.8699999999999992</v>
      </c>
      <c r="CL414" s="398">
        <v>9.8699999999999992</v>
      </c>
      <c r="CM414" s="398">
        <v>9.8699999999999992</v>
      </c>
      <c r="CN414" s="398">
        <v>9.8699999999999992</v>
      </c>
      <c r="CO414" s="398">
        <v>9.8699999999999992</v>
      </c>
      <c r="CP414" s="398">
        <v>9.8699999999999992</v>
      </c>
      <c r="CQ414" s="398">
        <v>9.8699999999999992</v>
      </c>
      <c r="CR414" s="398">
        <v>9.8699999999999992</v>
      </c>
      <c r="CS414" s="398">
        <v>2.879</v>
      </c>
      <c r="CT414" s="398"/>
      <c r="CU414" s="398"/>
      <c r="CV414" s="398"/>
      <c r="CW414" s="398"/>
      <c r="CX414" s="398"/>
      <c r="CY414" s="398"/>
      <c r="CZ414" s="398"/>
      <c r="DA414" s="398"/>
      <c r="DB414" s="398"/>
      <c r="DC414" s="398"/>
      <c r="DD414" s="398"/>
      <c r="DE414" s="393"/>
      <c r="DF414" s="393"/>
      <c r="DG414" s="393"/>
      <c r="DH414" s="393"/>
      <c r="DI414" s="393"/>
      <c r="DJ414" s="393"/>
      <c r="DK414" s="897"/>
    </row>
    <row r="415" spans="1:115" ht="25.5" x14ac:dyDescent="0.2">
      <c r="A415" s="295">
        <v>411</v>
      </c>
      <c r="B415" s="390" t="s">
        <v>5865</v>
      </c>
      <c r="C415" s="390"/>
      <c r="D415" s="391" t="s">
        <v>4753</v>
      </c>
      <c r="E415" s="704" t="s">
        <v>4754</v>
      </c>
      <c r="F415" s="393" t="s">
        <v>1352</v>
      </c>
      <c r="G415" s="393" t="s">
        <v>1671</v>
      </c>
      <c r="H415" s="393" t="s">
        <v>117</v>
      </c>
      <c r="I415" s="392"/>
      <c r="J415" s="392"/>
      <c r="K415" s="392" t="s">
        <v>4755</v>
      </c>
      <c r="L415" s="392" t="s">
        <v>197</v>
      </c>
      <c r="M415" s="392"/>
      <c r="N415" s="393" t="s">
        <v>44</v>
      </c>
      <c r="O415" s="393" t="s">
        <v>69</v>
      </c>
      <c r="P415" s="393" t="s">
        <v>69</v>
      </c>
      <c r="Q415" s="392" t="s">
        <v>172</v>
      </c>
      <c r="R415" s="392" t="s">
        <v>4685</v>
      </c>
      <c r="S415" s="428" t="s">
        <v>205</v>
      </c>
      <c r="T415" s="394">
        <v>1</v>
      </c>
      <c r="U415" s="395">
        <v>9.8699999999999992</v>
      </c>
      <c r="V415" s="395"/>
      <c r="W415" s="453"/>
      <c r="X415" s="394"/>
      <c r="Y415" s="394">
        <v>10</v>
      </c>
      <c r="Z415" s="394">
        <v>20</v>
      </c>
      <c r="AA415" s="395">
        <v>0</v>
      </c>
      <c r="AB415" s="452">
        <v>41375</v>
      </c>
      <c r="AC415" s="398">
        <v>0</v>
      </c>
      <c r="AD415" s="398">
        <v>98.699999999999989</v>
      </c>
      <c r="AE415" s="393" t="s">
        <v>47</v>
      </c>
      <c r="AF415" s="417">
        <v>0</v>
      </c>
      <c r="AG415" s="451">
        <f>1.479+7.401+8.941+8.712</f>
        <v>26.532999999999998</v>
      </c>
      <c r="AH415" s="417">
        <v>26.532999999999998</v>
      </c>
      <c r="AI415" s="394">
        <v>1</v>
      </c>
      <c r="AJ415" s="495">
        <v>41929</v>
      </c>
      <c r="AK415" s="452">
        <v>42369</v>
      </c>
      <c r="AL415" s="393"/>
      <c r="AM415" s="393"/>
      <c r="AN415" s="417"/>
      <c r="AO415" s="392"/>
      <c r="AP415" s="392" t="s">
        <v>7060</v>
      </c>
      <c r="AQ415" s="392"/>
      <c r="AR415" s="392" t="s">
        <v>199</v>
      </c>
      <c r="AS415" s="480"/>
      <c r="AT415" s="453"/>
      <c r="AU415" s="453"/>
      <c r="AV415" s="453"/>
      <c r="AW415" s="453"/>
      <c r="AX415" s="453"/>
      <c r="AY415" s="453"/>
      <c r="AZ415" s="452">
        <v>41375</v>
      </c>
      <c r="BA415" s="393"/>
      <c r="BB415" s="393"/>
      <c r="BC415" s="393" t="b">
        <v>0</v>
      </c>
      <c r="BD415" s="393"/>
      <c r="BE415" s="392" t="s">
        <v>6053</v>
      </c>
      <c r="BF415" s="394">
        <v>9</v>
      </c>
      <c r="BG415" s="394">
        <v>8</v>
      </c>
      <c r="BH415" s="394">
        <v>1</v>
      </c>
      <c r="BI415" s="394">
        <v>4</v>
      </c>
      <c r="BJ415" s="394">
        <v>6</v>
      </c>
      <c r="BK415" s="394"/>
      <c r="BL415" s="444" t="s">
        <v>6981</v>
      </c>
      <c r="BM415" s="392"/>
      <c r="BN415" s="393"/>
      <c r="BO415" s="393"/>
      <c r="BP415" s="399"/>
      <c r="BQ415" s="400"/>
      <c r="BR415" s="401"/>
      <c r="BS415" s="399"/>
      <c r="BT415" s="394"/>
      <c r="BU415" s="417"/>
      <c r="BV415" s="399"/>
      <c r="BW415" s="393" t="s">
        <v>3117</v>
      </c>
      <c r="BX415" s="392" t="s">
        <v>4364</v>
      </c>
      <c r="BY415" s="393" t="s">
        <v>7224</v>
      </c>
      <c r="BZ415" s="393"/>
      <c r="CA415" s="441"/>
      <c r="CB415" s="400"/>
      <c r="CC415" s="398"/>
      <c r="CD415" s="398"/>
      <c r="CE415" s="398"/>
      <c r="CF415" s="398"/>
      <c r="CG415" s="398"/>
      <c r="CH415" s="398"/>
      <c r="CI415" s="398">
        <v>6.9909999999999997</v>
      </c>
      <c r="CJ415" s="398">
        <v>9.8699999999999992</v>
      </c>
      <c r="CK415" s="398">
        <v>9.8699999999999992</v>
      </c>
      <c r="CL415" s="398">
        <v>9.8699999999999992</v>
      </c>
      <c r="CM415" s="398">
        <v>9.8699999999999992</v>
      </c>
      <c r="CN415" s="398">
        <v>9.8699999999999992</v>
      </c>
      <c r="CO415" s="398">
        <v>9.8699999999999992</v>
      </c>
      <c r="CP415" s="398">
        <v>9.8699999999999992</v>
      </c>
      <c r="CQ415" s="398">
        <v>9.8699999999999992</v>
      </c>
      <c r="CR415" s="398">
        <v>9.8699999999999992</v>
      </c>
      <c r="CS415" s="398">
        <v>2.879</v>
      </c>
      <c r="CT415" s="398"/>
      <c r="CU415" s="398"/>
      <c r="CV415" s="398"/>
      <c r="CW415" s="398"/>
      <c r="CX415" s="398"/>
      <c r="CY415" s="398"/>
      <c r="CZ415" s="398"/>
      <c r="DA415" s="398"/>
      <c r="DB415" s="398"/>
      <c r="DC415" s="398"/>
      <c r="DD415" s="398"/>
      <c r="DE415" s="393"/>
      <c r="DF415" s="393"/>
      <c r="DG415" s="393"/>
      <c r="DH415" s="393"/>
      <c r="DI415" s="393"/>
      <c r="DJ415" s="393"/>
      <c r="DK415" s="897"/>
    </row>
    <row r="416" spans="1:115" ht="25.5" x14ac:dyDescent="0.2">
      <c r="A416" s="295">
        <v>412</v>
      </c>
      <c r="B416" s="390" t="s">
        <v>5866</v>
      </c>
      <c r="C416" s="390"/>
      <c r="D416" s="391" t="s">
        <v>4756</v>
      </c>
      <c r="E416" s="704" t="s">
        <v>4757</v>
      </c>
      <c r="F416" s="393" t="s">
        <v>1352</v>
      </c>
      <c r="G416" s="393" t="s">
        <v>1671</v>
      </c>
      <c r="H416" s="393" t="s">
        <v>117</v>
      </c>
      <c r="I416" s="392"/>
      <c r="J416" s="392"/>
      <c r="K416" s="392" t="s">
        <v>4758</v>
      </c>
      <c r="L416" s="392" t="s">
        <v>197</v>
      </c>
      <c r="M416" s="392"/>
      <c r="N416" s="393" t="s">
        <v>44</v>
      </c>
      <c r="O416" s="393" t="s">
        <v>69</v>
      </c>
      <c r="P416" s="393" t="s">
        <v>69</v>
      </c>
      <c r="Q416" s="392" t="s">
        <v>172</v>
      </c>
      <c r="R416" s="392" t="s">
        <v>4685</v>
      </c>
      <c r="S416" s="428" t="s">
        <v>205</v>
      </c>
      <c r="T416" s="394">
        <v>1</v>
      </c>
      <c r="U416" s="395">
        <v>9.8699999999999992</v>
      </c>
      <c r="V416" s="395"/>
      <c r="W416" s="453"/>
      <c r="X416" s="394"/>
      <c r="Y416" s="394">
        <v>10</v>
      </c>
      <c r="Z416" s="394">
        <v>20</v>
      </c>
      <c r="AA416" s="395">
        <v>0</v>
      </c>
      <c r="AB416" s="452">
        <v>41375</v>
      </c>
      <c r="AC416" s="398">
        <v>0</v>
      </c>
      <c r="AD416" s="398">
        <v>98.699999999999989</v>
      </c>
      <c r="AE416" s="393" t="s">
        <v>47</v>
      </c>
      <c r="AF416" s="417">
        <v>0</v>
      </c>
      <c r="AG416" s="451">
        <f t="shared" ref="AG416:AG425" si="2">1.479+7.401+8.615+9.107</f>
        <v>26.601999999999997</v>
      </c>
      <c r="AH416" s="417">
        <v>26.601999999999997</v>
      </c>
      <c r="AI416" s="394">
        <v>1</v>
      </c>
      <c r="AJ416" s="495">
        <v>41929</v>
      </c>
      <c r="AK416" s="452">
        <v>42369</v>
      </c>
      <c r="AL416" s="393"/>
      <c r="AM416" s="393"/>
      <c r="AN416" s="417"/>
      <c r="AO416" s="392"/>
      <c r="AP416" s="392" t="s">
        <v>7060</v>
      </c>
      <c r="AQ416" s="392"/>
      <c r="AR416" s="392" t="s">
        <v>199</v>
      </c>
      <c r="AS416" s="480"/>
      <c r="AT416" s="453"/>
      <c r="AU416" s="453"/>
      <c r="AV416" s="453"/>
      <c r="AW416" s="453"/>
      <c r="AX416" s="453"/>
      <c r="AY416" s="453"/>
      <c r="AZ416" s="452">
        <v>41375</v>
      </c>
      <c r="BA416" s="393"/>
      <c r="BB416" s="393"/>
      <c r="BC416" s="393" t="b">
        <v>0</v>
      </c>
      <c r="BD416" s="393"/>
      <c r="BE416" s="392" t="s">
        <v>6053</v>
      </c>
      <c r="BF416" s="394">
        <v>9</v>
      </c>
      <c r="BG416" s="394">
        <v>8</v>
      </c>
      <c r="BH416" s="394">
        <v>1</v>
      </c>
      <c r="BI416" s="394">
        <v>4</v>
      </c>
      <c r="BJ416" s="394">
        <v>6</v>
      </c>
      <c r="BK416" s="394"/>
      <c r="BL416" s="444" t="s">
        <v>6981</v>
      </c>
      <c r="BM416" s="392"/>
      <c r="BN416" s="393"/>
      <c r="BO416" s="393"/>
      <c r="BP416" s="399"/>
      <c r="BQ416" s="400"/>
      <c r="BR416" s="401"/>
      <c r="BS416" s="399"/>
      <c r="BT416" s="394"/>
      <c r="BU416" s="417"/>
      <c r="BV416" s="399"/>
      <c r="BW416" s="393" t="s">
        <v>3117</v>
      </c>
      <c r="BX416" s="392" t="s">
        <v>4364</v>
      </c>
      <c r="BY416" s="393" t="s">
        <v>7224</v>
      </c>
      <c r="BZ416" s="393"/>
      <c r="CA416" s="441"/>
      <c r="CB416" s="400"/>
      <c r="CC416" s="398"/>
      <c r="CD416" s="398"/>
      <c r="CE416" s="398"/>
      <c r="CF416" s="398"/>
      <c r="CG416" s="398"/>
      <c r="CH416" s="398"/>
      <c r="CI416" s="398">
        <v>6.9909999999999997</v>
      </c>
      <c r="CJ416" s="398">
        <v>9.8699999999999992</v>
      </c>
      <c r="CK416" s="398">
        <v>9.8699999999999992</v>
      </c>
      <c r="CL416" s="398">
        <v>9.8699999999999992</v>
      </c>
      <c r="CM416" s="398">
        <v>9.8699999999999992</v>
      </c>
      <c r="CN416" s="398">
        <v>9.8699999999999992</v>
      </c>
      <c r="CO416" s="398">
        <v>9.8699999999999992</v>
      </c>
      <c r="CP416" s="398">
        <v>9.8699999999999992</v>
      </c>
      <c r="CQ416" s="398">
        <v>9.8699999999999992</v>
      </c>
      <c r="CR416" s="398">
        <v>9.8699999999999992</v>
      </c>
      <c r="CS416" s="398">
        <v>2.879</v>
      </c>
      <c r="CT416" s="398"/>
      <c r="CU416" s="398"/>
      <c r="CV416" s="398"/>
      <c r="CW416" s="398"/>
      <c r="CX416" s="398"/>
      <c r="CY416" s="398"/>
      <c r="CZ416" s="398"/>
      <c r="DA416" s="398"/>
      <c r="DB416" s="398"/>
      <c r="DC416" s="398"/>
      <c r="DD416" s="398"/>
      <c r="DE416" s="393"/>
      <c r="DF416" s="393"/>
      <c r="DG416" s="393"/>
      <c r="DH416" s="393"/>
      <c r="DI416" s="393"/>
      <c r="DJ416" s="393"/>
      <c r="DK416" s="897"/>
    </row>
    <row r="417" spans="1:115" ht="25.5" x14ac:dyDescent="0.2">
      <c r="A417" s="295">
        <v>413</v>
      </c>
      <c r="B417" s="390" t="s">
        <v>5867</v>
      </c>
      <c r="C417" s="390"/>
      <c r="D417" s="391" t="s">
        <v>4759</v>
      </c>
      <c r="E417" s="704" t="s">
        <v>4760</v>
      </c>
      <c r="F417" s="393" t="s">
        <v>1352</v>
      </c>
      <c r="G417" s="393" t="s">
        <v>1671</v>
      </c>
      <c r="H417" s="393" t="s">
        <v>117</v>
      </c>
      <c r="I417" s="392"/>
      <c r="J417" s="392"/>
      <c r="K417" s="392" t="s">
        <v>4758</v>
      </c>
      <c r="L417" s="392" t="s">
        <v>197</v>
      </c>
      <c r="M417" s="392"/>
      <c r="N417" s="393" t="s">
        <v>44</v>
      </c>
      <c r="O417" s="393" t="s">
        <v>69</v>
      </c>
      <c r="P417" s="393" t="s">
        <v>69</v>
      </c>
      <c r="Q417" s="392" t="s">
        <v>172</v>
      </c>
      <c r="R417" s="392" t="s">
        <v>4685</v>
      </c>
      <c r="S417" s="428" t="s">
        <v>205</v>
      </c>
      <c r="T417" s="394">
        <v>1</v>
      </c>
      <c r="U417" s="395">
        <v>9.8699999999999992</v>
      </c>
      <c r="V417" s="395"/>
      <c r="W417" s="453"/>
      <c r="X417" s="394"/>
      <c r="Y417" s="394">
        <v>10</v>
      </c>
      <c r="Z417" s="394">
        <v>20</v>
      </c>
      <c r="AA417" s="395">
        <v>0</v>
      </c>
      <c r="AB417" s="452">
        <v>41375</v>
      </c>
      <c r="AC417" s="398">
        <v>0</v>
      </c>
      <c r="AD417" s="398">
        <v>98.699999999999989</v>
      </c>
      <c r="AE417" s="393" t="s">
        <v>47</v>
      </c>
      <c r="AF417" s="417">
        <v>0</v>
      </c>
      <c r="AG417" s="451">
        <f t="shared" si="2"/>
        <v>26.601999999999997</v>
      </c>
      <c r="AH417" s="417">
        <v>26.601999999999997</v>
      </c>
      <c r="AI417" s="394">
        <v>1</v>
      </c>
      <c r="AJ417" s="495">
        <v>41929</v>
      </c>
      <c r="AK417" s="452">
        <v>42369</v>
      </c>
      <c r="AL417" s="393"/>
      <c r="AM417" s="393"/>
      <c r="AN417" s="417"/>
      <c r="AO417" s="392"/>
      <c r="AP417" s="392" t="s">
        <v>7060</v>
      </c>
      <c r="AQ417" s="392"/>
      <c r="AR417" s="392" t="s">
        <v>199</v>
      </c>
      <c r="AS417" s="480"/>
      <c r="AT417" s="453"/>
      <c r="AU417" s="453"/>
      <c r="AV417" s="453"/>
      <c r="AW417" s="453"/>
      <c r="AX417" s="453"/>
      <c r="AY417" s="453"/>
      <c r="AZ417" s="452">
        <v>41375</v>
      </c>
      <c r="BA417" s="393"/>
      <c r="BB417" s="393"/>
      <c r="BC417" s="393" t="b">
        <v>0</v>
      </c>
      <c r="BD417" s="393"/>
      <c r="BE417" s="392" t="s">
        <v>6053</v>
      </c>
      <c r="BF417" s="394">
        <v>9</v>
      </c>
      <c r="BG417" s="394">
        <v>8</v>
      </c>
      <c r="BH417" s="394">
        <v>1</v>
      </c>
      <c r="BI417" s="394">
        <v>4</v>
      </c>
      <c r="BJ417" s="394">
        <v>6</v>
      </c>
      <c r="BK417" s="394"/>
      <c r="BL417" s="444" t="s">
        <v>6981</v>
      </c>
      <c r="BM417" s="392"/>
      <c r="BN417" s="393"/>
      <c r="BO417" s="393"/>
      <c r="BP417" s="399"/>
      <c r="BQ417" s="400"/>
      <c r="BR417" s="401"/>
      <c r="BS417" s="399"/>
      <c r="BT417" s="394"/>
      <c r="BU417" s="417"/>
      <c r="BV417" s="399"/>
      <c r="BW417" s="393" t="s">
        <v>3117</v>
      </c>
      <c r="BX417" s="392" t="s">
        <v>4364</v>
      </c>
      <c r="BY417" s="393" t="s">
        <v>7224</v>
      </c>
      <c r="BZ417" s="393"/>
      <c r="CA417" s="441"/>
      <c r="CB417" s="400"/>
      <c r="CC417" s="398"/>
      <c r="CD417" s="398"/>
      <c r="CE417" s="398"/>
      <c r="CF417" s="398"/>
      <c r="CG417" s="398"/>
      <c r="CH417" s="398"/>
      <c r="CI417" s="398">
        <v>6.9909999999999997</v>
      </c>
      <c r="CJ417" s="398">
        <v>9.8699999999999992</v>
      </c>
      <c r="CK417" s="398">
        <v>9.8699999999999992</v>
      </c>
      <c r="CL417" s="398">
        <v>9.8699999999999992</v>
      </c>
      <c r="CM417" s="398">
        <v>9.8699999999999992</v>
      </c>
      <c r="CN417" s="398">
        <v>9.8699999999999992</v>
      </c>
      <c r="CO417" s="398">
        <v>9.8699999999999992</v>
      </c>
      <c r="CP417" s="398">
        <v>9.8699999999999992</v>
      </c>
      <c r="CQ417" s="398">
        <v>9.8699999999999992</v>
      </c>
      <c r="CR417" s="398">
        <v>9.8699999999999992</v>
      </c>
      <c r="CS417" s="398">
        <v>2.879</v>
      </c>
      <c r="CT417" s="398"/>
      <c r="CU417" s="398"/>
      <c r="CV417" s="398"/>
      <c r="CW417" s="398"/>
      <c r="CX417" s="398"/>
      <c r="CY417" s="398"/>
      <c r="CZ417" s="398"/>
      <c r="DA417" s="398"/>
      <c r="DB417" s="398"/>
      <c r="DC417" s="398"/>
      <c r="DD417" s="398"/>
      <c r="DE417" s="393"/>
      <c r="DF417" s="393"/>
      <c r="DG417" s="393"/>
      <c r="DH417" s="393"/>
      <c r="DI417" s="393"/>
      <c r="DJ417" s="393"/>
      <c r="DK417" s="897"/>
    </row>
    <row r="418" spans="1:115" ht="25.5" x14ac:dyDescent="0.2">
      <c r="A418" s="295">
        <v>414</v>
      </c>
      <c r="B418" s="390" t="s">
        <v>5868</v>
      </c>
      <c r="C418" s="390"/>
      <c r="D418" s="391" t="s">
        <v>4761</v>
      </c>
      <c r="E418" s="704" t="s">
        <v>4762</v>
      </c>
      <c r="F418" s="393" t="s">
        <v>1352</v>
      </c>
      <c r="G418" s="393" t="s">
        <v>1671</v>
      </c>
      <c r="H418" s="393" t="s">
        <v>117</v>
      </c>
      <c r="I418" s="392"/>
      <c r="J418" s="392"/>
      <c r="K418" s="392" t="s">
        <v>4758</v>
      </c>
      <c r="L418" s="392" t="s">
        <v>197</v>
      </c>
      <c r="M418" s="392"/>
      <c r="N418" s="393" t="s">
        <v>44</v>
      </c>
      <c r="O418" s="393" t="s">
        <v>69</v>
      </c>
      <c r="P418" s="393" t="s">
        <v>69</v>
      </c>
      <c r="Q418" s="392" t="s">
        <v>172</v>
      </c>
      <c r="R418" s="392" t="s">
        <v>4685</v>
      </c>
      <c r="S418" s="428" t="s">
        <v>205</v>
      </c>
      <c r="T418" s="394">
        <v>1</v>
      </c>
      <c r="U418" s="395">
        <v>9.8699999999999992</v>
      </c>
      <c r="V418" s="395"/>
      <c r="W418" s="453"/>
      <c r="X418" s="394"/>
      <c r="Y418" s="394">
        <v>10</v>
      </c>
      <c r="Z418" s="394">
        <v>20</v>
      </c>
      <c r="AA418" s="395">
        <v>0</v>
      </c>
      <c r="AB418" s="452">
        <v>41375</v>
      </c>
      <c r="AC418" s="398">
        <v>0</v>
      </c>
      <c r="AD418" s="398">
        <v>98.699999999999989</v>
      </c>
      <c r="AE418" s="393" t="s">
        <v>47</v>
      </c>
      <c r="AF418" s="417">
        <v>0</v>
      </c>
      <c r="AG418" s="451">
        <f t="shared" si="2"/>
        <v>26.601999999999997</v>
      </c>
      <c r="AH418" s="417">
        <v>26.601999999999997</v>
      </c>
      <c r="AI418" s="394">
        <v>1</v>
      </c>
      <c r="AJ418" s="495">
        <v>41929</v>
      </c>
      <c r="AK418" s="452">
        <v>42369</v>
      </c>
      <c r="AL418" s="393"/>
      <c r="AM418" s="393"/>
      <c r="AN418" s="417"/>
      <c r="AO418" s="392"/>
      <c r="AP418" s="392" t="s">
        <v>7060</v>
      </c>
      <c r="AQ418" s="392"/>
      <c r="AR418" s="392" t="s">
        <v>199</v>
      </c>
      <c r="AS418" s="480"/>
      <c r="AT418" s="453"/>
      <c r="AU418" s="453"/>
      <c r="AV418" s="453"/>
      <c r="AW418" s="453"/>
      <c r="AX418" s="453"/>
      <c r="AY418" s="453"/>
      <c r="AZ418" s="452">
        <v>41375</v>
      </c>
      <c r="BA418" s="393"/>
      <c r="BB418" s="393"/>
      <c r="BC418" s="393" t="b">
        <v>0</v>
      </c>
      <c r="BD418" s="393"/>
      <c r="BE418" s="392" t="s">
        <v>6053</v>
      </c>
      <c r="BF418" s="394">
        <v>9</v>
      </c>
      <c r="BG418" s="394">
        <v>8</v>
      </c>
      <c r="BH418" s="394">
        <v>1</v>
      </c>
      <c r="BI418" s="394">
        <v>4</v>
      </c>
      <c r="BJ418" s="394">
        <v>6</v>
      </c>
      <c r="BK418" s="394"/>
      <c r="BL418" s="444" t="s">
        <v>6981</v>
      </c>
      <c r="BM418" s="392"/>
      <c r="BN418" s="393"/>
      <c r="BO418" s="393"/>
      <c r="BP418" s="399"/>
      <c r="BQ418" s="400"/>
      <c r="BR418" s="401"/>
      <c r="BS418" s="399"/>
      <c r="BT418" s="394"/>
      <c r="BU418" s="417"/>
      <c r="BV418" s="399"/>
      <c r="BW418" s="393" t="s">
        <v>3117</v>
      </c>
      <c r="BX418" s="392" t="s">
        <v>4364</v>
      </c>
      <c r="BY418" s="393" t="s">
        <v>7224</v>
      </c>
      <c r="BZ418" s="393"/>
      <c r="CA418" s="441"/>
      <c r="CB418" s="400"/>
      <c r="CC418" s="398"/>
      <c r="CD418" s="398"/>
      <c r="CE418" s="398"/>
      <c r="CF418" s="398"/>
      <c r="CG418" s="398"/>
      <c r="CH418" s="398"/>
      <c r="CI418" s="398">
        <v>6.9909999999999997</v>
      </c>
      <c r="CJ418" s="398">
        <v>9.8699999999999992</v>
      </c>
      <c r="CK418" s="398">
        <v>9.8699999999999992</v>
      </c>
      <c r="CL418" s="398">
        <v>9.8699999999999992</v>
      </c>
      <c r="CM418" s="398">
        <v>9.8699999999999992</v>
      </c>
      <c r="CN418" s="398">
        <v>9.8699999999999992</v>
      </c>
      <c r="CO418" s="398">
        <v>9.8699999999999992</v>
      </c>
      <c r="CP418" s="398">
        <v>9.8699999999999992</v>
      </c>
      <c r="CQ418" s="398">
        <v>9.8699999999999992</v>
      </c>
      <c r="CR418" s="398">
        <v>9.8699999999999992</v>
      </c>
      <c r="CS418" s="398">
        <v>2.879</v>
      </c>
      <c r="CT418" s="398"/>
      <c r="CU418" s="398"/>
      <c r="CV418" s="398"/>
      <c r="CW418" s="398"/>
      <c r="CX418" s="398"/>
      <c r="CY418" s="398"/>
      <c r="CZ418" s="398"/>
      <c r="DA418" s="398"/>
      <c r="DB418" s="398"/>
      <c r="DC418" s="398"/>
      <c r="DD418" s="398"/>
      <c r="DE418" s="393"/>
      <c r="DF418" s="393"/>
      <c r="DG418" s="393"/>
      <c r="DH418" s="393"/>
      <c r="DI418" s="393"/>
      <c r="DJ418" s="393"/>
      <c r="DK418" s="897"/>
    </row>
    <row r="419" spans="1:115" ht="25.5" x14ac:dyDescent="0.2">
      <c r="A419" s="295">
        <v>415</v>
      </c>
      <c r="B419" s="390" t="s">
        <v>5869</v>
      </c>
      <c r="C419" s="390"/>
      <c r="D419" s="391" t="s">
        <v>4763</v>
      </c>
      <c r="E419" s="704" t="s">
        <v>4764</v>
      </c>
      <c r="F419" s="393" t="s">
        <v>1352</v>
      </c>
      <c r="G419" s="393" t="s">
        <v>1671</v>
      </c>
      <c r="H419" s="393" t="s">
        <v>117</v>
      </c>
      <c r="I419" s="392"/>
      <c r="J419" s="392"/>
      <c r="K419" s="392" t="s">
        <v>4758</v>
      </c>
      <c r="L419" s="392" t="s">
        <v>197</v>
      </c>
      <c r="M419" s="392"/>
      <c r="N419" s="393" t="s">
        <v>44</v>
      </c>
      <c r="O419" s="393" t="s">
        <v>69</v>
      </c>
      <c r="P419" s="393" t="s">
        <v>69</v>
      </c>
      <c r="Q419" s="392" t="s">
        <v>172</v>
      </c>
      <c r="R419" s="392" t="s">
        <v>4685</v>
      </c>
      <c r="S419" s="428" t="s">
        <v>205</v>
      </c>
      <c r="T419" s="394">
        <v>1</v>
      </c>
      <c r="U419" s="395">
        <v>9.8699999999999992</v>
      </c>
      <c r="V419" s="395"/>
      <c r="W419" s="453"/>
      <c r="X419" s="394"/>
      <c r="Y419" s="394">
        <v>10</v>
      </c>
      <c r="Z419" s="394">
        <v>20</v>
      </c>
      <c r="AA419" s="395">
        <v>0</v>
      </c>
      <c r="AB419" s="452">
        <v>41375</v>
      </c>
      <c r="AC419" s="398">
        <v>0</v>
      </c>
      <c r="AD419" s="398">
        <v>98.699999999999989</v>
      </c>
      <c r="AE419" s="393" t="s">
        <v>47</v>
      </c>
      <c r="AF419" s="417">
        <v>0</v>
      </c>
      <c r="AG419" s="451">
        <f t="shared" si="2"/>
        <v>26.601999999999997</v>
      </c>
      <c r="AH419" s="417">
        <v>26.601999999999997</v>
      </c>
      <c r="AI419" s="394">
        <v>1</v>
      </c>
      <c r="AJ419" s="495">
        <v>41929</v>
      </c>
      <c r="AK419" s="452">
        <v>42369</v>
      </c>
      <c r="AL419" s="393"/>
      <c r="AM419" s="393"/>
      <c r="AN419" s="417"/>
      <c r="AO419" s="392"/>
      <c r="AP419" s="392" t="s">
        <v>7060</v>
      </c>
      <c r="AQ419" s="392"/>
      <c r="AR419" s="392" t="s">
        <v>199</v>
      </c>
      <c r="AS419" s="480"/>
      <c r="AT419" s="453"/>
      <c r="AU419" s="453"/>
      <c r="AV419" s="453"/>
      <c r="AW419" s="453"/>
      <c r="AX419" s="453"/>
      <c r="AY419" s="453"/>
      <c r="AZ419" s="452">
        <v>41375</v>
      </c>
      <c r="BA419" s="393"/>
      <c r="BB419" s="393"/>
      <c r="BC419" s="393" t="b">
        <v>0</v>
      </c>
      <c r="BD419" s="393"/>
      <c r="BE419" s="392" t="s">
        <v>6053</v>
      </c>
      <c r="BF419" s="394">
        <v>9</v>
      </c>
      <c r="BG419" s="394">
        <v>8</v>
      </c>
      <c r="BH419" s="394">
        <v>1</v>
      </c>
      <c r="BI419" s="394">
        <v>4</v>
      </c>
      <c r="BJ419" s="394">
        <v>6</v>
      </c>
      <c r="BK419" s="394"/>
      <c r="BL419" s="444" t="s">
        <v>6981</v>
      </c>
      <c r="BM419" s="392"/>
      <c r="BN419" s="393"/>
      <c r="BO419" s="393"/>
      <c r="BP419" s="399"/>
      <c r="BQ419" s="400"/>
      <c r="BR419" s="401"/>
      <c r="BS419" s="399"/>
      <c r="BT419" s="394"/>
      <c r="BU419" s="417"/>
      <c r="BV419" s="399"/>
      <c r="BW419" s="393" t="s">
        <v>3117</v>
      </c>
      <c r="BX419" s="392" t="s">
        <v>4364</v>
      </c>
      <c r="BY419" s="393" t="s">
        <v>7224</v>
      </c>
      <c r="BZ419" s="393"/>
      <c r="CA419" s="441"/>
      <c r="CB419" s="400"/>
      <c r="CC419" s="398"/>
      <c r="CD419" s="398"/>
      <c r="CE419" s="398"/>
      <c r="CF419" s="398"/>
      <c r="CG419" s="398"/>
      <c r="CH419" s="398"/>
      <c r="CI419" s="398">
        <v>6.9909999999999997</v>
      </c>
      <c r="CJ419" s="398">
        <v>9.8699999999999992</v>
      </c>
      <c r="CK419" s="398">
        <v>9.8699999999999992</v>
      </c>
      <c r="CL419" s="398">
        <v>9.8699999999999992</v>
      </c>
      <c r="CM419" s="398">
        <v>9.8699999999999992</v>
      </c>
      <c r="CN419" s="398">
        <v>9.8699999999999992</v>
      </c>
      <c r="CO419" s="398">
        <v>9.8699999999999992</v>
      </c>
      <c r="CP419" s="398">
        <v>9.8699999999999992</v>
      </c>
      <c r="CQ419" s="398">
        <v>9.8699999999999992</v>
      </c>
      <c r="CR419" s="398">
        <v>9.8699999999999992</v>
      </c>
      <c r="CS419" s="398">
        <v>2.879</v>
      </c>
      <c r="CT419" s="398"/>
      <c r="CU419" s="398"/>
      <c r="CV419" s="398"/>
      <c r="CW419" s="398"/>
      <c r="CX419" s="398"/>
      <c r="CY419" s="398"/>
      <c r="CZ419" s="398"/>
      <c r="DA419" s="398"/>
      <c r="DB419" s="398"/>
      <c r="DC419" s="398"/>
      <c r="DD419" s="398"/>
      <c r="DE419" s="393"/>
      <c r="DF419" s="393"/>
      <c r="DG419" s="393"/>
      <c r="DH419" s="393"/>
      <c r="DI419" s="393"/>
      <c r="DJ419" s="393"/>
      <c r="DK419" s="897"/>
    </row>
    <row r="420" spans="1:115" ht="25.5" x14ac:dyDescent="0.2">
      <c r="A420" s="295">
        <v>416</v>
      </c>
      <c r="B420" s="390" t="s">
        <v>5870</v>
      </c>
      <c r="C420" s="390"/>
      <c r="D420" s="391" t="s">
        <v>4765</v>
      </c>
      <c r="E420" s="704" t="s">
        <v>4766</v>
      </c>
      <c r="F420" s="393" t="s">
        <v>1352</v>
      </c>
      <c r="G420" s="393" t="s">
        <v>1671</v>
      </c>
      <c r="H420" s="393" t="s">
        <v>117</v>
      </c>
      <c r="I420" s="392"/>
      <c r="J420" s="392"/>
      <c r="K420" s="392" t="s">
        <v>4758</v>
      </c>
      <c r="L420" s="392" t="s">
        <v>197</v>
      </c>
      <c r="M420" s="392"/>
      <c r="N420" s="393" t="s">
        <v>44</v>
      </c>
      <c r="O420" s="393" t="s">
        <v>69</v>
      </c>
      <c r="P420" s="393" t="s">
        <v>69</v>
      </c>
      <c r="Q420" s="392" t="s">
        <v>172</v>
      </c>
      <c r="R420" s="392" t="s">
        <v>4685</v>
      </c>
      <c r="S420" s="428" t="s">
        <v>205</v>
      </c>
      <c r="T420" s="394">
        <v>1</v>
      </c>
      <c r="U420" s="395">
        <v>9.8699999999999992</v>
      </c>
      <c r="V420" s="395"/>
      <c r="W420" s="453"/>
      <c r="X420" s="394"/>
      <c r="Y420" s="394">
        <v>10</v>
      </c>
      <c r="Z420" s="394">
        <v>20</v>
      </c>
      <c r="AA420" s="395">
        <v>0</v>
      </c>
      <c r="AB420" s="452">
        <v>41375</v>
      </c>
      <c r="AC420" s="398">
        <v>0</v>
      </c>
      <c r="AD420" s="398">
        <v>98.699999999999989</v>
      </c>
      <c r="AE420" s="393" t="s">
        <v>47</v>
      </c>
      <c r="AF420" s="417">
        <v>0</v>
      </c>
      <c r="AG420" s="451">
        <f t="shared" si="2"/>
        <v>26.601999999999997</v>
      </c>
      <c r="AH420" s="417">
        <v>26.601999999999997</v>
      </c>
      <c r="AI420" s="394">
        <v>1</v>
      </c>
      <c r="AJ420" s="495">
        <v>41929</v>
      </c>
      <c r="AK420" s="452">
        <v>42369</v>
      </c>
      <c r="AL420" s="393"/>
      <c r="AM420" s="393"/>
      <c r="AN420" s="417"/>
      <c r="AO420" s="392"/>
      <c r="AP420" s="392" t="s">
        <v>7060</v>
      </c>
      <c r="AQ420" s="392"/>
      <c r="AR420" s="392" t="s">
        <v>199</v>
      </c>
      <c r="AS420" s="480"/>
      <c r="AT420" s="453"/>
      <c r="AU420" s="453"/>
      <c r="AV420" s="453"/>
      <c r="AW420" s="453"/>
      <c r="AX420" s="453"/>
      <c r="AY420" s="453"/>
      <c r="AZ420" s="452">
        <v>41375</v>
      </c>
      <c r="BA420" s="393"/>
      <c r="BB420" s="393"/>
      <c r="BC420" s="393" t="b">
        <v>0</v>
      </c>
      <c r="BD420" s="393"/>
      <c r="BE420" s="392" t="s">
        <v>6053</v>
      </c>
      <c r="BF420" s="394">
        <v>9</v>
      </c>
      <c r="BG420" s="394">
        <v>8</v>
      </c>
      <c r="BH420" s="394">
        <v>1</v>
      </c>
      <c r="BI420" s="394">
        <v>4</v>
      </c>
      <c r="BJ420" s="394">
        <v>6</v>
      </c>
      <c r="BK420" s="394"/>
      <c r="BL420" s="444" t="s">
        <v>6981</v>
      </c>
      <c r="BM420" s="392"/>
      <c r="BN420" s="393"/>
      <c r="BO420" s="393"/>
      <c r="BP420" s="399"/>
      <c r="BQ420" s="400"/>
      <c r="BR420" s="401"/>
      <c r="BS420" s="399"/>
      <c r="BT420" s="394"/>
      <c r="BU420" s="417"/>
      <c r="BV420" s="399"/>
      <c r="BW420" s="393" t="s">
        <v>3117</v>
      </c>
      <c r="BX420" s="392" t="s">
        <v>4364</v>
      </c>
      <c r="BY420" s="393" t="s">
        <v>7224</v>
      </c>
      <c r="BZ420" s="393"/>
      <c r="CA420" s="441"/>
      <c r="CB420" s="400"/>
      <c r="CC420" s="398"/>
      <c r="CD420" s="398"/>
      <c r="CE420" s="398"/>
      <c r="CF420" s="398"/>
      <c r="CG420" s="398"/>
      <c r="CH420" s="398"/>
      <c r="CI420" s="398">
        <v>6.9909999999999997</v>
      </c>
      <c r="CJ420" s="398">
        <v>9.8699999999999992</v>
      </c>
      <c r="CK420" s="398">
        <v>9.8699999999999992</v>
      </c>
      <c r="CL420" s="398">
        <v>9.8699999999999992</v>
      </c>
      <c r="CM420" s="398">
        <v>9.8699999999999992</v>
      </c>
      <c r="CN420" s="398">
        <v>9.8699999999999992</v>
      </c>
      <c r="CO420" s="398">
        <v>9.8699999999999992</v>
      </c>
      <c r="CP420" s="398">
        <v>9.8699999999999992</v>
      </c>
      <c r="CQ420" s="398">
        <v>9.8699999999999992</v>
      </c>
      <c r="CR420" s="398">
        <v>9.8699999999999992</v>
      </c>
      <c r="CS420" s="398">
        <v>2.879</v>
      </c>
      <c r="CT420" s="398"/>
      <c r="CU420" s="398"/>
      <c r="CV420" s="398"/>
      <c r="CW420" s="398"/>
      <c r="CX420" s="398"/>
      <c r="CY420" s="398"/>
      <c r="CZ420" s="398"/>
      <c r="DA420" s="398"/>
      <c r="DB420" s="398"/>
      <c r="DC420" s="398"/>
      <c r="DD420" s="398"/>
      <c r="DE420" s="393"/>
      <c r="DF420" s="393"/>
      <c r="DG420" s="393"/>
      <c r="DH420" s="393"/>
      <c r="DI420" s="393"/>
      <c r="DJ420" s="393"/>
      <c r="DK420" s="897"/>
    </row>
    <row r="421" spans="1:115" ht="25.5" x14ac:dyDescent="0.2">
      <c r="A421" s="295">
        <v>417</v>
      </c>
      <c r="B421" s="390" t="s">
        <v>5871</v>
      </c>
      <c r="C421" s="390"/>
      <c r="D421" s="391" t="s">
        <v>4767</v>
      </c>
      <c r="E421" s="704" t="s">
        <v>4768</v>
      </c>
      <c r="F421" s="393" t="s">
        <v>1352</v>
      </c>
      <c r="G421" s="393" t="s">
        <v>1671</v>
      </c>
      <c r="H421" s="393" t="s">
        <v>117</v>
      </c>
      <c r="I421" s="392"/>
      <c r="J421" s="392"/>
      <c r="K421" s="392" t="s">
        <v>4758</v>
      </c>
      <c r="L421" s="392" t="s">
        <v>197</v>
      </c>
      <c r="M421" s="392"/>
      <c r="N421" s="393" t="s">
        <v>44</v>
      </c>
      <c r="O421" s="393" t="s">
        <v>69</v>
      </c>
      <c r="P421" s="393" t="s">
        <v>69</v>
      </c>
      <c r="Q421" s="392" t="s">
        <v>172</v>
      </c>
      <c r="R421" s="392" t="s">
        <v>4685</v>
      </c>
      <c r="S421" s="428" t="s">
        <v>205</v>
      </c>
      <c r="T421" s="394">
        <v>1</v>
      </c>
      <c r="U421" s="395">
        <v>9.8699999999999992</v>
      </c>
      <c r="V421" s="395"/>
      <c r="W421" s="453"/>
      <c r="X421" s="394"/>
      <c r="Y421" s="394">
        <v>10</v>
      </c>
      <c r="Z421" s="394">
        <v>20</v>
      </c>
      <c r="AA421" s="395">
        <v>0</v>
      </c>
      <c r="AB421" s="452">
        <v>41375</v>
      </c>
      <c r="AC421" s="398">
        <v>0</v>
      </c>
      <c r="AD421" s="398">
        <v>98.699999999999989</v>
      </c>
      <c r="AE421" s="393" t="s">
        <v>47</v>
      </c>
      <c r="AF421" s="417">
        <v>0</v>
      </c>
      <c r="AG421" s="451">
        <f t="shared" si="2"/>
        <v>26.601999999999997</v>
      </c>
      <c r="AH421" s="417">
        <v>26.601999999999997</v>
      </c>
      <c r="AI421" s="394">
        <v>1</v>
      </c>
      <c r="AJ421" s="495">
        <v>41929</v>
      </c>
      <c r="AK421" s="452">
        <v>42369</v>
      </c>
      <c r="AL421" s="393"/>
      <c r="AM421" s="393"/>
      <c r="AN421" s="417"/>
      <c r="AO421" s="392"/>
      <c r="AP421" s="392" t="s">
        <v>7060</v>
      </c>
      <c r="AQ421" s="392"/>
      <c r="AR421" s="392" t="s">
        <v>199</v>
      </c>
      <c r="AS421" s="480"/>
      <c r="AT421" s="453"/>
      <c r="AU421" s="453"/>
      <c r="AV421" s="453"/>
      <c r="AW421" s="453"/>
      <c r="AX421" s="453"/>
      <c r="AY421" s="453"/>
      <c r="AZ421" s="452">
        <v>41375</v>
      </c>
      <c r="BA421" s="393"/>
      <c r="BB421" s="393"/>
      <c r="BC421" s="393" t="b">
        <v>0</v>
      </c>
      <c r="BD421" s="393"/>
      <c r="BE421" s="392" t="s">
        <v>6053</v>
      </c>
      <c r="BF421" s="394">
        <v>9</v>
      </c>
      <c r="BG421" s="394">
        <v>8</v>
      </c>
      <c r="BH421" s="394">
        <v>1</v>
      </c>
      <c r="BI421" s="394">
        <v>4</v>
      </c>
      <c r="BJ421" s="394">
        <v>6</v>
      </c>
      <c r="BK421" s="394"/>
      <c r="BL421" s="444" t="s">
        <v>6981</v>
      </c>
      <c r="BM421" s="392"/>
      <c r="BN421" s="393"/>
      <c r="BO421" s="393"/>
      <c r="BP421" s="399"/>
      <c r="BQ421" s="400"/>
      <c r="BR421" s="401"/>
      <c r="BS421" s="399"/>
      <c r="BT421" s="394"/>
      <c r="BU421" s="417"/>
      <c r="BV421" s="399"/>
      <c r="BW421" s="393" t="s">
        <v>3117</v>
      </c>
      <c r="BX421" s="392" t="s">
        <v>4364</v>
      </c>
      <c r="BY421" s="393" t="s">
        <v>7224</v>
      </c>
      <c r="BZ421" s="393"/>
      <c r="CA421" s="441"/>
      <c r="CB421" s="400"/>
      <c r="CC421" s="398"/>
      <c r="CD421" s="398"/>
      <c r="CE421" s="398"/>
      <c r="CF421" s="398"/>
      <c r="CG421" s="398"/>
      <c r="CH421" s="398"/>
      <c r="CI421" s="398">
        <v>6.9909999999999997</v>
      </c>
      <c r="CJ421" s="398">
        <v>9.8699999999999992</v>
      </c>
      <c r="CK421" s="398">
        <v>9.8699999999999992</v>
      </c>
      <c r="CL421" s="398">
        <v>9.8699999999999992</v>
      </c>
      <c r="CM421" s="398">
        <v>9.8699999999999992</v>
      </c>
      <c r="CN421" s="398">
        <v>9.8699999999999992</v>
      </c>
      <c r="CO421" s="398">
        <v>9.8699999999999992</v>
      </c>
      <c r="CP421" s="398">
        <v>9.8699999999999992</v>
      </c>
      <c r="CQ421" s="398">
        <v>9.8699999999999992</v>
      </c>
      <c r="CR421" s="398">
        <v>9.8699999999999992</v>
      </c>
      <c r="CS421" s="398">
        <v>2.879</v>
      </c>
      <c r="CT421" s="398"/>
      <c r="CU421" s="398"/>
      <c r="CV421" s="398"/>
      <c r="CW421" s="398"/>
      <c r="CX421" s="398"/>
      <c r="CY421" s="398"/>
      <c r="CZ421" s="398"/>
      <c r="DA421" s="398"/>
      <c r="DB421" s="398"/>
      <c r="DC421" s="398"/>
      <c r="DD421" s="398"/>
      <c r="DE421" s="393"/>
      <c r="DF421" s="393"/>
      <c r="DG421" s="393"/>
      <c r="DH421" s="393"/>
      <c r="DI421" s="393"/>
      <c r="DJ421" s="393"/>
      <c r="DK421" s="897"/>
    </row>
    <row r="422" spans="1:115" ht="25.5" x14ac:dyDescent="0.2">
      <c r="A422" s="295">
        <v>418</v>
      </c>
      <c r="B422" s="390" t="s">
        <v>5872</v>
      </c>
      <c r="C422" s="390"/>
      <c r="D422" s="391" t="s">
        <v>4769</v>
      </c>
      <c r="E422" s="704" t="s">
        <v>4770</v>
      </c>
      <c r="F422" s="393" t="s">
        <v>1352</v>
      </c>
      <c r="G422" s="393" t="s">
        <v>1671</v>
      </c>
      <c r="H422" s="393" t="s">
        <v>117</v>
      </c>
      <c r="I422" s="392"/>
      <c r="J422" s="392"/>
      <c r="K422" s="392" t="s">
        <v>4771</v>
      </c>
      <c r="L422" s="392" t="s">
        <v>197</v>
      </c>
      <c r="M422" s="392"/>
      <c r="N422" s="393" t="s">
        <v>44</v>
      </c>
      <c r="O422" s="393" t="s">
        <v>69</v>
      </c>
      <c r="P422" s="393" t="s">
        <v>69</v>
      </c>
      <c r="Q422" s="392" t="s">
        <v>172</v>
      </c>
      <c r="R422" s="392" t="s">
        <v>4685</v>
      </c>
      <c r="S422" s="428" t="s">
        <v>205</v>
      </c>
      <c r="T422" s="394">
        <v>1</v>
      </c>
      <c r="U422" s="395">
        <v>9.8699999999999992</v>
      </c>
      <c r="V422" s="395"/>
      <c r="W422" s="453"/>
      <c r="X422" s="394"/>
      <c r="Y422" s="394">
        <v>10</v>
      </c>
      <c r="Z422" s="394">
        <v>20</v>
      </c>
      <c r="AA422" s="395">
        <v>0</v>
      </c>
      <c r="AB422" s="452">
        <v>41375</v>
      </c>
      <c r="AC422" s="398">
        <v>0</v>
      </c>
      <c r="AD422" s="398">
        <v>98.699999999999989</v>
      </c>
      <c r="AE422" s="393" t="s">
        <v>47</v>
      </c>
      <c r="AF422" s="417">
        <v>0</v>
      </c>
      <c r="AG422" s="451">
        <f t="shared" si="2"/>
        <v>26.601999999999997</v>
      </c>
      <c r="AH422" s="417">
        <v>26.601999999999997</v>
      </c>
      <c r="AI422" s="394">
        <v>1</v>
      </c>
      <c r="AJ422" s="495">
        <v>41929</v>
      </c>
      <c r="AK422" s="452">
        <v>42369</v>
      </c>
      <c r="AL422" s="393"/>
      <c r="AM422" s="393"/>
      <c r="AN422" s="417"/>
      <c r="AO422" s="392"/>
      <c r="AP422" s="392" t="s">
        <v>7060</v>
      </c>
      <c r="AQ422" s="392"/>
      <c r="AR422" s="392" t="s">
        <v>199</v>
      </c>
      <c r="AS422" s="480"/>
      <c r="AT422" s="453"/>
      <c r="AU422" s="453"/>
      <c r="AV422" s="453"/>
      <c r="AW422" s="453"/>
      <c r="AX422" s="453"/>
      <c r="AY422" s="453"/>
      <c r="AZ422" s="452">
        <v>41375</v>
      </c>
      <c r="BA422" s="393"/>
      <c r="BB422" s="393"/>
      <c r="BC422" s="393" t="b">
        <v>0</v>
      </c>
      <c r="BD422" s="393"/>
      <c r="BE422" s="392" t="s">
        <v>6053</v>
      </c>
      <c r="BF422" s="394">
        <v>9</v>
      </c>
      <c r="BG422" s="394">
        <v>8</v>
      </c>
      <c r="BH422" s="394">
        <v>1</v>
      </c>
      <c r="BI422" s="394">
        <v>4</v>
      </c>
      <c r="BJ422" s="394">
        <v>6</v>
      </c>
      <c r="BK422" s="394"/>
      <c r="BL422" s="444" t="s">
        <v>6981</v>
      </c>
      <c r="BM422" s="392"/>
      <c r="BN422" s="393"/>
      <c r="BO422" s="393"/>
      <c r="BP422" s="399"/>
      <c r="BQ422" s="400"/>
      <c r="BR422" s="401"/>
      <c r="BS422" s="399"/>
      <c r="BT422" s="394"/>
      <c r="BU422" s="417"/>
      <c r="BV422" s="399"/>
      <c r="BW422" s="393" t="s">
        <v>3117</v>
      </c>
      <c r="BX422" s="392" t="s">
        <v>4364</v>
      </c>
      <c r="BY422" s="393" t="s">
        <v>7224</v>
      </c>
      <c r="BZ422" s="393"/>
      <c r="CA422" s="441"/>
      <c r="CB422" s="400"/>
      <c r="CC422" s="398"/>
      <c r="CD422" s="398"/>
      <c r="CE422" s="398"/>
      <c r="CF422" s="398"/>
      <c r="CG422" s="398"/>
      <c r="CH422" s="398"/>
      <c r="CI422" s="398">
        <v>6.9909999999999997</v>
      </c>
      <c r="CJ422" s="398">
        <v>9.8699999999999992</v>
      </c>
      <c r="CK422" s="398">
        <v>9.8699999999999992</v>
      </c>
      <c r="CL422" s="398">
        <v>9.8699999999999992</v>
      </c>
      <c r="CM422" s="398">
        <v>9.8699999999999992</v>
      </c>
      <c r="CN422" s="398">
        <v>9.8699999999999992</v>
      </c>
      <c r="CO422" s="398">
        <v>9.8699999999999992</v>
      </c>
      <c r="CP422" s="398">
        <v>9.8699999999999992</v>
      </c>
      <c r="CQ422" s="398">
        <v>9.8699999999999992</v>
      </c>
      <c r="CR422" s="398">
        <v>9.8699999999999992</v>
      </c>
      <c r="CS422" s="398">
        <v>2.879</v>
      </c>
      <c r="CT422" s="398"/>
      <c r="CU422" s="398"/>
      <c r="CV422" s="398"/>
      <c r="CW422" s="398"/>
      <c r="CX422" s="398"/>
      <c r="CY422" s="398"/>
      <c r="CZ422" s="398"/>
      <c r="DA422" s="398"/>
      <c r="DB422" s="398"/>
      <c r="DC422" s="398"/>
      <c r="DD422" s="398"/>
      <c r="DE422" s="393"/>
      <c r="DF422" s="393"/>
      <c r="DG422" s="393"/>
      <c r="DH422" s="393"/>
      <c r="DI422" s="393"/>
      <c r="DJ422" s="393"/>
      <c r="DK422" s="897"/>
    </row>
    <row r="423" spans="1:115" ht="25.5" x14ac:dyDescent="0.2">
      <c r="A423" s="295">
        <v>419</v>
      </c>
      <c r="B423" s="390" t="s">
        <v>5873</v>
      </c>
      <c r="C423" s="390"/>
      <c r="D423" s="391" t="s">
        <v>4772</v>
      </c>
      <c r="E423" s="704" t="s">
        <v>4773</v>
      </c>
      <c r="F423" s="393" t="s">
        <v>1352</v>
      </c>
      <c r="G423" s="393" t="s">
        <v>1671</v>
      </c>
      <c r="H423" s="393" t="s">
        <v>117</v>
      </c>
      <c r="I423" s="392"/>
      <c r="J423" s="392"/>
      <c r="K423" s="392" t="s">
        <v>4771</v>
      </c>
      <c r="L423" s="392" t="s">
        <v>197</v>
      </c>
      <c r="M423" s="392"/>
      <c r="N423" s="393" t="s">
        <v>44</v>
      </c>
      <c r="O423" s="393" t="s">
        <v>69</v>
      </c>
      <c r="P423" s="393" t="s">
        <v>69</v>
      </c>
      <c r="Q423" s="392" t="s">
        <v>172</v>
      </c>
      <c r="R423" s="392" t="s">
        <v>4685</v>
      </c>
      <c r="S423" s="428" t="s">
        <v>205</v>
      </c>
      <c r="T423" s="394">
        <v>1</v>
      </c>
      <c r="U423" s="395">
        <v>9.8699999999999992</v>
      </c>
      <c r="V423" s="395"/>
      <c r="W423" s="453"/>
      <c r="X423" s="394"/>
      <c r="Y423" s="394">
        <v>10</v>
      </c>
      <c r="Z423" s="394">
        <v>20</v>
      </c>
      <c r="AA423" s="395">
        <v>0</v>
      </c>
      <c r="AB423" s="452">
        <v>41375</v>
      </c>
      <c r="AC423" s="398">
        <v>0</v>
      </c>
      <c r="AD423" s="398">
        <v>98.699999999999989</v>
      </c>
      <c r="AE423" s="393" t="s">
        <v>47</v>
      </c>
      <c r="AF423" s="417">
        <v>0</v>
      </c>
      <c r="AG423" s="451">
        <f t="shared" si="2"/>
        <v>26.601999999999997</v>
      </c>
      <c r="AH423" s="417">
        <v>26.601999999999997</v>
      </c>
      <c r="AI423" s="394">
        <v>1</v>
      </c>
      <c r="AJ423" s="495">
        <v>41929</v>
      </c>
      <c r="AK423" s="452">
        <v>42369</v>
      </c>
      <c r="AL423" s="393"/>
      <c r="AM423" s="393"/>
      <c r="AN423" s="417"/>
      <c r="AO423" s="392"/>
      <c r="AP423" s="392" t="s">
        <v>7060</v>
      </c>
      <c r="AQ423" s="392"/>
      <c r="AR423" s="392" t="s">
        <v>199</v>
      </c>
      <c r="AS423" s="480"/>
      <c r="AT423" s="453"/>
      <c r="AU423" s="453"/>
      <c r="AV423" s="453"/>
      <c r="AW423" s="453"/>
      <c r="AX423" s="453"/>
      <c r="AY423" s="453"/>
      <c r="AZ423" s="452">
        <v>41375</v>
      </c>
      <c r="BA423" s="393"/>
      <c r="BB423" s="393"/>
      <c r="BC423" s="393" t="b">
        <v>0</v>
      </c>
      <c r="BD423" s="393"/>
      <c r="BE423" s="392" t="s">
        <v>6053</v>
      </c>
      <c r="BF423" s="394">
        <v>9</v>
      </c>
      <c r="BG423" s="394">
        <v>8</v>
      </c>
      <c r="BH423" s="394">
        <v>1</v>
      </c>
      <c r="BI423" s="394">
        <v>4</v>
      </c>
      <c r="BJ423" s="394">
        <v>6</v>
      </c>
      <c r="BK423" s="394"/>
      <c r="BL423" s="444" t="s">
        <v>6981</v>
      </c>
      <c r="BM423" s="392"/>
      <c r="BN423" s="393"/>
      <c r="BO423" s="393"/>
      <c r="BP423" s="399"/>
      <c r="BQ423" s="400"/>
      <c r="BR423" s="401"/>
      <c r="BS423" s="399"/>
      <c r="BT423" s="394"/>
      <c r="BU423" s="417"/>
      <c r="BV423" s="399"/>
      <c r="BW423" s="393" t="s">
        <v>3117</v>
      </c>
      <c r="BX423" s="392" t="s">
        <v>4364</v>
      </c>
      <c r="BY423" s="393" t="s">
        <v>7224</v>
      </c>
      <c r="BZ423" s="393"/>
      <c r="CA423" s="441"/>
      <c r="CB423" s="400"/>
      <c r="CC423" s="398"/>
      <c r="CD423" s="398"/>
      <c r="CE423" s="398"/>
      <c r="CF423" s="398"/>
      <c r="CG423" s="398"/>
      <c r="CH423" s="398"/>
      <c r="CI423" s="398">
        <v>6.9909999999999997</v>
      </c>
      <c r="CJ423" s="398">
        <v>9.8699999999999992</v>
      </c>
      <c r="CK423" s="398">
        <v>9.8699999999999992</v>
      </c>
      <c r="CL423" s="398">
        <v>9.8699999999999992</v>
      </c>
      <c r="CM423" s="398">
        <v>9.8699999999999992</v>
      </c>
      <c r="CN423" s="398">
        <v>9.8699999999999992</v>
      </c>
      <c r="CO423" s="398">
        <v>9.8699999999999992</v>
      </c>
      <c r="CP423" s="398">
        <v>9.8699999999999992</v>
      </c>
      <c r="CQ423" s="398">
        <v>9.8699999999999992</v>
      </c>
      <c r="CR423" s="398">
        <v>9.8699999999999992</v>
      </c>
      <c r="CS423" s="398">
        <v>2.879</v>
      </c>
      <c r="CT423" s="398"/>
      <c r="CU423" s="398"/>
      <c r="CV423" s="398"/>
      <c r="CW423" s="398"/>
      <c r="CX423" s="398"/>
      <c r="CY423" s="398"/>
      <c r="CZ423" s="398"/>
      <c r="DA423" s="398"/>
      <c r="DB423" s="398"/>
      <c r="DC423" s="398"/>
      <c r="DD423" s="398"/>
      <c r="DE423" s="393"/>
      <c r="DF423" s="393"/>
      <c r="DG423" s="393"/>
      <c r="DH423" s="393"/>
      <c r="DI423" s="393"/>
      <c r="DJ423" s="393"/>
      <c r="DK423" s="897"/>
    </row>
    <row r="424" spans="1:115" ht="25.5" x14ac:dyDescent="0.2">
      <c r="A424" s="295">
        <v>420</v>
      </c>
      <c r="B424" s="390" t="s">
        <v>5874</v>
      </c>
      <c r="C424" s="390"/>
      <c r="D424" s="391" t="s">
        <v>4774</v>
      </c>
      <c r="E424" s="704" t="s">
        <v>4775</v>
      </c>
      <c r="F424" s="393" t="s">
        <v>1352</v>
      </c>
      <c r="G424" s="393" t="s">
        <v>1671</v>
      </c>
      <c r="H424" s="393" t="s">
        <v>117</v>
      </c>
      <c r="I424" s="392"/>
      <c r="J424" s="392"/>
      <c r="K424" s="392" t="s">
        <v>4771</v>
      </c>
      <c r="L424" s="392" t="s">
        <v>197</v>
      </c>
      <c r="M424" s="392"/>
      <c r="N424" s="393" t="s">
        <v>44</v>
      </c>
      <c r="O424" s="393" t="s">
        <v>69</v>
      </c>
      <c r="P424" s="393" t="s">
        <v>69</v>
      </c>
      <c r="Q424" s="392" t="s">
        <v>172</v>
      </c>
      <c r="R424" s="392" t="s">
        <v>4685</v>
      </c>
      <c r="S424" s="428" t="s">
        <v>205</v>
      </c>
      <c r="T424" s="394">
        <v>1</v>
      </c>
      <c r="U424" s="395">
        <v>9.8699999999999992</v>
      </c>
      <c r="V424" s="395"/>
      <c r="W424" s="453"/>
      <c r="X424" s="394"/>
      <c r="Y424" s="394">
        <v>10</v>
      </c>
      <c r="Z424" s="394">
        <v>20</v>
      </c>
      <c r="AA424" s="395">
        <v>0</v>
      </c>
      <c r="AB424" s="452">
        <v>41375</v>
      </c>
      <c r="AC424" s="398">
        <v>0</v>
      </c>
      <c r="AD424" s="398">
        <v>98.699999999999989</v>
      </c>
      <c r="AE424" s="393" t="s">
        <v>47</v>
      </c>
      <c r="AF424" s="417">
        <v>0</v>
      </c>
      <c r="AG424" s="451">
        <f t="shared" si="2"/>
        <v>26.601999999999997</v>
      </c>
      <c r="AH424" s="417">
        <v>26.601999999999997</v>
      </c>
      <c r="AI424" s="394">
        <v>1</v>
      </c>
      <c r="AJ424" s="495">
        <v>41929</v>
      </c>
      <c r="AK424" s="452">
        <v>42369</v>
      </c>
      <c r="AL424" s="393"/>
      <c r="AM424" s="393"/>
      <c r="AN424" s="417"/>
      <c r="AO424" s="392"/>
      <c r="AP424" s="392" t="s">
        <v>7060</v>
      </c>
      <c r="AQ424" s="392"/>
      <c r="AR424" s="392" t="s">
        <v>199</v>
      </c>
      <c r="AS424" s="480"/>
      <c r="AT424" s="453"/>
      <c r="AU424" s="453"/>
      <c r="AV424" s="453"/>
      <c r="AW424" s="453"/>
      <c r="AX424" s="453"/>
      <c r="AY424" s="453"/>
      <c r="AZ424" s="452">
        <v>41375</v>
      </c>
      <c r="BA424" s="393"/>
      <c r="BB424" s="393"/>
      <c r="BC424" s="393" t="b">
        <v>0</v>
      </c>
      <c r="BD424" s="393"/>
      <c r="BE424" s="392" t="s">
        <v>6053</v>
      </c>
      <c r="BF424" s="394">
        <v>9</v>
      </c>
      <c r="BG424" s="394">
        <v>8</v>
      </c>
      <c r="BH424" s="394">
        <v>1</v>
      </c>
      <c r="BI424" s="394">
        <v>4</v>
      </c>
      <c r="BJ424" s="394">
        <v>6</v>
      </c>
      <c r="BK424" s="394"/>
      <c r="BL424" s="444" t="s">
        <v>6981</v>
      </c>
      <c r="BM424" s="392"/>
      <c r="BN424" s="393"/>
      <c r="BO424" s="393"/>
      <c r="BP424" s="399"/>
      <c r="BQ424" s="400"/>
      <c r="BR424" s="401"/>
      <c r="BS424" s="399"/>
      <c r="BT424" s="394"/>
      <c r="BU424" s="417"/>
      <c r="BV424" s="399"/>
      <c r="BW424" s="393" t="s">
        <v>3117</v>
      </c>
      <c r="BX424" s="392" t="s">
        <v>4364</v>
      </c>
      <c r="BY424" s="393" t="s">
        <v>7224</v>
      </c>
      <c r="BZ424" s="393"/>
      <c r="CA424" s="441"/>
      <c r="CB424" s="400"/>
      <c r="CC424" s="398"/>
      <c r="CD424" s="398"/>
      <c r="CE424" s="398"/>
      <c r="CF424" s="398"/>
      <c r="CG424" s="398"/>
      <c r="CH424" s="398"/>
      <c r="CI424" s="398">
        <v>6.9909999999999997</v>
      </c>
      <c r="CJ424" s="398">
        <v>9.8699999999999992</v>
      </c>
      <c r="CK424" s="398">
        <v>9.8699999999999992</v>
      </c>
      <c r="CL424" s="398">
        <v>9.8699999999999992</v>
      </c>
      <c r="CM424" s="398">
        <v>9.8699999999999992</v>
      </c>
      <c r="CN424" s="398">
        <v>9.8699999999999992</v>
      </c>
      <c r="CO424" s="398">
        <v>9.8699999999999992</v>
      </c>
      <c r="CP424" s="398">
        <v>9.8699999999999992</v>
      </c>
      <c r="CQ424" s="398">
        <v>9.8699999999999992</v>
      </c>
      <c r="CR424" s="398">
        <v>9.8699999999999992</v>
      </c>
      <c r="CS424" s="398">
        <v>2.879</v>
      </c>
      <c r="CT424" s="398"/>
      <c r="CU424" s="398"/>
      <c r="CV424" s="398"/>
      <c r="CW424" s="398"/>
      <c r="CX424" s="398"/>
      <c r="CY424" s="398"/>
      <c r="CZ424" s="398"/>
      <c r="DA424" s="398"/>
      <c r="DB424" s="398"/>
      <c r="DC424" s="398"/>
      <c r="DD424" s="398"/>
      <c r="DE424" s="393"/>
      <c r="DF424" s="393"/>
      <c r="DG424" s="393"/>
      <c r="DH424" s="393"/>
      <c r="DI424" s="393"/>
      <c r="DJ424" s="393"/>
      <c r="DK424" s="897"/>
    </row>
    <row r="425" spans="1:115" ht="25.5" x14ac:dyDescent="0.2">
      <c r="A425" s="295">
        <v>421</v>
      </c>
      <c r="B425" s="390" t="s">
        <v>5875</v>
      </c>
      <c r="C425" s="390"/>
      <c r="D425" s="391" t="s">
        <v>4776</v>
      </c>
      <c r="E425" s="704" t="s">
        <v>4777</v>
      </c>
      <c r="F425" s="393" t="s">
        <v>1352</v>
      </c>
      <c r="G425" s="393" t="s">
        <v>1671</v>
      </c>
      <c r="H425" s="393" t="s">
        <v>117</v>
      </c>
      <c r="I425" s="392"/>
      <c r="J425" s="392"/>
      <c r="K425" s="392" t="s">
        <v>4771</v>
      </c>
      <c r="L425" s="392" t="s">
        <v>197</v>
      </c>
      <c r="M425" s="392"/>
      <c r="N425" s="393" t="s">
        <v>44</v>
      </c>
      <c r="O425" s="393" t="s">
        <v>69</v>
      </c>
      <c r="P425" s="393" t="s">
        <v>69</v>
      </c>
      <c r="Q425" s="392" t="s">
        <v>172</v>
      </c>
      <c r="R425" s="392" t="s">
        <v>4685</v>
      </c>
      <c r="S425" s="428" t="s">
        <v>205</v>
      </c>
      <c r="T425" s="394">
        <v>1</v>
      </c>
      <c r="U425" s="395">
        <v>9.8699999999999992</v>
      </c>
      <c r="V425" s="395"/>
      <c r="W425" s="453"/>
      <c r="X425" s="394"/>
      <c r="Y425" s="394">
        <v>10</v>
      </c>
      <c r="Z425" s="394">
        <v>20</v>
      </c>
      <c r="AA425" s="395">
        <v>0</v>
      </c>
      <c r="AB425" s="452">
        <v>41375</v>
      </c>
      <c r="AC425" s="398">
        <v>0</v>
      </c>
      <c r="AD425" s="398">
        <v>98.699999999999989</v>
      </c>
      <c r="AE425" s="393" t="s">
        <v>47</v>
      </c>
      <c r="AF425" s="417">
        <v>0</v>
      </c>
      <c r="AG425" s="451">
        <f t="shared" si="2"/>
        <v>26.601999999999997</v>
      </c>
      <c r="AH425" s="417">
        <v>26.601999999999997</v>
      </c>
      <c r="AI425" s="394">
        <v>1</v>
      </c>
      <c r="AJ425" s="495">
        <v>41929</v>
      </c>
      <c r="AK425" s="452">
        <v>42369</v>
      </c>
      <c r="AL425" s="393"/>
      <c r="AM425" s="393"/>
      <c r="AN425" s="417"/>
      <c r="AO425" s="392"/>
      <c r="AP425" s="392" t="s">
        <v>7060</v>
      </c>
      <c r="AQ425" s="392"/>
      <c r="AR425" s="392" t="s">
        <v>199</v>
      </c>
      <c r="AS425" s="480"/>
      <c r="AT425" s="453"/>
      <c r="AU425" s="453"/>
      <c r="AV425" s="453"/>
      <c r="AW425" s="453"/>
      <c r="AX425" s="453"/>
      <c r="AY425" s="453"/>
      <c r="AZ425" s="452">
        <v>41375</v>
      </c>
      <c r="BA425" s="393"/>
      <c r="BB425" s="393"/>
      <c r="BC425" s="393" t="b">
        <v>0</v>
      </c>
      <c r="BD425" s="393"/>
      <c r="BE425" s="392" t="s">
        <v>6053</v>
      </c>
      <c r="BF425" s="394">
        <v>9</v>
      </c>
      <c r="BG425" s="394">
        <v>8</v>
      </c>
      <c r="BH425" s="394">
        <v>1</v>
      </c>
      <c r="BI425" s="394">
        <v>4</v>
      </c>
      <c r="BJ425" s="394">
        <v>6</v>
      </c>
      <c r="BK425" s="394"/>
      <c r="BL425" s="444" t="s">
        <v>6981</v>
      </c>
      <c r="BM425" s="392"/>
      <c r="BN425" s="393"/>
      <c r="BO425" s="393"/>
      <c r="BP425" s="399"/>
      <c r="BQ425" s="400"/>
      <c r="BR425" s="401"/>
      <c r="BS425" s="399"/>
      <c r="BT425" s="394"/>
      <c r="BU425" s="417"/>
      <c r="BV425" s="399"/>
      <c r="BW425" s="393" t="s">
        <v>3117</v>
      </c>
      <c r="BX425" s="392" t="s">
        <v>4364</v>
      </c>
      <c r="BY425" s="393" t="s">
        <v>7224</v>
      </c>
      <c r="BZ425" s="393"/>
      <c r="CA425" s="441"/>
      <c r="CB425" s="400"/>
      <c r="CC425" s="398"/>
      <c r="CD425" s="398"/>
      <c r="CE425" s="398"/>
      <c r="CF425" s="398"/>
      <c r="CG425" s="398"/>
      <c r="CH425" s="398"/>
      <c r="CI425" s="398">
        <v>6.9909999999999997</v>
      </c>
      <c r="CJ425" s="398">
        <v>9.8699999999999992</v>
      </c>
      <c r="CK425" s="398">
        <v>9.8699999999999992</v>
      </c>
      <c r="CL425" s="398">
        <v>9.8699999999999992</v>
      </c>
      <c r="CM425" s="398">
        <v>9.8699999999999992</v>
      </c>
      <c r="CN425" s="398">
        <v>9.8699999999999992</v>
      </c>
      <c r="CO425" s="398">
        <v>9.8699999999999992</v>
      </c>
      <c r="CP425" s="398">
        <v>9.8699999999999992</v>
      </c>
      <c r="CQ425" s="398">
        <v>9.8699999999999992</v>
      </c>
      <c r="CR425" s="398">
        <v>9.8699999999999992</v>
      </c>
      <c r="CS425" s="398">
        <v>2.879</v>
      </c>
      <c r="CT425" s="398"/>
      <c r="CU425" s="398"/>
      <c r="CV425" s="398"/>
      <c r="CW425" s="398"/>
      <c r="CX425" s="398"/>
      <c r="CY425" s="398"/>
      <c r="CZ425" s="398"/>
      <c r="DA425" s="398"/>
      <c r="DB425" s="398"/>
      <c r="DC425" s="398"/>
      <c r="DD425" s="398"/>
      <c r="DE425" s="393"/>
      <c r="DF425" s="393"/>
      <c r="DG425" s="393"/>
      <c r="DH425" s="393"/>
      <c r="DI425" s="393"/>
      <c r="DJ425" s="393"/>
      <c r="DK425" s="897"/>
    </row>
    <row r="426" spans="1:115" ht="25.5" x14ac:dyDescent="0.2">
      <c r="A426" s="295">
        <v>422</v>
      </c>
      <c r="B426" s="390" t="s">
        <v>5876</v>
      </c>
      <c r="C426" s="390"/>
      <c r="D426" s="391" t="s">
        <v>4778</v>
      </c>
      <c r="E426" s="704" t="s">
        <v>4779</v>
      </c>
      <c r="F426" s="393" t="s">
        <v>1352</v>
      </c>
      <c r="G426" s="393" t="s">
        <v>1671</v>
      </c>
      <c r="H426" s="393" t="s">
        <v>117</v>
      </c>
      <c r="I426" s="392"/>
      <c r="J426" s="392"/>
      <c r="K426" s="392" t="s">
        <v>4780</v>
      </c>
      <c r="L426" s="392" t="s">
        <v>197</v>
      </c>
      <c r="M426" s="392"/>
      <c r="N426" s="393" t="s">
        <v>44</v>
      </c>
      <c r="O426" s="393" t="s">
        <v>69</v>
      </c>
      <c r="P426" s="393" t="s">
        <v>69</v>
      </c>
      <c r="Q426" s="392" t="s">
        <v>172</v>
      </c>
      <c r="R426" s="392" t="s">
        <v>4685</v>
      </c>
      <c r="S426" s="428" t="s">
        <v>205</v>
      </c>
      <c r="T426" s="394">
        <v>1</v>
      </c>
      <c r="U426" s="395">
        <v>9.8699999999999992</v>
      </c>
      <c r="V426" s="395"/>
      <c r="W426" s="453"/>
      <c r="X426" s="394"/>
      <c r="Y426" s="394">
        <v>10</v>
      </c>
      <c r="Z426" s="394">
        <v>20</v>
      </c>
      <c r="AA426" s="395">
        <v>0</v>
      </c>
      <c r="AB426" s="452">
        <v>41375</v>
      </c>
      <c r="AC426" s="398">
        <v>0</v>
      </c>
      <c r="AD426" s="398">
        <v>98.699999999999989</v>
      </c>
      <c r="AE426" s="393" t="s">
        <v>47</v>
      </c>
      <c r="AF426" s="417">
        <v>0</v>
      </c>
      <c r="AG426" s="451">
        <f>1.479+7.401+8.941+9.107</f>
        <v>26.927999999999997</v>
      </c>
      <c r="AH426" s="417">
        <v>26.927999999999997</v>
      </c>
      <c r="AI426" s="394">
        <v>1</v>
      </c>
      <c r="AJ426" s="495">
        <v>41929</v>
      </c>
      <c r="AK426" s="452">
        <v>42369</v>
      </c>
      <c r="AL426" s="393"/>
      <c r="AM426" s="393"/>
      <c r="AN426" s="417"/>
      <c r="AO426" s="392"/>
      <c r="AP426" s="392" t="s">
        <v>7060</v>
      </c>
      <c r="AQ426" s="392"/>
      <c r="AR426" s="392" t="s">
        <v>199</v>
      </c>
      <c r="AS426" s="480"/>
      <c r="AT426" s="453"/>
      <c r="AU426" s="453"/>
      <c r="AV426" s="453"/>
      <c r="AW426" s="453"/>
      <c r="AX426" s="453"/>
      <c r="AY426" s="453"/>
      <c r="AZ426" s="452">
        <v>41375</v>
      </c>
      <c r="BA426" s="393"/>
      <c r="BB426" s="393"/>
      <c r="BC426" s="393" t="b">
        <v>0</v>
      </c>
      <c r="BD426" s="393"/>
      <c r="BE426" s="392" t="s">
        <v>6053</v>
      </c>
      <c r="BF426" s="394">
        <v>9</v>
      </c>
      <c r="BG426" s="394">
        <v>8</v>
      </c>
      <c r="BH426" s="394">
        <v>1</v>
      </c>
      <c r="BI426" s="394">
        <v>4</v>
      </c>
      <c r="BJ426" s="394">
        <v>6</v>
      </c>
      <c r="BK426" s="394"/>
      <c r="BL426" s="444" t="s">
        <v>6981</v>
      </c>
      <c r="BM426" s="392"/>
      <c r="BN426" s="393"/>
      <c r="BO426" s="393"/>
      <c r="BP426" s="399"/>
      <c r="BQ426" s="400"/>
      <c r="BR426" s="401"/>
      <c r="BS426" s="399"/>
      <c r="BT426" s="394"/>
      <c r="BU426" s="417"/>
      <c r="BV426" s="399"/>
      <c r="BW426" s="393" t="s">
        <v>3117</v>
      </c>
      <c r="BX426" s="392" t="s">
        <v>4364</v>
      </c>
      <c r="BY426" s="393" t="s">
        <v>7224</v>
      </c>
      <c r="BZ426" s="393"/>
      <c r="CA426" s="441"/>
      <c r="CB426" s="400"/>
      <c r="CC426" s="398"/>
      <c r="CD426" s="398"/>
      <c r="CE426" s="398"/>
      <c r="CF426" s="398"/>
      <c r="CG426" s="398"/>
      <c r="CH426" s="398"/>
      <c r="CI426" s="398">
        <v>6.9909999999999997</v>
      </c>
      <c r="CJ426" s="398">
        <v>9.8699999999999992</v>
      </c>
      <c r="CK426" s="398">
        <v>9.8699999999999992</v>
      </c>
      <c r="CL426" s="398">
        <v>9.8699999999999992</v>
      </c>
      <c r="CM426" s="398">
        <v>9.8699999999999992</v>
      </c>
      <c r="CN426" s="398">
        <v>9.8699999999999992</v>
      </c>
      <c r="CO426" s="398">
        <v>9.8699999999999992</v>
      </c>
      <c r="CP426" s="398">
        <v>9.8699999999999992</v>
      </c>
      <c r="CQ426" s="398">
        <v>9.8699999999999992</v>
      </c>
      <c r="CR426" s="398">
        <v>9.8699999999999992</v>
      </c>
      <c r="CS426" s="398">
        <v>2.879</v>
      </c>
      <c r="CT426" s="398"/>
      <c r="CU426" s="398"/>
      <c r="CV426" s="398"/>
      <c r="CW426" s="398"/>
      <c r="CX426" s="398"/>
      <c r="CY426" s="398"/>
      <c r="CZ426" s="398"/>
      <c r="DA426" s="398"/>
      <c r="DB426" s="398"/>
      <c r="DC426" s="398"/>
      <c r="DD426" s="398"/>
      <c r="DE426" s="393"/>
      <c r="DF426" s="393"/>
      <c r="DG426" s="393"/>
      <c r="DH426" s="393"/>
      <c r="DI426" s="393"/>
      <c r="DJ426" s="393"/>
      <c r="DK426" s="897"/>
    </row>
    <row r="427" spans="1:115" ht="25.5" x14ac:dyDescent="0.2">
      <c r="A427" s="295">
        <v>423</v>
      </c>
      <c r="B427" s="390" t="s">
        <v>5877</v>
      </c>
      <c r="C427" s="390"/>
      <c r="D427" s="391" t="s">
        <v>4781</v>
      </c>
      <c r="E427" s="704" t="s">
        <v>4782</v>
      </c>
      <c r="F427" s="393" t="s">
        <v>1352</v>
      </c>
      <c r="G427" s="393" t="s">
        <v>1671</v>
      </c>
      <c r="H427" s="393" t="s">
        <v>117</v>
      </c>
      <c r="I427" s="392"/>
      <c r="J427" s="392"/>
      <c r="K427" s="392" t="s">
        <v>4783</v>
      </c>
      <c r="L427" s="392" t="s">
        <v>197</v>
      </c>
      <c r="M427" s="392"/>
      <c r="N427" s="393" t="s">
        <v>44</v>
      </c>
      <c r="O427" s="393" t="s">
        <v>69</v>
      </c>
      <c r="P427" s="393" t="s">
        <v>69</v>
      </c>
      <c r="Q427" s="392" t="s">
        <v>172</v>
      </c>
      <c r="R427" s="392" t="s">
        <v>4685</v>
      </c>
      <c r="S427" s="428" t="s">
        <v>205</v>
      </c>
      <c r="T427" s="394">
        <v>1</v>
      </c>
      <c r="U427" s="395">
        <v>10.146000000000001</v>
      </c>
      <c r="V427" s="395"/>
      <c r="W427" s="453"/>
      <c r="X427" s="394"/>
      <c r="Y427" s="394">
        <v>10</v>
      </c>
      <c r="Z427" s="394">
        <v>20</v>
      </c>
      <c r="AA427" s="395">
        <v>0</v>
      </c>
      <c r="AB427" s="452">
        <v>41375</v>
      </c>
      <c r="AC427" s="398">
        <v>0</v>
      </c>
      <c r="AD427" s="398">
        <v>101.46000000000001</v>
      </c>
      <c r="AE427" s="393" t="s">
        <v>47</v>
      </c>
      <c r="AF427" s="417">
        <v>0</v>
      </c>
      <c r="AG427" s="417">
        <f>1.517+7.401+8.941+9.107</f>
        <v>26.966000000000001</v>
      </c>
      <c r="AH427" s="417">
        <v>26.966000000000001</v>
      </c>
      <c r="AI427" s="394">
        <v>1</v>
      </c>
      <c r="AJ427" s="495">
        <v>41929</v>
      </c>
      <c r="AK427" s="452">
        <v>42369</v>
      </c>
      <c r="AL427" s="393"/>
      <c r="AM427" s="393"/>
      <c r="AN427" s="417"/>
      <c r="AO427" s="392"/>
      <c r="AP427" s="392" t="s">
        <v>7060</v>
      </c>
      <c r="AQ427" s="392"/>
      <c r="AR427" s="392" t="s">
        <v>199</v>
      </c>
      <c r="AS427" s="480"/>
      <c r="AT427" s="453"/>
      <c r="AU427" s="453"/>
      <c r="AV427" s="453"/>
      <c r="AW427" s="453"/>
      <c r="AX427" s="453"/>
      <c r="AY427" s="453"/>
      <c r="AZ427" s="452">
        <v>41375</v>
      </c>
      <c r="BA427" s="393"/>
      <c r="BB427" s="393"/>
      <c r="BC427" s="393" t="b">
        <v>0</v>
      </c>
      <c r="BD427" s="393"/>
      <c r="BE427" s="392" t="s">
        <v>6053</v>
      </c>
      <c r="BF427" s="394">
        <v>9</v>
      </c>
      <c r="BG427" s="394">
        <v>8</v>
      </c>
      <c r="BH427" s="394">
        <v>1</v>
      </c>
      <c r="BI427" s="394">
        <v>4</v>
      </c>
      <c r="BJ427" s="394">
        <v>6</v>
      </c>
      <c r="BK427" s="394"/>
      <c r="BL427" s="444" t="s">
        <v>6981</v>
      </c>
      <c r="BM427" s="392"/>
      <c r="BN427" s="393"/>
      <c r="BO427" s="393"/>
      <c r="BP427" s="399"/>
      <c r="BQ427" s="400"/>
      <c r="BR427" s="401"/>
      <c r="BS427" s="399"/>
      <c r="BT427" s="394"/>
      <c r="BU427" s="417"/>
      <c r="BV427" s="399"/>
      <c r="BW427" s="393" t="s">
        <v>3117</v>
      </c>
      <c r="BX427" s="392" t="s">
        <v>4364</v>
      </c>
      <c r="BY427" s="393" t="s">
        <v>7224</v>
      </c>
      <c r="BZ427" s="393"/>
      <c r="CA427" s="441"/>
      <c r="CB427" s="400"/>
      <c r="CC427" s="398"/>
      <c r="CD427" s="398"/>
      <c r="CE427" s="398"/>
      <c r="CF427" s="398"/>
      <c r="CG427" s="398"/>
      <c r="CH427" s="398"/>
      <c r="CI427" s="398">
        <v>7.1859999999999999</v>
      </c>
      <c r="CJ427" s="398">
        <v>10.146000000000001</v>
      </c>
      <c r="CK427" s="398">
        <v>10.146000000000001</v>
      </c>
      <c r="CL427" s="398">
        <v>10.146000000000001</v>
      </c>
      <c r="CM427" s="398">
        <v>10.146000000000001</v>
      </c>
      <c r="CN427" s="398">
        <v>10.146000000000001</v>
      </c>
      <c r="CO427" s="398">
        <v>10.146000000000001</v>
      </c>
      <c r="CP427" s="398">
        <v>10.146000000000001</v>
      </c>
      <c r="CQ427" s="398">
        <v>10.146000000000001</v>
      </c>
      <c r="CR427" s="398">
        <v>10.146000000000001</v>
      </c>
      <c r="CS427" s="398">
        <v>2.96</v>
      </c>
      <c r="CT427" s="398"/>
      <c r="CU427" s="398"/>
      <c r="CV427" s="398"/>
      <c r="CW427" s="398"/>
      <c r="CX427" s="398"/>
      <c r="CY427" s="398"/>
      <c r="CZ427" s="398"/>
      <c r="DA427" s="398"/>
      <c r="DB427" s="398"/>
      <c r="DC427" s="398"/>
      <c r="DD427" s="398"/>
      <c r="DE427" s="393"/>
      <c r="DF427" s="393"/>
      <c r="DG427" s="393"/>
      <c r="DH427" s="393"/>
      <c r="DI427" s="393"/>
      <c r="DJ427" s="393"/>
      <c r="DK427" s="897"/>
    </row>
    <row r="428" spans="1:115" ht="25.5" x14ac:dyDescent="0.2">
      <c r="A428" s="295">
        <v>424</v>
      </c>
      <c r="B428" s="390" t="s">
        <v>5878</v>
      </c>
      <c r="C428" s="390"/>
      <c r="D428" s="391" t="s">
        <v>4784</v>
      </c>
      <c r="E428" s="704" t="s">
        <v>4785</v>
      </c>
      <c r="F428" s="393" t="s">
        <v>1352</v>
      </c>
      <c r="G428" s="393" t="s">
        <v>1671</v>
      </c>
      <c r="H428" s="393" t="s">
        <v>117</v>
      </c>
      <c r="I428" s="392"/>
      <c r="J428" s="392"/>
      <c r="K428" s="392" t="s">
        <v>4783</v>
      </c>
      <c r="L428" s="392" t="s">
        <v>197</v>
      </c>
      <c r="M428" s="392"/>
      <c r="N428" s="393" t="s">
        <v>44</v>
      </c>
      <c r="O428" s="393" t="s">
        <v>69</v>
      </c>
      <c r="P428" s="393" t="s">
        <v>69</v>
      </c>
      <c r="Q428" s="392" t="s">
        <v>172</v>
      </c>
      <c r="R428" s="392" t="s">
        <v>4685</v>
      </c>
      <c r="S428" s="428" t="s">
        <v>205</v>
      </c>
      <c r="T428" s="394">
        <v>1</v>
      </c>
      <c r="U428" s="395">
        <v>10.146000000000001</v>
      </c>
      <c r="V428" s="395"/>
      <c r="W428" s="453"/>
      <c r="X428" s="394"/>
      <c r="Y428" s="394">
        <v>10</v>
      </c>
      <c r="Z428" s="394">
        <v>20</v>
      </c>
      <c r="AA428" s="395">
        <v>0</v>
      </c>
      <c r="AB428" s="452">
        <v>41375</v>
      </c>
      <c r="AC428" s="398">
        <v>0</v>
      </c>
      <c r="AD428" s="398">
        <v>101.46000000000001</v>
      </c>
      <c r="AE428" s="393" t="s">
        <v>47</v>
      </c>
      <c r="AF428" s="417">
        <v>0</v>
      </c>
      <c r="AG428" s="417">
        <f>1.517+7.401+8.941+9.107</f>
        <v>26.966000000000001</v>
      </c>
      <c r="AH428" s="417">
        <v>26.966000000000001</v>
      </c>
      <c r="AI428" s="394">
        <v>1</v>
      </c>
      <c r="AJ428" s="495">
        <v>41929</v>
      </c>
      <c r="AK428" s="452">
        <v>42369</v>
      </c>
      <c r="AL428" s="393"/>
      <c r="AM428" s="393"/>
      <c r="AN428" s="417"/>
      <c r="AO428" s="392"/>
      <c r="AP428" s="392" t="s">
        <v>7060</v>
      </c>
      <c r="AQ428" s="392"/>
      <c r="AR428" s="392" t="s">
        <v>199</v>
      </c>
      <c r="AS428" s="480"/>
      <c r="AT428" s="453"/>
      <c r="AU428" s="453"/>
      <c r="AV428" s="453"/>
      <c r="AW428" s="453"/>
      <c r="AX428" s="453"/>
      <c r="AY428" s="453"/>
      <c r="AZ428" s="452">
        <v>41375</v>
      </c>
      <c r="BA428" s="393"/>
      <c r="BB428" s="393"/>
      <c r="BC428" s="393" t="b">
        <v>0</v>
      </c>
      <c r="BD428" s="393"/>
      <c r="BE428" s="392" t="s">
        <v>6053</v>
      </c>
      <c r="BF428" s="394">
        <v>9</v>
      </c>
      <c r="BG428" s="394">
        <v>8</v>
      </c>
      <c r="BH428" s="394">
        <v>1</v>
      </c>
      <c r="BI428" s="394">
        <v>4</v>
      </c>
      <c r="BJ428" s="394">
        <v>6</v>
      </c>
      <c r="BK428" s="394"/>
      <c r="BL428" s="444" t="s">
        <v>6981</v>
      </c>
      <c r="BM428" s="392"/>
      <c r="BN428" s="393"/>
      <c r="BO428" s="393"/>
      <c r="BP428" s="399"/>
      <c r="BQ428" s="400"/>
      <c r="BR428" s="401"/>
      <c r="BS428" s="399"/>
      <c r="BT428" s="394"/>
      <c r="BU428" s="417"/>
      <c r="BV428" s="399"/>
      <c r="BW428" s="393" t="s">
        <v>3117</v>
      </c>
      <c r="BX428" s="392" t="s">
        <v>4364</v>
      </c>
      <c r="BY428" s="393" t="s">
        <v>7224</v>
      </c>
      <c r="BZ428" s="393"/>
      <c r="CA428" s="441"/>
      <c r="CB428" s="400"/>
      <c r="CC428" s="398"/>
      <c r="CD428" s="398"/>
      <c r="CE428" s="398"/>
      <c r="CF428" s="398"/>
      <c r="CG428" s="398"/>
      <c r="CH428" s="398"/>
      <c r="CI428" s="398">
        <v>7.1859999999999999</v>
      </c>
      <c r="CJ428" s="398">
        <v>10.146000000000001</v>
      </c>
      <c r="CK428" s="398">
        <v>10.146000000000001</v>
      </c>
      <c r="CL428" s="398">
        <v>10.146000000000001</v>
      </c>
      <c r="CM428" s="398">
        <v>10.146000000000001</v>
      </c>
      <c r="CN428" s="398">
        <v>10.146000000000001</v>
      </c>
      <c r="CO428" s="398">
        <v>10.146000000000001</v>
      </c>
      <c r="CP428" s="398">
        <v>10.146000000000001</v>
      </c>
      <c r="CQ428" s="398">
        <v>10.146000000000001</v>
      </c>
      <c r="CR428" s="398">
        <v>10.146000000000001</v>
      </c>
      <c r="CS428" s="398">
        <v>2.96</v>
      </c>
      <c r="CT428" s="398"/>
      <c r="CU428" s="398"/>
      <c r="CV428" s="398"/>
      <c r="CW428" s="398"/>
      <c r="CX428" s="398"/>
      <c r="CY428" s="398"/>
      <c r="CZ428" s="398"/>
      <c r="DA428" s="398"/>
      <c r="DB428" s="398"/>
      <c r="DC428" s="398"/>
      <c r="DD428" s="398"/>
      <c r="DE428" s="393"/>
      <c r="DF428" s="393"/>
      <c r="DG428" s="393"/>
      <c r="DH428" s="393"/>
      <c r="DI428" s="393"/>
      <c r="DJ428" s="393"/>
      <c r="DK428" s="897"/>
    </row>
    <row r="429" spans="1:115" ht="25.5" x14ac:dyDescent="0.2">
      <c r="A429" s="295">
        <v>425</v>
      </c>
      <c r="B429" s="390" t="s">
        <v>5879</v>
      </c>
      <c r="C429" s="390"/>
      <c r="D429" s="391" t="s">
        <v>4786</v>
      </c>
      <c r="E429" s="704" t="s">
        <v>4787</v>
      </c>
      <c r="F429" s="393" t="s">
        <v>1352</v>
      </c>
      <c r="G429" s="393" t="s">
        <v>1671</v>
      </c>
      <c r="H429" s="393" t="s">
        <v>117</v>
      </c>
      <c r="I429" s="392"/>
      <c r="J429" s="392"/>
      <c r="K429" s="392" t="s">
        <v>4788</v>
      </c>
      <c r="L429" s="392" t="s">
        <v>197</v>
      </c>
      <c r="M429" s="392"/>
      <c r="N429" s="393" t="s">
        <v>44</v>
      </c>
      <c r="O429" s="393" t="s">
        <v>69</v>
      </c>
      <c r="P429" s="393" t="s">
        <v>69</v>
      </c>
      <c r="Q429" s="392" t="s">
        <v>172</v>
      </c>
      <c r="R429" s="392" t="s">
        <v>4685</v>
      </c>
      <c r="S429" s="428" t="s">
        <v>205</v>
      </c>
      <c r="T429" s="394">
        <v>1</v>
      </c>
      <c r="U429" s="395">
        <v>10.146000000000001</v>
      </c>
      <c r="V429" s="395"/>
      <c r="W429" s="453"/>
      <c r="X429" s="394"/>
      <c r="Y429" s="394">
        <v>10</v>
      </c>
      <c r="Z429" s="394">
        <v>20</v>
      </c>
      <c r="AA429" s="395">
        <v>0</v>
      </c>
      <c r="AB429" s="452">
        <v>41375</v>
      </c>
      <c r="AC429" s="398">
        <v>0</v>
      </c>
      <c r="AD429" s="398">
        <v>101.46000000000001</v>
      </c>
      <c r="AE429" s="393" t="s">
        <v>47</v>
      </c>
      <c r="AF429" s="417">
        <v>0</v>
      </c>
      <c r="AG429" s="417">
        <f>1.517+7.625+8.941+9.107</f>
        <v>27.189999999999998</v>
      </c>
      <c r="AH429" s="417">
        <v>27.189999999999998</v>
      </c>
      <c r="AI429" s="394">
        <v>1</v>
      </c>
      <c r="AJ429" s="495">
        <v>41929</v>
      </c>
      <c r="AK429" s="452">
        <v>42369</v>
      </c>
      <c r="AL429" s="393"/>
      <c r="AM429" s="393"/>
      <c r="AN429" s="417"/>
      <c r="AO429" s="392"/>
      <c r="AP429" s="392" t="s">
        <v>7060</v>
      </c>
      <c r="AQ429" s="392"/>
      <c r="AR429" s="392" t="s">
        <v>199</v>
      </c>
      <c r="AS429" s="480"/>
      <c r="AT429" s="453"/>
      <c r="AU429" s="453"/>
      <c r="AV429" s="453"/>
      <c r="AW429" s="453"/>
      <c r="AX429" s="453"/>
      <c r="AY429" s="453"/>
      <c r="AZ429" s="452">
        <v>41375</v>
      </c>
      <c r="BA429" s="393"/>
      <c r="BB429" s="393"/>
      <c r="BC429" s="393" t="b">
        <v>0</v>
      </c>
      <c r="BD429" s="393"/>
      <c r="BE429" s="392" t="s">
        <v>6053</v>
      </c>
      <c r="BF429" s="394">
        <v>9</v>
      </c>
      <c r="BG429" s="394">
        <v>8</v>
      </c>
      <c r="BH429" s="394">
        <v>1</v>
      </c>
      <c r="BI429" s="394">
        <v>4</v>
      </c>
      <c r="BJ429" s="394">
        <v>6</v>
      </c>
      <c r="BK429" s="394"/>
      <c r="BL429" s="444" t="s">
        <v>6981</v>
      </c>
      <c r="BM429" s="392"/>
      <c r="BN429" s="393"/>
      <c r="BO429" s="393"/>
      <c r="BP429" s="399"/>
      <c r="BQ429" s="400"/>
      <c r="BR429" s="401"/>
      <c r="BS429" s="399"/>
      <c r="BT429" s="394"/>
      <c r="BU429" s="417"/>
      <c r="BV429" s="399"/>
      <c r="BW429" s="393" t="s">
        <v>3117</v>
      </c>
      <c r="BX429" s="392" t="s">
        <v>4364</v>
      </c>
      <c r="BY429" s="393" t="s">
        <v>7224</v>
      </c>
      <c r="BZ429" s="393"/>
      <c r="CA429" s="441"/>
      <c r="CB429" s="400"/>
      <c r="CC429" s="398"/>
      <c r="CD429" s="398"/>
      <c r="CE429" s="398"/>
      <c r="CF429" s="398"/>
      <c r="CG429" s="398"/>
      <c r="CH429" s="398"/>
      <c r="CI429" s="398">
        <v>7.1859999999999999</v>
      </c>
      <c r="CJ429" s="398">
        <v>10.146000000000001</v>
      </c>
      <c r="CK429" s="398">
        <v>10.146000000000001</v>
      </c>
      <c r="CL429" s="398">
        <v>10.146000000000001</v>
      </c>
      <c r="CM429" s="398">
        <v>10.146000000000001</v>
      </c>
      <c r="CN429" s="398">
        <v>10.146000000000001</v>
      </c>
      <c r="CO429" s="398">
        <v>10.146000000000001</v>
      </c>
      <c r="CP429" s="398">
        <v>10.146000000000001</v>
      </c>
      <c r="CQ429" s="398">
        <v>10.146000000000001</v>
      </c>
      <c r="CR429" s="398">
        <v>10.146000000000001</v>
      </c>
      <c r="CS429" s="398">
        <v>2.96</v>
      </c>
      <c r="CT429" s="398"/>
      <c r="CU429" s="398"/>
      <c r="CV429" s="398"/>
      <c r="CW429" s="398"/>
      <c r="CX429" s="398"/>
      <c r="CY429" s="398"/>
      <c r="CZ429" s="398"/>
      <c r="DA429" s="398"/>
      <c r="DB429" s="398"/>
      <c r="DC429" s="398"/>
      <c r="DD429" s="398"/>
      <c r="DE429" s="393"/>
      <c r="DF429" s="393"/>
      <c r="DG429" s="393"/>
      <c r="DH429" s="393"/>
      <c r="DI429" s="393"/>
      <c r="DJ429" s="393"/>
      <c r="DK429" s="897"/>
    </row>
    <row r="430" spans="1:115" ht="25.5" x14ac:dyDescent="0.2">
      <c r="A430" s="295">
        <v>426</v>
      </c>
      <c r="B430" s="390" t="s">
        <v>5880</v>
      </c>
      <c r="C430" s="390"/>
      <c r="D430" s="391" t="s">
        <v>4789</v>
      </c>
      <c r="E430" s="704" t="s">
        <v>4790</v>
      </c>
      <c r="F430" s="393" t="s">
        <v>1352</v>
      </c>
      <c r="G430" s="393" t="s">
        <v>1671</v>
      </c>
      <c r="H430" s="393" t="s">
        <v>117</v>
      </c>
      <c r="I430" s="392"/>
      <c r="J430" s="392"/>
      <c r="K430" s="392" t="s">
        <v>4791</v>
      </c>
      <c r="L430" s="392" t="s">
        <v>197</v>
      </c>
      <c r="M430" s="392"/>
      <c r="N430" s="393" t="s">
        <v>44</v>
      </c>
      <c r="O430" s="393" t="s">
        <v>69</v>
      </c>
      <c r="P430" s="393" t="s">
        <v>69</v>
      </c>
      <c r="Q430" s="392" t="s">
        <v>172</v>
      </c>
      <c r="R430" s="392" t="s">
        <v>4685</v>
      </c>
      <c r="S430" s="428" t="s">
        <v>205</v>
      </c>
      <c r="T430" s="394">
        <v>1</v>
      </c>
      <c r="U430" s="395">
        <v>10.146000000000001</v>
      </c>
      <c r="V430" s="395"/>
      <c r="W430" s="453"/>
      <c r="X430" s="394"/>
      <c r="Y430" s="394">
        <v>10</v>
      </c>
      <c r="Z430" s="394">
        <v>20</v>
      </c>
      <c r="AA430" s="395">
        <v>0</v>
      </c>
      <c r="AB430" s="452">
        <v>41375</v>
      </c>
      <c r="AC430" s="398">
        <v>0</v>
      </c>
      <c r="AD430" s="398">
        <v>101.46000000000001</v>
      </c>
      <c r="AE430" s="393" t="s">
        <v>47</v>
      </c>
      <c r="AF430" s="417">
        <v>0</v>
      </c>
      <c r="AG430" s="417">
        <f>1.517+7.401+8.941+9.107</f>
        <v>26.966000000000001</v>
      </c>
      <c r="AH430" s="417">
        <v>26.966000000000001</v>
      </c>
      <c r="AI430" s="394">
        <v>1</v>
      </c>
      <c r="AJ430" s="495">
        <v>41929</v>
      </c>
      <c r="AK430" s="452">
        <v>42369</v>
      </c>
      <c r="AL430" s="393"/>
      <c r="AM430" s="393"/>
      <c r="AN430" s="417"/>
      <c r="AO430" s="392"/>
      <c r="AP430" s="392" t="s">
        <v>7060</v>
      </c>
      <c r="AQ430" s="392"/>
      <c r="AR430" s="392" t="s">
        <v>199</v>
      </c>
      <c r="AS430" s="480"/>
      <c r="AT430" s="453"/>
      <c r="AU430" s="453"/>
      <c r="AV430" s="453"/>
      <c r="AW430" s="453"/>
      <c r="AX430" s="453"/>
      <c r="AY430" s="453"/>
      <c r="AZ430" s="452">
        <v>41375</v>
      </c>
      <c r="BA430" s="393"/>
      <c r="BB430" s="393"/>
      <c r="BC430" s="393" t="b">
        <v>0</v>
      </c>
      <c r="BD430" s="393"/>
      <c r="BE430" s="392" t="s">
        <v>6053</v>
      </c>
      <c r="BF430" s="394">
        <v>9</v>
      </c>
      <c r="BG430" s="394">
        <v>8</v>
      </c>
      <c r="BH430" s="394">
        <v>1</v>
      </c>
      <c r="BI430" s="394">
        <v>4</v>
      </c>
      <c r="BJ430" s="394">
        <v>6</v>
      </c>
      <c r="BK430" s="394"/>
      <c r="BL430" s="444" t="s">
        <v>6981</v>
      </c>
      <c r="BM430" s="392"/>
      <c r="BN430" s="393"/>
      <c r="BO430" s="393"/>
      <c r="BP430" s="399"/>
      <c r="BQ430" s="400"/>
      <c r="BR430" s="401"/>
      <c r="BS430" s="399"/>
      <c r="BT430" s="394"/>
      <c r="BU430" s="417"/>
      <c r="BV430" s="399"/>
      <c r="BW430" s="393" t="s">
        <v>3117</v>
      </c>
      <c r="BX430" s="392" t="s">
        <v>4364</v>
      </c>
      <c r="BY430" s="393" t="s">
        <v>7224</v>
      </c>
      <c r="BZ430" s="393"/>
      <c r="CA430" s="441"/>
      <c r="CB430" s="400"/>
      <c r="CC430" s="398"/>
      <c r="CD430" s="398"/>
      <c r="CE430" s="398"/>
      <c r="CF430" s="398"/>
      <c r="CG430" s="398"/>
      <c r="CH430" s="398"/>
      <c r="CI430" s="398">
        <v>7.1859999999999999</v>
      </c>
      <c r="CJ430" s="398">
        <v>10.146000000000001</v>
      </c>
      <c r="CK430" s="398">
        <v>10.146000000000001</v>
      </c>
      <c r="CL430" s="398">
        <v>10.146000000000001</v>
      </c>
      <c r="CM430" s="398">
        <v>10.146000000000001</v>
      </c>
      <c r="CN430" s="398">
        <v>10.146000000000001</v>
      </c>
      <c r="CO430" s="398">
        <v>10.146000000000001</v>
      </c>
      <c r="CP430" s="398">
        <v>10.146000000000001</v>
      </c>
      <c r="CQ430" s="398">
        <v>10.146000000000001</v>
      </c>
      <c r="CR430" s="398">
        <v>10.146000000000001</v>
      </c>
      <c r="CS430" s="398">
        <v>2.96</v>
      </c>
      <c r="CT430" s="398"/>
      <c r="CU430" s="398"/>
      <c r="CV430" s="398"/>
      <c r="CW430" s="398"/>
      <c r="CX430" s="398"/>
      <c r="CY430" s="398"/>
      <c r="CZ430" s="398"/>
      <c r="DA430" s="398"/>
      <c r="DB430" s="398"/>
      <c r="DC430" s="398"/>
      <c r="DD430" s="398"/>
      <c r="DE430" s="393"/>
      <c r="DF430" s="393"/>
      <c r="DG430" s="393"/>
      <c r="DH430" s="393"/>
      <c r="DI430" s="393"/>
      <c r="DJ430" s="393"/>
      <c r="DK430" s="897"/>
    </row>
    <row r="431" spans="1:115" ht="25.5" x14ac:dyDescent="0.2">
      <c r="A431" s="295">
        <v>427</v>
      </c>
      <c r="B431" s="390" t="s">
        <v>5881</v>
      </c>
      <c r="C431" s="390"/>
      <c r="D431" s="391" t="s">
        <v>4792</v>
      </c>
      <c r="E431" s="704" t="s">
        <v>4793</v>
      </c>
      <c r="F431" s="393" t="s">
        <v>1352</v>
      </c>
      <c r="G431" s="393" t="s">
        <v>1671</v>
      </c>
      <c r="H431" s="393" t="s">
        <v>117</v>
      </c>
      <c r="I431" s="392"/>
      <c r="J431" s="392"/>
      <c r="K431" s="392" t="s">
        <v>4791</v>
      </c>
      <c r="L431" s="392" t="s">
        <v>197</v>
      </c>
      <c r="M431" s="392"/>
      <c r="N431" s="393" t="s">
        <v>44</v>
      </c>
      <c r="O431" s="393" t="s">
        <v>69</v>
      </c>
      <c r="P431" s="393" t="s">
        <v>69</v>
      </c>
      <c r="Q431" s="392" t="s">
        <v>172</v>
      </c>
      <c r="R431" s="392" t="s">
        <v>4685</v>
      </c>
      <c r="S431" s="428" t="s">
        <v>205</v>
      </c>
      <c r="T431" s="394">
        <v>1</v>
      </c>
      <c r="U431" s="395">
        <v>10.146000000000001</v>
      </c>
      <c r="V431" s="395"/>
      <c r="W431" s="453"/>
      <c r="X431" s="394"/>
      <c r="Y431" s="394">
        <v>10</v>
      </c>
      <c r="Z431" s="394">
        <v>20</v>
      </c>
      <c r="AA431" s="395">
        <v>0</v>
      </c>
      <c r="AB431" s="452">
        <v>41375</v>
      </c>
      <c r="AC431" s="398">
        <v>0</v>
      </c>
      <c r="AD431" s="398">
        <v>101.46000000000001</v>
      </c>
      <c r="AE431" s="393" t="s">
        <v>47</v>
      </c>
      <c r="AF431" s="417">
        <v>0</v>
      </c>
      <c r="AG431" s="417">
        <f>1.517+7.401+8.941+9.107</f>
        <v>26.966000000000001</v>
      </c>
      <c r="AH431" s="417">
        <v>26.966000000000001</v>
      </c>
      <c r="AI431" s="394">
        <v>1</v>
      </c>
      <c r="AJ431" s="495">
        <v>41929</v>
      </c>
      <c r="AK431" s="452">
        <v>42369</v>
      </c>
      <c r="AL431" s="393"/>
      <c r="AM431" s="393"/>
      <c r="AN431" s="417"/>
      <c r="AO431" s="392"/>
      <c r="AP431" s="392" t="s">
        <v>7060</v>
      </c>
      <c r="AQ431" s="392"/>
      <c r="AR431" s="392" t="s">
        <v>199</v>
      </c>
      <c r="AS431" s="480"/>
      <c r="AT431" s="453"/>
      <c r="AU431" s="453"/>
      <c r="AV431" s="453"/>
      <c r="AW431" s="453"/>
      <c r="AX431" s="453"/>
      <c r="AY431" s="453"/>
      <c r="AZ431" s="452">
        <v>41375</v>
      </c>
      <c r="BA431" s="393"/>
      <c r="BB431" s="393"/>
      <c r="BC431" s="393" t="b">
        <v>0</v>
      </c>
      <c r="BD431" s="393"/>
      <c r="BE431" s="392" t="s">
        <v>6053</v>
      </c>
      <c r="BF431" s="394">
        <v>9</v>
      </c>
      <c r="BG431" s="394">
        <v>8</v>
      </c>
      <c r="BH431" s="394">
        <v>1</v>
      </c>
      <c r="BI431" s="394">
        <v>4</v>
      </c>
      <c r="BJ431" s="394">
        <v>6</v>
      </c>
      <c r="BK431" s="394"/>
      <c r="BL431" s="444" t="s">
        <v>6981</v>
      </c>
      <c r="BM431" s="392"/>
      <c r="BN431" s="393"/>
      <c r="BO431" s="393"/>
      <c r="BP431" s="399"/>
      <c r="BQ431" s="400"/>
      <c r="BR431" s="401"/>
      <c r="BS431" s="399"/>
      <c r="BT431" s="394"/>
      <c r="BU431" s="417"/>
      <c r="BV431" s="399"/>
      <c r="BW431" s="393" t="s">
        <v>3117</v>
      </c>
      <c r="BX431" s="392" t="s">
        <v>4364</v>
      </c>
      <c r="BY431" s="393" t="s">
        <v>7224</v>
      </c>
      <c r="BZ431" s="393"/>
      <c r="CA431" s="441"/>
      <c r="CB431" s="400"/>
      <c r="CC431" s="398"/>
      <c r="CD431" s="398"/>
      <c r="CE431" s="398"/>
      <c r="CF431" s="398"/>
      <c r="CG431" s="398"/>
      <c r="CH431" s="398"/>
      <c r="CI431" s="398">
        <v>7.1859999999999999</v>
      </c>
      <c r="CJ431" s="398">
        <v>10.146000000000001</v>
      </c>
      <c r="CK431" s="398">
        <v>10.146000000000001</v>
      </c>
      <c r="CL431" s="398">
        <v>10.146000000000001</v>
      </c>
      <c r="CM431" s="398">
        <v>10.146000000000001</v>
      </c>
      <c r="CN431" s="398">
        <v>10.146000000000001</v>
      </c>
      <c r="CO431" s="398">
        <v>10.146000000000001</v>
      </c>
      <c r="CP431" s="398">
        <v>10.146000000000001</v>
      </c>
      <c r="CQ431" s="398">
        <v>10.146000000000001</v>
      </c>
      <c r="CR431" s="398">
        <v>10.146000000000001</v>
      </c>
      <c r="CS431" s="398">
        <v>2.96</v>
      </c>
      <c r="CT431" s="398"/>
      <c r="CU431" s="398"/>
      <c r="CV431" s="398"/>
      <c r="CW431" s="398"/>
      <c r="CX431" s="398"/>
      <c r="CY431" s="398"/>
      <c r="CZ431" s="398"/>
      <c r="DA431" s="398"/>
      <c r="DB431" s="398"/>
      <c r="DC431" s="398"/>
      <c r="DD431" s="398"/>
      <c r="DE431" s="393"/>
      <c r="DF431" s="393"/>
      <c r="DG431" s="393"/>
      <c r="DH431" s="393"/>
      <c r="DI431" s="393"/>
      <c r="DJ431" s="393"/>
      <c r="DK431" s="897"/>
    </row>
    <row r="432" spans="1:115" ht="25.5" x14ac:dyDescent="0.2">
      <c r="A432" s="295">
        <v>428</v>
      </c>
      <c r="B432" s="390" t="s">
        <v>5882</v>
      </c>
      <c r="C432" s="390"/>
      <c r="D432" s="391" t="s">
        <v>4794</v>
      </c>
      <c r="E432" s="704" t="s">
        <v>4795</v>
      </c>
      <c r="F432" s="393" t="s">
        <v>1352</v>
      </c>
      <c r="G432" s="393" t="s">
        <v>1671</v>
      </c>
      <c r="H432" s="393" t="s">
        <v>117</v>
      </c>
      <c r="I432" s="392"/>
      <c r="J432" s="392"/>
      <c r="K432" s="392" t="s">
        <v>4755</v>
      </c>
      <c r="L432" s="392" t="s">
        <v>197</v>
      </c>
      <c r="M432" s="392"/>
      <c r="N432" s="393" t="s">
        <v>44</v>
      </c>
      <c r="O432" s="393" t="s">
        <v>69</v>
      </c>
      <c r="P432" s="393" t="s">
        <v>69</v>
      </c>
      <c r="Q432" s="392" t="s">
        <v>172</v>
      </c>
      <c r="R432" s="392" t="s">
        <v>4685</v>
      </c>
      <c r="S432" s="428" t="s">
        <v>205</v>
      </c>
      <c r="T432" s="394">
        <v>1</v>
      </c>
      <c r="U432" s="395">
        <v>8.891</v>
      </c>
      <c r="V432" s="395"/>
      <c r="W432" s="453"/>
      <c r="X432" s="394"/>
      <c r="Y432" s="394">
        <v>10</v>
      </c>
      <c r="Z432" s="394">
        <v>20</v>
      </c>
      <c r="AA432" s="395">
        <v>0</v>
      </c>
      <c r="AB432" s="452">
        <v>41375</v>
      </c>
      <c r="AC432" s="398">
        <v>0</v>
      </c>
      <c r="AD432" s="398">
        <v>88.91</v>
      </c>
      <c r="AE432" s="393" t="s">
        <v>47</v>
      </c>
      <c r="AF432" s="417">
        <v>0</v>
      </c>
      <c r="AG432" s="417">
        <f>1.347+6.606+7.668+7.449</f>
        <v>23.07</v>
      </c>
      <c r="AH432" s="417">
        <v>23.07</v>
      </c>
      <c r="AI432" s="394">
        <v>1</v>
      </c>
      <c r="AJ432" s="495">
        <v>41929</v>
      </c>
      <c r="AK432" s="452">
        <v>42369</v>
      </c>
      <c r="AL432" s="393"/>
      <c r="AM432" s="393"/>
      <c r="AN432" s="417"/>
      <c r="AO432" s="392"/>
      <c r="AP432" s="392" t="s">
        <v>7060</v>
      </c>
      <c r="AQ432" s="392"/>
      <c r="AR432" s="392" t="s">
        <v>199</v>
      </c>
      <c r="AS432" s="480"/>
      <c r="AT432" s="453"/>
      <c r="AU432" s="453"/>
      <c r="AV432" s="453"/>
      <c r="AW432" s="453"/>
      <c r="AX432" s="453"/>
      <c r="AY432" s="453"/>
      <c r="AZ432" s="452">
        <v>41375</v>
      </c>
      <c r="BA432" s="393"/>
      <c r="BB432" s="393"/>
      <c r="BC432" s="393" t="b">
        <v>0</v>
      </c>
      <c r="BD432" s="393"/>
      <c r="BE432" s="392" t="s">
        <v>6053</v>
      </c>
      <c r="BF432" s="394">
        <v>9</v>
      </c>
      <c r="BG432" s="394">
        <v>8</v>
      </c>
      <c r="BH432" s="394">
        <v>1</v>
      </c>
      <c r="BI432" s="394">
        <v>4</v>
      </c>
      <c r="BJ432" s="394">
        <v>6</v>
      </c>
      <c r="BK432" s="394"/>
      <c r="BL432" s="444" t="s">
        <v>6981</v>
      </c>
      <c r="BM432" s="392"/>
      <c r="BN432" s="393"/>
      <c r="BO432" s="393"/>
      <c r="BP432" s="399"/>
      <c r="BQ432" s="400"/>
      <c r="BR432" s="401"/>
      <c r="BS432" s="399"/>
      <c r="BT432" s="394"/>
      <c r="BU432" s="417"/>
      <c r="BV432" s="399"/>
      <c r="BW432" s="393" t="s">
        <v>3117</v>
      </c>
      <c r="BX432" s="392" t="s">
        <v>4364</v>
      </c>
      <c r="BY432" s="393" t="s">
        <v>7224</v>
      </c>
      <c r="BZ432" s="393"/>
      <c r="CA432" s="441"/>
      <c r="CB432" s="400"/>
      <c r="CC432" s="398"/>
      <c r="CD432" s="398"/>
      <c r="CE432" s="398"/>
      <c r="CF432" s="398"/>
      <c r="CG432" s="398"/>
      <c r="CH432" s="398"/>
      <c r="CI432" s="398">
        <v>6.298</v>
      </c>
      <c r="CJ432" s="398">
        <v>8.891</v>
      </c>
      <c r="CK432" s="398">
        <v>8.891</v>
      </c>
      <c r="CL432" s="398">
        <v>8.891</v>
      </c>
      <c r="CM432" s="398">
        <v>8.891</v>
      </c>
      <c r="CN432" s="398">
        <v>8.891</v>
      </c>
      <c r="CO432" s="398">
        <v>8.891</v>
      </c>
      <c r="CP432" s="398">
        <v>8.891</v>
      </c>
      <c r="CQ432" s="398">
        <v>8.891</v>
      </c>
      <c r="CR432" s="398">
        <v>8.891</v>
      </c>
      <c r="CS432" s="398">
        <v>2.593</v>
      </c>
      <c r="CT432" s="398"/>
      <c r="CU432" s="398"/>
      <c r="CV432" s="398"/>
      <c r="CW432" s="398"/>
      <c r="CX432" s="398"/>
      <c r="CY432" s="398"/>
      <c r="CZ432" s="398"/>
      <c r="DA432" s="398"/>
      <c r="DB432" s="398"/>
      <c r="DC432" s="398"/>
      <c r="DD432" s="398"/>
      <c r="DE432" s="393"/>
      <c r="DF432" s="393"/>
      <c r="DG432" s="393"/>
      <c r="DH432" s="393"/>
      <c r="DI432" s="393"/>
      <c r="DJ432" s="393"/>
      <c r="DK432" s="897"/>
    </row>
    <row r="433" spans="1:115" ht="38.25" x14ac:dyDescent="0.2">
      <c r="A433" s="295">
        <v>429</v>
      </c>
      <c r="B433" s="390" t="s">
        <v>5883</v>
      </c>
      <c r="C433" s="390"/>
      <c r="D433" s="391" t="s">
        <v>4796</v>
      </c>
      <c r="E433" s="704" t="s">
        <v>4797</v>
      </c>
      <c r="F433" s="393" t="s">
        <v>1352</v>
      </c>
      <c r="G433" s="393" t="s">
        <v>1671</v>
      </c>
      <c r="H433" s="393" t="s">
        <v>117</v>
      </c>
      <c r="I433" s="392"/>
      <c r="J433" s="392"/>
      <c r="K433" s="392" t="s">
        <v>4798</v>
      </c>
      <c r="L433" s="392" t="s">
        <v>197</v>
      </c>
      <c r="M433" s="392"/>
      <c r="N433" s="393" t="s">
        <v>44</v>
      </c>
      <c r="O433" s="393" t="s">
        <v>69</v>
      </c>
      <c r="P433" s="393" t="s">
        <v>69</v>
      </c>
      <c r="Q433" s="392" t="s">
        <v>172</v>
      </c>
      <c r="R433" s="392" t="s">
        <v>4685</v>
      </c>
      <c r="S433" s="428" t="s">
        <v>205</v>
      </c>
      <c r="T433" s="394">
        <v>1</v>
      </c>
      <c r="U433" s="395">
        <v>10.086</v>
      </c>
      <c r="V433" s="395"/>
      <c r="W433" s="453"/>
      <c r="X433" s="394"/>
      <c r="Y433" s="394">
        <v>10</v>
      </c>
      <c r="Z433" s="394">
        <v>20</v>
      </c>
      <c r="AA433" s="395">
        <v>0</v>
      </c>
      <c r="AB433" s="452">
        <v>41375</v>
      </c>
      <c r="AC433" s="398">
        <v>0</v>
      </c>
      <c r="AD433" s="398">
        <v>100.86</v>
      </c>
      <c r="AE433" s="393" t="s">
        <v>47</v>
      </c>
      <c r="AF433" s="417">
        <v>0</v>
      </c>
      <c r="AG433" s="417">
        <f>1.509+7.533+8.748+8.789</f>
        <v>26.579000000000001</v>
      </c>
      <c r="AH433" s="417">
        <v>26.579000000000001</v>
      </c>
      <c r="AI433" s="394">
        <v>1</v>
      </c>
      <c r="AJ433" s="495">
        <v>41929</v>
      </c>
      <c r="AK433" s="452">
        <v>42369</v>
      </c>
      <c r="AL433" s="393"/>
      <c r="AM433" s="393"/>
      <c r="AN433" s="417"/>
      <c r="AO433" s="392"/>
      <c r="AP433" s="392" t="s">
        <v>7060</v>
      </c>
      <c r="AQ433" s="392"/>
      <c r="AR433" s="392" t="s">
        <v>199</v>
      </c>
      <c r="AS433" s="480"/>
      <c r="AT433" s="453"/>
      <c r="AU433" s="453"/>
      <c r="AV433" s="453"/>
      <c r="AW433" s="453"/>
      <c r="AX433" s="453"/>
      <c r="AY433" s="453"/>
      <c r="AZ433" s="452">
        <v>41375</v>
      </c>
      <c r="BA433" s="393"/>
      <c r="BB433" s="393"/>
      <c r="BC433" s="393" t="b">
        <v>0</v>
      </c>
      <c r="BD433" s="393"/>
      <c r="BE433" s="392" t="s">
        <v>6053</v>
      </c>
      <c r="BF433" s="394">
        <v>9</v>
      </c>
      <c r="BG433" s="394">
        <v>8</v>
      </c>
      <c r="BH433" s="394">
        <v>1</v>
      </c>
      <c r="BI433" s="394">
        <v>4</v>
      </c>
      <c r="BJ433" s="394">
        <v>6</v>
      </c>
      <c r="BK433" s="394"/>
      <c r="BL433" s="444" t="s">
        <v>6981</v>
      </c>
      <c r="BM433" s="392"/>
      <c r="BN433" s="393"/>
      <c r="BO433" s="393"/>
      <c r="BP433" s="399"/>
      <c r="BQ433" s="400"/>
      <c r="BR433" s="401"/>
      <c r="BS433" s="399"/>
      <c r="BT433" s="394"/>
      <c r="BU433" s="417"/>
      <c r="BV433" s="399"/>
      <c r="BW433" s="393" t="s">
        <v>3117</v>
      </c>
      <c r="BX433" s="392" t="s">
        <v>4364</v>
      </c>
      <c r="BY433" s="393" t="s">
        <v>7224</v>
      </c>
      <c r="BZ433" s="393"/>
      <c r="CA433" s="441"/>
      <c r="CB433" s="400"/>
      <c r="CC433" s="398"/>
      <c r="CD433" s="398"/>
      <c r="CE433" s="398"/>
      <c r="CF433" s="398"/>
      <c r="CG433" s="398"/>
      <c r="CH433" s="398"/>
      <c r="CI433" s="398">
        <v>7.1440000000000001</v>
      </c>
      <c r="CJ433" s="398">
        <v>10.086</v>
      </c>
      <c r="CK433" s="398">
        <v>10.086</v>
      </c>
      <c r="CL433" s="398">
        <v>10.086</v>
      </c>
      <c r="CM433" s="398">
        <v>10.086</v>
      </c>
      <c r="CN433" s="398">
        <v>10.086</v>
      </c>
      <c r="CO433" s="398">
        <v>10.086</v>
      </c>
      <c r="CP433" s="398">
        <v>10.086</v>
      </c>
      <c r="CQ433" s="398">
        <v>10.086</v>
      </c>
      <c r="CR433" s="398">
        <v>10.086</v>
      </c>
      <c r="CS433" s="398">
        <v>2.9420000000000002</v>
      </c>
      <c r="CT433" s="398"/>
      <c r="CU433" s="398"/>
      <c r="CV433" s="398"/>
      <c r="CW433" s="398"/>
      <c r="CX433" s="398"/>
      <c r="CY433" s="398"/>
      <c r="CZ433" s="398"/>
      <c r="DA433" s="398"/>
      <c r="DB433" s="398"/>
      <c r="DC433" s="398"/>
      <c r="DD433" s="398"/>
      <c r="DE433" s="393"/>
      <c r="DF433" s="393"/>
      <c r="DG433" s="393"/>
      <c r="DH433" s="393"/>
      <c r="DI433" s="393"/>
      <c r="DJ433" s="393"/>
      <c r="DK433" s="897"/>
    </row>
    <row r="434" spans="1:115" ht="25.5" x14ac:dyDescent="0.2">
      <c r="A434" s="295">
        <v>430</v>
      </c>
      <c r="B434" s="390" t="s">
        <v>5944</v>
      </c>
      <c r="C434" s="390"/>
      <c r="D434" s="391" t="s">
        <v>5945</v>
      </c>
      <c r="E434" s="704" t="s">
        <v>5946</v>
      </c>
      <c r="F434" s="393" t="s">
        <v>1352</v>
      </c>
      <c r="G434" s="393" t="s">
        <v>1671</v>
      </c>
      <c r="H434" s="393" t="s">
        <v>117</v>
      </c>
      <c r="I434" s="392"/>
      <c r="J434" s="392"/>
      <c r="K434" s="392" t="s">
        <v>4791</v>
      </c>
      <c r="L434" s="392" t="s">
        <v>197</v>
      </c>
      <c r="M434" s="392"/>
      <c r="N434" s="393" t="s">
        <v>44</v>
      </c>
      <c r="O434" s="393" t="s">
        <v>69</v>
      </c>
      <c r="P434" s="393" t="s">
        <v>69</v>
      </c>
      <c r="Q434" s="392" t="s">
        <v>172</v>
      </c>
      <c r="R434" s="392" t="s">
        <v>4685</v>
      </c>
      <c r="S434" s="428" t="s">
        <v>205</v>
      </c>
      <c r="T434" s="394">
        <v>1</v>
      </c>
      <c r="U434" s="395">
        <v>10.244</v>
      </c>
      <c r="V434" s="395"/>
      <c r="W434" s="453"/>
      <c r="X434" s="394"/>
      <c r="Y434" s="394">
        <v>10</v>
      </c>
      <c r="Z434" s="394">
        <v>20</v>
      </c>
      <c r="AA434" s="395">
        <v>0</v>
      </c>
      <c r="AB434" s="452">
        <v>41671</v>
      </c>
      <c r="AC434" s="398">
        <v>0</v>
      </c>
      <c r="AD434" s="398">
        <v>102.44</v>
      </c>
      <c r="AE434" s="393" t="s">
        <v>47</v>
      </c>
      <c r="AF434" s="417"/>
      <c r="AG434" s="417">
        <f>8.268+9.107</f>
        <v>17.375</v>
      </c>
      <c r="AH434" s="417">
        <v>17.375</v>
      </c>
      <c r="AI434" s="394"/>
      <c r="AJ434" s="453">
        <v>43200</v>
      </c>
      <c r="AK434" s="452">
        <v>42369</v>
      </c>
      <c r="AL434" s="393"/>
      <c r="AM434" s="393"/>
      <c r="AN434" s="417"/>
      <c r="AO434" s="392"/>
      <c r="AP434" s="392" t="s">
        <v>7060</v>
      </c>
      <c r="AQ434" s="392"/>
      <c r="AR434" s="392" t="s">
        <v>199</v>
      </c>
      <c r="AS434" s="480"/>
      <c r="AT434" s="453"/>
      <c r="AU434" s="453"/>
      <c r="AV434" s="453"/>
      <c r="AW434" s="453"/>
      <c r="AX434" s="453"/>
      <c r="AY434" s="453"/>
      <c r="AZ434" s="452">
        <v>41722</v>
      </c>
      <c r="BA434" s="393"/>
      <c r="BB434" s="393"/>
      <c r="BC434" s="393" t="b">
        <v>0</v>
      </c>
      <c r="BD434" s="393"/>
      <c r="BE434" s="392"/>
      <c r="BF434" s="394">
        <v>9</v>
      </c>
      <c r="BG434" s="394">
        <v>8</v>
      </c>
      <c r="BH434" s="394">
        <v>1</v>
      </c>
      <c r="BI434" s="394">
        <v>4</v>
      </c>
      <c r="BJ434" s="394">
        <v>6</v>
      </c>
      <c r="BK434" s="394"/>
      <c r="BL434" s="444" t="s">
        <v>6981</v>
      </c>
      <c r="BM434" s="392"/>
      <c r="BN434" s="393"/>
      <c r="BO434" s="393"/>
      <c r="BP434" s="399"/>
      <c r="BQ434" s="400"/>
      <c r="BR434" s="401"/>
      <c r="BS434" s="399"/>
      <c r="BT434" s="394"/>
      <c r="BU434" s="417"/>
      <c r="BV434" s="399"/>
      <c r="BW434" s="393" t="s">
        <v>3117</v>
      </c>
      <c r="BX434" s="392" t="s">
        <v>4364</v>
      </c>
      <c r="BY434" s="393" t="s">
        <v>7224</v>
      </c>
      <c r="BZ434" s="393"/>
      <c r="CA434" s="441"/>
      <c r="CB434" s="400"/>
      <c r="CC434" s="398"/>
      <c r="CD434" s="398"/>
      <c r="CE434" s="398"/>
      <c r="CF434" s="398"/>
      <c r="CG434" s="398"/>
      <c r="CH434" s="398"/>
      <c r="CI434" s="398"/>
      <c r="CJ434" s="398">
        <v>10.244</v>
      </c>
      <c r="CK434" s="398">
        <v>10.244</v>
      </c>
      <c r="CL434" s="398">
        <v>10.244</v>
      </c>
      <c r="CM434" s="398">
        <v>10.244</v>
      </c>
      <c r="CN434" s="398">
        <v>10.244</v>
      </c>
      <c r="CO434" s="398">
        <v>10.244</v>
      </c>
      <c r="CP434" s="398">
        <v>10.244</v>
      </c>
      <c r="CQ434" s="398">
        <v>10.244</v>
      </c>
      <c r="CR434" s="398">
        <v>10.244</v>
      </c>
      <c r="CS434" s="398">
        <v>10.244</v>
      </c>
      <c r="CT434" s="398"/>
      <c r="CU434" s="398"/>
      <c r="CV434" s="398"/>
      <c r="CW434" s="398"/>
      <c r="CX434" s="398"/>
      <c r="CY434" s="398"/>
      <c r="CZ434" s="398"/>
      <c r="DA434" s="398"/>
      <c r="DB434" s="398"/>
      <c r="DC434" s="398"/>
      <c r="DD434" s="398"/>
      <c r="DE434" s="393"/>
      <c r="DF434" s="393"/>
      <c r="DG434" s="393"/>
      <c r="DH434" s="393"/>
      <c r="DI434" s="393"/>
      <c r="DJ434" s="393"/>
      <c r="DK434" s="897"/>
    </row>
    <row r="435" spans="1:115" ht="25.5" x14ac:dyDescent="0.2">
      <c r="A435" s="295">
        <v>431</v>
      </c>
      <c r="B435" s="390" t="s">
        <v>5947</v>
      </c>
      <c r="C435" s="390"/>
      <c r="D435" s="391" t="s">
        <v>5948</v>
      </c>
      <c r="E435" s="704" t="s">
        <v>5949</v>
      </c>
      <c r="F435" s="393" t="s">
        <v>1352</v>
      </c>
      <c r="G435" s="393" t="s">
        <v>1671</v>
      </c>
      <c r="H435" s="393" t="s">
        <v>117</v>
      </c>
      <c r="I435" s="392"/>
      <c r="J435" s="392"/>
      <c r="K435" s="392" t="s">
        <v>4704</v>
      </c>
      <c r="L435" s="392" t="s">
        <v>197</v>
      </c>
      <c r="M435" s="392"/>
      <c r="N435" s="393" t="s">
        <v>44</v>
      </c>
      <c r="O435" s="393" t="s">
        <v>69</v>
      </c>
      <c r="P435" s="393" t="s">
        <v>69</v>
      </c>
      <c r="Q435" s="392" t="s">
        <v>172</v>
      </c>
      <c r="R435" s="392" t="s">
        <v>4685</v>
      </c>
      <c r="S435" s="428" t="s">
        <v>205</v>
      </c>
      <c r="T435" s="394">
        <v>1</v>
      </c>
      <c r="U435" s="395">
        <v>10.244</v>
      </c>
      <c r="V435" s="395"/>
      <c r="W435" s="453"/>
      <c r="X435" s="394"/>
      <c r="Y435" s="394">
        <v>10</v>
      </c>
      <c r="Z435" s="394">
        <v>20</v>
      </c>
      <c r="AA435" s="395">
        <v>0</v>
      </c>
      <c r="AB435" s="452">
        <v>41671</v>
      </c>
      <c r="AC435" s="398">
        <v>0</v>
      </c>
      <c r="AD435" s="398">
        <v>102.44</v>
      </c>
      <c r="AE435" s="393" t="s">
        <v>47</v>
      </c>
      <c r="AF435" s="417"/>
      <c r="AG435" s="417">
        <f t="shared" ref="AG435:AG443" si="3">7.966+8.712</f>
        <v>16.678000000000001</v>
      </c>
      <c r="AH435" s="417">
        <v>16.678000000000001</v>
      </c>
      <c r="AI435" s="394"/>
      <c r="AJ435" s="453">
        <v>43200</v>
      </c>
      <c r="AK435" s="452">
        <v>42369</v>
      </c>
      <c r="AL435" s="393"/>
      <c r="AM435" s="393"/>
      <c r="AN435" s="417"/>
      <c r="AO435" s="392"/>
      <c r="AP435" s="392" t="s">
        <v>7060</v>
      </c>
      <c r="AQ435" s="392"/>
      <c r="AR435" s="392" t="s">
        <v>199</v>
      </c>
      <c r="AS435" s="480"/>
      <c r="AT435" s="453"/>
      <c r="AU435" s="453"/>
      <c r="AV435" s="453"/>
      <c r="AW435" s="453"/>
      <c r="AX435" s="453"/>
      <c r="AY435" s="453"/>
      <c r="AZ435" s="452">
        <v>41722</v>
      </c>
      <c r="BA435" s="393"/>
      <c r="BB435" s="393"/>
      <c r="BC435" s="393" t="b">
        <v>0</v>
      </c>
      <c r="BD435" s="393"/>
      <c r="BE435" s="392"/>
      <c r="BF435" s="394">
        <v>9</v>
      </c>
      <c r="BG435" s="394">
        <v>8</v>
      </c>
      <c r="BH435" s="394">
        <v>1</v>
      </c>
      <c r="BI435" s="394">
        <v>4</v>
      </c>
      <c r="BJ435" s="394">
        <v>6</v>
      </c>
      <c r="BK435" s="394"/>
      <c r="BL435" s="444" t="s">
        <v>6981</v>
      </c>
      <c r="BM435" s="392"/>
      <c r="BN435" s="393"/>
      <c r="BO435" s="393"/>
      <c r="BP435" s="399"/>
      <c r="BQ435" s="400"/>
      <c r="BR435" s="401"/>
      <c r="BS435" s="399"/>
      <c r="BT435" s="394"/>
      <c r="BU435" s="417"/>
      <c r="BV435" s="399"/>
      <c r="BW435" s="393" t="s">
        <v>3117</v>
      </c>
      <c r="BX435" s="392" t="s">
        <v>4364</v>
      </c>
      <c r="BY435" s="393" t="s">
        <v>7224</v>
      </c>
      <c r="BZ435" s="393"/>
      <c r="CA435" s="441"/>
      <c r="CB435" s="400"/>
      <c r="CC435" s="398"/>
      <c r="CD435" s="398"/>
      <c r="CE435" s="398"/>
      <c r="CF435" s="398"/>
      <c r="CG435" s="398"/>
      <c r="CH435" s="398"/>
      <c r="CI435" s="398"/>
      <c r="CJ435" s="398">
        <v>10.244</v>
      </c>
      <c r="CK435" s="398">
        <v>10.244</v>
      </c>
      <c r="CL435" s="398">
        <v>10.244</v>
      </c>
      <c r="CM435" s="398">
        <v>10.244</v>
      </c>
      <c r="CN435" s="398">
        <v>10.244</v>
      </c>
      <c r="CO435" s="398">
        <v>10.244</v>
      </c>
      <c r="CP435" s="398">
        <v>10.244</v>
      </c>
      <c r="CQ435" s="398">
        <v>10.244</v>
      </c>
      <c r="CR435" s="398">
        <v>10.244</v>
      </c>
      <c r="CS435" s="398">
        <v>10.244</v>
      </c>
      <c r="CT435" s="398"/>
      <c r="CU435" s="398"/>
      <c r="CV435" s="398"/>
      <c r="CW435" s="398"/>
      <c r="CX435" s="398"/>
      <c r="CY435" s="398"/>
      <c r="CZ435" s="398"/>
      <c r="DA435" s="398"/>
      <c r="DB435" s="398"/>
      <c r="DC435" s="398"/>
      <c r="DD435" s="398"/>
      <c r="DE435" s="393"/>
      <c r="DF435" s="393"/>
      <c r="DG435" s="393"/>
      <c r="DH435" s="393"/>
      <c r="DI435" s="393"/>
      <c r="DJ435" s="393"/>
      <c r="DK435" s="897"/>
    </row>
    <row r="436" spans="1:115" ht="25.5" x14ac:dyDescent="0.2">
      <c r="A436" s="295">
        <v>432</v>
      </c>
      <c r="B436" s="390" t="s">
        <v>5950</v>
      </c>
      <c r="C436" s="390"/>
      <c r="D436" s="391" t="s">
        <v>5951</v>
      </c>
      <c r="E436" s="704" t="s">
        <v>5952</v>
      </c>
      <c r="F436" s="393" t="s">
        <v>1352</v>
      </c>
      <c r="G436" s="393" t="s">
        <v>1671</v>
      </c>
      <c r="H436" s="393" t="s">
        <v>117</v>
      </c>
      <c r="I436" s="392"/>
      <c r="J436" s="392"/>
      <c r="K436" s="392" t="s">
        <v>4704</v>
      </c>
      <c r="L436" s="392" t="s">
        <v>197</v>
      </c>
      <c r="M436" s="392"/>
      <c r="N436" s="393" t="s">
        <v>44</v>
      </c>
      <c r="O436" s="393" t="s">
        <v>69</v>
      </c>
      <c r="P436" s="393" t="s">
        <v>69</v>
      </c>
      <c r="Q436" s="392" t="s">
        <v>172</v>
      </c>
      <c r="R436" s="392" t="s">
        <v>4685</v>
      </c>
      <c r="S436" s="428" t="s">
        <v>205</v>
      </c>
      <c r="T436" s="394">
        <v>1</v>
      </c>
      <c r="U436" s="395">
        <v>10.244</v>
      </c>
      <c r="V436" s="395"/>
      <c r="W436" s="453"/>
      <c r="X436" s="394"/>
      <c r="Y436" s="394">
        <v>10</v>
      </c>
      <c r="Z436" s="394">
        <v>20</v>
      </c>
      <c r="AA436" s="395">
        <v>0</v>
      </c>
      <c r="AB436" s="452">
        <v>41671</v>
      </c>
      <c r="AC436" s="398">
        <v>0</v>
      </c>
      <c r="AD436" s="398">
        <v>102.44</v>
      </c>
      <c r="AE436" s="393" t="s">
        <v>47</v>
      </c>
      <c r="AF436" s="417"/>
      <c r="AG436" s="417">
        <f t="shared" si="3"/>
        <v>16.678000000000001</v>
      </c>
      <c r="AH436" s="417">
        <v>16.678000000000001</v>
      </c>
      <c r="AI436" s="394"/>
      <c r="AJ436" s="453">
        <v>43200</v>
      </c>
      <c r="AK436" s="452">
        <v>42369</v>
      </c>
      <c r="AL436" s="393"/>
      <c r="AM436" s="393"/>
      <c r="AN436" s="417"/>
      <c r="AO436" s="392"/>
      <c r="AP436" s="392" t="s">
        <v>7060</v>
      </c>
      <c r="AQ436" s="392"/>
      <c r="AR436" s="392" t="s">
        <v>199</v>
      </c>
      <c r="AS436" s="480"/>
      <c r="AT436" s="453"/>
      <c r="AU436" s="453"/>
      <c r="AV436" s="453"/>
      <c r="AW436" s="453"/>
      <c r="AX436" s="453"/>
      <c r="AY436" s="453"/>
      <c r="AZ436" s="452">
        <v>41722</v>
      </c>
      <c r="BA436" s="393"/>
      <c r="BB436" s="393"/>
      <c r="BC436" s="393" t="b">
        <v>0</v>
      </c>
      <c r="BD436" s="393"/>
      <c r="BE436" s="392"/>
      <c r="BF436" s="394">
        <v>9</v>
      </c>
      <c r="BG436" s="394">
        <v>8</v>
      </c>
      <c r="BH436" s="394">
        <v>1</v>
      </c>
      <c r="BI436" s="394">
        <v>4</v>
      </c>
      <c r="BJ436" s="394">
        <v>6</v>
      </c>
      <c r="BK436" s="394"/>
      <c r="BL436" s="444" t="s">
        <v>6981</v>
      </c>
      <c r="BM436" s="392"/>
      <c r="BN436" s="393"/>
      <c r="BO436" s="393"/>
      <c r="BP436" s="399"/>
      <c r="BQ436" s="400"/>
      <c r="BR436" s="401"/>
      <c r="BS436" s="399"/>
      <c r="BT436" s="394"/>
      <c r="BU436" s="417"/>
      <c r="BV436" s="399"/>
      <c r="BW436" s="393" t="s">
        <v>3117</v>
      </c>
      <c r="BX436" s="392" t="s">
        <v>4364</v>
      </c>
      <c r="BY436" s="393" t="s">
        <v>7224</v>
      </c>
      <c r="BZ436" s="393"/>
      <c r="CA436" s="441"/>
      <c r="CB436" s="400"/>
      <c r="CC436" s="398"/>
      <c r="CD436" s="398"/>
      <c r="CE436" s="398"/>
      <c r="CF436" s="398"/>
      <c r="CG436" s="398"/>
      <c r="CH436" s="398"/>
      <c r="CI436" s="398"/>
      <c r="CJ436" s="398">
        <v>10.244</v>
      </c>
      <c r="CK436" s="398">
        <v>10.244</v>
      </c>
      <c r="CL436" s="398">
        <v>10.244</v>
      </c>
      <c r="CM436" s="398">
        <v>10.244</v>
      </c>
      <c r="CN436" s="398">
        <v>10.244</v>
      </c>
      <c r="CO436" s="398">
        <v>10.244</v>
      </c>
      <c r="CP436" s="398">
        <v>10.244</v>
      </c>
      <c r="CQ436" s="398">
        <v>10.244</v>
      </c>
      <c r="CR436" s="398">
        <v>10.244</v>
      </c>
      <c r="CS436" s="398">
        <v>10.244</v>
      </c>
      <c r="CT436" s="398"/>
      <c r="CU436" s="398"/>
      <c r="CV436" s="398"/>
      <c r="CW436" s="398"/>
      <c r="CX436" s="398"/>
      <c r="CY436" s="398"/>
      <c r="CZ436" s="398"/>
      <c r="DA436" s="398"/>
      <c r="DB436" s="398"/>
      <c r="DC436" s="398"/>
      <c r="DD436" s="398"/>
      <c r="DE436" s="393"/>
      <c r="DF436" s="393"/>
      <c r="DG436" s="393"/>
      <c r="DH436" s="393"/>
      <c r="DI436" s="393"/>
      <c r="DJ436" s="393"/>
      <c r="DK436" s="897"/>
    </row>
    <row r="437" spans="1:115" ht="25.5" x14ac:dyDescent="0.2">
      <c r="A437" s="295">
        <v>433</v>
      </c>
      <c r="B437" s="390" t="s">
        <v>5953</v>
      </c>
      <c r="C437" s="390"/>
      <c r="D437" s="391" t="s">
        <v>5954</v>
      </c>
      <c r="E437" s="704" t="s">
        <v>5955</v>
      </c>
      <c r="F437" s="393" t="s">
        <v>1352</v>
      </c>
      <c r="G437" s="393" t="s">
        <v>1671</v>
      </c>
      <c r="H437" s="393" t="s">
        <v>117</v>
      </c>
      <c r="I437" s="392"/>
      <c r="J437" s="392"/>
      <c r="K437" s="392" t="s">
        <v>4704</v>
      </c>
      <c r="L437" s="392" t="s">
        <v>197</v>
      </c>
      <c r="M437" s="392"/>
      <c r="N437" s="393" t="s">
        <v>44</v>
      </c>
      <c r="O437" s="393" t="s">
        <v>69</v>
      </c>
      <c r="P437" s="393" t="s">
        <v>69</v>
      </c>
      <c r="Q437" s="392" t="s">
        <v>172</v>
      </c>
      <c r="R437" s="392" t="s">
        <v>4685</v>
      </c>
      <c r="S437" s="428" t="s">
        <v>205</v>
      </c>
      <c r="T437" s="394">
        <v>1</v>
      </c>
      <c r="U437" s="395">
        <v>10.244</v>
      </c>
      <c r="V437" s="395"/>
      <c r="W437" s="453"/>
      <c r="X437" s="394"/>
      <c r="Y437" s="394">
        <v>10</v>
      </c>
      <c r="Z437" s="394">
        <v>20</v>
      </c>
      <c r="AA437" s="395">
        <v>0</v>
      </c>
      <c r="AB437" s="452">
        <v>41671</v>
      </c>
      <c r="AC437" s="398">
        <v>0</v>
      </c>
      <c r="AD437" s="398">
        <v>102.44</v>
      </c>
      <c r="AE437" s="393" t="s">
        <v>47</v>
      </c>
      <c r="AF437" s="417"/>
      <c r="AG437" s="417">
        <f t="shared" si="3"/>
        <v>16.678000000000001</v>
      </c>
      <c r="AH437" s="417">
        <v>16.678000000000001</v>
      </c>
      <c r="AI437" s="394"/>
      <c r="AJ437" s="453">
        <v>43200</v>
      </c>
      <c r="AK437" s="452">
        <v>42369</v>
      </c>
      <c r="AL437" s="393"/>
      <c r="AM437" s="393"/>
      <c r="AN437" s="417"/>
      <c r="AO437" s="392"/>
      <c r="AP437" s="392" t="s">
        <v>7060</v>
      </c>
      <c r="AQ437" s="392"/>
      <c r="AR437" s="392" t="s">
        <v>199</v>
      </c>
      <c r="AS437" s="480"/>
      <c r="AT437" s="453"/>
      <c r="AU437" s="453"/>
      <c r="AV437" s="453"/>
      <c r="AW437" s="453"/>
      <c r="AX437" s="453"/>
      <c r="AY437" s="453"/>
      <c r="AZ437" s="452">
        <v>41722</v>
      </c>
      <c r="BA437" s="393"/>
      <c r="BB437" s="393"/>
      <c r="BC437" s="393" t="b">
        <v>0</v>
      </c>
      <c r="BD437" s="393"/>
      <c r="BE437" s="392"/>
      <c r="BF437" s="394">
        <v>9</v>
      </c>
      <c r="BG437" s="394">
        <v>8</v>
      </c>
      <c r="BH437" s="394">
        <v>1</v>
      </c>
      <c r="BI437" s="394">
        <v>4</v>
      </c>
      <c r="BJ437" s="394">
        <v>6</v>
      </c>
      <c r="BK437" s="394"/>
      <c r="BL437" s="444" t="s">
        <v>6981</v>
      </c>
      <c r="BM437" s="392"/>
      <c r="BN437" s="393"/>
      <c r="BO437" s="393"/>
      <c r="BP437" s="399"/>
      <c r="BQ437" s="400"/>
      <c r="BR437" s="401"/>
      <c r="BS437" s="399"/>
      <c r="BT437" s="394"/>
      <c r="BU437" s="417"/>
      <c r="BV437" s="399"/>
      <c r="BW437" s="393" t="s">
        <v>3117</v>
      </c>
      <c r="BX437" s="392" t="s">
        <v>4364</v>
      </c>
      <c r="BY437" s="393" t="s">
        <v>7224</v>
      </c>
      <c r="BZ437" s="393"/>
      <c r="CA437" s="441"/>
      <c r="CB437" s="400"/>
      <c r="CC437" s="398"/>
      <c r="CD437" s="398"/>
      <c r="CE437" s="398"/>
      <c r="CF437" s="398"/>
      <c r="CG437" s="398"/>
      <c r="CH437" s="398"/>
      <c r="CI437" s="398"/>
      <c r="CJ437" s="398">
        <v>10.244</v>
      </c>
      <c r="CK437" s="398">
        <v>10.244</v>
      </c>
      <c r="CL437" s="398">
        <v>10.244</v>
      </c>
      <c r="CM437" s="398">
        <v>10.244</v>
      </c>
      <c r="CN437" s="398">
        <v>10.244</v>
      </c>
      <c r="CO437" s="398">
        <v>10.244</v>
      </c>
      <c r="CP437" s="398">
        <v>10.244</v>
      </c>
      <c r="CQ437" s="398">
        <v>10.244</v>
      </c>
      <c r="CR437" s="398">
        <v>10.244</v>
      </c>
      <c r="CS437" s="398">
        <v>10.244</v>
      </c>
      <c r="CT437" s="398"/>
      <c r="CU437" s="398"/>
      <c r="CV437" s="398"/>
      <c r="CW437" s="398"/>
      <c r="CX437" s="398"/>
      <c r="CY437" s="398"/>
      <c r="CZ437" s="398"/>
      <c r="DA437" s="398"/>
      <c r="DB437" s="398"/>
      <c r="DC437" s="398"/>
      <c r="DD437" s="398"/>
      <c r="DE437" s="393"/>
      <c r="DF437" s="393"/>
      <c r="DG437" s="393"/>
      <c r="DH437" s="393"/>
      <c r="DI437" s="393"/>
      <c r="DJ437" s="393"/>
      <c r="DK437" s="897"/>
    </row>
    <row r="438" spans="1:115" ht="25.5" x14ac:dyDescent="0.2">
      <c r="A438" s="295">
        <v>434</v>
      </c>
      <c r="B438" s="390" t="s">
        <v>5956</v>
      </c>
      <c r="C438" s="390"/>
      <c r="D438" s="391" t="s">
        <v>5957</v>
      </c>
      <c r="E438" s="704" t="s">
        <v>5958</v>
      </c>
      <c r="F438" s="393" t="s">
        <v>1352</v>
      </c>
      <c r="G438" s="393" t="s">
        <v>1671</v>
      </c>
      <c r="H438" s="393" t="s">
        <v>117</v>
      </c>
      <c r="I438" s="392"/>
      <c r="J438" s="392"/>
      <c r="K438" s="392" t="s">
        <v>4704</v>
      </c>
      <c r="L438" s="392" t="s">
        <v>197</v>
      </c>
      <c r="M438" s="392"/>
      <c r="N438" s="393" t="s">
        <v>44</v>
      </c>
      <c r="O438" s="393" t="s">
        <v>69</v>
      </c>
      <c r="P438" s="393" t="s">
        <v>69</v>
      </c>
      <c r="Q438" s="392" t="s">
        <v>172</v>
      </c>
      <c r="R438" s="392" t="s">
        <v>4685</v>
      </c>
      <c r="S438" s="428" t="s">
        <v>205</v>
      </c>
      <c r="T438" s="394">
        <v>1</v>
      </c>
      <c r="U438" s="395">
        <v>10.244</v>
      </c>
      <c r="V438" s="395"/>
      <c r="W438" s="453"/>
      <c r="X438" s="394"/>
      <c r="Y438" s="394">
        <v>10</v>
      </c>
      <c r="Z438" s="394">
        <v>20</v>
      </c>
      <c r="AA438" s="395">
        <v>0</v>
      </c>
      <c r="AB438" s="452">
        <v>41671</v>
      </c>
      <c r="AC438" s="398">
        <v>0</v>
      </c>
      <c r="AD438" s="398">
        <v>102.44</v>
      </c>
      <c r="AE438" s="393" t="s">
        <v>47</v>
      </c>
      <c r="AF438" s="417"/>
      <c r="AG438" s="417">
        <f t="shared" si="3"/>
        <v>16.678000000000001</v>
      </c>
      <c r="AH438" s="417">
        <v>16.678000000000001</v>
      </c>
      <c r="AI438" s="394"/>
      <c r="AJ438" s="453">
        <v>43200</v>
      </c>
      <c r="AK438" s="452">
        <v>42369</v>
      </c>
      <c r="AL438" s="393"/>
      <c r="AM438" s="393"/>
      <c r="AN438" s="417"/>
      <c r="AO438" s="392"/>
      <c r="AP438" s="392" t="s">
        <v>7060</v>
      </c>
      <c r="AQ438" s="392"/>
      <c r="AR438" s="392" t="s">
        <v>199</v>
      </c>
      <c r="AS438" s="480"/>
      <c r="AT438" s="453"/>
      <c r="AU438" s="453"/>
      <c r="AV438" s="453"/>
      <c r="AW438" s="453"/>
      <c r="AX438" s="453"/>
      <c r="AY438" s="453"/>
      <c r="AZ438" s="452">
        <v>41722</v>
      </c>
      <c r="BA438" s="393"/>
      <c r="BB438" s="393"/>
      <c r="BC438" s="393" t="b">
        <v>0</v>
      </c>
      <c r="BD438" s="393"/>
      <c r="BE438" s="392"/>
      <c r="BF438" s="394">
        <v>9</v>
      </c>
      <c r="BG438" s="394">
        <v>8</v>
      </c>
      <c r="BH438" s="394">
        <v>1</v>
      </c>
      <c r="BI438" s="394">
        <v>4</v>
      </c>
      <c r="BJ438" s="394">
        <v>6</v>
      </c>
      <c r="BK438" s="394"/>
      <c r="BL438" s="444" t="s">
        <v>6981</v>
      </c>
      <c r="BM438" s="392"/>
      <c r="BN438" s="393"/>
      <c r="BO438" s="393"/>
      <c r="BP438" s="399"/>
      <c r="BQ438" s="400"/>
      <c r="BR438" s="401"/>
      <c r="BS438" s="399"/>
      <c r="BT438" s="394"/>
      <c r="BU438" s="417"/>
      <c r="BV438" s="399"/>
      <c r="BW438" s="393" t="s">
        <v>3117</v>
      </c>
      <c r="BX438" s="392" t="s">
        <v>4364</v>
      </c>
      <c r="BY438" s="393" t="s">
        <v>7224</v>
      </c>
      <c r="BZ438" s="393"/>
      <c r="CA438" s="441"/>
      <c r="CB438" s="400"/>
      <c r="CC438" s="398"/>
      <c r="CD438" s="398"/>
      <c r="CE438" s="398"/>
      <c r="CF438" s="398"/>
      <c r="CG438" s="398"/>
      <c r="CH438" s="398"/>
      <c r="CI438" s="398"/>
      <c r="CJ438" s="398">
        <v>10.244</v>
      </c>
      <c r="CK438" s="398">
        <v>10.244</v>
      </c>
      <c r="CL438" s="398">
        <v>10.244</v>
      </c>
      <c r="CM438" s="398">
        <v>10.244</v>
      </c>
      <c r="CN438" s="398">
        <v>10.244</v>
      </c>
      <c r="CO438" s="398">
        <v>10.244</v>
      </c>
      <c r="CP438" s="398">
        <v>10.244</v>
      </c>
      <c r="CQ438" s="398">
        <v>10.244</v>
      </c>
      <c r="CR438" s="398">
        <v>10.244</v>
      </c>
      <c r="CS438" s="398">
        <v>10.244</v>
      </c>
      <c r="CT438" s="398"/>
      <c r="CU438" s="398"/>
      <c r="CV438" s="398"/>
      <c r="CW438" s="398"/>
      <c r="CX438" s="398"/>
      <c r="CY438" s="398"/>
      <c r="CZ438" s="398"/>
      <c r="DA438" s="398"/>
      <c r="DB438" s="398"/>
      <c r="DC438" s="398"/>
      <c r="DD438" s="398"/>
      <c r="DE438" s="393"/>
      <c r="DF438" s="393"/>
      <c r="DG438" s="393"/>
      <c r="DH438" s="393"/>
      <c r="DI438" s="393"/>
      <c r="DJ438" s="393"/>
      <c r="DK438" s="897"/>
    </row>
    <row r="439" spans="1:115" ht="25.5" x14ac:dyDescent="0.2">
      <c r="A439" s="295">
        <v>435</v>
      </c>
      <c r="B439" s="390" t="s">
        <v>5959</v>
      </c>
      <c r="C439" s="390"/>
      <c r="D439" s="391" t="s">
        <v>5960</v>
      </c>
      <c r="E439" s="704" t="s">
        <v>5961</v>
      </c>
      <c r="F439" s="393" t="s">
        <v>1352</v>
      </c>
      <c r="G439" s="393" t="s">
        <v>1671</v>
      </c>
      <c r="H439" s="393" t="s">
        <v>117</v>
      </c>
      <c r="I439" s="392"/>
      <c r="J439" s="392"/>
      <c r="K439" s="392" t="s">
        <v>4704</v>
      </c>
      <c r="L439" s="392" t="s">
        <v>197</v>
      </c>
      <c r="M439" s="392"/>
      <c r="N439" s="393" t="s">
        <v>44</v>
      </c>
      <c r="O439" s="393" t="s">
        <v>69</v>
      </c>
      <c r="P439" s="393" t="s">
        <v>69</v>
      </c>
      <c r="Q439" s="392" t="s">
        <v>172</v>
      </c>
      <c r="R439" s="392" t="s">
        <v>4685</v>
      </c>
      <c r="S439" s="428" t="s">
        <v>205</v>
      </c>
      <c r="T439" s="394">
        <v>1</v>
      </c>
      <c r="U439" s="395">
        <v>10.244</v>
      </c>
      <c r="V439" s="395"/>
      <c r="W439" s="453"/>
      <c r="X439" s="394"/>
      <c r="Y439" s="394">
        <v>10</v>
      </c>
      <c r="Z439" s="394">
        <v>20</v>
      </c>
      <c r="AA439" s="395">
        <v>0</v>
      </c>
      <c r="AB439" s="452">
        <v>41671</v>
      </c>
      <c r="AC439" s="398">
        <v>0</v>
      </c>
      <c r="AD439" s="398">
        <v>102.44</v>
      </c>
      <c r="AE439" s="393" t="s">
        <v>47</v>
      </c>
      <c r="AF439" s="417"/>
      <c r="AG439" s="417">
        <f t="shared" si="3"/>
        <v>16.678000000000001</v>
      </c>
      <c r="AH439" s="417">
        <v>16.678000000000001</v>
      </c>
      <c r="AI439" s="394"/>
      <c r="AJ439" s="453">
        <v>43200</v>
      </c>
      <c r="AK439" s="452">
        <v>42369</v>
      </c>
      <c r="AL439" s="393"/>
      <c r="AM439" s="393"/>
      <c r="AN439" s="417"/>
      <c r="AO439" s="392"/>
      <c r="AP439" s="392" t="s">
        <v>7060</v>
      </c>
      <c r="AQ439" s="392"/>
      <c r="AR439" s="392" t="s">
        <v>199</v>
      </c>
      <c r="AS439" s="480"/>
      <c r="AT439" s="453"/>
      <c r="AU439" s="453"/>
      <c r="AV439" s="453"/>
      <c r="AW439" s="453"/>
      <c r="AX439" s="453"/>
      <c r="AY439" s="453"/>
      <c r="AZ439" s="452">
        <v>41722</v>
      </c>
      <c r="BA439" s="393"/>
      <c r="BB439" s="393"/>
      <c r="BC439" s="393" t="b">
        <v>0</v>
      </c>
      <c r="BD439" s="393"/>
      <c r="BE439" s="392"/>
      <c r="BF439" s="394">
        <v>9</v>
      </c>
      <c r="BG439" s="394">
        <v>8</v>
      </c>
      <c r="BH439" s="394">
        <v>1</v>
      </c>
      <c r="BI439" s="394">
        <v>4</v>
      </c>
      <c r="BJ439" s="394">
        <v>6</v>
      </c>
      <c r="BK439" s="394"/>
      <c r="BL439" s="444" t="s">
        <v>6981</v>
      </c>
      <c r="BM439" s="392"/>
      <c r="BN439" s="393"/>
      <c r="BO439" s="393"/>
      <c r="BP439" s="399"/>
      <c r="BQ439" s="400"/>
      <c r="BR439" s="401"/>
      <c r="BS439" s="399"/>
      <c r="BT439" s="394"/>
      <c r="BU439" s="417"/>
      <c r="BV439" s="399"/>
      <c r="BW439" s="393" t="s">
        <v>3117</v>
      </c>
      <c r="BX439" s="392" t="s">
        <v>4364</v>
      </c>
      <c r="BY439" s="393" t="s">
        <v>7224</v>
      </c>
      <c r="BZ439" s="393"/>
      <c r="CA439" s="441"/>
      <c r="CB439" s="400"/>
      <c r="CC439" s="398"/>
      <c r="CD439" s="398"/>
      <c r="CE439" s="398"/>
      <c r="CF439" s="398"/>
      <c r="CG439" s="398"/>
      <c r="CH439" s="398"/>
      <c r="CI439" s="398"/>
      <c r="CJ439" s="398">
        <v>10.244</v>
      </c>
      <c r="CK439" s="398">
        <v>10.244</v>
      </c>
      <c r="CL439" s="398">
        <v>10.244</v>
      </c>
      <c r="CM439" s="398">
        <v>10.244</v>
      </c>
      <c r="CN439" s="398">
        <v>10.244</v>
      </c>
      <c r="CO439" s="398">
        <v>10.244</v>
      </c>
      <c r="CP439" s="398">
        <v>10.244</v>
      </c>
      <c r="CQ439" s="398">
        <v>10.244</v>
      </c>
      <c r="CR439" s="398">
        <v>10.244</v>
      </c>
      <c r="CS439" s="398">
        <v>10.244</v>
      </c>
      <c r="CT439" s="398"/>
      <c r="CU439" s="398"/>
      <c r="CV439" s="398"/>
      <c r="CW439" s="398"/>
      <c r="CX439" s="398"/>
      <c r="CY439" s="398"/>
      <c r="CZ439" s="398"/>
      <c r="DA439" s="398"/>
      <c r="DB439" s="398"/>
      <c r="DC439" s="398"/>
      <c r="DD439" s="398"/>
      <c r="DE439" s="393"/>
      <c r="DF439" s="393"/>
      <c r="DG439" s="393"/>
      <c r="DH439" s="393"/>
      <c r="DI439" s="393"/>
      <c r="DJ439" s="393"/>
      <c r="DK439" s="897"/>
    </row>
    <row r="440" spans="1:115" ht="25.5" x14ac:dyDescent="0.2">
      <c r="A440" s="295">
        <v>436</v>
      </c>
      <c r="B440" s="390" t="s">
        <v>5962</v>
      </c>
      <c r="C440" s="390"/>
      <c r="D440" s="391" t="s">
        <v>5963</v>
      </c>
      <c r="E440" s="704" t="s">
        <v>5964</v>
      </c>
      <c r="F440" s="393" t="s">
        <v>1352</v>
      </c>
      <c r="G440" s="393" t="s">
        <v>1671</v>
      </c>
      <c r="H440" s="393" t="s">
        <v>117</v>
      </c>
      <c r="I440" s="392"/>
      <c r="J440" s="392"/>
      <c r="K440" s="392" t="s">
        <v>4704</v>
      </c>
      <c r="L440" s="392" t="s">
        <v>197</v>
      </c>
      <c r="M440" s="392"/>
      <c r="N440" s="393" t="s">
        <v>44</v>
      </c>
      <c r="O440" s="393" t="s">
        <v>69</v>
      </c>
      <c r="P440" s="393" t="s">
        <v>69</v>
      </c>
      <c r="Q440" s="392" t="s">
        <v>172</v>
      </c>
      <c r="R440" s="392" t="s">
        <v>4685</v>
      </c>
      <c r="S440" s="428" t="s">
        <v>205</v>
      </c>
      <c r="T440" s="394">
        <v>1</v>
      </c>
      <c r="U440" s="395">
        <v>10.244</v>
      </c>
      <c r="V440" s="395"/>
      <c r="W440" s="453"/>
      <c r="X440" s="394"/>
      <c r="Y440" s="394">
        <v>10</v>
      </c>
      <c r="Z440" s="394">
        <v>20</v>
      </c>
      <c r="AA440" s="395">
        <v>0</v>
      </c>
      <c r="AB440" s="452">
        <v>41671</v>
      </c>
      <c r="AC440" s="398">
        <v>0</v>
      </c>
      <c r="AD440" s="398">
        <v>102.44</v>
      </c>
      <c r="AE440" s="393" t="s">
        <v>47</v>
      </c>
      <c r="AF440" s="417"/>
      <c r="AG440" s="417">
        <f t="shared" si="3"/>
        <v>16.678000000000001</v>
      </c>
      <c r="AH440" s="417">
        <v>16.678000000000001</v>
      </c>
      <c r="AI440" s="394"/>
      <c r="AJ440" s="453">
        <v>43200</v>
      </c>
      <c r="AK440" s="452">
        <v>42369</v>
      </c>
      <c r="AL440" s="393"/>
      <c r="AM440" s="393"/>
      <c r="AN440" s="417"/>
      <c r="AO440" s="392"/>
      <c r="AP440" s="392" t="s">
        <v>7060</v>
      </c>
      <c r="AQ440" s="392"/>
      <c r="AR440" s="392" t="s">
        <v>199</v>
      </c>
      <c r="AS440" s="480"/>
      <c r="AT440" s="453"/>
      <c r="AU440" s="453"/>
      <c r="AV440" s="453"/>
      <c r="AW440" s="453"/>
      <c r="AX440" s="453"/>
      <c r="AY440" s="453"/>
      <c r="AZ440" s="452">
        <v>41722</v>
      </c>
      <c r="BA440" s="393"/>
      <c r="BB440" s="393"/>
      <c r="BC440" s="393" t="b">
        <v>0</v>
      </c>
      <c r="BD440" s="393"/>
      <c r="BE440" s="392"/>
      <c r="BF440" s="394">
        <v>9</v>
      </c>
      <c r="BG440" s="394">
        <v>8</v>
      </c>
      <c r="BH440" s="394">
        <v>1</v>
      </c>
      <c r="BI440" s="394">
        <v>4</v>
      </c>
      <c r="BJ440" s="394">
        <v>6</v>
      </c>
      <c r="BK440" s="394"/>
      <c r="BL440" s="444" t="s">
        <v>6981</v>
      </c>
      <c r="BM440" s="392"/>
      <c r="BN440" s="393"/>
      <c r="BO440" s="393"/>
      <c r="BP440" s="399"/>
      <c r="BQ440" s="400"/>
      <c r="BR440" s="401"/>
      <c r="BS440" s="399"/>
      <c r="BT440" s="394"/>
      <c r="BU440" s="417"/>
      <c r="BV440" s="399"/>
      <c r="BW440" s="393" t="s">
        <v>3117</v>
      </c>
      <c r="BX440" s="392" t="s">
        <v>4364</v>
      </c>
      <c r="BY440" s="393" t="s">
        <v>7224</v>
      </c>
      <c r="BZ440" s="393"/>
      <c r="CA440" s="441"/>
      <c r="CB440" s="400"/>
      <c r="CC440" s="398"/>
      <c r="CD440" s="398"/>
      <c r="CE440" s="398"/>
      <c r="CF440" s="398"/>
      <c r="CG440" s="398"/>
      <c r="CH440" s="398"/>
      <c r="CI440" s="398"/>
      <c r="CJ440" s="398">
        <v>10.244</v>
      </c>
      <c r="CK440" s="398">
        <v>10.244</v>
      </c>
      <c r="CL440" s="398">
        <v>10.244</v>
      </c>
      <c r="CM440" s="398">
        <v>10.244</v>
      </c>
      <c r="CN440" s="398">
        <v>10.244</v>
      </c>
      <c r="CO440" s="398">
        <v>10.244</v>
      </c>
      <c r="CP440" s="398">
        <v>10.244</v>
      </c>
      <c r="CQ440" s="398">
        <v>10.244</v>
      </c>
      <c r="CR440" s="398">
        <v>10.244</v>
      </c>
      <c r="CS440" s="398">
        <v>10.244</v>
      </c>
      <c r="CT440" s="398"/>
      <c r="CU440" s="398"/>
      <c r="CV440" s="398"/>
      <c r="CW440" s="398"/>
      <c r="CX440" s="398"/>
      <c r="CY440" s="398"/>
      <c r="CZ440" s="398"/>
      <c r="DA440" s="398"/>
      <c r="DB440" s="398"/>
      <c r="DC440" s="398"/>
      <c r="DD440" s="398"/>
      <c r="DE440" s="393"/>
      <c r="DF440" s="393"/>
      <c r="DG440" s="393"/>
      <c r="DH440" s="393"/>
      <c r="DI440" s="393"/>
      <c r="DJ440" s="393"/>
      <c r="DK440" s="897"/>
    </row>
    <row r="441" spans="1:115" ht="25.5" x14ac:dyDescent="0.2">
      <c r="A441" s="295">
        <v>437</v>
      </c>
      <c r="B441" s="390" t="s">
        <v>5965</v>
      </c>
      <c r="C441" s="390"/>
      <c r="D441" s="391" t="s">
        <v>5966</v>
      </c>
      <c r="E441" s="704" t="s">
        <v>5967</v>
      </c>
      <c r="F441" s="393" t="s">
        <v>1352</v>
      </c>
      <c r="G441" s="393" t="s">
        <v>1671</v>
      </c>
      <c r="H441" s="393" t="s">
        <v>117</v>
      </c>
      <c r="I441" s="392"/>
      <c r="J441" s="392"/>
      <c r="K441" s="392" t="s">
        <v>4704</v>
      </c>
      <c r="L441" s="392" t="s">
        <v>197</v>
      </c>
      <c r="M441" s="392"/>
      <c r="N441" s="393" t="s">
        <v>44</v>
      </c>
      <c r="O441" s="393" t="s">
        <v>69</v>
      </c>
      <c r="P441" s="393" t="s">
        <v>69</v>
      </c>
      <c r="Q441" s="392" t="s">
        <v>172</v>
      </c>
      <c r="R441" s="392" t="s">
        <v>4685</v>
      </c>
      <c r="S441" s="428" t="s">
        <v>205</v>
      </c>
      <c r="T441" s="394">
        <v>1</v>
      </c>
      <c r="U441" s="395">
        <v>10.244</v>
      </c>
      <c r="V441" s="395"/>
      <c r="W441" s="453"/>
      <c r="X441" s="394"/>
      <c r="Y441" s="394">
        <v>10</v>
      </c>
      <c r="Z441" s="394">
        <v>20</v>
      </c>
      <c r="AA441" s="395">
        <v>0</v>
      </c>
      <c r="AB441" s="452">
        <v>41671</v>
      </c>
      <c r="AC441" s="398">
        <v>0</v>
      </c>
      <c r="AD441" s="398">
        <v>102.44</v>
      </c>
      <c r="AE441" s="393" t="s">
        <v>47</v>
      </c>
      <c r="AF441" s="417"/>
      <c r="AG441" s="417">
        <f t="shared" si="3"/>
        <v>16.678000000000001</v>
      </c>
      <c r="AH441" s="417">
        <v>16.678000000000001</v>
      </c>
      <c r="AI441" s="394"/>
      <c r="AJ441" s="453">
        <v>43200</v>
      </c>
      <c r="AK441" s="452">
        <v>42369</v>
      </c>
      <c r="AL441" s="393"/>
      <c r="AM441" s="393"/>
      <c r="AN441" s="417"/>
      <c r="AO441" s="392"/>
      <c r="AP441" s="392" t="s">
        <v>7060</v>
      </c>
      <c r="AQ441" s="392"/>
      <c r="AR441" s="392" t="s">
        <v>199</v>
      </c>
      <c r="AS441" s="480"/>
      <c r="AT441" s="453"/>
      <c r="AU441" s="453"/>
      <c r="AV441" s="453"/>
      <c r="AW441" s="453"/>
      <c r="AX441" s="453"/>
      <c r="AY441" s="453"/>
      <c r="AZ441" s="452">
        <v>41722</v>
      </c>
      <c r="BA441" s="393"/>
      <c r="BB441" s="393"/>
      <c r="BC441" s="393" t="b">
        <v>0</v>
      </c>
      <c r="BD441" s="393"/>
      <c r="BE441" s="392"/>
      <c r="BF441" s="394">
        <v>9</v>
      </c>
      <c r="BG441" s="394">
        <v>8</v>
      </c>
      <c r="BH441" s="394">
        <v>1</v>
      </c>
      <c r="BI441" s="394">
        <v>4</v>
      </c>
      <c r="BJ441" s="394">
        <v>6</v>
      </c>
      <c r="BK441" s="394"/>
      <c r="BL441" s="444" t="s">
        <v>6981</v>
      </c>
      <c r="BM441" s="392"/>
      <c r="BN441" s="393"/>
      <c r="BO441" s="393"/>
      <c r="BP441" s="399"/>
      <c r="BQ441" s="400"/>
      <c r="BR441" s="401"/>
      <c r="BS441" s="399"/>
      <c r="BT441" s="394"/>
      <c r="BU441" s="417"/>
      <c r="BV441" s="399"/>
      <c r="BW441" s="393" t="s">
        <v>3117</v>
      </c>
      <c r="BX441" s="392" t="s">
        <v>4364</v>
      </c>
      <c r="BY441" s="393" t="s">
        <v>7224</v>
      </c>
      <c r="BZ441" s="393"/>
      <c r="CA441" s="441"/>
      <c r="CB441" s="400"/>
      <c r="CC441" s="398"/>
      <c r="CD441" s="398"/>
      <c r="CE441" s="398"/>
      <c r="CF441" s="398"/>
      <c r="CG441" s="398"/>
      <c r="CH441" s="398"/>
      <c r="CI441" s="398"/>
      <c r="CJ441" s="398">
        <v>10.244</v>
      </c>
      <c r="CK441" s="398">
        <v>10.244</v>
      </c>
      <c r="CL441" s="398">
        <v>10.244</v>
      </c>
      <c r="CM441" s="398">
        <v>10.244</v>
      </c>
      <c r="CN441" s="398">
        <v>10.244</v>
      </c>
      <c r="CO441" s="398">
        <v>10.244</v>
      </c>
      <c r="CP441" s="398">
        <v>10.244</v>
      </c>
      <c r="CQ441" s="398">
        <v>10.244</v>
      </c>
      <c r="CR441" s="398">
        <v>10.244</v>
      </c>
      <c r="CS441" s="398">
        <v>10.244</v>
      </c>
      <c r="CT441" s="398"/>
      <c r="CU441" s="398"/>
      <c r="CV441" s="398"/>
      <c r="CW441" s="398"/>
      <c r="CX441" s="398"/>
      <c r="CY441" s="398"/>
      <c r="CZ441" s="398"/>
      <c r="DA441" s="398"/>
      <c r="DB441" s="398"/>
      <c r="DC441" s="398"/>
      <c r="DD441" s="398"/>
      <c r="DE441" s="393"/>
      <c r="DF441" s="393"/>
      <c r="DG441" s="393"/>
      <c r="DH441" s="393"/>
      <c r="DI441" s="393"/>
      <c r="DJ441" s="393"/>
      <c r="DK441" s="897"/>
    </row>
    <row r="442" spans="1:115" ht="25.5" x14ac:dyDescent="0.2">
      <c r="A442" s="295">
        <v>438</v>
      </c>
      <c r="B442" s="390" t="s">
        <v>5968</v>
      </c>
      <c r="C442" s="390"/>
      <c r="D442" s="391" t="s">
        <v>5969</v>
      </c>
      <c r="E442" s="704" t="s">
        <v>5970</v>
      </c>
      <c r="F442" s="393" t="s">
        <v>1352</v>
      </c>
      <c r="G442" s="393" t="s">
        <v>1671</v>
      </c>
      <c r="H442" s="393" t="s">
        <v>117</v>
      </c>
      <c r="I442" s="392"/>
      <c r="J442" s="392"/>
      <c r="K442" s="392" t="s">
        <v>4704</v>
      </c>
      <c r="L442" s="392" t="s">
        <v>197</v>
      </c>
      <c r="M442" s="392"/>
      <c r="N442" s="393" t="s">
        <v>44</v>
      </c>
      <c r="O442" s="393" t="s">
        <v>69</v>
      </c>
      <c r="P442" s="393" t="s">
        <v>69</v>
      </c>
      <c r="Q442" s="392" t="s">
        <v>172</v>
      </c>
      <c r="R442" s="392" t="s">
        <v>4685</v>
      </c>
      <c r="S442" s="428" t="s">
        <v>205</v>
      </c>
      <c r="T442" s="394">
        <v>1</v>
      </c>
      <c r="U442" s="395">
        <v>10.244</v>
      </c>
      <c r="V442" s="395"/>
      <c r="W442" s="453"/>
      <c r="X442" s="394"/>
      <c r="Y442" s="394">
        <v>10</v>
      </c>
      <c r="Z442" s="394">
        <v>20</v>
      </c>
      <c r="AA442" s="395">
        <v>0</v>
      </c>
      <c r="AB442" s="452">
        <v>41671</v>
      </c>
      <c r="AC442" s="398">
        <v>0</v>
      </c>
      <c r="AD442" s="398">
        <v>102.44</v>
      </c>
      <c r="AE442" s="393" t="s">
        <v>47</v>
      </c>
      <c r="AF442" s="417"/>
      <c r="AG442" s="417">
        <f t="shared" si="3"/>
        <v>16.678000000000001</v>
      </c>
      <c r="AH442" s="417">
        <v>16.678000000000001</v>
      </c>
      <c r="AI442" s="394"/>
      <c r="AJ442" s="453">
        <v>43200</v>
      </c>
      <c r="AK442" s="452">
        <v>42369</v>
      </c>
      <c r="AL442" s="393"/>
      <c r="AM442" s="393"/>
      <c r="AN442" s="417"/>
      <c r="AO442" s="392"/>
      <c r="AP442" s="392" t="s">
        <v>7060</v>
      </c>
      <c r="AQ442" s="392"/>
      <c r="AR442" s="392" t="s">
        <v>199</v>
      </c>
      <c r="AS442" s="480"/>
      <c r="AT442" s="453"/>
      <c r="AU442" s="453"/>
      <c r="AV442" s="453"/>
      <c r="AW442" s="453"/>
      <c r="AX442" s="453"/>
      <c r="AY442" s="453"/>
      <c r="AZ442" s="452">
        <v>41722</v>
      </c>
      <c r="BA442" s="393"/>
      <c r="BB442" s="393"/>
      <c r="BC442" s="393" t="b">
        <v>0</v>
      </c>
      <c r="BD442" s="393"/>
      <c r="BE442" s="392"/>
      <c r="BF442" s="394">
        <v>9</v>
      </c>
      <c r="BG442" s="394">
        <v>8</v>
      </c>
      <c r="BH442" s="394">
        <v>1</v>
      </c>
      <c r="BI442" s="394">
        <v>4</v>
      </c>
      <c r="BJ442" s="394">
        <v>6</v>
      </c>
      <c r="BK442" s="394"/>
      <c r="BL442" s="444" t="s">
        <v>6981</v>
      </c>
      <c r="BM442" s="392"/>
      <c r="BN442" s="393"/>
      <c r="BO442" s="393"/>
      <c r="BP442" s="399"/>
      <c r="BQ442" s="400"/>
      <c r="BR442" s="401"/>
      <c r="BS442" s="399"/>
      <c r="BT442" s="394"/>
      <c r="BU442" s="417"/>
      <c r="BV442" s="399"/>
      <c r="BW442" s="393" t="s">
        <v>3117</v>
      </c>
      <c r="BX442" s="392" t="s">
        <v>4364</v>
      </c>
      <c r="BY442" s="393" t="s">
        <v>7224</v>
      </c>
      <c r="BZ442" s="393"/>
      <c r="CA442" s="441"/>
      <c r="CB442" s="400"/>
      <c r="CC442" s="398"/>
      <c r="CD442" s="398"/>
      <c r="CE442" s="398"/>
      <c r="CF442" s="398"/>
      <c r="CG442" s="398"/>
      <c r="CH442" s="398"/>
      <c r="CI442" s="398"/>
      <c r="CJ442" s="398">
        <v>10.244</v>
      </c>
      <c r="CK442" s="398">
        <v>10.244</v>
      </c>
      <c r="CL442" s="398">
        <v>10.244</v>
      </c>
      <c r="CM442" s="398">
        <v>10.244</v>
      </c>
      <c r="CN442" s="398">
        <v>10.244</v>
      </c>
      <c r="CO442" s="398">
        <v>10.244</v>
      </c>
      <c r="CP442" s="398">
        <v>10.244</v>
      </c>
      <c r="CQ442" s="398">
        <v>10.244</v>
      </c>
      <c r="CR442" s="398">
        <v>10.244</v>
      </c>
      <c r="CS442" s="398">
        <v>10.244</v>
      </c>
      <c r="CT442" s="398"/>
      <c r="CU442" s="398"/>
      <c r="CV442" s="398"/>
      <c r="CW442" s="398"/>
      <c r="CX442" s="398"/>
      <c r="CY442" s="398"/>
      <c r="CZ442" s="398"/>
      <c r="DA442" s="398"/>
      <c r="DB442" s="398"/>
      <c r="DC442" s="398"/>
      <c r="DD442" s="398"/>
      <c r="DE442" s="393"/>
      <c r="DF442" s="393"/>
      <c r="DG442" s="393"/>
      <c r="DH442" s="393"/>
      <c r="DI442" s="393"/>
      <c r="DJ442" s="393"/>
      <c r="DK442" s="897"/>
    </row>
    <row r="443" spans="1:115" ht="25.5" x14ac:dyDescent="0.2">
      <c r="A443" s="295">
        <v>439</v>
      </c>
      <c r="B443" s="390" t="s">
        <v>5971</v>
      </c>
      <c r="C443" s="390"/>
      <c r="D443" s="391" t="s">
        <v>5972</v>
      </c>
      <c r="E443" s="704" t="s">
        <v>5973</v>
      </c>
      <c r="F443" s="393" t="s">
        <v>1352</v>
      </c>
      <c r="G443" s="393" t="s">
        <v>1671</v>
      </c>
      <c r="H443" s="393" t="s">
        <v>117</v>
      </c>
      <c r="I443" s="392"/>
      <c r="J443" s="392"/>
      <c r="K443" s="392" t="s">
        <v>4748</v>
      </c>
      <c r="L443" s="392" t="s">
        <v>197</v>
      </c>
      <c r="M443" s="392"/>
      <c r="N443" s="393" t="s">
        <v>44</v>
      </c>
      <c r="O443" s="393" t="s">
        <v>69</v>
      </c>
      <c r="P443" s="393" t="s">
        <v>69</v>
      </c>
      <c r="Q443" s="392" t="s">
        <v>172</v>
      </c>
      <c r="R443" s="392" t="s">
        <v>4685</v>
      </c>
      <c r="S443" s="428" t="s">
        <v>205</v>
      </c>
      <c r="T443" s="394">
        <v>1</v>
      </c>
      <c r="U443" s="395">
        <v>10.244</v>
      </c>
      <c r="V443" s="395"/>
      <c r="W443" s="453"/>
      <c r="X443" s="394"/>
      <c r="Y443" s="394">
        <v>10</v>
      </c>
      <c r="Z443" s="394">
        <v>20</v>
      </c>
      <c r="AA443" s="395">
        <v>0</v>
      </c>
      <c r="AB443" s="452">
        <v>41671</v>
      </c>
      <c r="AC443" s="398">
        <v>0</v>
      </c>
      <c r="AD443" s="398">
        <v>102.44</v>
      </c>
      <c r="AE443" s="393" t="s">
        <v>47</v>
      </c>
      <c r="AF443" s="417"/>
      <c r="AG443" s="417">
        <f t="shared" si="3"/>
        <v>16.678000000000001</v>
      </c>
      <c r="AH443" s="417">
        <v>16.678000000000001</v>
      </c>
      <c r="AI443" s="394"/>
      <c r="AJ443" s="453">
        <v>43200</v>
      </c>
      <c r="AK443" s="452">
        <v>42369</v>
      </c>
      <c r="AL443" s="393"/>
      <c r="AM443" s="393"/>
      <c r="AN443" s="417"/>
      <c r="AO443" s="392"/>
      <c r="AP443" s="392" t="s">
        <v>7060</v>
      </c>
      <c r="AQ443" s="392"/>
      <c r="AR443" s="392" t="s">
        <v>199</v>
      </c>
      <c r="AS443" s="480"/>
      <c r="AT443" s="453"/>
      <c r="AU443" s="453"/>
      <c r="AV443" s="453"/>
      <c r="AW443" s="453"/>
      <c r="AX443" s="453"/>
      <c r="AY443" s="453"/>
      <c r="AZ443" s="452">
        <v>41722</v>
      </c>
      <c r="BA443" s="393"/>
      <c r="BB443" s="393"/>
      <c r="BC443" s="393" t="b">
        <v>0</v>
      </c>
      <c r="BD443" s="393"/>
      <c r="BE443" s="392"/>
      <c r="BF443" s="394">
        <v>9</v>
      </c>
      <c r="BG443" s="394">
        <v>8</v>
      </c>
      <c r="BH443" s="394">
        <v>1</v>
      </c>
      <c r="BI443" s="394">
        <v>4</v>
      </c>
      <c r="BJ443" s="394">
        <v>6</v>
      </c>
      <c r="BK443" s="394"/>
      <c r="BL443" s="444" t="s">
        <v>6981</v>
      </c>
      <c r="BM443" s="392"/>
      <c r="BN443" s="393"/>
      <c r="BO443" s="393"/>
      <c r="BP443" s="399"/>
      <c r="BQ443" s="400"/>
      <c r="BR443" s="401"/>
      <c r="BS443" s="399"/>
      <c r="BT443" s="394"/>
      <c r="BU443" s="417"/>
      <c r="BV443" s="399"/>
      <c r="BW443" s="393" t="s">
        <v>3117</v>
      </c>
      <c r="BX443" s="392" t="s">
        <v>4364</v>
      </c>
      <c r="BY443" s="393" t="s">
        <v>7224</v>
      </c>
      <c r="BZ443" s="393"/>
      <c r="CA443" s="441"/>
      <c r="CB443" s="400"/>
      <c r="CC443" s="398"/>
      <c r="CD443" s="398"/>
      <c r="CE443" s="398"/>
      <c r="CF443" s="398"/>
      <c r="CG443" s="398"/>
      <c r="CH443" s="398"/>
      <c r="CI443" s="398"/>
      <c r="CJ443" s="398">
        <v>10.244</v>
      </c>
      <c r="CK443" s="398">
        <v>10.244</v>
      </c>
      <c r="CL443" s="398">
        <v>10.244</v>
      </c>
      <c r="CM443" s="398">
        <v>10.244</v>
      </c>
      <c r="CN443" s="398">
        <v>10.244</v>
      </c>
      <c r="CO443" s="398">
        <v>10.244</v>
      </c>
      <c r="CP443" s="398">
        <v>10.244</v>
      </c>
      <c r="CQ443" s="398">
        <v>10.244</v>
      </c>
      <c r="CR443" s="398">
        <v>10.244</v>
      </c>
      <c r="CS443" s="398">
        <v>10.244</v>
      </c>
      <c r="CT443" s="398"/>
      <c r="CU443" s="398"/>
      <c r="CV443" s="398"/>
      <c r="CW443" s="398"/>
      <c r="CX443" s="398"/>
      <c r="CY443" s="398"/>
      <c r="CZ443" s="398"/>
      <c r="DA443" s="398"/>
      <c r="DB443" s="398"/>
      <c r="DC443" s="398"/>
      <c r="DD443" s="398"/>
      <c r="DE443" s="393"/>
      <c r="DF443" s="393"/>
      <c r="DG443" s="393"/>
      <c r="DH443" s="393"/>
      <c r="DI443" s="393"/>
      <c r="DJ443" s="393"/>
      <c r="DK443" s="897"/>
    </row>
    <row r="444" spans="1:115" ht="25.5" x14ac:dyDescent="0.2">
      <c r="A444" s="295">
        <v>440</v>
      </c>
      <c r="B444" s="390" t="s">
        <v>5974</v>
      </c>
      <c r="C444" s="390"/>
      <c r="D444" s="391" t="s">
        <v>5975</v>
      </c>
      <c r="E444" s="704" t="s">
        <v>5976</v>
      </c>
      <c r="F444" s="393" t="s">
        <v>1352</v>
      </c>
      <c r="G444" s="393" t="s">
        <v>1671</v>
      </c>
      <c r="H444" s="393" t="s">
        <v>117</v>
      </c>
      <c r="I444" s="392"/>
      <c r="J444" s="392"/>
      <c r="K444" s="392" t="s">
        <v>5977</v>
      </c>
      <c r="L444" s="392" t="s">
        <v>197</v>
      </c>
      <c r="M444" s="392"/>
      <c r="N444" s="393" t="s">
        <v>44</v>
      </c>
      <c r="O444" s="393" t="s">
        <v>69</v>
      </c>
      <c r="P444" s="393" t="s">
        <v>69</v>
      </c>
      <c r="Q444" s="392" t="s">
        <v>172</v>
      </c>
      <c r="R444" s="392" t="s">
        <v>4685</v>
      </c>
      <c r="S444" s="428" t="s">
        <v>205</v>
      </c>
      <c r="T444" s="394">
        <v>1</v>
      </c>
      <c r="U444" s="395">
        <v>10.244</v>
      </c>
      <c r="V444" s="395"/>
      <c r="W444" s="453"/>
      <c r="X444" s="394"/>
      <c r="Y444" s="394">
        <v>10</v>
      </c>
      <c r="Z444" s="394">
        <v>20</v>
      </c>
      <c r="AA444" s="395">
        <v>0</v>
      </c>
      <c r="AB444" s="452">
        <v>41671</v>
      </c>
      <c r="AC444" s="398">
        <v>0</v>
      </c>
      <c r="AD444" s="398">
        <v>102.44</v>
      </c>
      <c r="AE444" s="393" t="s">
        <v>47</v>
      </c>
      <c r="AF444" s="417"/>
      <c r="AG444" s="417">
        <f>8.268+8.712</f>
        <v>16.98</v>
      </c>
      <c r="AH444" s="417">
        <v>16.98</v>
      </c>
      <c r="AI444" s="394"/>
      <c r="AJ444" s="453">
        <v>43200</v>
      </c>
      <c r="AK444" s="452">
        <v>42369</v>
      </c>
      <c r="AL444" s="393"/>
      <c r="AM444" s="393"/>
      <c r="AN444" s="417"/>
      <c r="AO444" s="392"/>
      <c r="AP444" s="392" t="s">
        <v>7060</v>
      </c>
      <c r="AQ444" s="392"/>
      <c r="AR444" s="392" t="s">
        <v>199</v>
      </c>
      <c r="AS444" s="480"/>
      <c r="AT444" s="453"/>
      <c r="AU444" s="453"/>
      <c r="AV444" s="453"/>
      <c r="AW444" s="453"/>
      <c r="AX444" s="453"/>
      <c r="AY444" s="453"/>
      <c r="AZ444" s="452">
        <v>41722</v>
      </c>
      <c r="BA444" s="393"/>
      <c r="BB444" s="393"/>
      <c r="BC444" s="393" t="b">
        <v>0</v>
      </c>
      <c r="BD444" s="393"/>
      <c r="BE444" s="392"/>
      <c r="BF444" s="394">
        <v>9</v>
      </c>
      <c r="BG444" s="394">
        <v>8</v>
      </c>
      <c r="BH444" s="394">
        <v>1</v>
      </c>
      <c r="BI444" s="394">
        <v>4</v>
      </c>
      <c r="BJ444" s="394">
        <v>6</v>
      </c>
      <c r="BK444" s="394"/>
      <c r="BL444" s="444" t="s">
        <v>6981</v>
      </c>
      <c r="BM444" s="392"/>
      <c r="BN444" s="393"/>
      <c r="BO444" s="393"/>
      <c r="BP444" s="399"/>
      <c r="BQ444" s="400"/>
      <c r="BR444" s="401"/>
      <c r="BS444" s="399"/>
      <c r="BT444" s="394"/>
      <c r="BU444" s="417"/>
      <c r="BV444" s="399"/>
      <c r="BW444" s="393" t="s">
        <v>3117</v>
      </c>
      <c r="BX444" s="392" t="s">
        <v>4364</v>
      </c>
      <c r="BY444" s="393" t="s">
        <v>7224</v>
      </c>
      <c r="BZ444" s="393"/>
      <c r="CA444" s="441"/>
      <c r="CB444" s="400"/>
      <c r="CC444" s="398"/>
      <c r="CD444" s="398"/>
      <c r="CE444" s="398"/>
      <c r="CF444" s="398"/>
      <c r="CG444" s="398"/>
      <c r="CH444" s="398"/>
      <c r="CI444" s="398"/>
      <c r="CJ444" s="398">
        <v>10.244</v>
      </c>
      <c r="CK444" s="398">
        <v>10.244</v>
      </c>
      <c r="CL444" s="398">
        <v>10.244</v>
      </c>
      <c r="CM444" s="398">
        <v>10.244</v>
      </c>
      <c r="CN444" s="398">
        <v>10.244</v>
      </c>
      <c r="CO444" s="398">
        <v>10.244</v>
      </c>
      <c r="CP444" s="398">
        <v>10.244</v>
      </c>
      <c r="CQ444" s="398">
        <v>10.244</v>
      </c>
      <c r="CR444" s="398">
        <v>10.244</v>
      </c>
      <c r="CS444" s="398">
        <v>10.244</v>
      </c>
      <c r="CT444" s="398"/>
      <c r="CU444" s="398"/>
      <c r="CV444" s="398"/>
      <c r="CW444" s="398"/>
      <c r="CX444" s="398"/>
      <c r="CY444" s="398"/>
      <c r="CZ444" s="398"/>
      <c r="DA444" s="398"/>
      <c r="DB444" s="398"/>
      <c r="DC444" s="398"/>
      <c r="DD444" s="398"/>
      <c r="DE444" s="393"/>
      <c r="DF444" s="393"/>
      <c r="DG444" s="393"/>
      <c r="DH444" s="393"/>
      <c r="DI444" s="393"/>
      <c r="DJ444" s="393"/>
      <c r="DK444" s="897"/>
    </row>
    <row r="445" spans="1:115" ht="25.5" x14ac:dyDescent="0.2">
      <c r="A445" s="295">
        <v>441</v>
      </c>
      <c r="B445" s="390" t="s">
        <v>5978</v>
      </c>
      <c r="C445" s="390"/>
      <c r="D445" s="391" t="s">
        <v>5979</v>
      </c>
      <c r="E445" s="704" t="s">
        <v>5980</v>
      </c>
      <c r="F445" s="393" t="s">
        <v>1352</v>
      </c>
      <c r="G445" s="393" t="s">
        <v>1671</v>
      </c>
      <c r="H445" s="393" t="s">
        <v>117</v>
      </c>
      <c r="I445" s="392"/>
      <c r="J445" s="392"/>
      <c r="K445" s="392" t="s">
        <v>4783</v>
      </c>
      <c r="L445" s="392" t="s">
        <v>197</v>
      </c>
      <c r="M445" s="392"/>
      <c r="N445" s="393" t="s">
        <v>44</v>
      </c>
      <c r="O445" s="393" t="s">
        <v>69</v>
      </c>
      <c r="P445" s="393" t="s">
        <v>69</v>
      </c>
      <c r="Q445" s="392" t="s">
        <v>172</v>
      </c>
      <c r="R445" s="392" t="s">
        <v>4685</v>
      </c>
      <c r="S445" s="428" t="s">
        <v>205</v>
      </c>
      <c r="T445" s="394">
        <v>1</v>
      </c>
      <c r="U445" s="395">
        <v>10.244</v>
      </c>
      <c r="V445" s="395"/>
      <c r="W445" s="453"/>
      <c r="X445" s="394"/>
      <c r="Y445" s="394">
        <v>10</v>
      </c>
      <c r="Z445" s="394">
        <v>20</v>
      </c>
      <c r="AA445" s="395">
        <v>0</v>
      </c>
      <c r="AB445" s="452">
        <v>41671</v>
      </c>
      <c r="AC445" s="398">
        <v>0</v>
      </c>
      <c r="AD445" s="398">
        <v>102.44</v>
      </c>
      <c r="AE445" s="393" t="s">
        <v>47</v>
      </c>
      <c r="AF445" s="417"/>
      <c r="AG445" s="417">
        <f>8.268+9.107</f>
        <v>17.375</v>
      </c>
      <c r="AH445" s="417">
        <v>17.375</v>
      </c>
      <c r="AI445" s="394"/>
      <c r="AJ445" s="453">
        <v>43200</v>
      </c>
      <c r="AK445" s="452">
        <v>42369</v>
      </c>
      <c r="AL445" s="393"/>
      <c r="AM445" s="393"/>
      <c r="AN445" s="417"/>
      <c r="AO445" s="392"/>
      <c r="AP445" s="392" t="s">
        <v>7060</v>
      </c>
      <c r="AQ445" s="392"/>
      <c r="AR445" s="392" t="s">
        <v>199</v>
      </c>
      <c r="AS445" s="480"/>
      <c r="AT445" s="453"/>
      <c r="AU445" s="453"/>
      <c r="AV445" s="453"/>
      <c r="AW445" s="453"/>
      <c r="AX445" s="453"/>
      <c r="AY445" s="453"/>
      <c r="AZ445" s="452">
        <v>41722</v>
      </c>
      <c r="BA445" s="393"/>
      <c r="BB445" s="393"/>
      <c r="BC445" s="393" t="b">
        <v>0</v>
      </c>
      <c r="BD445" s="393"/>
      <c r="BE445" s="392"/>
      <c r="BF445" s="394">
        <v>9</v>
      </c>
      <c r="BG445" s="394">
        <v>8</v>
      </c>
      <c r="BH445" s="394">
        <v>1</v>
      </c>
      <c r="BI445" s="394">
        <v>4</v>
      </c>
      <c r="BJ445" s="394">
        <v>6</v>
      </c>
      <c r="BK445" s="394"/>
      <c r="BL445" s="444" t="s">
        <v>6981</v>
      </c>
      <c r="BM445" s="392"/>
      <c r="BN445" s="393"/>
      <c r="BO445" s="393"/>
      <c r="BP445" s="399"/>
      <c r="BQ445" s="400"/>
      <c r="BR445" s="401"/>
      <c r="BS445" s="399"/>
      <c r="BT445" s="394"/>
      <c r="BU445" s="417"/>
      <c r="BV445" s="399"/>
      <c r="BW445" s="393" t="s">
        <v>3117</v>
      </c>
      <c r="BX445" s="392" t="s">
        <v>4364</v>
      </c>
      <c r="BY445" s="393" t="s">
        <v>7224</v>
      </c>
      <c r="BZ445" s="393"/>
      <c r="CA445" s="441"/>
      <c r="CB445" s="400"/>
      <c r="CC445" s="398"/>
      <c r="CD445" s="398"/>
      <c r="CE445" s="398"/>
      <c r="CF445" s="398"/>
      <c r="CG445" s="398"/>
      <c r="CH445" s="398"/>
      <c r="CI445" s="398"/>
      <c r="CJ445" s="398">
        <v>10.571999999999999</v>
      </c>
      <c r="CK445" s="398">
        <v>10.571999999999999</v>
      </c>
      <c r="CL445" s="398">
        <v>10.571999999999999</v>
      </c>
      <c r="CM445" s="398">
        <v>10.571999999999999</v>
      </c>
      <c r="CN445" s="398">
        <v>10.571999999999999</v>
      </c>
      <c r="CO445" s="398">
        <v>10.571999999999999</v>
      </c>
      <c r="CP445" s="398">
        <v>10.571999999999999</v>
      </c>
      <c r="CQ445" s="398">
        <v>10.571999999999999</v>
      </c>
      <c r="CR445" s="398">
        <v>10.571999999999999</v>
      </c>
      <c r="CS445" s="398">
        <v>10.571999999999999</v>
      </c>
      <c r="CT445" s="398"/>
      <c r="CU445" s="398"/>
      <c r="CV445" s="398"/>
      <c r="CW445" s="398"/>
      <c r="CX445" s="398"/>
      <c r="CY445" s="398"/>
      <c r="CZ445" s="398"/>
      <c r="DA445" s="398"/>
      <c r="DB445" s="398"/>
      <c r="DC445" s="398"/>
      <c r="DD445" s="398"/>
      <c r="DE445" s="393"/>
      <c r="DF445" s="393"/>
      <c r="DG445" s="393"/>
      <c r="DH445" s="393"/>
      <c r="DI445" s="393"/>
      <c r="DJ445" s="393"/>
      <c r="DK445" s="897"/>
    </row>
    <row r="446" spans="1:115" ht="25.5" x14ac:dyDescent="0.2">
      <c r="A446" s="295">
        <v>442</v>
      </c>
      <c r="B446" s="390" t="s">
        <v>5981</v>
      </c>
      <c r="C446" s="390"/>
      <c r="D446" s="391" t="s">
        <v>5982</v>
      </c>
      <c r="E446" s="704" t="s">
        <v>5983</v>
      </c>
      <c r="F446" s="393" t="s">
        <v>1352</v>
      </c>
      <c r="G446" s="393" t="s">
        <v>1671</v>
      </c>
      <c r="H446" s="393" t="s">
        <v>117</v>
      </c>
      <c r="I446" s="392"/>
      <c r="J446" s="392"/>
      <c r="K446" s="392" t="s">
        <v>201</v>
      </c>
      <c r="L446" s="392" t="s">
        <v>197</v>
      </c>
      <c r="M446" s="392"/>
      <c r="N446" s="393" t="s">
        <v>44</v>
      </c>
      <c r="O446" s="393" t="s">
        <v>69</v>
      </c>
      <c r="P446" s="393" t="s">
        <v>69</v>
      </c>
      <c r="Q446" s="392" t="s">
        <v>172</v>
      </c>
      <c r="R446" s="392" t="s">
        <v>4685</v>
      </c>
      <c r="S446" s="428" t="s">
        <v>205</v>
      </c>
      <c r="T446" s="394">
        <v>1</v>
      </c>
      <c r="U446" s="395">
        <v>10.571999999999999</v>
      </c>
      <c r="V446" s="395"/>
      <c r="W446" s="453"/>
      <c r="X446" s="394"/>
      <c r="Y446" s="394">
        <v>10</v>
      </c>
      <c r="Z446" s="394">
        <v>20</v>
      </c>
      <c r="AA446" s="395">
        <v>0</v>
      </c>
      <c r="AB446" s="452">
        <v>41671</v>
      </c>
      <c r="AC446" s="398">
        <v>0</v>
      </c>
      <c r="AD446" s="398">
        <v>105.72</v>
      </c>
      <c r="AE446" s="393" t="s">
        <v>47</v>
      </c>
      <c r="AF446" s="417"/>
      <c r="AG446" s="417">
        <f>8.268+9.107</f>
        <v>17.375</v>
      </c>
      <c r="AH446" s="417">
        <v>17.375</v>
      </c>
      <c r="AI446" s="394"/>
      <c r="AJ446" s="453">
        <v>43200</v>
      </c>
      <c r="AK446" s="452">
        <v>42369</v>
      </c>
      <c r="AL446" s="393"/>
      <c r="AM446" s="393"/>
      <c r="AN446" s="417"/>
      <c r="AO446" s="392"/>
      <c r="AP446" s="392" t="s">
        <v>7060</v>
      </c>
      <c r="AQ446" s="392"/>
      <c r="AR446" s="392" t="s">
        <v>199</v>
      </c>
      <c r="AS446" s="480"/>
      <c r="AT446" s="453"/>
      <c r="AU446" s="453"/>
      <c r="AV446" s="453"/>
      <c r="AW446" s="453"/>
      <c r="AX446" s="453"/>
      <c r="AY446" s="453"/>
      <c r="AZ446" s="452">
        <v>41722</v>
      </c>
      <c r="BA446" s="393"/>
      <c r="BB446" s="393"/>
      <c r="BC446" s="393" t="b">
        <v>0</v>
      </c>
      <c r="BD446" s="393"/>
      <c r="BE446" s="392"/>
      <c r="BF446" s="394">
        <v>9</v>
      </c>
      <c r="BG446" s="394">
        <v>8</v>
      </c>
      <c r="BH446" s="394">
        <v>1</v>
      </c>
      <c r="BI446" s="394">
        <v>4</v>
      </c>
      <c r="BJ446" s="394">
        <v>6</v>
      </c>
      <c r="BK446" s="394"/>
      <c r="BL446" s="444" t="s">
        <v>6981</v>
      </c>
      <c r="BM446" s="392"/>
      <c r="BN446" s="393"/>
      <c r="BO446" s="393"/>
      <c r="BP446" s="399"/>
      <c r="BQ446" s="400"/>
      <c r="BR446" s="401"/>
      <c r="BS446" s="399"/>
      <c r="BT446" s="394"/>
      <c r="BU446" s="417"/>
      <c r="BV446" s="399"/>
      <c r="BW446" s="393" t="s">
        <v>3117</v>
      </c>
      <c r="BX446" s="392" t="s">
        <v>4364</v>
      </c>
      <c r="BY446" s="393" t="s">
        <v>7224</v>
      </c>
      <c r="BZ446" s="393"/>
      <c r="CA446" s="441"/>
      <c r="CB446" s="400"/>
      <c r="CC446" s="398"/>
      <c r="CD446" s="398"/>
      <c r="CE446" s="398"/>
      <c r="CF446" s="398"/>
      <c r="CG446" s="398"/>
      <c r="CH446" s="398"/>
      <c r="CI446" s="398"/>
      <c r="CJ446" s="398">
        <v>10.571999999999999</v>
      </c>
      <c r="CK446" s="398">
        <v>10.571999999999999</v>
      </c>
      <c r="CL446" s="398">
        <v>10.571999999999999</v>
      </c>
      <c r="CM446" s="398">
        <v>10.571999999999999</v>
      </c>
      <c r="CN446" s="398">
        <v>10.571999999999999</v>
      </c>
      <c r="CO446" s="398">
        <v>10.571999999999999</v>
      </c>
      <c r="CP446" s="398">
        <v>10.571999999999999</v>
      </c>
      <c r="CQ446" s="398">
        <v>10.571999999999999</v>
      </c>
      <c r="CR446" s="398">
        <v>10.571999999999999</v>
      </c>
      <c r="CS446" s="398">
        <v>10.571999999999999</v>
      </c>
      <c r="CT446" s="398"/>
      <c r="CU446" s="398"/>
      <c r="CV446" s="398"/>
      <c r="CW446" s="398"/>
      <c r="CX446" s="398"/>
      <c r="CY446" s="398"/>
      <c r="CZ446" s="398"/>
      <c r="DA446" s="398"/>
      <c r="DB446" s="398"/>
      <c r="DC446" s="398"/>
      <c r="DD446" s="398"/>
      <c r="DE446" s="393"/>
      <c r="DF446" s="393"/>
      <c r="DG446" s="393"/>
      <c r="DH446" s="393"/>
      <c r="DI446" s="393"/>
      <c r="DJ446" s="393"/>
      <c r="DK446" s="897"/>
    </row>
    <row r="447" spans="1:115" ht="25.5" x14ac:dyDescent="0.2">
      <c r="A447" s="295">
        <v>443</v>
      </c>
      <c r="B447" s="390" t="s">
        <v>5984</v>
      </c>
      <c r="C447" s="390"/>
      <c r="D447" s="391" t="s">
        <v>5985</v>
      </c>
      <c r="E447" s="704" t="s">
        <v>5986</v>
      </c>
      <c r="F447" s="393" t="s">
        <v>1352</v>
      </c>
      <c r="G447" s="393" t="s">
        <v>1671</v>
      </c>
      <c r="H447" s="393" t="s">
        <v>117</v>
      </c>
      <c r="I447" s="392"/>
      <c r="J447" s="392"/>
      <c r="K447" s="392" t="s">
        <v>5987</v>
      </c>
      <c r="L447" s="392" t="s">
        <v>197</v>
      </c>
      <c r="M447" s="392"/>
      <c r="N447" s="393" t="s">
        <v>44</v>
      </c>
      <c r="O447" s="393" t="s">
        <v>69</v>
      </c>
      <c r="P447" s="393" t="s">
        <v>69</v>
      </c>
      <c r="Q447" s="392" t="s">
        <v>172</v>
      </c>
      <c r="R447" s="392" t="s">
        <v>4685</v>
      </c>
      <c r="S447" s="428" t="s">
        <v>205</v>
      </c>
      <c r="T447" s="394">
        <v>1</v>
      </c>
      <c r="U447" s="395">
        <v>10.571999999999999</v>
      </c>
      <c r="V447" s="395"/>
      <c r="W447" s="453"/>
      <c r="X447" s="394"/>
      <c r="Y447" s="394">
        <v>10</v>
      </c>
      <c r="Z447" s="394">
        <v>20</v>
      </c>
      <c r="AA447" s="395">
        <v>0</v>
      </c>
      <c r="AB447" s="452">
        <v>41671</v>
      </c>
      <c r="AC447" s="398">
        <v>0</v>
      </c>
      <c r="AD447" s="398">
        <v>105.72</v>
      </c>
      <c r="AE447" s="393" t="s">
        <v>47</v>
      </c>
      <c r="AF447" s="417"/>
      <c r="AG447" s="417">
        <f>7.966+8.76</f>
        <v>16.725999999999999</v>
      </c>
      <c r="AH447" s="417">
        <v>16.725999999999999</v>
      </c>
      <c r="AI447" s="394"/>
      <c r="AJ447" s="453">
        <v>43200</v>
      </c>
      <c r="AK447" s="452">
        <v>42369</v>
      </c>
      <c r="AL447" s="393"/>
      <c r="AM447" s="393"/>
      <c r="AN447" s="417"/>
      <c r="AO447" s="392"/>
      <c r="AP447" s="392" t="s">
        <v>7060</v>
      </c>
      <c r="AQ447" s="392"/>
      <c r="AR447" s="392" t="s">
        <v>199</v>
      </c>
      <c r="AS447" s="480"/>
      <c r="AT447" s="453"/>
      <c r="AU447" s="453"/>
      <c r="AV447" s="453"/>
      <c r="AW447" s="453"/>
      <c r="AX447" s="453"/>
      <c r="AY447" s="453"/>
      <c r="AZ447" s="452">
        <v>41722</v>
      </c>
      <c r="BA447" s="393"/>
      <c r="BB447" s="393"/>
      <c r="BC447" s="393" t="b">
        <v>0</v>
      </c>
      <c r="BD447" s="393"/>
      <c r="BE447" s="392"/>
      <c r="BF447" s="394">
        <v>9</v>
      </c>
      <c r="BG447" s="394">
        <v>8</v>
      </c>
      <c r="BH447" s="394">
        <v>1</v>
      </c>
      <c r="BI447" s="394">
        <v>4</v>
      </c>
      <c r="BJ447" s="394">
        <v>6</v>
      </c>
      <c r="BK447" s="394"/>
      <c r="BL447" s="444" t="s">
        <v>6981</v>
      </c>
      <c r="BM447" s="392"/>
      <c r="BN447" s="393"/>
      <c r="BO447" s="393"/>
      <c r="BP447" s="399"/>
      <c r="BQ447" s="400"/>
      <c r="BR447" s="401"/>
      <c r="BS447" s="399"/>
      <c r="BT447" s="394"/>
      <c r="BU447" s="417"/>
      <c r="BV447" s="399"/>
      <c r="BW447" s="393" t="s">
        <v>3117</v>
      </c>
      <c r="BX447" s="392" t="s">
        <v>4364</v>
      </c>
      <c r="BY447" s="393" t="s">
        <v>7224</v>
      </c>
      <c r="BZ447" s="393"/>
      <c r="CA447" s="441"/>
      <c r="CB447" s="400"/>
      <c r="CC447" s="398"/>
      <c r="CD447" s="398"/>
      <c r="CE447" s="398"/>
      <c r="CF447" s="398"/>
      <c r="CG447" s="398"/>
      <c r="CH447" s="398"/>
      <c r="CI447" s="398"/>
      <c r="CJ447" s="398">
        <v>10.571999999999999</v>
      </c>
      <c r="CK447" s="398">
        <v>10.571999999999999</v>
      </c>
      <c r="CL447" s="398">
        <v>10.571999999999999</v>
      </c>
      <c r="CM447" s="398">
        <v>10.571999999999999</v>
      </c>
      <c r="CN447" s="398">
        <v>10.571999999999999</v>
      </c>
      <c r="CO447" s="398">
        <v>10.571999999999999</v>
      </c>
      <c r="CP447" s="398">
        <v>10.571999999999999</v>
      </c>
      <c r="CQ447" s="398">
        <v>10.571999999999999</v>
      </c>
      <c r="CR447" s="398">
        <v>10.571999999999999</v>
      </c>
      <c r="CS447" s="398">
        <v>10.571999999999999</v>
      </c>
      <c r="CT447" s="398"/>
      <c r="CU447" s="398"/>
      <c r="CV447" s="398"/>
      <c r="CW447" s="398"/>
      <c r="CX447" s="398"/>
      <c r="CY447" s="398"/>
      <c r="CZ447" s="398"/>
      <c r="DA447" s="398"/>
      <c r="DB447" s="398"/>
      <c r="DC447" s="398"/>
      <c r="DD447" s="398"/>
      <c r="DE447" s="393"/>
      <c r="DF447" s="393"/>
      <c r="DG447" s="393"/>
      <c r="DH447" s="393"/>
      <c r="DI447" s="393"/>
      <c r="DJ447" s="393"/>
      <c r="DK447" s="897"/>
    </row>
    <row r="448" spans="1:115" ht="63.75" x14ac:dyDescent="0.2">
      <c r="A448" s="295">
        <v>444</v>
      </c>
      <c r="B448" s="390" t="s">
        <v>5988</v>
      </c>
      <c r="C448" s="390"/>
      <c r="D448" s="391" t="s">
        <v>5989</v>
      </c>
      <c r="E448" s="704" t="s">
        <v>5990</v>
      </c>
      <c r="F448" s="393" t="s">
        <v>1352</v>
      </c>
      <c r="G448" s="393" t="s">
        <v>1671</v>
      </c>
      <c r="H448" s="393" t="s">
        <v>117</v>
      </c>
      <c r="I448" s="392"/>
      <c r="J448" s="392"/>
      <c r="K448" s="392" t="s">
        <v>5991</v>
      </c>
      <c r="L448" s="392" t="s">
        <v>197</v>
      </c>
      <c r="M448" s="392"/>
      <c r="N448" s="393" t="s">
        <v>44</v>
      </c>
      <c r="O448" s="393" t="s">
        <v>69</v>
      </c>
      <c r="P448" s="393" t="s">
        <v>69</v>
      </c>
      <c r="Q448" s="392" t="s">
        <v>172</v>
      </c>
      <c r="R448" s="392" t="s">
        <v>4685</v>
      </c>
      <c r="S448" s="428" t="s">
        <v>205</v>
      </c>
      <c r="T448" s="394">
        <v>1</v>
      </c>
      <c r="U448" s="395">
        <v>10.154</v>
      </c>
      <c r="V448" s="395"/>
      <c r="W448" s="453"/>
      <c r="X448" s="394"/>
      <c r="Y448" s="394">
        <v>10</v>
      </c>
      <c r="Z448" s="394">
        <v>20</v>
      </c>
      <c r="AA448" s="395">
        <v>0</v>
      </c>
      <c r="AB448" s="452">
        <v>41671</v>
      </c>
      <c r="AC448" s="398">
        <v>0</v>
      </c>
      <c r="AD448" s="398">
        <v>101.53999999999999</v>
      </c>
      <c r="AE448" s="393" t="s">
        <v>47</v>
      </c>
      <c r="AF448" s="417"/>
      <c r="AG448" s="417">
        <f>8.086+8.76</f>
        <v>16.846</v>
      </c>
      <c r="AH448" s="417">
        <v>16.846</v>
      </c>
      <c r="AI448" s="394"/>
      <c r="AJ448" s="453">
        <v>43200</v>
      </c>
      <c r="AK448" s="452">
        <v>42369</v>
      </c>
      <c r="AL448" s="393"/>
      <c r="AM448" s="393"/>
      <c r="AN448" s="417"/>
      <c r="AO448" s="392"/>
      <c r="AP448" s="392" t="s">
        <v>7060</v>
      </c>
      <c r="AQ448" s="392"/>
      <c r="AR448" s="392" t="s">
        <v>199</v>
      </c>
      <c r="AS448" s="480"/>
      <c r="AT448" s="453"/>
      <c r="AU448" s="453"/>
      <c r="AV448" s="453"/>
      <c r="AW448" s="453"/>
      <c r="AX448" s="453"/>
      <c r="AY448" s="453"/>
      <c r="AZ448" s="452">
        <v>41722</v>
      </c>
      <c r="BA448" s="393"/>
      <c r="BB448" s="393"/>
      <c r="BC448" s="393" t="b">
        <v>0</v>
      </c>
      <c r="BD448" s="393"/>
      <c r="BE448" s="392"/>
      <c r="BF448" s="394">
        <v>9</v>
      </c>
      <c r="BG448" s="394">
        <v>8</v>
      </c>
      <c r="BH448" s="394">
        <v>1</v>
      </c>
      <c r="BI448" s="394">
        <v>4</v>
      </c>
      <c r="BJ448" s="394">
        <v>6</v>
      </c>
      <c r="BK448" s="394"/>
      <c r="BL448" s="444" t="s">
        <v>6981</v>
      </c>
      <c r="BM448" s="392"/>
      <c r="BN448" s="393"/>
      <c r="BO448" s="393"/>
      <c r="BP448" s="399"/>
      <c r="BQ448" s="400"/>
      <c r="BR448" s="401"/>
      <c r="BS448" s="399"/>
      <c r="BT448" s="394"/>
      <c r="BU448" s="417"/>
      <c r="BV448" s="399"/>
      <c r="BW448" s="393" t="s">
        <v>3117</v>
      </c>
      <c r="BX448" s="392" t="s">
        <v>4364</v>
      </c>
      <c r="BY448" s="393" t="s">
        <v>7224</v>
      </c>
      <c r="BZ448" s="393"/>
      <c r="CA448" s="441"/>
      <c r="CB448" s="400"/>
      <c r="CC448" s="398"/>
      <c r="CD448" s="398"/>
      <c r="CE448" s="398"/>
      <c r="CF448" s="398"/>
      <c r="CG448" s="398"/>
      <c r="CH448" s="398"/>
      <c r="CI448" s="398"/>
      <c r="CJ448" s="398">
        <v>10.154</v>
      </c>
      <c r="CK448" s="398">
        <v>10.154</v>
      </c>
      <c r="CL448" s="398">
        <v>10.154</v>
      </c>
      <c r="CM448" s="398">
        <v>10.154</v>
      </c>
      <c r="CN448" s="398">
        <v>10.154</v>
      </c>
      <c r="CO448" s="398">
        <v>10.154</v>
      </c>
      <c r="CP448" s="398">
        <v>10.154</v>
      </c>
      <c r="CQ448" s="398">
        <v>10.154</v>
      </c>
      <c r="CR448" s="398">
        <v>10.154</v>
      </c>
      <c r="CS448" s="398">
        <v>10.154</v>
      </c>
      <c r="CT448" s="398"/>
      <c r="CU448" s="398"/>
      <c r="CV448" s="398"/>
      <c r="CW448" s="398"/>
      <c r="CX448" s="398"/>
      <c r="CY448" s="398"/>
      <c r="CZ448" s="398"/>
      <c r="DA448" s="398"/>
      <c r="DB448" s="398"/>
      <c r="DC448" s="398"/>
      <c r="DD448" s="398"/>
      <c r="DE448" s="393"/>
      <c r="DF448" s="393"/>
      <c r="DG448" s="393"/>
      <c r="DH448" s="393"/>
      <c r="DI448" s="393"/>
      <c r="DJ448" s="393"/>
      <c r="DK448" s="897"/>
    </row>
    <row r="449" spans="1:115" ht="38.25" x14ac:dyDescent="0.2">
      <c r="A449" s="295">
        <v>445</v>
      </c>
      <c r="B449" s="390" t="s">
        <v>5992</v>
      </c>
      <c r="C449" s="390"/>
      <c r="D449" s="391" t="s">
        <v>5993</v>
      </c>
      <c r="E449" s="704" t="s">
        <v>5994</v>
      </c>
      <c r="F449" s="393" t="s">
        <v>1352</v>
      </c>
      <c r="G449" s="393" t="s">
        <v>1671</v>
      </c>
      <c r="H449" s="393" t="s">
        <v>117</v>
      </c>
      <c r="I449" s="392"/>
      <c r="J449" s="392"/>
      <c r="K449" s="392" t="s">
        <v>5995</v>
      </c>
      <c r="L449" s="392" t="s">
        <v>197</v>
      </c>
      <c r="M449" s="392"/>
      <c r="N449" s="393" t="s">
        <v>44</v>
      </c>
      <c r="O449" s="393" t="s">
        <v>69</v>
      </c>
      <c r="P449" s="393" t="s">
        <v>69</v>
      </c>
      <c r="Q449" s="392" t="s">
        <v>172</v>
      </c>
      <c r="R449" s="392" t="s">
        <v>4685</v>
      </c>
      <c r="S449" s="428" t="s">
        <v>205</v>
      </c>
      <c r="T449" s="394">
        <v>1</v>
      </c>
      <c r="U449" s="395">
        <v>10.244</v>
      </c>
      <c r="V449" s="395"/>
      <c r="W449" s="453"/>
      <c r="X449" s="394"/>
      <c r="Y449" s="394">
        <v>10</v>
      </c>
      <c r="Z449" s="394">
        <v>20</v>
      </c>
      <c r="AA449" s="395">
        <v>0</v>
      </c>
      <c r="AB449" s="452">
        <v>41671</v>
      </c>
      <c r="AC449" s="398">
        <v>0</v>
      </c>
      <c r="AD449" s="398">
        <v>102.44</v>
      </c>
      <c r="AE449" s="393" t="s">
        <v>47</v>
      </c>
      <c r="AF449" s="417"/>
      <c r="AG449" s="417">
        <f>7.966+8.712</f>
        <v>16.678000000000001</v>
      </c>
      <c r="AH449" s="417">
        <v>16.678000000000001</v>
      </c>
      <c r="AI449" s="394"/>
      <c r="AJ449" s="453">
        <v>43200</v>
      </c>
      <c r="AK449" s="452">
        <v>42369</v>
      </c>
      <c r="AL449" s="393"/>
      <c r="AM449" s="393"/>
      <c r="AN449" s="417"/>
      <c r="AO449" s="392"/>
      <c r="AP449" s="392" t="s">
        <v>7060</v>
      </c>
      <c r="AQ449" s="392"/>
      <c r="AR449" s="392" t="s">
        <v>199</v>
      </c>
      <c r="AS449" s="480"/>
      <c r="AT449" s="453"/>
      <c r="AU449" s="453"/>
      <c r="AV449" s="453"/>
      <c r="AW449" s="453"/>
      <c r="AX449" s="453"/>
      <c r="AY449" s="453"/>
      <c r="AZ449" s="452">
        <v>41722</v>
      </c>
      <c r="BA449" s="393"/>
      <c r="BB449" s="393"/>
      <c r="BC449" s="393" t="b">
        <v>0</v>
      </c>
      <c r="BD449" s="393"/>
      <c r="BE449" s="392"/>
      <c r="BF449" s="394">
        <v>9</v>
      </c>
      <c r="BG449" s="394">
        <v>8</v>
      </c>
      <c r="BH449" s="394">
        <v>1</v>
      </c>
      <c r="BI449" s="394">
        <v>4</v>
      </c>
      <c r="BJ449" s="394">
        <v>6</v>
      </c>
      <c r="BK449" s="394"/>
      <c r="BL449" s="444" t="s">
        <v>6981</v>
      </c>
      <c r="BM449" s="392"/>
      <c r="BN449" s="393"/>
      <c r="BO449" s="393"/>
      <c r="BP449" s="399"/>
      <c r="BQ449" s="400"/>
      <c r="BR449" s="401"/>
      <c r="BS449" s="399"/>
      <c r="BT449" s="394"/>
      <c r="BU449" s="417"/>
      <c r="BV449" s="399"/>
      <c r="BW449" s="393" t="s">
        <v>3117</v>
      </c>
      <c r="BX449" s="392" t="s">
        <v>4364</v>
      </c>
      <c r="BY449" s="393" t="s">
        <v>7224</v>
      </c>
      <c r="BZ449" s="393"/>
      <c r="CA449" s="441"/>
      <c r="CB449" s="400"/>
      <c r="CC449" s="398"/>
      <c r="CD449" s="398"/>
      <c r="CE449" s="398"/>
      <c r="CF449" s="398"/>
      <c r="CG449" s="398"/>
      <c r="CH449" s="398"/>
      <c r="CI449" s="398"/>
      <c r="CJ449" s="398">
        <v>10.244</v>
      </c>
      <c r="CK449" s="398">
        <v>10.244</v>
      </c>
      <c r="CL449" s="398">
        <v>10.244</v>
      </c>
      <c r="CM449" s="398">
        <v>10.244</v>
      </c>
      <c r="CN449" s="398">
        <v>10.244</v>
      </c>
      <c r="CO449" s="398">
        <v>10.244</v>
      </c>
      <c r="CP449" s="398">
        <v>10.244</v>
      </c>
      <c r="CQ449" s="398">
        <v>10.244</v>
      </c>
      <c r="CR449" s="398">
        <v>10.244</v>
      </c>
      <c r="CS449" s="398">
        <v>10.244</v>
      </c>
      <c r="CT449" s="398"/>
      <c r="CU449" s="398"/>
      <c r="CV449" s="398"/>
      <c r="CW449" s="398"/>
      <c r="CX449" s="398"/>
      <c r="CY449" s="398"/>
      <c r="CZ449" s="398"/>
      <c r="DA449" s="398"/>
      <c r="DB449" s="398"/>
      <c r="DC449" s="398"/>
      <c r="DD449" s="398"/>
      <c r="DE449" s="393"/>
      <c r="DF449" s="393"/>
      <c r="DG449" s="393"/>
      <c r="DH449" s="393"/>
      <c r="DI449" s="393"/>
      <c r="DJ449" s="393"/>
      <c r="DK449" s="897"/>
    </row>
    <row r="450" spans="1:115" ht="38.25" x14ac:dyDescent="0.2">
      <c r="A450" s="295">
        <v>446</v>
      </c>
      <c r="B450" s="390" t="s">
        <v>5996</v>
      </c>
      <c r="C450" s="390"/>
      <c r="D450" s="391" t="s">
        <v>5997</v>
      </c>
      <c r="E450" s="704" t="s">
        <v>5998</v>
      </c>
      <c r="F450" s="393" t="s">
        <v>1352</v>
      </c>
      <c r="G450" s="393" t="s">
        <v>1671</v>
      </c>
      <c r="H450" s="393" t="s">
        <v>117</v>
      </c>
      <c r="I450" s="392"/>
      <c r="J450" s="392"/>
      <c r="K450" s="392" t="s">
        <v>5999</v>
      </c>
      <c r="L450" s="392" t="s">
        <v>197</v>
      </c>
      <c r="M450" s="392"/>
      <c r="N450" s="393" t="s">
        <v>44</v>
      </c>
      <c r="O450" s="393" t="s">
        <v>69</v>
      </c>
      <c r="P450" s="393" t="s">
        <v>69</v>
      </c>
      <c r="Q450" s="392" t="s">
        <v>172</v>
      </c>
      <c r="R450" s="392" t="s">
        <v>4685</v>
      </c>
      <c r="S450" s="428" t="s">
        <v>205</v>
      </c>
      <c r="T450" s="394">
        <v>1</v>
      </c>
      <c r="U450" s="395">
        <v>10.244</v>
      </c>
      <c r="V450" s="395"/>
      <c r="W450" s="453"/>
      <c r="X450" s="394"/>
      <c r="Y450" s="394">
        <v>10</v>
      </c>
      <c r="Z450" s="394">
        <v>20</v>
      </c>
      <c r="AA450" s="395">
        <v>0</v>
      </c>
      <c r="AB450" s="452">
        <v>41671</v>
      </c>
      <c r="AC450" s="398">
        <v>0</v>
      </c>
      <c r="AD450" s="398">
        <v>102.44</v>
      </c>
      <c r="AE450" s="393" t="s">
        <v>47</v>
      </c>
      <c r="AF450" s="417"/>
      <c r="AG450" s="417">
        <f>8.105+8.712</f>
        <v>16.817</v>
      </c>
      <c r="AH450" s="417">
        <v>16.817</v>
      </c>
      <c r="AI450" s="394"/>
      <c r="AJ450" s="453">
        <v>43200</v>
      </c>
      <c r="AK450" s="452">
        <v>42369</v>
      </c>
      <c r="AL450" s="393"/>
      <c r="AM450" s="393"/>
      <c r="AN450" s="417"/>
      <c r="AO450" s="392"/>
      <c r="AP450" s="392" t="s">
        <v>7060</v>
      </c>
      <c r="AQ450" s="392"/>
      <c r="AR450" s="392" t="s">
        <v>199</v>
      </c>
      <c r="AS450" s="480"/>
      <c r="AT450" s="453"/>
      <c r="AU450" s="453"/>
      <c r="AV450" s="453"/>
      <c r="AW450" s="453"/>
      <c r="AX450" s="453"/>
      <c r="AY450" s="453"/>
      <c r="AZ450" s="452">
        <v>41722</v>
      </c>
      <c r="BA450" s="393"/>
      <c r="BB450" s="393"/>
      <c r="BC450" s="393" t="b">
        <v>0</v>
      </c>
      <c r="BD450" s="393"/>
      <c r="BE450" s="392"/>
      <c r="BF450" s="394">
        <v>9</v>
      </c>
      <c r="BG450" s="394">
        <v>8</v>
      </c>
      <c r="BH450" s="394">
        <v>1</v>
      </c>
      <c r="BI450" s="394">
        <v>4</v>
      </c>
      <c r="BJ450" s="394">
        <v>6</v>
      </c>
      <c r="BK450" s="394"/>
      <c r="BL450" s="444" t="s">
        <v>6981</v>
      </c>
      <c r="BM450" s="392"/>
      <c r="BN450" s="393"/>
      <c r="BO450" s="393"/>
      <c r="BP450" s="399"/>
      <c r="BQ450" s="400"/>
      <c r="BR450" s="401"/>
      <c r="BS450" s="399"/>
      <c r="BT450" s="394"/>
      <c r="BU450" s="417"/>
      <c r="BV450" s="399"/>
      <c r="BW450" s="393" t="s">
        <v>3117</v>
      </c>
      <c r="BX450" s="392" t="s">
        <v>4364</v>
      </c>
      <c r="BY450" s="393" t="s">
        <v>7224</v>
      </c>
      <c r="BZ450" s="393"/>
      <c r="CA450" s="441"/>
      <c r="CB450" s="400"/>
      <c r="CC450" s="398"/>
      <c r="CD450" s="398"/>
      <c r="CE450" s="398"/>
      <c r="CF450" s="398"/>
      <c r="CG450" s="398"/>
      <c r="CH450" s="398"/>
      <c r="CI450" s="398"/>
      <c r="CJ450" s="398">
        <v>10.244</v>
      </c>
      <c r="CK450" s="398">
        <v>10.244</v>
      </c>
      <c r="CL450" s="398">
        <v>10.244</v>
      </c>
      <c r="CM450" s="398">
        <v>10.244</v>
      </c>
      <c r="CN450" s="398">
        <v>10.244</v>
      </c>
      <c r="CO450" s="398">
        <v>10.244</v>
      </c>
      <c r="CP450" s="398">
        <v>10.244</v>
      </c>
      <c r="CQ450" s="398">
        <v>10.244</v>
      </c>
      <c r="CR450" s="398">
        <v>10.244</v>
      </c>
      <c r="CS450" s="398">
        <v>10.244</v>
      </c>
      <c r="CT450" s="398"/>
      <c r="CU450" s="398"/>
      <c r="CV450" s="398"/>
      <c r="CW450" s="398"/>
      <c r="CX450" s="398"/>
      <c r="CY450" s="398"/>
      <c r="CZ450" s="398"/>
      <c r="DA450" s="398"/>
      <c r="DB450" s="398"/>
      <c r="DC450" s="398"/>
      <c r="DD450" s="398"/>
      <c r="DE450" s="393"/>
      <c r="DF450" s="393"/>
      <c r="DG450" s="393"/>
      <c r="DH450" s="393"/>
      <c r="DI450" s="393"/>
      <c r="DJ450" s="393"/>
      <c r="DK450" s="897"/>
    </row>
    <row r="451" spans="1:115" ht="38.25" x14ac:dyDescent="0.2">
      <c r="A451" s="295">
        <v>447</v>
      </c>
      <c r="B451" s="390" t="s">
        <v>6000</v>
      </c>
      <c r="C451" s="390"/>
      <c r="D451" s="391" t="s">
        <v>6001</v>
      </c>
      <c r="E451" s="704" t="s">
        <v>6002</v>
      </c>
      <c r="F451" s="393" t="s">
        <v>1352</v>
      </c>
      <c r="G451" s="393" t="s">
        <v>1671</v>
      </c>
      <c r="H451" s="393" t="s">
        <v>117</v>
      </c>
      <c r="I451" s="392"/>
      <c r="J451" s="392"/>
      <c r="K451" s="392" t="s">
        <v>6003</v>
      </c>
      <c r="L451" s="392" t="s">
        <v>197</v>
      </c>
      <c r="M451" s="392"/>
      <c r="N451" s="393" t="s">
        <v>44</v>
      </c>
      <c r="O451" s="393" t="s">
        <v>69</v>
      </c>
      <c r="P451" s="393" t="s">
        <v>69</v>
      </c>
      <c r="Q451" s="392" t="s">
        <v>172</v>
      </c>
      <c r="R451" s="392" t="s">
        <v>4685</v>
      </c>
      <c r="S451" s="428" t="s">
        <v>205</v>
      </c>
      <c r="T451" s="394">
        <v>1</v>
      </c>
      <c r="U451" s="395">
        <v>10.256</v>
      </c>
      <c r="V451" s="395"/>
      <c r="W451" s="453"/>
      <c r="X451" s="394"/>
      <c r="Y451" s="394">
        <v>10</v>
      </c>
      <c r="Z451" s="394">
        <v>20</v>
      </c>
      <c r="AA451" s="395">
        <v>0</v>
      </c>
      <c r="AB451" s="452">
        <v>41671</v>
      </c>
      <c r="AC451" s="398">
        <v>0</v>
      </c>
      <c r="AD451" s="398">
        <v>102.56</v>
      </c>
      <c r="AE451" s="393" t="s">
        <v>47</v>
      </c>
      <c r="AF451" s="417"/>
      <c r="AG451" s="417">
        <f>8.007+8.726</f>
        <v>16.733000000000001</v>
      </c>
      <c r="AH451" s="417">
        <v>16.733000000000001</v>
      </c>
      <c r="AI451" s="394"/>
      <c r="AJ451" s="453">
        <v>43200</v>
      </c>
      <c r="AK451" s="452">
        <v>42369</v>
      </c>
      <c r="AL451" s="393"/>
      <c r="AM451" s="393"/>
      <c r="AN451" s="417"/>
      <c r="AO451" s="392"/>
      <c r="AP451" s="392" t="s">
        <v>7060</v>
      </c>
      <c r="AQ451" s="392"/>
      <c r="AR451" s="392" t="s">
        <v>199</v>
      </c>
      <c r="AS451" s="480"/>
      <c r="AT451" s="453"/>
      <c r="AU451" s="453"/>
      <c r="AV451" s="453"/>
      <c r="AW451" s="453"/>
      <c r="AX451" s="453"/>
      <c r="AY451" s="453"/>
      <c r="AZ451" s="452">
        <v>41722</v>
      </c>
      <c r="BA451" s="393"/>
      <c r="BB451" s="393"/>
      <c r="BC451" s="393" t="b">
        <v>0</v>
      </c>
      <c r="BD451" s="393"/>
      <c r="BE451" s="392"/>
      <c r="BF451" s="394">
        <v>9</v>
      </c>
      <c r="BG451" s="394">
        <v>8</v>
      </c>
      <c r="BH451" s="394">
        <v>1</v>
      </c>
      <c r="BI451" s="394">
        <v>4</v>
      </c>
      <c r="BJ451" s="394">
        <v>6</v>
      </c>
      <c r="BK451" s="394"/>
      <c r="BL451" s="444" t="s">
        <v>6981</v>
      </c>
      <c r="BM451" s="392"/>
      <c r="BN451" s="393"/>
      <c r="BO451" s="393"/>
      <c r="BP451" s="399"/>
      <c r="BQ451" s="400"/>
      <c r="BR451" s="401"/>
      <c r="BS451" s="399"/>
      <c r="BT451" s="394"/>
      <c r="BU451" s="417"/>
      <c r="BV451" s="399"/>
      <c r="BW451" s="393" t="s">
        <v>3117</v>
      </c>
      <c r="BX451" s="392" t="s">
        <v>4364</v>
      </c>
      <c r="BY451" s="393" t="s">
        <v>7224</v>
      </c>
      <c r="BZ451" s="393"/>
      <c r="CA451" s="441"/>
      <c r="CB451" s="400"/>
      <c r="CC451" s="398"/>
      <c r="CD451" s="398"/>
      <c r="CE451" s="398"/>
      <c r="CF451" s="398"/>
      <c r="CG451" s="398"/>
      <c r="CH451" s="398"/>
      <c r="CI451" s="398"/>
      <c r="CJ451" s="398">
        <v>10.256</v>
      </c>
      <c r="CK451" s="398">
        <v>10.256</v>
      </c>
      <c r="CL451" s="398">
        <v>10.256</v>
      </c>
      <c r="CM451" s="398">
        <v>10.256</v>
      </c>
      <c r="CN451" s="398">
        <v>10.256</v>
      </c>
      <c r="CO451" s="398">
        <v>10.256</v>
      </c>
      <c r="CP451" s="398">
        <v>10.256</v>
      </c>
      <c r="CQ451" s="398">
        <v>10.256</v>
      </c>
      <c r="CR451" s="398">
        <v>10.256</v>
      </c>
      <c r="CS451" s="398">
        <v>10.256</v>
      </c>
      <c r="CT451" s="398"/>
      <c r="CU451" s="398"/>
      <c r="CV451" s="398"/>
      <c r="CW451" s="398"/>
      <c r="CX451" s="398"/>
      <c r="CY451" s="398"/>
      <c r="CZ451" s="398"/>
      <c r="DA451" s="398"/>
      <c r="DB451" s="398"/>
      <c r="DC451" s="398"/>
      <c r="DD451" s="398"/>
      <c r="DE451" s="393"/>
      <c r="DF451" s="393"/>
      <c r="DG451" s="393"/>
      <c r="DH451" s="393"/>
      <c r="DI451" s="393"/>
      <c r="DJ451" s="393"/>
      <c r="DK451" s="897"/>
    </row>
    <row r="452" spans="1:115" ht="25.5" x14ac:dyDescent="0.2">
      <c r="A452" s="295">
        <v>448</v>
      </c>
      <c r="B452" s="390" t="s">
        <v>6004</v>
      </c>
      <c r="C452" s="390"/>
      <c r="D452" s="391" t="s">
        <v>6005</v>
      </c>
      <c r="E452" s="704" t="s">
        <v>6006</v>
      </c>
      <c r="F452" s="393" t="s">
        <v>1352</v>
      </c>
      <c r="G452" s="393" t="s">
        <v>1671</v>
      </c>
      <c r="H452" s="393" t="s">
        <v>117</v>
      </c>
      <c r="I452" s="392"/>
      <c r="J452" s="392"/>
      <c r="K452" s="392" t="s">
        <v>6007</v>
      </c>
      <c r="L452" s="392" t="s">
        <v>197</v>
      </c>
      <c r="M452" s="392"/>
      <c r="N452" s="393" t="s">
        <v>44</v>
      </c>
      <c r="O452" s="393" t="s">
        <v>69</v>
      </c>
      <c r="P452" s="393" t="s">
        <v>69</v>
      </c>
      <c r="Q452" s="392" t="s">
        <v>172</v>
      </c>
      <c r="R452" s="392" t="s">
        <v>4685</v>
      </c>
      <c r="S452" s="428" t="s">
        <v>205</v>
      </c>
      <c r="T452" s="394">
        <v>1</v>
      </c>
      <c r="U452" s="395">
        <v>10.395</v>
      </c>
      <c r="V452" s="395"/>
      <c r="W452" s="453"/>
      <c r="X452" s="394"/>
      <c r="Y452" s="394">
        <v>10</v>
      </c>
      <c r="Z452" s="394">
        <v>20</v>
      </c>
      <c r="AA452" s="395">
        <v>0</v>
      </c>
      <c r="AB452" s="452">
        <v>41671</v>
      </c>
      <c r="AC452" s="398">
        <v>0</v>
      </c>
      <c r="AD452" s="398">
        <v>103.94999999999999</v>
      </c>
      <c r="AE452" s="393" t="s">
        <v>47</v>
      </c>
      <c r="AF452" s="417"/>
      <c r="AG452" s="417">
        <f>8.105+9.107</f>
        <v>17.212</v>
      </c>
      <c r="AH452" s="417">
        <v>17.212</v>
      </c>
      <c r="AI452" s="394"/>
      <c r="AJ452" s="453">
        <v>43200</v>
      </c>
      <c r="AK452" s="452">
        <v>42369</v>
      </c>
      <c r="AL452" s="393"/>
      <c r="AM452" s="393"/>
      <c r="AN452" s="417"/>
      <c r="AO452" s="392"/>
      <c r="AP452" s="392" t="s">
        <v>7060</v>
      </c>
      <c r="AQ452" s="392"/>
      <c r="AR452" s="392" t="s">
        <v>199</v>
      </c>
      <c r="AS452" s="480"/>
      <c r="AT452" s="453"/>
      <c r="AU452" s="453"/>
      <c r="AV452" s="453"/>
      <c r="AW452" s="453"/>
      <c r="AX452" s="453"/>
      <c r="AY452" s="453"/>
      <c r="AZ452" s="452">
        <v>41722</v>
      </c>
      <c r="BA452" s="393"/>
      <c r="BB452" s="393"/>
      <c r="BC452" s="393" t="b">
        <v>0</v>
      </c>
      <c r="BD452" s="393"/>
      <c r="BE452" s="392"/>
      <c r="BF452" s="394">
        <v>9</v>
      </c>
      <c r="BG452" s="394">
        <v>8</v>
      </c>
      <c r="BH452" s="394">
        <v>1</v>
      </c>
      <c r="BI452" s="394">
        <v>4</v>
      </c>
      <c r="BJ452" s="394">
        <v>6</v>
      </c>
      <c r="BK452" s="394"/>
      <c r="BL452" s="444" t="s">
        <v>6981</v>
      </c>
      <c r="BM452" s="392"/>
      <c r="BN452" s="393"/>
      <c r="BO452" s="393"/>
      <c r="BP452" s="399"/>
      <c r="BQ452" s="400"/>
      <c r="BR452" s="401"/>
      <c r="BS452" s="399"/>
      <c r="BT452" s="394"/>
      <c r="BU452" s="417"/>
      <c r="BV452" s="399"/>
      <c r="BW452" s="393" t="s">
        <v>3117</v>
      </c>
      <c r="BX452" s="392" t="s">
        <v>4364</v>
      </c>
      <c r="BY452" s="393" t="s">
        <v>7224</v>
      </c>
      <c r="BZ452" s="393"/>
      <c r="CA452" s="441"/>
      <c r="CB452" s="400"/>
      <c r="CC452" s="398"/>
      <c r="CD452" s="398"/>
      <c r="CE452" s="398"/>
      <c r="CF452" s="398"/>
      <c r="CG452" s="398"/>
      <c r="CH452" s="398"/>
      <c r="CI452" s="398"/>
      <c r="CJ452" s="398">
        <v>10.395</v>
      </c>
      <c r="CK452" s="398">
        <v>10.395</v>
      </c>
      <c r="CL452" s="398">
        <v>10.395</v>
      </c>
      <c r="CM452" s="398">
        <v>10.395</v>
      </c>
      <c r="CN452" s="398">
        <v>10.395</v>
      </c>
      <c r="CO452" s="398">
        <v>10.395</v>
      </c>
      <c r="CP452" s="398">
        <v>10.395</v>
      </c>
      <c r="CQ452" s="398">
        <v>10.395</v>
      </c>
      <c r="CR452" s="398">
        <v>10.395</v>
      </c>
      <c r="CS452" s="398">
        <v>10.395</v>
      </c>
      <c r="CT452" s="398"/>
      <c r="CU452" s="398"/>
      <c r="CV452" s="398"/>
      <c r="CW452" s="398"/>
      <c r="CX452" s="398"/>
      <c r="CY452" s="398"/>
      <c r="CZ452" s="398"/>
      <c r="DA452" s="398"/>
      <c r="DB452" s="398"/>
      <c r="DC452" s="398"/>
      <c r="DD452" s="398"/>
      <c r="DE452" s="393"/>
      <c r="DF452" s="393"/>
      <c r="DG452" s="393"/>
      <c r="DH452" s="393"/>
      <c r="DI452" s="393"/>
      <c r="DJ452" s="393"/>
      <c r="DK452" s="897"/>
    </row>
    <row r="453" spans="1:115" ht="25.5" x14ac:dyDescent="0.2">
      <c r="A453" s="295">
        <v>449</v>
      </c>
      <c r="B453" s="390" t="s">
        <v>6008</v>
      </c>
      <c r="C453" s="390"/>
      <c r="D453" s="391" t="s">
        <v>6009</v>
      </c>
      <c r="E453" s="704" t="s">
        <v>6010</v>
      </c>
      <c r="F453" s="393" t="s">
        <v>1352</v>
      </c>
      <c r="G453" s="393" t="s">
        <v>1671</v>
      </c>
      <c r="H453" s="393" t="s">
        <v>117</v>
      </c>
      <c r="I453" s="392"/>
      <c r="J453" s="392"/>
      <c r="K453" s="392" t="s">
        <v>6011</v>
      </c>
      <c r="L453" s="392" t="s">
        <v>197</v>
      </c>
      <c r="M453" s="392"/>
      <c r="N453" s="393" t="s">
        <v>44</v>
      </c>
      <c r="O453" s="393" t="s">
        <v>69</v>
      </c>
      <c r="P453" s="393" t="s">
        <v>69</v>
      </c>
      <c r="Q453" s="392" t="s">
        <v>172</v>
      </c>
      <c r="R453" s="392" t="s">
        <v>4685</v>
      </c>
      <c r="S453" s="428" t="s">
        <v>205</v>
      </c>
      <c r="T453" s="394">
        <v>1</v>
      </c>
      <c r="U453" s="395">
        <v>7.5650000000000004</v>
      </c>
      <c r="V453" s="395"/>
      <c r="W453" s="453"/>
      <c r="X453" s="394"/>
      <c r="Y453" s="394">
        <v>10</v>
      </c>
      <c r="Z453" s="394">
        <v>20</v>
      </c>
      <c r="AA453" s="395">
        <v>0</v>
      </c>
      <c r="AB453" s="452">
        <v>41671</v>
      </c>
      <c r="AC453" s="398">
        <v>0</v>
      </c>
      <c r="AD453" s="398">
        <v>75.650000000000006</v>
      </c>
      <c r="AE453" s="393" t="s">
        <v>47</v>
      </c>
      <c r="AF453" s="417"/>
      <c r="AG453" s="417">
        <f>5.899+6.631</f>
        <v>12.530000000000001</v>
      </c>
      <c r="AH453" s="417">
        <v>12.530000000000001</v>
      </c>
      <c r="AI453" s="394"/>
      <c r="AJ453" s="453">
        <v>43200</v>
      </c>
      <c r="AK453" s="452">
        <v>42369</v>
      </c>
      <c r="AL453" s="393"/>
      <c r="AM453" s="393"/>
      <c r="AN453" s="417"/>
      <c r="AO453" s="392"/>
      <c r="AP453" s="392" t="s">
        <v>7060</v>
      </c>
      <c r="AQ453" s="392"/>
      <c r="AR453" s="392" t="s">
        <v>199</v>
      </c>
      <c r="AS453" s="480"/>
      <c r="AT453" s="453"/>
      <c r="AU453" s="453"/>
      <c r="AV453" s="453"/>
      <c r="AW453" s="453"/>
      <c r="AX453" s="453"/>
      <c r="AY453" s="453"/>
      <c r="AZ453" s="452">
        <v>41722</v>
      </c>
      <c r="BA453" s="393"/>
      <c r="BB453" s="393"/>
      <c r="BC453" s="393" t="b">
        <v>0</v>
      </c>
      <c r="BD453" s="393"/>
      <c r="BE453" s="392"/>
      <c r="BF453" s="394">
        <v>9</v>
      </c>
      <c r="BG453" s="394">
        <v>8</v>
      </c>
      <c r="BH453" s="394">
        <v>1</v>
      </c>
      <c r="BI453" s="394">
        <v>4</v>
      </c>
      <c r="BJ453" s="394">
        <v>6</v>
      </c>
      <c r="BK453" s="394"/>
      <c r="BL453" s="444" t="s">
        <v>6981</v>
      </c>
      <c r="BM453" s="392"/>
      <c r="BN453" s="393"/>
      <c r="BO453" s="393"/>
      <c r="BP453" s="399"/>
      <c r="BQ453" s="400"/>
      <c r="BR453" s="401"/>
      <c r="BS453" s="399"/>
      <c r="BT453" s="394"/>
      <c r="BU453" s="417"/>
      <c r="BV453" s="399"/>
      <c r="BW453" s="393" t="s">
        <v>3117</v>
      </c>
      <c r="BX453" s="392" t="s">
        <v>4364</v>
      </c>
      <c r="BY453" s="393" t="s">
        <v>7224</v>
      </c>
      <c r="BZ453" s="393"/>
      <c r="CA453" s="441"/>
      <c r="CB453" s="400"/>
      <c r="CC453" s="398"/>
      <c r="CD453" s="398"/>
      <c r="CE453" s="398"/>
      <c r="CF453" s="398"/>
      <c r="CG453" s="398"/>
      <c r="CH453" s="398"/>
      <c r="CI453" s="398"/>
      <c r="CJ453" s="398">
        <v>7.5650000000000004</v>
      </c>
      <c r="CK453" s="398">
        <v>7.5650000000000004</v>
      </c>
      <c r="CL453" s="398">
        <v>7.5650000000000004</v>
      </c>
      <c r="CM453" s="398">
        <v>7.5650000000000004</v>
      </c>
      <c r="CN453" s="398">
        <v>7.5650000000000004</v>
      </c>
      <c r="CO453" s="398">
        <v>7.5650000000000004</v>
      </c>
      <c r="CP453" s="398">
        <v>7.5650000000000004</v>
      </c>
      <c r="CQ453" s="398">
        <v>7.5650000000000004</v>
      </c>
      <c r="CR453" s="398">
        <v>7.5650000000000004</v>
      </c>
      <c r="CS453" s="398">
        <v>7.5650000000000004</v>
      </c>
      <c r="CT453" s="398"/>
      <c r="CU453" s="398"/>
      <c r="CV453" s="398"/>
      <c r="CW453" s="398"/>
      <c r="CX453" s="398"/>
      <c r="CY453" s="398"/>
      <c r="CZ453" s="398"/>
      <c r="DA453" s="398"/>
      <c r="DB453" s="398"/>
      <c r="DC453" s="398"/>
      <c r="DD453" s="398"/>
      <c r="DE453" s="393"/>
      <c r="DF453" s="393"/>
      <c r="DG453" s="393"/>
      <c r="DH453" s="393"/>
      <c r="DI453" s="393"/>
      <c r="DJ453" s="393"/>
      <c r="DK453" s="897"/>
    </row>
    <row r="454" spans="1:115" ht="25.5" x14ac:dyDescent="0.2">
      <c r="A454" s="295">
        <v>450</v>
      </c>
      <c r="B454" s="390" t="s">
        <v>6796</v>
      </c>
      <c r="C454" s="390"/>
      <c r="D454" s="391" t="s">
        <v>6797</v>
      </c>
      <c r="E454" s="704" t="s">
        <v>6798</v>
      </c>
      <c r="F454" s="393" t="s">
        <v>1352</v>
      </c>
      <c r="G454" s="393" t="s">
        <v>1671</v>
      </c>
      <c r="H454" s="393" t="s">
        <v>117</v>
      </c>
      <c r="I454" s="392"/>
      <c r="J454" s="392"/>
      <c r="K454" s="392" t="s">
        <v>6799</v>
      </c>
      <c r="L454" s="392" t="s">
        <v>197</v>
      </c>
      <c r="M454" s="392"/>
      <c r="N454" s="393" t="s">
        <v>44</v>
      </c>
      <c r="O454" s="393" t="s">
        <v>69</v>
      </c>
      <c r="P454" s="393" t="s">
        <v>69</v>
      </c>
      <c r="Q454" s="392" t="s">
        <v>172</v>
      </c>
      <c r="R454" s="392" t="s">
        <v>4685</v>
      </c>
      <c r="S454" s="428" t="s">
        <v>205</v>
      </c>
      <c r="T454" s="394">
        <v>1</v>
      </c>
      <c r="U454" s="395">
        <v>10.571999999999999</v>
      </c>
      <c r="V454" s="395"/>
      <c r="W454" s="453"/>
      <c r="X454" s="394"/>
      <c r="Y454" s="394">
        <v>10</v>
      </c>
      <c r="Z454" s="394">
        <v>20</v>
      </c>
      <c r="AA454" s="395">
        <v>0</v>
      </c>
      <c r="AB454" s="452">
        <v>42036</v>
      </c>
      <c r="AC454" s="398">
        <v>0</v>
      </c>
      <c r="AD454" s="398">
        <v>105.72</v>
      </c>
      <c r="AE454" s="393" t="s">
        <v>47</v>
      </c>
      <c r="AF454" s="417"/>
      <c r="AG454" s="417">
        <f>8.334</f>
        <v>8.3339999999999996</v>
      </c>
      <c r="AH454" s="417">
        <v>8.3339999999999996</v>
      </c>
      <c r="AI454" s="394"/>
      <c r="AJ454" s="453">
        <v>43200</v>
      </c>
      <c r="AK454" s="452">
        <v>42369</v>
      </c>
      <c r="AL454" s="393"/>
      <c r="AM454" s="393"/>
      <c r="AN454" s="417"/>
      <c r="AO454" s="392"/>
      <c r="AP454" s="392" t="s">
        <v>7060</v>
      </c>
      <c r="AQ454" s="392"/>
      <c r="AR454" s="392" t="s">
        <v>199</v>
      </c>
      <c r="AS454" s="480"/>
      <c r="AT454" s="453"/>
      <c r="AU454" s="453"/>
      <c r="AV454" s="453"/>
      <c r="AW454" s="453"/>
      <c r="AX454" s="453"/>
      <c r="AY454" s="453"/>
      <c r="AZ454" s="452">
        <v>42033</v>
      </c>
      <c r="BA454" s="393"/>
      <c r="BB454" s="393"/>
      <c r="BC454" s="393" t="b">
        <v>0</v>
      </c>
      <c r="BD454" s="393"/>
      <c r="BE454" s="392"/>
      <c r="BF454" s="394">
        <v>9</v>
      </c>
      <c r="BG454" s="394">
        <v>8</v>
      </c>
      <c r="BH454" s="394">
        <v>1</v>
      </c>
      <c r="BI454" s="394">
        <v>4</v>
      </c>
      <c r="BJ454" s="394">
        <v>6</v>
      </c>
      <c r="BK454" s="394"/>
      <c r="BL454" s="444" t="s">
        <v>6981</v>
      </c>
      <c r="BM454" s="392"/>
      <c r="BN454" s="393"/>
      <c r="BO454" s="393"/>
      <c r="BP454" s="399"/>
      <c r="BQ454" s="400"/>
      <c r="BR454" s="401"/>
      <c r="BS454" s="399"/>
      <c r="BT454" s="394"/>
      <c r="BU454" s="417"/>
      <c r="BV454" s="399"/>
      <c r="BW454" s="393" t="s">
        <v>3117</v>
      </c>
      <c r="BX454" s="392" t="s">
        <v>4364</v>
      </c>
      <c r="BY454" s="393" t="s">
        <v>7224</v>
      </c>
      <c r="BZ454" s="393"/>
      <c r="CA454" s="441"/>
      <c r="CB454" s="400"/>
      <c r="CC454" s="398"/>
      <c r="CD454" s="398"/>
      <c r="CE454" s="398"/>
      <c r="CF454" s="398"/>
      <c r="CG454" s="398"/>
      <c r="CH454" s="398"/>
      <c r="CI454" s="398"/>
      <c r="CJ454" s="398"/>
      <c r="CK454" s="398">
        <v>10.571999999999999</v>
      </c>
      <c r="CL454" s="398">
        <v>10.571999999999999</v>
      </c>
      <c r="CM454" s="398">
        <v>10.571999999999999</v>
      </c>
      <c r="CN454" s="398">
        <v>10.571999999999999</v>
      </c>
      <c r="CO454" s="398">
        <v>10.571999999999999</v>
      </c>
      <c r="CP454" s="398">
        <v>10.571999999999999</v>
      </c>
      <c r="CQ454" s="398">
        <v>10.571999999999999</v>
      </c>
      <c r="CR454" s="398"/>
      <c r="CS454" s="398"/>
      <c r="CT454" s="398"/>
      <c r="CU454" s="398"/>
      <c r="CV454" s="398"/>
      <c r="CW454" s="398"/>
      <c r="CX454" s="398"/>
      <c r="CY454" s="398"/>
      <c r="CZ454" s="398"/>
      <c r="DA454" s="398"/>
      <c r="DB454" s="398"/>
      <c r="DC454" s="398"/>
      <c r="DD454" s="398"/>
      <c r="DE454" s="393"/>
      <c r="DF454" s="393"/>
      <c r="DG454" s="393"/>
      <c r="DH454" s="393"/>
      <c r="DI454" s="393"/>
      <c r="DJ454" s="393"/>
      <c r="DK454" s="897"/>
    </row>
    <row r="455" spans="1:115" ht="25.5" x14ac:dyDescent="0.2">
      <c r="A455" s="295">
        <v>451</v>
      </c>
      <c r="B455" s="390" t="s">
        <v>6800</v>
      </c>
      <c r="C455" s="390"/>
      <c r="D455" s="391" t="s">
        <v>6801</v>
      </c>
      <c r="E455" s="704" t="s">
        <v>6802</v>
      </c>
      <c r="F455" s="393" t="s">
        <v>1352</v>
      </c>
      <c r="G455" s="393" t="s">
        <v>1671</v>
      </c>
      <c r="H455" s="393" t="s">
        <v>117</v>
      </c>
      <c r="I455" s="392"/>
      <c r="J455" s="392"/>
      <c r="K455" s="392" t="s">
        <v>6803</v>
      </c>
      <c r="L455" s="392" t="s">
        <v>197</v>
      </c>
      <c r="M455" s="392"/>
      <c r="N455" s="393" t="s">
        <v>44</v>
      </c>
      <c r="O455" s="393" t="s">
        <v>69</v>
      </c>
      <c r="P455" s="393" t="s">
        <v>69</v>
      </c>
      <c r="Q455" s="392" t="s">
        <v>172</v>
      </c>
      <c r="R455" s="392" t="s">
        <v>4685</v>
      </c>
      <c r="S455" s="428" t="s">
        <v>205</v>
      </c>
      <c r="T455" s="394">
        <v>1</v>
      </c>
      <c r="U455" s="395">
        <v>10.244</v>
      </c>
      <c r="V455" s="395"/>
      <c r="W455" s="453"/>
      <c r="X455" s="394"/>
      <c r="Y455" s="394">
        <v>10</v>
      </c>
      <c r="Z455" s="394">
        <v>20</v>
      </c>
      <c r="AA455" s="395">
        <v>0</v>
      </c>
      <c r="AB455" s="452">
        <v>42036</v>
      </c>
      <c r="AC455" s="398">
        <v>0</v>
      </c>
      <c r="AD455" s="398">
        <v>102.44</v>
      </c>
      <c r="AE455" s="393" t="s">
        <v>47</v>
      </c>
      <c r="AF455" s="417"/>
      <c r="AG455" s="417">
        <f>7.972</f>
        <v>7.9720000000000004</v>
      </c>
      <c r="AH455" s="417">
        <v>7.9720000000000004</v>
      </c>
      <c r="AI455" s="394"/>
      <c r="AJ455" s="453">
        <v>43200</v>
      </c>
      <c r="AK455" s="452">
        <v>42369</v>
      </c>
      <c r="AL455" s="393"/>
      <c r="AM455" s="393"/>
      <c r="AN455" s="417"/>
      <c r="AO455" s="392"/>
      <c r="AP455" s="392" t="s">
        <v>7060</v>
      </c>
      <c r="AQ455" s="392"/>
      <c r="AR455" s="392" t="s">
        <v>199</v>
      </c>
      <c r="AS455" s="480"/>
      <c r="AT455" s="453"/>
      <c r="AU455" s="453"/>
      <c r="AV455" s="453"/>
      <c r="AW455" s="453"/>
      <c r="AX455" s="453"/>
      <c r="AY455" s="453"/>
      <c r="AZ455" s="452">
        <v>42033</v>
      </c>
      <c r="BA455" s="393"/>
      <c r="BB455" s="393"/>
      <c r="BC455" s="393" t="b">
        <v>0</v>
      </c>
      <c r="BD455" s="393"/>
      <c r="BE455" s="392"/>
      <c r="BF455" s="394">
        <v>9</v>
      </c>
      <c r="BG455" s="394">
        <v>8</v>
      </c>
      <c r="BH455" s="394">
        <v>1</v>
      </c>
      <c r="BI455" s="394">
        <v>4</v>
      </c>
      <c r="BJ455" s="394">
        <v>6</v>
      </c>
      <c r="BK455" s="394"/>
      <c r="BL455" s="444" t="s">
        <v>6981</v>
      </c>
      <c r="BM455" s="392"/>
      <c r="BN455" s="393"/>
      <c r="BO455" s="393"/>
      <c r="BP455" s="399"/>
      <c r="BQ455" s="400"/>
      <c r="BR455" s="401"/>
      <c r="BS455" s="399"/>
      <c r="BT455" s="394"/>
      <c r="BU455" s="417"/>
      <c r="BV455" s="399"/>
      <c r="BW455" s="393" t="s">
        <v>3117</v>
      </c>
      <c r="BX455" s="392" t="s">
        <v>4364</v>
      </c>
      <c r="BY455" s="393" t="s">
        <v>7224</v>
      </c>
      <c r="BZ455" s="393"/>
      <c r="CA455" s="441"/>
      <c r="CB455" s="400"/>
      <c r="CC455" s="398"/>
      <c r="CD455" s="398"/>
      <c r="CE455" s="398"/>
      <c r="CF455" s="398"/>
      <c r="CG455" s="398"/>
      <c r="CH455" s="398"/>
      <c r="CI455" s="398"/>
      <c r="CJ455" s="398"/>
      <c r="CK455" s="398">
        <v>10.244</v>
      </c>
      <c r="CL455" s="398">
        <v>10.244</v>
      </c>
      <c r="CM455" s="398">
        <v>10.244</v>
      </c>
      <c r="CN455" s="398">
        <v>10.244</v>
      </c>
      <c r="CO455" s="398">
        <v>10.244</v>
      </c>
      <c r="CP455" s="398">
        <v>10.244</v>
      </c>
      <c r="CQ455" s="398">
        <v>10.244</v>
      </c>
      <c r="CR455" s="398"/>
      <c r="CS455" s="398"/>
      <c r="CT455" s="398"/>
      <c r="CU455" s="398"/>
      <c r="CV455" s="398"/>
      <c r="CW455" s="398"/>
      <c r="CX455" s="398"/>
      <c r="CY455" s="398"/>
      <c r="CZ455" s="398"/>
      <c r="DA455" s="398"/>
      <c r="DB455" s="398"/>
      <c r="DC455" s="398"/>
      <c r="DD455" s="398"/>
      <c r="DE455" s="393"/>
      <c r="DF455" s="393"/>
      <c r="DG455" s="393"/>
      <c r="DH455" s="393"/>
      <c r="DI455" s="393"/>
      <c r="DJ455" s="393"/>
      <c r="DK455" s="897"/>
    </row>
    <row r="456" spans="1:115" ht="25.5" x14ac:dyDescent="0.2">
      <c r="A456" s="295">
        <v>452</v>
      </c>
      <c r="B456" s="390" t="s">
        <v>6804</v>
      </c>
      <c r="C456" s="390"/>
      <c r="D456" s="391" t="s">
        <v>6805</v>
      </c>
      <c r="E456" s="704" t="s">
        <v>6806</v>
      </c>
      <c r="F456" s="393" t="s">
        <v>1352</v>
      </c>
      <c r="G456" s="393" t="s">
        <v>1671</v>
      </c>
      <c r="H456" s="393" t="s">
        <v>117</v>
      </c>
      <c r="I456" s="392"/>
      <c r="J456" s="392"/>
      <c r="K456" s="392" t="s">
        <v>6807</v>
      </c>
      <c r="L456" s="392" t="s">
        <v>197</v>
      </c>
      <c r="M456" s="392"/>
      <c r="N456" s="393" t="s">
        <v>44</v>
      </c>
      <c r="O456" s="393" t="s">
        <v>69</v>
      </c>
      <c r="P456" s="393" t="s">
        <v>69</v>
      </c>
      <c r="Q456" s="392" t="s">
        <v>172</v>
      </c>
      <c r="R456" s="392" t="s">
        <v>4685</v>
      </c>
      <c r="S456" s="428" t="s">
        <v>205</v>
      </c>
      <c r="T456" s="394">
        <v>1</v>
      </c>
      <c r="U456" s="395">
        <v>10.244</v>
      </c>
      <c r="V456" s="395"/>
      <c r="W456" s="453"/>
      <c r="X456" s="394"/>
      <c r="Y456" s="394">
        <v>10</v>
      </c>
      <c r="Z456" s="394">
        <v>20</v>
      </c>
      <c r="AA456" s="395">
        <v>0</v>
      </c>
      <c r="AB456" s="452">
        <v>42036</v>
      </c>
      <c r="AC456" s="398">
        <v>0</v>
      </c>
      <c r="AD456" s="398">
        <v>102.44</v>
      </c>
      <c r="AE456" s="393" t="s">
        <v>47</v>
      </c>
      <c r="AF456" s="417"/>
      <c r="AG456" s="417">
        <f>7.972</f>
        <v>7.9720000000000004</v>
      </c>
      <c r="AH456" s="417">
        <v>7.9720000000000004</v>
      </c>
      <c r="AI456" s="394"/>
      <c r="AJ456" s="453">
        <v>43200</v>
      </c>
      <c r="AK456" s="452">
        <v>42369</v>
      </c>
      <c r="AL456" s="393"/>
      <c r="AM456" s="393"/>
      <c r="AN456" s="417"/>
      <c r="AO456" s="392"/>
      <c r="AP456" s="392" t="s">
        <v>7060</v>
      </c>
      <c r="AQ456" s="392"/>
      <c r="AR456" s="392" t="s">
        <v>199</v>
      </c>
      <c r="AS456" s="480"/>
      <c r="AT456" s="453"/>
      <c r="AU456" s="453"/>
      <c r="AV456" s="453"/>
      <c r="AW456" s="453"/>
      <c r="AX456" s="453"/>
      <c r="AY456" s="453"/>
      <c r="AZ456" s="452">
        <v>42033</v>
      </c>
      <c r="BA456" s="393"/>
      <c r="BB456" s="393"/>
      <c r="BC456" s="393" t="b">
        <v>0</v>
      </c>
      <c r="BD456" s="393"/>
      <c r="BE456" s="392"/>
      <c r="BF456" s="394">
        <v>9</v>
      </c>
      <c r="BG456" s="394">
        <v>8</v>
      </c>
      <c r="BH456" s="394">
        <v>1</v>
      </c>
      <c r="BI456" s="394">
        <v>4</v>
      </c>
      <c r="BJ456" s="394">
        <v>6</v>
      </c>
      <c r="BK456" s="394"/>
      <c r="BL456" s="444" t="s">
        <v>6981</v>
      </c>
      <c r="BM456" s="392"/>
      <c r="BN456" s="393"/>
      <c r="BO456" s="393"/>
      <c r="BP456" s="399"/>
      <c r="BQ456" s="400"/>
      <c r="BR456" s="401"/>
      <c r="BS456" s="399"/>
      <c r="BT456" s="394"/>
      <c r="BU456" s="417"/>
      <c r="BV456" s="399"/>
      <c r="BW456" s="393" t="s">
        <v>3117</v>
      </c>
      <c r="BX456" s="392" t="s">
        <v>4364</v>
      </c>
      <c r="BY456" s="393" t="s">
        <v>7224</v>
      </c>
      <c r="BZ456" s="393"/>
      <c r="CA456" s="441"/>
      <c r="CB456" s="400"/>
      <c r="CC456" s="398"/>
      <c r="CD456" s="398"/>
      <c r="CE456" s="398"/>
      <c r="CF456" s="398"/>
      <c r="CG456" s="398"/>
      <c r="CH456" s="398"/>
      <c r="CI456" s="398"/>
      <c r="CJ456" s="398"/>
      <c r="CK456" s="398">
        <v>10.244</v>
      </c>
      <c r="CL456" s="398">
        <v>10.244</v>
      </c>
      <c r="CM456" s="398">
        <v>10.244</v>
      </c>
      <c r="CN456" s="398">
        <v>10.244</v>
      </c>
      <c r="CO456" s="398">
        <v>10.244</v>
      </c>
      <c r="CP456" s="398">
        <v>10.244</v>
      </c>
      <c r="CQ456" s="398">
        <v>10.244</v>
      </c>
      <c r="CR456" s="398"/>
      <c r="CS456" s="398"/>
      <c r="CT456" s="398"/>
      <c r="CU456" s="398"/>
      <c r="CV456" s="398"/>
      <c r="CW456" s="398"/>
      <c r="CX456" s="398"/>
      <c r="CY456" s="398"/>
      <c r="CZ456" s="398"/>
      <c r="DA456" s="398"/>
      <c r="DB456" s="398"/>
      <c r="DC456" s="398"/>
      <c r="DD456" s="398"/>
      <c r="DE456" s="393"/>
      <c r="DF456" s="393"/>
      <c r="DG456" s="393"/>
      <c r="DH456" s="393"/>
      <c r="DI456" s="393"/>
      <c r="DJ456" s="393"/>
      <c r="DK456" s="897"/>
    </row>
    <row r="457" spans="1:115" ht="25.5" x14ac:dyDescent="0.2">
      <c r="A457" s="295">
        <v>453</v>
      </c>
      <c r="B457" s="390" t="s">
        <v>6808</v>
      </c>
      <c r="C457" s="390"/>
      <c r="D457" s="391" t="s">
        <v>6809</v>
      </c>
      <c r="E457" s="704" t="s">
        <v>6810</v>
      </c>
      <c r="F457" s="393" t="s">
        <v>1352</v>
      </c>
      <c r="G457" s="393" t="s">
        <v>1671</v>
      </c>
      <c r="H457" s="393" t="s">
        <v>117</v>
      </c>
      <c r="I457" s="392"/>
      <c r="J457" s="392"/>
      <c r="K457" s="392" t="s">
        <v>6811</v>
      </c>
      <c r="L457" s="392" t="s">
        <v>197</v>
      </c>
      <c r="M457" s="392"/>
      <c r="N457" s="393" t="s">
        <v>44</v>
      </c>
      <c r="O457" s="393" t="s">
        <v>69</v>
      </c>
      <c r="P457" s="393" t="s">
        <v>69</v>
      </c>
      <c r="Q457" s="392" t="s">
        <v>172</v>
      </c>
      <c r="R457" s="392" t="s">
        <v>4685</v>
      </c>
      <c r="S457" s="428" t="s">
        <v>205</v>
      </c>
      <c r="T457" s="394">
        <v>1</v>
      </c>
      <c r="U457" s="395">
        <v>10.244</v>
      </c>
      <c r="V457" s="395"/>
      <c r="W457" s="453"/>
      <c r="X457" s="394"/>
      <c r="Y457" s="394">
        <v>10</v>
      </c>
      <c r="Z457" s="394">
        <v>20</v>
      </c>
      <c r="AA457" s="395">
        <v>0</v>
      </c>
      <c r="AB457" s="452">
        <v>42036</v>
      </c>
      <c r="AC457" s="398">
        <v>0</v>
      </c>
      <c r="AD457" s="398">
        <v>102.44</v>
      </c>
      <c r="AE457" s="393" t="s">
        <v>47</v>
      </c>
      <c r="AF457" s="417"/>
      <c r="AG457" s="417">
        <v>8.3339999999999996</v>
      </c>
      <c r="AH457" s="417">
        <v>8.3339999999999996</v>
      </c>
      <c r="AI457" s="394"/>
      <c r="AJ457" s="453">
        <v>43200</v>
      </c>
      <c r="AK457" s="452">
        <v>42369</v>
      </c>
      <c r="AL457" s="393"/>
      <c r="AM457" s="393"/>
      <c r="AN457" s="417"/>
      <c r="AO457" s="392"/>
      <c r="AP457" s="392" t="s">
        <v>7060</v>
      </c>
      <c r="AQ457" s="392"/>
      <c r="AR457" s="392" t="s">
        <v>199</v>
      </c>
      <c r="AS457" s="480"/>
      <c r="AT457" s="453"/>
      <c r="AU457" s="453"/>
      <c r="AV457" s="453"/>
      <c r="AW457" s="453"/>
      <c r="AX457" s="453"/>
      <c r="AY457" s="453"/>
      <c r="AZ457" s="452">
        <v>42033</v>
      </c>
      <c r="BA457" s="393"/>
      <c r="BB457" s="393"/>
      <c r="BC457" s="393" t="b">
        <v>0</v>
      </c>
      <c r="BD457" s="393"/>
      <c r="BE457" s="392"/>
      <c r="BF457" s="394">
        <v>9</v>
      </c>
      <c r="BG457" s="394">
        <v>8</v>
      </c>
      <c r="BH457" s="394">
        <v>1</v>
      </c>
      <c r="BI457" s="394">
        <v>4</v>
      </c>
      <c r="BJ457" s="394">
        <v>6</v>
      </c>
      <c r="BK457" s="394"/>
      <c r="BL457" s="444" t="s">
        <v>6981</v>
      </c>
      <c r="BM457" s="392"/>
      <c r="BN457" s="393"/>
      <c r="BO457" s="393"/>
      <c r="BP457" s="399"/>
      <c r="BQ457" s="400"/>
      <c r="BR457" s="401"/>
      <c r="BS457" s="399"/>
      <c r="BT457" s="394"/>
      <c r="BU457" s="417"/>
      <c r="BV457" s="399"/>
      <c r="BW457" s="393" t="s">
        <v>3117</v>
      </c>
      <c r="BX457" s="392" t="s">
        <v>4364</v>
      </c>
      <c r="BY457" s="393" t="s">
        <v>7224</v>
      </c>
      <c r="BZ457" s="393"/>
      <c r="CA457" s="441"/>
      <c r="CB457" s="400"/>
      <c r="CC457" s="398"/>
      <c r="CD457" s="398"/>
      <c r="CE457" s="398"/>
      <c r="CF457" s="398"/>
      <c r="CG457" s="398"/>
      <c r="CH457" s="398"/>
      <c r="CI457" s="398"/>
      <c r="CJ457" s="398"/>
      <c r="CK457" s="398">
        <v>10.244</v>
      </c>
      <c r="CL457" s="398">
        <v>10.244</v>
      </c>
      <c r="CM457" s="398">
        <v>10.244</v>
      </c>
      <c r="CN457" s="398">
        <v>10.244</v>
      </c>
      <c r="CO457" s="398">
        <v>10.244</v>
      </c>
      <c r="CP457" s="398">
        <v>10.244</v>
      </c>
      <c r="CQ457" s="398">
        <v>10.244</v>
      </c>
      <c r="CR457" s="398"/>
      <c r="CS457" s="398"/>
      <c r="CT457" s="398"/>
      <c r="CU457" s="398"/>
      <c r="CV457" s="398"/>
      <c r="CW457" s="398"/>
      <c r="CX457" s="398"/>
      <c r="CY457" s="398"/>
      <c r="CZ457" s="398"/>
      <c r="DA457" s="398"/>
      <c r="DB457" s="398"/>
      <c r="DC457" s="398"/>
      <c r="DD457" s="398"/>
      <c r="DE457" s="393"/>
      <c r="DF457" s="393"/>
      <c r="DG457" s="393"/>
      <c r="DH457" s="393"/>
      <c r="DI457" s="393"/>
      <c r="DJ457" s="393"/>
      <c r="DK457" s="897"/>
    </row>
    <row r="458" spans="1:115" ht="25.5" x14ac:dyDescent="0.2">
      <c r="A458" s="295">
        <v>454</v>
      </c>
      <c r="B458" s="390" t="s">
        <v>6812</v>
      </c>
      <c r="C458" s="390"/>
      <c r="D458" s="391" t="s">
        <v>6813</v>
      </c>
      <c r="E458" s="704" t="s">
        <v>6814</v>
      </c>
      <c r="F458" s="393" t="s">
        <v>1352</v>
      </c>
      <c r="G458" s="393" t="s">
        <v>1671</v>
      </c>
      <c r="H458" s="393" t="s">
        <v>117</v>
      </c>
      <c r="I458" s="392"/>
      <c r="J458" s="392"/>
      <c r="K458" s="392" t="s">
        <v>6811</v>
      </c>
      <c r="L458" s="392" t="s">
        <v>197</v>
      </c>
      <c r="M458" s="392"/>
      <c r="N458" s="393" t="s">
        <v>44</v>
      </c>
      <c r="O458" s="393" t="s">
        <v>69</v>
      </c>
      <c r="P458" s="393" t="s">
        <v>69</v>
      </c>
      <c r="Q458" s="392" t="s">
        <v>172</v>
      </c>
      <c r="R458" s="392" t="s">
        <v>4685</v>
      </c>
      <c r="S458" s="428" t="s">
        <v>205</v>
      </c>
      <c r="T458" s="394">
        <v>1</v>
      </c>
      <c r="U458" s="395">
        <v>10.244</v>
      </c>
      <c r="V458" s="395"/>
      <c r="W458" s="453"/>
      <c r="X458" s="394"/>
      <c r="Y458" s="394">
        <v>10</v>
      </c>
      <c r="Z458" s="394">
        <v>20</v>
      </c>
      <c r="AA458" s="395">
        <v>0</v>
      </c>
      <c r="AB458" s="452">
        <v>42036</v>
      </c>
      <c r="AC458" s="398">
        <v>0</v>
      </c>
      <c r="AD458" s="398">
        <v>102.44</v>
      </c>
      <c r="AE458" s="393" t="s">
        <v>47</v>
      </c>
      <c r="AF458" s="417"/>
      <c r="AG458" s="417">
        <v>8.3339999999999996</v>
      </c>
      <c r="AH458" s="417">
        <v>8.3339999999999996</v>
      </c>
      <c r="AI458" s="394"/>
      <c r="AJ458" s="453">
        <v>43200</v>
      </c>
      <c r="AK458" s="452">
        <v>42369</v>
      </c>
      <c r="AL458" s="393"/>
      <c r="AM458" s="393"/>
      <c r="AN458" s="417"/>
      <c r="AO458" s="392"/>
      <c r="AP458" s="392" t="s">
        <v>7060</v>
      </c>
      <c r="AQ458" s="392"/>
      <c r="AR458" s="392" t="s">
        <v>199</v>
      </c>
      <c r="AS458" s="480"/>
      <c r="AT458" s="453"/>
      <c r="AU458" s="453"/>
      <c r="AV458" s="453"/>
      <c r="AW458" s="453"/>
      <c r="AX458" s="453"/>
      <c r="AY458" s="453"/>
      <c r="AZ458" s="452">
        <v>42033</v>
      </c>
      <c r="BA458" s="393"/>
      <c r="BB458" s="393"/>
      <c r="BC458" s="393" t="b">
        <v>0</v>
      </c>
      <c r="BD458" s="393"/>
      <c r="BE458" s="392"/>
      <c r="BF458" s="394">
        <v>9</v>
      </c>
      <c r="BG458" s="394">
        <v>8</v>
      </c>
      <c r="BH458" s="394">
        <v>1</v>
      </c>
      <c r="BI458" s="394">
        <v>4</v>
      </c>
      <c r="BJ458" s="394">
        <v>6</v>
      </c>
      <c r="BK458" s="394"/>
      <c r="BL458" s="444" t="s">
        <v>6981</v>
      </c>
      <c r="BM458" s="392"/>
      <c r="BN458" s="393"/>
      <c r="BO458" s="393"/>
      <c r="BP458" s="399"/>
      <c r="BQ458" s="400"/>
      <c r="BR458" s="401"/>
      <c r="BS458" s="399"/>
      <c r="BT458" s="394"/>
      <c r="BU458" s="417"/>
      <c r="BV458" s="399"/>
      <c r="BW458" s="393" t="s">
        <v>3117</v>
      </c>
      <c r="BX458" s="392" t="s">
        <v>4364</v>
      </c>
      <c r="BY458" s="393" t="s">
        <v>7224</v>
      </c>
      <c r="BZ458" s="393"/>
      <c r="CA458" s="441"/>
      <c r="CB458" s="400"/>
      <c r="CC458" s="398"/>
      <c r="CD458" s="398"/>
      <c r="CE458" s="398"/>
      <c r="CF458" s="398"/>
      <c r="CG458" s="398"/>
      <c r="CH458" s="398"/>
      <c r="CI458" s="398"/>
      <c r="CJ458" s="398"/>
      <c r="CK458" s="398">
        <v>10.244</v>
      </c>
      <c r="CL458" s="398">
        <v>10.244</v>
      </c>
      <c r="CM458" s="398">
        <v>10.244</v>
      </c>
      <c r="CN458" s="398">
        <v>10.244</v>
      </c>
      <c r="CO458" s="398">
        <v>10.244</v>
      </c>
      <c r="CP458" s="398">
        <v>10.244</v>
      </c>
      <c r="CQ458" s="398">
        <v>10.244</v>
      </c>
      <c r="CR458" s="398"/>
      <c r="CS458" s="398"/>
      <c r="CT458" s="398"/>
      <c r="CU458" s="398"/>
      <c r="CV458" s="398"/>
      <c r="CW458" s="398"/>
      <c r="CX458" s="398"/>
      <c r="CY458" s="398"/>
      <c r="CZ458" s="398"/>
      <c r="DA458" s="398"/>
      <c r="DB458" s="398"/>
      <c r="DC458" s="398"/>
      <c r="DD458" s="398"/>
      <c r="DE458" s="393"/>
      <c r="DF458" s="393"/>
      <c r="DG458" s="393"/>
      <c r="DH458" s="393"/>
      <c r="DI458" s="393"/>
      <c r="DJ458" s="393"/>
      <c r="DK458" s="897"/>
    </row>
    <row r="459" spans="1:115" ht="25.5" x14ac:dyDescent="0.2">
      <c r="A459" s="295">
        <v>455</v>
      </c>
      <c r="B459" s="390" t="s">
        <v>6815</v>
      </c>
      <c r="C459" s="390"/>
      <c r="D459" s="391" t="s">
        <v>6816</v>
      </c>
      <c r="E459" s="704" t="s">
        <v>6817</v>
      </c>
      <c r="F459" s="393" t="s">
        <v>1352</v>
      </c>
      <c r="G459" s="393" t="s">
        <v>1671</v>
      </c>
      <c r="H459" s="393" t="s">
        <v>117</v>
      </c>
      <c r="I459" s="392"/>
      <c r="J459" s="392"/>
      <c r="K459" s="392" t="s">
        <v>6818</v>
      </c>
      <c r="L459" s="392" t="s">
        <v>197</v>
      </c>
      <c r="M459" s="392"/>
      <c r="N459" s="393" t="s">
        <v>44</v>
      </c>
      <c r="O459" s="393" t="s">
        <v>69</v>
      </c>
      <c r="P459" s="393" t="s">
        <v>69</v>
      </c>
      <c r="Q459" s="392" t="s">
        <v>172</v>
      </c>
      <c r="R459" s="392" t="s">
        <v>4685</v>
      </c>
      <c r="S459" s="428" t="s">
        <v>205</v>
      </c>
      <c r="T459" s="394">
        <v>1</v>
      </c>
      <c r="U459" s="395">
        <v>10.244</v>
      </c>
      <c r="V459" s="395"/>
      <c r="W459" s="453"/>
      <c r="X459" s="394"/>
      <c r="Y459" s="394">
        <v>10</v>
      </c>
      <c r="Z459" s="394">
        <v>20</v>
      </c>
      <c r="AA459" s="395">
        <v>0</v>
      </c>
      <c r="AB459" s="452">
        <v>42036</v>
      </c>
      <c r="AC459" s="398">
        <v>0</v>
      </c>
      <c r="AD459" s="398">
        <v>102.44</v>
      </c>
      <c r="AE459" s="393" t="s">
        <v>47</v>
      </c>
      <c r="AF459" s="417"/>
      <c r="AG459" s="417">
        <v>7.9720000000000004</v>
      </c>
      <c r="AH459" s="417">
        <v>7.9720000000000004</v>
      </c>
      <c r="AI459" s="394"/>
      <c r="AJ459" s="453">
        <v>43200</v>
      </c>
      <c r="AK459" s="452">
        <v>42369</v>
      </c>
      <c r="AL459" s="393"/>
      <c r="AM459" s="393"/>
      <c r="AN459" s="417"/>
      <c r="AO459" s="392"/>
      <c r="AP459" s="392" t="s">
        <v>7060</v>
      </c>
      <c r="AQ459" s="392"/>
      <c r="AR459" s="392" t="s">
        <v>199</v>
      </c>
      <c r="AS459" s="480"/>
      <c r="AT459" s="453"/>
      <c r="AU459" s="453"/>
      <c r="AV459" s="453"/>
      <c r="AW459" s="453"/>
      <c r="AX459" s="453"/>
      <c r="AY459" s="453"/>
      <c r="AZ459" s="452">
        <v>42033</v>
      </c>
      <c r="BA459" s="393"/>
      <c r="BB459" s="393"/>
      <c r="BC459" s="393" t="b">
        <v>0</v>
      </c>
      <c r="BD459" s="393"/>
      <c r="BE459" s="392"/>
      <c r="BF459" s="394">
        <v>9</v>
      </c>
      <c r="BG459" s="394">
        <v>8</v>
      </c>
      <c r="BH459" s="394">
        <v>1</v>
      </c>
      <c r="BI459" s="394">
        <v>4</v>
      </c>
      <c r="BJ459" s="394">
        <v>6</v>
      </c>
      <c r="BK459" s="394"/>
      <c r="BL459" s="444" t="s">
        <v>6981</v>
      </c>
      <c r="BM459" s="392"/>
      <c r="BN459" s="393"/>
      <c r="BO459" s="393"/>
      <c r="BP459" s="399"/>
      <c r="BQ459" s="400"/>
      <c r="BR459" s="401"/>
      <c r="BS459" s="399"/>
      <c r="BT459" s="394"/>
      <c r="BU459" s="417"/>
      <c r="BV459" s="399"/>
      <c r="BW459" s="393" t="s">
        <v>3117</v>
      </c>
      <c r="BX459" s="392" t="s">
        <v>4364</v>
      </c>
      <c r="BY459" s="393" t="s">
        <v>7224</v>
      </c>
      <c r="BZ459" s="393"/>
      <c r="CA459" s="441"/>
      <c r="CB459" s="400"/>
      <c r="CC459" s="398"/>
      <c r="CD459" s="398"/>
      <c r="CE459" s="398"/>
      <c r="CF459" s="398"/>
      <c r="CG459" s="398"/>
      <c r="CH459" s="398"/>
      <c r="CI459" s="398"/>
      <c r="CJ459" s="398"/>
      <c r="CK459" s="398">
        <v>10.244</v>
      </c>
      <c r="CL459" s="398">
        <v>10.244</v>
      </c>
      <c r="CM459" s="398">
        <v>10.244</v>
      </c>
      <c r="CN459" s="398">
        <v>10.244</v>
      </c>
      <c r="CO459" s="398">
        <v>10.244</v>
      </c>
      <c r="CP459" s="398">
        <v>10.244</v>
      </c>
      <c r="CQ459" s="398">
        <v>10.244</v>
      </c>
      <c r="CR459" s="398"/>
      <c r="CS459" s="398"/>
      <c r="CT459" s="398"/>
      <c r="CU459" s="398"/>
      <c r="CV459" s="398"/>
      <c r="CW459" s="398"/>
      <c r="CX459" s="398"/>
      <c r="CY459" s="398"/>
      <c r="CZ459" s="398"/>
      <c r="DA459" s="398"/>
      <c r="DB459" s="398"/>
      <c r="DC459" s="398"/>
      <c r="DD459" s="398"/>
      <c r="DE459" s="393"/>
      <c r="DF459" s="393"/>
      <c r="DG459" s="393"/>
      <c r="DH459" s="393"/>
      <c r="DI459" s="393"/>
      <c r="DJ459" s="393"/>
      <c r="DK459" s="897"/>
    </row>
    <row r="460" spans="1:115" ht="25.5" x14ac:dyDescent="0.2">
      <c r="A460" s="295">
        <v>456</v>
      </c>
      <c r="B460" s="390" t="s">
        <v>6819</v>
      </c>
      <c r="C460" s="390"/>
      <c r="D460" s="391" t="s">
        <v>6820</v>
      </c>
      <c r="E460" s="704" t="s">
        <v>6821</v>
      </c>
      <c r="F460" s="393" t="s">
        <v>1352</v>
      </c>
      <c r="G460" s="393" t="s">
        <v>1671</v>
      </c>
      <c r="H460" s="393" t="s">
        <v>117</v>
      </c>
      <c r="I460" s="392"/>
      <c r="J460" s="392"/>
      <c r="K460" s="392" t="s">
        <v>6822</v>
      </c>
      <c r="L460" s="392" t="s">
        <v>197</v>
      </c>
      <c r="M460" s="392"/>
      <c r="N460" s="393" t="s">
        <v>44</v>
      </c>
      <c r="O460" s="393" t="s">
        <v>69</v>
      </c>
      <c r="P460" s="393" t="s">
        <v>69</v>
      </c>
      <c r="Q460" s="392" t="s">
        <v>172</v>
      </c>
      <c r="R460" s="392" t="s">
        <v>4685</v>
      </c>
      <c r="S460" s="428" t="s">
        <v>205</v>
      </c>
      <c r="T460" s="394">
        <v>1</v>
      </c>
      <c r="U460" s="395">
        <v>10.244</v>
      </c>
      <c r="V460" s="395"/>
      <c r="W460" s="453"/>
      <c r="X460" s="394"/>
      <c r="Y460" s="394">
        <v>10</v>
      </c>
      <c r="Z460" s="394">
        <v>20</v>
      </c>
      <c r="AA460" s="395">
        <v>0</v>
      </c>
      <c r="AB460" s="452">
        <v>42036</v>
      </c>
      <c r="AC460" s="398">
        <v>0</v>
      </c>
      <c r="AD460" s="398">
        <v>102.44</v>
      </c>
      <c r="AE460" s="393" t="s">
        <v>47</v>
      </c>
      <c r="AF460" s="417"/>
      <c r="AG460" s="417">
        <v>7.9720000000000004</v>
      </c>
      <c r="AH460" s="417">
        <v>7.9720000000000004</v>
      </c>
      <c r="AI460" s="394"/>
      <c r="AJ460" s="453">
        <v>43200</v>
      </c>
      <c r="AK460" s="452">
        <v>42369</v>
      </c>
      <c r="AL460" s="393"/>
      <c r="AM460" s="393"/>
      <c r="AN460" s="417"/>
      <c r="AO460" s="392"/>
      <c r="AP460" s="392" t="s">
        <v>7060</v>
      </c>
      <c r="AQ460" s="392"/>
      <c r="AR460" s="392" t="s">
        <v>199</v>
      </c>
      <c r="AS460" s="480"/>
      <c r="AT460" s="397"/>
      <c r="AU460" s="397"/>
      <c r="AV460" s="453"/>
      <c r="AW460" s="453"/>
      <c r="AX460" s="453"/>
      <c r="AY460" s="453"/>
      <c r="AZ460" s="452">
        <v>42033</v>
      </c>
      <c r="BA460" s="393"/>
      <c r="BB460" s="393"/>
      <c r="BC460" s="393" t="b">
        <v>0</v>
      </c>
      <c r="BD460" s="393"/>
      <c r="BE460" s="392"/>
      <c r="BF460" s="394">
        <v>9</v>
      </c>
      <c r="BG460" s="394">
        <v>8</v>
      </c>
      <c r="BH460" s="394">
        <v>1</v>
      </c>
      <c r="BI460" s="394">
        <v>4</v>
      </c>
      <c r="BJ460" s="394">
        <v>6</v>
      </c>
      <c r="BK460" s="394"/>
      <c r="BL460" s="444" t="s">
        <v>6981</v>
      </c>
      <c r="BM460" s="392"/>
      <c r="BN460" s="393"/>
      <c r="BO460" s="393"/>
      <c r="BP460" s="399"/>
      <c r="BQ460" s="400"/>
      <c r="BR460" s="401"/>
      <c r="BS460" s="399"/>
      <c r="BT460" s="394"/>
      <c r="BU460" s="417"/>
      <c r="BV460" s="399"/>
      <c r="BW460" s="393" t="s">
        <v>3117</v>
      </c>
      <c r="BX460" s="392" t="s">
        <v>4364</v>
      </c>
      <c r="BY460" s="393" t="s">
        <v>7224</v>
      </c>
      <c r="BZ460" s="393"/>
      <c r="CA460" s="441"/>
      <c r="CB460" s="400"/>
      <c r="CC460" s="398"/>
      <c r="CD460" s="398"/>
      <c r="CE460" s="398"/>
      <c r="CF460" s="398"/>
      <c r="CG460" s="398"/>
      <c r="CH460" s="398"/>
      <c r="CI460" s="398"/>
      <c r="CJ460" s="398"/>
      <c r="CK460" s="398">
        <v>10.244</v>
      </c>
      <c r="CL460" s="398">
        <v>10.244</v>
      </c>
      <c r="CM460" s="398">
        <v>10.244</v>
      </c>
      <c r="CN460" s="398">
        <v>10.244</v>
      </c>
      <c r="CO460" s="398">
        <v>10.244</v>
      </c>
      <c r="CP460" s="398">
        <v>10.244</v>
      </c>
      <c r="CQ460" s="398">
        <v>10.244</v>
      </c>
      <c r="CR460" s="398"/>
      <c r="CS460" s="398"/>
      <c r="CT460" s="398"/>
      <c r="CU460" s="398"/>
      <c r="CV460" s="398"/>
      <c r="CW460" s="398"/>
      <c r="CX460" s="398"/>
      <c r="CY460" s="398"/>
      <c r="CZ460" s="398"/>
      <c r="DA460" s="398"/>
      <c r="DB460" s="398"/>
      <c r="DC460" s="398"/>
      <c r="DD460" s="398"/>
      <c r="DE460" s="393"/>
      <c r="DF460" s="393"/>
      <c r="DG460" s="393"/>
      <c r="DH460" s="393"/>
      <c r="DI460" s="393"/>
      <c r="DJ460" s="393"/>
      <c r="DK460" s="897"/>
    </row>
    <row r="461" spans="1:115" ht="25.5" x14ac:dyDescent="0.2">
      <c r="A461" s="295">
        <v>457</v>
      </c>
      <c r="B461" s="390" t="s">
        <v>6823</v>
      </c>
      <c r="C461" s="390"/>
      <c r="D461" s="391" t="s">
        <v>6824</v>
      </c>
      <c r="E461" s="704" t="s">
        <v>6825</v>
      </c>
      <c r="F461" s="393" t="s">
        <v>1352</v>
      </c>
      <c r="G461" s="393" t="s">
        <v>1671</v>
      </c>
      <c r="H461" s="393" t="s">
        <v>117</v>
      </c>
      <c r="I461" s="392"/>
      <c r="J461" s="392"/>
      <c r="K461" s="392" t="s">
        <v>6826</v>
      </c>
      <c r="L461" s="392" t="s">
        <v>197</v>
      </c>
      <c r="M461" s="392"/>
      <c r="N461" s="393" t="s">
        <v>44</v>
      </c>
      <c r="O461" s="393" t="s">
        <v>69</v>
      </c>
      <c r="P461" s="393" t="s">
        <v>69</v>
      </c>
      <c r="Q461" s="392" t="s">
        <v>172</v>
      </c>
      <c r="R461" s="392" t="s">
        <v>4685</v>
      </c>
      <c r="S461" s="428" t="s">
        <v>205</v>
      </c>
      <c r="T461" s="394">
        <v>1</v>
      </c>
      <c r="U461" s="395">
        <v>10.244</v>
      </c>
      <c r="V461" s="395"/>
      <c r="W461" s="453"/>
      <c r="X461" s="394"/>
      <c r="Y461" s="394">
        <v>10</v>
      </c>
      <c r="Z461" s="394">
        <v>20</v>
      </c>
      <c r="AA461" s="395">
        <v>0</v>
      </c>
      <c r="AB461" s="452">
        <v>42036</v>
      </c>
      <c r="AC461" s="398">
        <v>0</v>
      </c>
      <c r="AD461" s="398">
        <v>102.44</v>
      </c>
      <c r="AE461" s="393" t="s">
        <v>47</v>
      </c>
      <c r="AF461" s="417"/>
      <c r="AG461" s="417">
        <v>8.3339999999999996</v>
      </c>
      <c r="AH461" s="417">
        <v>8.3339999999999996</v>
      </c>
      <c r="AI461" s="394"/>
      <c r="AJ461" s="453">
        <v>43200</v>
      </c>
      <c r="AK461" s="452">
        <v>42369</v>
      </c>
      <c r="AL461" s="393"/>
      <c r="AM461" s="393"/>
      <c r="AN461" s="417"/>
      <c r="AO461" s="392"/>
      <c r="AP461" s="392" t="s">
        <v>7060</v>
      </c>
      <c r="AQ461" s="392"/>
      <c r="AR461" s="392" t="s">
        <v>199</v>
      </c>
      <c r="AS461" s="480"/>
      <c r="AT461" s="453"/>
      <c r="AU461" s="453"/>
      <c r="AV461" s="453"/>
      <c r="AW461" s="453"/>
      <c r="AX461" s="453"/>
      <c r="AY461" s="453"/>
      <c r="AZ461" s="452">
        <v>42033</v>
      </c>
      <c r="BA461" s="393"/>
      <c r="BB461" s="393"/>
      <c r="BC461" s="393" t="b">
        <v>0</v>
      </c>
      <c r="BD461" s="393"/>
      <c r="BE461" s="392"/>
      <c r="BF461" s="394">
        <v>9</v>
      </c>
      <c r="BG461" s="394">
        <v>8</v>
      </c>
      <c r="BH461" s="394">
        <v>1</v>
      </c>
      <c r="BI461" s="394">
        <v>4</v>
      </c>
      <c r="BJ461" s="394">
        <v>6</v>
      </c>
      <c r="BK461" s="394"/>
      <c r="BL461" s="444" t="s">
        <v>6981</v>
      </c>
      <c r="BM461" s="392"/>
      <c r="BN461" s="393"/>
      <c r="BO461" s="393"/>
      <c r="BP461" s="399"/>
      <c r="BQ461" s="400"/>
      <c r="BR461" s="401"/>
      <c r="BS461" s="399"/>
      <c r="BT461" s="394"/>
      <c r="BU461" s="417"/>
      <c r="BV461" s="399"/>
      <c r="BW461" s="393" t="s">
        <v>3117</v>
      </c>
      <c r="BX461" s="392" t="s">
        <v>4364</v>
      </c>
      <c r="BY461" s="393" t="s">
        <v>7224</v>
      </c>
      <c r="BZ461" s="393"/>
      <c r="CA461" s="441"/>
      <c r="CB461" s="400"/>
      <c r="CC461" s="398"/>
      <c r="CD461" s="398"/>
      <c r="CE461" s="398"/>
      <c r="CF461" s="398"/>
      <c r="CG461" s="398"/>
      <c r="CH461" s="398"/>
      <c r="CI461" s="398"/>
      <c r="CJ461" s="398"/>
      <c r="CK461" s="398">
        <v>10.244</v>
      </c>
      <c r="CL461" s="398">
        <v>10.244</v>
      </c>
      <c r="CM461" s="398">
        <v>10.244</v>
      </c>
      <c r="CN461" s="398">
        <v>10.244</v>
      </c>
      <c r="CO461" s="398">
        <v>10.244</v>
      </c>
      <c r="CP461" s="398">
        <v>10.244</v>
      </c>
      <c r="CQ461" s="398">
        <v>10.244</v>
      </c>
      <c r="CR461" s="398"/>
      <c r="CS461" s="398"/>
      <c r="CT461" s="398"/>
      <c r="CU461" s="398"/>
      <c r="CV461" s="398"/>
      <c r="CW461" s="398"/>
      <c r="CX461" s="398"/>
      <c r="CY461" s="398"/>
      <c r="CZ461" s="398"/>
      <c r="DA461" s="398"/>
      <c r="DB461" s="398"/>
      <c r="DC461" s="398"/>
      <c r="DD461" s="398"/>
      <c r="DE461" s="393"/>
      <c r="DF461" s="393"/>
      <c r="DG461" s="393"/>
      <c r="DH461" s="393"/>
      <c r="DI461" s="393"/>
      <c r="DJ461" s="393"/>
      <c r="DK461" s="897"/>
    </row>
    <row r="462" spans="1:115" ht="25.5" x14ac:dyDescent="0.2">
      <c r="A462" s="295">
        <v>458</v>
      </c>
      <c r="B462" s="390" t="s">
        <v>6827</v>
      </c>
      <c r="C462" s="390"/>
      <c r="D462" s="391" t="s">
        <v>6828</v>
      </c>
      <c r="E462" s="704" t="s">
        <v>6829</v>
      </c>
      <c r="F462" s="393" t="s">
        <v>1352</v>
      </c>
      <c r="G462" s="393" t="s">
        <v>1671</v>
      </c>
      <c r="H462" s="393" t="s">
        <v>117</v>
      </c>
      <c r="I462" s="392"/>
      <c r="J462" s="392"/>
      <c r="K462" s="392" t="s">
        <v>6830</v>
      </c>
      <c r="L462" s="392" t="s">
        <v>197</v>
      </c>
      <c r="M462" s="392"/>
      <c r="N462" s="393" t="s">
        <v>44</v>
      </c>
      <c r="O462" s="393" t="s">
        <v>69</v>
      </c>
      <c r="P462" s="393" t="s">
        <v>69</v>
      </c>
      <c r="Q462" s="392" t="s">
        <v>172</v>
      </c>
      <c r="R462" s="392" t="s">
        <v>4685</v>
      </c>
      <c r="S462" s="428" t="s">
        <v>205</v>
      </c>
      <c r="T462" s="394">
        <v>1</v>
      </c>
      <c r="U462" s="395">
        <v>8.15</v>
      </c>
      <c r="V462" s="395"/>
      <c r="W462" s="453"/>
      <c r="X462" s="394"/>
      <c r="Y462" s="394">
        <v>10</v>
      </c>
      <c r="Z462" s="394">
        <v>20</v>
      </c>
      <c r="AA462" s="395">
        <v>0</v>
      </c>
      <c r="AB462" s="452">
        <v>42036</v>
      </c>
      <c r="AC462" s="398">
        <v>0</v>
      </c>
      <c r="AD462" s="398">
        <v>81.5</v>
      </c>
      <c r="AE462" s="393" t="s">
        <v>47</v>
      </c>
      <c r="AF462" s="417"/>
      <c r="AG462" s="417">
        <v>6.9960000000000004</v>
      </c>
      <c r="AH462" s="417">
        <v>6.9960000000000004</v>
      </c>
      <c r="AI462" s="394"/>
      <c r="AJ462" s="453">
        <v>43200</v>
      </c>
      <c r="AK462" s="452">
        <v>42369</v>
      </c>
      <c r="AL462" s="393"/>
      <c r="AM462" s="393"/>
      <c r="AN462" s="417"/>
      <c r="AO462" s="392"/>
      <c r="AP462" s="392" t="s">
        <v>7060</v>
      </c>
      <c r="AQ462" s="392"/>
      <c r="AR462" s="392" t="s">
        <v>199</v>
      </c>
      <c r="AS462" s="480"/>
      <c r="AT462" s="453"/>
      <c r="AU462" s="453"/>
      <c r="AV462" s="453"/>
      <c r="AW462" s="453"/>
      <c r="AX462" s="453"/>
      <c r="AY462" s="453"/>
      <c r="AZ462" s="452">
        <v>42033</v>
      </c>
      <c r="BA462" s="393"/>
      <c r="BB462" s="393"/>
      <c r="BC462" s="393" t="b">
        <v>0</v>
      </c>
      <c r="BD462" s="393"/>
      <c r="BE462" s="392"/>
      <c r="BF462" s="394">
        <v>9</v>
      </c>
      <c r="BG462" s="394">
        <v>8</v>
      </c>
      <c r="BH462" s="394">
        <v>1</v>
      </c>
      <c r="BI462" s="394">
        <v>4</v>
      </c>
      <c r="BJ462" s="394">
        <v>6</v>
      </c>
      <c r="BK462" s="394"/>
      <c r="BL462" s="444" t="s">
        <v>6981</v>
      </c>
      <c r="BM462" s="392"/>
      <c r="BN462" s="393"/>
      <c r="BO462" s="393"/>
      <c r="BP462" s="399"/>
      <c r="BQ462" s="400"/>
      <c r="BR462" s="401"/>
      <c r="BS462" s="399"/>
      <c r="BT462" s="394"/>
      <c r="BU462" s="417"/>
      <c r="BV462" s="399"/>
      <c r="BW462" s="393" t="s">
        <v>3117</v>
      </c>
      <c r="BX462" s="392" t="s">
        <v>4364</v>
      </c>
      <c r="BY462" s="393" t="s">
        <v>7224</v>
      </c>
      <c r="BZ462" s="393"/>
      <c r="CA462" s="441"/>
      <c r="CB462" s="400"/>
      <c r="CC462" s="398"/>
      <c r="CD462" s="398"/>
      <c r="CE462" s="398"/>
      <c r="CF462" s="398"/>
      <c r="CG462" s="398"/>
      <c r="CH462" s="398"/>
      <c r="CI462" s="398"/>
      <c r="CJ462" s="398"/>
      <c r="CK462" s="398">
        <v>8.15</v>
      </c>
      <c r="CL462" s="398">
        <v>8.15</v>
      </c>
      <c r="CM462" s="398">
        <v>8.15</v>
      </c>
      <c r="CN462" s="398">
        <v>8.15</v>
      </c>
      <c r="CO462" s="398">
        <v>8.15</v>
      </c>
      <c r="CP462" s="398">
        <v>8.15</v>
      </c>
      <c r="CQ462" s="398">
        <v>8.15</v>
      </c>
      <c r="CR462" s="398"/>
      <c r="CS462" s="398"/>
      <c r="CT462" s="398"/>
      <c r="CU462" s="398"/>
      <c r="CV462" s="398"/>
      <c r="CW462" s="398"/>
      <c r="CX462" s="398"/>
      <c r="CY462" s="398"/>
      <c r="CZ462" s="398"/>
      <c r="DA462" s="398"/>
      <c r="DB462" s="398"/>
      <c r="DC462" s="398"/>
      <c r="DD462" s="398"/>
      <c r="DE462" s="393"/>
      <c r="DF462" s="393"/>
      <c r="DG462" s="393"/>
      <c r="DH462" s="393"/>
      <c r="DI462" s="393"/>
      <c r="DJ462" s="393"/>
      <c r="DK462" s="897"/>
    </row>
    <row r="463" spans="1:115" ht="25.5" x14ac:dyDescent="0.2">
      <c r="A463" s="295">
        <v>459</v>
      </c>
      <c r="B463" s="390" t="s">
        <v>6831</v>
      </c>
      <c r="C463" s="390"/>
      <c r="D463" s="391" t="s">
        <v>6832</v>
      </c>
      <c r="E463" s="704" t="s">
        <v>6833</v>
      </c>
      <c r="F463" s="393" t="s">
        <v>1352</v>
      </c>
      <c r="G463" s="393" t="s">
        <v>1671</v>
      </c>
      <c r="H463" s="393" t="s">
        <v>117</v>
      </c>
      <c r="I463" s="392"/>
      <c r="J463" s="392"/>
      <c r="K463" s="392" t="s">
        <v>6834</v>
      </c>
      <c r="L463" s="392" t="s">
        <v>197</v>
      </c>
      <c r="M463" s="392"/>
      <c r="N463" s="393" t="s">
        <v>44</v>
      </c>
      <c r="O463" s="393" t="s">
        <v>69</v>
      </c>
      <c r="P463" s="393" t="s">
        <v>69</v>
      </c>
      <c r="Q463" s="392" t="s">
        <v>172</v>
      </c>
      <c r="R463" s="392" t="s">
        <v>4685</v>
      </c>
      <c r="S463" s="428" t="s">
        <v>205</v>
      </c>
      <c r="T463" s="394">
        <v>1</v>
      </c>
      <c r="U463" s="395">
        <v>10.553000000000001</v>
      </c>
      <c r="V463" s="395"/>
      <c r="W463" s="453"/>
      <c r="X463" s="394"/>
      <c r="Y463" s="394">
        <v>10</v>
      </c>
      <c r="Z463" s="394">
        <v>20</v>
      </c>
      <c r="AA463" s="395">
        <v>0</v>
      </c>
      <c r="AB463" s="452">
        <v>42036</v>
      </c>
      <c r="AC463" s="398">
        <v>0</v>
      </c>
      <c r="AD463" s="398">
        <v>105.53</v>
      </c>
      <c r="AE463" s="393" t="s">
        <v>47</v>
      </c>
      <c r="AF463" s="417"/>
      <c r="AG463" s="417">
        <v>7.9930000000000003</v>
      </c>
      <c r="AH463" s="417">
        <v>7.9930000000000003</v>
      </c>
      <c r="AI463" s="394"/>
      <c r="AJ463" s="453">
        <v>43200</v>
      </c>
      <c r="AK463" s="452">
        <v>42369</v>
      </c>
      <c r="AL463" s="393"/>
      <c r="AM463" s="393"/>
      <c r="AN463" s="417"/>
      <c r="AO463" s="392"/>
      <c r="AP463" s="392" t="s">
        <v>7060</v>
      </c>
      <c r="AQ463" s="392"/>
      <c r="AR463" s="392" t="s">
        <v>199</v>
      </c>
      <c r="AS463" s="480"/>
      <c r="AT463" s="453"/>
      <c r="AU463" s="453"/>
      <c r="AV463" s="453"/>
      <c r="AW463" s="453"/>
      <c r="AX463" s="453"/>
      <c r="AY463" s="453"/>
      <c r="AZ463" s="452">
        <v>42033</v>
      </c>
      <c r="BA463" s="393"/>
      <c r="BB463" s="393"/>
      <c r="BC463" s="393" t="b">
        <v>0</v>
      </c>
      <c r="BD463" s="393"/>
      <c r="BE463" s="392"/>
      <c r="BF463" s="394">
        <v>9</v>
      </c>
      <c r="BG463" s="394">
        <v>8</v>
      </c>
      <c r="BH463" s="394">
        <v>1</v>
      </c>
      <c r="BI463" s="394">
        <v>4</v>
      </c>
      <c r="BJ463" s="394">
        <v>6</v>
      </c>
      <c r="BK463" s="394"/>
      <c r="BL463" s="444" t="s">
        <v>6981</v>
      </c>
      <c r="BM463" s="392"/>
      <c r="BN463" s="393"/>
      <c r="BO463" s="393"/>
      <c r="BP463" s="399"/>
      <c r="BQ463" s="400"/>
      <c r="BR463" s="401"/>
      <c r="BS463" s="399"/>
      <c r="BT463" s="394"/>
      <c r="BU463" s="417"/>
      <c r="BV463" s="399"/>
      <c r="BW463" s="393" t="s">
        <v>3117</v>
      </c>
      <c r="BX463" s="392" t="s">
        <v>4364</v>
      </c>
      <c r="BY463" s="393" t="s">
        <v>7224</v>
      </c>
      <c r="BZ463" s="393"/>
      <c r="CA463" s="441"/>
      <c r="CB463" s="400"/>
      <c r="CC463" s="398"/>
      <c r="CD463" s="398"/>
      <c r="CE463" s="398"/>
      <c r="CF463" s="398"/>
      <c r="CG463" s="398"/>
      <c r="CH463" s="398"/>
      <c r="CI463" s="398"/>
      <c r="CJ463" s="398"/>
      <c r="CK463" s="398">
        <v>10.553000000000001</v>
      </c>
      <c r="CL463" s="398">
        <v>10.553000000000001</v>
      </c>
      <c r="CM463" s="398">
        <v>10.553000000000001</v>
      </c>
      <c r="CN463" s="398">
        <v>10.553000000000001</v>
      </c>
      <c r="CO463" s="398">
        <v>10.553000000000001</v>
      </c>
      <c r="CP463" s="398">
        <v>10.553000000000001</v>
      </c>
      <c r="CQ463" s="398">
        <v>10.553000000000001</v>
      </c>
      <c r="CR463" s="398"/>
      <c r="CS463" s="398"/>
      <c r="CT463" s="398"/>
      <c r="CU463" s="398"/>
      <c r="CV463" s="398"/>
      <c r="CW463" s="398"/>
      <c r="CX463" s="398"/>
      <c r="CY463" s="398"/>
      <c r="CZ463" s="398"/>
      <c r="DA463" s="398"/>
      <c r="DB463" s="398"/>
      <c r="DC463" s="398"/>
      <c r="DD463" s="398"/>
      <c r="DE463" s="393"/>
      <c r="DF463" s="393"/>
      <c r="DG463" s="393"/>
      <c r="DH463" s="393"/>
      <c r="DI463" s="393"/>
      <c r="DJ463" s="393"/>
      <c r="DK463" s="897"/>
    </row>
    <row r="464" spans="1:115" ht="25.5" x14ac:dyDescent="0.2">
      <c r="A464" s="295">
        <v>460</v>
      </c>
      <c r="B464" s="390" t="s">
        <v>6835</v>
      </c>
      <c r="C464" s="390"/>
      <c r="D464" s="391" t="s">
        <v>6836</v>
      </c>
      <c r="E464" s="704" t="s">
        <v>6837</v>
      </c>
      <c r="F464" s="393" t="s">
        <v>1352</v>
      </c>
      <c r="G464" s="393" t="s">
        <v>1671</v>
      </c>
      <c r="H464" s="393" t="s">
        <v>117</v>
      </c>
      <c r="I464" s="392"/>
      <c r="J464" s="392"/>
      <c r="K464" s="392" t="s">
        <v>6838</v>
      </c>
      <c r="L464" s="392" t="s">
        <v>197</v>
      </c>
      <c r="M464" s="392"/>
      <c r="N464" s="393" t="s">
        <v>44</v>
      </c>
      <c r="O464" s="393" t="s">
        <v>69</v>
      </c>
      <c r="P464" s="393" t="s">
        <v>69</v>
      </c>
      <c r="Q464" s="392" t="s">
        <v>172</v>
      </c>
      <c r="R464" s="392" t="s">
        <v>4685</v>
      </c>
      <c r="S464" s="428" t="s">
        <v>205</v>
      </c>
      <c r="T464" s="394">
        <v>1</v>
      </c>
      <c r="U464" s="395">
        <v>10.244</v>
      </c>
      <c r="V464" s="395"/>
      <c r="W464" s="453"/>
      <c r="X464" s="394"/>
      <c r="Y464" s="394">
        <v>10</v>
      </c>
      <c r="Z464" s="394">
        <v>20</v>
      </c>
      <c r="AA464" s="395">
        <v>0</v>
      </c>
      <c r="AB464" s="452">
        <v>42036</v>
      </c>
      <c r="AC464" s="398">
        <v>0</v>
      </c>
      <c r="AD464" s="398">
        <v>102.44</v>
      </c>
      <c r="AE464" s="393" t="s">
        <v>47</v>
      </c>
      <c r="AF464" s="417"/>
      <c r="AG464" s="417">
        <v>8.3339999999999996</v>
      </c>
      <c r="AH464" s="417">
        <v>8.3339999999999996</v>
      </c>
      <c r="AI464" s="394"/>
      <c r="AJ464" s="453">
        <v>43200</v>
      </c>
      <c r="AK464" s="452">
        <v>42369</v>
      </c>
      <c r="AL464" s="393"/>
      <c r="AM464" s="393"/>
      <c r="AN464" s="417"/>
      <c r="AO464" s="392"/>
      <c r="AP464" s="392" t="s">
        <v>7060</v>
      </c>
      <c r="AQ464" s="392"/>
      <c r="AR464" s="392" t="s">
        <v>199</v>
      </c>
      <c r="AS464" s="480"/>
      <c r="AT464" s="453"/>
      <c r="AU464" s="453"/>
      <c r="AV464" s="453"/>
      <c r="AW464" s="453"/>
      <c r="AX464" s="453"/>
      <c r="AY464" s="453"/>
      <c r="AZ464" s="452">
        <v>42033</v>
      </c>
      <c r="BA464" s="393"/>
      <c r="BB464" s="393"/>
      <c r="BC464" s="393" t="b">
        <v>0</v>
      </c>
      <c r="BD464" s="393"/>
      <c r="BE464" s="392"/>
      <c r="BF464" s="394">
        <v>9</v>
      </c>
      <c r="BG464" s="394">
        <v>8</v>
      </c>
      <c r="BH464" s="394">
        <v>1</v>
      </c>
      <c r="BI464" s="394">
        <v>4</v>
      </c>
      <c r="BJ464" s="394">
        <v>6</v>
      </c>
      <c r="BK464" s="394"/>
      <c r="BL464" s="444" t="s">
        <v>6981</v>
      </c>
      <c r="BM464" s="392"/>
      <c r="BN464" s="393"/>
      <c r="BO464" s="393"/>
      <c r="BP464" s="399"/>
      <c r="BQ464" s="400"/>
      <c r="BR464" s="401"/>
      <c r="BS464" s="399"/>
      <c r="BT464" s="394"/>
      <c r="BU464" s="417"/>
      <c r="BV464" s="399"/>
      <c r="BW464" s="393" t="s">
        <v>3117</v>
      </c>
      <c r="BX464" s="392" t="s">
        <v>4364</v>
      </c>
      <c r="BY464" s="393" t="s">
        <v>7224</v>
      </c>
      <c r="BZ464" s="393"/>
      <c r="CA464" s="441"/>
      <c r="CB464" s="400"/>
      <c r="CC464" s="398"/>
      <c r="CD464" s="398"/>
      <c r="CE464" s="398"/>
      <c r="CF464" s="398"/>
      <c r="CG464" s="398"/>
      <c r="CH464" s="398"/>
      <c r="CI464" s="398"/>
      <c r="CJ464" s="398"/>
      <c r="CK464" s="398">
        <v>10.244</v>
      </c>
      <c r="CL464" s="398">
        <v>10.244</v>
      </c>
      <c r="CM464" s="398">
        <v>10.244</v>
      </c>
      <c r="CN464" s="398">
        <v>10.244</v>
      </c>
      <c r="CO464" s="398">
        <v>10.244</v>
      </c>
      <c r="CP464" s="398">
        <v>10.244</v>
      </c>
      <c r="CQ464" s="398">
        <v>10.244</v>
      </c>
      <c r="CR464" s="398"/>
      <c r="CS464" s="398"/>
      <c r="CT464" s="398"/>
      <c r="CU464" s="398"/>
      <c r="CV464" s="398"/>
      <c r="CW464" s="398"/>
      <c r="CX464" s="398"/>
      <c r="CY464" s="398"/>
      <c r="CZ464" s="398"/>
      <c r="DA464" s="398"/>
      <c r="DB464" s="398"/>
      <c r="DC464" s="398"/>
      <c r="DD464" s="398"/>
      <c r="DE464" s="393"/>
      <c r="DF464" s="393"/>
      <c r="DG464" s="393"/>
      <c r="DH464" s="393"/>
      <c r="DI464" s="393"/>
      <c r="DJ464" s="393"/>
      <c r="DK464" s="897"/>
    </row>
    <row r="465" spans="1:115" ht="38.25" x14ac:dyDescent="0.2">
      <c r="A465" s="295">
        <v>461</v>
      </c>
      <c r="B465" s="390" t="s">
        <v>6839</v>
      </c>
      <c r="C465" s="390"/>
      <c r="D465" s="391" t="s">
        <v>6840</v>
      </c>
      <c r="E465" s="704" t="s">
        <v>6841</v>
      </c>
      <c r="F465" s="393" t="s">
        <v>1352</v>
      </c>
      <c r="G465" s="393" t="s">
        <v>1671</v>
      </c>
      <c r="H465" s="393" t="s">
        <v>117</v>
      </c>
      <c r="I465" s="392"/>
      <c r="J465" s="392"/>
      <c r="K465" s="392" t="s">
        <v>6842</v>
      </c>
      <c r="L465" s="392" t="s">
        <v>197</v>
      </c>
      <c r="M465" s="392"/>
      <c r="N465" s="393" t="s">
        <v>44</v>
      </c>
      <c r="O465" s="393" t="s">
        <v>69</v>
      </c>
      <c r="P465" s="393" t="s">
        <v>69</v>
      </c>
      <c r="Q465" s="392" t="s">
        <v>172</v>
      </c>
      <c r="R465" s="392" t="s">
        <v>4685</v>
      </c>
      <c r="S465" s="428" t="s">
        <v>205</v>
      </c>
      <c r="T465" s="394">
        <v>1</v>
      </c>
      <c r="U465" s="395">
        <v>10.244</v>
      </c>
      <c r="V465" s="395"/>
      <c r="W465" s="453"/>
      <c r="X465" s="394"/>
      <c r="Y465" s="394">
        <v>10</v>
      </c>
      <c r="Z465" s="394">
        <v>20</v>
      </c>
      <c r="AA465" s="395">
        <v>0</v>
      </c>
      <c r="AB465" s="452">
        <v>42036</v>
      </c>
      <c r="AC465" s="398">
        <v>0</v>
      </c>
      <c r="AD465" s="398">
        <v>102.44</v>
      </c>
      <c r="AE465" s="393" t="s">
        <v>47</v>
      </c>
      <c r="AF465" s="417"/>
      <c r="AG465" s="417">
        <v>8.0570000000000004</v>
      </c>
      <c r="AH465" s="417">
        <v>8.0570000000000004</v>
      </c>
      <c r="AI465" s="394"/>
      <c r="AJ465" s="453">
        <v>43200</v>
      </c>
      <c r="AK465" s="452">
        <v>42369</v>
      </c>
      <c r="AL465" s="393"/>
      <c r="AM465" s="393"/>
      <c r="AN465" s="417"/>
      <c r="AO465" s="392"/>
      <c r="AP465" s="392" t="s">
        <v>7060</v>
      </c>
      <c r="AQ465" s="392"/>
      <c r="AR465" s="392" t="s">
        <v>199</v>
      </c>
      <c r="AS465" s="480"/>
      <c r="AT465" s="453"/>
      <c r="AU465" s="453"/>
      <c r="AV465" s="453"/>
      <c r="AW465" s="453"/>
      <c r="AX465" s="453"/>
      <c r="AY465" s="453"/>
      <c r="AZ465" s="452">
        <v>42033</v>
      </c>
      <c r="BA465" s="393"/>
      <c r="BB465" s="393"/>
      <c r="BC465" s="393" t="b">
        <v>0</v>
      </c>
      <c r="BD465" s="393"/>
      <c r="BE465" s="392"/>
      <c r="BF465" s="394">
        <v>9</v>
      </c>
      <c r="BG465" s="394">
        <v>8</v>
      </c>
      <c r="BH465" s="394">
        <v>1</v>
      </c>
      <c r="BI465" s="394">
        <v>4</v>
      </c>
      <c r="BJ465" s="394">
        <v>6</v>
      </c>
      <c r="BK465" s="394"/>
      <c r="BL465" s="444" t="s">
        <v>6981</v>
      </c>
      <c r="BM465" s="392"/>
      <c r="BN465" s="393"/>
      <c r="BO465" s="393"/>
      <c r="BP465" s="399"/>
      <c r="BQ465" s="400"/>
      <c r="BR465" s="401"/>
      <c r="BS465" s="399"/>
      <c r="BT465" s="394"/>
      <c r="BU465" s="417"/>
      <c r="BV465" s="399"/>
      <c r="BW465" s="393" t="s">
        <v>3117</v>
      </c>
      <c r="BX465" s="392" t="s">
        <v>4364</v>
      </c>
      <c r="BY465" s="393" t="s">
        <v>7224</v>
      </c>
      <c r="BZ465" s="393"/>
      <c r="CA465" s="441"/>
      <c r="CB465" s="400"/>
      <c r="CC465" s="398"/>
      <c r="CD465" s="398"/>
      <c r="CE465" s="398"/>
      <c r="CF465" s="398"/>
      <c r="CG465" s="398"/>
      <c r="CH465" s="398"/>
      <c r="CI465" s="398"/>
      <c r="CJ465" s="398"/>
      <c r="CK465" s="398">
        <v>10.244</v>
      </c>
      <c r="CL465" s="398">
        <v>10.244</v>
      </c>
      <c r="CM465" s="398">
        <v>10.244</v>
      </c>
      <c r="CN465" s="398">
        <v>10.244</v>
      </c>
      <c r="CO465" s="398">
        <v>10.244</v>
      </c>
      <c r="CP465" s="398">
        <v>10.244</v>
      </c>
      <c r="CQ465" s="398">
        <v>10.244</v>
      </c>
      <c r="CR465" s="398"/>
      <c r="CS465" s="398"/>
      <c r="CT465" s="398"/>
      <c r="CU465" s="398"/>
      <c r="CV465" s="398"/>
      <c r="CW465" s="398"/>
      <c r="CX465" s="398"/>
      <c r="CY465" s="398"/>
      <c r="CZ465" s="398"/>
      <c r="DA465" s="398"/>
      <c r="DB465" s="398"/>
      <c r="DC465" s="398"/>
      <c r="DD465" s="398"/>
      <c r="DE465" s="393"/>
      <c r="DF465" s="393"/>
      <c r="DG465" s="393"/>
      <c r="DH465" s="393"/>
      <c r="DI465" s="393"/>
      <c r="DJ465" s="393"/>
      <c r="DK465" s="897"/>
    </row>
    <row r="466" spans="1:115" ht="38.25" x14ac:dyDescent="0.2">
      <c r="A466" s="295">
        <v>462</v>
      </c>
      <c r="B466" s="390" t="s">
        <v>6843</v>
      </c>
      <c r="C466" s="390"/>
      <c r="D466" s="391" t="s">
        <v>6844</v>
      </c>
      <c r="E466" s="704" t="s">
        <v>6845</v>
      </c>
      <c r="F466" s="393" t="s">
        <v>1352</v>
      </c>
      <c r="G466" s="393" t="s">
        <v>1671</v>
      </c>
      <c r="H466" s="393" t="s">
        <v>117</v>
      </c>
      <c r="I466" s="392"/>
      <c r="J466" s="392"/>
      <c r="K466" s="392" t="s">
        <v>6846</v>
      </c>
      <c r="L466" s="392" t="s">
        <v>197</v>
      </c>
      <c r="M466" s="392"/>
      <c r="N466" s="393" t="s">
        <v>44</v>
      </c>
      <c r="O466" s="393" t="s">
        <v>69</v>
      </c>
      <c r="P466" s="393" t="s">
        <v>69</v>
      </c>
      <c r="Q466" s="392" t="s">
        <v>172</v>
      </c>
      <c r="R466" s="392" t="s">
        <v>4685</v>
      </c>
      <c r="S466" s="428" t="s">
        <v>205</v>
      </c>
      <c r="T466" s="394">
        <v>1</v>
      </c>
      <c r="U466" s="395">
        <v>10.311999999999999</v>
      </c>
      <c r="V466" s="395"/>
      <c r="W466" s="453"/>
      <c r="X466" s="394"/>
      <c r="Y466" s="394">
        <v>10</v>
      </c>
      <c r="Z466" s="394">
        <v>20</v>
      </c>
      <c r="AA466" s="395">
        <v>0</v>
      </c>
      <c r="AB466" s="452">
        <v>42036</v>
      </c>
      <c r="AC466" s="398">
        <v>0</v>
      </c>
      <c r="AD466" s="398">
        <v>103.11999999999999</v>
      </c>
      <c r="AE466" s="393" t="s">
        <v>47</v>
      </c>
      <c r="AF466" s="417"/>
      <c r="AG466" s="417">
        <v>8.0470000000000006</v>
      </c>
      <c r="AH466" s="417">
        <v>8.0470000000000006</v>
      </c>
      <c r="AI466" s="394"/>
      <c r="AJ466" s="453">
        <v>43200</v>
      </c>
      <c r="AK466" s="452">
        <v>42369</v>
      </c>
      <c r="AL466" s="393"/>
      <c r="AM466" s="393"/>
      <c r="AN466" s="417"/>
      <c r="AO466" s="392"/>
      <c r="AP466" s="392" t="s">
        <v>7060</v>
      </c>
      <c r="AQ466" s="392"/>
      <c r="AR466" s="392" t="s">
        <v>199</v>
      </c>
      <c r="AS466" s="480"/>
      <c r="AT466" s="453"/>
      <c r="AU466" s="453"/>
      <c r="AV466" s="453"/>
      <c r="AW466" s="453"/>
      <c r="AX466" s="453"/>
      <c r="AY466" s="453"/>
      <c r="AZ466" s="452">
        <v>42033</v>
      </c>
      <c r="BA466" s="393"/>
      <c r="BB466" s="393"/>
      <c r="BC466" s="393" t="b">
        <v>0</v>
      </c>
      <c r="BD466" s="393"/>
      <c r="BE466" s="392"/>
      <c r="BF466" s="394">
        <v>9</v>
      </c>
      <c r="BG466" s="394">
        <v>8</v>
      </c>
      <c r="BH466" s="394">
        <v>1</v>
      </c>
      <c r="BI466" s="394">
        <v>4</v>
      </c>
      <c r="BJ466" s="394">
        <v>6</v>
      </c>
      <c r="BK466" s="394"/>
      <c r="BL466" s="444" t="s">
        <v>6981</v>
      </c>
      <c r="BM466" s="392"/>
      <c r="BN466" s="393"/>
      <c r="BO466" s="393"/>
      <c r="BP466" s="399"/>
      <c r="BQ466" s="400"/>
      <c r="BR466" s="401"/>
      <c r="BS466" s="399"/>
      <c r="BT466" s="394"/>
      <c r="BU466" s="417"/>
      <c r="BV466" s="399"/>
      <c r="BW466" s="393" t="s">
        <v>3117</v>
      </c>
      <c r="BX466" s="392" t="s">
        <v>4364</v>
      </c>
      <c r="BY466" s="393" t="s">
        <v>7224</v>
      </c>
      <c r="BZ466" s="393"/>
      <c r="CA466" s="441"/>
      <c r="CB466" s="400"/>
      <c r="CC466" s="398"/>
      <c r="CD466" s="398"/>
      <c r="CE466" s="398"/>
      <c r="CF466" s="398"/>
      <c r="CG466" s="398"/>
      <c r="CH466" s="398"/>
      <c r="CI466" s="398"/>
      <c r="CJ466" s="398"/>
      <c r="CK466" s="398">
        <v>10.311999999999999</v>
      </c>
      <c r="CL466" s="398">
        <v>10.311999999999999</v>
      </c>
      <c r="CM466" s="398">
        <v>10.311999999999999</v>
      </c>
      <c r="CN466" s="398">
        <v>10.311999999999999</v>
      </c>
      <c r="CO466" s="398">
        <v>10.311999999999999</v>
      </c>
      <c r="CP466" s="398">
        <v>10.311999999999999</v>
      </c>
      <c r="CQ466" s="398">
        <v>10.311999999999999</v>
      </c>
      <c r="CR466" s="398"/>
      <c r="CS466" s="398"/>
      <c r="CT466" s="398"/>
      <c r="CU466" s="398"/>
      <c r="CV466" s="398"/>
      <c r="CW466" s="398"/>
      <c r="CX466" s="398"/>
      <c r="CY466" s="398"/>
      <c r="CZ466" s="398"/>
      <c r="DA466" s="398"/>
      <c r="DB466" s="398"/>
      <c r="DC466" s="398"/>
      <c r="DD466" s="398"/>
      <c r="DE466" s="393"/>
      <c r="DF466" s="393"/>
      <c r="DG466" s="393"/>
      <c r="DH466" s="393"/>
      <c r="DI466" s="393"/>
      <c r="DJ466" s="393"/>
      <c r="DK466" s="897"/>
    </row>
    <row r="467" spans="1:115" ht="25.5" x14ac:dyDescent="0.2">
      <c r="A467" s="295">
        <v>463</v>
      </c>
      <c r="B467" s="390" t="s">
        <v>6847</v>
      </c>
      <c r="C467" s="390"/>
      <c r="D467" s="391" t="s">
        <v>6848</v>
      </c>
      <c r="E467" s="704" t="s">
        <v>6849</v>
      </c>
      <c r="F467" s="393" t="s">
        <v>1352</v>
      </c>
      <c r="G467" s="393" t="s">
        <v>1671</v>
      </c>
      <c r="H467" s="393" t="s">
        <v>117</v>
      </c>
      <c r="I467" s="392"/>
      <c r="J467" s="392"/>
      <c r="K467" s="392" t="s">
        <v>6850</v>
      </c>
      <c r="L467" s="392" t="s">
        <v>197</v>
      </c>
      <c r="M467" s="392"/>
      <c r="N467" s="393" t="s">
        <v>44</v>
      </c>
      <c r="O467" s="393" t="s">
        <v>69</v>
      </c>
      <c r="P467" s="393" t="s">
        <v>69</v>
      </c>
      <c r="Q467" s="392" t="s">
        <v>172</v>
      </c>
      <c r="R467" s="392" t="s">
        <v>4685</v>
      </c>
      <c r="S467" s="428" t="s">
        <v>205</v>
      </c>
      <c r="T467" s="394">
        <v>1</v>
      </c>
      <c r="U467" s="395">
        <v>10.449</v>
      </c>
      <c r="V467" s="395"/>
      <c r="W467" s="453"/>
      <c r="X467" s="394"/>
      <c r="Y467" s="394">
        <v>10</v>
      </c>
      <c r="Z467" s="394">
        <v>20</v>
      </c>
      <c r="AA467" s="395">
        <v>0</v>
      </c>
      <c r="AB467" s="452">
        <v>42036</v>
      </c>
      <c r="AC467" s="398">
        <v>0</v>
      </c>
      <c r="AD467" s="398">
        <v>104.49</v>
      </c>
      <c r="AE467" s="393" t="s">
        <v>47</v>
      </c>
      <c r="AF467" s="417"/>
      <c r="AG467" s="417">
        <v>8.3339999999999996</v>
      </c>
      <c r="AH467" s="417">
        <v>8.3339999999999996</v>
      </c>
      <c r="AI467" s="394"/>
      <c r="AJ467" s="453">
        <v>43200</v>
      </c>
      <c r="AK467" s="452">
        <v>42369</v>
      </c>
      <c r="AL467" s="393"/>
      <c r="AM467" s="393"/>
      <c r="AN467" s="417"/>
      <c r="AO467" s="392"/>
      <c r="AP467" s="392" t="s">
        <v>7060</v>
      </c>
      <c r="AQ467" s="392"/>
      <c r="AR467" s="392" t="s">
        <v>199</v>
      </c>
      <c r="AS467" s="480"/>
      <c r="AT467" s="453"/>
      <c r="AU467" s="453"/>
      <c r="AV467" s="453"/>
      <c r="AW467" s="453"/>
      <c r="AX467" s="453"/>
      <c r="AY467" s="453"/>
      <c r="AZ467" s="452">
        <v>42033</v>
      </c>
      <c r="BA467" s="393"/>
      <c r="BB467" s="393"/>
      <c r="BC467" s="393" t="b">
        <v>0</v>
      </c>
      <c r="BD467" s="393"/>
      <c r="BE467" s="392"/>
      <c r="BF467" s="394">
        <v>9</v>
      </c>
      <c r="BG467" s="394">
        <v>8</v>
      </c>
      <c r="BH467" s="394">
        <v>1</v>
      </c>
      <c r="BI467" s="394">
        <v>4</v>
      </c>
      <c r="BJ467" s="394">
        <v>6</v>
      </c>
      <c r="BK467" s="394"/>
      <c r="BL467" s="444" t="s">
        <v>6981</v>
      </c>
      <c r="BM467" s="392"/>
      <c r="BN467" s="393"/>
      <c r="BO467" s="393"/>
      <c r="BP467" s="399"/>
      <c r="BQ467" s="400"/>
      <c r="BR467" s="401"/>
      <c r="BS467" s="399"/>
      <c r="BT467" s="394"/>
      <c r="BU467" s="417"/>
      <c r="BV467" s="399"/>
      <c r="BW467" s="393" t="s">
        <v>3117</v>
      </c>
      <c r="BX467" s="392" t="s">
        <v>4364</v>
      </c>
      <c r="BY467" s="393" t="s">
        <v>7224</v>
      </c>
      <c r="BZ467" s="393"/>
      <c r="CA467" s="441"/>
      <c r="CB467" s="400"/>
      <c r="CC467" s="398"/>
      <c r="CD467" s="398"/>
      <c r="CE467" s="398"/>
      <c r="CF467" s="398"/>
      <c r="CG467" s="398"/>
      <c r="CH467" s="398"/>
      <c r="CI467" s="398"/>
      <c r="CJ467" s="398"/>
      <c r="CK467" s="398">
        <v>10.449</v>
      </c>
      <c r="CL467" s="398">
        <v>10.449</v>
      </c>
      <c r="CM467" s="398">
        <v>10.449</v>
      </c>
      <c r="CN467" s="398">
        <v>10.449</v>
      </c>
      <c r="CO467" s="398">
        <v>10.449</v>
      </c>
      <c r="CP467" s="398">
        <v>10.449</v>
      </c>
      <c r="CQ467" s="398">
        <v>10.449</v>
      </c>
      <c r="CR467" s="398"/>
      <c r="CS467" s="398"/>
      <c r="CT467" s="398"/>
      <c r="CU467" s="398"/>
      <c r="CV467" s="398"/>
      <c r="CW467" s="398"/>
      <c r="CX467" s="398"/>
      <c r="CY467" s="398"/>
      <c r="CZ467" s="398"/>
      <c r="DA467" s="398"/>
      <c r="DB467" s="398"/>
      <c r="DC467" s="398"/>
      <c r="DD467" s="398"/>
      <c r="DE467" s="393"/>
      <c r="DF467" s="393"/>
      <c r="DG467" s="393"/>
      <c r="DH467" s="393"/>
      <c r="DI467" s="393"/>
      <c r="DJ467" s="393"/>
      <c r="DK467" s="897"/>
    </row>
    <row r="468" spans="1:115" ht="76.5" x14ac:dyDescent="0.2">
      <c r="A468" s="295">
        <v>464</v>
      </c>
      <c r="B468" s="390" t="s">
        <v>675</v>
      </c>
      <c r="C468" s="424" t="s">
        <v>7480</v>
      </c>
      <c r="D468" s="391" t="s">
        <v>5063</v>
      </c>
      <c r="E468" s="704" t="s">
        <v>676</v>
      </c>
      <c r="F468" s="393" t="s">
        <v>1340</v>
      </c>
      <c r="G468" s="393" t="s">
        <v>1677</v>
      </c>
      <c r="H468" s="393" t="s">
        <v>667</v>
      </c>
      <c r="I468" s="392"/>
      <c r="J468" s="392" t="s">
        <v>667</v>
      </c>
      <c r="K468" s="392"/>
      <c r="L468" s="392" t="s">
        <v>668</v>
      </c>
      <c r="M468" s="392" t="s">
        <v>3983</v>
      </c>
      <c r="N468" s="393" t="s">
        <v>44</v>
      </c>
      <c r="O468" s="393" t="s">
        <v>669</v>
      </c>
      <c r="P468" s="393" t="s">
        <v>669</v>
      </c>
      <c r="Q468" s="392" t="s">
        <v>670</v>
      </c>
      <c r="R468" s="392"/>
      <c r="S468" s="392" t="s">
        <v>671</v>
      </c>
      <c r="T468" s="394">
        <v>1</v>
      </c>
      <c r="U468" s="395">
        <v>0.20899999999999999</v>
      </c>
      <c r="V468" s="395"/>
      <c r="W468" s="452">
        <v>36834</v>
      </c>
      <c r="X468" s="394">
        <v>28</v>
      </c>
      <c r="Y468" s="394"/>
      <c r="Z468" s="394"/>
      <c r="AA468" s="395"/>
      <c r="AB468" s="453"/>
      <c r="AC468" s="398">
        <v>0</v>
      </c>
      <c r="AD468" s="398">
        <v>2.09</v>
      </c>
      <c r="AE468" s="393" t="s">
        <v>225</v>
      </c>
      <c r="AF468" s="417"/>
      <c r="AG468" s="417"/>
      <c r="AH468" s="417">
        <v>0</v>
      </c>
      <c r="AI468" s="394"/>
      <c r="AJ468" s="453"/>
      <c r="AK468" s="453"/>
      <c r="AL468" s="393"/>
      <c r="AM468" s="393"/>
      <c r="AN468" s="417"/>
      <c r="AO468" s="392"/>
      <c r="AP468" s="392" t="s">
        <v>55</v>
      </c>
      <c r="AQ468" s="392"/>
      <c r="AR468" s="392" t="s">
        <v>672</v>
      </c>
      <c r="AS468" s="479">
        <v>40486</v>
      </c>
      <c r="AT468" s="452">
        <v>40998</v>
      </c>
      <c r="AU468" s="478" t="s">
        <v>1600</v>
      </c>
      <c r="AV468" s="452">
        <v>40616</v>
      </c>
      <c r="AW468" s="452">
        <v>41260</v>
      </c>
      <c r="AX468" s="452">
        <v>41303</v>
      </c>
      <c r="AY468" s="452">
        <v>41260</v>
      </c>
      <c r="AZ468" s="453"/>
      <c r="BA468" s="393"/>
      <c r="BB468" s="393" t="s">
        <v>3116</v>
      </c>
      <c r="BC468" s="393" t="b">
        <v>0</v>
      </c>
      <c r="BD468" s="393" t="s">
        <v>3116</v>
      </c>
      <c r="BE468" s="392"/>
      <c r="BF468" s="394">
        <v>1</v>
      </c>
      <c r="BG468" s="394">
        <v>6</v>
      </c>
      <c r="BH468" s="394">
        <v>11</v>
      </c>
      <c r="BI468" s="394">
        <v>9</v>
      </c>
      <c r="BJ468" s="394">
        <v>6</v>
      </c>
      <c r="BK468" s="394"/>
      <c r="BL468" s="444" t="s">
        <v>6981</v>
      </c>
      <c r="BM468" s="392"/>
      <c r="BN468" s="393"/>
      <c r="BO468" s="393"/>
      <c r="BP468" s="399"/>
      <c r="BQ468" s="400"/>
      <c r="BR468" s="401"/>
      <c r="BS468" s="399">
        <v>0</v>
      </c>
      <c r="BT468" s="394"/>
      <c r="BU468" s="417"/>
      <c r="BV468" s="399"/>
      <c r="BW468" s="393" t="s">
        <v>3117</v>
      </c>
      <c r="BX468" s="392" t="s">
        <v>4364</v>
      </c>
      <c r="BY468" s="393"/>
      <c r="BZ468" s="393"/>
      <c r="CA468" s="441"/>
      <c r="CB468" s="400"/>
      <c r="CC468" s="398"/>
      <c r="CD468" s="398"/>
      <c r="CE468" s="398"/>
      <c r="CF468" s="398"/>
      <c r="CG468" s="398"/>
      <c r="CH468" s="398"/>
      <c r="CI468" s="398"/>
      <c r="CJ468" s="398"/>
      <c r="CK468" s="398"/>
      <c r="CL468" s="398"/>
      <c r="CM468" s="398"/>
      <c r="CN468" s="398"/>
      <c r="CO468" s="398"/>
      <c r="CP468" s="398"/>
      <c r="CQ468" s="398"/>
      <c r="CR468" s="398"/>
      <c r="CS468" s="398"/>
      <c r="CT468" s="398"/>
      <c r="CU468" s="398"/>
      <c r="CV468" s="398"/>
      <c r="CW468" s="398"/>
      <c r="CX468" s="398"/>
      <c r="CY468" s="398"/>
      <c r="CZ468" s="398"/>
      <c r="DA468" s="398"/>
      <c r="DB468" s="398"/>
      <c r="DC468" s="398"/>
      <c r="DD468" s="398"/>
      <c r="DE468" s="393"/>
      <c r="DF468" s="393"/>
      <c r="DG468" s="393"/>
      <c r="DH468" s="393"/>
      <c r="DI468" s="393"/>
      <c r="DJ468" s="393"/>
      <c r="DK468" s="896" t="s">
        <v>9700</v>
      </c>
    </row>
    <row r="469" spans="1:115" ht="38.25" x14ac:dyDescent="0.2">
      <c r="A469" s="295">
        <v>465</v>
      </c>
      <c r="B469" s="390" t="s">
        <v>2647</v>
      </c>
      <c r="C469" s="390"/>
      <c r="D469" s="391" t="s">
        <v>4433</v>
      </c>
      <c r="E469" s="704" t="s">
        <v>677</v>
      </c>
      <c r="F469" s="393" t="s">
        <v>1340</v>
      </c>
      <c r="G469" s="393" t="s">
        <v>1677</v>
      </c>
      <c r="H469" s="393" t="s">
        <v>667</v>
      </c>
      <c r="I469" s="392"/>
      <c r="J469" s="392"/>
      <c r="K469" s="392" t="s">
        <v>678</v>
      </c>
      <c r="L469" s="392" t="s">
        <v>668</v>
      </c>
      <c r="M469" s="392"/>
      <c r="N469" s="393" t="s">
        <v>44</v>
      </c>
      <c r="O469" s="393" t="s">
        <v>669</v>
      </c>
      <c r="P469" s="393" t="s">
        <v>669</v>
      </c>
      <c r="Q469" s="392" t="s">
        <v>670</v>
      </c>
      <c r="R469" s="392" t="s">
        <v>4002</v>
      </c>
      <c r="S469" s="392" t="s">
        <v>671</v>
      </c>
      <c r="T469" s="394">
        <v>1</v>
      </c>
      <c r="U469" s="395">
        <v>0.20899999999999999</v>
      </c>
      <c r="V469" s="395"/>
      <c r="W469" s="453"/>
      <c r="X469" s="394"/>
      <c r="Y469" s="394">
        <v>10</v>
      </c>
      <c r="Z469" s="394">
        <v>10</v>
      </c>
      <c r="AA469" s="395">
        <v>0</v>
      </c>
      <c r="AB469" s="452">
        <v>41334</v>
      </c>
      <c r="AC469" s="398">
        <v>0</v>
      </c>
      <c r="AD469" s="398">
        <v>2.09</v>
      </c>
      <c r="AE469" s="393" t="s">
        <v>225</v>
      </c>
      <c r="AF469" s="417"/>
      <c r="AG469" s="417"/>
      <c r="AH469" s="417"/>
      <c r="AI469" s="394"/>
      <c r="AJ469" s="453"/>
      <c r="AK469" s="453"/>
      <c r="AL469" s="393"/>
      <c r="AM469" s="393"/>
      <c r="AN469" s="417"/>
      <c r="AO469" s="392"/>
      <c r="AP469" s="392" t="s">
        <v>55</v>
      </c>
      <c r="AQ469" s="392"/>
      <c r="AR469" s="392" t="s">
        <v>672</v>
      </c>
      <c r="AS469" s="479">
        <v>40486</v>
      </c>
      <c r="AT469" s="452">
        <v>40998</v>
      </c>
      <c r="AU469" s="478" t="s">
        <v>2861</v>
      </c>
      <c r="AV469" s="453"/>
      <c r="AW469" s="453"/>
      <c r="AX469" s="453"/>
      <c r="AY469" s="453"/>
      <c r="AZ469" s="452">
        <v>41260</v>
      </c>
      <c r="BA469" s="393"/>
      <c r="BB469" s="393"/>
      <c r="BC469" s="393" t="b">
        <v>0</v>
      </c>
      <c r="BD469" s="393"/>
      <c r="BE469" s="392"/>
      <c r="BF469" s="394">
        <v>1</v>
      </c>
      <c r="BG469" s="394">
        <v>6</v>
      </c>
      <c r="BH469" s="394">
        <v>11</v>
      </c>
      <c r="BI469" s="394">
        <v>9</v>
      </c>
      <c r="BJ469" s="394">
        <v>6</v>
      </c>
      <c r="BK469" s="394"/>
      <c r="BL469" s="444" t="s">
        <v>1451</v>
      </c>
      <c r="BM469" s="392"/>
      <c r="BN469" s="393" t="s">
        <v>58</v>
      </c>
      <c r="BO469" s="393"/>
      <c r="BP469" s="399" t="s">
        <v>3511</v>
      </c>
      <c r="BQ469" s="400"/>
      <c r="BR469" s="401"/>
      <c r="BS469" s="399"/>
      <c r="BT469" s="394"/>
      <c r="BU469" s="417"/>
      <c r="BV469" s="399"/>
      <c r="BW469" s="393" t="s">
        <v>3117</v>
      </c>
      <c r="BX469" s="392" t="s">
        <v>4364</v>
      </c>
      <c r="BY469" s="393"/>
      <c r="BZ469" s="393"/>
      <c r="CA469" s="441" t="s">
        <v>1662</v>
      </c>
      <c r="CB469" s="400"/>
      <c r="CC469" s="398"/>
      <c r="CD469" s="398"/>
      <c r="CE469" s="398"/>
      <c r="CF469" s="398"/>
      <c r="CG469" s="398"/>
      <c r="CH469" s="398"/>
      <c r="CI469" s="398">
        <v>0.17399999999999999</v>
      </c>
      <c r="CJ469" s="398">
        <v>0.20899999999999999</v>
      </c>
      <c r="CK469" s="398">
        <v>0.20899999999999999</v>
      </c>
      <c r="CL469" s="398">
        <v>0.20899999999999999</v>
      </c>
      <c r="CM469" s="398">
        <v>0.20899999999999999</v>
      </c>
      <c r="CN469" s="398">
        <v>0.20899999999999999</v>
      </c>
      <c r="CO469" s="398">
        <v>0.20899999999999999</v>
      </c>
      <c r="CP469" s="398">
        <v>0.20899999999999999</v>
      </c>
      <c r="CQ469" s="398">
        <v>0.20899999999999999</v>
      </c>
      <c r="CR469" s="398">
        <v>0.20899999999999999</v>
      </c>
      <c r="CS469" s="398">
        <v>3.5000000000000003E-2</v>
      </c>
      <c r="CT469" s="398"/>
      <c r="CU469" s="398"/>
      <c r="CV469" s="398"/>
      <c r="CW469" s="398"/>
      <c r="CX469" s="398"/>
      <c r="CY469" s="398"/>
      <c r="CZ469" s="398"/>
      <c r="DA469" s="398"/>
      <c r="DB469" s="398"/>
      <c r="DC469" s="398"/>
      <c r="DD469" s="398"/>
      <c r="DE469" s="393"/>
      <c r="DF469" s="393"/>
      <c r="DG469" s="393"/>
      <c r="DH469" s="393"/>
      <c r="DI469" s="393"/>
      <c r="DJ469" s="393"/>
      <c r="DK469" s="897"/>
    </row>
    <row r="470" spans="1:115" ht="63.75" x14ac:dyDescent="0.2">
      <c r="A470" s="295">
        <v>466</v>
      </c>
      <c r="B470" s="390" t="s">
        <v>1046</v>
      </c>
      <c r="C470" s="424" t="s">
        <v>7481</v>
      </c>
      <c r="D470" s="391" t="s">
        <v>5064</v>
      </c>
      <c r="E470" s="704" t="s">
        <v>1047</v>
      </c>
      <c r="F470" s="393" t="s">
        <v>1375</v>
      </c>
      <c r="G470" s="393" t="s">
        <v>1670</v>
      </c>
      <c r="H470" s="393" t="s">
        <v>1048</v>
      </c>
      <c r="I470" s="392"/>
      <c r="J470" s="392" t="s">
        <v>1048</v>
      </c>
      <c r="K470" s="392"/>
      <c r="L470" s="392" t="s">
        <v>1049</v>
      </c>
      <c r="M470" s="392" t="s">
        <v>4003</v>
      </c>
      <c r="N470" s="393" t="s">
        <v>44</v>
      </c>
      <c r="O470" s="393" t="s">
        <v>51</v>
      </c>
      <c r="P470" s="393" t="s">
        <v>51</v>
      </c>
      <c r="Q470" s="392" t="s">
        <v>976</v>
      </c>
      <c r="R470" s="392"/>
      <c r="S470" s="392" t="s">
        <v>977</v>
      </c>
      <c r="T470" s="394">
        <v>4</v>
      </c>
      <c r="U470" s="395">
        <v>168.64699999999999</v>
      </c>
      <c r="V470" s="395"/>
      <c r="W470" s="452">
        <v>41183</v>
      </c>
      <c r="X470" s="394">
        <v>28</v>
      </c>
      <c r="Y470" s="394"/>
      <c r="Z470" s="394"/>
      <c r="AA470" s="395"/>
      <c r="AB470" s="453"/>
      <c r="AC470" s="398">
        <v>11.679</v>
      </c>
      <c r="AD470" s="398">
        <v>1686.4699999999998</v>
      </c>
      <c r="AE470" s="393" t="s">
        <v>54</v>
      </c>
      <c r="AF470" s="417">
        <f>SUM(AF471:AF474)</f>
        <v>0</v>
      </c>
      <c r="AG470" s="417">
        <f>SUM(AG471:AG474)</f>
        <v>162.10999999999999</v>
      </c>
      <c r="AH470" s="417">
        <v>162.10999999999999</v>
      </c>
      <c r="AI470" s="394">
        <v>1</v>
      </c>
      <c r="AJ470" s="453">
        <v>42366</v>
      </c>
      <c r="AK470" s="453">
        <v>42886</v>
      </c>
      <c r="AL470" s="393"/>
      <c r="AM470" s="393"/>
      <c r="AN470" s="417"/>
      <c r="AO470" s="428" t="s">
        <v>7418</v>
      </c>
      <c r="AP470" s="428" t="s">
        <v>8089</v>
      </c>
      <c r="AQ470" s="392"/>
      <c r="AR470" s="392" t="s">
        <v>1050</v>
      </c>
      <c r="AS470" s="479">
        <v>40491</v>
      </c>
      <c r="AT470" s="453"/>
      <c r="AU470" s="453"/>
      <c r="AV470" s="452">
        <v>40576</v>
      </c>
      <c r="AW470" s="452">
        <v>41220</v>
      </c>
      <c r="AX470" s="452">
        <v>41276</v>
      </c>
      <c r="AY470" s="452">
        <v>41066</v>
      </c>
      <c r="AZ470" s="453"/>
      <c r="BA470" s="393"/>
      <c r="BB470" s="393" t="s">
        <v>3116</v>
      </c>
      <c r="BC470" s="393" t="b">
        <v>0</v>
      </c>
      <c r="BD470" s="393" t="s">
        <v>3116</v>
      </c>
      <c r="BE470" s="392" t="s">
        <v>6245</v>
      </c>
      <c r="BF470" s="394">
        <v>1</v>
      </c>
      <c r="BG470" s="394">
        <v>6</v>
      </c>
      <c r="BH470" s="394">
        <v>4</v>
      </c>
      <c r="BI470" s="394">
        <v>8</v>
      </c>
      <c r="BJ470" s="394"/>
      <c r="BK470" s="394"/>
      <c r="BL470" s="444"/>
      <c r="BM470" s="392" t="s">
        <v>4434</v>
      </c>
      <c r="BN470" s="393" t="s">
        <v>3303</v>
      </c>
      <c r="BO470" s="393"/>
      <c r="BP470" s="399"/>
      <c r="BQ470" s="400" t="s">
        <v>3303</v>
      </c>
      <c r="BR470" s="401"/>
      <c r="BS470" s="399">
        <v>0</v>
      </c>
      <c r="BT470" s="394"/>
      <c r="BU470" s="417"/>
      <c r="BV470" s="399"/>
      <c r="BW470" s="393"/>
      <c r="BX470" s="392"/>
      <c r="BY470" s="393"/>
      <c r="BZ470" s="393"/>
      <c r="CA470" s="441"/>
      <c r="CB470" s="400"/>
      <c r="CC470" s="398"/>
      <c r="CD470" s="398"/>
      <c r="CE470" s="398"/>
      <c r="CF470" s="398"/>
      <c r="CG470" s="398"/>
      <c r="CH470" s="398"/>
      <c r="CI470" s="398"/>
      <c r="CJ470" s="398"/>
      <c r="CK470" s="398"/>
      <c r="CL470" s="398"/>
      <c r="CM470" s="398"/>
      <c r="CN470" s="398"/>
      <c r="CO470" s="398"/>
      <c r="CP470" s="398"/>
      <c r="CQ470" s="398"/>
      <c r="CR470" s="398"/>
      <c r="CS470" s="398"/>
      <c r="CT470" s="398"/>
      <c r="CU470" s="398"/>
      <c r="CV470" s="398"/>
      <c r="CW470" s="398"/>
      <c r="CX470" s="398"/>
      <c r="CY470" s="398"/>
      <c r="CZ470" s="398"/>
      <c r="DA470" s="398"/>
      <c r="DB470" s="398"/>
      <c r="DC470" s="398"/>
      <c r="DD470" s="398"/>
      <c r="DE470" s="393"/>
      <c r="DF470" s="393"/>
      <c r="DG470" s="393"/>
      <c r="DH470" s="393"/>
      <c r="DI470" s="393"/>
      <c r="DJ470" s="393"/>
      <c r="DK470" s="896" t="s">
        <v>9715</v>
      </c>
    </row>
    <row r="471" spans="1:115" ht="25.5" x14ac:dyDescent="0.2">
      <c r="A471" s="295">
        <v>467</v>
      </c>
      <c r="B471" s="390" t="s">
        <v>2648</v>
      </c>
      <c r="C471" s="390"/>
      <c r="D471" s="391" t="s">
        <v>4435</v>
      </c>
      <c r="E471" s="704" t="s">
        <v>1051</v>
      </c>
      <c r="F471" s="393" t="s">
        <v>1375</v>
      </c>
      <c r="G471" s="393" t="s">
        <v>1670</v>
      </c>
      <c r="H471" s="393" t="s">
        <v>1048</v>
      </c>
      <c r="I471" s="392"/>
      <c r="J471" s="392"/>
      <c r="K471" s="392" t="s">
        <v>6851</v>
      </c>
      <c r="L471" s="392" t="s">
        <v>1049</v>
      </c>
      <c r="M471" s="392"/>
      <c r="N471" s="393" t="s">
        <v>44</v>
      </c>
      <c r="O471" s="393" t="s">
        <v>51</v>
      </c>
      <c r="P471" s="393" t="s">
        <v>51</v>
      </c>
      <c r="Q471" s="392" t="s">
        <v>976</v>
      </c>
      <c r="R471" s="392" t="s">
        <v>4436</v>
      </c>
      <c r="S471" s="392" t="s">
        <v>977</v>
      </c>
      <c r="T471" s="394">
        <v>1</v>
      </c>
      <c r="U471" s="395">
        <v>46.716999999999999</v>
      </c>
      <c r="V471" s="395"/>
      <c r="W471" s="453"/>
      <c r="X471" s="394"/>
      <c r="Y471" s="394">
        <v>10</v>
      </c>
      <c r="Z471" s="394">
        <v>10</v>
      </c>
      <c r="AA471" s="395">
        <v>0</v>
      </c>
      <c r="AB471" s="452">
        <v>41183</v>
      </c>
      <c r="AC471" s="398">
        <v>11.679</v>
      </c>
      <c r="AD471" s="398">
        <v>467.16999999999996</v>
      </c>
      <c r="AE471" s="393" t="s">
        <v>54</v>
      </c>
      <c r="AF471" s="417"/>
      <c r="AG471" s="417">
        <f>20.534+16.73+29.656</f>
        <v>66.919999999999987</v>
      </c>
      <c r="AH471" s="417">
        <v>66.919999999999987</v>
      </c>
      <c r="AI471" s="394">
        <v>1</v>
      </c>
      <c r="AJ471" s="453">
        <v>42366</v>
      </c>
      <c r="AK471" s="453">
        <v>42886</v>
      </c>
      <c r="AL471" s="393"/>
      <c r="AM471" s="393"/>
      <c r="AN471" s="417"/>
      <c r="AO471" s="428" t="s">
        <v>7418</v>
      </c>
      <c r="AP471" s="428" t="s">
        <v>8089</v>
      </c>
      <c r="AQ471" s="392"/>
      <c r="AR471" s="392" t="s">
        <v>1050</v>
      </c>
      <c r="AS471" s="479">
        <v>40491</v>
      </c>
      <c r="AT471" s="453"/>
      <c r="AU471" s="453"/>
      <c r="AV471" s="453"/>
      <c r="AW471" s="453"/>
      <c r="AX471" s="453"/>
      <c r="AY471" s="453"/>
      <c r="AZ471" s="452">
        <v>41066</v>
      </c>
      <c r="BA471" s="393"/>
      <c r="BB471" s="393"/>
      <c r="BC471" s="393" t="b">
        <v>0</v>
      </c>
      <c r="BD471" s="393"/>
      <c r="BE471" s="392"/>
      <c r="BF471" s="394">
        <v>1</v>
      </c>
      <c r="BG471" s="394">
        <v>6</v>
      </c>
      <c r="BH471" s="394">
        <v>4</v>
      </c>
      <c r="BI471" s="394">
        <v>8</v>
      </c>
      <c r="BJ471" s="394"/>
      <c r="BK471" s="394"/>
      <c r="BL471" s="444" t="s">
        <v>6981</v>
      </c>
      <c r="BM471" s="392" t="s">
        <v>4434</v>
      </c>
      <c r="BN471" s="393" t="s">
        <v>3303</v>
      </c>
      <c r="BO471" s="393"/>
      <c r="BP471" s="399"/>
      <c r="BQ471" s="400" t="s">
        <v>3303</v>
      </c>
      <c r="BR471" s="401"/>
      <c r="BS471" s="399"/>
      <c r="BT471" s="394"/>
      <c r="BU471" s="417"/>
      <c r="BV471" s="399"/>
      <c r="BW471" s="393" t="s">
        <v>3117</v>
      </c>
      <c r="BX471" s="392"/>
      <c r="BY471" s="393" t="s">
        <v>7224</v>
      </c>
      <c r="BZ471" s="393"/>
      <c r="CA471" s="441"/>
      <c r="CB471" s="400"/>
      <c r="CC471" s="398"/>
      <c r="CD471" s="398"/>
      <c r="CE471" s="398"/>
      <c r="CF471" s="398"/>
      <c r="CG471" s="398"/>
      <c r="CH471" s="398">
        <v>45.148000000000003</v>
      </c>
      <c r="CI471" s="398">
        <v>45.148000000000003</v>
      </c>
      <c r="CJ471" s="398">
        <v>11.679</v>
      </c>
      <c r="CK471" s="398">
        <v>46.716999999999999</v>
      </c>
      <c r="CL471" s="398">
        <v>46.716999999999999</v>
      </c>
      <c r="CM471" s="398">
        <v>46.716999999999999</v>
      </c>
      <c r="CN471" s="398">
        <v>46.716999999999999</v>
      </c>
      <c r="CO471" s="398">
        <v>46.716999999999999</v>
      </c>
      <c r="CP471" s="398">
        <v>46.716999999999999</v>
      </c>
      <c r="CQ471" s="398">
        <v>46.716999999999999</v>
      </c>
      <c r="CR471" s="398">
        <v>46.716999999999999</v>
      </c>
      <c r="CS471" s="398">
        <v>46.716999999999999</v>
      </c>
      <c r="CT471" s="398">
        <v>35.037999999999997</v>
      </c>
      <c r="CU471" s="398"/>
      <c r="CV471" s="398"/>
      <c r="CW471" s="398"/>
      <c r="CX471" s="398"/>
      <c r="CY471" s="398"/>
      <c r="CZ471" s="398"/>
      <c r="DA471" s="398"/>
      <c r="DB471" s="398"/>
      <c r="DC471" s="398"/>
      <c r="DD471" s="398"/>
      <c r="DE471" s="393"/>
      <c r="DF471" s="393"/>
      <c r="DG471" s="393"/>
      <c r="DH471" s="393"/>
      <c r="DI471" s="393"/>
      <c r="DJ471" s="393"/>
      <c r="DK471" s="897"/>
    </row>
    <row r="472" spans="1:115" ht="25.5" x14ac:dyDescent="0.2">
      <c r="A472" s="295">
        <v>468</v>
      </c>
      <c r="B472" s="390" t="s">
        <v>6852</v>
      </c>
      <c r="C472" s="390"/>
      <c r="D472" s="391" t="s">
        <v>6853</v>
      </c>
      <c r="E472" s="704" t="s">
        <v>6854</v>
      </c>
      <c r="F472" s="393" t="s">
        <v>1375</v>
      </c>
      <c r="G472" s="393" t="s">
        <v>1670</v>
      </c>
      <c r="H472" s="393" t="s">
        <v>1048</v>
      </c>
      <c r="I472" s="392"/>
      <c r="J472" s="392"/>
      <c r="K472" s="392" t="s">
        <v>6855</v>
      </c>
      <c r="L472" s="392" t="s">
        <v>1049</v>
      </c>
      <c r="M472" s="392"/>
      <c r="N472" s="393" t="s">
        <v>44</v>
      </c>
      <c r="O472" s="393" t="s">
        <v>51</v>
      </c>
      <c r="P472" s="393" t="s">
        <v>51</v>
      </c>
      <c r="Q472" s="392" t="s">
        <v>976</v>
      </c>
      <c r="R472" s="392" t="s">
        <v>6856</v>
      </c>
      <c r="S472" s="392" t="s">
        <v>977</v>
      </c>
      <c r="T472" s="394">
        <v>1</v>
      </c>
      <c r="U472" s="395">
        <v>39.942999999999998</v>
      </c>
      <c r="V472" s="395"/>
      <c r="W472" s="453"/>
      <c r="X472" s="394"/>
      <c r="Y472" s="394">
        <v>10</v>
      </c>
      <c r="Z472" s="394">
        <v>10</v>
      </c>
      <c r="AA472" s="395">
        <v>0</v>
      </c>
      <c r="AB472" s="452">
        <v>42036</v>
      </c>
      <c r="AC472" s="398"/>
      <c r="AD472" s="398">
        <v>399.42999999999995</v>
      </c>
      <c r="AE472" s="393" t="s">
        <v>54</v>
      </c>
      <c r="AF472" s="417"/>
      <c r="AG472" s="417">
        <f>2.175+11.765+20.372</f>
        <v>34.311999999999998</v>
      </c>
      <c r="AH472" s="417">
        <v>34.311999999999998</v>
      </c>
      <c r="AI472" s="394">
        <v>1</v>
      </c>
      <c r="AJ472" s="453">
        <v>42366</v>
      </c>
      <c r="AK472" s="453">
        <v>42886</v>
      </c>
      <c r="AL472" s="393"/>
      <c r="AM472" s="393"/>
      <c r="AN472" s="417"/>
      <c r="AO472" s="428" t="s">
        <v>7418</v>
      </c>
      <c r="AP472" s="392"/>
      <c r="AQ472" s="392"/>
      <c r="AR472" s="392" t="s">
        <v>1050</v>
      </c>
      <c r="AS472" s="479">
        <v>40491</v>
      </c>
      <c r="AT472" s="453"/>
      <c r="AU472" s="453"/>
      <c r="AV472" s="453"/>
      <c r="AW472" s="453"/>
      <c r="AX472" s="453"/>
      <c r="AY472" s="453"/>
      <c r="AZ472" s="452">
        <v>42034</v>
      </c>
      <c r="BA472" s="393"/>
      <c r="BB472" s="393"/>
      <c r="BC472" s="393" t="b">
        <v>0</v>
      </c>
      <c r="BD472" s="393"/>
      <c r="BE472" s="392"/>
      <c r="BF472" s="394">
        <v>1</v>
      </c>
      <c r="BG472" s="394">
        <v>6</v>
      </c>
      <c r="BH472" s="394">
        <v>4</v>
      </c>
      <c r="BI472" s="394">
        <v>8</v>
      </c>
      <c r="BJ472" s="394"/>
      <c r="BK472" s="394"/>
      <c r="BL472" s="444" t="s">
        <v>6981</v>
      </c>
      <c r="BM472" s="392" t="s">
        <v>4434</v>
      </c>
      <c r="BN472" s="393" t="s">
        <v>3303</v>
      </c>
      <c r="BO472" s="393"/>
      <c r="BP472" s="399"/>
      <c r="BQ472" s="400"/>
      <c r="BR472" s="401"/>
      <c r="BS472" s="399"/>
      <c r="BT472" s="394"/>
      <c r="BU472" s="417"/>
      <c r="BV472" s="399"/>
      <c r="BW472" s="393" t="s">
        <v>3117</v>
      </c>
      <c r="BX472" s="392"/>
      <c r="BY472" s="393" t="s">
        <v>7224</v>
      </c>
      <c r="BZ472" s="393"/>
      <c r="CA472" s="441"/>
      <c r="CB472" s="400"/>
      <c r="CC472" s="398"/>
      <c r="CD472" s="398"/>
      <c r="CE472" s="398"/>
      <c r="CF472" s="398"/>
      <c r="CG472" s="398"/>
      <c r="CH472" s="398"/>
      <c r="CI472" s="398"/>
      <c r="CJ472" s="398"/>
      <c r="CK472" s="398">
        <v>21.021999999999998</v>
      </c>
      <c r="CL472" s="398">
        <v>42.045000000000002</v>
      </c>
      <c r="CM472" s="398">
        <v>42.045000000000002</v>
      </c>
      <c r="CN472" s="398">
        <v>42.045000000000002</v>
      </c>
      <c r="CO472" s="398">
        <v>42.045000000000002</v>
      </c>
      <c r="CP472" s="398">
        <v>42.045000000000002</v>
      </c>
      <c r="CQ472" s="398">
        <v>42.045000000000002</v>
      </c>
      <c r="CR472" s="398">
        <v>42.045000000000002</v>
      </c>
      <c r="CS472" s="398">
        <v>42.045000000000002</v>
      </c>
      <c r="CT472" s="398">
        <v>42.045000000000002</v>
      </c>
      <c r="CU472" s="398"/>
      <c r="CV472" s="398"/>
      <c r="CW472" s="398"/>
      <c r="CX472" s="398"/>
      <c r="CY472" s="398"/>
      <c r="CZ472" s="398"/>
      <c r="DA472" s="398"/>
      <c r="DB472" s="398"/>
      <c r="DC472" s="398"/>
      <c r="DD472" s="398"/>
      <c r="DE472" s="393"/>
      <c r="DF472" s="393"/>
      <c r="DG472" s="393"/>
      <c r="DH472" s="393"/>
      <c r="DI472" s="393"/>
      <c r="DJ472" s="393"/>
      <c r="DK472" s="897"/>
    </row>
    <row r="473" spans="1:115" ht="25.5" x14ac:dyDescent="0.2">
      <c r="A473" s="295">
        <v>469</v>
      </c>
      <c r="B473" s="390" t="s">
        <v>6857</v>
      </c>
      <c r="C473" s="390"/>
      <c r="D473" s="391" t="s">
        <v>6858</v>
      </c>
      <c r="E473" s="704" t="s">
        <v>6859</v>
      </c>
      <c r="F473" s="393" t="s">
        <v>1375</v>
      </c>
      <c r="G473" s="393" t="s">
        <v>1670</v>
      </c>
      <c r="H473" s="393" t="s">
        <v>1048</v>
      </c>
      <c r="I473" s="392"/>
      <c r="J473" s="392"/>
      <c r="K473" s="392" t="s">
        <v>6851</v>
      </c>
      <c r="L473" s="392" t="s">
        <v>1049</v>
      </c>
      <c r="M473" s="392"/>
      <c r="N473" s="393" t="s">
        <v>44</v>
      </c>
      <c r="O473" s="393" t="s">
        <v>51</v>
      </c>
      <c r="P473" s="393" t="s">
        <v>51</v>
      </c>
      <c r="Q473" s="392" t="s">
        <v>976</v>
      </c>
      <c r="R473" s="392" t="s">
        <v>6856</v>
      </c>
      <c r="S473" s="428" t="s">
        <v>977</v>
      </c>
      <c r="T473" s="394">
        <v>1</v>
      </c>
      <c r="U473" s="395">
        <v>39.942999999999998</v>
      </c>
      <c r="V473" s="395"/>
      <c r="W473" s="453"/>
      <c r="X473" s="394"/>
      <c r="Y473" s="394">
        <v>10</v>
      </c>
      <c r="Z473" s="394">
        <v>10</v>
      </c>
      <c r="AA473" s="395">
        <v>0</v>
      </c>
      <c r="AB473" s="452">
        <v>42036</v>
      </c>
      <c r="AC473" s="398"/>
      <c r="AD473" s="398">
        <v>399.42999999999995</v>
      </c>
      <c r="AE473" s="393" t="s">
        <v>54</v>
      </c>
      <c r="AF473" s="417"/>
      <c r="AG473" s="417">
        <f>1.35+7.498+40.746</f>
        <v>49.594000000000001</v>
      </c>
      <c r="AH473" s="417">
        <v>49.594000000000001</v>
      </c>
      <c r="AI473" s="394">
        <v>1</v>
      </c>
      <c r="AJ473" s="453">
        <v>42366</v>
      </c>
      <c r="AK473" s="453">
        <v>42886</v>
      </c>
      <c r="AL473" s="393"/>
      <c r="AM473" s="393"/>
      <c r="AN473" s="417"/>
      <c r="AO473" s="428" t="s">
        <v>7418</v>
      </c>
      <c r="AP473" s="392"/>
      <c r="AQ473" s="392"/>
      <c r="AR473" s="392" t="s">
        <v>1050</v>
      </c>
      <c r="AS473" s="479">
        <v>40491</v>
      </c>
      <c r="AT473" s="453"/>
      <c r="AU473" s="453"/>
      <c r="AV473" s="453"/>
      <c r="AW473" s="453"/>
      <c r="AX473" s="453"/>
      <c r="AY473" s="453"/>
      <c r="AZ473" s="452">
        <v>42034</v>
      </c>
      <c r="BA473" s="393"/>
      <c r="BB473" s="393"/>
      <c r="BC473" s="393" t="b">
        <v>0</v>
      </c>
      <c r="BD473" s="393"/>
      <c r="BE473" s="392"/>
      <c r="BF473" s="394">
        <v>1</v>
      </c>
      <c r="BG473" s="394">
        <v>6</v>
      </c>
      <c r="BH473" s="394">
        <v>4</v>
      </c>
      <c r="BI473" s="394">
        <v>8</v>
      </c>
      <c r="BJ473" s="394"/>
      <c r="BK473" s="394"/>
      <c r="BL473" s="444" t="s">
        <v>6981</v>
      </c>
      <c r="BM473" s="392" t="s">
        <v>4434</v>
      </c>
      <c r="BN473" s="393" t="s">
        <v>3303</v>
      </c>
      <c r="BO473" s="393"/>
      <c r="BP473" s="399"/>
      <c r="BQ473" s="400"/>
      <c r="BR473" s="401"/>
      <c r="BS473" s="399"/>
      <c r="BT473" s="394"/>
      <c r="BU473" s="417"/>
      <c r="BV473" s="399"/>
      <c r="BW473" s="393" t="s">
        <v>3117</v>
      </c>
      <c r="BX473" s="392"/>
      <c r="BY473" s="393" t="s">
        <v>7224</v>
      </c>
      <c r="BZ473" s="393"/>
      <c r="CA473" s="441"/>
      <c r="CB473" s="400"/>
      <c r="CC473" s="398"/>
      <c r="CD473" s="398"/>
      <c r="CE473" s="398"/>
      <c r="CF473" s="398"/>
      <c r="CG473" s="398"/>
      <c r="CH473" s="398"/>
      <c r="CI473" s="398"/>
      <c r="CJ473" s="398"/>
      <c r="CK473" s="398">
        <v>21.021999999999998</v>
      </c>
      <c r="CL473" s="398">
        <v>42.045000000000002</v>
      </c>
      <c r="CM473" s="398">
        <v>42.045000000000002</v>
      </c>
      <c r="CN473" s="398">
        <v>42.045000000000002</v>
      </c>
      <c r="CO473" s="398">
        <v>42.045000000000002</v>
      </c>
      <c r="CP473" s="398">
        <v>42.045000000000002</v>
      </c>
      <c r="CQ473" s="398">
        <v>42.045000000000002</v>
      </c>
      <c r="CR473" s="398">
        <v>42.045000000000002</v>
      </c>
      <c r="CS473" s="398">
        <v>42.045000000000002</v>
      </c>
      <c r="CT473" s="398">
        <v>42.045000000000002</v>
      </c>
      <c r="CU473" s="398"/>
      <c r="CV473" s="398"/>
      <c r="CW473" s="398"/>
      <c r="CX473" s="398"/>
      <c r="CY473" s="398"/>
      <c r="CZ473" s="398"/>
      <c r="DA473" s="398"/>
      <c r="DB473" s="398"/>
      <c r="DC473" s="398"/>
      <c r="DD473" s="398"/>
      <c r="DE473" s="393"/>
      <c r="DF473" s="393"/>
      <c r="DG473" s="393"/>
      <c r="DH473" s="393"/>
      <c r="DI473" s="393"/>
      <c r="DJ473" s="393"/>
      <c r="DK473" s="897"/>
    </row>
    <row r="474" spans="1:115" ht="25.5" x14ac:dyDescent="0.2">
      <c r="A474" s="295">
        <v>470</v>
      </c>
      <c r="B474" s="390" t="s">
        <v>8356</v>
      </c>
      <c r="C474" s="390"/>
      <c r="D474" s="391" t="s">
        <v>8357</v>
      </c>
      <c r="E474" s="709" t="s">
        <v>8358</v>
      </c>
      <c r="F474" s="393" t="s">
        <v>1375</v>
      </c>
      <c r="G474" s="393" t="s">
        <v>1670</v>
      </c>
      <c r="H474" s="393" t="s">
        <v>1048</v>
      </c>
      <c r="I474" s="563"/>
      <c r="J474" s="563"/>
      <c r="K474" s="560" t="s">
        <v>8359</v>
      </c>
      <c r="L474" s="560" t="s">
        <v>1049</v>
      </c>
      <c r="M474" s="563"/>
      <c r="N474" s="562" t="s">
        <v>44</v>
      </c>
      <c r="O474" s="393" t="s">
        <v>51</v>
      </c>
      <c r="P474" s="393" t="s">
        <v>51</v>
      </c>
      <c r="Q474" s="392" t="s">
        <v>976</v>
      </c>
      <c r="R474" s="560" t="s">
        <v>6747</v>
      </c>
      <c r="S474" s="560" t="s">
        <v>977</v>
      </c>
      <c r="T474" s="564">
        <v>1</v>
      </c>
      <c r="U474" s="565">
        <v>42.043999999999997</v>
      </c>
      <c r="V474" s="565"/>
      <c r="W474" s="566"/>
      <c r="X474" s="564"/>
      <c r="Y474" s="564">
        <v>10</v>
      </c>
      <c r="Z474" s="564">
        <v>10</v>
      </c>
      <c r="AA474" s="565">
        <v>0</v>
      </c>
      <c r="AB474" s="567">
        <v>42656</v>
      </c>
      <c r="AC474" s="568"/>
      <c r="AD474" s="568">
        <v>420.43999999999994</v>
      </c>
      <c r="AE474" s="562" t="s">
        <v>54</v>
      </c>
      <c r="AF474" s="569"/>
      <c r="AG474" s="569">
        <f>11.284</f>
        <v>11.284000000000001</v>
      </c>
      <c r="AH474" s="417">
        <v>11.284000000000001</v>
      </c>
      <c r="AI474" s="564"/>
      <c r="AJ474" s="566">
        <v>43042</v>
      </c>
      <c r="AK474" s="453">
        <v>42886</v>
      </c>
      <c r="AL474" s="561"/>
      <c r="AM474" s="561"/>
      <c r="AN474" s="569"/>
      <c r="AO474" s="560" t="s">
        <v>7418</v>
      </c>
      <c r="AP474" s="563"/>
      <c r="AQ474" s="563"/>
      <c r="AR474" s="560" t="s">
        <v>1050</v>
      </c>
      <c r="AS474" s="578">
        <v>40491</v>
      </c>
      <c r="AT474" s="566"/>
      <c r="AU474" s="566"/>
      <c r="AV474" s="566"/>
      <c r="AW474" s="566"/>
      <c r="AX474" s="566"/>
      <c r="AY474" s="566"/>
      <c r="AZ474" s="567">
        <v>42656</v>
      </c>
      <c r="BA474" s="561"/>
      <c r="BB474" s="561"/>
      <c r="BC474" s="561" t="b">
        <v>0</v>
      </c>
      <c r="BD474" s="561"/>
      <c r="BE474" s="563"/>
      <c r="BF474" s="394">
        <v>1</v>
      </c>
      <c r="BG474" s="394">
        <v>6</v>
      </c>
      <c r="BH474" s="394">
        <v>4</v>
      </c>
      <c r="BI474" s="394">
        <v>8</v>
      </c>
      <c r="BJ474" s="564"/>
      <c r="BK474" s="564"/>
      <c r="BL474" s="444" t="s">
        <v>6981</v>
      </c>
      <c r="BM474" s="563"/>
      <c r="BN474" s="561"/>
      <c r="BO474" s="561"/>
      <c r="BP474" s="571"/>
      <c r="BQ474" s="572"/>
      <c r="BR474" s="573"/>
      <c r="BS474" s="571"/>
      <c r="BT474" s="564"/>
      <c r="BU474" s="569"/>
      <c r="BV474" s="571"/>
      <c r="BW474" s="562" t="s">
        <v>3117</v>
      </c>
      <c r="BX474" s="563"/>
      <c r="BY474" s="562" t="s">
        <v>7224</v>
      </c>
      <c r="BZ474" s="561"/>
      <c r="CA474" s="574"/>
      <c r="CB474" s="572"/>
      <c r="CC474" s="568"/>
      <c r="CD474" s="568"/>
      <c r="CE474" s="568"/>
      <c r="CF474" s="568"/>
      <c r="CG474" s="568"/>
      <c r="CH474" s="568"/>
      <c r="CI474" s="568"/>
      <c r="CJ474" s="568"/>
      <c r="CK474" s="568"/>
      <c r="CL474" s="568">
        <v>42.043999999999997</v>
      </c>
      <c r="CM474" s="568">
        <v>42.043999999999997</v>
      </c>
      <c r="CN474" s="568">
        <v>42.043999999999997</v>
      </c>
      <c r="CO474" s="568">
        <v>42.043999999999997</v>
      </c>
      <c r="CP474" s="568">
        <v>42.043999999999997</v>
      </c>
      <c r="CQ474" s="568">
        <v>42.043999999999997</v>
      </c>
      <c r="CR474" s="568">
        <v>42.043999999999997</v>
      </c>
      <c r="CS474" s="568">
        <v>42.043999999999997</v>
      </c>
      <c r="CT474" s="568">
        <v>42.043999999999997</v>
      </c>
      <c r="CU474" s="568">
        <v>42.043999999999997</v>
      </c>
      <c r="CV474" s="568"/>
      <c r="CW474" s="568"/>
      <c r="CX474" s="568"/>
      <c r="CY474" s="568"/>
      <c r="CZ474" s="568"/>
      <c r="DA474" s="568"/>
      <c r="DB474" s="568"/>
      <c r="DC474" s="568"/>
      <c r="DD474" s="568"/>
      <c r="DE474" s="561"/>
      <c r="DF474" s="561"/>
      <c r="DG474" s="561"/>
      <c r="DH474" s="561"/>
      <c r="DI474" s="561"/>
      <c r="DJ474" s="561"/>
      <c r="DK474" s="897"/>
    </row>
    <row r="475" spans="1:115" ht="51" x14ac:dyDescent="0.2">
      <c r="A475" s="295">
        <v>471</v>
      </c>
      <c r="B475" s="390" t="s">
        <v>996</v>
      </c>
      <c r="C475" s="424" t="s">
        <v>7482</v>
      </c>
      <c r="D475" s="391" t="s">
        <v>5065</v>
      </c>
      <c r="E475" s="705" t="s">
        <v>997</v>
      </c>
      <c r="F475" s="393" t="s">
        <v>1375</v>
      </c>
      <c r="G475" s="393" t="s">
        <v>998</v>
      </c>
      <c r="H475" s="393" t="s">
        <v>245</v>
      </c>
      <c r="I475" s="392"/>
      <c r="J475" s="392" t="s">
        <v>2396</v>
      </c>
      <c r="K475" s="392"/>
      <c r="L475" s="392" t="s">
        <v>997</v>
      </c>
      <c r="M475" s="392" t="s">
        <v>4005</v>
      </c>
      <c r="N475" s="393" t="s">
        <v>44</v>
      </c>
      <c r="O475" s="393" t="s">
        <v>51</v>
      </c>
      <c r="P475" s="393" t="s">
        <v>51</v>
      </c>
      <c r="Q475" s="392" t="s">
        <v>976</v>
      </c>
      <c r="R475" s="392"/>
      <c r="S475" s="428" t="s">
        <v>8232</v>
      </c>
      <c r="T475" s="394">
        <v>9</v>
      </c>
      <c r="U475" s="395">
        <v>738.64800000000002</v>
      </c>
      <c r="V475" s="395"/>
      <c r="W475" s="452">
        <v>40634</v>
      </c>
      <c r="X475" s="394">
        <v>28</v>
      </c>
      <c r="Y475" s="394"/>
      <c r="Z475" s="394"/>
      <c r="AA475" s="395"/>
      <c r="AB475" s="453"/>
      <c r="AC475" s="398">
        <v>0</v>
      </c>
      <c r="AD475" s="398">
        <v>3167.3392438356163</v>
      </c>
      <c r="AE475" s="393" t="s">
        <v>96</v>
      </c>
      <c r="AF475" s="417">
        <f>+AF476</f>
        <v>2.1930000000000001</v>
      </c>
      <c r="AG475" s="417">
        <f>+AG476</f>
        <v>1.859</v>
      </c>
      <c r="AH475" s="417">
        <v>4.0519999999999996</v>
      </c>
      <c r="AI475" s="394">
        <v>1</v>
      </c>
      <c r="AJ475" s="452">
        <v>41940</v>
      </c>
      <c r="AK475" s="452">
        <v>41347</v>
      </c>
      <c r="AL475" s="393"/>
      <c r="AM475" s="393"/>
      <c r="AN475" s="417"/>
      <c r="AO475" s="392"/>
      <c r="AP475" s="428" t="s">
        <v>9405</v>
      </c>
      <c r="AQ475" s="392"/>
      <c r="AR475" s="392" t="s">
        <v>220</v>
      </c>
      <c r="AS475" s="479">
        <v>40493</v>
      </c>
      <c r="AT475" s="453"/>
      <c r="AU475" s="453"/>
      <c r="AV475" s="452">
        <v>40781</v>
      </c>
      <c r="AW475" s="452">
        <v>41138</v>
      </c>
      <c r="AX475" s="452">
        <v>41212</v>
      </c>
      <c r="AY475" s="452">
        <v>41138</v>
      </c>
      <c r="AZ475" s="453"/>
      <c r="BA475" s="393"/>
      <c r="BB475" s="393" t="s">
        <v>3147</v>
      </c>
      <c r="BC475" s="393" t="b">
        <v>0</v>
      </c>
      <c r="BD475" s="393" t="s">
        <v>3147</v>
      </c>
      <c r="BE475" s="392" t="s">
        <v>6245</v>
      </c>
      <c r="BF475" s="394">
        <v>1</v>
      </c>
      <c r="BG475" s="394">
        <v>6</v>
      </c>
      <c r="BH475" s="394">
        <v>4</v>
      </c>
      <c r="BI475" s="394">
        <v>8</v>
      </c>
      <c r="BJ475" s="394">
        <v>5</v>
      </c>
      <c r="BK475" s="394"/>
      <c r="BL475" s="444"/>
      <c r="BM475" s="392"/>
      <c r="BN475" s="393"/>
      <c r="BO475" s="393"/>
      <c r="BP475" s="399"/>
      <c r="BQ475" s="400"/>
      <c r="BR475" s="401"/>
      <c r="BS475" s="399">
        <v>0</v>
      </c>
      <c r="BT475" s="394"/>
      <c r="BU475" s="417"/>
      <c r="BV475" s="399"/>
      <c r="BW475" s="393"/>
      <c r="BX475" s="392"/>
      <c r="BY475" s="393" t="s">
        <v>7224</v>
      </c>
      <c r="BZ475" s="393"/>
      <c r="CA475" s="441"/>
      <c r="CB475" s="400"/>
      <c r="CC475" s="398"/>
      <c r="CD475" s="398"/>
      <c r="CE475" s="398"/>
      <c r="CF475" s="398"/>
      <c r="CG475" s="398"/>
      <c r="CH475" s="398"/>
      <c r="CI475" s="398"/>
      <c r="CJ475" s="398"/>
      <c r="CK475" s="398"/>
      <c r="CL475" s="398"/>
      <c r="CM475" s="398"/>
      <c r="CN475" s="398"/>
      <c r="CO475" s="398"/>
      <c r="CP475" s="398"/>
      <c r="CQ475" s="398"/>
      <c r="CR475" s="398"/>
      <c r="CS475" s="398"/>
      <c r="CT475" s="398"/>
      <c r="CU475" s="398"/>
      <c r="CV475" s="398"/>
      <c r="CW475" s="398"/>
      <c r="CX475" s="398"/>
      <c r="CY475" s="398"/>
      <c r="CZ475" s="398"/>
      <c r="DA475" s="398"/>
      <c r="DB475" s="398"/>
      <c r="DC475" s="398"/>
      <c r="DD475" s="398"/>
      <c r="DE475" s="393"/>
      <c r="DF475" s="393"/>
      <c r="DG475" s="393"/>
      <c r="DH475" s="393"/>
      <c r="DI475" s="393"/>
      <c r="DJ475" s="393"/>
      <c r="DK475" s="896" t="s">
        <v>9725</v>
      </c>
    </row>
    <row r="476" spans="1:115" ht="25.5" x14ac:dyDescent="0.2">
      <c r="A476" s="295">
        <v>472</v>
      </c>
      <c r="B476" s="390" t="s">
        <v>2649</v>
      </c>
      <c r="C476" s="390"/>
      <c r="D476" s="391" t="s">
        <v>4006</v>
      </c>
      <c r="E476" s="704" t="s">
        <v>999</v>
      </c>
      <c r="F476" s="393" t="s">
        <v>1375</v>
      </c>
      <c r="G476" s="393" t="s">
        <v>998</v>
      </c>
      <c r="H476" s="393" t="s">
        <v>245</v>
      </c>
      <c r="I476" s="392"/>
      <c r="J476" s="392"/>
      <c r="K476" s="428" t="s">
        <v>245</v>
      </c>
      <c r="L476" s="392" t="s">
        <v>997</v>
      </c>
      <c r="M476" s="392"/>
      <c r="N476" s="393" t="s">
        <v>44</v>
      </c>
      <c r="O476" s="393" t="s">
        <v>51</v>
      </c>
      <c r="P476" s="393" t="s">
        <v>51</v>
      </c>
      <c r="Q476" s="392" t="s">
        <v>976</v>
      </c>
      <c r="R476" s="392" t="s">
        <v>4007</v>
      </c>
      <c r="S476" s="428" t="s">
        <v>8232</v>
      </c>
      <c r="T476" s="394">
        <v>1</v>
      </c>
      <c r="U476" s="395">
        <v>40.576999999999998</v>
      </c>
      <c r="V476" s="395"/>
      <c r="W476" s="453"/>
      <c r="X476" s="394"/>
      <c r="Y476" s="394">
        <v>7</v>
      </c>
      <c r="Z476" s="394">
        <v>21</v>
      </c>
      <c r="AA476" s="395">
        <v>7</v>
      </c>
      <c r="AB476" s="452">
        <v>41167</v>
      </c>
      <c r="AC476" s="398"/>
      <c r="AD476" s="398">
        <v>336.73351506849315</v>
      </c>
      <c r="AE476" s="393" t="s">
        <v>96</v>
      </c>
      <c r="AF476" s="417">
        <f>2.193</f>
        <v>2.1930000000000001</v>
      </c>
      <c r="AG476" s="417">
        <f>1.859</f>
        <v>1.859</v>
      </c>
      <c r="AH476" s="417">
        <v>4.0519999999999996</v>
      </c>
      <c r="AI476" s="394">
        <v>1</v>
      </c>
      <c r="AJ476" s="452">
        <v>41940</v>
      </c>
      <c r="AK476" s="452">
        <v>41347</v>
      </c>
      <c r="AL476" s="393"/>
      <c r="AM476" s="393"/>
      <c r="AN476" s="417"/>
      <c r="AO476" s="392"/>
      <c r="AP476" s="428" t="s">
        <v>9405</v>
      </c>
      <c r="AQ476" s="392"/>
      <c r="AR476" s="392" t="s">
        <v>220</v>
      </c>
      <c r="AS476" s="479">
        <v>40493</v>
      </c>
      <c r="AT476" s="453"/>
      <c r="AU476" s="453"/>
      <c r="AV476" s="453"/>
      <c r="AW476" s="453"/>
      <c r="AX476" s="453"/>
      <c r="AY476" s="453"/>
      <c r="AZ476" s="452">
        <v>41138</v>
      </c>
      <c r="BA476" s="393"/>
      <c r="BB476" s="393"/>
      <c r="BC476" s="393" t="b">
        <v>0</v>
      </c>
      <c r="BD476" s="393"/>
      <c r="BE476" s="392"/>
      <c r="BF476" s="394">
        <v>1</v>
      </c>
      <c r="BG476" s="394">
        <v>6</v>
      </c>
      <c r="BH476" s="394">
        <v>4</v>
      </c>
      <c r="BI476" s="394">
        <v>8</v>
      </c>
      <c r="BJ476" s="394">
        <v>5</v>
      </c>
      <c r="BK476" s="394"/>
      <c r="BL476" s="444" t="s">
        <v>6981</v>
      </c>
      <c r="BM476" s="392"/>
      <c r="BN476" s="393"/>
      <c r="BO476" s="393"/>
      <c r="BP476" s="399"/>
      <c r="BQ476" s="400"/>
      <c r="BR476" s="401"/>
      <c r="BS476" s="399"/>
      <c r="BT476" s="394"/>
      <c r="BU476" s="417"/>
      <c r="BV476" s="399">
        <v>177.45</v>
      </c>
      <c r="BW476" s="393" t="s">
        <v>3117</v>
      </c>
      <c r="BX476" s="392" t="s">
        <v>4004</v>
      </c>
      <c r="BY476" s="393" t="s">
        <v>7224</v>
      </c>
      <c r="BZ476" s="393"/>
      <c r="CA476" s="441"/>
      <c r="CB476" s="400"/>
      <c r="CC476" s="398"/>
      <c r="CD476" s="398"/>
      <c r="CE476" s="398"/>
      <c r="CF476" s="398"/>
      <c r="CG476" s="398">
        <v>16.388999999999999</v>
      </c>
      <c r="CH476" s="398">
        <v>36.756</v>
      </c>
      <c r="CI476" s="398">
        <v>41.668999999999997</v>
      </c>
      <c r="CJ476" s="398">
        <v>42.603000000000002</v>
      </c>
      <c r="CK476" s="398">
        <v>42.603000000000002</v>
      </c>
      <c r="CL476" s="398">
        <v>42.603000000000002</v>
      </c>
      <c r="CM476" s="398">
        <v>42.603000000000002</v>
      </c>
      <c r="CN476" s="398">
        <v>42.603000000000002</v>
      </c>
      <c r="CO476" s="398">
        <v>42.603000000000002</v>
      </c>
      <c r="CP476" s="398">
        <v>42.603000000000002</v>
      </c>
      <c r="CQ476" s="398">
        <v>42.603000000000002</v>
      </c>
      <c r="CR476" s="398">
        <v>42.603000000000002</v>
      </c>
      <c r="CS476" s="398">
        <v>42.603000000000002</v>
      </c>
      <c r="CT476" s="398">
        <v>42.603000000000002</v>
      </c>
      <c r="CU476" s="398">
        <v>42.603000000000002</v>
      </c>
      <c r="CV476" s="398">
        <v>42.603000000000002</v>
      </c>
      <c r="CW476" s="398">
        <v>42.603000000000002</v>
      </c>
      <c r="CX476" s="398">
        <v>42.603000000000002</v>
      </c>
      <c r="CY476" s="398">
        <v>42.603000000000002</v>
      </c>
      <c r="CZ476" s="398">
        <v>42.603000000000002</v>
      </c>
      <c r="DA476" s="398">
        <v>42.603000000000002</v>
      </c>
      <c r="DB476" s="398"/>
      <c r="DC476" s="398"/>
      <c r="DD476" s="398"/>
      <c r="DE476" s="393"/>
      <c r="DF476" s="393"/>
      <c r="DG476" s="393"/>
      <c r="DH476" s="393"/>
      <c r="DI476" s="393"/>
      <c r="DJ476" s="393"/>
      <c r="DK476" s="897"/>
    </row>
    <row r="477" spans="1:115" ht="51" x14ac:dyDescent="0.2">
      <c r="A477" s="295">
        <v>473</v>
      </c>
      <c r="B477" s="390" t="s">
        <v>8309</v>
      </c>
      <c r="C477" s="390"/>
      <c r="D477" s="391" t="s">
        <v>8310</v>
      </c>
      <c r="E477" s="709" t="s">
        <v>8317</v>
      </c>
      <c r="F477" s="393" t="s">
        <v>1375</v>
      </c>
      <c r="G477" s="393" t="s">
        <v>998</v>
      </c>
      <c r="H477" s="393" t="s">
        <v>245</v>
      </c>
      <c r="I477" s="563"/>
      <c r="J477" s="563"/>
      <c r="K477" s="428" t="s">
        <v>245</v>
      </c>
      <c r="L477" s="392" t="s">
        <v>997</v>
      </c>
      <c r="M477" s="563"/>
      <c r="N477" s="393" t="s">
        <v>44</v>
      </c>
      <c r="O477" s="393" t="s">
        <v>51</v>
      </c>
      <c r="P477" s="393" t="s">
        <v>51</v>
      </c>
      <c r="Q477" s="392" t="s">
        <v>976</v>
      </c>
      <c r="R477" s="560" t="s">
        <v>8322</v>
      </c>
      <c r="S477" s="428" t="s">
        <v>8232</v>
      </c>
      <c r="T477" s="564">
        <v>1</v>
      </c>
      <c r="U477" s="565">
        <v>80.491</v>
      </c>
      <c r="V477" s="565"/>
      <c r="W477" s="566"/>
      <c r="X477" s="564"/>
      <c r="Y477" s="564">
        <v>7</v>
      </c>
      <c r="Z477" s="564">
        <v>21</v>
      </c>
      <c r="AA477" s="565">
        <v>0</v>
      </c>
      <c r="AB477" s="567">
        <v>42644</v>
      </c>
      <c r="AC477" s="568"/>
      <c r="AD477" s="568">
        <v>342.25214246575342</v>
      </c>
      <c r="AE477" s="393" t="s">
        <v>96</v>
      </c>
      <c r="AF477" s="569"/>
      <c r="AG477" s="569"/>
      <c r="AH477" s="569"/>
      <c r="AI477" s="564"/>
      <c r="AJ477" s="567"/>
      <c r="AK477" s="567"/>
      <c r="AL477" s="561"/>
      <c r="AM477" s="561"/>
      <c r="AN477" s="569"/>
      <c r="AO477" s="563"/>
      <c r="AP477" s="563"/>
      <c r="AQ477" s="563"/>
      <c r="AR477" s="392" t="s">
        <v>220</v>
      </c>
      <c r="AS477" s="479">
        <v>40493</v>
      </c>
      <c r="AT477" s="566"/>
      <c r="AU477" s="566"/>
      <c r="AV477" s="566"/>
      <c r="AW477" s="566"/>
      <c r="AX477" s="566"/>
      <c r="AY477" s="566"/>
      <c r="AZ477" s="567">
        <v>42637</v>
      </c>
      <c r="BA477" s="561"/>
      <c r="BB477" s="561"/>
      <c r="BC477" s="393" t="b">
        <v>0</v>
      </c>
      <c r="BD477" s="561"/>
      <c r="BE477" s="563"/>
      <c r="BF477" s="394">
        <v>1</v>
      </c>
      <c r="BG477" s="394">
        <v>6</v>
      </c>
      <c r="BH477" s="394">
        <v>4</v>
      </c>
      <c r="BI477" s="394">
        <v>8</v>
      </c>
      <c r="BJ477" s="394">
        <v>5</v>
      </c>
      <c r="BK477" s="394"/>
      <c r="BL477" s="444" t="s">
        <v>6981</v>
      </c>
      <c r="BM477" s="563"/>
      <c r="BN477" s="561"/>
      <c r="BO477" s="561"/>
      <c r="BP477" s="571"/>
      <c r="BQ477" s="572"/>
      <c r="BR477" s="573"/>
      <c r="BS477" s="571"/>
      <c r="BT477" s="564"/>
      <c r="BU477" s="569"/>
      <c r="BV477" s="571"/>
      <c r="BW477" s="561"/>
      <c r="BX477" s="563"/>
      <c r="BY477" s="393" t="s">
        <v>7224</v>
      </c>
      <c r="BZ477" s="561"/>
      <c r="CA477" s="574"/>
      <c r="CB477" s="572"/>
      <c r="CC477" s="568"/>
      <c r="CD477" s="568"/>
      <c r="CE477" s="568"/>
      <c r="CF477" s="568"/>
      <c r="CG477" s="568"/>
      <c r="CH477" s="568"/>
      <c r="CI477" s="568"/>
      <c r="CJ477" s="568"/>
      <c r="CK477" s="568"/>
      <c r="CL477" s="568">
        <v>80.491</v>
      </c>
      <c r="CM477" s="568">
        <v>80.491</v>
      </c>
      <c r="CN477" s="568">
        <v>80.491</v>
      </c>
      <c r="CO477" s="568">
        <v>80.491</v>
      </c>
      <c r="CP477" s="568">
        <v>80.491</v>
      </c>
      <c r="CQ477" s="568">
        <v>80.491</v>
      </c>
      <c r="CR477" s="568">
        <v>80.491</v>
      </c>
      <c r="CS477" s="568"/>
      <c r="CT477" s="568"/>
      <c r="CU477" s="568"/>
      <c r="CV477" s="568"/>
      <c r="CW477" s="568"/>
      <c r="CX477" s="568"/>
      <c r="CY477" s="568"/>
      <c r="CZ477" s="568"/>
      <c r="DA477" s="568"/>
      <c r="DB477" s="568"/>
      <c r="DC477" s="568"/>
      <c r="DD477" s="568"/>
      <c r="DE477" s="561"/>
      <c r="DF477" s="561"/>
      <c r="DG477" s="561"/>
      <c r="DH477" s="561"/>
      <c r="DI477" s="561"/>
      <c r="DJ477" s="561"/>
      <c r="DK477" s="897"/>
    </row>
    <row r="478" spans="1:115" ht="38.25" x14ac:dyDescent="0.2">
      <c r="A478" s="295">
        <v>474</v>
      </c>
      <c r="B478" s="390" t="s">
        <v>8311</v>
      </c>
      <c r="C478" s="390"/>
      <c r="D478" s="391" t="s">
        <v>8312</v>
      </c>
      <c r="E478" s="709" t="s">
        <v>8318</v>
      </c>
      <c r="F478" s="393" t="s">
        <v>1375</v>
      </c>
      <c r="G478" s="393" t="s">
        <v>998</v>
      </c>
      <c r="H478" s="393" t="s">
        <v>245</v>
      </c>
      <c r="I478" s="563"/>
      <c r="J478" s="563"/>
      <c r="K478" s="428" t="s">
        <v>245</v>
      </c>
      <c r="L478" s="392" t="s">
        <v>997</v>
      </c>
      <c r="M478" s="563"/>
      <c r="N478" s="393" t="s">
        <v>44</v>
      </c>
      <c r="O478" s="393" t="s">
        <v>51</v>
      </c>
      <c r="P478" s="393" t="s">
        <v>51</v>
      </c>
      <c r="Q478" s="392" t="s">
        <v>976</v>
      </c>
      <c r="R478" s="560" t="s">
        <v>8321</v>
      </c>
      <c r="S478" s="428" t="s">
        <v>8232</v>
      </c>
      <c r="T478" s="564">
        <v>1</v>
      </c>
      <c r="U478" s="565">
        <v>80.491</v>
      </c>
      <c r="V478" s="565"/>
      <c r="W478" s="566"/>
      <c r="X478" s="564"/>
      <c r="Y478" s="564">
        <v>7</v>
      </c>
      <c r="Z478" s="564">
        <v>21</v>
      </c>
      <c r="AA478" s="565">
        <v>0</v>
      </c>
      <c r="AB478" s="567">
        <v>42644</v>
      </c>
      <c r="AC478" s="568"/>
      <c r="AD478" s="568">
        <v>342.25214246575342</v>
      </c>
      <c r="AE478" s="393" t="s">
        <v>96</v>
      </c>
      <c r="AF478" s="569"/>
      <c r="AG478" s="569"/>
      <c r="AH478" s="569"/>
      <c r="AI478" s="564"/>
      <c r="AJ478" s="567"/>
      <c r="AK478" s="567"/>
      <c r="AL478" s="561"/>
      <c r="AM478" s="561"/>
      <c r="AN478" s="569"/>
      <c r="AO478" s="563"/>
      <c r="AP478" s="563"/>
      <c r="AQ478" s="563"/>
      <c r="AR478" s="392" t="s">
        <v>220</v>
      </c>
      <c r="AS478" s="479">
        <v>40493</v>
      </c>
      <c r="AT478" s="566"/>
      <c r="AU478" s="566"/>
      <c r="AV478" s="566"/>
      <c r="AW478" s="566"/>
      <c r="AX478" s="566"/>
      <c r="AY478" s="566"/>
      <c r="AZ478" s="567">
        <v>42637</v>
      </c>
      <c r="BA478" s="561"/>
      <c r="BB478" s="561"/>
      <c r="BC478" s="393" t="b">
        <v>0</v>
      </c>
      <c r="BD478" s="561"/>
      <c r="BE478" s="563"/>
      <c r="BF478" s="394">
        <v>1</v>
      </c>
      <c r="BG478" s="394">
        <v>6</v>
      </c>
      <c r="BH478" s="394">
        <v>4</v>
      </c>
      <c r="BI478" s="394">
        <v>8</v>
      </c>
      <c r="BJ478" s="394">
        <v>5</v>
      </c>
      <c r="BK478" s="394"/>
      <c r="BL478" s="444" t="s">
        <v>6981</v>
      </c>
      <c r="BM478" s="563"/>
      <c r="BN478" s="561"/>
      <c r="BO478" s="561"/>
      <c r="BP478" s="571"/>
      <c r="BQ478" s="572"/>
      <c r="BR478" s="573"/>
      <c r="BS478" s="571"/>
      <c r="BT478" s="564"/>
      <c r="BU478" s="569"/>
      <c r="BV478" s="571"/>
      <c r="BW478" s="561"/>
      <c r="BX478" s="563"/>
      <c r="BY478" s="393" t="s">
        <v>7224</v>
      </c>
      <c r="BZ478" s="561"/>
      <c r="CA478" s="574"/>
      <c r="CB478" s="572"/>
      <c r="CC478" s="568"/>
      <c r="CD478" s="568"/>
      <c r="CE478" s="568"/>
      <c r="CF478" s="568"/>
      <c r="CG478" s="568"/>
      <c r="CH478" s="568"/>
      <c r="CI478" s="568"/>
      <c r="CJ478" s="568"/>
      <c r="CK478" s="568"/>
      <c r="CL478" s="568">
        <v>80.491</v>
      </c>
      <c r="CM478" s="568">
        <v>80.491</v>
      </c>
      <c r="CN478" s="568">
        <v>80.491</v>
      </c>
      <c r="CO478" s="568">
        <v>80.491</v>
      </c>
      <c r="CP478" s="568">
        <v>80.491</v>
      </c>
      <c r="CQ478" s="568">
        <v>80.491</v>
      </c>
      <c r="CR478" s="568">
        <v>80.491</v>
      </c>
      <c r="CS478" s="568"/>
      <c r="CT478" s="568"/>
      <c r="CU478" s="568"/>
      <c r="CV478" s="568"/>
      <c r="CW478" s="568"/>
      <c r="CX478" s="568"/>
      <c r="CY478" s="568"/>
      <c r="CZ478" s="568"/>
      <c r="DA478" s="568"/>
      <c r="DB478" s="568"/>
      <c r="DC478" s="568"/>
      <c r="DD478" s="568"/>
      <c r="DE478" s="561"/>
      <c r="DF478" s="561"/>
      <c r="DG478" s="561"/>
      <c r="DH478" s="561"/>
      <c r="DI478" s="561"/>
      <c r="DJ478" s="561"/>
      <c r="DK478" s="897"/>
    </row>
    <row r="479" spans="1:115" ht="51" x14ac:dyDescent="0.2">
      <c r="A479" s="295">
        <v>475</v>
      </c>
      <c r="B479" s="390" t="s">
        <v>8313</v>
      </c>
      <c r="C479" s="390"/>
      <c r="D479" s="391" t="s">
        <v>8314</v>
      </c>
      <c r="E479" s="709" t="s">
        <v>8319</v>
      </c>
      <c r="F479" s="393" t="s">
        <v>1375</v>
      </c>
      <c r="G479" s="393" t="s">
        <v>998</v>
      </c>
      <c r="H479" s="393" t="s">
        <v>245</v>
      </c>
      <c r="I479" s="563"/>
      <c r="J479" s="563"/>
      <c r="K479" s="428" t="s">
        <v>245</v>
      </c>
      <c r="L479" s="392" t="s">
        <v>997</v>
      </c>
      <c r="M479" s="563"/>
      <c r="N479" s="393" t="s">
        <v>44</v>
      </c>
      <c r="O479" s="393" t="s">
        <v>51</v>
      </c>
      <c r="P479" s="393" t="s">
        <v>51</v>
      </c>
      <c r="Q479" s="392" t="s">
        <v>976</v>
      </c>
      <c r="R479" s="560" t="s">
        <v>8322</v>
      </c>
      <c r="S479" s="428" t="s">
        <v>8232</v>
      </c>
      <c r="T479" s="564">
        <v>1</v>
      </c>
      <c r="U479" s="565">
        <v>80.491</v>
      </c>
      <c r="V479" s="565"/>
      <c r="W479" s="566"/>
      <c r="X479" s="564"/>
      <c r="Y479" s="564">
        <v>7</v>
      </c>
      <c r="Z479" s="564">
        <v>21</v>
      </c>
      <c r="AA479" s="565">
        <v>0</v>
      </c>
      <c r="AB479" s="567">
        <v>42644</v>
      </c>
      <c r="AC479" s="568"/>
      <c r="AD479" s="568">
        <v>342.25214246575342</v>
      </c>
      <c r="AE479" s="393" t="s">
        <v>96</v>
      </c>
      <c r="AF479" s="569"/>
      <c r="AG479" s="569"/>
      <c r="AH479" s="569"/>
      <c r="AI479" s="564"/>
      <c r="AJ479" s="567"/>
      <c r="AK479" s="567"/>
      <c r="AL479" s="561"/>
      <c r="AM479" s="561"/>
      <c r="AN479" s="569"/>
      <c r="AO479" s="563"/>
      <c r="AP479" s="563"/>
      <c r="AQ479" s="563"/>
      <c r="AR479" s="392" t="s">
        <v>220</v>
      </c>
      <c r="AS479" s="479">
        <v>40493</v>
      </c>
      <c r="AT479" s="566"/>
      <c r="AU479" s="566"/>
      <c r="AV479" s="566"/>
      <c r="AW479" s="566"/>
      <c r="AX479" s="566"/>
      <c r="AY479" s="566"/>
      <c r="AZ479" s="567">
        <v>42637</v>
      </c>
      <c r="BA479" s="561"/>
      <c r="BB479" s="561"/>
      <c r="BC479" s="393" t="b">
        <v>0</v>
      </c>
      <c r="BD479" s="561"/>
      <c r="BE479" s="563"/>
      <c r="BF479" s="394">
        <v>1</v>
      </c>
      <c r="BG479" s="394">
        <v>6</v>
      </c>
      <c r="BH479" s="394">
        <v>4</v>
      </c>
      <c r="BI479" s="394">
        <v>8</v>
      </c>
      <c r="BJ479" s="394">
        <v>5</v>
      </c>
      <c r="BK479" s="394"/>
      <c r="BL479" s="444" t="s">
        <v>6981</v>
      </c>
      <c r="BM479" s="563"/>
      <c r="BN479" s="561"/>
      <c r="BO479" s="561"/>
      <c r="BP479" s="571"/>
      <c r="BQ479" s="572"/>
      <c r="BR479" s="573"/>
      <c r="BS479" s="571"/>
      <c r="BT479" s="564"/>
      <c r="BU479" s="569"/>
      <c r="BV479" s="571"/>
      <c r="BW479" s="561"/>
      <c r="BX479" s="563"/>
      <c r="BY479" s="393" t="s">
        <v>7224</v>
      </c>
      <c r="BZ479" s="561"/>
      <c r="CA479" s="574"/>
      <c r="CB479" s="572"/>
      <c r="CC479" s="568"/>
      <c r="CD479" s="568"/>
      <c r="CE479" s="568"/>
      <c r="CF479" s="568"/>
      <c r="CG479" s="568"/>
      <c r="CH479" s="568"/>
      <c r="CI479" s="568"/>
      <c r="CJ479" s="568"/>
      <c r="CK479" s="568"/>
      <c r="CL479" s="568">
        <v>80.491</v>
      </c>
      <c r="CM479" s="568">
        <v>80.491</v>
      </c>
      <c r="CN479" s="568">
        <v>80.491</v>
      </c>
      <c r="CO479" s="568">
        <v>80.491</v>
      </c>
      <c r="CP479" s="568">
        <v>80.491</v>
      </c>
      <c r="CQ479" s="568">
        <v>80.491</v>
      </c>
      <c r="CR479" s="568">
        <v>80.491</v>
      </c>
      <c r="CS479" s="568"/>
      <c r="CT479" s="568"/>
      <c r="CU479" s="568"/>
      <c r="CV479" s="568"/>
      <c r="CW479" s="568"/>
      <c r="CX479" s="568"/>
      <c r="CY479" s="568"/>
      <c r="CZ479" s="568"/>
      <c r="DA479" s="568"/>
      <c r="DB479" s="568"/>
      <c r="DC479" s="568"/>
      <c r="DD479" s="568"/>
      <c r="DE479" s="561"/>
      <c r="DF479" s="561"/>
      <c r="DG479" s="561"/>
      <c r="DH479" s="561"/>
      <c r="DI479" s="561"/>
      <c r="DJ479" s="561"/>
      <c r="DK479" s="897"/>
    </row>
    <row r="480" spans="1:115" ht="51" x14ac:dyDescent="0.2">
      <c r="A480" s="295">
        <v>476</v>
      </c>
      <c r="B480" s="390" t="s">
        <v>8315</v>
      </c>
      <c r="C480" s="390"/>
      <c r="D480" s="391" t="s">
        <v>8316</v>
      </c>
      <c r="E480" s="709" t="s">
        <v>8320</v>
      </c>
      <c r="F480" s="393" t="s">
        <v>1375</v>
      </c>
      <c r="G480" s="393" t="s">
        <v>998</v>
      </c>
      <c r="H480" s="393" t="s">
        <v>245</v>
      </c>
      <c r="I480" s="563"/>
      <c r="J480" s="563"/>
      <c r="K480" s="428" t="s">
        <v>245</v>
      </c>
      <c r="L480" s="392" t="s">
        <v>997</v>
      </c>
      <c r="M480" s="563"/>
      <c r="N480" s="393" t="s">
        <v>44</v>
      </c>
      <c r="O480" s="393" t="s">
        <v>51</v>
      </c>
      <c r="P480" s="393" t="s">
        <v>51</v>
      </c>
      <c r="Q480" s="392" t="s">
        <v>976</v>
      </c>
      <c r="R480" s="560" t="s">
        <v>8322</v>
      </c>
      <c r="S480" s="428" t="s">
        <v>8232</v>
      </c>
      <c r="T480" s="564">
        <v>1</v>
      </c>
      <c r="U480" s="565">
        <v>101.765</v>
      </c>
      <c r="V480" s="565"/>
      <c r="W480" s="566"/>
      <c r="X480" s="564"/>
      <c r="Y480" s="564">
        <v>7</v>
      </c>
      <c r="Z480" s="564">
        <v>21</v>
      </c>
      <c r="AA480" s="565">
        <v>0</v>
      </c>
      <c r="AB480" s="567">
        <v>42644</v>
      </c>
      <c r="AC480" s="568"/>
      <c r="AD480" s="568">
        <v>432.71035616438354</v>
      </c>
      <c r="AE480" s="393" t="s">
        <v>96</v>
      </c>
      <c r="AF480" s="569"/>
      <c r="AG480" s="569"/>
      <c r="AH480" s="569"/>
      <c r="AI480" s="564"/>
      <c r="AJ480" s="567"/>
      <c r="AK480" s="567"/>
      <c r="AL480" s="561"/>
      <c r="AM480" s="561"/>
      <c r="AN480" s="569"/>
      <c r="AO480" s="563"/>
      <c r="AP480" s="563"/>
      <c r="AQ480" s="563"/>
      <c r="AR480" s="392" t="s">
        <v>220</v>
      </c>
      <c r="AS480" s="479">
        <v>40493</v>
      </c>
      <c r="AT480" s="566"/>
      <c r="AU480" s="566"/>
      <c r="AV480" s="566"/>
      <c r="AW480" s="566"/>
      <c r="AX480" s="566"/>
      <c r="AY480" s="566"/>
      <c r="AZ480" s="567">
        <v>42637</v>
      </c>
      <c r="BA480" s="561"/>
      <c r="BB480" s="561"/>
      <c r="BC480" s="393" t="b">
        <v>0</v>
      </c>
      <c r="BD480" s="561"/>
      <c r="BE480" s="563"/>
      <c r="BF480" s="394">
        <v>1</v>
      </c>
      <c r="BG480" s="394">
        <v>6</v>
      </c>
      <c r="BH480" s="394">
        <v>4</v>
      </c>
      <c r="BI480" s="394">
        <v>8</v>
      </c>
      <c r="BJ480" s="394">
        <v>5</v>
      </c>
      <c r="BK480" s="394"/>
      <c r="BL480" s="444" t="s">
        <v>6981</v>
      </c>
      <c r="BM480" s="563"/>
      <c r="BN480" s="561"/>
      <c r="BO480" s="561"/>
      <c r="BP480" s="571"/>
      <c r="BQ480" s="572"/>
      <c r="BR480" s="573"/>
      <c r="BS480" s="571"/>
      <c r="BT480" s="564"/>
      <c r="BU480" s="569"/>
      <c r="BV480" s="571"/>
      <c r="BW480" s="561"/>
      <c r="BX480" s="563"/>
      <c r="BY480" s="393" t="s">
        <v>7224</v>
      </c>
      <c r="BZ480" s="561"/>
      <c r="CA480" s="574"/>
      <c r="CB480" s="572"/>
      <c r="CC480" s="568"/>
      <c r="CD480" s="568"/>
      <c r="CE480" s="568"/>
      <c r="CF480" s="568"/>
      <c r="CG480" s="568"/>
      <c r="CH480" s="568"/>
      <c r="CI480" s="568"/>
      <c r="CJ480" s="568"/>
      <c r="CK480" s="568"/>
      <c r="CL480" s="568">
        <v>101.765</v>
      </c>
      <c r="CM480" s="568">
        <v>101.765</v>
      </c>
      <c r="CN480" s="568">
        <v>101.765</v>
      </c>
      <c r="CO480" s="568">
        <v>101.765</v>
      </c>
      <c r="CP480" s="568">
        <v>101.765</v>
      </c>
      <c r="CQ480" s="568">
        <v>101.765</v>
      </c>
      <c r="CR480" s="568">
        <v>101.765</v>
      </c>
      <c r="CS480" s="568"/>
      <c r="CT480" s="568"/>
      <c r="CU480" s="568"/>
      <c r="CV480" s="568"/>
      <c r="CW480" s="568"/>
      <c r="CX480" s="568"/>
      <c r="CY480" s="568"/>
      <c r="CZ480" s="568"/>
      <c r="DA480" s="568"/>
      <c r="DB480" s="568"/>
      <c r="DC480" s="568"/>
      <c r="DD480" s="568"/>
      <c r="DE480" s="561"/>
      <c r="DF480" s="561"/>
      <c r="DG480" s="561"/>
      <c r="DH480" s="561"/>
      <c r="DI480" s="561"/>
      <c r="DJ480" s="561"/>
      <c r="DK480" s="897"/>
    </row>
    <row r="481" spans="1:115" ht="51" x14ac:dyDescent="0.2">
      <c r="A481" s="295">
        <v>477</v>
      </c>
      <c r="B481" s="390" t="s">
        <v>8827</v>
      </c>
      <c r="C481" s="390"/>
      <c r="D481" s="391" t="s">
        <v>8828</v>
      </c>
      <c r="E481" s="709" t="s">
        <v>8833</v>
      </c>
      <c r="F481" s="393" t="s">
        <v>1375</v>
      </c>
      <c r="G481" s="393" t="s">
        <v>998</v>
      </c>
      <c r="H481" s="393" t="s">
        <v>245</v>
      </c>
      <c r="I481" s="563"/>
      <c r="J481" s="563"/>
      <c r="K481" s="560" t="s">
        <v>245</v>
      </c>
      <c r="L481" s="392" t="s">
        <v>997</v>
      </c>
      <c r="M481" s="563"/>
      <c r="N481" s="393" t="s">
        <v>44</v>
      </c>
      <c r="O481" s="393" t="s">
        <v>51</v>
      </c>
      <c r="P481" s="393" t="s">
        <v>51</v>
      </c>
      <c r="Q481" s="392" t="s">
        <v>976</v>
      </c>
      <c r="R481" s="560" t="s">
        <v>8322</v>
      </c>
      <c r="S481" s="428" t="s">
        <v>8232</v>
      </c>
      <c r="T481" s="564">
        <v>1</v>
      </c>
      <c r="U481" s="565">
        <v>115.746</v>
      </c>
      <c r="V481" s="565"/>
      <c r="W481" s="566"/>
      <c r="X481" s="564"/>
      <c r="Y481" s="564">
        <v>7</v>
      </c>
      <c r="Z481" s="564">
        <v>21</v>
      </c>
      <c r="AA481" s="565">
        <v>0</v>
      </c>
      <c r="AB481" s="567">
        <v>42675</v>
      </c>
      <c r="AC481" s="568"/>
      <c r="AD481" s="568">
        <v>482.3278520547945</v>
      </c>
      <c r="AE481" s="393" t="s">
        <v>96</v>
      </c>
      <c r="AF481" s="569"/>
      <c r="AG481" s="569"/>
      <c r="AH481" s="569"/>
      <c r="AI481" s="564"/>
      <c r="AJ481" s="567"/>
      <c r="AK481" s="567"/>
      <c r="AL481" s="561"/>
      <c r="AM481" s="561"/>
      <c r="AN481" s="569"/>
      <c r="AO481" s="563"/>
      <c r="AP481" s="563"/>
      <c r="AQ481" s="563"/>
      <c r="AR481" s="392" t="s">
        <v>220</v>
      </c>
      <c r="AS481" s="479">
        <v>40493</v>
      </c>
      <c r="AT481" s="566"/>
      <c r="AU481" s="566"/>
      <c r="AV481" s="566"/>
      <c r="AW481" s="566"/>
      <c r="AX481" s="566"/>
      <c r="AY481" s="566"/>
      <c r="AZ481" s="567">
        <v>42675</v>
      </c>
      <c r="BA481" s="561"/>
      <c r="BB481" s="561"/>
      <c r="BC481" s="561" t="b">
        <v>0</v>
      </c>
      <c r="BD481" s="561"/>
      <c r="BE481" s="563"/>
      <c r="BF481" s="394">
        <v>1</v>
      </c>
      <c r="BG481" s="394">
        <v>6</v>
      </c>
      <c r="BH481" s="394">
        <v>4</v>
      </c>
      <c r="BI481" s="394">
        <v>8</v>
      </c>
      <c r="BJ481" s="394">
        <v>5</v>
      </c>
      <c r="BK481" s="394"/>
      <c r="BL481" s="444" t="s">
        <v>6981</v>
      </c>
      <c r="BM481" s="563"/>
      <c r="BN481" s="561"/>
      <c r="BO481" s="561"/>
      <c r="BP481" s="571"/>
      <c r="BQ481" s="572"/>
      <c r="BR481" s="573"/>
      <c r="BS481" s="571"/>
      <c r="BT481" s="564"/>
      <c r="BU481" s="569"/>
      <c r="BV481" s="571"/>
      <c r="BW481" s="561"/>
      <c r="BX481" s="563"/>
      <c r="BY481" s="393" t="s">
        <v>7224</v>
      </c>
      <c r="BZ481" s="561"/>
      <c r="CA481" s="574"/>
      <c r="CB481" s="572"/>
      <c r="CC481" s="568"/>
      <c r="CD481" s="568"/>
      <c r="CE481" s="568"/>
      <c r="CF481" s="568"/>
      <c r="CG481" s="568"/>
      <c r="CH481" s="568"/>
      <c r="CI481" s="568"/>
      <c r="CJ481" s="568"/>
      <c r="CK481" s="568"/>
      <c r="CL481" s="568">
        <v>43.597999999999999</v>
      </c>
      <c r="CM481" s="568">
        <v>43.597999999999999</v>
      </c>
      <c r="CN481" s="568">
        <v>43.597999999999999</v>
      </c>
      <c r="CO481" s="568">
        <v>43.597999999999999</v>
      </c>
      <c r="CP481" s="568">
        <v>43.597999999999999</v>
      </c>
      <c r="CQ481" s="568">
        <v>43.597999999999999</v>
      </c>
      <c r="CR481" s="568">
        <v>43.597999999999999</v>
      </c>
      <c r="CS481" s="568"/>
      <c r="CT481" s="568"/>
      <c r="CU481" s="568"/>
      <c r="CV481" s="568"/>
      <c r="CW481" s="568"/>
      <c r="CX481" s="568"/>
      <c r="CY481" s="568"/>
      <c r="CZ481" s="568"/>
      <c r="DA481" s="568"/>
      <c r="DB481" s="568"/>
      <c r="DC481" s="568"/>
      <c r="DD481" s="568"/>
      <c r="DE481" s="561"/>
      <c r="DF481" s="561"/>
      <c r="DG481" s="561"/>
      <c r="DH481" s="561"/>
      <c r="DI481" s="561"/>
      <c r="DJ481" s="561"/>
      <c r="DK481" s="897"/>
    </row>
    <row r="482" spans="1:115" ht="51" x14ac:dyDescent="0.2">
      <c r="A482" s="295">
        <v>478</v>
      </c>
      <c r="B482" s="390" t="s">
        <v>8829</v>
      </c>
      <c r="C482" s="390"/>
      <c r="D482" s="391" t="s">
        <v>8830</v>
      </c>
      <c r="E482" s="709" t="s">
        <v>8834</v>
      </c>
      <c r="F482" s="393" t="s">
        <v>1375</v>
      </c>
      <c r="G482" s="393" t="s">
        <v>998</v>
      </c>
      <c r="H482" s="393" t="s">
        <v>1059</v>
      </c>
      <c r="I482" s="392"/>
      <c r="J482" s="392"/>
      <c r="K482" s="392" t="s">
        <v>1059</v>
      </c>
      <c r="L482" s="392" t="s">
        <v>997</v>
      </c>
      <c r="M482" s="563"/>
      <c r="N482" s="393" t="s">
        <v>44</v>
      </c>
      <c r="O482" s="393" t="s">
        <v>51</v>
      </c>
      <c r="P482" s="393" t="s">
        <v>51</v>
      </c>
      <c r="Q482" s="392" t="s">
        <v>976</v>
      </c>
      <c r="R482" s="560" t="s">
        <v>8322</v>
      </c>
      <c r="S482" s="428" t="s">
        <v>8232</v>
      </c>
      <c r="T482" s="564">
        <v>1</v>
      </c>
      <c r="U482" s="565">
        <v>71.257999999999996</v>
      </c>
      <c r="V482" s="565"/>
      <c r="W482" s="566"/>
      <c r="X482" s="564"/>
      <c r="Y482" s="564">
        <v>7</v>
      </c>
      <c r="Z482" s="564">
        <v>21</v>
      </c>
      <c r="AA482" s="565">
        <v>0</v>
      </c>
      <c r="AB482" s="567">
        <v>42675</v>
      </c>
      <c r="AC482" s="568"/>
      <c r="AD482" s="568">
        <v>296.9408712328767</v>
      </c>
      <c r="AE482" s="393" t="s">
        <v>96</v>
      </c>
      <c r="AF482" s="569"/>
      <c r="AG482" s="569"/>
      <c r="AH482" s="569"/>
      <c r="AI482" s="564"/>
      <c r="AJ482" s="567"/>
      <c r="AK482" s="567"/>
      <c r="AL482" s="561"/>
      <c r="AM482" s="561"/>
      <c r="AN482" s="569"/>
      <c r="AO482" s="563"/>
      <c r="AP482" s="563"/>
      <c r="AQ482" s="563"/>
      <c r="AR482" s="392" t="s">
        <v>220</v>
      </c>
      <c r="AS482" s="479">
        <v>40493</v>
      </c>
      <c r="AT482" s="566"/>
      <c r="AU482" s="566"/>
      <c r="AV482" s="566"/>
      <c r="AW482" s="566"/>
      <c r="AX482" s="566"/>
      <c r="AY482" s="566"/>
      <c r="AZ482" s="567">
        <v>42675</v>
      </c>
      <c r="BA482" s="561"/>
      <c r="BB482" s="561"/>
      <c r="BC482" s="561" t="b">
        <v>0</v>
      </c>
      <c r="BD482" s="561"/>
      <c r="BE482" s="563"/>
      <c r="BF482" s="394">
        <v>1</v>
      </c>
      <c r="BG482" s="394">
        <v>6</v>
      </c>
      <c r="BH482" s="394">
        <v>4</v>
      </c>
      <c r="BI482" s="394">
        <v>8</v>
      </c>
      <c r="BJ482" s="394">
        <v>5</v>
      </c>
      <c r="BK482" s="394"/>
      <c r="BL482" s="444" t="s">
        <v>6981</v>
      </c>
      <c r="BM482" s="563"/>
      <c r="BN482" s="561"/>
      <c r="BO482" s="561"/>
      <c r="BP482" s="571"/>
      <c r="BQ482" s="572"/>
      <c r="BR482" s="573"/>
      <c r="BS482" s="571"/>
      <c r="BT482" s="564"/>
      <c r="BU482" s="569"/>
      <c r="BV482" s="571"/>
      <c r="BW482" s="561"/>
      <c r="BX482" s="563"/>
      <c r="BY482" s="393" t="s">
        <v>7224</v>
      </c>
      <c r="BZ482" s="561"/>
      <c r="CA482" s="574"/>
      <c r="CB482" s="572"/>
      <c r="CC482" s="568"/>
      <c r="CD482" s="568"/>
      <c r="CE482" s="568"/>
      <c r="CF482" s="568"/>
      <c r="CG482" s="568"/>
      <c r="CH482" s="568"/>
      <c r="CI482" s="568"/>
      <c r="CJ482" s="568"/>
      <c r="CK482" s="568"/>
      <c r="CL482" s="568">
        <v>46.470999999999997</v>
      </c>
      <c r="CM482" s="568">
        <v>46.470999999999997</v>
      </c>
      <c r="CN482" s="568">
        <v>46.470999999999997</v>
      </c>
      <c r="CO482" s="568">
        <v>46.470999999999997</v>
      </c>
      <c r="CP482" s="568">
        <v>46.470999999999997</v>
      </c>
      <c r="CQ482" s="568">
        <v>46.470999999999997</v>
      </c>
      <c r="CR482" s="568">
        <v>46.470999999999997</v>
      </c>
      <c r="CS482" s="568"/>
      <c r="CT482" s="568"/>
      <c r="CU482" s="568"/>
      <c r="CV482" s="568"/>
      <c r="CW482" s="568"/>
      <c r="CX482" s="568"/>
      <c r="CY482" s="568"/>
      <c r="CZ482" s="568"/>
      <c r="DA482" s="568"/>
      <c r="DB482" s="568"/>
      <c r="DC482" s="568"/>
      <c r="DD482" s="568"/>
      <c r="DE482" s="561"/>
      <c r="DF482" s="561"/>
      <c r="DG482" s="561"/>
      <c r="DH482" s="561"/>
      <c r="DI482" s="561"/>
      <c r="DJ482" s="561"/>
      <c r="DK482" s="897"/>
    </row>
    <row r="483" spans="1:115" ht="51" x14ac:dyDescent="0.2">
      <c r="A483" s="295">
        <v>479</v>
      </c>
      <c r="B483" s="390" t="s">
        <v>8831</v>
      </c>
      <c r="C483" s="390"/>
      <c r="D483" s="391" t="s">
        <v>8832</v>
      </c>
      <c r="E483" s="709" t="s">
        <v>8835</v>
      </c>
      <c r="F483" s="393" t="s">
        <v>1375</v>
      </c>
      <c r="G483" s="393" t="s">
        <v>998</v>
      </c>
      <c r="H483" s="393" t="s">
        <v>218</v>
      </c>
      <c r="I483" s="563"/>
      <c r="J483" s="563"/>
      <c r="K483" s="393" t="s">
        <v>218</v>
      </c>
      <c r="L483" s="392" t="s">
        <v>997</v>
      </c>
      <c r="M483" s="563"/>
      <c r="N483" s="393" t="s">
        <v>44</v>
      </c>
      <c r="O483" s="393" t="s">
        <v>51</v>
      </c>
      <c r="P483" s="393" t="s">
        <v>51</v>
      </c>
      <c r="Q483" s="392" t="s">
        <v>976</v>
      </c>
      <c r="R483" s="560" t="s">
        <v>8322</v>
      </c>
      <c r="S483" s="428" t="s">
        <v>8232</v>
      </c>
      <c r="T483" s="564">
        <v>1</v>
      </c>
      <c r="U483" s="565">
        <v>81.974999999999994</v>
      </c>
      <c r="V483" s="565"/>
      <c r="W483" s="566"/>
      <c r="X483" s="564"/>
      <c r="Y483" s="564">
        <v>7</v>
      </c>
      <c r="Z483" s="564">
        <v>21</v>
      </c>
      <c r="AA483" s="565">
        <v>0</v>
      </c>
      <c r="AB483" s="567">
        <v>42675</v>
      </c>
      <c r="AC483" s="568"/>
      <c r="AD483" s="568">
        <v>341.59993150684932</v>
      </c>
      <c r="AE483" s="393" t="s">
        <v>96</v>
      </c>
      <c r="AF483" s="569"/>
      <c r="AG483" s="569"/>
      <c r="AH483" s="569"/>
      <c r="AI483" s="564"/>
      <c r="AJ483" s="567"/>
      <c r="AK483" s="567"/>
      <c r="AL483" s="561"/>
      <c r="AM483" s="561"/>
      <c r="AN483" s="569"/>
      <c r="AO483" s="563"/>
      <c r="AP483" s="563"/>
      <c r="AQ483" s="563"/>
      <c r="AR483" s="392" t="s">
        <v>220</v>
      </c>
      <c r="AS483" s="479">
        <v>40493</v>
      </c>
      <c r="AT483" s="566"/>
      <c r="AU483" s="566"/>
      <c r="AV483" s="566"/>
      <c r="AW483" s="566"/>
      <c r="AX483" s="566"/>
      <c r="AY483" s="566"/>
      <c r="AZ483" s="567">
        <v>42675</v>
      </c>
      <c r="BA483" s="561"/>
      <c r="BB483" s="561"/>
      <c r="BC483" s="561" t="b">
        <v>0</v>
      </c>
      <c r="BD483" s="561"/>
      <c r="BE483" s="563"/>
      <c r="BF483" s="394">
        <v>1</v>
      </c>
      <c r="BG483" s="394">
        <v>6</v>
      </c>
      <c r="BH483" s="394">
        <v>4</v>
      </c>
      <c r="BI483" s="394">
        <v>8</v>
      </c>
      <c r="BJ483" s="394">
        <v>5</v>
      </c>
      <c r="BK483" s="394"/>
      <c r="BL483" s="444" t="s">
        <v>6981</v>
      </c>
      <c r="BM483" s="563"/>
      <c r="BN483" s="561"/>
      <c r="BO483" s="561"/>
      <c r="BP483" s="571"/>
      <c r="BQ483" s="572"/>
      <c r="BR483" s="573"/>
      <c r="BS483" s="571"/>
      <c r="BT483" s="564"/>
      <c r="BU483" s="569"/>
      <c r="BV483" s="571"/>
      <c r="BW483" s="561"/>
      <c r="BX483" s="563"/>
      <c r="BY483" s="393" t="s">
        <v>7224</v>
      </c>
      <c r="BZ483" s="561"/>
      <c r="CA483" s="574"/>
      <c r="CB483" s="572"/>
      <c r="CC483" s="568"/>
      <c r="CD483" s="568"/>
      <c r="CE483" s="568"/>
      <c r="CF483" s="568"/>
      <c r="CG483" s="568"/>
      <c r="CH483" s="568"/>
      <c r="CI483" s="568"/>
      <c r="CJ483" s="568"/>
      <c r="CK483" s="568"/>
      <c r="CL483" s="568">
        <v>81.974999999999994</v>
      </c>
      <c r="CM483" s="568">
        <v>81.974999999999994</v>
      </c>
      <c r="CN483" s="568">
        <v>81.974999999999994</v>
      </c>
      <c r="CO483" s="568">
        <v>81.974999999999994</v>
      </c>
      <c r="CP483" s="568">
        <v>81.974999999999994</v>
      </c>
      <c r="CQ483" s="568">
        <v>81.974999999999994</v>
      </c>
      <c r="CR483" s="568">
        <v>81.974999999999994</v>
      </c>
      <c r="CS483" s="568"/>
      <c r="CT483" s="568"/>
      <c r="CU483" s="568"/>
      <c r="CV483" s="568"/>
      <c r="CW483" s="568"/>
      <c r="CX483" s="568"/>
      <c r="CY483" s="568"/>
      <c r="CZ483" s="568"/>
      <c r="DA483" s="568"/>
      <c r="DB483" s="568"/>
      <c r="DC483" s="568"/>
      <c r="DD483" s="568"/>
      <c r="DE483" s="561"/>
      <c r="DF483" s="561"/>
      <c r="DG483" s="561"/>
      <c r="DH483" s="561"/>
      <c r="DI483" s="561"/>
      <c r="DJ483" s="561"/>
      <c r="DK483" s="897"/>
    </row>
    <row r="484" spans="1:115" ht="51" x14ac:dyDescent="0.2">
      <c r="A484" s="295">
        <v>480</v>
      </c>
      <c r="B484" s="449" t="s">
        <v>9403</v>
      </c>
      <c r="C484" s="390"/>
      <c r="D484" s="474" t="s">
        <v>9404</v>
      </c>
      <c r="E484" s="709" t="s">
        <v>9424</v>
      </c>
      <c r="F484" s="393" t="s">
        <v>1375</v>
      </c>
      <c r="G484" s="393" t="s">
        <v>998</v>
      </c>
      <c r="H484" s="393" t="s">
        <v>245</v>
      </c>
      <c r="I484" s="563"/>
      <c r="J484" s="563"/>
      <c r="K484" s="560" t="s">
        <v>245</v>
      </c>
      <c r="L484" s="560" t="s">
        <v>997</v>
      </c>
      <c r="M484" s="563"/>
      <c r="N484" s="562" t="s">
        <v>44</v>
      </c>
      <c r="O484" s="393" t="s">
        <v>51</v>
      </c>
      <c r="P484" s="393" t="s">
        <v>51</v>
      </c>
      <c r="Q484" s="392" t="s">
        <v>976</v>
      </c>
      <c r="R484" s="560" t="s">
        <v>8322</v>
      </c>
      <c r="S484" s="560" t="s">
        <v>8232</v>
      </c>
      <c r="T484" s="564">
        <v>1</v>
      </c>
      <c r="U484" s="565">
        <v>85.853999999999999</v>
      </c>
      <c r="V484" s="565"/>
      <c r="W484" s="566"/>
      <c r="X484" s="564"/>
      <c r="Y484" s="564">
        <v>7</v>
      </c>
      <c r="Z484" s="564">
        <v>21</v>
      </c>
      <c r="AA484" s="565">
        <v>0</v>
      </c>
      <c r="AB484" s="567">
        <v>43132</v>
      </c>
      <c r="AC484" s="568"/>
      <c r="AD484" s="568">
        <v>250.27029041095892</v>
      </c>
      <c r="AE484" s="562" t="s">
        <v>96</v>
      </c>
      <c r="AF484" s="569"/>
      <c r="AG484" s="569"/>
      <c r="AH484" s="569"/>
      <c r="AI484" s="564"/>
      <c r="AJ484" s="567"/>
      <c r="AK484" s="567"/>
      <c r="AL484" s="561"/>
      <c r="AM484" s="561"/>
      <c r="AN484" s="569"/>
      <c r="AO484" s="563"/>
      <c r="AP484" s="563"/>
      <c r="AQ484" s="563"/>
      <c r="AR484" s="392" t="s">
        <v>220</v>
      </c>
      <c r="AS484" s="479">
        <v>40493</v>
      </c>
      <c r="AT484" s="566"/>
      <c r="AU484" s="566"/>
      <c r="AV484" s="566"/>
      <c r="AW484" s="566"/>
      <c r="AX484" s="566"/>
      <c r="AY484" s="566"/>
      <c r="AZ484" s="567">
        <v>43124</v>
      </c>
      <c r="BA484" s="561"/>
      <c r="BB484" s="561"/>
      <c r="BC484" s="561" t="b">
        <v>0</v>
      </c>
      <c r="BD484" s="561"/>
      <c r="BE484" s="563"/>
      <c r="BF484" s="394">
        <v>1</v>
      </c>
      <c r="BG484" s="394">
        <v>6</v>
      </c>
      <c r="BH484" s="394">
        <v>4</v>
      </c>
      <c r="BI484" s="394">
        <v>8</v>
      </c>
      <c r="BJ484" s="394">
        <v>5</v>
      </c>
      <c r="BK484" s="394"/>
      <c r="BL484" s="444" t="s">
        <v>6981</v>
      </c>
      <c r="BM484" s="563"/>
      <c r="BN484" s="561"/>
      <c r="BO484" s="561"/>
      <c r="BP484" s="571"/>
      <c r="BQ484" s="572"/>
      <c r="BR484" s="573"/>
      <c r="BS484" s="571"/>
      <c r="BT484" s="564"/>
      <c r="BU484" s="569"/>
      <c r="BV484" s="571"/>
      <c r="BW484" s="561"/>
      <c r="BX484" s="563"/>
      <c r="BY484" s="562" t="s">
        <v>7224</v>
      </c>
      <c r="BZ484" s="561"/>
      <c r="CA484" s="574"/>
      <c r="CB484" s="572"/>
      <c r="CC484" s="568"/>
      <c r="CD484" s="568"/>
      <c r="CE484" s="568"/>
      <c r="CF484" s="568"/>
      <c r="CG484" s="568"/>
      <c r="CH484" s="568"/>
      <c r="CI484" s="568"/>
      <c r="CJ484" s="568"/>
      <c r="CK484" s="568"/>
      <c r="CL484" s="568">
        <v>85.853999999999999</v>
      </c>
      <c r="CM484" s="568">
        <v>85.853999999999999</v>
      </c>
      <c r="CN484" s="568">
        <v>85.853999999999999</v>
      </c>
      <c r="CO484" s="568">
        <v>85.853999999999999</v>
      </c>
      <c r="CP484" s="568">
        <v>85.853999999999999</v>
      </c>
      <c r="CQ484" s="568">
        <v>85.853999999999999</v>
      </c>
      <c r="CR484" s="568">
        <v>85.853999999999999</v>
      </c>
      <c r="CS484" s="568"/>
      <c r="CT484" s="568"/>
      <c r="CU484" s="568"/>
      <c r="CV484" s="568"/>
      <c r="CW484" s="568"/>
      <c r="CX484" s="568"/>
      <c r="CY484" s="568"/>
      <c r="CZ484" s="568"/>
      <c r="DA484" s="568"/>
      <c r="DB484" s="568"/>
      <c r="DC484" s="568"/>
      <c r="DD484" s="568"/>
      <c r="DE484" s="561"/>
      <c r="DF484" s="561"/>
      <c r="DG484" s="561"/>
      <c r="DH484" s="561"/>
      <c r="DI484" s="561"/>
      <c r="DJ484" s="561"/>
      <c r="DK484" s="897"/>
    </row>
    <row r="485" spans="1:115" ht="38.25" x14ac:dyDescent="0.2">
      <c r="A485" s="295">
        <v>481</v>
      </c>
      <c r="B485" s="390" t="s">
        <v>1052</v>
      </c>
      <c r="C485" s="424" t="s">
        <v>7483</v>
      </c>
      <c r="D485" s="391" t="s">
        <v>3067</v>
      </c>
      <c r="E485" s="704" t="s">
        <v>1053</v>
      </c>
      <c r="F485" s="393" t="s">
        <v>1375</v>
      </c>
      <c r="G485" s="393" t="s">
        <v>1670</v>
      </c>
      <c r="H485" s="393" t="s">
        <v>1048</v>
      </c>
      <c r="I485" s="392"/>
      <c r="J485" s="392" t="s">
        <v>1048</v>
      </c>
      <c r="K485" s="392"/>
      <c r="L485" s="392" t="s">
        <v>1054</v>
      </c>
      <c r="M485" s="392" t="s">
        <v>4008</v>
      </c>
      <c r="N485" s="393" t="s">
        <v>44</v>
      </c>
      <c r="O485" s="393" t="s">
        <v>51</v>
      </c>
      <c r="P485" s="393" t="s">
        <v>51</v>
      </c>
      <c r="Q485" s="392" t="s">
        <v>976</v>
      </c>
      <c r="R485" s="392"/>
      <c r="S485" s="392" t="s">
        <v>977</v>
      </c>
      <c r="T485" s="394">
        <v>5</v>
      </c>
      <c r="U485" s="395">
        <v>99.073999999999984</v>
      </c>
      <c r="V485" s="395"/>
      <c r="W485" s="452">
        <v>40631</v>
      </c>
      <c r="X485" s="394">
        <v>28</v>
      </c>
      <c r="Y485" s="394"/>
      <c r="Z485" s="394"/>
      <c r="AA485" s="395"/>
      <c r="AB485" s="453"/>
      <c r="AC485" s="398">
        <v>11.181000000000001</v>
      </c>
      <c r="AD485" s="398">
        <v>990.74</v>
      </c>
      <c r="AE485" s="393" t="s">
        <v>47</v>
      </c>
      <c r="AF485" s="417">
        <f>SUM(AF486:AF490)</f>
        <v>6.5609999999999991</v>
      </c>
      <c r="AG485" s="417">
        <f>SUM(AG486:AG490)</f>
        <v>120.38800000000001</v>
      </c>
      <c r="AH485" s="417">
        <v>126.949</v>
      </c>
      <c r="AI485" s="394">
        <v>3</v>
      </c>
      <c r="AJ485" s="452">
        <v>41675</v>
      </c>
      <c r="AK485" s="452">
        <v>42916</v>
      </c>
      <c r="AL485" s="393"/>
      <c r="AM485" s="393"/>
      <c r="AN485" s="417"/>
      <c r="AO485" s="428" t="s">
        <v>133</v>
      </c>
      <c r="AP485" s="392" t="s">
        <v>7042</v>
      </c>
      <c r="AQ485" s="392"/>
      <c r="AR485" s="392" t="s">
        <v>1055</v>
      </c>
      <c r="AS485" s="479">
        <v>40502</v>
      </c>
      <c r="AT485" s="453"/>
      <c r="AU485" s="453"/>
      <c r="AV485" s="452">
        <v>40530</v>
      </c>
      <c r="AW485" s="452">
        <v>40857</v>
      </c>
      <c r="AX485" s="453"/>
      <c r="AY485" s="452">
        <v>40857</v>
      </c>
      <c r="AZ485" s="453"/>
      <c r="BA485" s="393"/>
      <c r="BB485" s="393" t="s">
        <v>3116</v>
      </c>
      <c r="BC485" s="393" t="b">
        <v>0</v>
      </c>
      <c r="BD485" s="393" t="s">
        <v>3116</v>
      </c>
      <c r="BE485" s="392" t="s">
        <v>6245</v>
      </c>
      <c r="BF485" s="394">
        <v>1</v>
      </c>
      <c r="BG485" s="394">
        <v>6</v>
      </c>
      <c r="BH485" s="394">
        <v>4</v>
      </c>
      <c r="BI485" s="394">
        <v>8</v>
      </c>
      <c r="BJ485" s="394">
        <v>5</v>
      </c>
      <c r="BK485" s="394">
        <v>9</v>
      </c>
      <c r="BL485" s="444"/>
      <c r="BM485" s="392"/>
      <c r="BN485" s="393"/>
      <c r="BO485" s="393"/>
      <c r="BP485" s="399"/>
      <c r="BQ485" s="400"/>
      <c r="BR485" s="401"/>
      <c r="BS485" s="399">
        <v>0</v>
      </c>
      <c r="BT485" s="394"/>
      <c r="BU485" s="417"/>
      <c r="BV485" s="399"/>
      <c r="BW485" s="393"/>
      <c r="BX485" s="392"/>
      <c r="BY485" s="393" t="s">
        <v>7224</v>
      </c>
      <c r="BZ485" s="393" t="s">
        <v>3165</v>
      </c>
      <c r="CA485" s="441"/>
      <c r="CB485" s="400"/>
      <c r="CC485" s="398"/>
      <c r="CD485" s="398"/>
      <c r="CE485" s="398"/>
      <c r="CF485" s="398"/>
      <c r="CG485" s="398"/>
      <c r="CH485" s="398"/>
      <c r="CI485" s="398"/>
      <c r="CJ485" s="398"/>
      <c r="CK485" s="398"/>
      <c r="CL485" s="398"/>
      <c r="CM485" s="398"/>
      <c r="CN485" s="398"/>
      <c r="CO485" s="398"/>
      <c r="CP485" s="398"/>
      <c r="CQ485" s="398"/>
      <c r="CR485" s="398"/>
      <c r="CS485" s="398"/>
      <c r="CT485" s="398"/>
      <c r="CU485" s="398"/>
      <c r="CV485" s="398"/>
      <c r="CW485" s="398"/>
      <c r="CX485" s="398"/>
      <c r="CY485" s="398"/>
      <c r="CZ485" s="398"/>
      <c r="DA485" s="398"/>
      <c r="DB485" s="398"/>
      <c r="DC485" s="398"/>
      <c r="DD485" s="398"/>
      <c r="DE485" s="393"/>
      <c r="DF485" s="393"/>
      <c r="DG485" s="393"/>
      <c r="DH485" s="393"/>
      <c r="DI485" s="393"/>
      <c r="DJ485" s="393"/>
      <c r="DK485" s="896" t="s">
        <v>9703</v>
      </c>
    </row>
    <row r="486" spans="1:115" ht="25.5" x14ac:dyDescent="0.2">
      <c r="A486" s="295">
        <v>482</v>
      </c>
      <c r="B486" s="390" t="s">
        <v>2650</v>
      </c>
      <c r="C486" s="390"/>
      <c r="D486" s="391" t="s">
        <v>1056</v>
      </c>
      <c r="E486" s="704" t="s">
        <v>1057</v>
      </c>
      <c r="F486" s="393" t="s">
        <v>1375</v>
      </c>
      <c r="G486" s="393" t="s">
        <v>1670</v>
      </c>
      <c r="H486" s="393" t="s">
        <v>1048</v>
      </c>
      <c r="I486" s="392"/>
      <c r="J486" s="392"/>
      <c r="K486" s="392" t="s">
        <v>1048</v>
      </c>
      <c r="L486" s="392" t="s">
        <v>1054</v>
      </c>
      <c r="M486" s="392"/>
      <c r="N486" s="393" t="s">
        <v>44</v>
      </c>
      <c r="O486" s="393" t="s">
        <v>51</v>
      </c>
      <c r="P486" s="393" t="s">
        <v>51</v>
      </c>
      <c r="Q486" s="392" t="s">
        <v>976</v>
      </c>
      <c r="R486" s="392" t="s">
        <v>4009</v>
      </c>
      <c r="S486" s="392" t="s">
        <v>977</v>
      </c>
      <c r="T486" s="394">
        <v>1</v>
      </c>
      <c r="U486" s="395">
        <v>8.9120000000000008</v>
      </c>
      <c r="V486" s="395"/>
      <c r="W486" s="453"/>
      <c r="X486" s="394"/>
      <c r="Y486" s="394">
        <v>10</v>
      </c>
      <c r="Z486" s="394">
        <v>13</v>
      </c>
      <c r="AA486" s="395">
        <v>-0.5</v>
      </c>
      <c r="AB486" s="452">
        <v>40909</v>
      </c>
      <c r="AC486" s="398">
        <v>5.78</v>
      </c>
      <c r="AD486" s="398">
        <v>89.12</v>
      </c>
      <c r="AE486" s="393" t="s">
        <v>47</v>
      </c>
      <c r="AF486" s="417">
        <f>2.376+3.279</f>
        <v>5.6549999999999994</v>
      </c>
      <c r="AG486" s="417">
        <f>3.227+7.838+8.018+18.389</f>
        <v>37.471999999999994</v>
      </c>
      <c r="AH486" s="417">
        <v>43.126999999999995</v>
      </c>
      <c r="AI486" s="394">
        <v>3</v>
      </c>
      <c r="AJ486" s="452">
        <v>41675</v>
      </c>
      <c r="AK486" s="452">
        <v>42916</v>
      </c>
      <c r="AL486" s="393"/>
      <c r="AM486" s="393"/>
      <c r="AN486" s="417"/>
      <c r="AO486" s="392"/>
      <c r="AP486" s="392" t="s">
        <v>7042</v>
      </c>
      <c r="AQ486" s="392"/>
      <c r="AR486" s="392" t="s">
        <v>1055</v>
      </c>
      <c r="AS486" s="479">
        <v>40502</v>
      </c>
      <c r="AT486" s="453"/>
      <c r="AU486" s="453"/>
      <c r="AV486" s="453"/>
      <c r="AW486" s="453"/>
      <c r="AX486" s="453"/>
      <c r="AY486" s="453"/>
      <c r="AZ486" s="452">
        <v>40857</v>
      </c>
      <c r="BA486" s="393"/>
      <c r="BB486" s="393"/>
      <c r="BC486" s="393" t="b">
        <v>0</v>
      </c>
      <c r="BD486" s="393"/>
      <c r="BE486" s="392"/>
      <c r="BF486" s="394">
        <v>1</v>
      </c>
      <c r="BG486" s="394">
        <v>6</v>
      </c>
      <c r="BH486" s="394">
        <v>4</v>
      </c>
      <c r="BI486" s="394">
        <v>8</v>
      </c>
      <c r="BJ486" s="394">
        <v>5</v>
      </c>
      <c r="BK486" s="394">
        <v>9</v>
      </c>
      <c r="BL486" s="444" t="s">
        <v>1451</v>
      </c>
      <c r="BM486" s="392"/>
      <c r="BN486" s="393" t="s">
        <v>3288</v>
      </c>
      <c r="BO486" s="393"/>
      <c r="BP486" s="399"/>
      <c r="BQ486" s="400"/>
      <c r="BR486" s="401"/>
      <c r="BS486" s="399"/>
      <c r="BT486" s="394"/>
      <c r="BU486" s="417"/>
      <c r="BV486" s="399"/>
      <c r="BW486" s="393" t="s">
        <v>3117</v>
      </c>
      <c r="BX486" s="392" t="s">
        <v>4364</v>
      </c>
      <c r="BY486" s="393" t="s">
        <v>7224</v>
      </c>
      <c r="BZ486" s="393"/>
      <c r="CA486" s="441"/>
      <c r="CB486" s="400"/>
      <c r="CC486" s="398"/>
      <c r="CD486" s="398"/>
      <c r="CE486" s="398"/>
      <c r="CF486" s="398"/>
      <c r="CG486" s="398">
        <v>5.78</v>
      </c>
      <c r="CH486" s="398">
        <v>11.27</v>
      </c>
      <c r="CI486" s="398">
        <v>10.707000000000001</v>
      </c>
      <c r="CJ486" s="398">
        <v>10.170999999999999</v>
      </c>
      <c r="CK486" s="398">
        <v>9.6630000000000003</v>
      </c>
      <c r="CL486" s="398">
        <v>9.18</v>
      </c>
      <c r="CM486" s="398">
        <v>8.7210000000000001</v>
      </c>
      <c r="CN486" s="398">
        <v>8.2850000000000001</v>
      </c>
      <c r="CO486" s="398">
        <v>7.87</v>
      </c>
      <c r="CP486" s="398">
        <v>7.4770000000000003</v>
      </c>
      <c r="CQ486" s="398"/>
      <c r="CR486" s="398"/>
      <c r="CS486" s="398"/>
      <c r="CT486" s="398"/>
      <c r="CU486" s="398"/>
      <c r="CV486" s="398"/>
      <c r="CW486" s="398"/>
      <c r="CX486" s="398"/>
      <c r="CY486" s="398"/>
      <c r="CZ486" s="398"/>
      <c r="DA486" s="398"/>
      <c r="DB486" s="398"/>
      <c r="DC486" s="398"/>
      <c r="DD486" s="398"/>
      <c r="DE486" s="393"/>
      <c r="DF486" s="393"/>
      <c r="DG486" s="393"/>
      <c r="DH486" s="393"/>
      <c r="DI486" s="393"/>
      <c r="DJ486" s="393"/>
      <c r="DK486" s="897"/>
    </row>
    <row r="487" spans="1:115" ht="25.5" x14ac:dyDescent="0.2">
      <c r="A487" s="295">
        <v>483</v>
      </c>
      <c r="B487" s="390" t="s">
        <v>2974</v>
      </c>
      <c r="C487" s="390"/>
      <c r="D487" s="391" t="s">
        <v>2975</v>
      </c>
      <c r="E487" s="704" t="s">
        <v>2976</v>
      </c>
      <c r="F487" s="393" t="s">
        <v>1375</v>
      </c>
      <c r="G487" s="393" t="s">
        <v>1670</v>
      </c>
      <c r="H487" s="393" t="s">
        <v>1048</v>
      </c>
      <c r="I487" s="392"/>
      <c r="J487" s="392"/>
      <c r="K487" s="392" t="s">
        <v>1048</v>
      </c>
      <c r="L487" s="392" t="s">
        <v>1054</v>
      </c>
      <c r="M487" s="392"/>
      <c r="N487" s="393" t="s">
        <v>44</v>
      </c>
      <c r="O487" s="393" t="s">
        <v>51</v>
      </c>
      <c r="P487" s="393" t="s">
        <v>51</v>
      </c>
      <c r="Q487" s="392" t="s">
        <v>976</v>
      </c>
      <c r="R487" s="392" t="s">
        <v>4009</v>
      </c>
      <c r="S487" s="392" t="s">
        <v>977</v>
      </c>
      <c r="T487" s="394">
        <v>1</v>
      </c>
      <c r="U487" s="395">
        <v>11.29</v>
      </c>
      <c r="V487" s="395"/>
      <c r="W487" s="453"/>
      <c r="X487" s="394"/>
      <c r="Y487" s="394">
        <v>10</v>
      </c>
      <c r="Z487" s="394">
        <v>13</v>
      </c>
      <c r="AA487" s="395">
        <v>0</v>
      </c>
      <c r="AB487" s="452">
        <v>41105</v>
      </c>
      <c r="AC487" s="398">
        <v>2.6920000000000002</v>
      </c>
      <c r="AD487" s="398">
        <v>112.89999999999999</v>
      </c>
      <c r="AE487" s="393" t="s">
        <v>47</v>
      </c>
      <c r="AF487" s="417">
        <f>0.611</f>
        <v>0.61099999999999999</v>
      </c>
      <c r="AG487" s="417">
        <f>2.007+7.752+7.978+18.297</f>
        <v>36.034000000000006</v>
      </c>
      <c r="AH487" s="417">
        <v>36.645000000000003</v>
      </c>
      <c r="AI487" s="394">
        <v>2</v>
      </c>
      <c r="AJ487" s="452">
        <v>42223</v>
      </c>
      <c r="AK487" s="452">
        <v>42916</v>
      </c>
      <c r="AL487" s="393"/>
      <c r="AM487" s="393"/>
      <c r="AN487" s="417"/>
      <c r="AO487" s="392"/>
      <c r="AP487" s="392"/>
      <c r="AQ487" s="392"/>
      <c r="AR487" s="392" t="s">
        <v>1055</v>
      </c>
      <c r="AS487" s="480"/>
      <c r="AT487" s="397"/>
      <c r="AU487" s="397"/>
      <c r="AV487" s="453"/>
      <c r="AW487" s="453"/>
      <c r="AX487" s="397"/>
      <c r="AY487" s="453"/>
      <c r="AZ487" s="452">
        <v>41101</v>
      </c>
      <c r="BA487" s="393"/>
      <c r="BB487" s="393"/>
      <c r="BC487" s="393" t="b">
        <v>0</v>
      </c>
      <c r="BD487" s="393"/>
      <c r="BE487" s="392"/>
      <c r="BF487" s="394">
        <v>1</v>
      </c>
      <c r="BG487" s="394">
        <v>6</v>
      </c>
      <c r="BH487" s="394">
        <v>4</v>
      </c>
      <c r="BI487" s="394">
        <v>8</v>
      </c>
      <c r="BJ487" s="394">
        <v>5</v>
      </c>
      <c r="BK487" s="394">
        <v>9</v>
      </c>
      <c r="BL487" s="444" t="s">
        <v>1451</v>
      </c>
      <c r="BM487" s="392"/>
      <c r="BN487" s="393" t="s">
        <v>3288</v>
      </c>
      <c r="BO487" s="393"/>
      <c r="BP487" s="399"/>
      <c r="BQ487" s="400"/>
      <c r="BR487" s="401"/>
      <c r="BS487" s="399"/>
      <c r="BT487" s="394"/>
      <c r="BU487" s="417"/>
      <c r="BV487" s="399"/>
      <c r="BW487" s="393" t="s">
        <v>3117</v>
      </c>
      <c r="BX487" s="392" t="s">
        <v>4364</v>
      </c>
      <c r="BY487" s="393" t="s">
        <v>7224</v>
      </c>
      <c r="BZ487" s="393" t="s">
        <v>3165</v>
      </c>
      <c r="CA487" s="441"/>
      <c r="CB487" s="400"/>
      <c r="CC487" s="398"/>
      <c r="CD487" s="398"/>
      <c r="CE487" s="398"/>
      <c r="CF487" s="398"/>
      <c r="CG487" s="398">
        <v>2.6920000000000002</v>
      </c>
      <c r="CH487" s="398">
        <v>11.558999999999999</v>
      </c>
      <c r="CI487" s="398">
        <v>11.558999999999999</v>
      </c>
      <c r="CJ487" s="398">
        <v>11.558999999999999</v>
      </c>
      <c r="CK487" s="398">
        <v>11.558999999999999</v>
      </c>
      <c r="CL487" s="398">
        <v>11.558999999999999</v>
      </c>
      <c r="CM487" s="398">
        <v>11.558999999999999</v>
      </c>
      <c r="CN487" s="398">
        <v>11.558999999999999</v>
      </c>
      <c r="CO487" s="398">
        <v>11.558999999999999</v>
      </c>
      <c r="CP487" s="398">
        <v>11.558999999999999</v>
      </c>
      <c r="CQ487" s="398">
        <v>11.558999999999999</v>
      </c>
      <c r="CR487" s="398">
        <v>6.1749999999999998</v>
      </c>
      <c r="CS487" s="398"/>
      <c r="CT487" s="398"/>
      <c r="CU487" s="398"/>
      <c r="CV487" s="398"/>
      <c r="CW487" s="398"/>
      <c r="CX487" s="398"/>
      <c r="CY487" s="398"/>
      <c r="CZ487" s="398"/>
      <c r="DA487" s="398"/>
      <c r="DB487" s="398"/>
      <c r="DC487" s="398"/>
      <c r="DD487" s="398"/>
      <c r="DE487" s="393"/>
      <c r="DF487" s="393"/>
      <c r="DG487" s="393"/>
      <c r="DH487" s="393"/>
      <c r="DI487" s="393"/>
      <c r="DJ487" s="393"/>
      <c r="DK487" s="897"/>
    </row>
    <row r="488" spans="1:115" ht="25.5" x14ac:dyDescent="0.2">
      <c r="A488" s="295">
        <v>484</v>
      </c>
      <c r="B488" s="390" t="s">
        <v>2977</v>
      </c>
      <c r="C488" s="390"/>
      <c r="D488" s="391" t="s">
        <v>2978</v>
      </c>
      <c r="E488" s="704" t="s">
        <v>2979</v>
      </c>
      <c r="F488" s="393" t="s">
        <v>1375</v>
      </c>
      <c r="G488" s="393" t="s">
        <v>1670</v>
      </c>
      <c r="H488" s="393" t="s">
        <v>1048</v>
      </c>
      <c r="I488" s="392"/>
      <c r="J488" s="392"/>
      <c r="K488" s="392" t="s">
        <v>1048</v>
      </c>
      <c r="L488" s="392" t="s">
        <v>1054</v>
      </c>
      <c r="M488" s="392"/>
      <c r="N488" s="393" t="s">
        <v>44</v>
      </c>
      <c r="O488" s="393" t="s">
        <v>51</v>
      </c>
      <c r="P488" s="393" t="s">
        <v>51</v>
      </c>
      <c r="Q488" s="392" t="s">
        <v>976</v>
      </c>
      <c r="R488" s="392" t="s">
        <v>4010</v>
      </c>
      <c r="S488" s="392" t="s">
        <v>977</v>
      </c>
      <c r="T488" s="394">
        <v>1</v>
      </c>
      <c r="U488" s="395">
        <v>11.356</v>
      </c>
      <c r="V488" s="395"/>
      <c r="W488" s="453"/>
      <c r="X488" s="394"/>
      <c r="Y488" s="394">
        <v>10</v>
      </c>
      <c r="Z488" s="394">
        <v>13</v>
      </c>
      <c r="AA488" s="395">
        <v>0</v>
      </c>
      <c r="AB488" s="452">
        <v>41105</v>
      </c>
      <c r="AC488" s="398">
        <v>2.7090000000000001</v>
      </c>
      <c r="AD488" s="398">
        <v>113.56</v>
      </c>
      <c r="AE488" s="393" t="s">
        <v>47</v>
      </c>
      <c r="AF488" s="417">
        <f>0.295</f>
        <v>0.29499999999999998</v>
      </c>
      <c r="AG488" s="417">
        <f>0.699+4.843+5.934+11.242</f>
        <v>22.718</v>
      </c>
      <c r="AH488" s="417">
        <v>23.013000000000002</v>
      </c>
      <c r="AI488" s="394">
        <v>2</v>
      </c>
      <c r="AJ488" s="452">
        <v>42223</v>
      </c>
      <c r="AK488" s="452">
        <v>42916</v>
      </c>
      <c r="AL488" s="393"/>
      <c r="AM488" s="393"/>
      <c r="AN488" s="417"/>
      <c r="AO488" s="392"/>
      <c r="AP488" s="392"/>
      <c r="AQ488" s="392"/>
      <c r="AR488" s="392" t="s">
        <v>1055</v>
      </c>
      <c r="AS488" s="480"/>
      <c r="AT488" s="453"/>
      <c r="AU488" s="453"/>
      <c r="AV488" s="453"/>
      <c r="AW488" s="453"/>
      <c r="AX488" s="453"/>
      <c r="AY488" s="453"/>
      <c r="AZ488" s="452">
        <v>41101</v>
      </c>
      <c r="BA488" s="393"/>
      <c r="BB488" s="393"/>
      <c r="BC488" s="393" t="b">
        <v>0</v>
      </c>
      <c r="BD488" s="393"/>
      <c r="BE488" s="392"/>
      <c r="BF488" s="394">
        <v>1</v>
      </c>
      <c r="BG488" s="394">
        <v>6</v>
      </c>
      <c r="BH488" s="394">
        <v>4</v>
      </c>
      <c r="BI488" s="394">
        <v>8</v>
      </c>
      <c r="BJ488" s="394">
        <v>5</v>
      </c>
      <c r="BK488" s="394">
        <v>9</v>
      </c>
      <c r="BL488" s="444" t="s">
        <v>1451</v>
      </c>
      <c r="BM488" s="392"/>
      <c r="BN488" s="393"/>
      <c r="BO488" s="393"/>
      <c r="BP488" s="399"/>
      <c r="BQ488" s="400"/>
      <c r="BR488" s="401"/>
      <c r="BS488" s="399"/>
      <c r="BT488" s="394"/>
      <c r="BU488" s="417"/>
      <c r="BV488" s="399"/>
      <c r="BW488" s="393" t="s">
        <v>3117</v>
      </c>
      <c r="BX488" s="392" t="s">
        <v>4364</v>
      </c>
      <c r="BY488" s="393" t="s">
        <v>7224</v>
      </c>
      <c r="BZ488" s="475" t="s">
        <v>3165</v>
      </c>
      <c r="CA488" s="441"/>
      <c r="CB488" s="400"/>
      <c r="CC488" s="398"/>
      <c r="CD488" s="398"/>
      <c r="CE488" s="398"/>
      <c r="CF488" s="398"/>
      <c r="CG488" s="398">
        <v>2.7090000000000001</v>
      </c>
      <c r="CH488" s="398">
        <v>11.627000000000001</v>
      </c>
      <c r="CI488" s="398">
        <v>11.627000000000001</v>
      </c>
      <c r="CJ488" s="398">
        <v>11.627000000000001</v>
      </c>
      <c r="CK488" s="398">
        <v>11.627000000000001</v>
      </c>
      <c r="CL488" s="398">
        <v>11.627000000000001</v>
      </c>
      <c r="CM488" s="398">
        <v>11.627000000000001</v>
      </c>
      <c r="CN488" s="398">
        <v>11.627000000000001</v>
      </c>
      <c r="CO488" s="398">
        <v>11.627000000000001</v>
      </c>
      <c r="CP488" s="398">
        <v>11.627000000000001</v>
      </c>
      <c r="CQ488" s="398">
        <v>11.627000000000001</v>
      </c>
      <c r="CR488" s="398">
        <v>6.2110000000000003</v>
      </c>
      <c r="CS488" s="398"/>
      <c r="CT488" s="398"/>
      <c r="CU488" s="398"/>
      <c r="CV488" s="398"/>
      <c r="CW488" s="398"/>
      <c r="CX488" s="398"/>
      <c r="CY488" s="398"/>
      <c r="CZ488" s="398"/>
      <c r="DA488" s="398"/>
      <c r="DB488" s="398"/>
      <c r="DC488" s="398"/>
      <c r="DD488" s="398"/>
      <c r="DE488" s="393"/>
      <c r="DF488" s="393"/>
      <c r="DG488" s="393"/>
      <c r="DH488" s="393"/>
      <c r="DI488" s="393"/>
      <c r="DJ488" s="393"/>
      <c r="DK488" s="897"/>
    </row>
    <row r="489" spans="1:115" ht="25.5" x14ac:dyDescent="0.2">
      <c r="A489" s="295">
        <v>485</v>
      </c>
      <c r="B489" s="390" t="s">
        <v>4913</v>
      </c>
      <c r="C489" s="390"/>
      <c r="D489" s="391" t="s">
        <v>4914</v>
      </c>
      <c r="E489" s="704" t="s">
        <v>4915</v>
      </c>
      <c r="F489" s="393" t="s">
        <v>1375</v>
      </c>
      <c r="G489" s="393" t="s">
        <v>1670</v>
      </c>
      <c r="H489" s="393" t="s">
        <v>1048</v>
      </c>
      <c r="I489" s="392"/>
      <c r="J489" s="392"/>
      <c r="K489" s="392" t="s">
        <v>1048</v>
      </c>
      <c r="L489" s="392" t="s">
        <v>1054</v>
      </c>
      <c r="M489" s="392"/>
      <c r="N489" s="393" t="s">
        <v>44</v>
      </c>
      <c r="O489" s="393" t="s">
        <v>51</v>
      </c>
      <c r="P489" s="393" t="s">
        <v>51</v>
      </c>
      <c r="Q489" s="392" t="s">
        <v>976</v>
      </c>
      <c r="R489" s="392" t="s">
        <v>4010</v>
      </c>
      <c r="S489" s="392" t="s">
        <v>977</v>
      </c>
      <c r="T489" s="394">
        <v>1</v>
      </c>
      <c r="U489" s="395">
        <v>33.659999999999997</v>
      </c>
      <c r="V489" s="395"/>
      <c r="W489" s="453"/>
      <c r="X489" s="394"/>
      <c r="Y489" s="394">
        <v>10</v>
      </c>
      <c r="Z489" s="394">
        <v>13</v>
      </c>
      <c r="AA489" s="395">
        <v>0</v>
      </c>
      <c r="AB489" s="452">
        <v>41426</v>
      </c>
      <c r="AC489" s="398">
        <v>0</v>
      </c>
      <c r="AD489" s="398">
        <v>336.59999999999997</v>
      </c>
      <c r="AE489" s="393" t="s">
        <v>47</v>
      </c>
      <c r="AF489" s="417"/>
      <c r="AG489" s="417">
        <f>3.297+6.336+14.531</f>
        <v>24.164000000000001</v>
      </c>
      <c r="AH489" s="417">
        <v>24.164000000000001</v>
      </c>
      <c r="AI489" s="394">
        <v>1</v>
      </c>
      <c r="AJ489" s="453">
        <v>42873</v>
      </c>
      <c r="AK489" s="452">
        <v>42916</v>
      </c>
      <c r="AL489" s="393"/>
      <c r="AM489" s="393"/>
      <c r="AN489" s="417"/>
      <c r="AO489" s="392"/>
      <c r="AP489" s="392"/>
      <c r="AQ489" s="392"/>
      <c r="AR489" s="392" t="s">
        <v>1055</v>
      </c>
      <c r="AS489" s="480"/>
      <c r="AT489" s="453"/>
      <c r="AU489" s="453"/>
      <c r="AV489" s="453"/>
      <c r="AW489" s="453"/>
      <c r="AX489" s="453"/>
      <c r="AY489" s="453"/>
      <c r="AZ489" s="452">
        <v>41423</v>
      </c>
      <c r="BA489" s="393"/>
      <c r="BB489" s="393"/>
      <c r="BC489" s="393" t="b">
        <v>0</v>
      </c>
      <c r="BD489" s="393"/>
      <c r="BE489" s="392"/>
      <c r="BF489" s="394">
        <v>1</v>
      </c>
      <c r="BG489" s="394">
        <v>6</v>
      </c>
      <c r="BH489" s="394">
        <v>4</v>
      </c>
      <c r="BI489" s="394">
        <v>8</v>
      </c>
      <c r="BJ489" s="394">
        <v>5</v>
      </c>
      <c r="BK489" s="394">
        <v>9</v>
      </c>
      <c r="BL489" s="444" t="s">
        <v>1451</v>
      </c>
      <c r="BM489" s="392"/>
      <c r="BN489" s="393"/>
      <c r="BO489" s="393"/>
      <c r="BP489" s="399"/>
      <c r="BQ489" s="400"/>
      <c r="BR489" s="401"/>
      <c r="BS489" s="399"/>
      <c r="BT489" s="394"/>
      <c r="BU489" s="417"/>
      <c r="BV489" s="399"/>
      <c r="BW489" s="393" t="s">
        <v>3117</v>
      </c>
      <c r="BX489" s="392" t="s">
        <v>4364</v>
      </c>
      <c r="BY489" s="393" t="s">
        <v>7224</v>
      </c>
      <c r="BZ489" s="393"/>
      <c r="CA489" s="441"/>
      <c r="CB489" s="400"/>
      <c r="CC489" s="398"/>
      <c r="CD489" s="398"/>
      <c r="CE489" s="398"/>
      <c r="CF489" s="398"/>
      <c r="CG489" s="398"/>
      <c r="CH489" s="398"/>
      <c r="CI489" s="398">
        <v>4.8</v>
      </c>
      <c r="CJ489" s="398">
        <v>9.6</v>
      </c>
      <c r="CK489" s="398">
        <v>9.6</v>
      </c>
      <c r="CL489" s="398">
        <v>9.6</v>
      </c>
      <c r="CM489" s="398">
        <v>9.6</v>
      </c>
      <c r="CN489" s="398">
        <v>9.6</v>
      </c>
      <c r="CO489" s="398">
        <v>9.6</v>
      </c>
      <c r="CP489" s="398">
        <v>9.6</v>
      </c>
      <c r="CQ489" s="398">
        <v>9.6</v>
      </c>
      <c r="CR489" s="398">
        <v>9.6</v>
      </c>
      <c r="CS489" s="398"/>
      <c r="CT489" s="398"/>
      <c r="CU489" s="398"/>
      <c r="CV489" s="398"/>
      <c r="CW489" s="398"/>
      <c r="CX489" s="398"/>
      <c r="CY489" s="398"/>
      <c r="CZ489" s="398"/>
      <c r="DA489" s="398"/>
      <c r="DB489" s="398"/>
      <c r="DC489" s="398"/>
      <c r="DD489" s="398"/>
      <c r="DE489" s="393"/>
      <c r="DF489" s="393"/>
      <c r="DG489" s="393"/>
      <c r="DH489" s="393"/>
      <c r="DI489" s="393"/>
      <c r="DJ489" s="393"/>
      <c r="DK489" s="897"/>
    </row>
    <row r="490" spans="1:115" ht="25.5" x14ac:dyDescent="0.2">
      <c r="A490" s="295">
        <v>486</v>
      </c>
      <c r="B490" s="390" t="s">
        <v>4916</v>
      </c>
      <c r="C490" s="390"/>
      <c r="D490" s="391" t="s">
        <v>4917</v>
      </c>
      <c r="E490" s="704" t="s">
        <v>4918</v>
      </c>
      <c r="F490" s="393" t="s">
        <v>1375</v>
      </c>
      <c r="G490" s="393" t="s">
        <v>1670</v>
      </c>
      <c r="H490" s="393" t="s">
        <v>1048</v>
      </c>
      <c r="I490" s="392"/>
      <c r="J490" s="392"/>
      <c r="K490" s="392" t="s">
        <v>1048</v>
      </c>
      <c r="L490" s="392" t="s">
        <v>1054</v>
      </c>
      <c r="M490" s="392"/>
      <c r="N490" s="393" t="s">
        <v>44</v>
      </c>
      <c r="O490" s="393" t="s">
        <v>51</v>
      </c>
      <c r="P490" s="393" t="s">
        <v>51</v>
      </c>
      <c r="Q490" s="392" t="s">
        <v>976</v>
      </c>
      <c r="R490" s="392" t="s">
        <v>4010</v>
      </c>
      <c r="S490" s="392" t="s">
        <v>977</v>
      </c>
      <c r="T490" s="394">
        <v>1</v>
      </c>
      <c r="U490" s="395">
        <v>33.856000000000002</v>
      </c>
      <c r="V490" s="395"/>
      <c r="W490" s="453"/>
      <c r="X490" s="394"/>
      <c r="Y490" s="394">
        <v>10</v>
      </c>
      <c r="Z490" s="394">
        <v>13</v>
      </c>
      <c r="AA490" s="395">
        <v>0</v>
      </c>
      <c r="AB490" s="452">
        <v>41426</v>
      </c>
      <c r="AC490" s="398">
        <v>0</v>
      </c>
      <c r="AD490" s="398">
        <v>338.56</v>
      </c>
      <c r="AE490" s="393" t="s">
        <v>47</v>
      </c>
      <c r="AF490" s="417"/>
      <c r="AG490" s="417"/>
      <c r="AH490" s="417"/>
      <c r="AI490" s="394"/>
      <c r="AJ490" s="453"/>
      <c r="AK490" s="452"/>
      <c r="AL490" s="393"/>
      <c r="AM490" s="393"/>
      <c r="AN490" s="417"/>
      <c r="AO490" s="392"/>
      <c r="AP490" s="392"/>
      <c r="AQ490" s="392"/>
      <c r="AR490" s="392" t="s">
        <v>1055</v>
      </c>
      <c r="AS490" s="480"/>
      <c r="AT490" s="453"/>
      <c r="AU490" s="453"/>
      <c r="AV490" s="453"/>
      <c r="AW490" s="453"/>
      <c r="AX490" s="453"/>
      <c r="AY490" s="453"/>
      <c r="AZ490" s="452">
        <v>41423</v>
      </c>
      <c r="BA490" s="393"/>
      <c r="BB490" s="393"/>
      <c r="BC490" s="393" t="b">
        <v>0</v>
      </c>
      <c r="BD490" s="393"/>
      <c r="BE490" s="392"/>
      <c r="BF490" s="394">
        <v>1</v>
      </c>
      <c r="BG490" s="394">
        <v>6</v>
      </c>
      <c r="BH490" s="394">
        <v>4</v>
      </c>
      <c r="BI490" s="394">
        <v>8</v>
      </c>
      <c r="BJ490" s="394">
        <v>5</v>
      </c>
      <c r="BK490" s="394">
        <v>9</v>
      </c>
      <c r="BL490" s="444" t="s">
        <v>1451</v>
      </c>
      <c r="BM490" s="392"/>
      <c r="BN490" s="393"/>
      <c r="BO490" s="393"/>
      <c r="BP490" s="399"/>
      <c r="BQ490" s="400"/>
      <c r="BR490" s="401"/>
      <c r="BS490" s="399"/>
      <c r="BT490" s="394"/>
      <c r="BU490" s="417"/>
      <c r="BV490" s="399"/>
      <c r="BW490" s="393" t="s">
        <v>3117</v>
      </c>
      <c r="BX490" s="392" t="s">
        <v>4364</v>
      </c>
      <c r="BY490" s="393" t="s">
        <v>7224</v>
      </c>
      <c r="BZ490" s="393"/>
      <c r="CA490" s="441"/>
      <c r="CB490" s="400"/>
      <c r="CC490" s="398"/>
      <c r="CD490" s="398"/>
      <c r="CE490" s="398"/>
      <c r="CF490" s="398"/>
      <c r="CG490" s="398"/>
      <c r="CH490" s="398"/>
      <c r="CI490" s="398">
        <v>5.625</v>
      </c>
      <c r="CJ490" s="398">
        <v>11.25</v>
      </c>
      <c r="CK490" s="398">
        <v>11.25</v>
      </c>
      <c r="CL490" s="398">
        <v>11.25</v>
      </c>
      <c r="CM490" s="398">
        <v>11.25</v>
      </c>
      <c r="CN490" s="398">
        <v>11.25</v>
      </c>
      <c r="CO490" s="398">
        <v>11.25</v>
      </c>
      <c r="CP490" s="398">
        <v>11.25</v>
      </c>
      <c r="CQ490" s="398">
        <v>11.25</v>
      </c>
      <c r="CR490" s="398">
        <v>11.25</v>
      </c>
      <c r="CS490" s="398">
        <v>11.25</v>
      </c>
      <c r="CT490" s="398"/>
      <c r="CU490" s="398"/>
      <c r="CV490" s="398"/>
      <c r="CW490" s="398"/>
      <c r="CX490" s="398"/>
      <c r="CY490" s="398"/>
      <c r="CZ490" s="398"/>
      <c r="DA490" s="398"/>
      <c r="DB490" s="398"/>
      <c r="DC490" s="398"/>
      <c r="DD490" s="398"/>
      <c r="DE490" s="393"/>
      <c r="DF490" s="393"/>
      <c r="DG490" s="393"/>
      <c r="DH490" s="393"/>
      <c r="DI490" s="393"/>
      <c r="DJ490" s="393"/>
      <c r="DK490" s="897"/>
    </row>
    <row r="491" spans="1:115" ht="38.25" x14ac:dyDescent="0.2">
      <c r="A491" s="295">
        <v>487</v>
      </c>
      <c r="B491" s="390" t="s">
        <v>1122</v>
      </c>
      <c r="C491" s="424" t="s">
        <v>7484</v>
      </c>
      <c r="D491" s="391" t="s">
        <v>2110</v>
      </c>
      <c r="E491" s="704" t="s">
        <v>1956</v>
      </c>
      <c r="F491" s="393" t="s">
        <v>1352</v>
      </c>
      <c r="G491" s="393" t="s">
        <v>1672</v>
      </c>
      <c r="H491" s="393" t="s">
        <v>684</v>
      </c>
      <c r="I491" s="392"/>
      <c r="J491" s="392" t="s">
        <v>684</v>
      </c>
      <c r="K491" s="392"/>
      <c r="L491" s="392" t="s">
        <v>254</v>
      </c>
      <c r="M491" s="392" t="s">
        <v>4011</v>
      </c>
      <c r="N491" s="393" t="s">
        <v>44</v>
      </c>
      <c r="O491" s="393" t="s">
        <v>69</v>
      </c>
      <c r="P491" s="393" t="s">
        <v>69</v>
      </c>
      <c r="Q491" s="392" t="s">
        <v>690</v>
      </c>
      <c r="R491" s="392"/>
      <c r="S491" s="392" t="s">
        <v>691</v>
      </c>
      <c r="T491" s="394">
        <v>6</v>
      </c>
      <c r="U491" s="395">
        <v>253.233</v>
      </c>
      <c r="V491" s="395"/>
      <c r="W491" s="452">
        <v>40870</v>
      </c>
      <c r="X491" s="394">
        <v>28</v>
      </c>
      <c r="Y491" s="394"/>
      <c r="Z491" s="394"/>
      <c r="AA491" s="395"/>
      <c r="AB491" s="453"/>
      <c r="AC491" s="398">
        <v>75.968000000000004</v>
      </c>
      <c r="AD491" s="398">
        <v>2532.33</v>
      </c>
      <c r="AE491" s="393" t="s">
        <v>72</v>
      </c>
      <c r="AF491" s="417"/>
      <c r="AG491" s="417"/>
      <c r="AH491" s="417">
        <v>0</v>
      </c>
      <c r="AI491" s="394"/>
      <c r="AJ491" s="453"/>
      <c r="AK491" s="453"/>
      <c r="AL491" s="393"/>
      <c r="AM491" s="393"/>
      <c r="AN491" s="417"/>
      <c r="AO491" s="392"/>
      <c r="AP491" s="392" t="s">
        <v>7061</v>
      </c>
      <c r="AQ491" s="392"/>
      <c r="AR491" s="392" t="s">
        <v>254</v>
      </c>
      <c r="AS491" s="479">
        <v>40505</v>
      </c>
      <c r="AT491" s="453"/>
      <c r="AU491" s="453"/>
      <c r="AV491" s="452">
        <v>40661</v>
      </c>
      <c r="AW491" s="452">
        <v>40870</v>
      </c>
      <c r="AX491" s="453"/>
      <c r="AY491" s="452">
        <v>40870</v>
      </c>
      <c r="AZ491" s="453"/>
      <c r="BA491" s="393"/>
      <c r="BB491" s="393" t="s">
        <v>3147</v>
      </c>
      <c r="BC491" s="393" t="b">
        <v>0</v>
      </c>
      <c r="BD491" s="393" t="s">
        <v>3147</v>
      </c>
      <c r="BE491" s="392"/>
      <c r="BF491" s="394">
        <v>1</v>
      </c>
      <c r="BG491" s="394">
        <v>3</v>
      </c>
      <c r="BH491" s="394">
        <v>5</v>
      </c>
      <c r="BI491" s="394">
        <v>11</v>
      </c>
      <c r="BJ491" s="394">
        <v>7</v>
      </c>
      <c r="BK491" s="394">
        <v>8</v>
      </c>
      <c r="BL491" s="444"/>
      <c r="BM491" s="392"/>
      <c r="BN491" s="393"/>
      <c r="BO491" s="393"/>
      <c r="BP491" s="399"/>
      <c r="BQ491" s="400"/>
      <c r="BR491" s="401"/>
      <c r="BS491" s="399">
        <v>5</v>
      </c>
      <c r="BT491" s="394"/>
      <c r="BU491" s="417"/>
      <c r="BV491" s="399"/>
      <c r="BW491" s="393"/>
      <c r="BX491" s="392"/>
      <c r="BY491" s="393"/>
      <c r="BZ491" s="393"/>
      <c r="CA491" s="441"/>
      <c r="CB491" s="400"/>
      <c r="CC491" s="398"/>
      <c r="CD491" s="398"/>
      <c r="CE491" s="398"/>
      <c r="CF491" s="398"/>
      <c r="CG491" s="398"/>
      <c r="CH491" s="398"/>
      <c r="CI491" s="398"/>
      <c r="CJ491" s="398"/>
      <c r="CK491" s="398"/>
      <c r="CL491" s="398"/>
      <c r="CM491" s="398"/>
      <c r="CN491" s="398"/>
      <c r="CO491" s="398"/>
      <c r="CP491" s="398"/>
      <c r="CQ491" s="398"/>
      <c r="CR491" s="398"/>
      <c r="CS491" s="398"/>
      <c r="CT491" s="398"/>
      <c r="CU491" s="398"/>
      <c r="CV491" s="398"/>
      <c r="CW491" s="398"/>
      <c r="CX491" s="398"/>
      <c r="CY491" s="398"/>
      <c r="CZ491" s="398"/>
      <c r="DA491" s="398"/>
      <c r="DB491" s="398"/>
      <c r="DC491" s="398"/>
      <c r="DD491" s="398"/>
      <c r="DE491" s="393"/>
      <c r="DF491" s="393"/>
      <c r="DG491" s="393"/>
      <c r="DH491" s="393"/>
      <c r="DI491" s="393"/>
      <c r="DJ491" s="393"/>
      <c r="DK491" s="896" t="s">
        <v>9710</v>
      </c>
    </row>
    <row r="492" spans="1:115" ht="38.25" x14ac:dyDescent="0.2">
      <c r="A492" s="295">
        <v>488</v>
      </c>
      <c r="B492" s="390" t="s">
        <v>2651</v>
      </c>
      <c r="C492" s="390"/>
      <c r="D492" s="391" t="s">
        <v>1509</v>
      </c>
      <c r="E492" s="704" t="s">
        <v>1123</v>
      </c>
      <c r="F492" s="393" t="s">
        <v>1352</v>
      </c>
      <c r="G492" s="393" t="s">
        <v>1672</v>
      </c>
      <c r="H492" s="393" t="s">
        <v>684</v>
      </c>
      <c r="I492" s="392"/>
      <c r="J492" s="392"/>
      <c r="K492" s="392" t="s">
        <v>1967</v>
      </c>
      <c r="L492" s="392" t="s">
        <v>254</v>
      </c>
      <c r="M492" s="392"/>
      <c r="N492" s="393" t="s">
        <v>44</v>
      </c>
      <c r="O492" s="393" t="s">
        <v>69</v>
      </c>
      <c r="P492" s="393" t="s">
        <v>69</v>
      </c>
      <c r="Q492" s="392" t="s">
        <v>690</v>
      </c>
      <c r="R492" s="392" t="s">
        <v>4012</v>
      </c>
      <c r="S492" s="392" t="s">
        <v>691</v>
      </c>
      <c r="T492" s="394">
        <v>1</v>
      </c>
      <c r="U492" s="395">
        <v>38.139000000000003</v>
      </c>
      <c r="V492" s="395"/>
      <c r="W492" s="453"/>
      <c r="X492" s="394"/>
      <c r="Y492" s="394">
        <v>10</v>
      </c>
      <c r="Z492" s="394">
        <v>30</v>
      </c>
      <c r="AA492" s="395">
        <v>0</v>
      </c>
      <c r="AB492" s="452">
        <v>40544</v>
      </c>
      <c r="AC492" s="398">
        <v>75.968000000000004</v>
      </c>
      <c r="AD492" s="398">
        <v>381.39000000000004</v>
      </c>
      <c r="AE492" s="393" t="s">
        <v>72</v>
      </c>
      <c r="AF492" s="417"/>
      <c r="AG492" s="417"/>
      <c r="AH492" s="417"/>
      <c r="AI492" s="394"/>
      <c r="AJ492" s="453"/>
      <c r="AK492" s="453"/>
      <c r="AL492" s="393"/>
      <c r="AM492" s="393"/>
      <c r="AN492" s="417"/>
      <c r="AO492" s="392"/>
      <c r="AP492" s="392" t="s">
        <v>7061</v>
      </c>
      <c r="AQ492" s="392"/>
      <c r="AR492" s="392" t="s">
        <v>254</v>
      </c>
      <c r="AS492" s="479">
        <v>40505</v>
      </c>
      <c r="AT492" s="453"/>
      <c r="AU492" s="453"/>
      <c r="AV492" s="453"/>
      <c r="AW492" s="453"/>
      <c r="AX492" s="453"/>
      <c r="AY492" s="453"/>
      <c r="AZ492" s="452">
        <v>40870</v>
      </c>
      <c r="BA492" s="393"/>
      <c r="BB492" s="393"/>
      <c r="BC492" s="393" t="b">
        <v>0</v>
      </c>
      <c r="BD492" s="393"/>
      <c r="BE492" s="392"/>
      <c r="BF492" s="394">
        <v>1</v>
      </c>
      <c r="BG492" s="394">
        <v>3</v>
      </c>
      <c r="BH492" s="394">
        <v>5</v>
      </c>
      <c r="BI492" s="394">
        <v>11</v>
      </c>
      <c r="BJ492" s="394">
        <v>7</v>
      </c>
      <c r="BK492" s="394">
        <v>8</v>
      </c>
      <c r="BL492" s="444" t="s">
        <v>6985</v>
      </c>
      <c r="BM492" s="392"/>
      <c r="BN492" s="393"/>
      <c r="BO492" s="393"/>
      <c r="BP492" s="399"/>
      <c r="BQ492" s="400"/>
      <c r="BR492" s="401"/>
      <c r="BS492" s="399">
        <v>1</v>
      </c>
      <c r="BT492" s="394"/>
      <c r="BU492" s="417"/>
      <c r="BV492" s="399"/>
      <c r="BW492" s="393" t="s">
        <v>3117</v>
      </c>
      <c r="BX492" s="392" t="s">
        <v>3199</v>
      </c>
      <c r="BY492" s="393"/>
      <c r="BZ492" s="393"/>
      <c r="CA492" s="441" t="s">
        <v>1662</v>
      </c>
      <c r="CB492" s="400">
        <v>3</v>
      </c>
      <c r="CC492" s="398"/>
      <c r="CD492" s="398"/>
      <c r="CE492" s="398"/>
      <c r="CF492" s="398"/>
      <c r="CG492" s="398"/>
      <c r="CH492" s="398">
        <v>38.139000000000003</v>
      </c>
      <c r="CI492" s="398">
        <v>38.139000000000003</v>
      </c>
      <c r="CJ492" s="398">
        <v>38.139000000000003</v>
      </c>
      <c r="CK492" s="398">
        <v>38.139000000000003</v>
      </c>
      <c r="CL492" s="398">
        <v>38.139000000000003</v>
      </c>
      <c r="CM492" s="398">
        <v>38.139000000000003</v>
      </c>
      <c r="CN492" s="398">
        <v>38.139000000000003</v>
      </c>
      <c r="CO492" s="398">
        <v>38.139000000000003</v>
      </c>
      <c r="CP492" s="398">
        <v>38.139000000000003</v>
      </c>
      <c r="CQ492" s="398">
        <v>38.139000000000003</v>
      </c>
      <c r="CR492" s="398"/>
      <c r="CS492" s="398"/>
      <c r="CT492" s="398"/>
      <c r="CU492" s="398"/>
      <c r="CV492" s="398"/>
      <c r="CW492" s="398"/>
      <c r="CX492" s="398"/>
      <c r="CY492" s="398"/>
      <c r="CZ492" s="398"/>
      <c r="DA492" s="398"/>
      <c r="DB492" s="398"/>
      <c r="DC492" s="398"/>
      <c r="DD492" s="398"/>
      <c r="DE492" s="393"/>
      <c r="DF492" s="393"/>
      <c r="DG492" s="393"/>
      <c r="DH492" s="393"/>
      <c r="DI492" s="393"/>
      <c r="DJ492" s="393"/>
      <c r="DK492" s="897"/>
    </row>
    <row r="493" spans="1:115" ht="25.5" x14ac:dyDescent="0.2">
      <c r="A493" s="295">
        <v>489</v>
      </c>
      <c r="B493" s="390" t="s">
        <v>2652</v>
      </c>
      <c r="C493" s="390"/>
      <c r="D493" s="391" t="s">
        <v>2104</v>
      </c>
      <c r="E493" s="704" t="s">
        <v>1957</v>
      </c>
      <c r="F493" s="393" t="s">
        <v>1352</v>
      </c>
      <c r="G493" s="393" t="s">
        <v>1672</v>
      </c>
      <c r="H493" s="393" t="s">
        <v>684</v>
      </c>
      <c r="I493" s="392"/>
      <c r="J493" s="392"/>
      <c r="K493" s="392" t="s">
        <v>1958</v>
      </c>
      <c r="L493" s="392" t="s">
        <v>254</v>
      </c>
      <c r="M493" s="392"/>
      <c r="N493" s="393" t="s">
        <v>44</v>
      </c>
      <c r="O493" s="393" t="s">
        <v>69</v>
      </c>
      <c r="P493" s="393" t="s">
        <v>69</v>
      </c>
      <c r="Q493" s="392" t="s">
        <v>690</v>
      </c>
      <c r="R493" s="392" t="s">
        <v>3145</v>
      </c>
      <c r="S493" s="392" t="s">
        <v>691</v>
      </c>
      <c r="T493" s="394">
        <v>1</v>
      </c>
      <c r="U493" s="395">
        <v>41.034999999999997</v>
      </c>
      <c r="V493" s="395"/>
      <c r="W493" s="453"/>
      <c r="X493" s="394"/>
      <c r="Y493" s="394">
        <v>10</v>
      </c>
      <c r="Z493" s="394">
        <v>30</v>
      </c>
      <c r="AA493" s="395">
        <v>0</v>
      </c>
      <c r="AB493" s="452">
        <v>41306</v>
      </c>
      <c r="AC493" s="398">
        <v>0</v>
      </c>
      <c r="AD493" s="398">
        <v>410.34999999999997</v>
      </c>
      <c r="AE493" s="393" t="s">
        <v>72</v>
      </c>
      <c r="AF493" s="417"/>
      <c r="AG493" s="417"/>
      <c r="AH493" s="417"/>
      <c r="AI493" s="394"/>
      <c r="AJ493" s="453"/>
      <c r="AK493" s="453"/>
      <c r="AL493" s="393"/>
      <c r="AM493" s="393"/>
      <c r="AN493" s="417"/>
      <c r="AO493" s="392"/>
      <c r="AP493" s="392"/>
      <c r="AQ493" s="392"/>
      <c r="AR493" s="392" t="s">
        <v>254</v>
      </c>
      <c r="AS493" s="480"/>
      <c r="AT493" s="453"/>
      <c r="AU493" s="453"/>
      <c r="AV493" s="453"/>
      <c r="AW493" s="453"/>
      <c r="AX493" s="453"/>
      <c r="AY493" s="453"/>
      <c r="AZ493" s="452">
        <v>41031</v>
      </c>
      <c r="BA493" s="393"/>
      <c r="BB493" s="393"/>
      <c r="BC493" s="393" t="b">
        <v>0</v>
      </c>
      <c r="BD493" s="393"/>
      <c r="BE493" s="392"/>
      <c r="BF493" s="394">
        <v>1</v>
      </c>
      <c r="BG493" s="394">
        <v>3</v>
      </c>
      <c r="BH493" s="394">
        <v>5</v>
      </c>
      <c r="BI493" s="394">
        <v>11</v>
      </c>
      <c r="BJ493" s="394">
        <v>9</v>
      </c>
      <c r="BK493" s="394">
        <v>8</v>
      </c>
      <c r="BL493" s="444" t="s">
        <v>6985</v>
      </c>
      <c r="BM493" s="392"/>
      <c r="BN493" s="393"/>
      <c r="BO493" s="393"/>
      <c r="BP493" s="399"/>
      <c r="BQ493" s="400"/>
      <c r="BR493" s="401"/>
      <c r="BS493" s="399"/>
      <c r="BT493" s="394"/>
      <c r="BU493" s="417">
        <v>0.67290000000000005</v>
      </c>
      <c r="BV493" s="399"/>
      <c r="BW493" s="393" t="s">
        <v>3117</v>
      </c>
      <c r="BX493" s="392" t="s">
        <v>1447</v>
      </c>
      <c r="BY493" s="393"/>
      <c r="BZ493" s="393"/>
      <c r="CA493" s="441" t="s">
        <v>1664</v>
      </c>
      <c r="CB493" s="400">
        <v>3</v>
      </c>
      <c r="CC493" s="398"/>
      <c r="CD493" s="398"/>
      <c r="CE493" s="398"/>
      <c r="CF493" s="398"/>
      <c r="CG493" s="398"/>
      <c r="CH493" s="398"/>
      <c r="CI493" s="398">
        <v>41.034999999999997</v>
      </c>
      <c r="CJ493" s="398">
        <v>41.034999999999997</v>
      </c>
      <c r="CK493" s="398">
        <v>41.034999999999997</v>
      </c>
      <c r="CL493" s="398">
        <v>41.034999999999997</v>
      </c>
      <c r="CM493" s="398">
        <v>41.034999999999997</v>
      </c>
      <c r="CN493" s="398">
        <v>41.034999999999997</v>
      </c>
      <c r="CO493" s="398">
        <v>41.034999999999997</v>
      </c>
      <c r="CP493" s="398">
        <v>41.034999999999997</v>
      </c>
      <c r="CQ493" s="398">
        <v>41.034999999999997</v>
      </c>
      <c r="CR493" s="398">
        <v>41.034999999999997</v>
      </c>
      <c r="CS493" s="398"/>
      <c r="CT493" s="398"/>
      <c r="CU493" s="398"/>
      <c r="CV493" s="398"/>
      <c r="CW493" s="398"/>
      <c r="CX493" s="398"/>
      <c r="CY493" s="398"/>
      <c r="CZ493" s="398"/>
      <c r="DA493" s="398"/>
      <c r="DB493" s="398"/>
      <c r="DC493" s="398"/>
      <c r="DD493" s="398"/>
      <c r="DE493" s="393"/>
      <c r="DF493" s="393"/>
      <c r="DG493" s="393"/>
      <c r="DH493" s="393"/>
      <c r="DI493" s="393"/>
      <c r="DJ493" s="393"/>
      <c r="DK493" s="897"/>
    </row>
    <row r="494" spans="1:115" ht="25.5" x14ac:dyDescent="0.2">
      <c r="A494" s="295">
        <v>490</v>
      </c>
      <c r="B494" s="390" t="s">
        <v>2653</v>
      </c>
      <c r="C494" s="390"/>
      <c r="D494" s="391" t="s">
        <v>2108</v>
      </c>
      <c r="E494" s="704" t="s">
        <v>1965</v>
      </c>
      <c r="F494" s="393" t="s">
        <v>1352</v>
      </c>
      <c r="G494" s="393" t="s">
        <v>1672</v>
      </c>
      <c r="H494" s="393" t="s">
        <v>684</v>
      </c>
      <c r="I494" s="392"/>
      <c r="J494" s="392"/>
      <c r="K494" s="392" t="s">
        <v>1966</v>
      </c>
      <c r="L494" s="392" t="s">
        <v>254</v>
      </c>
      <c r="M494" s="392"/>
      <c r="N494" s="393" t="s">
        <v>44</v>
      </c>
      <c r="O494" s="393" t="s">
        <v>69</v>
      </c>
      <c r="P494" s="393" t="s">
        <v>69</v>
      </c>
      <c r="Q494" s="392" t="s">
        <v>690</v>
      </c>
      <c r="R494" s="392" t="s">
        <v>4012</v>
      </c>
      <c r="S494" s="392" t="s">
        <v>691</v>
      </c>
      <c r="T494" s="394">
        <v>1</v>
      </c>
      <c r="U494" s="395">
        <v>52.225999999999999</v>
      </c>
      <c r="V494" s="395"/>
      <c r="W494" s="453"/>
      <c r="X494" s="394"/>
      <c r="Y494" s="394">
        <v>10</v>
      </c>
      <c r="Z494" s="394">
        <v>30</v>
      </c>
      <c r="AA494" s="395">
        <v>0</v>
      </c>
      <c r="AB494" s="452">
        <v>41306</v>
      </c>
      <c r="AC494" s="398">
        <v>0</v>
      </c>
      <c r="AD494" s="398">
        <v>522.26</v>
      </c>
      <c r="AE494" s="393" t="s">
        <v>72</v>
      </c>
      <c r="AF494" s="417"/>
      <c r="AG494" s="417"/>
      <c r="AH494" s="417"/>
      <c r="AI494" s="394"/>
      <c r="AJ494" s="453"/>
      <c r="AK494" s="453"/>
      <c r="AL494" s="393"/>
      <c r="AM494" s="393"/>
      <c r="AN494" s="417"/>
      <c r="AO494" s="392"/>
      <c r="AP494" s="392"/>
      <c r="AQ494" s="392"/>
      <c r="AR494" s="392" t="s">
        <v>254</v>
      </c>
      <c r="AS494" s="480"/>
      <c r="AT494" s="453"/>
      <c r="AU494" s="453"/>
      <c r="AV494" s="453"/>
      <c r="AW494" s="453"/>
      <c r="AX494" s="453"/>
      <c r="AY494" s="453"/>
      <c r="AZ494" s="452">
        <v>41031</v>
      </c>
      <c r="BA494" s="393"/>
      <c r="BB494" s="393"/>
      <c r="BC494" s="393" t="b">
        <v>0</v>
      </c>
      <c r="BD494" s="393"/>
      <c r="BE494" s="392"/>
      <c r="BF494" s="394">
        <v>1</v>
      </c>
      <c r="BG494" s="394">
        <v>3</v>
      </c>
      <c r="BH494" s="394">
        <v>5</v>
      </c>
      <c r="BI494" s="394">
        <v>11</v>
      </c>
      <c r="BJ494" s="394">
        <v>7</v>
      </c>
      <c r="BK494" s="394">
        <v>8</v>
      </c>
      <c r="BL494" s="444" t="s">
        <v>6985</v>
      </c>
      <c r="BM494" s="392"/>
      <c r="BN494" s="393"/>
      <c r="BO494" s="393"/>
      <c r="BP494" s="399"/>
      <c r="BQ494" s="400"/>
      <c r="BR494" s="401"/>
      <c r="BS494" s="399">
        <v>2</v>
      </c>
      <c r="BT494" s="394">
        <v>2960</v>
      </c>
      <c r="BU494" s="417">
        <v>0.8</v>
      </c>
      <c r="BV494" s="399"/>
      <c r="BW494" s="393" t="s">
        <v>3117</v>
      </c>
      <c r="BX494" s="392" t="s">
        <v>1447</v>
      </c>
      <c r="BY494" s="393"/>
      <c r="BZ494" s="393"/>
      <c r="CA494" s="441" t="s">
        <v>1662</v>
      </c>
      <c r="CB494" s="400">
        <v>3</v>
      </c>
      <c r="CC494" s="398"/>
      <c r="CD494" s="398"/>
      <c r="CE494" s="398"/>
      <c r="CF494" s="398"/>
      <c r="CG494" s="398"/>
      <c r="CH494" s="398"/>
      <c r="CI494" s="398">
        <v>52.225999999999999</v>
      </c>
      <c r="CJ494" s="398">
        <v>52.225999999999999</v>
      </c>
      <c r="CK494" s="398">
        <v>52.225999999999999</v>
      </c>
      <c r="CL494" s="398">
        <v>52.225999999999999</v>
      </c>
      <c r="CM494" s="398">
        <v>52.225999999999999</v>
      </c>
      <c r="CN494" s="398">
        <v>52.225999999999999</v>
      </c>
      <c r="CO494" s="398">
        <v>52.225999999999999</v>
      </c>
      <c r="CP494" s="398">
        <v>52.225999999999999</v>
      </c>
      <c r="CQ494" s="398">
        <v>52.225999999999999</v>
      </c>
      <c r="CR494" s="398">
        <v>52.225999999999999</v>
      </c>
      <c r="CS494" s="398"/>
      <c r="CT494" s="398"/>
      <c r="CU494" s="398"/>
      <c r="CV494" s="398"/>
      <c r="CW494" s="398"/>
      <c r="CX494" s="398"/>
      <c r="CY494" s="398"/>
      <c r="CZ494" s="398"/>
      <c r="DA494" s="398"/>
      <c r="DB494" s="398"/>
      <c r="DC494" s="398"/>
      <c r="DD494" s="398"/>
      <c r="DE494" s="393"/>
      <c r="DF494" s="393"/>
      <c r="DG494" s="393"/>
      <c r="DH494" s="393"/>
      <c r="DI494" s="393"/>
      <c r="DJ494" s="393"/>
      <c r="DK494" s="897"/>
    </row>
    <row r="495" spans="1:115" ht="25.5" x14ac:dyDescent="0.2">
      <c r="A495" s="295">
        <v>491</v>
      </c>
      <c r="B495" s="390" t="s">
        <v>2654</v>
      </c>
      <c r="C495" s="390"/>
      <c r="D495" s="391" t="s">
        <v>2107</v>
      </c>
      <c r="E495" s="704" t="s">
        <v>1963</v>
      </c>
      <c r="F495" s="393" t="s">
        <v>1352</v>
      </c>
      <c r="G495" s="393" t="s">
        <v>1672</v>
      </c>
      <c r="H495" s="393" t="s">
        <v>684</v>
      </c>
      <c r="I495" s="392"/>
      <c r="J495" s="392"/>
      <c r="K495" s="392" t="s">
        <v>1964</v>
      </c>
      <c r="L495" s="392" t="s">
        <v>254</v>
      </c>
      <c r="M495" s="392"/>
      <c r="N495" s="393" t="s">
        <v>44</v>
      </c>
      <c r="O495" s="393" t="s">
        <v>69</v>
      </c>
      <c r="P495" s="393" t="s">
        <v>69</v>
      </c>
      <c r="Q495" s="392" t="s">
        <v>690</v>
      </c>
      <c r="R495" s="392" t="s">
        <v>3145</v>
      </c>
      <c r="S495" s="392" t="s">
        <v>691</v>
      </c>
      <c r="T495" s="394">
        <v>1</v>
      </c>
      <c r="U495" s="395">
        <v>23.576000000000001</v>
      </c>
      <c r="V495" s="395"/>
      <c r="W495" s="453"/>
      <c r="X495" s="394"/>
      <c r="Y495" s="394">
        <v>10</v>
      </c>
      <c r="Z495" s="394">
        <v>30</v>
      </c>
      <c r="AA495" s="395">
        <v>0</v>
      </c>
      <c r="AB495" s="452">
        <v>41306</v>
      </c>
      <c r="AC495" s="398">
        <v>0</v>
      </c>
      <c r="AD495" s="398">
        <v>235.76</v>
      </c>
      <c r="AE495" s="393" t="s">
        <v>72</v>
      </c>
      <c r="AF495" s="417"/>
      <c r="AG495" s="417"/>
      <c r="AH495" s="417"/>
      <c r="AI495" s="394"/>
      <c r="AJ495" s="453"/>
      <c r="AK495" s="453"/>
      <c r="AL495" s="393"/>
      <c r="AM495" s="393"/>
      <c r="AN495" s="417"/>
      <c r="AO495" s="392"/>
      <c r="AP495" s="392"/>
      <c r="AQ495" s="392"/>
      <c r="AR495" s="392" t="s">
        <v>254</v>
      </c>
      <c r="AS495" s="480"/>
      <c r="AT495" s="453"/>
      <c r="AU495" s="453"/>
      <c r="AV495" s="453"/>
      <c r="AW495" s="453"/>
      <c r="AX495" s="453"/>
      <c r="AY495" s="453"/>
      <c r="AZ495" s="452">
        <v>41031</v>
      </c>
      <c r="BA495" s="393"/>
      <c r="BB495" s="393"/>
      <c r="BC495" s="393" t="b">
        <v>0</v>
      </c>
      <c r="BD495" s="393"/>
      <c r="BE495" s="392"/>
      <c r="BF495" s="394">
        <v>1</v>
      </c>
      <c r="BG495" s="394">
        <v>3</v>
      </c>
      <c r="BH495" s="394">
        <v>5</v>
      </c>
      <c r="BI495" s="394">
        <v>11</v>
      </c>
      <c r="BJ495" s="394">
        <v>7</v>
      </c>
      <c r="BK495" s="394">
        <v>8</v>
      </c>
      <c r="BL495" s="444" t="s">
        <v>6985</v>
      </c>
      <c r="BM495" s="392"/>
      <c r="BN495" s="393"/>
      <c r="BO495" s="393"/>
      <c r="BP495" s="399"/>
      <c r="BQ495" s="400"/>
      <c r="BR495" s="401"/>
      <c r="BS495" s="399">
        <v>1</v>
      </c>
      <c r="BT495" s="394"/>
      <c r="BU495" s="417">
        <v>0.67290000000000005</v>
      </c>
      <c r="BV495" s="399"/>
      <c r="BW495" s="393" t="s">
        <v>3117</v>
      </c>
      <c r="BX495" s="392" t="s">
        <v>1447</v>
      </c>
      <c r="BY495" s="393"/>
      <c r="BZ495" s="393"/>
      <c r="CA495" s="441" t="s">
        <v>1662</v>
      </c>
      <c r="CB495" s="400">
        <v>3</v>
      </c>
      <c r="CC495" s="398"/>
      <c r="CD495" s="398"/>
      <c r="CE495" s="398"/>
      <c r="CF495" s="398"/>
      <c r="CG495" s="398"/>
      <c r="CH495" s="398"/>
      <c r="CI495" s="398">
        <v>23.576000000000001</v>
      </c>
      <c r="CJ495" s="398">
        <v>23.576000000000001</v>
      </c>
      <c r="CK495" s="398">
        <v>23.576000000000001</v>
      </c>
      <c r="CL495" s="398">
        <v>23.576000000000001</v>
      </c>
      <c r="CM495" s="398">
        <v>23.576000000000001</v>
      </c>
      <c r="CN495" s="398">
        <v>23.576000000000001</v>
      </c>
      <c r="CO495" s="398">
        <v>23.576000000000001</v>
      </c>
      <c r="CP495" s="398">
        <v>23.576000000000001</v>
      </c>
      <c r="CQ495" s="398">
        <v>23.576000000000001</v>
      </c>
      <c r="CR495" s="398">
        <v>23.576000000000001</v>
      </c>
      <c r="CS495" s="398"/>
      <c r="CT495" s="398"/>
      <c r="CU495" s="398"/>
      <c r="CV495" s="398"/>
      <c r="CW495" s="398"/>
      <c r="CX495" s="398"/>
      <c r="CY495" s="398"/>
      <c r="CZ495" s="398"/>
      <c r="DA495" s="398"/>
      <c r="DB495" s="398"/>
      <c r="DC495" s="398"/>
      <c r="DD495" s="398"/>
      <c r="DE495" s="393"/>
      <c r="DF495" s="393"/>
      <c r="DG495" s="393"/>
      <c r="DH495" s="393"/>
      <c r="DI495" s="393"/>
      <c r="DJ495" s="393"/>
      <c r="DK495" s="897"/>
    </row>
    <row r="496" spans="1:115" ht="25.5" x14ac:dyDescent="0.2">
      <c r="A496" s="295">
        <v>492</v>
      </c>
      <c r="B496" s="390" t="s">
        <v>2655</v>
      </c>
      <c r="C496" s="390"/>
      <c r="D496" s="391" t="s">
        <v>2106</v>
      </c>
      <c r="E496" s="704" t="s">
        <v>1961</v>
      </c>
      <c r="F496" s="393" t="s">
        <v>1352</v>
      </c>
      <c r="G496" s="393" t="s">
        <v>1672</v>
      </c>
      <c r="H496" s="393" t="s">
        <v>684</v>
      </c>
      <c r="I496" s="392"/>
      <c r="J496" s="392"/>
      <c r="K496" s="392" t="s">
        <v>1962</v>
      </c>
      <c r="L496" s="392" t="s">
        <v>254</v>
      </c>
      <c r="M496" s="392"/>
      <c r="N496" s="393" t="s">
        <v>44</v>
      </c>
      <c r="O496" s="393" t="s">
        <v>69</v>
      </c>
      <c r="P496" s="393" t="s">
        <v>69</v>
      </c>
      <c r="Q496" s="392" t="s">
        <v>690</v>
      </c>
      <c r="R496" s="392" t="s">
        <v>3145</v>
      </c>
      <c r="S496" s="392" t="s">
        <v>691</v>
      </c>
      <c r="T496" s="394">
        <v>1</v>
      </c>
      <c r="U496" s="395">
        <v>55.706000000000003</v>
      </c>
      <c r="V496" s="395"/>
      <c r="W496" s="453"/>
      <c r="X496" s="394"/>
      <c r="Y496" s="394">
        <v>10</v>
      </c>
      <c r="Z496" s="394">
        <v>30</v>
      </c>
      <c r="AA496" s="395">
        <v>0</v>
      </c>
      <c r="AB496" s="452">
        <v>41306</v>
      </c>
      <c r="AC496" s="398">
        <v>0</v>
      </c>
      <c r="AD496" s="398">
        <v>557.06000000000006</v>
      </c>
      <c r="AE496" s="393" t="s">
        <v>72</v>
      </c>
      <c r="AF496" s="417"/>
      <c r="AG496" s="417"/>
      <c r="AH496" s="417"/>
      <c r="AI496" s="394"/>
      <c r="AJ496" s="453"/>
      <c r="AK496" s="453"/>
      <c r="AL496" s="393"/>
      <c r="AM496" s="393"/>
      <c r="AN496" s="417"/>
      <c r="AO496" s="392"/>
      <c r="AP496" s="392"/>
      <c r="AQ496" s="392"/>
      <c r="AR496" s="392" t="s">
        <v>254</v>
      </c>
      <c r="AS496" s="480"/>
      <c r="AT496" s="453"/>
      <c r="AU496" s="453"/>
      <c r="AV496" s="453"/>
      <c r="AW496" s="453"/>
      <c r="AX496" s="453"/>
      <c r="AY496" s="453"/>
      <c r="AZ496" s="452">
        <v>41031</v>
      </c>
      <c r="BA496" s="393"/>
      <c r="BB496" s="393"/>
      <c r="BC496" s="393" t="b">
        <v>0</v>
      </c>
      <c r="BD496" s="393"/>
      <c r="BE496" s="392"/>
      <c r="BF496" s="394">
        <v>1</v>
      </c>
      <c r="BG496" s="394">
        <v>3</v>
      </c>
      <c r="BH496" s="394">
        <v>5</v>
      </c>
      <c r="BI496" s="394">
        <v>11</v>
      </c>
      <c r="BJ496" s="394">
        <v>9</v>
      </c>
      <c r="BK496" s="394">
        <v>8</v>
      </c>
      <c r="BL496" s="444" t="s">
        <v>6985</v>
      </c>
      <c r="BM496" s="392"/>
      <c r="BN496" s="393"/>
      <c r="BO496" s="393"/>
      <c r="BP496" s="399"/>
      <c r="BQ496" s="400"/>
      <c r="BR496" s="401"/>
      <c r="BS496" s="399"/>
      <c r="BT496" s="394"/>
      <c r="BU496" s="417"/>
      <c r="BV496" s="399"/>
      <c r="BW496" s="393" t="s">
        <v>3117</v>
      </c>
      <c r="BX496" s="392" t="s">
        <v>1447</v>
      </c>
      <c r="BY496" s="393"/>
      <c r="BZ496" s="393"/>
      <c r="CA496" s="441" t="s">
        <v>1662</v>
      </c>
      <c r="CB496" s="400">
        <v>3</v>
      </c>
      <c r="CC496" s="398"/>
      <c r="CD496" s="398"/>
      <c r="CE496" s="398"/>
      <c r="CF496" s="398"/>
      <c r="CG496" s="398"/>
      <c r="CH496" s="398"/>
      <c r="CI496" s="398">
        <v>55.706000000000003</v>
      </c>
      <c r="CJ496" s="398">
        <v>55.706000000000003</v>
      </c>
      <c r="CK496" s="398">
        <v>55.706000000000003</v>
      </c>
      <c r="CL496" s="398">
        <v>55.706000000000003</v>
      </c>
      <c r="CM496" s="398">
        <v>55.706000000000003</v>
      </c>
      <c r="CN496" s="398">
        <v>55.706000000000003</v>
      </c>
      <c r="CO496" s="398">
        <v>55.706000000000003</v>
      </c>
      <c r="CP496" s="398">
        <v>55.706000000000003</v>
      </c>
      <c r="CQ496" s="398">
        <v>55.706000000000003</v>
      </c>
      <c r="CR496" s="398">
        <v>55.706000000000003</v>
      </c>
      <c r="CS496" s="398"/>
      <c r="CT496" s="398"/>
      <c r="CU496" s="398"/>
      <c r="CV496" s="398"/>
      <c r="CW496" s="398"/>
      <c r="CX496" s="398"/>
      <c r="CY496" s="398"/>
      <c r="CZ496" s="398"/>
      <c r="DA496" s="398"/>
      <c r="DB496" s="398"/>
      <c r="DC496" s="398"/>
      <c r="DD496" s="398"/>
      <c r="DE496" s="393"/>
      <c r="DF496" s="393"/>
      <c r="DG496" s="393"/>
      <c r="DH496" s="393"/>
      <c r="DI496" s="393"/>
      <c r="DJ496" s="393"/>
      <c r="DK496" s="897"/>
    </row>
    <row r="497" spans="1:115" ht="25.5" x14ac:dyDescent="0.2">
      <c r="A497" s="295">
        <v>493</v>
      </c>
      <c r="B497" s="390" t="s">
        <v>2656</v>
      </c>
      <c r="C497" s="390"/>
      <c r="D497" s="391" t="s">
        <v>2105</v>
      </c>
      <c r="E497" s="704" t="s">
        <v>1959</v>
      </c>
      <c r="F497" s="393" t="s">
        <v>1352</v>
      </c>
      <c r="G497" s="393" t="s">
        <v>1672</v>
      </c>
      <c r="H497" s="393" t="s">
        <v>684</v>
      </c>
      <c r="I497" s="392"/>
      <c r="J497" s="392"/>
      <c r="K497" s="392" t="s">
        <v>1960</v>
      </c>
      <c r="L497" s="392" t="s">
        <v>254</v>
      </c>
      <c r="M497" s="392"/>
      <c r="N497" s="393" t="s">
        <v>44</v>
      </c>
      <c r="O497" s="393" t="s">
        <v>69</v>
      </c>
      <c r="P497" s="393" t="s">
        <v>69</v>
      </c>
      <c r="Q497" s="392" t="s">
        <v>690</v>
      </c>
      <c r="R497" s="392" t="s">
        <v>3145</v>
      </c>
      <c r="S497" s="392" t="s">
        <v>691</v>
      </c>
      <c r="T497" s="394">
        <v>1</v>
      </c>
      <c r="U497" s="395">
        <v>42.551000000000002</v>
      </c>
      <c r="V497" s="395"/>
      <c r="W497" s="453"/>
      <c r="X497" s="394"/>
      <c r="Y497" s="394">
        <v>10</v>
      </c>
      <c r="Z497" s="394">
        <v>30</v>
      </c>
      <c r="AA497" s="395">
        <v>0.44400000000000001</v>
      </c>
      <c r="AB497" s="452">
        <v>41306</v>
      </c>
      <c r="AC497" s="398">
        <v>0</v>
      </c>
      <c r="AD497" s="398">
        <v>425.51</v>
      </c>
      <c r="AE497" s="393" t="s">
        <v>72</v>
      </c>
      <c r="AF497" s="417"/>
      <c r="AG497" s="417"/>
      <c r="AH497" s="417"/>
      <c r="AI497" s="394"/>
      <c r="AJ497" s="453"/>
      <c r="AK497" s="453"/>
      <c r="AL497" s="393"/>
      <c r="AM497" s="393"/>
      <c r="AN497" s="417"/>
      <c r="AO497" s="392"/>
      <c r="AP497" s="392"/>
      <c r="AQ497" s="392"/>
      <c r="AR497" s="392" t="s">
        <v>254</v>
      </c>
      <c r="AS497" s="480"/>
      <c r="AT497" s="453"/>
      <c r="AU497" s="453"/>
      <c r="AV497" s="453"/>
      <c r="AW497" s="453"/>
      <c r="AX497" s="453"/>
      <c r="AY497" s="453"/>
      <c r="AZ497" s="452">
        <v>41031</v>
      </c>
      <c r="BA497" s="393"/>
      <c r="BB497" s="393"/>
      <c r="BC497" s="393" t="b">
        <v>0</v>
      </c>
      <c r="BD497" s="393"/>
      <c r="BE497" s="392"/>
      <c r="BF497" s="394">
        <v>1</v>
      </c>
      <c r="BG497" s="394">
        <v>3</v>
      </c>
      <c r="BH497" s="394">
        <v>5</v>
      </c>
      <c r="BI497" s="394">
        <v>11</v>
      </c>
      <c r="BJ497" s="394">
        <v>9</v>
      </c>
      <c r="BK497" s="394">
        <v>8</v>
      </c>
      <c r="BL497" s="444" t="s">
        <v>6985</v>
      </c>
      <c r="BM497" s="392"/>
      <c r="BN497" s="393"/>
      <c r="BO497" s="393"/>
      <c r="BP497" s="399"/>
      <c r="BQ497" s="400"/>
      <c r="BR497" s="401"/>
      <c r="BS497" s="399">
        <v>1</v>
      </c>
      <c r="BT497" s="394">
        <v>5753</v>
      </c>
      <c r="BU497" s="417">
        <v>0.67200000000000004</v>
      </c>
      <c r="BV497" s="399"/>
      <c r="BW497" s="393" t="s">
        <v>3117</v>
      </c>
      <c r="BX497" s="392" t="s">
        <v>1447</v>
      </c>
      <c r="BY497" s="393"/>
      <c r="BZ497" s="393"/>
      <c r="CA497" s="441" t="s">
        <v>1662</v>
      </c>
      <c r="CB497" s="400">
        <v>3</v>
      </c>
      <c r="CC497" s="398"/>
      <c r="CD497" s="398"/>
      <c r="CE497" s="398"/>
      <c r="CF497" s="398"/>
      <c r="CG497" s="398"/>
      <c r="CH497" s="398"/>
      <c r="CI497" s="398">
        <v>55.706000000000003</v>
      </c>
      <c r="CJ497" s="398">
        <v>55.706000000000003</v>
      </c>
      <c r="CK497" s="398">
        <v>55.706000000000003</v>
      </c>
      <c r="CL497" s="398">
        <v>55.706000000000003</v>
      </c>
      <c r="CM497" s="398">
        <v>55.706000000000003</v>
      </c>
      <c r="CN497" s="398">
        <v>55.706000000000003</v>
      </c>
      <c r="CO497" s="398">
        <v>55.706000000000003</v>
      </c>
      <c r="CP497" s="398">
        <v>55.706000000000003</v>
      </c>
      <c r="CQ497" s="398">
        <v>55.706000000000003</v>
      </c>
      <c r="CR497" s="398">
        <v>55.706000000000003</v>
      </c>
      <c r="CS497" s="398"/>
      <c r="CT497" s="398"/>
      <c r="CU497" s="398"/>
      <c r="CV497" s="398"/>
      <c r="CW497" s="398"/>
      <c r="CX497" s="398"/>
      <c r="CY497" s="398"/>
      <c r="CZ497" s="398"/>
      <c r="DA497" s="398"/>
      <c r="DB497" s="398"/>
      <c r="DC497" s="398"/>
      <c r="DD497" s="398"/>
      <c r="DE497" s="393"/>
      <c r="DF497" s="393"/>
      <c r="DG497" s="393"/>
      <c r="DH497" s="393"/>
      <c r="DI497" s="393"/>
      <c r="DJ497" s="393"/>
      <c r="DK497" s="897"/>
    </row>
    <row r="498" spans="1:115" ht="25.5" x14ac:dyDescent="0.2">
      <c r="A498" s="295">
        <v>494</v>
      </c>
      <c r="B498" s="390" t="s">
        <v>1084</v>
      </c>
      <c r="C498" s="424" t="s">
        <v>7485</v>
      </c>
      <c r="D498" s="391" t="s">
        <v>5066</v>
      </c>
      <c r="E498" s="707" t="s">
        <v>1968</v>
      </c>
      <c r="F498" s="404" t="s">
        <v>1375</v>
      </c>
      <c r="G498" s="404" t="s">
        <v>1361</v>
      </c>
      <c r="H498" s="404" t="s">
        <v>1085</v>
      </c>
      <c r="I498" s="403"/>
      <c r="J498" s="403" t="s">
        <v>1085</v>
      </c>
      <c r="K498" s="403"/>
      <c r="L498" s="403" t="s">
        <v>3774</v>
      </c>
      <c r="M498" s="403" t="s">
        <v>3578</v>
      </c>
      <c r="N498" s="404" t="s">
        <v>1333</v>
      </c>
      <c r="O498" s="404" t="s">
        <v>51</v>
      </c>
      <c r="P498" s="404" t="s">
        <v>51</v>
      </c>
      <c r="Q498" s="403" t="s">
        <v>976</v>
      </c>
      <c r="R498" s="403"/>
      <c r="S498" s="403" t="s">
        <v>977</v>
      </c>
      <c r="T498" s="405">
        <v>1</v>
      </c>
      <c r="U498" s="406">
        <v>58.814</v>
      </c>
      <c r="V498" s="406"/>
      <c r="W498" s="456">
        <v>40534</v>
      </c>
      <c r="X498" s="405">
        <v>7</v>
      </c>
      <c r="Y498" s="405"/>
      <c r="Z498" s="405"/>
      <c r="AA498" s="406"/>
      <c r="AB498" s="455"/>
      <c r="AC498" s="407">
        <v>72.047150000000002</v>
      </c>
      <c r="AD498" s="407">
        <v>543.02241095890406</v>
      </c>
      <c r="AE498" s="404" t="s">
        <v>37</v>
      </c>
      <c r="AF498" s="418"/>
      <c r="AG498" s="418"/>
      <c r="AH498" s="418">
        <v>0</v>
      </c>
      <c r="AI498" s="405"/>
      <c r="AJ498" s="455"/>
      <c r="AK498" s="455"/>
      <c r="AL498" s="404"/>
      <c r="AM498" s="404"/>
      <c r="AN498" s="418"/>
      <c r="AO498" s="403"/>
      <c r="AP498" s="403" t="s">
        <v>55</v>
      </c>
      <c r="AQ498" s="403"/>
      <c r="AR498" s="403" t="s">
        <v>3774</v>
      </c>
      <c r="AS498" s="482">
        <v>40506</v>
      </c>
      <c r="AT498" s="455"/>
      <c r="AU498" s="455"/>
      <c r="AV498" s="456">
        <v>40648</v>
      </c>
      <c r="AW498" s="456">
        <v>40793</v>
      </c>
      <c r="AX498" s="455"/>
      <c r="AY498" s="455"/>
      <c r="AZ498" s="455"/>
      <c r="BA498" s="404" t="s">
        <v>6984</v>
      </c>
      <c r="BB498" s="404" t="s">
        <v>3116</v>
      </c>
      <c r="BC498" s="404" t="b">
        <v>0</v>
      </c>
      <c r="BD498" s="404" t="s">
        <v>3116</v>
      </c>
      <c r="BE498" s="403"/>
      <c r="BF498" s="405">
        <v>4</v>
      </c>
      <c r="BG498" s="405">
        <v>3</v>
      </c>
      <c r="BH498" s="405">
        <v>1</v>
      </c>
      <c r="BI498" s="405">
        <v>6</v>
      </c>
      <c r="BJ498" s="405">
        <v>8</v>
      </c>
      <c r="BK498" s="405">
        <v>5</v>
      </c>
      <c r="BL498" s="446"/>
      <c r="BM498" s="403"/>
      <c r="BN498" s="404"/>
      <c r="BO498" s="404"/>
      <c r="BP498" s="408"/>
      <c r="BQ498" s="409"/>
      <c r="BR498" s="410"/>
      <c r="BS498" s="408">
        <v>0</v>
      </c>
      <c r="BT498" s="405"/>
      <c r="BU498" s="418"/>
      <c r="BV498" s="408"/>
      <c r="BW498" s="404"/>
      <c r="BX498" s="403"/>
      <c r="BY498" s="404"/>
      <c r="BZ498" s="404"/>
      <c r="CA498" s="443"/>
      <c r="CB498" s="409"/>
      <c r="CC498" s="407"/>
      <c r="CD498" s="407"/>
      <c r="CE498" s="407"/>
      <c r="CF498" s="407"/>
      <c r="CG498" s="407"/>
      <c r="CH498" s="407"/>
      <c r="CI498" s="407"/>
      <c r="CJ498" s="407"/>
      <c r="CK498" s="407"/>
      <c r="CL498" s="407"/>
      <c r="CM498" s="407"/>
      <c r="CN498" s="407"/>
      <c r="CO498" s="407"/>
      <c r="CP498" s="407"/>
      <c r="CQ498" s="407"/>
      <c r="CR498" s="407"/>
      <c r="CS498" s="407"/>
      <c r="CT498" s="407"/>
      <c r="CU498" s="407"/>
      <c r="CV498" s="407"/>
      <c r="CW498" s="407"/>
      <c r="CX498" s="407"/>
      <c r="CY498" s="407"/>
      <c r="CZ498" s="407"/>
      <c r="DA498" s="407"/>
      <c r="DB498" s="407"/>
      <c r="DC498" s="407"/>
      <c r="DD498" s="407"/>
      <c r="DE498" s="404"/>
      <c r="DF498" s="404"/>
      <c r="DG498" s="404"/>
      <c r="DH498" s="404"/>
      <c r="DI498" s="404"/>
      <c r="DJ498" s="404"/>
      <c r="DK498" s="896" t="s">
        <v>9709</v>
      </c>
    </row>
    <row r="499" spans="1:115" ht="25.5" x14ac:dyDescent="0.2">
      <c r="A499" s="295">
        <v>495</v>
      </c>
      <c r="B499" s="390" t="s">
        <v>2657</v>
      </c>
      <c r="C499" s="390"/>
      <c r="D499" s="391" t="s">
        <v>1607</v>
      </c>
      <c r="E499" s="707" t="s">
        <v>1086</v>
      </c>
      <c r="F499" s="404" t="s">
        <v>1375</v>
      </c>
      <c r="G499" s="404" t="s">
        <v>1361</v>
      </c>
      <c r="H499" s="404" t="s">
        <v>1085</v>
      </c>
      <c r="I499" s="403"/>
      <c r="J499" s="403"/>
      <c r="K499" s="403" t="s">
        <v>1091</v>
      </c>
      <c r="L499" s="403" t="s">
        <v>3774</v>
      </c>
      <c r="M499" s="403"/>
      <c r="N499" s="404" t="s">
        <v>1333</v>
      </c>
      <c r="O499" s="404" t="s">
        <v>51</v>
      </c>
      <c r="P499" s="404" t="s">
        <v>51</v>
      </c>
      <c r="Q499" s="403" t="s">
        <v>976</v>
      </c>
      <c r="R499" s="403" t="s">
        <v>4013</v>
      </c>
      <c r="S499" s="403" t="s">
        <v>977</v>
      </c>
      <c r="T499" s="405">
        <v>1</v>
      </c>
      <c r="U499" s="406">
        <v>58.814</v>
      </c>
      <c r="V499" s="406"/>
      <c r="W499" s="455"/>
      <c r="X499" s="405"/>
      <c r="Y499" s="405">
        <v>7</v>
      </c>
      <c r="Z499" s="405">
        <v>21</v>
      </c>
      <c r="AA499" s="406">
        <v>0</v>
      </c>
      <c r="AB499" s="456">
        <v>40826</v>
      </c>
      <c r="AC499" s="407">
        <v>72.047150000000002</v>
      </c>
      <c r="AD499" s="407">
        <v>543.02241095890406</v>
      </c>
      <c r="AE499" s="404" t="s">
        <v>37</v>
      </c>
      <c r="AF499" s="418"/>
      <c r="AG499" s="418"/>
      <c r="AH499" s="418"/>
      <c r="AI499" s="405"/>
      <c r="AJ499" s="455"/>
      <c r="AK499" s="455"/>
      <c r="AL499" s="404"/>
      <c r="AM499" s="404"/>
      <c r="AN499" s="418"/>
      <c r="AO499" s="403"/>
      <c r="AP499" s="403" t="s">
        <v>55</v>
      </c>
      <c r="AQ499" s="403"/>
      <c r="AR499" s="403" t="s">
        <v>3774</v>
      </c>
      <c r="AS499" s="482">
        <v>40506</v>
      </c>
      <c r="AT499" s="455"/>
      <c r="AU499" s="455"/>
      <c r="AV499" s="455"/>
      <c r="AW499" s="455"/>
      <c r="AX499" s="455"/>
      <c r="AY499" s="455"/>
      <c r="AZ499" s="455"/>
      <c r="BA499" s="404" t="s">
        <v>6984</v>
      </c>
      <c r="BB499" s="404"/>
      <c r="BC499" s="404" t="b">
        <v>0</v>
      </c>
      <c r="BD499" s="404"/>
      <c r="BE499" s="403"/>
      <c r="BF499" s="405">
        <v>4</v>
      </c>
      <c r="BG499" s="405">
        <v>3</v>
      </c>
      <c r="BH499" s="405">
        <v>1</v>
      </c>
      <c r="BI499" s="405">
        <v>6</v>
      </c>
      <c r="BJ499" s="405">
        <v>8</v>
      </c>
      <c r="BK499" s="405">
        <v>5</v>
      </c>
      <c r="BL499" s="446" t="s">
        <v>1451</v>
      </c>
      <c r="BM499" s="403" t="s">
        <v>4014</v>
      </c>
      <c r="BN499" s="404" t="s">
        <v>3258</v>
      </c>
      <c r="BO499" s="404"/>
      <c r="BP499" s="408"/>
      <c r="BQ499" s="409"/>
      <c r="BR499" s="410"/>
      <c r="BS499" s="408"/>
      <c r="BT499" s="405"/>
      <c r="BU499" s="418"/>
      <c r="BV499" s="408"/>
      <c r="BW499" s="404" t="s">
        <v>3117</v>
      </c>
      <c r="BX499" s="403"/>
      <c r="BY499" s="404"/>
      <c r="BZ499" s="404"/>
      <c r="CA499" s="443" t="s">
        <v>1664</v>
      </c>
      <c r="CB499" s="409"/>
      <c r="CC499" s="407"/>
      <c r="CD499" s="407"/>
      <c r="CE499" s="407"/>
      <c r="CF499" s="407"/>
      <c r="CG499" s="407">
        <v>58.814</v>
      </c>
      <c r="CH499" s="407">
        <v>58.814</v>
      </c>
      <c r="CI499" s="407">
        <v>58.814</v>
      </c>
      <c r="CJ499" s="407">
        <v>58.814</v>
      </c>
      <c r="CK499" s="407">
        <v>58.814</v>
      </c>
      <c r="CL499" s="407">
        <v>58.814</v>
      </c>
      <c r="CM499" s="407">
        <v>58.814</v>
      </c>
      <c r="CN499" s="407"/>
      <c r="CO499" s="407"/>
      <c r="CP499" s="407"/>
      <c r="CQ499" s="407"/>
      <c r="CR499" s="407"/>
      <c r="CS499" s="407"/>
      <c r="CT499" s="407"/>
      <c r="CU499" s="407"/>
      <c r="CV499" s="407"/>
      <c r="CW499" s="407"/>
      <c r="CX499" s="407"/>
      <c r="CY499" s="407"/>
      <c r="CZ499" s="407"/>
      <c r="DA499" s="407"/>
      <c r="DB499" s="407"/>
      <c r="DC499" s="407"/>
      <c r="DD499" s="407"/>
      <c r="DE499" s="404"/>
      <c r="DF499" s="404"/>
      <c r="DG499" s="404"/>
      <c r="DH499" s="404"/>
      <c r="DI499" s="404"/>
      <c r="DJ499" s="404"/>
      <c r="DK499" s="897"/>
    </row>
    <row r="500" spans="1:115" ht="51" x14ac:dyDescent="0.2">
      <c r="A500" s="295">
        <v>496</v>
      </c>
      <c r="B500" s="390" t="s">
        <v>92</v>
      </c>
      <c r="C500" s="424" t="s">
        <v>7486</v>
      </c>
      <c r="D500" s="391" t="s">
        <v>5067</v>
      </c>
      <c r="E500" s="704" t="s">
        <v>1969</v>
      </c>
      <c r="F500" s="393" t="s">
        <v>1352</v>
      </c>
      <c r="G500" s="393" t="s">
        <v>1672</v>
      </c>
      <c r="H500" s="393" t="s">
        <v>89</v>
      </c>
      <c r="I500" s="392"/>
      <c r="J500" s="392" t="s">
        <v>89</v>
      </c>
      <c r="K500" s="392"/>
      <c r="L500" s="392" t="s">
        <v>90</v>
      </c>
      <c r="M500" s="392" t="s">
        <v>4015</v>
      </c>
      <c r="N500" s="393" t="s">
        <v>44</v>
      </c>
      <c r="O500" s="393" t="s">
        <v>93</v>
      </c>
      <c r="P500" s="393" t="s">
        <v>93</v>
      </c>
      <c r="Q500" s="392" t="s">
        <v>94</v>
      </c>
      <c r="R500" s="392"/>
      <c r="S500" s="392" t="s">
        <v>95</v>
      </c>
      <c r="T500" s="394">
        <v>1</v>
      </c>
      <c r="U500" s="395">
        <v>29.488</v>
      </c>
      <c r="V500" s="395"/>
      <c r="W500" s="452">
        <v>40523</v>
      </c>
      <c r="X500" s="394">
        <v>28</v>
      </c>
      <c r="Y500" s="394"/>
      <c r="Z500" s="394"/>
      <c r="AA500" s="395"/>
      <c r="AB500" s="453"/>
      <c r="AC500" s="398">
        <v>14.744</v>
      </c>
      <c r="AD500" s="398">
        <v>294.88</v>
      </c>
      <c r="AE500" s="393" t="s">
        <v>96</v>
      </c>
      <c r="AF500" s="417"/>
      <c r="AG500" s="417"/>
      <c r="AH500" s="417">
        <v>0</v>
      </c>
      <c r="AI500" s="394"/>
      <c r="AJ500" s="453"/>
      <c r="AK500" s="453"/>
      <c r="AL500" s="393"/>
      <c r="AM500" s="393"/>
      <c r="AN500" s="417"/>
      <c r="AO500" s="392"/>
      <c r="AP500" s="392" t="s">
        <v>7062</v>
      </c>
      <c r="AQ500" s="392"/>
      <c r="AR500" s="392" t="s">
        <v>97</v>
      </c>
      <c r="AS500" s="479">
        <v>40522</v>
      </c>
      <c r="AT500" s="453"/>
      <c r="AU500" s="453"/>
      <c r="AV500" s="452">
        <v>40679</v>
      </c>
      <c r="AW500" s="452">
        <v>41058</v>
      </c>
      <c r="AX500" s="453"/>
      <c r="AY500" s="452">
        <v>41060</v>
      </c>
      <c r="AZ500" s="453"/>
      <c r="BA500" s="393"/>
      <c r="BB500" s="393" t="s">
        <v>3147</v>
      </c>
      <c r="BC500" s="393" t="b">
        <v>1</v>
      </c>
      <c r="BD500" s="393" t="s">
        <v>3310</v>
      </c>
      <c r="BE500" s="392"/>
      <c r="BF500" s="394">
        <v>4</v>
      </c>
      <c r="BG500" s="394">
        <v>2</v>
      </c>
      <c r="BH500" s="394">
        <v>1</v>
      </c>
      <c r="BI500" s="394">
        <v>5</v>
      </c>
      <c r="BJ500" s="394">
        <v>9</v>
      </c>
      <c r="BK500" s="394">
        <v>8</v>
      </c>
      <c r="BL500" s="444"/>
      <c r="BM500" s="392"/>
      <c r="BN500" s="393"/>
      <c r="BO500" s="393"/>
      <c r="BP500" s="399"/>
      <c r="BQ500" s="400"/>
      <c r="BR500" s="401"/>
      <c r="BS500" s="399">
        <v>0</v>
      </c>
      <c r="BT500" s="394"/>
      <c r="BU500" s="417"/>
      <c r="BV500" s="399"/>
      <c r="BW500" s="393"/>
      <c r="BX500" s="392"/>
      <c r="BY500" s="393"/>
      <c r="BZ500" s="393"/>
      <c r="CA500" s="441"/>
      <c r="CB500" s="400"/>
      <c r="CC500" s="398"/>
      <c r="CD500" s="398"/>
      <c r="CE500" s="398"/>
      <c r="CF500" s="398"/>
      <c r="CG500" s="398"/>
      <c r="CH500" s="398"/>
      <c r="CI500" s="398"/>
      <c r="CJ500" s="398"/>
      <c r="CK500" s="398"/>
      <c r="CL500" s="398"/>
      <c r="CM500" s="398"/>
      <c r="CN500" s="398"/>
      <c r="CO500" s="398"/>
      <c r="CP500" s="398"/>
      <c r="CQ500" s="398"/>
      <c r="CR500" s="398"/>
      <c r="CS500" s="398"/>
      <c r="CT500" s="398"/>
      <c r="CU500" s="398"/>
      <c r="CV500" s="398"/>
      <c r="CW500" s="398"/>
      <c r="CX500" s="398"/>
      <c r="CY500" s="398"/>
      <c r="CZ500" s="398"/>
      <c r="DA500" s="398"/>
      <c r="DB500" s="398"/>
      <c r="DC500" s="398"/>
      <c r="DD500" s="398"/>
      <c r="DE500" s="393"/>
      <c r="DF500" s="393"/>
      <c r="DG500" s="393"/>
      <c r="DH500" s="393"/>
      <c r="DI500" s="393"/>
      <c r="DJ500" s="393"/>
      <c r="DK500" s="896" t="s">
        <v>9701</v>
      </c>
    </row>
    <row r="501" spans="1:115" ht="38.25" x14ac:dyDescent="0.2">
      <c r="A501" s="295">
        <v>497</v>
      </c>
      <c r="B501" s="390" t="s">
        <v>2658</v>
      </c>
      <c r="C501" s="390"/>
      <c r="D501" s="391" t="s">
        <v>2980</v>
      </c>
      <c r="E501" s="704" t="s">
        <v>98</v>
      </c>
      <c r="F501" s="393" t="s">
        <v>1352</v>
      </c>
      <c r="G501" s="393" t="s">
        <v>1672</v>
      </c>
      <c r="H501" s="393" t="s">
        <v>89</v>
      </c>
      <c r="I501" s="392"/>
      <c r="J501" s="392"/>
      <c r="K501" s="392" t="s">
        <v>99</v>
      </c>
      <c r="L501" s="392" t="s">
        <v>90</v>
      </c>
      <c r="M501" s="392"/>
      <c r="N501" s="393" t="s">
        <v>44</v>
      </c>
      <c r="O501" s="393" t="s">
        <v>93</v>
      </c>
      <c r="P501" s="393" t="s">
        <v>93</v>
      </c>
      <c r="Q501" s="392" t="s">
        <v>94</v>
      </c>
      <c r="R501" s="392" t="s">
        <v>4016</v>
      </c>
      <c r="S501" s="392" t="s">
        <v>95</v>
      </c>
      <c r="T501" s="394">
        <v>1</v>
      </c>
      <c r="U501" s="395">
        <v>29.488</v>
      </c>
      <c r="V501" s="395"/>
      <c r="W501" s="453"/>
      <c r="X501" s="394"/>
      <c r="Y501" s="394">
        <v>10</v>
      </c>
      <c r="Z501" s="394">
        <v>30</v>
      </c>
      <c r="AA501" s="395">
        <v>0</v>
      </c>
      <c r="AB501" s="452">
        <v>41091</v>
      </c>
      <c r="AC501" s="398">
        <v>14.744</v>
      </c>
      <c r="AD501" s="398">
        <v>294.88</v>
      </c>
      <c r="AE501" s="393" t="s">
        <v>96</v>
      </c>
      <c r="AF501" s="417"/>
      <c r="AG501" s="417"/>
      <c r="AH501" s="417"/>
      <c r="AI501" s="394"/>
      <c r="AJ501" s="453"/>
      <c r="AK501" s="453"/>
      <c r="AL501" s="393"/>
      <c r="AM501" s="393"/>
      <c r="AN501" s="417"/>
      <c r="AO501" s="392"/>
      <c r="AP501" s="392" t="s">
        <v>7062</v>
      </c>
      <c r="AQ501" s="392"/>
      <c r="AR501" s="392" t="s">
        <v>97</v>
      </c>
      <c r="AS501" s="479">
        <v>40522</v>
      </c>
      <c r="AT501" s="453"/>
      <c r="AU501" s="453"/>
      <c r="AV501" s="453"/>
      <c r="AW501" s="453"/>
      <c r="AX501" s="453"/>
      <c r="AY501" s="453"/>
      <c r="AZ501" s="452">
        <v>41060</v>
      </c>
      <c r="BA501" s="393"/>
      <c r="BB501" s="393"/>
      <c r="BC501" s="393" t="b">
        <v>0</v>
      </c>
      <c r="BD501" s="393"/>
      <c r="BE501" s="392"/>
      <c r="BF501" s="394">
        <v>4</v>
      </c>
      <c r="BG501" s="394">
        <v>2</v>
      </c>
      <c r="BH501" s="394">
        <v>1</v>
      </c>
      <c r="BI501" s="394">
        <v>5</v>
      </c>
      <c r="BJ501" s="394">
        <v>9</v>
      </c>
      <c r="BK501" s="394">
        <v>8</v>
      </c>
      <c r="BL501" s="444" t="s">
        <v>6981</v>
      </c>
      <c r="BM501" s="392"/>
      <c r="BN501" s="393"/>
      <c r="BO501" s="393"/>
      <c r="BP501" s="399"/>
      <c r="BQ501" s="400"/>
      <c r="BR501" s="401"/>
      <c r="BS501" s="399"/>
      <c r="BT501" s="394"/>
      <c r="BU501" s="417"/>
      <c r="BV501" s="399"/>
      <c r="BW501" s="393" t="s">
        <v>3117</v>
      </c>
      <c r="BX501" s="392" t="s">
        <v>3975</v>
      </c>
      <c r="BY501" s="393"/>
      <c r="BZ501" s="393"/>
      <c r="CA501" s="441"/>
      <c r="CB501" s="400"/>
      <c r="CC501" s="398"/>
      <c r="CD501" s="398"/>
      <c r="CE501" s="398"/>
      <c r="CF501" s="398"/>
      <c r="CG501" s="398"/>
      <c r="CH501" s="398">
        <v>55.945999999999998</v>
      </c>
      <c r="CI501" s="398">
        <v>55.945999999999998</v>
      </c>
      <c r="CJ501" s="398">
        <v>55.945999999999998</v>
      </c>
      <c r="CK501" s="398">
        <v>55.945999999999998</v>
      </c>
      <c r="CL501" s="398">
        <v>55.945999999999998</v>
      </c>
      <c r="CM501" s="398">
        <v>55.945999999999998</v>
      </c>
      <c r="CN501" s="398">
        <v>55.945999999999998</v>
      </c>
      <c r="CO501" s="398">
        <v>55.945999999999998</v>
      </c>
      <c r="CP501" s="398">
        <v>55.945999999999998</v>
      </c>
      <c r="CQ501" s="398">
        <v>55.945999999999998</v>
      </c>
      <c r="CR501" s="398"/>
      <c r="CS501" s="398"/>
      <c r="CT501" s="398"/>
      <c r="CU501" s="398"/>
      <c r="CV501" s="398"/>
      <c r="CW501" s="398"/>
      <c r="CX501" s="398"/>
      <c r="CY501" s="398"/>
      <c r="CZ501" s="398"/>
      <c r="DA501" s="398"/>
      <c r="DB501" s="398"/>
      <c r="DC501" s="398"/>
      <c r="DD501" s="398"/>
      <c r="DE501" s="393"/>
      <c r="DF501" s="393"/>
      <c r="DG501" s="393"/>
      <c r="DH501" s="393"/>
      <c r="DI501" s="393"/>
      <c r="DJ501" s="393"/>
      <c r="DK501" s="897"/>
    </row>
    <row r="502" spans="1:115" ht="63.75" x14ac:dyDescent="0.2">
      <c r="A502" s="295">
        <v>498</v>
      </c>
      <c r="B502" s="390" t="s">
        <v>238</v>
      </c>
      <c r="C502" s="424" t="s">
        <v>7487</v>
      </c>
      <c r="D502" s="391" t="s">
        <v>5068</v>
      </c>
      <c r="E502" s="704" t="s">
        <v>4437</v>
      </c>
      <c r="F502" s="393" t="s">
        <v>1352</v>
      </c>
      <c r="G502" s="393" t="s">
        <v>1673</v>
      </c>
      <c r="H502" s="393" t="s">
        <v>239</v>
      </c>
      <c r="I502" s="392"/>
      <c r="J502" s="392" t="s">
        <v>239</v>
      </c>
      <c r="K502" s="392"/>
      <c r="L502" s="392" t="s">
        <v>240</v>
      </c>
      <c r="M502" s="392" t="s">
        <v>4017</v>
      </c>
      <c r="N502" s="393" t="s">
        <v>44</v>
      </c>
      <c r="O502" s="393" t="s">
        <v>69</v>
      </c>
      <c r="P502" s="393" t="s">
        <v>69</v>
      </c>
      <c r="Q502" s="392" t="s">
        <v>172</v>
      </c>
      <c r="R502" s="392"/>
      <c r="S502" s="392" t="s">
        <v>166</v>
      </c>
      <c r="T502" s="394">
        <v>1</v>
      </c>
      <c r="U502" s="395">
        <v>27.881</v>
      </c>
      <c r="V502" s="395"/>
      <c r="W502" s="452">
        <v>40525</v>
      </c>
      <c r="X502" s="394">
        <v>28</v>
      </c>
      <c r="Y502" s="394"/>
      <c r="Z502" s="394"/>
      <c r="AA502" s="395"/>
      <c r="AB502" s="453"/>
      <c r="AC502" s="398">
        <v>2.3199999999999998</v>
      </c>
      <c r="AD502" s="398">
        <v>223.2771589041096</v>
      </c>
      <c r="AE502" s="393" t="s">
        <v>54</v>
      </c>
      <c r="AF502" s="417"/>
      <c r="AG502" s="417"/>
      <c r="AH502" s="417">
        <v>0</v>
      </c>
      <c r="AI502" s="394"/>
      <c r="AJ502" s="453"/>
      <c r="AK502" s="453"/>
      <c r="AL502" s="393"/>
      <c r="AM502" s="393"/>
      <c r="AN502" s="417"/>
      <c r="AO502" s="392"/>
      <c r="AP502" s="392" t="s">
        <v>55</v>
      </c>
      <c r="AQ502" s="392"/>
      <c r="AR502" s="392" t="s">
        <v>3821</v>
      </c>
      <c r="AS502" s="479">
        <v>40523</v>
      </c>
      <c r="AT502" s="453"/>
      <c r="AU502" s="453"/>
      <c r="AV502" s="452">
        <v>40609</v>
      </c>
      <c r="AW502" s="452">
        <v>41218</v>
      </c>
      <c r="AX502" s="452">
        <v>41299</v>
      </c>
      <c r="AY502" s="452">
        <v>41226</v>
      </c>
      <c r="AZ502" s="453"/>
      <c r="BA502" s="393"/>
      <c r="BB502" s="393" t="s">
        <v>3116</v>
      </c>
      <c r="BC502" s="393" t="b">
        <v>0</v>
      </c>
      <c r="BD502" s="393" t="s">
        <v>3147</v>
      </c>
      <c r="BE502" s="392"/>
      <c r="BF502" s="394">
        <v>1</v>
      </c>
      <c r="BG502" s="394">
        <v>6</v>
      </c>
      <c r="BH502" s="394">
        <v>8</v>
      </c>
      <c r="BI502" s="394">
        <v>4</v>
      </c>
      <c r="BJ502" s="394">
        <v>5</v>
      </c>
      <c r="BK502" s="394"/>
      <c r="BL502" s="444"/>
      <c r="BM502" s="392"/>
      <c r="BN502" s="393"/>
      <c r="BO502" s="393"/>
      <c r="BP502" s="399"/>
      <c r="BQ502" s="400"/>
      <c r="BR502" s="401"/>
      <c r="BS502" s="399">
        <v>0</v>
      </c>
      <c r="BT502" s="394"/>
      <c r="BU502" s="417"/>
      <c r="BV502" s="399"/>
      <c r="BW502" s="393"/>
      <c r="BX502" s="392"/>
      <c r="BY502" s="475" t="s">
        <v>7227</v>
      </c>
      <c r="BZ502" s="393"/>
      <c r="CA502" s="441"/>
      <c r="CB502" s="400"/>
      <c r="CC502" s="398"/>
      <c r="CD502" s="398"/>
      <c r="CE502" s="398"/>
      <c r="CF502" s="398"/>
      <c r="CG502" s="398"/>
      <c r="CH502" s="398"/>
      <c r="CI502" s="398"/>
      <c r="CJ502" s="398"/>
      <c r="CK502" s="398"/>
      <c r="CL502" s="398"/>
      <c r="CM502" s="398"/>
      <c r="CN502" s="398"/>
      <c r="CO502" s="398"/>
      <c r="CP502" s="398"/>
      <c r="CQ502" s="398"/>
      <c r="CR502" s="398"/>
      <c r="CS502" s="398"/>
      <c r="CT502" s="398"/>
      <c r="CU502" s="398"/>
      <c r="CV502" s="398"/>
      <c r="CW502" s="398"/>
      <c r="CX502" s="398"/>
      <c r="CY502" s="398"/>
      <c r="CZ502" s="398"/>
      <c r="DA502" s="398"/>
      <c r="DB502" s="398"/>
      <c r="DC502" s="398"/>
      <c r="DD502" s="398"/>
      <c r="DE502" s="393"/>
      <c r="DF502" s="393"/>
      <c r="DG502" s="393"/>
      <c r="DH502" s="393"/>
      <c r="DI502" s="393"/>
      <c r="DJ502" s="393"/>
      <c r="DK502" s="896" t="s">
        <v>9711</v>
      </c>
    </row>
    <row r="503" spans="1:115" ht="25.5" x14ac:dyDescent="0.2">
      <c r="A503" s="295">
        <v>499</v>
      </c>
      <c r="B503" s="390" t="s">
        <v>2659</v>
      </c>
      <c r="C503" s="390"/>
      <c r="D503" s="391" t="s">
        <v>4438</v>
      </c>
      <c r="E503" s="704" t="s">
        <v>241</v>
      </c>
      <c r="F503" s="393" t="s">
        <v>1352</v>
      </c>
      <c r="G503" s="393" t="s">
        <v>1673</v>
      </c>
      <c r="H503" s="393" t="s">
        <v>239</v>
      </c>
      <c r="I503" s="392"/>
      <c r="J503" s="392"/>
      <c r="K503" s="392" t="s">
        <v>242</v>
      </c>
      <c r="L503" s="392" t="s">
        <v>240</v>
      </c>
      <c r="M503" s="392"/>
      <c r="N503" s="393" t="s">
        <v>44</v>
      </c>
      <c r="O503" s="393" t="s">
        <v>69</v>
      </c>
      <c r="P503" s="393" t="s">
        <v>69</v>
      </c>
      <c r="Q503" s="392" t="s">
        <v>172</v>
      </c>
      <c r="R503" s="392" t="s">
        <v>4018</v>
      </c>
      <c r="S503" s="392" t="s">
        <v>166</v>
      </c>
      <c r="T503" s="394">
        <v>1</v>
      </c>
      <c r="U503" s="395">
        <v>27.881</v>
      </c>
      <c r="V503" s="395"/>
      <c r="W503" s="453"/>
      <c r="X503" s="394"/>
      <c r="Y503" s="394">
        <v>7</v>
      </c>
      <c r="Z503" s="394">
        <v>20</v>
      </c>
      <c r="AA503" s="395">
        <v>0</v>
      </c>
      <c r="AB503" s="452">
        <v>41273</v>
      </c>
      <c r="AC503" s="398">
        <v>2.3199999999999998</v>
      </c>
      <c r="AD503" s="398">
        <v>223.2771589041096</v>
      </c>
      <c r="AE503" s="393" t="s">
        <v>54</v>
      </c>
      <c r="AF503" s="417"/>
      <c r="AG503" s="417"/>
      <c r="AH503" s="417"/>
      <c r="AI503" s="394"/>
      <c r="AJ503" s="453"/>
      <c r="AK503" s="453"/>
      <c r="AL503" s="393"/>
      <c r="AM503" s="393"/>
      <c r="AN503" s="417"/>
      <c r="AO503" s="392"/>
      <c r="AP503" s="392" t="s">
        <v>55</v>
      </c>
      <c r="AQ503" s="392"/>
      <c r="AR503" s="392" t="s">
        <v>3821</v>
      </c>
      <c r="AS503" s="479">
        <v>40523</v>
      </c>
      <c r="AT503" s="453"/>
      <c r="AU503" s="453"/>
      <c r="AV503" s="453"/>
      <c r="AW503" s="453"/>
      <c r="AX503" s="453"/>
      <c r="AY503" s="453"/>
      <c r="AZ503" s="452">
        <v>41226</v>
      </c>
      <c r="BA503" s="393"/>
      <c r="BB503" s="393"/>
      <c r="BC503" s="393" t="b">
        <v>0</v>
      </c>
      <c r="BD503" s="393"/>
      <c r="BE503" s="392"/>
      <c r="BF503" s="394">
        <v>1</v>
      </c>
      <c r="BG503" s="394">
        <v>6</v>
      </c>
      <c r="BH503" s="394">
        <v>8</v>
      </c>
      <c r="BI503" s="394">
        <v>4</v>
      </c>
      <c r="BJ503" s="394">
        <v>5</v>
      </c>
      <c r="BK503" s="394"/>
      <c r="BL503" s="444" t="s">
        <v>6981</v>
      </c>
      <c r="BM503" s="392"/>
      <c r="BN503" s="393"/>
      <c r="BO503" s="393"/>
      <c r="BP503" s="399"/>
      <c r="BQ503" s="400"/>
      <c r="BR503" s="401"/>
      <c r="BS503" s="399"/>
      <c r="BT503" s="394"/>
      <c r="BU503" s="417"/>
      <c r="BV503" s="399"/>
      <c r="BW503" s="393" t="s">
        <v>3165</v>
      </c>
      <c r="BX503" s="392" t="s">
        <v>3154</v>
      </c>
      <c r="BY503" s="475" t="s">
        <v>7227</v>
      </c>
      <c r="BZ503" s="393"/>
      <c r="CA503" s="441"/>
      <c r="CB503" s="400"/>
      <c r="CC503" s="398"/>
      <c r="CD503" s="398"/>
      <c r="CE503" s="398"/>
      <c r="CF503" s="398"/>
      <c r="CG503" s="398"/>
      <c r="CH503" s="398">
        <v>13.351000000000001</v>
      </c>
      <c r="CI503" s="398">
        <v>30.039000000000001</v>
      </c>
      <c r="CJ503" s="398">
        <v>15.51</v>
      </c>
      <c r="CK503" s="398">
        <v>34.898000000000003</v>
      </c>
      <c r="CL503" s="398">
        <v>46.53</v>
      </c>
      <c r="CM503" s="398">
        <v>46.53</v>
      </c>
      <c r="CN503" s="398">
        <v>46.53</v>
      </c>
      <c r="CO503" s="398">
        <v>46.53</v>
      </c>
      <c r="CP503" s="398">
        <v>46.53</v>
      </c>
      <c r="CQ503" s="398">
        <v>46.53</v>
      </c>
      <c r="CR503" s="398">
        <v>46.53</v>
      </c>
      <c r="CS503" s="398">
        <v>46.53</v>
      </c>
      <c r="CT503" s="398">
        <v>46.53</v>
      </c>
      <c r="CU503" s="398">
        <v>46.53</v>
      </c>
      <c r="CV503" s="398">
        <v>46.53</v>
      </c>
      <c r="CW503" s="398">
        <v>46.53</v>
      </c>
      <c r="CX503" s="398">
        <v>46.53</v>
      </c>
      <c r="CY503" s="398">
        <v>46.53</v>
      </c>
      <c r="CZ503" s="398">
        <v>46.53</v>
      </c>
      <c r="DA503" s="398">
        <v>46.53</v>
      </c>
      <c r="DB503" s="398">
        <v>46.53</v>
      </c>
      <c r="DC503" s="398">
        <v>46.53</v>
      </c>
      <c r="DD503" s="398">
        <v>46.53</v>
      </c>
      <c r="DE503" s="417">
        <v>46.53</v>
      </c>
      <c r="DF503" s="417">
        <v>46.53</v>
      </c>
      <c r="DG503" s="417">
        <v>46.53</v>
      </c>
      <c r="DH503" s="417">
        <v>46.53</v>
      </c>
      <c r="DI503" s="417">
        <v>46.53</v>
      </c>
      <c r="DJ503" s="417">
        <v>46.53</v>
      </c>
      <c r="DK503" s="897"/>
    </row>
    <row r="504" spans="1:115" ht="89.25" x14ac:dyDescent="0.2">
      <c r="A504" s="295">
        <v>500</v>
      </c>
      <c r="B504" s="390" t="s">
        <v>545</v>
      </c>
      <c r="C504" s="424" t="s">
        <v>7488</v>
      </c>
      <c r="D504" s="391"/>
      <c r="E504" s="711" t="s">
        <v>546</v>
      </c>
      <c r="F504" s="461" t="s">
        <v>1340</v>
      </c>
      <c r="G504" s="461" t="s">
        <v>1676</v>
      </c>
      <c r="H504" s="461" t="s">
        <v>58</v>
      </c>
      <c r="I504" s="460"/>
      <c r="J504" s="460" t="s">
        <v>58</v>
      </c>
      <c r="K504" s="460"/>
      <c r="L504" s="460" t="s">
        <v>547</v>
      </c>
      <c r="M504" s="460" t="s">
        <v>4019</v>
      </c>
      <c r="N504" s="524" t="s">
        <v>33</v>
      </c>
      <c r="O504" s="461" t="s">
        <v>51</v>
      </c>
      <c r="P504" s="461" t="s">
        <v>51</v>
      </c>
      <c r="Q504" s="460" t="s">
        <v>548</v>
      </c>
      <c r="R504" s="460"/>
      <c r="S504" s="460" t="s">
        <v>549</v>
      </c>
      <c r="T504" s="462">
        <v>1</v>
      </c>
      <c r="U504" s="463">
        <v>10.067</v>
      </c>
      <c r="V504" s="463"/>
      <c r="W504" s="464">
        <v>39927</v>
      </c>
      <c r="X504" s="462">
        <v>28</v>
      </c>
      <c r="Y504" s="462"/>
      <c r="Z504" s="462"/>
      <c r="AA504" s="463"/>
      <c r="AB504" s="467"/>
      <c r="AC504" s="465">
        <v>20.134</v>
      </c>
      <c r="AD504" s="465">
        <v>100.67</v>
      </c>
      <c r="AE504" s="461" t="s">
        <v>54</v>
      </c>
      <c r="AF504" s="466"/>
      <c r="AG504" s="466"/>
      <c r="AH504" s="466">
        <v>0</v>
      </c>
      <c r="AI504" s="462"/>
      <c r="AJ504" s="467"/>
      <c r="AK504" s="467"/>
      <c r="AL504" s="461"/>
      <c r="AM504" s="461"/>
      <c r="AN504" s="466"/>
      <c r="AO504" s="460"/>
      <c r="AP504" s="460" t="s">
        <v>55</v>
      </c>
      <c r="AQ504" s="460"/>
      <c r="AR504" s="460" t="s">
        <v>550</v>
      </c>
      <c r="AS504" s="483">
        <v>40523</v>
      </c>
      <c r="AT504" s="464">
        <v>41002</v>
      </c>
      <c r="AU504" s="467"/>
      <c r="AV504" s="467"/>
      <c r="AW504" s="467"/>
      <c r="AX504" s="467"/>
      <c r="AY504" s="467"/>
      <c r="AZ504" s="467"/>
      <c r="BA504" s="461"/>
      <c r="BB504" s="461" t="s">
        <v>3147</v>
      </c>
      <c r="BC504" s="461" t="b">
        <v>0</v>
      </c>
      <c r="BD504" s="461" t="s">
        <v>3116</v>
      </c>
      <c r="BE504" s="460"/>
      <c r="BF504" s="462">
        <v>4</v>
      </c>
      <c r="BG504" s="462">
        <v>9</v>
      </c>
      <c r="BH504" s="462"/>
      <c r="BI504" s="462"/>
      <c r="BJ504" s="462"/>
      <c r="BK504" s="462"/>
      <c r="BL504" s="472"/>
      <c r="BM504" s="460"/>
      <c r="BN504" s="461"/>
      <c r="BO504" s="461"/>
      <c r="BP504" s="468"/>
      <c r="BQ504" s="469"/>
      <c r="BR504" s="470"/>
      <c r="BS504" s="468">
        <v>0</v>
      </c>
      <c r="BT504" s="462"/>
      <c r="BU504" s="466"/>
      <c r="BV504" s="468"/>
      <c r="BW504" s="461"/>
      <c r="BX504" s="460"/>
      <c r="BY504" s="461"/>
      <c r="BZ504" s="461"/>
      <c r="CA504" s="471"/>
      <c r="CB504" s="469"/>
      <c r="CC504" s="465"/>
      <c r="CD504" s="465"/>
      <c r="CE504" s="465"/>
      <c r="CF504" s="465"/>
      <c r="CG504" s="465"/>
      <c r="CH504" s="465"/>
      <c r="CI504" s="465"/>
      <c r="CJ504" s="465"/>
      <c r="CK504" s="465"/>
      <c r="CL504" s="465"/>
      <c r="CM504" s="465"/>
      <c r="CN504" s="465"/>
      <c r="CO504" s="465"/>
      <c r="CP504" s="465"/>
      <c r="CQ504" s="465"/>
      <c r="CR504" s="465"/>
      <c r="CS504" s="465"/>
      <c r="CT504" s="465"/>
      <c r="CU504" s="465"/>
      <c r="CV504" s="465"/>
      <c r="CW504" s="465"/>
      <c r="CX504" s="465"/>
      <c r="CY504" s="465"/>
      <c r="CZ504" s="465"/>
      <c r="DA504" s="465"/>
      <c r="DB504" s="465"/>
      <c r="DC504" s="465"/>
      <c r="DD504" s="465"/>
      <c r="DE504" s="461"/>
      <c r="DF504" s="461"/>
      <c r="DG504" s="461"/>
      <c r="DH504" s="461"/>
      <c r="DI504" s="461"/>
      <c r="DJ504" s="461"/>
      <c r="DK504" s="897"/>
    </row>
    <row r="505" spans="1:115" ht="25.5" x14ac:dyDescent="0.2">
      <c r="A505" s="295">
        <v>501</v>
      </c>
      <c r="B505" s="390" t="s">
        <v>2660</v>
      </c>
      <c r="C505" s="390"/>
      <c r="D505" s="391"/>
      <c r="E505" s="711" t="s">
        <v>551</v>
      </c>
      <c r="F505" s="461" t="s">
        <v>1340</v>
      </c>
      <c r="G505" s="461" t="s">
        <v>1676</v>
      </c>
      <c r="H505" s="461" t="s">
        <v>58</v>
      </c>
      <c r="I505" s="460"/>
      <c r="J505" s="460"/>
      <c r="K505" s="460" t="s">
        <v>159</v>
      </c>
      <c r="L505" s="460" t="s">
        <v>547</v>
      </c>
      <c r="M505" s="460"/>
      <c r="N505" s="524" t="s">
        <v>33</v>
      </c>
      <c r="O505" s="461" t="s">
        <v>51</v>
      </c>
      <c r="P505" s="461" t="s">
        <v>51</v>
      </c>
      <c r="Q505" s="460" t="s">
        <v>548</v>
      </c>
      <c r="R505" s="460" t="s">
        <v>4020</v>
      </c>
      <c r="S505" s="460" t="s">
        <v>549</v>
      </c>
      <c r="T505" s="462">
        <v>1</v>
      </c>
      <c r="U505" s="463">
        <v>10.067</v>
      </c>
      <c r="V505" s="463"/>
      <c r="W505" s="467"/>
      <c r="X505" s="462"/>
      <c r="Y505" s="462">
        <v>10</v>
      </c>
      <c r="Z505" s="462">
        <v>10</v>
      </c>
      <c r="AA505" s="463">
        <v>0</v>
      </c>
      <c r="AB505" s="464">
        <v>40544</v>
      </c>
      <c r="AC505" s="465">
        <v>20.134</v>
      </c>
      <c r="AD505" s="465">
        <v>100.67</v>
      </c>
      <c r="AE505" s="461" t="s">
        <v>54</v>
      </c>
      <c r="AF505" s="466"/>
      <c r="AG505" s="466"/>
      <c r="AH505" s="466"/>
      <c r="AI505" s="462"/>
      <c r="AJ505" s="467"/>
      <c r="AK505" s="467"/>
      <c r="AL505" s="461"/>
      <c r="AM505" s="461"/>
      <c r="AN505" s="466"/>
      <c r="AO505" s="460"/>
      <c r="AP505" s="460" t="s">
        <v>55</v>
      </c>
      <c r="AQ505" s="460"/>
      <c r="AR505" s="460" t="s">
        <v>550</v>
      </c>
      <c r="AS505" s="483">
        <v>40523</v>
      </c>
      <c r="AT505" s="464">
        <v>41002</v>
      </c>
      <c r="AU505" s="467"/>
      <c r="AV505" s="467"/>
      <c r="AW505" s="467"/>
      <c r="AX505" s="467"/>
      <c r="AY505" s="467"/>
      <c r="AZ505" s="467"/>
      <c r="BA505" s="461"/>
      <c r="BB505" s="461"/>
      <c r="BC505" s="461" t="b">
        <v>0</v>
      </c>
      <c r="BD505" s="461"/>
      <c r="BE505" s="460"/>
      <c r="BF505" s="462">
        <v>4</v>
      </c>
      <c r="BG505" s="462">
        <v>9</v>
      </c>
      <c r="BH505" s="462"/>
      <c r="BI505" s="462"/>
      <c r="BJ505" s="462"/>
      <c r="BK505" s="462"/>
      <c r="BL505" s="472" t="s">
        <v>6981</v>
      </c>
      <c r="BM505" s="460"/>
      <c r="BN505" s="461"/>
      <c r="BO505" s="461"/>
      <c r="BP505" s="468"/>
      <c r="BQ505" s="469"/>
      <c r="BR505" s="470"/>
      <c r="BS505" s="468"/>
      <c r="BT505" s="462"/>
      <c r="BU505" s="466"/>
      <c r="BV505" s="468"/>
      <c r="BW505" s="461" t="s">
        <v>3165</v>
      </c>
      <c r="BX505" s="460" t="s">
        <v>3714</v>
      </c>
      <c r="BY505" s="461"/>
      <c r="BZ505" s="461"/>
      <c r="CA505" s="471"/>
      <c r="CB505" s="469"/>
      <c r="CC505" s="465"/>
      <c r="CD505" s="465"/>
      <c r="CE505" s="465"/>
      <c r="CF505" s="465"/>
      <c r="CG505" s="465">
        <v>10.067</v>
      </c>
      <c r="CH505" s="465">
        <v>10.067</v>
      </c>
      <c r="CI505" s="465">
        <v>10.067</v>
      </c>
      <c r="CJ505" s="465">
        <v>10.067</v>
      </c>
      <c r="CK505" s="465">
        <v>10.067</v>
      </c>
      <c r="CL505" s="465">
        <v>10.067</v>
      </c>
      <c r="CM505" s="465">
        <v>10.067</v>
      </c>
      <c r="CN505" s="465">
        <v>10.067</v>
      </c>
      <c r="CO505" s="465">
        <v>10.067</v>
      </c>
      <c r="CP505" s="465">
        <v>10.067</v>
      </c>
      <c r="CQ505" s="465"/>
      <c r="CR505" s="465"/>
      <c r="CS505" s="465"/>
      <c r="CT505" s="465"/>
      <c r="CU505" s="465"/>
      <c r="CV505" s="465"/>
      <c r="CW505" s="465"/>
      <c r="CX505" s="465"/>
      <c r="CY505" s="465"/>
      <c r="CZ505" s="465"/>
      <c r="DA505" s="465"/>
      <c r="DB505" s="465"/>
      <c r="DC505" s="465"/>
      <c r="DD505" s="465"/>
      <c r="DE505" s="461"/>
      <c r="DF505" s="461"/>
      <c r="DG505" s="461"/>
      <c r="DH505" s="461"/>
      <c r="DI505" s="461"/>
      <c r="DJ505" s="461"/>
      <c r="DK505" s="897"/>
    </row>
    <row r="506" spans="1:115" ht="63.75" x14ac:dyDescent="0.2">
      <c r="A506" s="295">
        <v>502</v>
      </c>
      <c r="B506" s="390" t="s">
        <v>559</v>
      </c>
      <c r="C506" s="424" t="s">
        <v>7489</v>
      </c>
      <c r="D506" s="391" t="s">
        <v>5069</v>
      </c>
      <c r="E506" s="704" t="s">
        <v>1970</v>
      </c>
      <c r="F506" s="393" t="s">
        <v>1375</v>
      </c>
      <c r="G506" s="393" t="s">
        <v>1361</v>
      </c>
      <c r="H506" s="393" t="s">
        <v>137</v>
      </c>
      <c r="I506" s="392"/>
      <c r="J506" s="392" t="s">
        <v>137</v>
      </c>
      <c r="K506" s="392"/>
      <c r="L506" s="392" t="s">
        <v>560</v>
      </c>
      <c r="M506" s="392" t="s">
        <v>4021</v>
      </c>
      <c r="N506" s="393" t="s">
        <v>44</v>
      </c>
      <c r="O506" s="393" t="s">
        <v>34</v>
      </c>
      <c r="P506" s="393" t="s">
        <v>34</v>
      </c>
      <c r="Q506" s="392" t="s">
        <v>554</v>
      </c>
      <c r="R506" s="392"/>
      <c r="S506" s="392" t="s">
        <v>256</v>
      </c>
      <c r="T506" s="394">
        <v>1</v>
      </c>
      <c r="U506" s="395">
        <v>48.433999999999997</v>
      </c>
      <c r="V506" s="395"/>
      <c r="W506" s="452">
        <v>40423</v>
      </c>
      <c r="X506" s="394">
        <v>28</v>
      </c>
      <c r="Y506" s="394"/>
      <c r="Z506" s="394"/>
      <c r="AA506" s="395"/>
      <c r="AB506" s="453"/>
      <c r="AC506" s="398">
        <v>8.0719999999999992</v>
      </c>
      <c r="AD506" s="398">
        <v>484.34</v>
      </c>
      <c r="AE506" s="393" t="s">
        <v>397</v>
      </c>
      <c r="AF506" s="417"/>
      <c r="AG506" s="417"/>
      <c r="AH506" s="417">
        <v>0</v>
      </c>
      <c r="AI506" s="394"/>
      <c r="AJ506" s="453"/>
      <c r="AK506" s="453"/>
      <c r="AL506" s="393"/>
      <c r="AM506" s="393"/>
      <c r="AN506" s="417"/>
      <c r="AO506" s="392"/>
      <c r="AP506" s="392" t="s">
        <v>7063</v>
      </c>
      <c r="AQ506" s="392"/>
      <c r="AR506" s="392" t="s">
        <v>55</v>
      </c>
      <c r="AS506" s="479">
        <v>40536</v>
      </c>
      <c r="AT506" s="453"/>
      <c r="AU506" s="453"/>
      <c r="AV506" s="452">
        <v>40961</v>
      </c>
      <c r="AW506" s="452">
        <v>41252</v>
      </c>
      <c r="AX506" s="452">
        <v>41292</v>
      </c>
      <c r="AY506" s="452">
        <v>41248</v>
      </c>
      <c r="AZ506" s="453"/>
      <c r="BA506" s="393"/>
      <c r="BB506" s="393" t="s">
        <v>3116</v>
      </c>
      <c r="BC506" s="393" t="b">
        <v>0</v>
      </c>
      <c r="BD506" s="393" t="s">
        <v>3116</v>
      </c>
      <c r="BE506" s="392"/>
      <c r="BF506" s="394">
        <v>4</v>
      </c>
      <c r="BG506" s="394">
        <v>9</v>
      </c>
      <c r="BH506" s="394">
        <v>2</v>
      </c>
      <c r="BI506" s="394">
        <v>7</v>
      </c>
      <c r="BJ506" s="394">
        <v>11</v>
      </c>
      <c r="BK506" s="394">
        <v>5</v>
      </c>
      <c r="BL506" s="444"/>
      <c r="BM506" s="392"/>
      <c r="BN506" s="393"/>
      <c r="BO506" s="393"/>
      <c r="BP506" s="399"/>
      <c r="BQ506" s="400"/>
      <c r="BR506" s="401"/>
      <c r="BS506" s="399">
        <v>0</v>
      </c>
      <c r="BT506" s="394"/>
      <c r="BU506" s="417"/>
      <c r="BV506" s="399"/>
      <c r="BW506" s="393"/>
      <c r="BX506" s="392"/>
      <c r="BY506" s="393"/>
      <c r="BZ506" s="393"/>
      <c r="CA506" s="441"/>
      <c r="CB506" s="400"/>
      <c r="CC506" s="398"/>
      <c r="CD506" s="398"/>
      <c r="CE506" s="398"/>
      <c r="CF506" s="398"/>
      <c r="CG506" s="398"/>
      <c r="CH506" s="398"/>
      <c r="CI506" s="398"/>
      <c r="CJ506" s="398"/>
      <c r="CK506" s="398"/>
      <c r="CL506" s="398"/>
      <c r="CM506" s="398"/>
      <c r="CN506" s="398"/>
      <c r="CO506" s="398"/>
      <c r="CP506" s="398"/>
      <c r="CQ506" s="398"/>
      <c r="CR506" s="398"/>
      <c r="CS506" s="398"/>
      <c r="CT506" s="398"/>
      <c r="CU506" s="398"/>
      <c r="CV506" s="398"/>
      <c r="CW506" s="398"/>
      <c r="CX506" s="398"/>
      <c r="CY506" s="398"/>
      <c r="CZ506" s="398"/>
      <c r="DA506" s="398"/>
      <c r="DB506" s="398"/>
      <c r="DC506" s="398"/>
      <c r="DD506" s="398"/>
      <c r="DE506" s="393"/>
      <c r="DF506" s="393"/>
      <c r="DG506" s="393"/>
      <c r="DH506" s="393"/>
      <c r="DI506" s="393"/>
      <c r="DJ506" s="393"/>
      <c r="DK506" s="896" t="s">
        <v>9697</v>
      </c>
    </row>
    <row r="507" spans="1:115" ht="25.5" x14ac:dyDescent="0.2">
      <c r="A507" s="295">
        <v>503</v>
      </c>
      <c r="B507" s="390" t="s">
        <v>2661</v>
      </c>
      <c r="C507" s="390"/>
      <c r="D507" s="391" t="s">
        <v>4439</v>
      </c>
      <c r="E507" s="704" t="s">
        <v>561</v>
      </c>
      <c r="F507" s="393" t="s">
        <v>1375</v>
      </c>
      <c r="G507" s="393" t="s">
        <v>1361</v>
      </c>
      <c r="H507" s="393" t="s">
        <v>137</v>
      </c>
      <c r="I507" s="392"/>
      <c r="J507" s="392"/>
      <c r="K507" s="392" t="s">
        <v>137</v>
      </c>
      <c r="L507" s="392" t="s">
        <v>560</v>
      </c>
      <c r="M507" s="392"/>
      <c r="N507" s="393" t="s">
        <v>44</v>
      </c>
      <c r="O507" s="393" t="s">
        <v>34</v>
      </c>
      <c r="P507" s="393" t="s">
        <v>34</v>
      </c>
      <c r="Q507" s="392" t="s">
        <v>554</v>
      </c>
      <c r="R507" s="392" t="s">
        <v>4022</v>
      </c>
      <c r="S507" s="392" t="s">
        <v>256</v>
      </c>
      <c r="T507" s="394">
        <v>1</v>
      </c>
      <c r="U507" s="395">
        <v>48.433999999999997</v>
      </c>
      <c r="V507" s="395"/>
      <c r="W507" s="453"/>
      <c r="X507" s="394"/>
      <c r="Y507" s="394">
        <v>10</v>
      </c>
      <c r="Z507" s="394">
        <v>10</v>
      </c>
      <c r="AA507" s="395">
        <v>-0.5</v>
      </c>
      <c r="AB507" s="452">
        <v>41212</v>
      </c>
      <c r="AC507" s="398">
        <v>8.0719999999999992</v>
      </c>
      <c r="AD507" s="398">
        <v>484.34</v>
      </c>
      <c r="AE507" s="393" t="s">
        <v>397</v>
      </c>
      <c r="AF507" s="417"/>
      <c r="AG507" s="417"/>
      <c r="AH507" s="417"/>
      <c r="AI507" s="394"/>
      <c r="AJ507" s="453"/>
      <c r="AK507" s="453"/>
      <c r="AL507" s="393"/>
      <c r="AM507" s="393"/>
      <c r="AN507" s="417"/>
      <c r="AO507" s="392"/>
      <c r="AP507" s="392" t="s">
        <v>7063</v>
      </c>
      <c r="AQ507" s="392"/>
      <c r="AR507" s="392" t="s">
        <v>55</v>
      </c>
      <c r="AS507" s="479">
        <v>40536</v>
      </c>
      <c r="AT507" s="453"/>
      <c r="AU507" s="453"/>
      <c r="AV507" s="453"/>
      <c r="AW507" s="453"/>
      <c r="AX507" s="453"/>
      <c r="AY507" s="453"/>
      <c r="AZ507" s="452">
        <v>41248</v>
      </c>
      <c r="BA507" s="393"/>
      <c r="BB507" s="393"/>
      <c r="BC507" s="393" t="b">
        <v>0</v>
      </c>
      <c r="BD507" s="393"/>
      <c r="BE507" s="392"/>
      <c r="BF507" s="394">
        <v>4</v>
      </c>
      <c r="BG507" s="394">
        <v>9</v>
      </c>
      <c r="BH507" s="394">
        <v>2</v>
      </c>
      <c r="BI507" s="394">
        <v>7</v>
      </c>
      <c r="BJ507" s="394">
        <v>11</v>
      </c>
      <c r="BK507" s="394">
        <v>5</v>
      </c>
      <c r="BL507" s="444" t="s">
        <v>6982</v>
      </c>
      <c r="BM507" s="392"/>
      <c r="BN507" s="393" t="s">
        <v>117</v>
      </c>
      <c r="BO507" s="393"/>
      <c r="BP507" s="399" t="s">
        <v>3303</v>
      </c>
      <c r="BQ507" s="400" t="s">
        <v>4023</v>
      </c>
      <c r="BR507" s="401"/>
      <c r="BS507" s="399"/>
      <c r="BT507" s="394"/>
      <c r="BU507" s="417"/>
      <c r="BV507" s="399">
        <v>79.896000000000001</v>
      </c>
      <c r="BW507" s="393" t="s">
        <v>3117</v>
      </c>
      <c r="BX507" s="392" t="s">
        <v>3942</v>
      </c>
      <c r="BY507" s="393"/>
      <c r="BZ507" s="393"/>
      <c r="CA507" s="441"/>
      <c r="CB507" s="400"/>
      <c r="CC507" s="398"/>
      <c r="CD507" s="398"/>
      <c r="CE507" s="398"/>
      <c r="CF507" s="398"/>
      <c r="CG507" s="398">
        <v>50.933999999999997</v>
      </c>
      <c r="CH507" s="398">
        <v>50.423999999999999</v>
      </c>
      <c r="CI507" s="398">
        <v>49.92</v>
      </c>
      <c r="CJ507" s="398">
        <v>49.420999999999999</v>
      </c>
      <c r="CK507" s="398">
        <v>48.927</v>
      </c>
      <c r="CL507" s="398">
        <v>48.436999999999998</v>
      </c>
      <c r="CM507" s="398">
        <v>47.953000000000003</v>
      </c>
      <c r="CN507" s="398">
        <v>47.472999999999999</v>
      </c>
      <c r="CO507" s="398">
        <v>46.999000000000002</v>
      </c>
      <c r="CP507" s="398">
        <v>46.529000000000003</v>
      </c>
      <c r="CQ507" s="398"/>
      <c r="CR507" s="398"/>
      <c r="CS507" s="398"/>
      <c r="CT507" s="398"/>
      <c r="CU507" s="398"/>
      <c r="CV507" s="398"/>
      <c r="CW507" s="398"/>
      <c r="CX507" s="398"/>
      <c r="CY507" s="398"/>
      <c r="CZ507" s="398"/>
      <c r="DA507" s="398"/>
      <c r="DB507" s="398"/>
      <c r="DC507" s="398"/>
      <c r="DD507" s="398"/>
      <c r="DE507" s="393"/>
      <c r="DF507" s="393"/>
      <c r="DG507" s="393"/>
      <c r="DH507" s="393"/>
      <c r="DI507" s="393"/>
      <c r="DJ507" s="393"/>
      <c r="DK507" s="897"/>
    </row>
    <row r="508" spans="1:115" ht="63.75" x14ac:dyDescent="0.2">
      <c r="A508" s="295">
        <v>504</v>
      </c>
      <c r="B508" s="390" t="s">
        <v>1024</v>
      </c>
      <c r="C508" s="424" t="s">
        <v>7490</v>
      </c>
      <c r="D508" s="391" t="s">
        <v>4589</v>
      </c>
      <c r="E508" s="705" t="s">
        <v>1025</v>
      </c>
      <c r="F508" s="393" t="s">
        <v>1375</v>
      </c>
      <c r="G508" s="393" t="s">
        <v>998</v>
      </c>
      <c r="H508" s="393" t="s">
        <v>218</v>
      </c>
      <c r="I508" s="392"/>
      <c r="J508" s="392" t="s">
        <v>218</v>
      </c>
      <c r="K508" s="392"/>
      <c r="L508" s="392" t="s">
        <v>1026</v>
      </c>
      <c r="M508" s="392" t="s">
        <v>4024</v>
      </c>
      <c r="N508" s="393" t="s">
        <v>44</v>
      </c>
      <c r="O508" s="393" t="s">
        <v>51</v>
      </c>
      <c r="P508" s="393" t="s">
        <v>51</v>
      </c>
      <c r="Q508" s="392" t="s">
        <v>976</v>
      </c>
      <c r="R508" s="392" t="s">
        <v>4025</v>
      </c>
      <c r="S508" s="392" t="s">
        <v>977</v>
      </c>
      <c r="T508" s="394">
        <v>2</v>
      </c>
      <c r="U508" s="395">
        <v>98.984999999999999</v>
      </c>
      <c r="V508" s="395"/>
      <c r="W508" s="452">
        <v>40989</v>
      </c>
      <c r="X508" s="394">
        <v>28</v>
      </c>
      <c r="Y508" s="394"/>
      <c r="Z508" s="394"/>
      <c r="AA508" s="395"/>
      <c r="AB508" s="453"/>
      <c r="AC508" s="398">
        <v>42.132460000000002</v>
      </c>
      <c r="AD508" s="398">
        <v>824.13045205479443</v>
      </c>
      <c r="AE508" s="393" t="s">
        <v>72</v>
      </c>
      <c r="AF508" s="417">
        <f>SUM(AF509:AF510)</f>
        <v>13.414999999999999</v>
      </c>
      <c r="AG508" s="417">
        <f>SUM(AG509:AG510)</f>
        <v>4.9220000000000006</v>
      </c>
      <c r="AH508" s="417">
        <v>18.337</v>
      </c>
      <c r="AI508" s="394">
        <v>1</v>
      </c>
      <c r="AJ508" s="452">
        <v>41969</v>
      </c>
      <c r="AK508" s="452">
        <v>41353</v>
      </c>
      <c r="AL508" s="393"/>
      <c r="AM508" s="393"/>
      <c r="AN508" s="417">
        <f>0.01+2+1.893+0.338</f>
        <v>4.2409999999999997</v>
      </c>
      <c r="AO508" s="392"/>
      <c r="AP508" s="392" t="s">
        <v>7064</v>
      </c>
      <c r="AQ508" s="392"/>
      <c r="AR508" s="392" t="s">
        <v>1078</v>
      </c>
      <c r="AS508" s="479">
        <v>40537</v>
      </c>
      <c r="AT508" s="453"/>
      <c r="AU508" s="453"/>
      <c r="AV508" s="452">
        <v>40829</v>
      </c>
      <c r="AW508" s="452">
        <v>40859</v>
      </c>
      <c r="AX508" s="453"/>
      <c r="AY508" s="452">
        <v>40989</v>
      </c>
      <c r="AZ508" s="453"/>
      <c r="BA508" s="393"/>
      <c r="BB508" s="393" t="s">
        <v>3147</v>
      </c>
      <c r="BC508" s="393" t="b">
        <v>0</v>
      </c>
      <c r="BD508" s="393" t="s">
        <v>3147</v>
      </c>
      <c r="BE508" s="392"/>
      <c r="BF508" s="394">
        <v>4</v>
      </c>
      <c r="BG508" s="394">
        <v>8</v>
      </c>
      <c r="BH508" s="394">
        <v>1</v>
      </c>
      <c r="BI508" s="394">
        <v>6</v>
      </c>
      <c r="BJ508" s="394">
        <v>9</v>
      </c>
      <c r="BK508" s="394">
        <v>7</v>
      </c>
      <c r="BL508" s="444"/>
      <c r="BM508" s="392"/>
      <c r="BN508" s="393"/>
      <c r="BO508" s="393"/>
      <c r="BP508" s="399"/>
      <c r="BQ508" s="400"/>
      <c r="BR508" s="401"/>
      <c r="BS508" s="399">
        <v>0</v>
      </c>
      <c r="BT508" s="394"/>
      <c r="BU508" s="417"/>
      <c r="BV508" s="399"/>
      <c r="BW508" s="393"/>
      <c r="BX508" s="392"/>
      <c r="BY508" s="393"/>
      <c r="BZ508" s="393"/>
      <c r="CA508" s="441"/>
      <c r="CB508" s="400"/>
      <c r="CC508" s="398"/>
      <c r="CD508" s="398"/>
      <c r="CE508" s="398"/>
      <c r="CF508" s="398"/>
      <c r="CG508" s="398"/>
      <c r="CH508" s="398"/>
      <c r="CI508" s="398"/>
      <c r="CJ508" s="398"/>
      <c r="CK508" s="398"/>
      <c r="CL508" s="398"/>
      <c r="CM508" s="398"/>
      <c r="CN508" s="398"/>
      <c r="CO508" s="398"/>
      <c r="CP508" s="398"/>
      <c r="CQ508" s="398"/>
      <c r="CR508" s="398"/>
      <c r="CS508" s="398"/>
      <c r="CT508" s="398"/>
      <c r="CU508" s="398"/>
      <c r="CV508" s="398"/>
      <c r="CW508" s="398"/>
      <c r="CX508" s="398"/>
      <c r="CY508" s="398"/>
      <c r="CZ508" s="398"/>
      <c r="DA508" s="398"/>
      <c r="DB508" s="398"/>
      <c r="DC508" s="398"/>
      <c r="DD508" s="398"/>
      <c r="DE508" s="393"/>
      <c r="DF508" s="393"/>
      <c r="DG508" s="393"/>
      <c r="DH508" s="393"/>
      <c r="DI508" s="393"/>
      <c r="DJ508" s="393"/>
      <c r="DK508" s="896" t="s">
        <v>9701</v>
      </c>
    </row>
    <row r="509" spans="1:115" ht="51" x14ac:dyDescent="0.2">
      <c r="A509" s="295">
        <v>505</v>
      </c>
      <c r="B509" s="390" t="s">
        <v>2662</v>
      </c>
      <c r="C509" s="390"/>
      <c r="D509" s="391" t="s">
        <v>1608</v>
      </c>
      <c r="E509" s="704" t="s">
        <v>1027</v>
      </c>
      <c r="F509" s="393" t="s">
        <v>1375</v>
      </c>
      <c r="G509" s="393" t="s">
        <v>998</v>
      </c>
      <c r="H509" s="393" t="s">
        <v>218</v>
      </c>
      <c r="I509" s="392"/>
      <c r="J509" s="392"/>
      <c r="K509" s="392" t="s">
        <v>2145</v>
      </c>
      <c r="L509" s="392" t="s">
        <v>1026</v>
      </c>
      <c r="M509" s="392"/>
      <c r="N509" s="393" t="s">
        <v>44</v>
      </c>
      <c r="O509" s="393" t="s">
        <v>51</v>
      </c>
      <c r="P509" s="393" t="s">
        <v>51</v>
      </c>
      <c r="Q509" s="392" t="s">
        <v>976</v>
      </c>
      <c r="R509" s="392" t="s">
        <v>4025</v>
      </c>
      <c r="S509" s="392" t="s">
        <v>977</v>
      </c>
      <c r="T509" s="394">
        <v>1</v>
      </c>
      <c r="U509" s="395">
        <v>50.761000000000003</v>
      </c>
      <c r="V509" s="395"/>
      <c r="W509" s="453"/>
      <c r="X509" s="394"/>
      <c r="Y509" s="394">
        <v>7</v>
      </c>
      <c r="Z509" s="394">
        <v>7</v>
      </c>
      <c r="AA509" s="395">
        <v>0</v>
      </c>
      <c r="AB509" s="452">
        <v>40989</v>
      </c>
      <c r="AC509" s="398">
        <v>42.132460000000002</v>
      </c>
      <c r="AD509" s="398">
        <v>446.00144383561644</v>
      </c>
      <c r="AE509" s="393" t="s">
        <v>72</v>
      </c>
      <c r="AF509" s="417">
        <v>13.414999999999999</v>
      </c>
      <c r="AG509" s="417">
        <v>3.7930000000000001</v>
      </c>
      <c r="AH509" s="417">
        <v>17.207999999999998</v>
      </c>
      <c r="AI509" s="394">
        <v>1</v>
      </c>
      <c r="AJ509" s="452">
        <v>41969</v>
      </c>
      <c r="AK509" s="452">
        <v>41353</v>
      </c>
      <c r="AL509" s="393"/>
      <c r="AM509" s="393"/>
      <c r="AN509" s="417"/>
      <c r="AO509" s="392"/>
      <c r="AP509" s="392" t="s">
        <v>7064</v>
      </c>
      <c r="AQ509" s="392"/>
      <c r="AR509" s="392" t="s">
        <v>1078</v>
      </c>
      <c r="AS509" s="479">
        <v>40537</v>
      </c>
      <c r="AT509" s="453"/>
      <c r="AU509" s="453"/>
      <c r="AV509" s="453"/>
      <c r="AW509" s="453"/>
      <c r="AX509" s="453"/>
      <c r="AY509" s="453"/>
      <c r="AZ509" s="452">
        <v>40989</v>
      </c>
      <c r="BA509" s="393"/>
      <c r="BB509" s="393"/>
      <c r="BC509" s="393" t="b">
        <v>0</v>
      </c>
      <c r="BD509" s="393"/>
      <c r="BE509" s="392"/>
      <c r="BF509" s="394">
        <v>4</v>
      </c>
      <c r="BG509" s="394">
        <v>8</v>
      </c>
      <c r="BH509" s="394">
        <v>1</v>
      </c>
      <c r="BI509" s="394">
        <v>6</v>
      </c>
      <c r="BJ509" s="394">
        <v>9</v>
      </c>
      <c r="BK509" s="394">
        <v>7</v>
      </c>
      <c r="BL509" s="444" t="s">
        <v>6986</v>
      </c>
      <c r="BM509" s="392"/>
      <c r="BN509" s="393"/>
      <c r="BO509" s="393"/>
      <c r="BP509" s="399"/>
      <c r="BQ509" s="400"/>
      <c r="BR509" s="401"/>
      <c r="BS509" s="399"/>
      <c r="BT509" s="394"/>
      <c r="BU509" s="417"/>
      <c r="BV509" s="399"/>
      <c r="BW509" s="393" t="s">
        <v>3117</v>
      </c>
      <c r="BX509" s="392" t="s">
        <v>3259</v>
      </c>
      <c r="BY509" s="393"/>
      <c r="BZ509" s="393"/>
      <c r="CA509" s="441"/>
      <c r="CB509" s="400"/>
      <c r="CC509" s="398"/>
      <c r="CD509" s="398"/>
      <c r="CE509" s="398"/>
      <c r="CF509" s="398"/>
      <c r="CG509" s="398">
        <v>43.723999999999997</v>
      </c>
      <c r="CH509" s="398">
        <v>43.723999999999997</v>
      </c>
      <c r="CI509" s="398">
        <v>43.723999999999997</v>
      </c>
      <c r="CJ509" s="398">
        <v>43.723999999999997</v>
      </c>
      <c r="CK509" s="398">
        <v>43.723999999999997</v>
      </c>
      <c r="CL509" s="398">
        <v>43.723999999999997</v>
      </c>
      <c r="CM509" s="398">
        <v>43.723999999999997</v>
      </c>
      <c r="CN509" s="398">
        <v>43.723999999999997</v>
      </c>
      <c r="CO509" s="398">
        <v>43.723999999999997</v>
      </c>
      <c r="CP509" s="398">
        <v>43.723999999999997</v>
      </c>
      <c r="CQ509" s="398">
        <v>43.723999999999997</v>
      </c>
      <c r="CR509" s="398">
        <v>43.723999999999997</v>
      </c>
      <c r="CS509" s="398">
        <v>43.723999999999997</v>
      </c>
      <c r="CT509" s="398">
        <v>43.723999999999997</v>
      </c>
      <c r="CU509" s="398">
        <v>43.723999999999997</v>
      </c>
      <c r="CV509" s="398">
        <v>43.723999999999997</v>
      </c>
      <c r="CW509" s="398">
        <v>43.723999999999997</v>
      </c>
      <c r="CX509" s="398">
        <v>43.723999999999997</v>
      </c>
      <c r="CY509" s="398">
        <v>43.723999999999997</v>
      </c>
      <c r="CZ509" s="398">
        <v>43.723999999999997</v>
      </c>
      <c r="DA509" s="398">
        <v>43.723999999999997</v>
      </c>
      <c r="DB509" s="398"/>
      <c r="DC509" s="398"/>
      <c r="DD509" s="398"/>
      <c r="DE509" s="393"/>
      <c r="DF509" s="393"/>
      <c r="DG509" s="393"/>
      <c r="DH509" s="393"/>
      <c r="DI509" s="393"/>
      <c r="DJ509" s="393"/>
      <c r="DK509" s="897"/>
    </row>
    <row r="510" spans="1:115" ht="25.5" x14ac:dyDescent="0.2">
      <c r="A510" s="295">
        <v>506</v>
      </c>
      <c r="B510" s="390" t="s">
        <v>4510</v>
      </c>
      <c r="C510" s="390"/>
      <c r="D510" s="391" t="s">
        <v>4511</v>
      </c>
      <c r="E510" s="704" t="s">
        <v>4512</v>
      </c>
      <c r="F510" s="393" t="s">
        <v>1375</v>
      </c>
      <c r="G510" s="393" t="s">
        <v>998</v>
      </c>
      <c r="H510" s="393" t="s">
        <v>218</v>
      </c>
      <c r="I510" s="392"/>
      <c r="J510" s="392"/>
      <c r="K510" s="392" t="s">
        <v>4513</v>
      </c>
      <c r="L510" s="392" t="s">
        <v>1026</v>
      </c>
      <c r="M510" s="392"/>
      <c r="N510" s="393" t="s">
        <v>44</v>
      </c>
      <c r="O510" s="393" t="s">
        <v>51</v>
      </c>
      <c r="P510" s="393" t="s">
        <v>51</v>
      </c>
      <c r="Q510" s="392" t="s">
        <v>976</v>
      </c>
      <c r="R510" s="392" t="s">
        <v>4025</v>
      </c>
      <c r="S510" s="392" t="s">
        <v>977</v>
      </c>
      <c r="T510" s="394">
        <v>1</v>
      </c>
      <c r="U510" s="395">
        <v>48.223999999999997</v>
      </c>
      <c r="V510" s="395"/>
      <c r="W510" s="453"/>
      <c r="X510" s="394"/>
      <c r="Y510" s="394">
        <v>7</v>
      </c>
      <c r="Z510" s="394">
        <v>7</v>
      </c>
      <c r="AA510" s="395">
        <v>0</v>
      </c>
      <c r="AB510" s="452">
        <v>41334</v>
      </c>
      <c r="AC510" s="398">
        <v>0</v>
      </c>
      <c r="AD510" s="398">
        <v>378.12900821917805</v>
      </c>
      <c r="AE510" s="393" t="s">
        <v>72</v>
      </c>
      <c r="AF510" s="417">
        <v>0</v>
      </c>
      <c r="AG510" s="417">
        <v>1.129</v>
      </c>
      <c r="AH510" s="417">
        <v>1.129</v>
      </c>
      <c r="AI510" s="394">
        <v>1</v>
      </c>
      <c r="AJ510" s="452">
        <v>41969</v>
      </c>
      <c r="AK510" s="452">
        <v>41353</v>
      </c>
      <c r="AL510" s="393"/>
      <c r="AM510" s="393"/>
      <c r="AN510" s="417"/>
      <c r="AO510" s="392"/>
      <c r="AP510" s="392"/>
      <c r="AQ510" s="392"/>
      <c r="AR510" s="392" t="s">
        <v>1078</v>
      </c>
      <c r="AS510" s="480"/>
      <c r="AT510" s="453"/>
      <c r="AU510" s="453"/>
      <c r="AV510" s="453"/>
      <c r="AW510" s="453"/>
      <c r="AX510" s="453"/>
      <c r="AY510" s="453"/>
      <c r="AZ510" s="452">
        <v>41305</v>
      </c>
      <c r="BA510" s="393"/>
      <c r="BB510" s="393"/>
      <c r="BC510" s="393" t="b">
        <v>0</v>
      </c>
      <c r="BD510" s="393"/>
      <c r="BE510" s="392"/>
      <c r="BF510" s="394">
        <v>4</v>
      </c>
      <c r="BG510" s="394">
        <v>8</v>
      </c>
      <c r="BH510" s="394">
        <v>1</v>
      </c>
      <c r="BI510" s="394">
        <v>6</v>
      </c>
      <c r="BJ510" s="394">
        <v>9</v>
      </c>
      <c r="BK510" s="394">
        <v>7</v>
      </c>
      <c r="BL510" s="444" t="s">
        <v>6986</v>
      </c>
      <c r="BM510" s="392"/>
      <c r="BN510" s="393"/>
      <c r="BO510" s="393"/>
      <c r="BP510" s="399"/>
      <c r="BQ510" s="400"/>
      <c r="BR510" s="401"/>
      <c r="BS510" s="399"/>
      <c r="BT510" s="394"/>
      <c r="BU510" s="417"/>
      <c r="BV510" s="399"/>
      <c r="BW510" s="393" t="s">
        <v>3117</v>
      </c>
      <c r="BX510" s="392" t="s">
        <v>4004</v>
      </c>
      <c r="BY510" s="393"/>
      <c r="BZ510" s="393"/>
      <c r="CA510" s="441"/>
      <c r="CB510" s="400"/>
      <c r="CC510" s="398"/>
      <c r="CD510" s="398"/>
      <c r="CE510" s="398"/>
      <c r="CF510" s="398"/>
      <c r="CG510" s="398"/>
      <c r="CH510" s="398"/>
      <c r="CI510" s="398">
        <v>48.223999999999997</v>
      </c>
      <c r="CJ510" s="398">
        <v>48.223999999999997</v>
      </c>
      <c r="CK510" s="398">
        <v>48.223999999999997</v>
      </c>
      <c r="CL510" s="398">
        <v>48.223999999999997</v>
      </c>
      <c r="CM510" s="398">
        <v>48.223999999999997</v>
      </c>
      <c r="CN510" s="398">
        <v>48.223999999999997</v>
      </c>
      <c r="CO510" s="398">
        <v>48.223999999999997</v>
      </c>
      <c r="CP510" s="398"/>
      <c r="CQ510" s="398"/>
      <c r="CR510" s="398"/>
      <c r="CS510" s="398"/>
      <c r="CT510" s="398"/>
      <c r="CU510" s="398"/>
      <c r="CV510" s="398"/>
      <c r="CW510" s="398"/>
      <c r="CX510" s="398"/>
      <c r="CY510" s="398"/>
      <c r="CZ510" s="398"/>
      <c r="DA510" s="398"/>
      <c r="DB510" s="398"/>
      <c r="DC510" s="398"/>
      <c r="DD510" s="398"/>
      <c r="DE510" s="393"/>
      <c r="DF510" s="393"/>
      <c r="DG510" s="393"/>
      <c r="DH510" s="393"/>
      <c r="DI510" s="393"/>
      <c r="DJ510" s="393"/>
      <c r="DK510" s="897"/>
    </row>
    <row r="511" spans="1:115" ht="63.75" x14ac:dyDescent="0.2">
      <c r="A511" s="295">
        <v>507</v>
      </c>
      <c r="B511" s="390" t="s">
        <v>842</v>
      </c>
      <c r="C511" s="424" t="s">
        <v>7491</v>
      </c>
      <c r="D511" s="391" t="s">
        <v>5070</v>
      </c>
      <c r="E511" s="704" t="s">
        <v>843</v>
      </c>
      <c r="F511" s="393" t="s">
        <v>1352</v>
      </c>
      <c r="G511" s="393" t="s">
        <v>1673</v>
      </c>
      <c r="H511" s="393" t="s">
        <v>42</v>
      </c>
      <c r="I511" s="392"/>
      <c r="J511" s="392" t="s">
        <v>42</v>
      </c>
      <c r="K511" s="392"/>
      <c r="L511" s="392" t="s">
        <v>844</v>
      </c>
      <c r="M511" s="392" t="s">
        <v>4026</v>
      </c>
      <c r="N511" s="393" t="s">
        <v>44</v>
      </c>
      <c r="O511" s="393" t="s">
        <v>827</v>
      </c>
      <c r="P511" s="393" t="s">
        <v>827</v>
      </c>
      <c r="Q511" s="392" t="s">
        <v>836</v>
      </c>
      <c r="R511" s="392"/>
      <c r="S511" s="392" t="s">
        <v>291</v>
      </c>
      <c r="T511" s="394">
        <v>9</v>
      </c>
      <c r="U511" s="395">
        <v>147.66500000000002</v>
      </c>
      <c r="V511" s="395"/>
      <c r="W511" s="452">
        <v>40578</v>
      </c>
      <c r="X511" s="394">
        <v>28</v>
      </c>
      <c r="Y511" s="394"/>
      <c r="Z511" s="394"/>
      <c r="AA511" s="395"/>
      <c r="AB511" s="453"/>
      <c r="AC511" s="398">
        <v>16</v>
      </c>
      <c r="AD511" s="398">
        <v>1105.3625671232876</v>
      </c>
      <c r="AE511" s="393" t="s">
        <v>54</v>
      </c>
      <c r="AF511" s="417"/>
      <c r="AG511" s="417"/>
      <c r="AH511" s="417">
        <v>0</v>
      </c>
      <c r="AI511" s="394"/>
      <c r="AJ511" s="453"/>
      <c r="AK511" s="453"/>
      <c r="AL511" s="393"/>
      <c r="AM511" s="393"/>
      <c r="AN511" s="417"/>
      <c r="AO511" s="392"/>
      <c r="AP511" s="428" t="s">
        <v>8085</v>
      </c>
      <c r="AQ511" s="428"/>
      <c r="AR511" s="392" t="s">
        <v>845</v>
      </c>
      <c r="AS511" s="479">
        <v>40542</v>
      </c>
      <c r="AT511" s="453"/>
      <c r="AU511" s="453"/>
      <c r="AV511" s="452">
        <v>40806</v>
      </c>
      <c r="AW511" s="452">
        <v>40996</v>
      </c>
      <c r="AX511" s="453"/>
      <c r="AY511" s="452">
        <v>40996</v>
      </c>
      <c r="AZ511" s="453"/>
      <c r="BA511" s="393"/>
      <c r="BB511" s="393" t="s">
        <v>3116</v>
      </c>
      <c r="BC511" s="393" t="b">
        <v>0</v>
      </c>
      <c r="BD511" s="393" t="s">
        <v>3116</v>
      </c>
      <c r="BE511" s="392"/>
      <c r="BF511" s="394">
        <v>5</v>
      </c>
      <c r="BG511" s="394">
        <v>8</v>
      </c>
      <c r="BH511" s="394">
        <v>4</v>
      </c>
      <c r="BI511" s="394"/>
      <c r="BJ511" s="394"/>
      <c r="BK511" s="394"/>
      <c r="BL511" s="444"/>
      <c r="BM511" s="392"/>
      <c r="BN511" s="393"/>
      <c r="BO511" s="393"/>
      <c r="BP511" s="399"/>
      <c r="BQ511" s="400"/>
      <c r="BR511" s="401"/>
      <c r="BS511" s="399">
        <v>107.69999999999999</v>
      </c>
      <c r="BT511" s="394"/>
      <c r="BU511" s="417"/>
      <c r="BV511" s="399"/>
      <c r="BW511" s="393"/>
      <c r="BX511" s="392"/>
      <c r="BY511" s="393"/>
      <c r="BZ511" s="393"/>
      <c r="CA511" s="441"/>
      <c r="CB511" s="400"/>
      <c r="CC511" s="398"/>
      <c r="CD511" s="398"/>
      <c r="CE511" s="398"/>
      <c r="CF511" s="398"/>
      <c r="CG511" s="398"/>
      <c r="CH511" s="398"/>
      <c r="CI511" s="398"/>
      <c r="CJ511" s="398"/>
      <c r="CK511" s="398"/>
      <c r="CL511" s="398"/>
      <c r="CM511" s="398"/>
      <c r="CN511" s="398"/>
      <c r="CO511" s="398"/>
      <c r="CP511" s="398"/>
      <c r="CQ511" s="398"/>
      <c r="CR511" s="398"/>
      <c r="CS511" s="398"/>
      <c r="CT511" s="398"/>
      <c r="CU511" s="398"/>
      <c r="CV511" s="398"/>
      <c r="CW511" s="398"/>
      <c r="CX511" s="398"/>
      <c r="CY511" s="398"/>
      <c r="CZ511" s="398"/>
      <c r="DA511" s="398"/>
      <c r="DB511" s="398"/>
      <c r="DC511" s="398"/>
      <c r="DD511" s="398"/>
      <c r="DE511" s="393"/>
      <c r="DF511" s="393"/>
      <c r="DG511" s="393"/>
      <c r="DH511" s="393"/>
      <c r="DI511" s="393"/>
      <c r="DJ511" s="393"/>
      <c r="DK511" s="896" t="s">
        <v>9717</v>
      </c>
    </row>
    <row r="512" spans="1:115" ht="38.25" x14ac:dyDescent="0.2">
      <c r="A512" s="295">
        <v>508</v>
      </c>
      <c r="B512" s="390" t="s">
        <v>2663</v>
      </c>
      <c r="C512" s="390"/>
      <c r="D512" s="391" t="s">
        <v>2109</v>
      </c>
      <c r="E512" s="704" t="s">
        <v>846</v>
      </c>
      <c r="F512" s="393" t="s">
        <v>1352</v>
      </c>
      <c r="G512" s="393" t="s">
        <v>1673</v>
      </c>
      <c r="H512" s="393" t="s">
        <v>42</v>
      </c>
      <c r="I512" s="392"/>
      <c r="J512" s="392"/>
      <c r="K512" s="392" t="s">
        <v>42</v>
      </c>
      <c r="L512" s="392" t="s">
        <v>844</v>
      </c>
      <c r="M512" s="392"/>
      <c r="N512" s="393" t="s">
        <v>44</v>
      </c>
      <c r="O512" s="393" t="s">
        <v>827</v>
      </c>
      <c r="P512" s="393" t="s">
        <v>827</v>
      </c>
      <c r="Q512" s="392" t="s">
        <v>836</v>
      </c>
      <c r="R512" s="392" t="s">
        <v>4027</v>
      </c>
      <c r="S512" s="392" t="s">
        <v>291</v>
      </c>
      <c r="T512" s="394">
        <v>1</v>
      </c>
      <c r="U512" s="395">
        <v>22.762</v>
      </c>
      <c r="V512" s="395"/>
      <c r="W512" s="453"/>
      <c r="X512" s="394"/>
      <c r="Y512" s="394">
        <v>7</v>
      </c>
      <c r="Z512" s="394">
        <v>25</v>
      </c>
      <c r="AA512" s="395">
        <v>0</v>
      </c>
      <c r="AB512" s="452">
        <v>40996</v>
      </c>
      <c r="AC512" s="398">
        <v>16</v>
      </c>
      <c r="AD512" s="398">
        <v>199.55726027397259</v>
      </c>
      <c r="AE512" s="393" t="s">
        <v>54</v>
      </c>
      <c r="AF512" s="417"/>
      <c r="AG512" s="417"/>
      <c r="AH512" s="417"/>
      <c r="AI512" s="394"/>
      <c r="AJ512" s="453"/>
      <c r="AK512" s="453"/>
      <c r="AL512" s="393"/>
      <c r="AM512" s="393"/>
      <c r="AN512" s="417"/>
      <c r="AO512" s="392"/>
      <c r="AP512" s="428" t="s">
        <v>8085</v>
      </c>
      <c r="AQ512" s="392"/>
      <c r="AR512" s="392" t="s">
        <v>845</v>
      </c>
      <c r="AS512" s="479">
        <v>40542</v>
      </c>
      <c r="AT512" s="453"/>
      <c r="AU512" s="453"/>
      <c r="AV512" s="453"/>
      <c r="AW512" s="453"/>
      <c r="AX512" s="453"/>
      <c r="AY512" s="453"/>
      <c r="AZ512" s="452">
        <v>40996</v>
      </c>
      <c r="BA512" s="393"/>
      <c r="BB512" s="393"/>
      <c r="BC512" s="393" t="b">
        <v>0</v>
      </c>
      <c r="BD512" s="393"/>
      <c r="BE512" s="392"/>
      <c r="BF512" s="394">
        <v>5</v>
      </c>
      <c r="BG512" s="394">
        <v>8</v>
      </c>
      <c r="BH512" s="394">
        <v>4</v>
      </c>
      <c r="BI512" s="394"/>
      <c r="BJ512" s="394"/>
      <c r="BK512" s="394"/>
      <c r="BL512" s="444" t="s">
        <v>6981</v>
      </c>
      <c r="BM512" s="392"/>
      <c r="BN512" s="393"/>
      <c r="BO512" s="393"/>
      <c r="BP512" s="399"/>
      <c r="BQ512" s="400"/>
      <c r="BR512" s="401"/>
      <c r="BS512" s="399">
        <v>15</v>
      </c>
      <c r="BT512" s="394">
        <v>24966</v>
      </c>
      <c r="BU512" s="417">
        <v>0.92249999999999999</v>
      </c>
      <c r="BV512" s="399"/>
      <c r="BW512" s="393" t="s">
        <v>3117</v>
      </c>
      <c r="BX512" s="392" t="s">
        <v>3154</v>
      </c>
      <c r="BY512" s="393"/>
      <c r="BZ512" s="393"/>
      <c r="CA512" s="441"/>
      <c r="CB512" s="400"/>
      <c r="CC512" s="398"/>
      <c r="CD512" s="398"/>
      <c r="CE512" s="398"/>
      <c r="CF512" s="398"/>
      <c r="CG512" s="398"/>
      <c r="CH512" s="398">
        <v>23.030999999999999</v>
      </c>
      <c r="CI512" s="398">
        <v>23.030999999999999</v>
      </c>
      <c r="CJ512" s="398">
        <v>23.030999999999999</v>
      </c>
      <c r="CK512" s="398">
        <v>23.030999999999999</v>
      </c>
      <c r="CL512" s="398">
        <v>23.030999999999999</v>
      </c>
      <c r="CM512" s="398">
        <v>23.030999999999999</v>
      </c>
      <c r="CN512" s="398">
        <v>23.030999999999999</v>
      </c>
      <c r="CO512" s="398">
        <v>23.030999999999999</v>
      </c>
      <c r="CP512" s="398">
        <v>23.030999999999999</v>
      </c>
      <c r="CQ512" s="398">
        <v>23.030999999999999</v>
      </c>
      <c r="CR512" s="398">
        <v>23.030999999999999</v>
      </c>
      <c r="CS512" s="398">
        <v>23.030999999999999</v>
      </c>
      <c r="CT512" s="398">
        <v>23.030999999999999</v>
      </c>
      <c r="CU512" s="398">
        <v>23.030999999999999</v>
      </c>
      <c r="CV512" s="398">
        <v>23.030999999999999</v>
      </c>
      <c r="CW512" s="398">
        <v>23.030999999999999</v>
      </c>
      <c r="CX512" s="398">
        <v>23.030999999999999</v>
      </c>
      <c r="CY512" s="398">
        <v>23.030999999999999</v>
      </c>
      <c r="CZ512" s="398">
        <v>23.030999999999999</v>
      </c>
      <c r="DA512" s="398">
        <v>23.030999999999999</v>
      </c>
      <c r="DB512" s="398">
        <v>23.030999999999999</v>
      </c>
      <c r="DC512" s="398"/>
      <c r="DD512" s="398"/>
      <c r="DE512" s="393"/>
      <c r="DF512" s="393"/>
      <c r="DG512" s="393"/>
      <c r="DH512" s="393"/>
      <c r="DI512" s="393"/>
      <c r="DJ512" s="393"/>
      <c r="DK512" s="897"/>
    </row>
    <row r="513" spans="1:115" ht="25.5" x14ac:dyDescent="0.2">
      <c r="A513" s="295">
        <v>509</v>
      </c>
      <c r="B513" s="390" t="s">
        <v>4386</v>
      </c>
      <c r="C513" s="390"/>
      <c r="D513" s="391" t="s">
        <v>4387</v>
      </c>
      <c r="E513" s="704" t="s">
        <v>4388</v>
      </c>
      <c r="F513" s="393" t="s">
        <v>1352</v>
      </c>
      <c r="G513" s="393" t="s">
        <v>1673</v>
      </c>
      <c r="H513" s="393" t="s">
        <v>42</v>
      </c>
      <c r="I513" s="392"/>
      <c r="J513" s="392"/>
      <c r="K513" s="392" t="s">
        <v>370</v>
      </c>
      <c r="L513" s="392" t="s">
        <v>844</v>
      </c>
      <c r="M513" s="392"/>
      <c r="N513" s="393" t="s">
        <v>44</v>
      </c>
      <c r="O513" s="393" t="s">
        <v>827</v>
      </c>
      <c r="P513" s="393" t="s">
        <v>827</v>
      </c>
      <c r="Q513" s="392" t="s">
        <v>836</v>
      </c>
      <c r="R513" s="392" t="s">
        <v>4440</v>
      </c>
      <c r="S513" s="392" t="s">
        <v>291</v>
      </c>
      <c r="T513" s="394">
        <v>1</v>
      </c>
      <c r="U513" s="395">
        <v>7.6769999999999996</v>
      </c>
      <c r="V513" s="395"/>
      <c r="W513" s="453"/>
      <c r="X513" s="394"/>
      <c r="Y513" s="394">
        <v>7</v>
      </c>
      <c r="Z513" s="394">
        <v>25</v>
      </c>
      <c r="AA513" s="395">
        <v>0</v>
      </c>
      <c r="AB513" s="452">
        <v>41275</v>
      </c>
      <c r="AC513" s="398">
        <v>0</v>
      </c>
      <c r="AD513" s="398">
        <v>61.43703287671233</v>
      </c>
      <c r="AE513" s="393" t="s">
        <v>54</v>
      </c>
      <c r="AF513" s="417"/>
      <c r="AG513" s="417"/>
      <c r="AH513" s="417"/>
      <c r="AI513" s="394"/>
      <c r="AJ513" s="453"/>
      <c r="AK513" s="453"/>
      <c r="AL513" s="393"/>
      <c r="AM513" s="393"/>
      <c r="AN513" s="417"/>
      <c r="AO513" s="392"/>
      <c r="AP513" s="392"/>
      <c r="AQ513" s="392"/>
      <c r="AR513" s="392" t="s">
        <v>844</v>
      </c>
      <c r="AS513" s="480"/>
      <c r="AT513" s="453"/>
      <c r="AU513" s="453"/>
      <c r="AV513" s="453"/>
      <c r="AW513" s="453"/>
      <c r="AX513" s="453"/>
      <c r="AY513" s="453"/>
      <c r="AZ513" s="452">
        <v>41269</v>
      </c>
      <c r="BA513" s="393"/>
      <c r="BB513" s="393"/>
      <c r="BC513" s="393" t="b">
        <v>0</v>
      </c>
      <c r="BD513" s="393"/>
      <c r="BE513" s="392"/>
      <c r="BF513" s="394">
        <v>5</v>
      </c>
      <c r="BG513" s="394">
        <v>8</v>
      </c>
      <c r="BH513" s="394">
        <v>4</v>
      </c>
      <c r="BI513" s="394"/>
      <c r="BJ513" s="394"/>
      <c r="BK513" s="394"/>
      <c r="BL513" s="444" t="s">
        <v>6981</v>
      </c>
      <c r="BM513" s="392"/>
      <c r="BN513" s="393"/>
      <c r="BO513" s="393"/>
      <c r="BP513" s="399"/>
      <c r="BQ513" s="400"/>
      <c r="BR513" s="401"/>
      <c r="BS513" s="399">
        <v>5</v>
      </c>
      <c r="BT513" s="394">
        <v>8322</v>
      </c>
      <c r="BU513" s="417">
        <v>0.92249999999999999</v>
      </c>
      <c r="BV513" s="399"/>
      <c r="BW513" s="393" t="s">
        <v>3117</v>
      </c>
      <c r="BX513" s="392" t="s">
        <v>3177</v>
      </c>
      <c r="BY513" s="393"/>
      <c r="BZ513" s="393"/>
      <c r="CA513" s="441" t="s">
        <v>1662</v>
      </c>
      <c r="CB513" s="400"/>
      <c r="CC513" s="398"/>
      <c r="CD513" s="398"/>
      <c r="CE513" s="398"/>
      <c r="CF513" s="398"/>
      <c r="CG513" s="398"/>
      <c r="CH513" s="398"/>
      <c r="CI513" s="398">
        <v>7.6769999999999996</v>
      </c>
      <c r="CJ513" s="398">
        <v>7.6769999999999996</v>
      </c>
      <c r="CK513" s="398">
        <v>7.6769999999999996</v>
      </c>
      <c r="CL513" s="398">
        <v>7.6769999999999996</v>
      </c>
      <c r="CM513" s="398">
        <v>7.6769999999999996</v>
      </c>
      <c r="CN513" s="398">
        <v>7.6769999999999996</v>
      </c>
      <c r="CO513" s="398">
        <v>7.6769999999999996</v>
      </c>
      <c r="CP513" s="398"/>
      <c r="CQ513" s="398"/>
      <c r="CR513" s="398"/>
      <c r="CS513" s="398"/>
      <c r="CT513" s="398"/>
      <c r="CU513" s="398"/>
      <c r="CV513" s="398"/>
      <c r="CW513" s="398"/>
      <c r="CX513" s="398"/>
      <c r="CY513" s="398"/>
      <c r="CZ513" s="398"/>
      <c r="DA513" s="398"/>
      <c r="DB513" s="398"/>
      <c r="DC513" s="398"/>
      <c r="DD513" s="398"/>
      <c r="DE513" s="393"/>
      <c r="DF513" s="393"/>
      <c r="DG513" s="393"/>
      <c r="DH513" s="393"/>
      <c r="DI513" s="393"/>
      <c r="DJ513" s="393"/>
      <c r="DK513" s="897"/>
    </row>
    <row r="514" spans="1:115" ht="25.5" x14ac:dyDescent="0.2">
      <c r="A514" s="295">
        <v>510</v>
      </c>
      <c r="B514" s="390" t="s">
        <v>4441</v>
      </c>
      <c r="C514" s="390"/>
      <c r="D514" s="391" t="s">
        <v>4442</v>
      </c>
      <c r="E514" s="704" t="s">
        <v>4443</v>
      </c>
      <c r="F514" s="393" t="s">
        <v>1352</v>
      </c>
      <c r="G514" s="393" t="s">
        <v>1673</v>
      </c>
      <c r="H514" s="393" t="s">
        <v>42</v>
      </c>
      <c r="I514" s="392"/>
      <c r="J514" s="392"/>
      <c r="K514" s="392" t="s">
        <v>370</v>
      </c>
      <c r="L514" s="392" t="s">
        <v>844</v>
      </c>
      <c r="M514" s="392"/>
      <c r="N514" s="393" t="s">
        <v>44</v>
      </c>
      <c r="O514" s="393" t="s">
        <v>827</v>
      </c>
      <c r="P514" s="393" t="s">
        <v>827</v>
      </c>
      <c r="Q514" s="392" t="s">
        <v>836</v>
      </c>
      <c r="R514" s="392" t="s">
        <v>4444</v>
      </c>
      <c r="S514" s="392" t="s">
        <v>291</v>
      </c>
      <c r="T514" s="394">
        <v>1</v>
      </c>
      <c r="U514" s="395">
        <v>15.353999999999999</v>
      </c>
      <c r="V514" s="395"/>
      <c r="W514" s="453"/>
      <c r="X514" s="394"/>
      <c r="Y514" s="394">
        <v>7</v>
      </c>
      <c r="Z514" s="394">
        <v>25</v>
      </c>
      <c r="AA514" s="395">
        <v>0</v>
      </c>
      <c r="AB514" s="452">
        <v>41306</v>
      </c>
      <c r="AC514" s="398">
        <v>0</v>
      </c>
      <c r="AD514" s="398">
        <v>121.57002739726026</v>
      </c>
      <c r="AE514" s="393" t="s">
        <v>54</v>
      </c>
      <c r="AF514" s="417"/>
      <c r="AG514" s="417"/>
      <c r="AH514" s="417"/>
      <c r="AI514" s="394"/>
      <c r="AJ514" s="453"/>
      <c r="AK514" s="453"/>
      <c r="AL514" s="393"/>
      <c r="AM514" s="393"/>
      <c r="AN514" s="417"/>
      <c r="AO514" s="392"/>
      <c r="AP514" s="392"/>
      <c r="AQ514" s="392"/>
      <c r="AR514" s="392" t="s">
        <v>844</v>
      </c>
      <c r="AS514" s="480"/>
      <c r="AT514" s="453"/>
      <c r="AU514" s="453"/>
      <c r="AV514" s="453"/>
      <c r="AW514" s="453"/>
      <c r="AX514" s="453"/>
      <c r="AY514" s="453"/>
      <c r="AZ514" s="452">
        <v>41291</v>
      </c>
      <c r="BA514" s="393"/>
      <c r="BB514" s="393"/>
      <c r="BC514" s="393" t="b">
        <v>0</v>
      </c>
      <c r="BD514" s="393"/>
      <c r="BE514" s="392"/>
      <c r="BF514" s="394">
        <v>5</v>
      </c>
      <c r="BG514" s="394">
        <v>8</v>
      </c>
      <c r="BH514" s="394">
        <v>4</v>
      </c>
      <c r="BI514" s="394"/>
      <c r="BJ514" s="394"/>
      <c r="BK514" s="394"/>
      <c r="BL514" s="444" t="s">
        <v>6981</v>
      </c>
      <c r="BM514" s="392"/>
      <c r="BN514" s="393"/>
      <c r="BO514" s="393"/>
      <c r="BP514" s="399"/>
      <c r="BQ514" s="400"/>
      <c r="BR514" s="401"/>
      <c r="BS514" s="399">
        <v>10</v>
      </c>
      <c r="BT514" s="394">
        <v>16644</v>
      </c>
      <c r="BU514" s="417">
        <v>0.92249999999999999</v>
      </c>
      <c r="BV514" s="399"/>
      <c r="BW514" s="393" t="s">
        <v>3117</v>
      </c>
      <c r="BX514" s="392" t="s">
        <v>3177</v>
      </c>
      <c r="BY514" s="393"/>
      <c r="BZ514" s="393"/>
      <c r="CA514" s="441" t="s">
        <v>1662</v>
      </c>
      <c r="CB514" s="400"/>
      <c r="CC514" s="398"/>
      <c r="CD514" s="398"/>
      <c r="CE514" s="398"/>
      <c r="CF514" s="398"/>
      <c r="CG514" s="398"/>
      <c r="CH514" s="398"/>
      <c r="CI514" s="398">
        <v>14.074999999999999</v>
      </c>
      <c r="CJ514" s="398">
        <v>15.353999999999999</v>
      </c>
      <c r="CK514" s="398">
        <v>15.353999999999999</v>
      </c>
      <c r="CL514" s="398">
        <v>15.353999999999999</v>
      </c>
      <c r="CM514" s="398">
        <v>15.353999999999999</v>
      </c>
      <c r="CN514" s="398">
        <v>15.353999999999999</v>
      </c>
      <c r="CO514" s="398">
        <v>15.353999999999999</v>
      </c>
      <c r="CP514" s="398">
        <v>1.2795000000000001</v>
      </c>
      <c r="CQ514" s="398"/>
      <c r="CR514" s="398"/>
      <c r="CS514" s="398"/>
      <c r="CT514" s="398"/>
      <c r="CU514" s="398"/>
      <c r="CV514" s="398"/>
      <c r="CW514" s="398"/>
      <c r="CX514" s="398"/>
      <c r="CY514" s="398"/>
      <c r="CZ514" s="398"/>
      <c r="DA514" s="398"/>
      <c r="DB514" s="398"/>
      <c r="DC514" s="398"/>
      <c r="DD514" s="398"/>
      <c r="DE514" s="393"/>
      <c r="DF514" s="393"/>
      <c r="DG514" s="393"/>
      <c r="DH514" s="393"/>
      <c r="DI514" s="393"/>
      <c r="DJ514" s="393"/>
      <c r="DK514" s="897"/>
    </row>
    <row r="515" spans="1:115" ht="38.25" x14ac:dyDescent="0.2">
      <c r="A515" s="295">
        <v>511</v>
      </c>
      <c r="B515" s="390" t="s">
        <v>4445</v>
      </c>
      <c r="C515" s="390"/>
      <c r="D515" s="391" t="s">
        <v>4446</v>
      </c>
      <c r="E515" s="704" t="s">
        <v>4447</v>
      </c>
      <c r="F515" s="393" t="s">
        <v>1352</v>
      </c>
      <c r="G515" s="393" t="s">
        <v>1673</v>
      </c>
      <c r="H515" s="393" t="s">
        <v>42</v>
      </c>
      <c r="I515" s="392"/>
      <c r="J515" s="392"/>
      <c r="K515" s="392" t="s">
        <v>42</v>
      </c>
      <c r="L515" s="392" t="s">
        <v>844</v>
      </c>
      <c r="M515" s="392"/>
      <c r="N515" s="393" t="s">
        <v>44</v>
      </c>
      <c r="O515" s="393" t="s">
        <v>827</v>
      </c>
      <c r="P515" s="393" t="s">
        <v>827</v>
      </c>
      <c r="Q515" s="392" t="s">
        <v>836</v>
      </c>
      <c r="R515" s="392" t="s">
        <v>4448</v>
      </c>
      <c r="S515" s="392" t="s">
        <v>291</v>
      </c>
      <c r="T515" s="394">
        <v>1</v>
      </c>
      <c r="U515" s="395">
        <v>21.57</v>
      </c>
      <c r="V515" s="395"/>
      <c r="W515" s="453"/>
      <c r="X515" s="394"/>
      <c r="Y515" s="394">
        <v>7</v>
      </c>
      <c r="Z515" s="394">
        <v>25</v>
      </c>
      <c r="AA515" s="395">
        <v>0</v>
      </c>
      <c r="AB515" s="452">
        <v>41306</v>
      </c>
      <c r="AC515" s="398">
        <v>0</v>
      </c>
      <c r="AD515" s="398">
        <v>170.78712328767125</v>
      </c>
      <c r="AE515" s="393" t="s">
        <v>54</v>
      </c>
      <c r="AF515" s="417"/>
      <c r="AG515" s="417"/>
      <c r="AH515" s="417"/>
      <c r="AI515" s="394"/>
      <c r="AJ515" s="453"/>
      <c r="AK515" s="453"/>
      <c r="AL515" s="393"/>
      <c r="AM515" s="393"/>
      <c r="AN515" s="417"/>
      <c r="AO515" s="392"/>
      <c r="AP515" s="392"/>
      <c r="AQ515" s="392"/>
      <c r="AR515" s="392" t="s">
        <v>844</v>
      </c>
      <c r="AS515" s="480"/>
      <c r="AT515" s="453"/>
      <c r="AU515" s="453"/>
      <c r="AV515" s="453"/>
      <c r="AW515" s="453"/>
      <c r="AX515" s="453"/>
      <c r="AY515" s="453"/>
      <c r="AZ515" s="452">
        <v>41291</v>
      </c>
      <c r="BA515" s="393"/>
      <c r="BB515" s="393"/>
      <c r="BC515" s="393" t="b">
        <v>0</v>
      </c>
      <c r="BD515" s="393"/>
      <c r="BE515" s="392"/>
      <c r="BF515" s="394">
        <v>5</v>
      </c>
      <c r="BG515" s="394">
        <v>8</v>
      </c>
      <c r="BH515" s="394">
        <v>4</v>
      </c>
      <c r="BI515" s="394"/>
      <c r="BJ515" s="394"/>
      <c r="BK515" s="394"/>
      <c r="BL515" s="444" t="s">
        <v>6981</v>
      </c>
      <c r="BM515" s="392"/>
      <c r="BN515" s="393"/>
      <c r="BO515" s="393"/>
      <c r="BP515" s="399"/>
      <c r="BQ515" s="400"/>
      <c r="BR515" s="401"/>
      <c r="BS515" s="399">
        <v>14</v>
      </c>
      <c r="BT515" s="394">
        <v>23302</v>
      </c>
      <c r="BU515" s="417">
        <v>0.92249999999999999</v>
      </c>
      <c r="BV515" s="399"/>
      <c r="BW515" s="393" t="s">
        <v>3117</v>
      </c>
      <c r="BX515" s="392" t="s">
        <v>3177</v>
      </c>
      <c r="BY515" s="393"/>
      <c r="BZ515" s="393"/>
      <c r="CA515" s="441" t="s">
        <v>1662</v>
      </c>
      <c r="CB515" s="400"/>
      <c r="CC515" s="398"/>
      <c r="CD515" s="398"/>
      <c r="CE515" s="398"/>
      <c r="CF515" s="398"/>
      <c r="CG515" s="398"/>
      <c r="CH515" s="398"/>
      <c r="CI515" s="398">
        <v>19.771999999999998</v>
      </c>
      <c r="CJ515" s="398">
        <v>21.57</v>
      </c>
      <c r="CK515" s="398">
        <v>21.57</v>
      </c>
      <c r="CL515" s="398">
        <v>21.57</v>
      </c>
      <c r="CM515" s="398">
        <v>21.57</v>
      </c>
      <c r="CN515" s="398">
        <v>21.57</v>
      </c>
      <c r="CO515" s="398">
        <v>21.57</v>
      </c>
      <c r="CP515" s="398">
        <v>1.798</v>
      </c>
      <c r="CQ515" s="398"/>
      <c r="CR515" s="398"/>
      <c r="CS515" s="398"/>
      <c r="CT515" s="398"/>
      <c r="CU515" s="398"/>
      <c r="CV515" s="398"/>
      <c r="CW515" s="398"/>
      <c r="CX515" s="398"/>
      <c r="CY515" s="398"/>
      <c r="CZ515" s="398"/>
      <c r="DA515" s="398"/>
      <c r="DB515" s="398"/>
      <c r="DC515" s="398"/>
      <c r="DD515" s="398"/>
      <c r="DE515" s="393"/>
      <c r="DF515" s="393"/>
      <c r="DG515" s="393"/>
      <c r="DH515" s="393"/>
      <c r="DI515" s="393"/>
      <c r="DJ515" s="393"/>
      <c r="DK515" s="897"/>
    </row>
    <row r="516" spans="1:115" ht="25.5" x14ac:dyDescent="0.2">
      <c r="A516" s="295">
        <v>512</v>
      </c>
      <c r="B516" s="390" t="s">
        <v>4449</v>
      </c>
      <c r="C516" s="390"/>
      <c r="D516" s="391" t="s">
        <v>4450</v>
      </c>
      <c r="E516" s="704" t="s">
        <v>4451</v>
      </c>
      <c r="F516" s="393" t="s">
        <v>1352</v>
      </c>
      <c r="G516" s="393" t="s">
        <v>1673</v>
      </c>
      <c r="H516" s="393" t="s">
        <v>42</v>
      </c>
      <c r="I516" s="392"/>
      <c r="J516" s="392"/>
      <c r="K516" s="392" t="s">
        <v>4452</v>
      </c>
      <c r="L516" s="392" t="s">
        <v>844</v>
      </c>
      <c r="M516" s="392"/>
      <c r="N516" s="393" t="s">
        <v>44</v>
      </c>
      <c r="O516" s="393" t="s">
        <v>827</v>
      </c>
      <c r="P516" s="393" t="s">
        <v>827</v>
      </c>
      <c r="Q516" s="392" t="s">
        <v>836</v>
      </c>
      <c r="R516" s="392" t="s">
        <v>4453</v>
      </c>
      <c r="S516" s="392" t="s">
        <v>291</v>
      </c>
      <c r="T516" s="394">
        <v>1</v>
      </c>
      <c r="U516" s="395"/>
      <c r="V516" s="395"/>
      <c r="W516" s="453"/>
      <c r="X516" s="394"/>
      <c r="Y516" s="394">
        <v>7</v>
      </c>
      <c r="Z516" s="394">
        <v>25</v>
      </c>
      <c r="AA516" s="395">
        <v>0</v>
      </c>
      <c r="AB516" s="452">
        <v>41306</v>
      </c>
      <c r="AC516" s="398">
        <v>0</v>
      </c>
      <c r="AD516" s="398">
        <v>0</v>
      </c>
      <c r="AE516" s="393" t="s">
        <v>54</v>
      </c>
      <c r="AF516" s="417"/>
      <c r="AG516" s="417"/>
      <c r="AH516" s="417"/>
      <c r="AI516" s="394"/>
      <c r="AJ516" s="453"/>
      <c r="AK516" s="453"/>
      <c r="AL516" s="393"/>
      <c r="AM516" s="393"/>
      <c r="AN516" s="417"/>
      <c r="AO516" s="392"/>
      <c r="AP516" s="392"/>
      <c r="AQ516" s="392"/>
      <c r="AR516" s="392" t="s">
        <v>844</v>
      </c>
      <c r="AS516" s="480"/>
      <c r="AT516" s="453"/>
      <c r="AU516" s="453"/>
      <c r="AV516" s="453"/>
      <c r="AW516" s="453"/>
      <c r="AX516" s="453"/>
      <c r="AY516" s="453"/>
      <c r="AZ516" s="452">
        <v>41291</v>
      </c>
      <c r="BA516" s="393"/>
      <c r="BB516" s="393"/>
      <c r="BC516" s="393" t="b">
        <v>0</v>
      </c>
      <c r="BD516" s="393"/>
      <c r="BE516" s="392"/>
      <c r="BF516" s="394">
        <v>5</v>
      </c>
      <c r="BG516" s="394">
        <v>8</v>
      </c>
      <c r="BH516" s="394">
        <v>4</v>
      </c>
      <c r="BI516" s="394"/>
      <c r="BJ516" s="394"/>
      <c r="BK516" s="394"/>
      <c r="BL516" s="444" t="s">
        <v>6981</v>
      </c>
      <c r="BM516" s="392"/>
      <c r="BN516" s="393"/>
      <c r="BO516" s="393"/>
      <c r="BP516" s="399"/>
      <c r="BQ516" s="400"/>
      <c r="BR516" s="401"/>
      <c r="BS516" s="399">
        <v>14</v>
      </c>
      <c r="BT516" s="394">
        <v>233016</v>
      </c>
      <c r="BU516" s="417">
        <v>0.92249999999999999</v>
      </c>
      <c r="BV516" s="399"/>
      <c r="BW516" s="393" t="s">
        <v>3117</v>
      </c>
      <c r="BX516" s="392" t="s">
        <v>3177</v>
      </c>
      <c r="BY516" s="393"/>
      <c r="BZ516" s="393"/>
      <c r="CA516" s="441" t="s">
        <v>1662</v>
      </c>
      <c r="CB516" s="400"/>
      <c r="CC516" s="398"/>
      <c r="CD516" s="398"/>
      <c r="CE516" s="398"/>
      <c r="CF516" s="398"/>
      <c r="CG516" s="398"/>
      <c r="CH516" s="398"/>
      <c r="CI516" s="398">
        <v>19.704000000000001</v>
      </c>
      <c r="CJ516" s="398">
        <v>21.495000000000001</v>
      </c>
      <c r="CK516" s="398">
        <v>21.495000000000001</v>
      </c>
      <c r="CL516" s="398">
        <v>21.495000000000001</v>
      </c>
      <c r="CM516" s="398">
        <v>21.495000000000001</v>
      </c>
      <c r="CN516" s="398">
        <v>21.495000000000001</v>
      </c>
      <c r="CO516" s="398">
        <v>21.495000000000001</v>
      </c>
      <c r="CP516" s="398">
        <v>1.7909999999999999</v>
      </c>
      <c r="CQ516" s="398"/>
      <c r="CR516" s="398"/>
      <c r="CS516" s="398"/>
      <c r="CT516" s="398"/>
      <c r="CU516" s="398"/>
      <c r="CV516" s="398"/>
      <c r="CW516" s="398"/>
      <c r="CX516" s="398"/>
      <c r="CY516" s="398"/>
      <c r="CZ516" s="398"/>
      <c r="DA516" s="398"/>
      <c r="DB516" s="398"/>
      <c r="DC516" s="398"/>
      <c r="DD516" s="398"/>
      <c r="DE516" s="393"/>
      <c r="DF516" s="393"/>
      <c r="DG516" s="393"/>
      <c r="DH516" s="393"/>
      <c r="DI516" s="393"/>
      <c r="DJ516" s="393"/>
      <c r="DK516" s="897"/>
    </row>
    <row r="517" spans="1:115" ht="25.5" x14ac:dyDescent="0.2">
      <c r="A517" s="295">
        <v>513</v>
      </c>
      <c r="B517" s="390" t="s">
        <v>4454</v>
      </c>
      <c r="C517" s="390"/>
      <c r="D517" s="391" t="s">
        <v>4455</v>
      </c>
      <c r="E517" s="704" t="s">
        <v>4456</v>
      </c>
      <c r="F517" s="393" t="s">
        <v>1352</v>
      </c>
      <c r="G517" s="393" t="s">
        <v>1673</v>
      </c>
      <c r="H517" s="393" t="s">
        <v>42</v>
      </c>
      <c r="I517" s="392"/>
      <c r="J517" s="392"/>
      <c r="K517" s="392" t="s">
        <v>370</v>
      </c>
      <c r="L517" s="392" t="s">
        <v>844</v>
      </c>
      <c r="M517" s="392"/>
      <c r="N517" s="393" t="s">
        <v>44</v>
      </c>
      <c r="O517" s="393" t="s">
        <v>827</v>
      </c>
      <c r="P517" s="393" t="s">
        <v>827</v>
      </c>
      <c r="Q517" s="392" t="s">
        <v>836</v>
      </c>
      <c r="R517" s="392" t="s">
        <v>4457</v>
      </c>
      <c r="S517" s="392" t="s">
        <v>291</v>
      </c>
      <c r="T517" s="394">
        <v>1</v>
      </c>
      <c r="U517" s="395">
        <v>23.030999999999999</v>
      </c>
      <c r="V517" s="395"/>
      <c r="W517" s="453"/>
      <c r="X517" s="394"/>
      <c r="Y517" s="394">
        <v>7</v>
      </c>
      <c r="Z517" s="394">
        <v>25</v>
      </c>
      <c r="AA517" s="395">
        <v>0</v>
      </c>
      <c r="AB517" s="452">
        <v>41306</v>
      </c>
      <c r="AC517" s="398">
        <v>0</v>
      </c>
      <c r="AD517" s="398">
        <v>182.35504109589041</v>
      </c>
      <c r="AE517" s="393" t="s">
        <v>54</v>
      </c>
      <c r="AF517" s="417"/>
      <c r="AG517" s="417"/>
      <c r="AH517" s="417"/>
      <c r="AI517" s="394"/>
      <c r="AJ517" s="453"/>
      <c r="AK517" s="453"/>
      <c r="AL517" s="393"/>
      <c r="AM517" s="393"/>
      <c r="AN517" s="417"/>
      <c r="AO517" s="392"/>
      <c r="AP517" s="392"/>
      <c r="AQ517" s="392"/>
      <c r="AR517" s="392" t="s">
        <v>844</v>
      </c>
      <c r="AS517" s="480"/>
      <c r="AT517" s="453"/>
      <c r="AU517" s="453"/>
      <c r="AV517" s="453"/>
      <c r="AW517" s="453"/>
      <c r="AX517" s="453"/>
      <c r="AY517" s="453"/>
      <c r="AZ517" s="452">
        <v>41291</v>
      </c>
      <c r="BA517" s="393"/>
      <c r="BB517" s="393"/>
      <c r="BC517" s="393" t="b">
        <v>0</v>
      </c>
      <c r="BD517" s="393"/>
      <c r="BE517" s="392"/>
      <c r="BF517" s="394">
        <v>5</v>
      </c>
      <c r="BG517" s="394">
        <v>8</v>
      </c>
      <c r="BH517" s="394">
        <v>4</v>
      </c>
      <c r="BI517" s="394"/>
      <c r="BJ517" s="394"/>
      <c r="BK517" s="394"/>
      <c r="BL517" s="444" t="s">
        <v>6981</v>
      </c>
      <c r="BM517" s="392"/>
      <c r="BN517" s="393"/>
      <c r="BO517" s="393"/>
      <c r="BP517" s="399"/>
      <c r="BQ517" s="400"/>
      <c r="BR517" s="401"/>
      <c r="BS517" s="399">
        <v>15</v>
      </c>
      <c r="BT517" s="394">
        <v>24966</v>
      </c>
      <c r="BU517" s="417">
        <v>0.92249999999999999</v>
      </c>
      <c r="BV517" s="399"/>
      <c r="BW517" s="393" t="s">
        <v>3117</v>
      </c>
      <c r="BX517" s="392" t="s">
        <v>3177</v>
      </c>
      <c r="BY517" s="393"/>
      <c r="BZ517" s="393"/>
      <c r="CA517" s="441" t="s">
        <v>1662</v>
      </c>
      <c r="CB517" s="400"/>
      <c r="CC517" s="398"/>
      <c r="CD517" s="398"/>
      <c r="CE517" s="398"/>
      <c r="CF517" s="398"/>
      <c r="CG517" s="398"/>
      <c r="CH517" s="398"/>
      <c r="CI517" s="398">
        <v>21.111999999999998</v>
      </c>
      <c r="CJ517" s="398">
        <v>23.030999999999999</v>
      </c>
      <c r="CK517" s="398">
        <v>23.030999999999999</v>
      </c>
      <c r="CL517" s="398">
        <v>23.030999999999999</v>
      </c>
      <c r="CM517" s="398">
        <v>23.030999999999999</v>
      </c>
      <c r="CN517" s="398">
        <v>23.030999999999999</v>
      </c>
      <c r="CO517" s="398">
        <v>23.030999999999999</v>
      </c>
      <c r="CP517" s="398">
        <v>1.919</v>
      </c>
      <c r="CQ517" s="398"/>
      <c r="CR517" s="398"/>
      <c r="CS517" s="398"/>
      <c r="CT517" s="398"/>
      <c r="CU517" s="398"/>
      <c r="CV517" s="398"/>
      <c r="CW517" s="398"/>
      <c r="CX517" s="398"/>
      <c r="CY517" s="398"/>
      <c r="CZ517" s="398"/>
      <c r="DA517" s="398"/>
      <c r="DB517" s="398"/>
      <c r="DC517" s="398"/>
      <c r="DD517" s="398"/>
      <c r="DE517" s="393"/>
      <c r="DF517" s="393"/>
      <c r="DG517" s="393"/>
      <c r="DH517" s="393"/>
      <c r="DI517" s="393"/>
      <c r="DJ517" s="393"/>
      <c r="DK517" s="897"/>
    </row>
    <row r="518" spans="1:115" ht="25.5" x14ac:dyDescent="0.2">
      <c r="A518" s="295">
        <v>514</v>
      </c>
      <c r="B518" s="390" t="s">
        <v>5707</v>
      </c>
      <c r="C518" s="390"/>
      <c r="D518" s="391" t="s">
        <v>5708</v>
      </c>
      <c r="E518" s="704" t="s">
        <v>5709</v>
      </c>
      <c r="F518" s="393" t="s">
        <v>1352</v>
      </c>
      <c r="G518" s="393" t="s">
        <v>1673</v>
      </c>
      <c r="H518" s="393" t="s">
        <v>42</v>
      </c>
      <c r="I518" s="392"/>
      <c r="J518" s="392"/>
      <c r="K518" s="392" t="s">
        <v>370</v>
      </c>
      <c r="L518" s="392" t="s">
        <v>844</v>
      </c>
      <c r="M518" s="392"/>
      <c r="N518" s="393" t="s">
        <v>44</v>
      </c>
      <c r="O518" s="393" t="s">
        <v>827</v>
      </c>
      <c r="P518" s="393" t="s">
        <v>827</v>
      </c>
      <c r="Q518" s="392" t="s">
        <v>836</v>
      </c>
      <c r="R518" s="392" t="s">
        <v>5710</v>
      </c>
      <c r="S518" s="392" t="s">
        <v>291</v>
      </c>
      <c r="T518" s="394">
        <v>1</v>
      </c>
      <c r="U518" s="395">
        <v>21.649000000000001</v>
      </c>
      <c r="V518" s="395"/>
      <c r="W518" s="453"/>
      <c r="X518" s="394"/>
      <c r="Y518" s="394">
        <v>7</v>
      </c>
      <c r="Z518" s="394">
        <v>25</v>
      </c>
      <c r="AA518" s="395">
        <v>0</v>
      </c>
      <c r="AB518" s="452">
        <v>41585</v>
      </c>
      <c r="AC518" s="398">
        <v>0</v>
      </c>
      <c r="AD518" s="398">
        <v>154.86449041095892</v>
      </c>
      <c r="AE518" s="393" t="s">
        <v>54</v>
      </c>
      <c r="AF518" s="417"/>
      <c r="AG518" s="417"/>
      <c r="AH518" s="417"/>
      <c r="AI518" s="394"/>
      <c r="AJ518" s="453"/>
      <c r="AK518" s="453"/>
      <c r="AL518" s="393"/>
      <c r="AM518" s="393"/>
      <c r="AN518" s="417"/>
      <c r="AO518" s="392"/>
      <c r="AP518" s="392"/>
      <c r="AQ518" s="392"/>
      <c r="AR518" s="392" t="s">
        <v>844</v>
      </c>
      <c r="AS518" s="480"/>
      <c r="AT518" s="453"/>
      <c r="AU518" s="453"/>
      <c r="AV518" s="453"/>
      <c r="AW518" s="453"/>
      <c r="AX518" s="453"/>
      <c r="AY518" s="453"/>
      <c r="AZ518" s="452">
        <v>41585</v>
      </c>
      <c r="BA518" s="393"/>
      <c r="BB518" s="393"/>
      <c r="BC518" s="393" t="b">
        <v>0</v>
      </c>
      <c r="BD518" s="393"/>
      <c r="BE518" s="392"/>
      <c r="BF518" s="394">
        <v>5</v>
      </c>
      <c r="BG518" s="394">
        <v>8</v>
      </c>
      <c r="BH518" s="394">
        <v>4</v>
      </c>
      <c r="BI518" s="394"/>
      <c r="BJ518" s="394"/>
      <c r="BK518" s="394"/>
      <c r="BL518" s="444" t="s">
        <v>6981</v>
      </c>
      <c r="BM518" s="392"/>
      <c r="BN518" s="393"/>
      <c r="BO518" s="393"/>
      <c r="BP518" s="399"/>
      <c r="BQ518" s="400"/>
      <c r="BR518" s="401"/>
      <c r="BS518" s="399">
        <v>14.1</v>
      </c>
      <c r="BT518" s="394">
        <v>23468</v>
      </c>
      <c r="BU518" s="417">
        <v>0.92249999999999999</v>
      </c>
      <c r="BV518" s="399"/>
      <c r="BW518" s="393" t="s">
        <v>3117</v>
      </c>
      <c r="BX518" s="392" t="s">
        <v>3177</v>
      </c>
      <c r="BY518" s="393"/>
      <c r="BZ518" s="393"/>
      <c r="CA518" s="441" t="s">
        <v>1662</v>
      </c>
      <c r="CB518" s="400"/>
      <c r="CC518" s="398"/>
      <c r="CD518" s="398"/>
      <c r="CE518" s="398"/>
      <c r="CF518" s="398"/>
      <c r="CG518" s="398"/>
      <c r="CH518" s="398"/>
      <c r="CI518" s="398">
        <v>21.649000000000001</v>
      </c>
      <c r="CJ518" s="398">
        <v>21.649000000000001</v>
      </c>
      <c r="CK518" s="398">
        <v>21.649000000000001</v>
      </c>
      <c r="CL518" s="398">
        <v>21.649000000000001</v>
      </c>
      <c r="CM518" s="398">
        <v>21.649000000000001</v>
      </c>
      <c r="CN518" s="398">
        <v>21.649000000000001</v>
      </c>
      <c r="CO518" s="398">
        <v>21.649000000000001</v>
      </c>
      <c r="CP518" s="398"/>
      <c r="CQ518" s="398"/>
      <c r="CR518" s="398"/>
      <c r="CS518" s="398"/>
      <c r="CT518" s="398"/>
      <c r="CU518" s="398"/>
      <c r="CV518" s="398"/>
      <c r="CW518" s="398"/>
      <c r="CX518" s="398"/>
      <c r="CY518" s="398"/>
      <c r="CZ518" s="398"/>
      <c r="DA518" s="398"/>
      <c r="DB518" s="398"/>
      <c r="DC518" s="398"/>
      <c r="DD518" s="398"/>
      <c r="DE518" s="393"/>
      <c r="DF518" s="393"/>
      <c r="DG518" s="393"/>
      <c r="DH518" s="393"/>
      <c r="DI518" s="393"/>
      <c r="DJ518" s="393"/>
      <c r="DK518" s="897"/>
    </row>
    <row r="519" spans="1:115" ht="25.5" x14ac:dyDescent="0.2">
      <c r="A519" s="295">
        <v>515</v>
      </c>
      <c r="B519" s="390" t="s">
        <v>5898</v>
      </c>
      <c r="C519" s="390"/>
      <c r="D519" s="391" t="s">
        <v>5899</v>
      </c>
      <c r="E519" s="704" t="s">
        <v>5900</v>
      </c>
      <c r="F519" s="393" t="s">
        <v>1352</v>
      </c>
      <c r="G519" s="393" t="s">
        <v>1673</v>
      </c>
      <c r="H519" s="393" t="s">
        <v>42</v>
      </c>
      <c r="I519" s="392"/>
      <c r="J519" s="392"/>
      <c r="K519" s="392" t="s">
        <v>5901</v>
      </c>
      <c r="L519" s="392" t="s">
        <v>844</v>
      </c>
      <c r="M519" s="392"/>
      <c r="N519" s="393" t="s">
        <v>44</v>
      </c>
      <c r="O519" s="393" t="s">
        <v>827</v>
      </c>
      <c r="P519" s="393" t="s">
        <v>827</v>
      </c>
      <c r="Q519" s="392" t="s">
        <v>836</v>
      </c>
      <c r="R519" s="392" t="s">
        <v>5902</v>
      </c>
      <c r="S519" s="392" t="s">
        <v>291</v>
      </c>
      <c r="T519" s="394">
        <v>1</v>
      </c>
      <c r="U519" s="395">
        <v>22.263000000000002</v>
      </c>
      <c r="V519" s="395"/>
      <c r="W519" s="453"/>
      <c r="X519" s="394"/>
      <c r="Y519" s="394">
        <v>7</v>
      </c>
      <c r="Z519" s="394">
        <v>25</v>
      </c>
      <c r="AA519" s="395">
        <v>0</v>
      </c>
      <c r="AB519" s="452">
        <v>41676</v>
      </c>
      <c r="AC519" s="398">
        <v>0</v>
      </c>
      <c r="AD519" s="398">
        <v>153.70619178082191</v>
      </c>
      <c r="AE519" s="393" t="s">
        <v>54</v>
      </c>
      <c r="AF519" s="417"/>
      <c r="AG519" s="417"/>
      <c r="AH519" s="417"/>
      <c r="AI519" s="394"/>
      <c r="AJ519" s="453"/>
      <c r="AK519" s="453"/>
      <c r="AL519" s="393"/>
      <c r="AM519" s="393"/>
      <c r="AN519" s="417"/>
      <c r="AO519" s="392"/>
      <c r="AP519" s="392"/>
      <c r="AQ519" s="392"/>
      <c r="AR519" s="392" t="s">
        <v>844</v>
      </c>
      <c r="AS519" s="480"/>
      <c r="AT519" s="397"/>
      <c r="AU519" s="397"/>
      <c r="AV519" s="453"/>
      <c r="AW519" s="453"/>
      <c r="AX519" s="453"/>
      <c r="AY519" s="453"/>
      <c r="AZ519" s="452">
        <v>41676</v>
      </c>
      <c r="BA519" s="393"/>
      <c r="BB519" s="393"/>
      <c r="BC519" s="393" t="b">
        <v>0</v>
      </c>
      <c r="BD519" s="393"/>
      <c r="BE519" s="392"/>
      <c r="BF519" s="394">
        <v>5</v>
      </c>
      <c r="BG519" s="394">
        <v>8</v>
      </c>
      <c r="BH519" s="394">
        <v>4</v>
      </c>
      <c r="BI519" s="394"/>
      <c r="BJ519" s="394"/>
      <c r="BK519" s="394"/>
      <c r="BL519" s="444" t="s">
        <v>6981</v>
      </c>
      <c r="BM519" s="392"/>
      <c r="BN519" s="393"/>
      <c r="BO519" s="393"/>
      <c r="BP519" s="399"/>
      <c r="BQ519" s="400"/>
      <c r="BR519" s="401"/>
      <c r="BS519" s="399">
        <v>14.5</v>
      </c>
      <c r="BT519" s="394">
        <v>24134</v>
      </c>
      <c r="BU519" s="417">
        <v>0.92249999999999999</v>
      </c>
      <c r="BV519" s="399"/>
      <c r="BW519" s="393" t="s">
        <v>3117</v>
      </c>
      <c r="BX519" s="392" t="s">
        <v>3177</v>
      </c>
      <c r="BY519" s="393"/>
      <c r="BZ519" s="393"/>
      <c r="CA519" s="441" t="s">
        <v>1662</v>
      </c>
      <c r="CB519" s="400"/>
      <c r="CC519" s="398"/>
      <c r="CD519" s="398"/>
      <c r="CE519" s="398"/>
      <c r="CF519" s="398"/>
      <c r="CG519" s="398"/>
      <c r="CH519" s="398"/>
      <c r="CI519" s="398"/>
      <c r="CJ519" s="398">
        <v>22.263000000000002</v>
      </c>
      <c r="CK519" s="398">
        <v>22.263000000000002</v>
      </c>
      <c r="CL519" s="398">
        <v>22.263000000000002</v>
      </c>
      <c r="CM519" s="398">
        <v>22.263000000000002</v>
      </c>
      <c r="CN519" s="398">
        <v>22.263000000000002</v>
      </c>
      <c r="CO519" s="398">
        <v>22.263000000000002</v>
      </c>
      <c r="CP519" s="398">
        <v>22.263000000000002</v>
      </c>
      <c r="CQ519" s="398"/>
      <c r="CR519" s="398"/>
      <c r="CS519" s="398"/>
      <c r="CT519" s="398"/>
      <c r="CU519" s="398"/>
      <c r="CV519" s="398"/>
      <c r="CW519" s="398"/>
      <c r="CX519" s="398"/>
      <c r="CY519" s="398"/>
      <c r="CZ519" s="398"/>
      <c r="DA519" s="398"/>
      <c r="DB519" s="398"/>
      <c r="DC519" s="398"/>
      <c r="DD519" s="398"/>
      <c r="DE519" s="393"/>
      <c r="DF519" s="393"/>
      <c r="DG519" s="393"/>
      <c r="DH519" s="393"/>
      <c r="DI519" s="393"/>
      <c r="DJ519" s="393"/>
      <c r="DK519" s="897"/>
    </row>
    <row r="520" spans="1:115" ht="25.5" x14ac:dyDescent="0.2">
      <c r="A520" s="295">
        <v>516</v>
      </c>
      <c r="B520" s="390" t="s">
        <v>8137</v>
      </c>
      <c r="C520" s="390"/>
      <c r="D520" s="391" t="s">
        <v>8138</v>
      </c>
      <c r="E520" s="705" t="s">
        <v>8139</v>
      </c>
      <c r="F520" s="393" t="s">
        <v>1352</v>
      </c>
      <c r="G520" s="393" t="s">
        <v>1673</v>
      </c>
      <c r="H520" s="393" t="s">
        <v>42</v>
      </c>
      <c r="I520" s="392"/>
      <c r="J520" s="392"/>
      <c r="K520" s="428" t="s">
        <v>5901</v>
      </c>
      <c r="L520" s="428" t="s">
        <v>844</v>
      </c>
      <c r="M520" s="392"/>
      <c r="N520" s="475" t="s">
        <v>44</v>
      </c>
      <c r="O520" s="475" t="s">
        <v>827</v>
      </c>
      <c r="P520" s="475" t="s">
        <v>827</v>
      </c>
      <c r="Q520" s="428" t="s">
        <v>836</v>
      </c>
      <c r="R520" s="428" t="s">
        <v>8140</v>
      </c>
      <c r="S520" s="428" t="s">
        <v>291</v>
      </c>
      <c r="T520" s="394">
        <v>1</v>
      </c>
      <c r="U520" s="395">
        <v>13.359</v>
      </c>
      <c r="V520" s="395"/>
      <c r="W520" s="453"/>
      <c r="X520" s="394"/>
      <c r="Y520" s="394">
        <v>7</v>
      </c>
      <c r="Z520" s="394">
        <v>25</v>
      </c>
      <c r="AA520" s="395">
        <v>0</v>
      </c>
      <c r="AB520" s="452">
        <v>42527</v>
      </c>
      <c r="AC520" s="398">
        <v>0</v>
      </c>
      <c r="AD520" s="398">
        <v>61.085399999999993</v>
      </c>
      <c r="AE520" s="475" t="s">
        <v>54</v>
      </c>
      <c r="AF520" s="417"/>
      <c r="AG520" s="417"/>
      <c r="AH520" s="417"/>
      <c r="AI520" s="394"/>
      <c r="AJ520" s="453"/>
      <c r="AK520" s="453"/>
      <c r="AL520" s="393"/>
      <c r="AM520" s="393"/>
      <c r="AN520" s="417"/>
      <c r="AO520" s="392"/>
      <c r="AP520" s="428"/>
      <c r="AQ520" s="392"/>
      <c r="AR520" s="428" t="s">
        <v>844</v>
      </c>
      <c r="AS520" s="480"/>
      <c r="AT520" s="453"/>
      <c r="AU520" s="453"/>
      <c r="AV520" s="453"/>
      <c r="AW520" s="453"/>
      <c r="AX520" s="453"/>
      <c r="AY520" s="453"/>
      <c r="AZ520" s="452">
        <v>42524</v>
      </c>
      <c r="BA520" s="393"/>
      <c r="BB520" s="393"/>
      <c r="BC520" s="393" t="b">
        <v>0</v>
      </c>
      <c r="BD520" s="393"/>
      <c r="BE520" s="392"/>
      <c r="BF520" s="394">
        <v>5</v>
      </c>
      <c r="BG520" s="394">
        <v>8</v>
      </c>
      <c r="BH520" s="394">
        <v>4</v>
      </c>
      <c r="BI520" s="394"/>
      <c r="BJ520" s="394"/>
      <c r="BK520" s="394"/>
      <c r="BL520" s="444" t="s">
        <v>6981</v>
      </c>
      <c r="BM520" s="392"/>
      <c r="BN520" s="393"/>
      <c r="BO520" s="393"/>
      <c r="BP520" s="399"/>
      <c r="BQ520" s="400"/>
      <c r="BR520" s="401"/>
      <c r="BS520" s="399">
        <v>6.1</v>
      </c>
      <c r="BT520" s="394">
        <f>5825+4327</f>
        <v>10152</v>
      </c>
      <c r="BU520" s="417">
        <f>(0.9451+0.9225)/2</f>
        <v>0.93379999999999996</v>
      </c>
      <c r="BV520" s="399"/>
      <c r="BW520" s="475" t="s">
        <v>3117</v>
      </c>
      <c r="BX520" s="428" t="s">
        <v>55</v>
      </c>
      <c r="BY520" s="393"/>
      <c r="BZ520" s="393"/>
      <c r="CA520" s="441"/>
      <c r="CB520" s="400"/>
      <c r="CC520" s="398"/>
      <c r="CD520" s="398"/>
      <c r="CE520" s="398"/>
      <c r="CF520" s="398"/>
      <c r="CG520" s="398"/>
      <c r="CH520" s="398"/>
      <c r="CI520" s="398"/>
      <c r="CJ520" s="398"/>
      <c r="CK520" s="398"/>
      <c r="CL520" s="398">
        <v>9.4969999999999999</v>
      </c>
      <c r="CM520" s="398">
        <v>9.4969999999999999</v>
      </c>
      <c r="CN520" s="398">
        <v>9.4969999999999999</v>
      </c>
      <c r="CO520" s="398">
        <v>9.4969999999999999</v>
      </c>
      <c r="CP520" s="398">
        <v>9.4969999999999999</v>
      </c>
      <c r="CQ520" s="398">
        <v>9.4969999999999999</v>
      </c>
      <c r="CR520" s="398">
        <v>9.4969999999999999</v>
      </c>
      <c r="CS520" s="398"/>
      <c r="CT520" s="398"/>
      <c r="CU520" s="398"/>
      <c r="CV520" s="398"/>
      <c r="CW520" s="398"/>
      <c r="CX520" s="398"/>
      <c r="CY520" s="398"/>
      <c r="CZ520" s="398"/>
      <c r="DA520" s="398"/>
      <c r="DB520" s="398"/>
      <c r="DC520" s="398"/>
      <c r="DD520" s="398"/>
      <c r="DE520" s="393"/>
      <c r="DF520" s="393"/>
      <c r="DG520" s="393"/>
      <c r="DH520" s="393"/>
      <c r="DI520" s="393"/>
      <c r="DJ520" s="393"/>
      <c r="DK520" s="897"/>
    </row>
    <row r="521" spans="1:115" ht="38.25" x14ac:dyDescent="0.2">
      <c r="A521" s="295">
        <v>517</v>
      </c>
      <c r="B521" s="390" t="s">
        <v>431</v>
      </c>
      <c r="C521" s="424" t="s">
        <v>7492</v>
      </c>
      <c r="D521" s="391"/>
      <c r="E521" s="706" t="s">
        <v>432</v>
      </c>
      <c r="F521" s="390" t="s">
        <v>1352</v>
      </c>
      <c r="G521" s="390" t="s">
        <v>1671</v>
      </c>
      <c r="H521" s="390" t="s">
        <v>117</v>
      </c>
      <c r="I521" s="402"/>
      <c r="J521" s="402" t="s">
        <v>433</v>
      </c>
      <c r="K521" s="402"/>
      <c r="L521" s="402" t="s">
        <v>3775</v>
      </c>
      <c r="M521" s="402" t="s">
        <v>4028</v>
      </c>
      <c r="N521" s="390" t="s">
        <v>33</v>
      </c>
      <c r="O521" s="390" t="s">
        <v>51</v>
      </c>
      <c r="P521" s="390" t="s">
        <v>51</v>
      </c>
      <c r="Q521" s="402" t="s">
        <v>426</v>
      </c>
      <c r="R521" s="402"/>
      <c r="S521" s="402" t="s">
        <v>427</v>
      </c>
      <c r="T521" s="411">
        <v>1</v>
      </c>
      <c r="U521" s="412">
        <v>35.783000000000001</v>
      </c>
      <c r="V521" s="412"/>
      <c r="W521" s="457">
        <v>40544</v>
      </c>
      <c r="X521" s="411">
        <v>28</v>
      </c>
      <c r="Y521" s="411"/>
      <c r="Z521" s="411"/>
      <c r="AA521" s="412"/>
      <c r="AB521" s="454"/>
      <c r="AC521" s="413">
        <v>65</v>
      </c>
      <c r="AD521" s="413">
        <v>346.26179726027402</v>
      </c>
      <c r="AE521" s="390" t="s">
        <v>434</v>
      </c>
      <c r="AF521" s="419"/>
      <c r="AG521" s="419"/>
      <c r="AH521" s="419">
        <v>0</v>
      </c>
      <c r="AI521" s="411"/>
      <c r="AJ521" s="454"/>
      <c r="AK521" s="454"/>
      <c r="AL521" s="390"/>
      <c r="AM521" s="390"/>
      <c r="AN521" s="419"/>
      <c r="AO521" s="402"/>
      <c r="AP521" s="402" t="s">
        <v>7041</v>
      </c>
      <c r="AQ521" s="402"/>
      <c r="AR521" s="402" t="s">
        <v>3775</v>
      </c>
      <c r="AS521" s="481">
        <v>40561</v>
      </c>
      <c r="AT521" s="454"/>
      <c r="AU521" s="454"/>
      <c r="AV521" s="454"/>
      <c r="AW521" s="454"/>
      <c r="AX521" s="454"/>
      <c r="AY521" s="454"/>
      <c r="AZ521" s="457">
        <v>41291</v>
      </c>
      <c r="BA521" s="390"/>
      <c r="BB521" s="390" t="s">
        <v>3116</v>
      </c>
      <c r="BC521" s="390" t="b">
        <v>0</v>
      </c>
      <c r="BD521" s="390" t="s">
        <v>3116</v>
      </c>
      <c r="BE521" s="402"/>
      <c r="BF521" s="411">
        <v>4</v>
      </c>
      <c r="BG521" s="411">
        <v>1</v>
      </c>
      <c r="BH521" s="411">
        <v>5</v>
      </c>
      <c r="BI521" s="411"/>
      <c r="BJ521" s="411"/>
      <c r="BK521" s="411"/>
      <c r="BL521" s="445"/>
      <c r="BM521" s="402"/>
      <c r="BN521" s="390"/>
      <c r="BO521" s="390"/>
      <c r="BP521" s="414"/>
      <c r="BQ521" s="415"/>
      <c r="BR521" s="416"/>
      <c r="BS521" s="414">
        <v>0</v>
      </c>
      <c r="BT521" s="411"/>
      <c r="BU521" s="419"/>
      <c r="BV521" s="414"/>
      <c r="BW521" s="390"/>
      <c r="BX521" s="402"/>
      <c r="BY521" s="390"/>
      <c r="BZ521" s="390"/>
      <c r="CA521" s="442"/>
      <c r="CB521" s="415"/>
      <c r="CC521" s="413"/>
      <c r="CD521" s="413"/>
      <c r="CE521" s="413"/>
      <c r="CF521" s="413"/>
      <c r="CG521" s="413"/>
      <c r="CH521" s="413"/>
      <c r="CI521" s="413"/>
      <c r="CJ521" s="413"/>
      <c r="CK521" s="413"/>
      <c r="CL521" s="413"/>
      <c r="CM521" s="413"/>
      <c r="CN521" s="413"/>
      <c r="CO521" s="413"/>
      <c r="CP521" s="413"/>
      <c r="CQ521" s="413"/>
      <c r="CR521" s="413"/>
      <c r="CS521" s="413"/>
      <c r="CT521" s="413"/>
      <c r="CU521" s="413"/>
      <c r="CV521" s="413"/>
      <c r="CW521" s="413"/>
      <c r="CX521" s="413"/>
      <c r="CY521" s="413"/>
      <c r="CZ521" s="413"/>
      <c r="DA521" s="413"/>
      <c r="DB521" s="413"/>
      <c r="DC521" s="413"/>
      <c r="DD521" s="413"/>
      <c r="DE521" s="390"/>
      <c r="DF521" s="390"/>
      <c r="DG521" s="390"/>
      <c r="DH521" s="390"/>
      <c r="DI521" s="390"/>
      <c r="DJ521" s="390"/>
      <c r="DK521" s="897"/>
    </row>
    <row r="522" spans="1:115" ht="38.25" x14ac:dyDescent="0.2">
      <c r="A522" s="295">
        <v>518</v>
      </c>
      <c r="B522" s="390" t="s">
        <v>2664</v>
      </c>
      <c r="C522" s="390"/>
      <c r="D522" s="391"/>
      <c r="E522" s="706" t="s">
        <v>435</v>
      </c>
      <c r="F522" s="390" t="s">
        <v>1352</v>
      </c>
      <c r="G522" s="390" t="s">
        <v>1671</v>
      </c>
      <c r="H522" s="390" t="s">
        <v>117</v>
      </c>
      <c r="I522" s="402"/>
      <c r="J522" s="402"/>
      <c r="K522" s="402" t="s">
        <v>436</v>
      </c>
      <c r="L522" s="402" t="s">
        <v>3775</v>
      </c>
      <c r="M522" s="402"/>
      <c r="N522" s="390" t="s">
        <v>33</v>
      </c>
      <c r="O522" s="390" t="s">
        <v>51</v>
      </c>
      <c r="P522" s="390" t="s">
        <v>51</v>
      </c>
      <c r="Q522" s="402" t="s">
        <v>426</v>
      </c>
      <c r="R522" s="402" t="s">
        <v>4029</v>
      </c>
      <c r="S522" s="402" t="s">
        <v>427</v>
      </c>
      <c r="T522" s="411">
        <v>1</v>
      </c>
      <c r="U522" s="412">
        <v>35.783000000000001</v>
      </c>
      <c r="V522" s="412"/>
      <c r="W522" s="454"/>
      <c r="X522" s="411"/>
      <c r="Y522" s="411">
        <v>7</v>
      </c>
      <c r="Z522" s="411">
        <v>8</v>
      </c>
      <c r="AA522" s="412">
        <v>-3</v>
      </c>
      <c r="AB522" s="457">
        <v>40664</v>
      </c>
      <c r="AC522" s="413">
        <v>65</v>
      </c>
      <c r="AD522" s="413">
        <v>346.26179726027402</v>
      </c>
      <c r="AE522" s="390" t="s">
        <v>434</v>
      </c>
      <c r="AF522" s="419"/>
      <c r="AG522" s="419"/>
      <c r="AH522" s="419"/>
      <c r="AI522" s="411"/>
      <c r="AJ522" s="454"/>
      <c r="AK522" s="454"/>
      <c r="AL522" s="390"/>
      <c r="AM522" s="390"/>
      <c r="AN522" s="419"/>
      <c r="AO522" s="402"/>
      <c r="AP522" s="402" t="s">
        <v>7041</v>
      </c>
      <c r="AQ522" s="402"/>
      <c r="AR522" s="402" t="s">
        <v>3775</v>
      </c>
      <c r="AS522" s="481">
        <v>40561</v>
      </c>
      <c r="AT522" s="454"/>
      <c r="AU522" s="454"/>
      <c r="AV522" s="457">
        <v>40806</v>
      </c>
      <c r="AW522" s="457">
        <v>40996</v>
      </c>
      <c r="AX522" s="454"/>
      <c r="AY522" s="454"/>
      <c r="AZ522" s="454"/>
      <c r="BA522" s="390"/>
      <c r="BB522" s="390"/>
      <c r="BC522" s="390" t="b">
        <v>0</v>
      </c>
      <c r="BD522" s="390"/>
      <c r="BE522" s="402"/>
      <c r="BF522" s="411">
        <v>4</v>
      </c>
      <c r="BG522" s="411">
        <v>1</v>
      </c>
      <c r="BH522" s="411">
        <v>5</v>
      </c>
      <c r="BI522" s="411"/>
      <c r="BJ522" s="411"/>
      <c r="BK522" s="411"/>
      <c r="BL522" s="445" t="s">
        <v>6981</v>
      </c>
      <c r="BM522" s="402"/>
      <c r="BN522" s="390"/>
      <c r="BO522" s="390"/>
      <c r="BP522" s="414"/>
      <c r="BQ522" s="415"/>
      <c r="BR522" s="416"/>
      <c r="BS522" s="414"/>
      <c r="BT522" s="411"/>
      <c r="BU522" s="419"/>
      <c r="BV522" s="414">
        <v>325.00599999999997</v>
      </c>
      <c r="BW522" s="390" t="s">
        <v>3117</v>
      </c>
      <c r="BX522" s="402" t="s">
        <v>1447</v>
      </c>
      <c r="BY522" s="390"/>
      <c r="BZ522" s="390"/>
      <c r="CA522" s="442" t="s">
        <v>1663</v>
      </c>
      <c r="CB522" s="415">
        <v>4</v>
      </c>
      <c r="CC522" s="413"/>
      <c r="CD522" s="413"/>
      <c r="CE522" s="413"/>
      <c r="CF522" s="413"/>
      <c r="CG522" s="413">
        <v>44.993000000000002</v>
      </c>
      <c r="CH522" s="413">
        <v>41.923000000000002</v>
      </c>
      <c r="CI522" s="413">
        <v>38.853000000000002</v>
      </c>
      <c r="CJ522" s="413">
        <v>35.783000000000001</v>
      </c>
      <c r="CK522" s="413">
        <v>32.713000000000001</v>
      </c>
      <c r="CL522" s="413">
        <v>29643</v>
      </c>
      <c r="CM522" s="413">
        <v>26.573</v>
      </c>
      <c r="CN522" s="413">
        <v>0</v>
      </c>
      <c r="CO522" s="413">
        <v>0</v>
      </c>
      <c r="CP522" s="413">
        <v>0</v>
      </c>
      <c r="CQ522" s="413"/>
      <c r="CR522" s="413"/>
      <c r="CS522" s="413"/>
      <c r="CT522" s="413"/>
      <c r="CU522" s="413"/>
      <c r="CV522" s="413"/>
      <c r="CW522" s="413"/>
      <c r="CX522" s="413"/>
      <c r="CY522" s="413"/>
      <c r="CZ522" s="413"/>
      <c r="DA522" s="413"/>
      <c r="DB522" s="413"/>
      <c r="DC522" s="413"/>
      <c r="DD522" s="413"/>
      <c r="DE522" s="390"/>
      <c r="DF522" s="390"/>
      <c r="DG522" s="390"/>
      <c r="DH522" s="390"/>
      <c r="DI522" s="390"/>
      <c r="DJ522" s="390"/>
      <c r="DK522" s="897"/>
    </row>
    <row r="523" spans="1:115" ht="38.25" x14ac:dyDescent="0.2">
      <c r="A523" s="295">
        <v>519</v>
      </c>
      <c r="B523" s="390" t="s">
        <v>437</v>
      </c>
      <c r="C523" s="424" t="s">
        <v>7493</v>
      </c>
      <c r="D523" s="391" t="s">
        <v>5071</v>
      </c>
      <c r="E523" s="704" t="s">
        <v>438</v>
      </c>
      <c r="F523" s="393" t="s">
        <v>1352</v>
      </c>
      <c r="G523" s="393" t="s">
        <v>1671</v>
      </c>
      <c r="H523" s="393" t="s">
        <v>117</v>
      </c>
      <c r="I523" s="392"/>
      <c r="J523" s="392" t="s">
        <v>439</v>
      </c>
      <c r="K523" s="392"/>
      <c r="L523" s="392" t="s">
        <v>440</v>
      </c>
      <c r="M523" s="392" t="s">
        <v>4030</v>
      </c>
      <c r="N523" s="393" t="s">
        <v>44</v>
      </c>
      <c r="O523" s="393" t="s">
        <v>51</v>
      </c>
      <c r="P523" s="393" t="s">
        <v>51</v>
      </c>
      <c r="Q523" s="392" t="s">
        <v>426</v>
      </c>
      <c r="R523" s="392"/>
      <c r="S523" s="392" t="s">
        <v>427</v>
      </c>
      <c r="T523" s="394">
        <v>1</v>
      </c>
      <c r="U523" s="395">
        <v>29.97</v>
      </c>
      <c r="V523" s="395"/>
      <c r="W523" s="452">
        <v>41110</v>
      </c>
      <c r="X523" s="394">
        <v>28</v>
      </c>
      <c r="Y523" s="394"/>
      <c r="Z523" s="394"/>
      <c r="AA523" s="395"/>
      <c r="AB523" s="453"/>
      <c r="AC523" s="398">
        <v>17.48</v>
      </c>
      <c r="AD523" s="398">
        <v>299.7</v>
      </c>
      <c r="AE523" s="393" t="s">
        <v>72</v>
      </c>
      <c r="AF523" s="417"/>
      <c r="AG523" s="417"/>
      <c r="AH523" s="417">
        <v>0</v>
      </c>
      <c r="AI523" s="394"/>
      <c r="AJ523" s="453"/>
      <c r="AK523" s="453"/>
      <c r="AL523" s="393"/>
      <c r="AM523" s="393"/>
      <c r="AN523" s="417"/>
      <c r="AO523" s="392"/>
      <c r="AP523" s="392" t="s">
        <v>55</v>
      </c>
      <c r="AQ523" s="392"/>
      <c r="AR523" s="392" t="s">
        <v>3778</v>
      </c>
      <c r="AS523" s="479">
        <v>40562</v>
      </c>
      <c r="AT523" s="453"/>
      <c r="AU523" s="453"/>
      <c r="AV523" s="452">
        <v>40756</v>
      </c>
      <c r="AW523" s="452">
        <v>41075</v>
      </c>
      <c r="AX523" s="452">
        <v>41079</v>
      </c>
      <c r="AY523" s="452">
        <v>41075</v>
      </c>
      <c r="AZ523" s="453"/>
      <c r="BA523" s="393"/>
      <c r="BB523" s="393" t="s">
        <v>3116</v>
      </c>
      <c r="BC523" s="393" t="b">
        <v>0</v>
      </c>
      <c r="BD523" s="393" t="s">
        <v>3147</v>
      </c>
      <c r="BE523" s="392"/>
      <c r="BF523" s="394">
        <v>4</v>
      </c>
      <c r="BG523" s="394">
        <v>9</v>
      </c>
      <c r="BH523" s="394">
        <v>7</v>
      </c>
      <c r="BI523" s="394"/>
      <c r="BJ523" s="394"/>
      <c r="BK523" s="394"/>
      <c r="BL523" s="444"/>
      <c r="BM523" s="392"/>
      <c r="BN523" s="393"/>
      <c r="BO523" s="393"/>
      <c r="BP523" s="399"/>
      <c r="BQ523" s="400"/>
      <c r="BR523" s="401"/>
      <c r="BS523" s="399">
        <v>0</v>
      </c>
      <c r="BT523" s="394"/>
      <c r="BU523" s="417"/>
      <c r="BV523" s="399"/>
      <c r="BW523" s="393"/>
      <c r="BX523" s="392"/>
      <c r="BY523" s="393"/>
      <c r="BZ523" s="393"/>
      <c r="CA523" s="441"/>
      <c r="CB523" s="400"/>
      <c r="CC523" s="398"/>
      <c r="CD523" s="398"/>
      <c r="CE523" s="398"/>
      <c r="CF523" s="398"/>
      <c r="CG523" s="398"/>
      <c r="CH523" s="398"/>
      <c r="CI523" s="398"/>
      <c r="CJ523" s="398"/>
      <c r="CK523" s="398"/>
      <c r="CL523" s="398"/>
      <c r="CM523" s="398"/>
      <c r="CN523" s="398"/>
      <c r="CO523" s="398"/>
      <c r="CP523" s="398"/>
      <c r="CQ523" s="398"/>
      <c r="CR523" s="398"/>
      <c r="CS523" s="398"/>
      <c r="CT523" s="398"/>
      <c r="CU523" s="398"/>
      <c r="CV523" s="398"/>
      <c r="CW523" s="398"/>
      <c r="CX523" s="398"/>
      <c r="CY523" s="398"/>
      <c r="CZ523" s="398"/>
      <c r="DA523" s="398"/>
      <c r="DB523" s="398"/>
      <c r="DC523" s="398"/>
      <c r="DD523" s="398"/>
      <c r="DE523" s="393"/>
      <c r="DF523" s="393"/>
      <c r="DG523" s="393"/>
      <c r="DH523" s="393"/>
      <c r="DI523" s="393"/>
      <c r="DJ523" s="393"/>
      <c r="DK523" s="896" t="s">
        <v>9713</v>
      </c>
    </row>
    <row r="524" spans="1:115" ht="38.25" x14ac:dyDescent="0.2">
      <c r="A524" s="295">
        <v>520</v>
      </c>
      <c r="B524" s="390" t="s">
        <v>2665</v>
      </c>
      <c r="C524" s="390"/>
      <c r="D524" s="391" t="s">
        <v>2318</v>
      </c>
      <c r="E524" s="704" t="s">
        <v>441</v>
      </c>
      <c r="F524" s="393" t="s">
        <v>1352</v>
      </c>
      <c r="G524" s="393" t="s">
        <v>1671</v>
      </c>
      <c r="H524" s="393" t="s">
        <v>117</v>
      </c>
      <c r="I524" s="392"/>
      <c r="J524" s="392"/>
      <c r="K524" s="392" t="s">
        <v>2146</v>
      </c>
      <c r="L524" s="392" t="s">
        <v>440</v>
      </c>
      <c r="M524" s="392"/>
      <c r="N524" s="393" t="s">
        <v>44</v>
      </c>
      <c r="O524" s="393" t="s">
        <v>51</v>
      </c>
      <c r="P524" s="393" t="s">
        <v>51</v>
      </c>
      <c r="Q524" s="392" t="s">
        <v>426</v>
      </c>
      <c r="R524" s="392" t="s">
        <v>4031</v>
      </c>
      <c r="S524" s="392" t="s">
        <v>427</v>
      </c>
      <c r="T524" s="394">
        <v>1</v>
      </c>
      <c r="U524" s="395">
        <v>29.97</v>
      </c>
      <c r="V524" s="395"/>
      <c r="W524" s="453"/>
      <c r="X524" s="394"/>
      <c r="Y524" s="394">
        <v>10</v>
      </c>
      <c r="Z524" s="394">
        <v>8</v>
      </c>
      <c r="AA524" s="395">
        <v>-3</v>
      </c>
      <c r="AB524" s="452">
        <v>41030</v>
      </c>
      <c r="AC524" s="398">
        <v>17.48</v>
      </c>
      <c r="AD524" s="398">
        <v>299.7</v>
      </c>
      <c r="AE524" s="393" t="s">
        <v>72</v>
      </c>
      <c r="AF524" s="417"/>
      <c r="AG524" s="417"/>
      <c r="AH524" s="417"/>
      <c r="AI524" s="394"/>
      <c r="AJ524" s="453"/>
      <c r="AK524" s="453"/>
      <c r="AL524" s="393"/>
      <c r="AM524" s="393"/>
      <c r="AN524" s="417"/>
      <c r="AO524" s="392"/>
      <c r="AP524" s="392" t="s">
        <v>55</v>
      </c>
      <c r="AQ524" s="392"/>
      <c r="AR524" s="392" t="s">
        <v>3778</v>
      </c>
      <c r="AS524" s="479">
        <v>40562</v>
      </c>
      <c r="AT524" s="453"/>
      <c r="AU524" s="453"/>
      <c r="AV524" s="453"/>
      <c r="AW524" s="453"/>
      <c r="AX524" s="453"/>
      <c r="AY524" s="453"/>
      <c r="AZ524" s="452">
        <v>41075</v>
      </c>
      <c r="BA524" s="393"/>
      <c r="BB524" s="393"/>
      <c r="BC524" s="393" t="b">
        <v>0</v>
      </c>
      <c r="BD524" s="393"/>
      <c r="BE524" s="392"/>
      <c r="BF524" s="394">
        <v>4</v>
      </c>
      <c r="BG524" s="394">
        <v>9</v>
      </c>
      <c r="BH524" s="394">
        <v>7</v>
      </c>
      <c r="BI524" s="394"/>
      <c r="BJ524" s="394"/>
      <c r="BK524" s="394"/>
      <c r="BL524" s="444" t="s">
        <v>6981</v>
      </c>
      <c r="BM524" s="392"/>
      <c r="BN524" s="393"/>
      <c r="BO524" s="393"/>
      <c r="BP524" s="399"/>
      <c r="BQ524" s="400"/>
      <c r="BR524" s="401"/>
      <c r="BS524" s="399"/>
      <c r="BT524" s="394"/>
      <c r="BU524" s="417">
        <v>0.76905000000000001</v>
      </c>
      <c r="BV524" s="399">
        <v>24</v>
      </c>
      <c r="BW524" s="393" t="s">
        <v>3117</v>
      </c>
      <c r="BX524" s="392" t="s">
        <v>1447</v>
      </c>
      <c r="BY524" s="393"/>
      <c r="BZ524" s="393"/>
      <c r="CA524" s="441" t="s">
        <v>1663</v>
      </c>
      <c r="CB524" s="400">
        <v>4</v>
      </c>
      <c r="CC524" s="398"/>
      <c r="CD524" s="398"/>
      <c r="CE524" s="398"/>
      <c r="CF524" s="398"/>
      <c r="CG524" s="398">
        <v>41.628999999999998</v>
      </c>
      <c r="CH524" s="398">
        <v>38.789000000000001</v>
      </c>
      <c r="CI524" s="398">
        <v>35.948</v>
      </c>
      <c r="CJ524" s="398">
        <v>33.107999999999997</v>
      </c>
      <c r="CK524" s="398">
        <v>30.266999999999999</v>
      </c>
      <c r="CL524" s="398">
        <v>27.427</v>
      </c>
      <c r="CM524" s="398">
        <v>24.585999999999999</v>
      </c>
      <c r="CN524" s="398">
        <v>18.462</v>
      </c>
      <c r="CO524" s="398">
        <v>0</v>
      </c>
      <c r="CP524" s="398">
        <v>0</v>
      </c>
      <c r="CQ524" s="398"/>
      <c r="CR524" s="398"/>
      <c r="CS524" s="398"/>
      <c r="CT524" s="398"/>
      <c r="CU524" s="398"/>
      <c r="CV524" s="398"/>
      <c r="CW524" s="398"/>
      <c r="CX524" s="398"/>
      <c r="CY524" s="398"/>
      <c r="CZ524" s="398"/>
      <c r="DA524" s="398"/>
      <c r="DB524" s="398"/>
      <c r="DC524" s="398"/>
      <c r="DD524" s="398"/>
      <c r="DE524" s="393"/>
      <c r="DF524" s="393"/>
      <c r="DG524" s="393"/>
      <c r="DH524" s="393"/>
      <c r="DI524" s="393"/>
      <c r="DJ524" s="393"/>
      <c r="DK524" s="897"/>
    </row>
    <row r="525" spans="1:115" ht="51" x14ac:dyDescent="0.2">
      <c r="A525" s="295">
        <v>521</v>
      </c>
      <c r="B525" s="390" t="s">
        <v>115</v>
      </c>
      <c r="C525" s="424" t="s">
        <v>7494</v>
      </c>
      <c r="D525" s="391" t="s">
        <v>5072</v>
      </c>
      <c r="E525" s="704" t="s">
        <v>116</v>
      </c>
      <c r="F525" s="393" t="s">
        <v>1352</v>
      </c>
      <c r="G525" s="393" t="s">
        <v>1671</v>
      </c>
      <c r="H525" s="393" t="s">
        <v>117</v>
      </c>
      <c r="I525" s="392"/>
      <c r="J525" s="392" t="s">
        <v>117</v>
      </c>
      <c r="K525" s="392"/>
      <c r="L525" s="392" t="s">
        <v>118</v>
      </c>
      <c r="M525" s="392" t="s">
        <v>4032</v>
      </c>
      <c r="N525" s="393" t="s">
        <v>44</v>
      </c>
      <c r="O525" s="393" t="s">
        <v>119</v>
      </c>
      <c r="P525" s="393" t="s">
        <v>119</v>
      </c>
      <c r="Q525" s="392" t="s">
        <v>120</v>
      </c>
      <c r="R525" s="392"/>
      <c r="S525" s="392" t="s">
        <v>121</v>
      </c>
      <c r="T525" s="394">
        <v>1</v>
      </c>
      <c r="U525" s="395">
        <v>413.21899999999999</v>
      </c>
      <c r="V525" s="395"/>
      <c r="W525" s="452">
        <v>40571</v>
      </c>
      <c r="X525" s="394">
        <v>28</v>
      </c>
      <c r="Y525" s="394"/>
      <c r="Z525" s="394"/>
      <c r="AA525" s="395"/>
      <c r="AB525" s="453"/>
      <c r="AC525" s="398">
        <v>0</v>
      </c>
      <c r="AD525" s="398">
        <v>4132.1899999999996</v>
      </c>
      <c r="AE525" s="393" t="s">
        <v>54</v>
      </c>
      <c r="AF525" s="417"/>
      <c r="AG525" s="417"/>
      <c r="AH525" s="417">
        <v>0</v>
      </c>
      <c r="AI525" s="394"/>
      <c r="AJ525" s="453"/>
      <c r="AK525" s="453"/>
      <c r="AL525" s="393"/>
      <c r="AM525" s="393"/>
      <c r="AN525" s="417"/>
      <c r="AO525" s="392"/>
      <c r="AP525" s="392" t="s">
        <v>7065</v>
      </c>
      <c r="AQ525" s="392"/>
      <c r="AR525" s="392" t="s">
        <v>73</v>
      </c>
      <c r="AS525" s="479">
        <v>40571</v>
      </c>
      <c r="AT525" s="453"/>
      <c r="AU525" s="453"/>
      <c r="AV525" s="452">
        <v>40878</v>
      </c>
      <c r="AW525" s="452">
        <v>41264</v>
      </c>
      <c r="AX525" s="453"/>
      <c r="AY525" s="452">
        <v>41354</v>
      </c>
      <c r="AZ525" s="453"/>
      <c r="BA525" s="393"/>
      <c r="BB525" s="393" t="s">
        <v>3147</v>
      </c>
      <c r="BC525" s="393" t="b">
        <v>1</v>
      </c>
      <c r="BD525" s="393" t="s">
        <v>3147</v>
      </c>
      <c r="BE525" s="392"/>
      <c r="BF525" s="394">
        <v>1</v>
      </c>
      <c r="BG525" s="394">
        <v>3</v>
      </c>
      <c r="BH525" s="394">
        <v>5</v>
      </c>
      <c r="BI525" s="394">
        <v>9</v>
      </c>
      <c r="BJ525" s="394"/>
      <c r="BK525" s="394"/>
      <c r="BL525" s="444"/>
      <c r="BM525" s="392"/>
      <c r="BN525" s="393"/>
      <c r="BO525" s="393"/>
      <c r="BP525" s="399"/>
      <c r="BQ525" s="400"/>
      <c r="BR525" s="401"/>
      <c r="BS525" s="399">
        <v>4.5</v>
      </c>
      <c r="BT525" s="394"/>
      <c r="BU525" s="417"/>
      <c r="BV525" s="399"/>
      <c r="BW525" s="393"/>
      <c r="BX525" s="392"/>
      <c r="BY525" s="393"/>
      <c r="BZ525" s="393"/>
      <c r="CA525" s="441"/>
      <c r="CB525" s="400"/>
      <c r="CC525" s="398"/>
      <c r="CD525" s="398"/>
      <c r="CE525" s="398"/>
      <c r="CF525" s="398"/>
      <c r="CG525" s="398"/>
      <c r="CH525" s="398"/>
      <c r="CI525" s="398"/>
      <c r="CJ525" s="398"/>
      <c r="CK525" s="398"/>
      <c r="CL525" s="398"/>
      <c r="CM525" s="398"/>
      <c r="CN525" s="398"/>
      <c r="CO525" s="398"/>
      <c r="CP525" s="398"/>
      <c r="CQ525" s="398"/>
      <c r="CR525" s="398"/>
      <c r="CS525" s="398"/>
      <c r="CT525" s="398"/>
      <c r="CU525" s="398"/>
      <c r="CV525" s="398"/>
      <c r="CW525" s="398"/>
      <c r="CX525" s="398"/>
      <c r="CY525" s="398"/>
      <c r="CZ525" s="398"/>
      <c r="DA525" s="398"/>
      <c r="DB525" s="398"/>
      <c r="DC525" s="398"/>
      <c r="DD525" s="398"/>
      <c r="DE525" s="393"/>
      <c r="DF525" s="393"/>
      <c r="DG525" s="393"/>
      <c r="DH525" s="393"/>
      <c r="DI525" s="393"/>
      <c r="DJ525" s="393"/>
      <c r="DK525" s="896" t="s">
        <v>9722</v>
      </c>
    </row>
    <row r="526" spans="1:115" ht="25.5" x14ac:dyDescent="0.2">
      <c r="A526" s="295">
        <v>522</v>
      </c>
      <c r="B526" s="390" t="s">
        <v>2666</v>
      </c>
      <c r="C526" s="390"/>
      <c r="D526" s="391" t="s">
        <v>4597</v>
      </c>
      <c r="E526" s="704" t="s">
        <v>122</v>
      </c>
      <c r="F526" s="393" t="s">
        <v>1352</v>
      </c>
      <c r="G526" s="393" t="s">
        <v>1671</v>
      </c>
      <c r="H526" s="393" t="s">
        <v>117</v>
      </c>
      <c r="I526" s="392"/>
      <c r="J526" s="392"/>
      <c r="K526" s="392" t="s">
        <v>123</v>
      </c>
      <c r="L526" s="392" t="s">
        <v>118</v>
      </c>
      <c r="M526" s="392"/>
      <c r="N526" s="393" t="s">
        <v>44</v>
      </c>
      <c r="O526" s="393" t="s">
        <v>119</v>
      </c>
      <c r="P526" s="393" t="s">
        <v>119</v>
      </c>
      <c r="Q526" s="392" t="s">
        <v>120</v>
      </c>
      <c r="R526" s="392" t="s">
        <v>4033</v>
      </c>
      <c r="S526" s="392" t="s">
        <v>121</v>
      </c>
      <c r="T526" s="394">
        <v>1</v>
      </c>
      <c r="U526" s="395">
        <v>413.21899999999999</v>
      </c>
      <c r="V526" s="395"/>
      <c r="W526" s="453"/>
      <c r="X526" s="394"/>
      <c r="Y526" s="394">
        <v>10</v>
      </c>
      <c r="Z526" s="394">
        <v>18</v>
      </c>
      <c r="AA526" s="395">
        <v>0</v>
      </c>
      <c r="AB526" s="452">
        <v>41275</v>
      </c>
      <c r="AC526" s="398">
        <v>0</v>
      </c>
      <c r="AD526" s="398">
        <v>4132.1899999999996</v>
      </c>
      <c r="AE526" s="393" t="s">
        <v>54</v>
      </c>
      <c r="AF526" s="417"/>
      <c r="AG526" s="417"/>
      <c r="AH526" s="417"/>
      <c r="AI526" s="394"/>
      <c r="AJ526" s="453"/>
      <c r="AK526" s="453"/>
      <c r="AL526" s="393"/>
      <c r="AM526" s="393"/>
      <c r="AN526" s="417"/>
      <c r="AO526" s="392"/>
      <c r="AP526" s="392" t="s">
        <v>7065</v>
      </c>
      <c r="AQ526" s="392"/>
      <c r="AR526" s="392" t="s">
        <v>73</v>
      </c>
      <c r="AS526" s="479">
        <v>40571</v>
      </c>
      <c r="AT526" s="453"/>
      <c r="AU526" s="453"/>
      <c r="AV526" s="453"/>
      <c r="AW526" s="453"/>
      <c r="AX526" s="453"/>
      <c r="AY526" s="453"/>
      <c r="AZ526" s="452">
        <v>41354</v>
      </c>
      <c r="BA526" s="393"/>
      <c r="BB526" s="393"/>
      <c r="BC526" s="393" t="b">
        <v>0</v>
      </c>
      <c r="BD526" s="393"/>
      <c r="BE526" s="392"/>
      <c r="BF526" s="394">
        <v>1</v>
      </c>
      <c r="BG526" s="394">
        <v>3</v>
      </c>
      <c r="BH526" s="394">
        <v>5</v>
      </c>
      <c r="BI526" s="394">
        <v>9</v>
      </c>
      <c r="BJ526" s="394"/>
      <c r="BK526" s="394"/>
      <c r="BL526" s="444" t="s">
        <v>6981</v>
      </c>
      <c r="BM526" s="392"/>
      <c r="BN526" s="393"/>
      <c r="BO526" s="393"/>
      <c r="BP526" s="399"/>
      <c r="BQ526" s="400"/>
      <c r="BR526" s="401"/>
      <c r="BS526" s="399">
        <v>4.5</v>
      </c>
      <c r="BT526" s="394">
        <v>32000</v>
      </c>
      <c r="BU526" s="417">
        <v>0.84130000000000005</v>
      </c>
      <c r="BV526" s="399"/>
      <c r="BW526" s="393" t="s">
        <v>3117</v>
      </c>
      <c r="BX526" s="392" t="s">
        <v>1447</v>
      </c>
      <c r="BY526" s="393"/>
      <c r="BZ526" s="393"/>
      <c r="CA526" s="441" t="s">
        <v>1662</v>
      </c>
      <c r="CB526" s="400">
        <v>3</v>
      </c>
      <c r="CC526" s="398"/>
      <c r="CD526" s="398"/>
      <c r="CE526" s="398"/>
      <c r="CF526" s="398"/>
      <c r="CG526" s="398"/>
      <c r="CH526" s="398"/>
      <c r="CI526" s="398">
        <v>413.21899999999999</v>
      </c>
      <c r="CJ526" s="398">
        <v>413.21899999999999</v>
      </c>
      <c r="CK526" s="398">
        <v>413.21899999999999</v>
      </c>
      <c r="CL526" s="398">
        <v>413.21899999999999</v>
      </c>
      <c r="CM526" s="398">
        <v>413.21899999999999</v>
      </c>
      <c r="CN526" s="398">
        <v>413.21899999999999</v>
      </c>
      <c r="CO526" s="398">
        <v>413.21899999999999</v>
      </c>
      <c r="CP526" s="398">
        <v>413.21899999999999</v>
      </c>
      <c r="CQ526" s="398">
        <v>413.21899999999999</v>
      </c>
      <c r="CR526" s="398">
        <v>413.21899999999999</v>
      </c>
      <c r="CS526" s="398"/>
      <c r="CT526" s="398"/>
      <c r="CU526" s="398"/>
      <c r="CV526" s="398"/>
      <c r="CW526" s="398"/>
      <c r="CX526" s="398"/>
      <c r="CY526" s="398"/>
      <c r="CZ526" s="398"/>
      <c r="DA526" s="398"/>
      <c r="DB526" s="398"/>
      <c r="DC526" s="398"/>
      <c r="DD526" s="398"/>
      <c r="DE526" s="393"/>
      <c r="DF526" s="393"/>
      <c r="DG526" s="393"/>
      <c r="DH526" s="393"/>
      <c r="DI526" s="393"/>
      <c r="DJ526" s="393"/>
      <c r="DK526" s="897"/>
    </row>
    <row r="527" spans="1:115" ht="102" x14ac:dyDescent="0.2">
      <c r="A527" s="295">
        <v>523</v>
      </c>
      <c r="B527" s="390" t="s">
        <v>311</v>
      </c>
      <c r="C527" s="424" t="s">
        <v>7495</v>
      </c>
      <c r="D527" s="391"/>
      <c r="E527" s="707" t="s">
        <v>312</v>
      </c>
      <c r="F527" s="404" t="s">
        <v>1352</v>
      </c>
      <c r="G527" s="404" t="s">
        <v>1673</v>
      </c>
      <c r="H527" s="404" t="s">
        <v>313</v>
      </c>
      <c r="I527" s="403"/>
      <c r="J527" s="403" t="s">
        <v>313</v>
      </c>
      <c r="K527" s="403"/>
      <c r="L527" s="403" t="s">
        <v>314</v>
      </c>
      <c r="M527" s="403" t="s">
        <v>4034</v>
      </c>
      <c r="N527" s="404" t="s">
        <v>3142</v>
      </c>
      <c r="O527" s="404" t="s">
        <v>45</v>
      </c>
      <c r="P527" s="404" t="s">
        <v>45</v>
      </c>
      <c r="Q527" s="403" t="s">
        <v>307</v>
      </c>
      <c r="R527" s="403"/>
      <c r="S527" s="403" t="s">
        <v>46</v>
      </c>
      <c r="T527" s="405">
        <v>1</v>
      </c>
      <c r="U527" s="406">
        <v>6.2220000000000004</v>
      </c>
      <c r="V527" s="406"/>
      <c r="W527" s="456">
        <v>40664</v>
      </c>
      <c r="X527" s="405">
        <v>28</v>
      </c>
      <c r="Y527" s="405"/>
      <c r="Z527" s="405"/>
      <c r="AA527" s="406"/>
      <c r="AB527" s="455"/>
      <c r="AC527" s="407">
        <v>6.2220000000000004</v>
      </c>
      <c r="AD527" s="407">
        <v>62.220000000000006</v>
      </c>
      <c r="AE527" s="404" t="s">
        <v>54</v>
      </c>
      <c r="AF527" s="418"/>
      <c r="AG527" s="418"/>
      <c r="AH527" s="418">
        <v>0</v>
      </c>
      <c r="AI527" s="405"/>
      <c r="AJ527" s="455"/>
      <c r="AK527" s="455"/>
      <c r="AL527" s="404"/>
      <c r="AM527" s="404"/>
      <c r="AN527" s="418"/>
      <c r="AO527" s="403"/>
      <c r="AP527" s="403" t="s">
        <v>7066</v>
      </c>
      <c r="AQ527" s="403"/>
      <c r="AR527" s="403" t="s">
        <v>3776</v>
      </c>
      <c r="AS527" s="482">
        <v>40572</v>
      </c>
      <c r="AT527" s="455"/>
      <c r="AU527" s="455"/>
      <c r="AV527" s="455"/>
      <c r="AW527" s="455"/>
      <c r="AX527" s="455"/>
      <c r="AY527" s="455"/>
      <c r="AZ527" s="455"/>
      <c r="BA527" s="404"/>
      <c r="BB527" s="404" t="s">
        <v>3310</v>
      </c>
      <c r="BC527" s="404" t="b">
        <v>0</v>
      </c>
      <c r="BD527" s="404" t="s">
        <v>3310</v>
      </c>
      <c r="BE527" s="403"/>
      <c r="BF527" s="405">
        <v>10</v>
      </c>
      <c r="BG527" s="405">
        <v>9</v>
      </c>
      <c r="BH527" s="405">
        <v>8</v>
      </c>
      <c r="BI527" s="405">
        <v>5</v>
      </c>
      <c r="BJ527" s="405">
        <v>1</v>
      </c>
      <c r="BK527" s="405">
        <v>12</v>
      </c>
      <c r="BL527" s="446"/>
      <c r="BM527" s="403"/>
      <c r="BN527" s="404"/>
      <c r="BO527" s="404"/>
      <c r="BP527" s="408"/>
      <c r="BQ527" s="409"/>
      <c r="BR527" s="410"/>
      <c r="BS527" s="408">
        <v>0</v>
      </c>
      <c r="BT527" s="405"/>
      <c r="BU527" s="418"/>
      <c r="BV527" s="408"/>
      <c r="BW527" s="404"/>
      <c r="BX527" s="403"/>
      <c r="BY527" s="404"/>
      <c r="BZ527" s="404"/>
      <c r="CA527" s="443"/>
      <c r="CB527" s="409"/>
      <c r="CC527" s="407"/>
      <c r="CD527" s="407"/>
      <c r="CE527" s="407"/>
      <c r="CF527" s="407"/>
      <c r="CG527" s="407"/>
      <c r="CH527" s="407"/>
      <c r="CI527" s="407"/>
      <c r="CJ527" s="407"/>
      <c r="CK527" s="407"/>
      <c r="CL527" s="407"/>
      <c r="CM527" s="407"/>
      <c r="CN527" s="407"/>
      <c r="CO527" s="407"/>
      <c r="CP527" s="407"/>
      <c r="CQ527" s="407"/>
      <c r="CR527" s="407"/>
      <c r="CS527" s="407"/>
      <c r="CT527" s="407"/>
      <c r="CU527" s="407"/>
      <c r="CV527" s="407"/>
      <c r="CW527" s="407"/>
      <c r="CX527" s="407"/>
      <c r="CY527" s="407"/>
      <c r="CZ527" s="407"/>
      <c r="DA527" s="407"/>
      <c r="DB527" s="407"/>
      <c r="DC527" s="407"/>
      <c r="DD527" s="407"/>
      <c r="DE527" s="404"/>
      <c r="DF527" s="404"/>
      <c r="DG527" s="404"/>
      <c r="DH527" s="404"/>
      <c r="DI527" s="404"/>
      <c r="DJ527" s="404"/>
      <c r="DK527" s="897"/>
    </row>
    <row r="528" spans="1:115" ht="38.25" x14ac:dyDescent="0.2">
      <c r="A528" s="295">
        <v>524</v>
      </c>
      <c r="B528" s="390" t="s">
        <v>2667</v>
      </c>
      <c r="C528" s="390"/>
      <c r="D528" s="391"/>
      <c r="E528" s="707" t="s">
        <v>315</v>
      </c>
      <c r="F528" s="404" t="s">
        <v>1352</v>
      </c>
      <c r="G528" s="404" t="s">
        <v>1673</v>
      </c>
      <c r="H528" s="404" t="s">
        <v>313</v>
      </c>
      <c r="I528" s="403"/>
      <c r="J528" s="403"/>
      <c r="K528" s="403" t="s">
        <v>1971</v>
      </c>
      <c r="L528" s="403" t="s">
        <v>314</v>
      </c>
      <c r="M528" s="403"/>
      <c r="N528" s="404" t="s">
        <v>3142</v>
      </c>
      <c r="O528" s="404" t="s">
        <v>45</v>
      </c>
      <c r="P528" s="404" t="s">
        <v>45</v>
      </c>
      <c r="Q528" s="403" t="s">
        <v>307</v>
      </c>
      <c r="R528" s="403" t="s">
        <v>4035</v>
      </c>
      <c r="S528" s="403" t="s">
        <v>46</v>
      </c>
      <c r="T528" s="405">
        <v>1</v>
      </c>
      <c r="U528" s="406">
        <v>6.2220000000000004</v>
      </c>
      <c r="V528" s="406"/>
      <c r="W528" s="455"/>
      <c r="X528" s="405"/>
      <c r="Y528" s="405">
        <v>10</v>
      </c>
      <c r="Z528" s="405">
        <v>15</v>
      </c>
      <c r="AA528" s="406">
        <v>0</v>
      </c>
      <c r="AB528" s="456">
        <v>40544</v>
      </c>
      <c r="AC528" s="407">
        <v>6.2220000000000004</v>
      </c>
      <c r="AD528" s="407">
        <v>62.220000000000006</v>
      </c>
      <c r="AE528" s="404" t="s">
        <v>54</v>
      </c>
      <c r="AF528" s="418"/>
      <c r="AG528" s="418"/>
      <c r="AH528" s="418"/>
      <c r="AI528" s="405"/>
      <c r="AJ528" s="455"/>
      <c r="AK528" s="455"/>
      <c r="AL528" s="404"/>
      <c r="AM528" s="404"/>
      <c r="AN528" s="418"/>
      <c r="AO528" s="403"/>
      <c r="AP528" s="403" t="s">
        <v>7066</v>
      </c>
      <c r="AQ528" s="403"/>
      <c r="AR528" s="403" t="s">
        <v>3776</v>
      </c>
      <c r="AS528" s="482">
        <v>40572</v>
      </c>
      <c r="AT528" s="455"/>
      <c r="AU528" s="455"/>
      <c r="AV528" s="455"/>
      <c r="AW528" s="455"/>
      <c r="AX528" s="455"/>
      <c r="AY528" s="455"/>
      <c r="AZ528" s="455"/>
      <c r="BA528" s="404"/>
      <c r="BB528" s="404"/>
      <c r="BC528" s="404" t="b">
        <v>0</v>
      </c>
      <c r="BD528" s="404"/>
      <c r="BE528" s="403"/>
      <c r="BF528" s="405">
        <v>10</v>
      </c>
      <c r="BG528" s="405">
        <v>8</v>
      </c>
      <c r="BH528" s="405">
        <v>9</v>
      </c>
      <c r="BI528" s="405">
        <v>5</v>
      </c>
      <c r="BJ528" s="405">
        <v>1</v>
      </c>
      <c r="BK528" s="405">
        <v>12</v>
      </c>
      <c r="BL528" s="446" t="s">
        <v>6981</v>
      </c>
      <c r="BM528" s="403"/>
      <c r="BN528" s="404"/>
      <c r="BO528" s="404"/>
      <c r="BP528" s="408"/>
      <c r="BQ528" s="409"/>
      <c r="BR528" s="410"/>
      <c r="BS528" s="408"/>
      <c r="BT528" s="405"/>
      <c r="BU528" s="418">
        <v>0.69799999999999995</v>
      </c>
      <c r="BV528" s="408"/>
      <c r="BW528" s="404" t="s">
        <v>3117</v>
      </c>
      <c r="BX528" s="403" t="s">
        <v>3202</v>
      </c>
      <c r="BY528" s="404"/>
      <c r="BZ528" s="404"/>
      <c r="CA528" s="443"/>
      <c r="CB528" s="409"/>
      <c r="CC528" s="407"/>
      <c r="CD528" s="407"/>
      <c r="CE528" s="407"/>
      <c r="CF528" s="407"/>
      <c r="CG528" s="407">
        <v>6.2220000000000004</v>
      </c>
      <c r="CH528" s="407">
        <v>6.2220000000000004</v>
      </c>
      <c r="CI528" s="407">
        <v>6.2220000000000004</v>
      </c>
      <c r="CJ528" s="407">
        <v>6.2220000000000004</v>
      </c>
      <c r="CK528" s="407">
        <v>6.2220000000000004</v>
      </c>
      <c r="CL528" s="407">
        <v>6.2220000000000004</v>
      </c>
      <c r="CM528" s="407">
        <v>6.2220000000000004</v>
      </c>
      <c r="CN528" s="407">
        <v>6.2220000000000004</v>
      </c>
      <c r="CO528" s="407">
        <v>6.2220000000000004</v>
      </c>
      <c r="CP528" s="407">
        <v>6.2220000000000004</v>
      </c>
      <c r="CQ528" s="407"/>
      <c r="CR528" s="407"/>
      <c r="CS528" s="407"/>
      <c r="CT528" s="407"/>
      <c r="CU528" s="407"/>
      <c r="CV528" s="407"/>
      <c r="CW528" s="407"/>
      <c r="CX528" s="407"/>
      <c r="CY528" s="407"/>
      <c r="CZ528" s="407"/>
      <c r="DA528" s="407"/>
      <c r="DB528" s="407"/>
      <c r="DC528" s="407"/>
      <c r="DD528" s="407"/>
      <c r="DE528" s="404"/>
      <c r="DF528" s="404"/>
      <c r="DG528" s="404"/>
      <c r="DH528" s="404"/>
      <c r="DI528" s="404"/>
      <c r="DJ528" s="404"/>
      <c r="DK528" s="897"/>
    </row>
    <row r="529" spans="1:115" ht="89.25" x14ac:dyDescent="0.2">
      <c r="A529" s="295">
        <v>525</v>
      </c>
      <c r="B529" s="390" t="s">
        <v>65</v>
      </c>
      <c r="C529" s="424" t="s">
        <v>7496</v>
      </c>
      <c r="D529" s="391"/>
      <c r="E529" s="706" t="s">
        <v>66</v>
      </c>
      <c r="F529" s="390" t="s">
        <v>1352</v>
      </c>
      <c r="G529" s="390" t="s">
        <v>1673</v>
      </c>
      <c r="H529" s="390" t="s">
        <v>67</v>
      </c>
      <c r="I529" s="402"/>
      <c r="J529" s="402" t="s">
        <v>67</v>
      </c>
      <c r="K529" s="402"/>
      <c r="L529" s="402" t="s">
        <v>68</v>
      </c>
      <c r="M529" s="402" t="s">
        <v>4036</v>
      </c>
      <c r="N529" s="390" t="s">
        <v>33</v>
      </c>
      <c r="O529" s="390" t="s">
        <v>69</v>
      </c>
      <c r="P529" s="390" t="s">
        <v>69</v>
      </c>
      <c r="Q529" s="402" t="s">
        <v>70</v>
      </c>
      <c r="R529" s="402"/>
      <c r="S529" s="402" t="s">
        <v>71</v>
      </c>
      <c r="T529" s="411">
        <v>1</v>
      </c>
      <c r="U529" s="412">
        <v>3.516</v>
      </c>
      <c r="V529" s="412"/>
      <c r="W529" s="457">
        <v>40725</v>
      </c>
      <c r="X529" s="411">
        <v>28</v>
      </c>
      <c r="Y529" s="411"/>
      <c r="Z529" s="411"/>
      <c r="AA529" s="412"/>
      <c r="AB529" s="454"/>
      <c r="AC529" s="413">
        <v>1.758</v>
      </c>
      <c r="AD529" s="413">
        <v>35.159999999999997</v>
      </c>
      <c r="AE529" s="390" t="s">
        <v>72</v>
      </c>
      <c r="AF529" s="419"/>
      <c r="AG529" s="419"/>
      <c r="AH529" s="419">
        <v>0</v>
      </c>
      <c r="AI529" s="411"/>
      <c r="AJ529" s="454"/>
      <c r="AK529" s="454"/>
      <c r="AL529" s="390"/>
      <c r="AM529" s="390"/>
      <c r="AN529" s="419"/>
      <c r="AO529" s="402"/>
      <c r="AP529" s="402" t="s">
        <v>7040</v>
      </c>
      <c r="AQ529" s="402"/>
      <c r="AR529" s="402" t="s">
        <v>73</v>
      </c>
      <c r="AS529" s="481">
        <v>40572</v>
      </c>
      <c r="AT529" s="454"/>
      <c r="AU529" s="454"/>
      <c r="AV529" s="454"/>
      <c r="AW529" s="454"/>
      <c r="AX529" s="454"/>
      <c r="AY529" s="454"/>
      <c r="AZ529" s="454"/>
      <c r="BA529" s="390"/>
      <c r="BB529" s="390" t="s">
        <v>3147</v>
      </c>
      <c r="BC529" s="390" t="b">
        <v>1</v>
      </c>
      <c r="BD529" s="390" t="s">
        <v>3147</v>
      </c>
      <c r="BE529" s="402"/>
      <c r="BF529" s="411">
        <v>4</v>
      </c>
      <c r="BG529" s="411">
        <v>1</v>
      </c>
      <c r="BH529" s="411">
        <v>8</v>
      </c>
      <c r="BI529" s="411">
        <v>6</v>
      </c>
      <c r="BJ529" s="411"/>
      <c r="BK529" s="411"/>
      <c r="BL529" s="445"/>
      <c r="BM529" s="402"/>
      <c r="BN529" s="390"/>
      <c r="BO529" s="390"/>
      <c r="BP529" s="414"/>
      <c r="BQ529" s="415"/>
      <c r="BR529" s="416"/>
      <c r="BS529" s="414">
        <v>0</v>
      </c>
      <c r="BT529" s="411"/>
      <c r="BU529" s="419"/>
      <c r="BV529" s="414"/>
      <c r="BW529" s="390"/>
      <c r="BX529" s="402"/>
      <c r="BY529" s="390"/>
      <c r="BZ529" s="390"/>
      <c r="CA529" s="442"/>
      <c r="CB529" s="415"/>
      <c r="CC529" s="413"/>
      <c r="CD529" s="413"/>
      <c r="CE529" s="413"/>
      <c r="CF529" s="413"/>
      <c r="CG529" s="413"/>
      <c r="CH529" s="413"/>
      <c r="CI529" s="413"/>
      <c r="CJ529" s="413"/>
      <c r="CK529" s="413"/>
      <c r="CL529" s="413"/>
      <c r="CM529" s="413"/>
      <c r="CN529" s="413"/>
      <c r="CO529" s="413"/>
      <c r="CP529" s="413"/>
      <c r="CQ529" s="413"/>
      <c r="CR529" s="413"/>
      <c r="CS529" s="413"/>
      <c r="CT529" s="413"/>
      <c r="CU529" s="413"/>
      <c r="CV529" s="413"/>
      <c r="CW529" s="413"/>
      <c r="CX529" s="413"/>
      <c r="CY529" s="413"/>
      <c r="CZ529" s="413"/>
      <c r="DA529" s="413"/>
      <c r="DB529" s="413"/>
      <c r="DC529" s="413"/>
      <c r="DD529" s="413"/>
      <c r="DE529" s="390"/>
      <c r="DF529" s="390"/>
      <c r="DG529" s="390"/>
      <c r="DH529" s="390"/>
      <c r="DI529" s="390"/>
      <c r="DJ529" s="390"/>
      <c r="DK529" s="897"/>
    </row>
    <row r="530" spans="1:115" ht="25.5" x14ac:dyDescent="0.2">
      <c r="A530" s="295">
        <v>526</v>
      </c>
      <c r="B530" s="390" t="s">
        <v>2668</v>
      </c>
      <c r="C530" s="390"/>
      <c r="D530" s="391"/>
      <c r="E530" s="706" t="s">
        <v>74</v>
      </c>
      <c r="F530" s="390" t="s">
        <v>1352</v>
      </c>
      <c r="G530" s="390" t="s">
        <v>1673</v>
      </c>
      <c r="H530" s="390" t="s">
        <v>67</v>
      </c>
      <c r="I530" s="402"/>
      <c r="J530" s="402"/>
      <c r="K530" s="402" t="s">
        <v>75</v>
      </c>
      <c r="L530" s="402" t="s">
        <v>68</v>
      </c>
      <c r="M530" s="402"/>
      <c r="N530" s="390" t="s">
        <v>33</v>
      </c>
      <c r="O530" s="390" t="s">
        <v>69</v>
      </c>
      <c r="P530" s="390" t="s">
        <v>69</v>
      </c>
      <c r="Q530" s="402" t="s">
        <v>70</v>
      </c>
      <c r="R530" s="402" t="s">
        <v>4037</v>
      </c>
      <c r="S530" s="402" t="s">
        <v>71</v>
      </c>
      <c r="T530" s="411">
        <v>1</v>
      </c>
      <c r="U530" s="412">
        <v>3.516</v>
      </c>
      <c r="V530" s="412"/>
      <c r="W530" s="454"/>
      <c r="X530" s="411"/>
      <c r="Y530" s="411">
        <v>10</v>
      </c>
      <c r="Z530" s="411">
        <v>25</v>
      </c>
      <c r="AA530" s="412">
        <v>0</v>
      </c>
      <c r="AB530" s="457">
        <v>40725</v>
      </c>
      <c r="AC530" s="413">
        <v>1.758</v>
      </c>
      <c r="AD530" s="413">
        <v>35.159999999999997</v>
      </c>
      <c r="AE530" s="390" t="s">
        <v>72</v>
      </c>
      <c r="AF530" s="419"/>
      <c r="AG530" s="419"/>
      <c r="AH530" s="419"/>
      <c r="AI530" s="411"/>
      <c r="AJ530" s="454"/>
      <c r="AK530" s="454"/>
      <c r="AL530" s="390"/>
      <c r="AM530" s="390"/>
      <c r="AN530" s="419"/>
      <c r="AO530" s="402"/>
      <c r="AP530" s="402" t="s">
        <v>7040</v>
      </c>
      <c r="AQ530" s="402"/>
      <c r="AR530" s="402" t="s">
        <v>73</v>
      </c>
      <c r="AS530" s="481">
        <v>40572</v>
      </c>
      <c r="AT530" s="454"/>
      <c r="AU530" s="454"/>
      <c r="AV530" s="454"/>
      <c r="AW530" s="454"/>
      <c r="AX530" s="454"/>
      <c r="AY530" s="454"/>
      <c r="AZ530" s="454"/>
      <c r="BA530" s="390"/>
      <c r="BB530" s="390"/>
      <c r="BC530" s="390" t="b">
        <v>0</v>
      </c>
      <c r="BD530" s="390"/>
      <c r="BE530" s="402"/>
      <c r="BF530" s="411">
        <v>4</v>
      </c>
      <c r="BG530" s="411">
        <v>1</v>
      </c>
      <c r="BH530" s="411">
        <v>8</v>
      </c>
      <c r="BI530" s="411">
        <v>6</v>
      </c>
      <c r="BJ530" s="411"/>
      <c r="BK530" s="411"/>
      <c r="BL530" s="445" t="s">
        <v>6981</v>
      </c>
      <c r="BM530" s="402"/>
      <c r="BN530" s="390"/>
      <c r="BO530" s="390"/>
      <c r="BP530" s="414"/>
      <c r="BQ530" s="415"/>
      <c r="BR530" s="416"/>
      <c r="BS530" s="414"/>
      <c r="BT530" s="411"/>
      <c r="BU530" s="419">
        <v>0.58399999999999996</v>
      </c>
      <c r="BV530" s="414"/>
      <c r="BW530" s="390" t="s">
        <v>3117</v>
      </c>
      <c r="BX530" s="402" t="s">
        <v>3177</v>
      </c>
      <c r="BY530" s="390"/>
      <c r="BZ530" s="390"/>
      <c r="CA530" s="442" t="s">
        <v>1662</v>
      </c>
      <c r="CB530" s="415">
        <v>3</v>
      </c>
      <c r="CC530" s="413"/>
      <c r="CD530" s="413"/>
      <c r="CE530" s="413"/>
      <c r="CF530" s="413"/>
      <c r="CG530" s="413"/>
      <c r="CH530" s="413">
        <v>2.931</v>
      </c>
      <c r="CI530" s="413">
        <v>3.2040000000000002</v>
      </c>
      <c r="CJ530" s="413">
        <v>3.3879999999999999</v>
      </c>
      <c r="CK530" s="413">
        <v>3.512</v>
      </c>
      <c r="CL530" s="413">
        <v>3.5950000000000002</v>
      </c>
      <c r="CM530" s="413">
        <v>3.6509999999999998</v>
      </c>
      <c r="CN530" s="413">
        <v>3.6880000000000002</v>
      </c>
      <c r="CO530" s="413">
        <v>3.714</v>
      </c>
      <c r="CP530" s="413">
        <v>3.7309999999999999</v>
      </c>
      <c r="CQ530" s="413">
        <v>3.742</v>
      </c>
      <c r="CR530" s="413"/>
      <c r="CS530" s="413"/>
      <c r="CT530" s="413"/>
      <c r="CU530" s="413"/>
      <c r="CV530" s="413"/>
      <c r="CW530" s="413"/>
      <c r="CX530" s="413"/>
      <c r="CY530" s="413"/>
      <c r="CZ530" s="413"/>
      <c r="DA530" s="413"/>
      <c r="DB530" s="413"/>
      <c r="DC530" s="413"/>
      <c r="DD530" s="413"/>
      <c r="DE530" s="390"/>
      <c r="DF530" s="390"/>
      <c r="DG530" s="390"/>
      <c r="DH530" s="390"/>
      <c r="DI530" s="390"/>
      <c r="DJ530" s="390"/>
      <c r="DK530" s="897"/>
    </row>
    <row r="531" spans="1:115" ht="51" x14ac:dyDescent="0.2">
      <c r="A531" s="295">
        <v>527</v>
      </c>
      <c r="B531" s="390" t="s">
        <v>936</v>
      </c>
      <c r="C531" s="424" t="s">
        <v>7497</v>
      </c>
      <c r="D531" s="391"/>
      <c r="E531" s="708" t="s">
        <v>937</v>
      </c>
      <c r="F531" s="404" t="s">
        <v>1375</v>
      </c>
      <c r="G531" s="404" t="s">
        <v>1361</v>
      </c>
      <c r="H531" s="404" t="s">
        <v>137</v>
      </c>
      <c r="I531" s="403"/>
      <c r="J531" s="403" t="s">
        <v>137</v>
      </c>
      <c r="K531" s="403"/>
      <c r="L531" s="403" t="s">
        <v>266</v>
      </c>
      <c r="M531" s="403" t="s">
        <v>4038</v>
      </c>
      <c r="N531" s="403" t="s">
        <v>7905</v>
      </c>
      <c r="O531" s="404" t="s">
        <v>827</v>
      </c>
      <c r="P531" s="404" t="s">
        <v>827</v>
      </c>
      <c r="Q531" s="403" t="s">
        <v>923</v>
      </c>
      <c r="R531" s="403"/>
      <c r="S531" s="403" t="s">
        <v>46</v>
      </c>
      <c r="T531" s="405"/>
      <c r="U531" s="406"/>
      <c r="V531" s="406"/>
      <c r="W531" s="456">
        <v>41031</v>
      </c>
      <c r="X531" s="405">
        <v>28</v>
      </c>
      <c r="Y531" s="405"/>
      <c r="Z531" s="405"/>
      <c r="AA531" s="406"/>
      <c r="AB531" s="455"/>
      <c r="AC531" s="407"/>
      <c r="AD531" s="407"/>
      <c r="AE531" s="404" t="s">
        <v>355</v>
      </c>
      <c r="AF531" s="418"/>
      <c r="AG531" s="418"/>
      <c r="AH531" s="418"/>
      <c r="AI531" s="405"/>
      <c r="AJ531" s="455"/>
      <c r="AK531" s="455"/>
      <c r="AL531" s="404"/>
      <c r="AM531" s="404"/>
      <c r="AN531" s="418"/>
      <c r="AO531" s="403"/>
      <c r="AP531" s="403" t="s">
        <v>7057</v>
      </c>
      <c r="AQ531" s="403"/>
      <c r="AR531" s="403" t="s">
        <v>882</v>
      </c>
      <c r="AS531" s="482">
        <v>40577</v>
      </c>
      <c r="AT531" s="456">
        <v>40670</v>
      </c>
      <c r="AU531" s="455"/>
      <c r="AV531" s="455"/>
      <c r="AW531" s="456">
        <v>41002</v>
      </c>
      <c r="AX531" s="456">
        <v>41082</v>
      </c>
      <c r="AY531" s="456">
        <v>41023</v>
      </c>
      <c r="AZ531" s="455"/>
      <c r="BA531" s="404"/>
      <c r="BB531" s="404" t="s">
        <v>3116</v>
      </c>
      <c r="BC531" s="404" t="b">
        <v>0</v>
      </c>
      <c r="BD531" s="404" t="s">
        <v>3116</v>
      </c>
      <c r="BE531" s="403"/>
      <c r="BF531" s="405">
        <v>5</v>
      </c>
      <c r="BG531" s="405">
        <v>7</v>
      </c>
      <c r="BH531" s="405">
        <v>8</v>
      </c>
      <c r="BI531" s="405">
        <v>10</v>
      </c>
      <c r="BJ531" s="405"/>
      <c r="BK531" s="405"/>
      <c r="BL531" s="446"/>
      <c r="BM531" s="403"/>
      <c r="BN531" s="404"/>
      <c r="BO531" s="404"/>
      <c r="BP531" s="408"/>
      <c r="BQ531" s="409"/>
      <c r="BR531" s="410"/>
      <c r="BS531" s="408"/>
      <c r="BT531" s="405"/>
      <c r="BU531" s="418"/>
      <c r="BV531" s="408"/>
      <c r="BW531" s="404"/>
      <c r="BX531" s="403"/>
      <c r="BY531" s="404"/>
      <c r="BZ531" s="404"/>
      <c r="CA531" s="443"/>
      <c r="CB531" s="409"/>
      <c r="CC531" s="407"/>
      <c r="CD531" s="407"/>
      <c r="CE531" s="407"/>
      <c r="CF531" s="407"/>
      <c r="CG531" s="407"/>
      <c r="CH531" s="407"/>
      <c r="CI531" s="407"/>
      <c r="CJ531" s="407"/>
      <c r="CK531" s="407"/>
      <c r="CL531" s="407"/>
      <c r="CM531" s="407"/>
      <c r="CN531" s="407"/>
      <c r="CO531" s="407"/>
      <c r="CP531" s="407"/>
      <c r="CQ531" s="407"/>
      <c r="CR531" s="407"/>
      <c r="CS531" s="407"/>
      <c r="CT531" s="407"/>
      <c r="CU531" s="407"/>
      <c r="CV531" s="407"/>
      <c r="CW531" s="407"/>
      <c r="CX531" s="407"/>
      <c r="CY531" s="407"/>
      <c r="CZ531" s="407"/>
      <c r="DA531" s="407"/>
      <c r="DB531" s="407"/>
      <c r="DC531" s="407"/>
      <c r="DD531" s="407"/>
      <c r="DE531" s="404"/>
      <c r="DF531" s="404"/>
      <c r="DG531" s="404"/>
      <c r="DH531" s="404"/>
      <c r="DI531" s="404"/>
      <c r="DJ531" s="404"/>
      <c r="DK531" s="897"/>
    </row>
    <row r="532" spans="1:115" ht="25.5" x14ac:dyDescent="0.2">
      <c r="A532" s="295">
        <v>528</v>
      </c>
      <c r="B532" s="390" t="s">
        <v>2669</v>
      </c>
      <c r="C532" s="390"/>
      <c r="D532" s="391"/>
      <c r="E532" s="707" t="s">
        <v>938</v>
      </c>
      <c r="F532" s="404" t="s">
        <v>1375</v>
      </c>
      <c r="G532" s="404" t="s">
        <v>1361</v>
      </c>
      <c r="H532" s="404" t="s">
        <v>137</v>
      </c>
      <c r="I532" s="403"/>
      <c r="J532" s="403"/>
      <c r="K532" s="403" t="s">
        <v>2147</v>
      </c>
      <c r="L532" s="403" t="s">
        <v>266</v>
      </c>
      <c r="M532" s="403"/>
      <c r="N532" s="403" t="s">
        <v>7905</v>
      </c>
      <c r="O532" s="404" t="s">
        <v>827</v>
      </c>
      <c r="P532" s="404" t="s">
        <v>827</v>
      </c>
      <c r="Q532" s="403" t="s">
        <v>923</v>
      </c>
      <c r="R532" s="403" t="s">
        <v>4039</v>
      </c>
      <c r="S532" s="403" t="s">
        <v>46</v>
      </c>
      <c r="T532" s="405">
        <v>1</v>
      </c>
      <c r="U532" s="406">
        <v>400</v>
      </c>
      <c r="V532" s="406"/>
      <c r="W532" s="455"/>
      <c r="X532" s="405"/>
      <c r="Y532" s="405">
        <v>10</v>
      </c>
      <c r="Z532" s="405">
        <v>15</v>
      </c>
      <c r="AA532" s="406">
        <v>0</v>
      </c>
      <c r="AB532" s="456">
        <v>41031</v>
      </c>
      <c r="AC532" s="407">
        <v>200</v>
      </c>
      <c r="AD532" s="407">
        <v>4000</v>
      </c>
      <c r="AE532" s="404" t="s">
        <v>355</v>
      </c>
      <c r="AF532" s="418"/>
      <c r="AG532" s="418"/>
      <c r="AH532" s="418"/>
      <c r="AI532" s="405"/>
      <c r="AJ532" s="455"/>
      <c r="AK532" s="455"/>
      <c r="AL532" s="404"/>
      <c r="AM532" s="404"/>
      <c r="AN532" s="418"/>
      <c r="AO532" s="403"/>
      <c r="AP532" s="403" t="s">
        <v>7057</v>
      </c>
      <c r="AQ532" s="403"/>
      <c r="AR532" s="403" t="s">
        <v>882</v>
      </c>
      <c r="AS532" s="482">
        <v>40577</v>
      </c>
      <c r="AT532" s="456">
        <v>40670</v>
      </c>
      <c r="AU532" s="455"/>
      <c r="AV532" s="455"/>
      <c r="AW532" s="455"/>
      <c r="AX532" s="455"/>
      <c r="AY532" s="455"/>
      <c r="AZ532" s="456">
        <v>41023</v>
      </c>
      <c r="BA532" s="404"/>
      <c r="BB532" s="404"/>
      <c r="BC532" s="404" t="b">
        <v>0</v>
      </c>
      <c r="BD532" s="404"/>
      <c r="BE532" s="403"/>
      <c r="BF532" s="405">
        <v>5</v>
      </c>
      <c r="BG532" s="405">
        <v>7</v>
      </c>
      <c r="BH532" s="405">
        <v>8</v>
      </c>
      <c r="BI532" s="405">
        <v>10</v>
      </c>
      <c r="BJ532" s="405"/>
      <c r="BK532" s="405"/>
      <c r="BL532" s="446" t="s">
        <v>6981</v>
      </c>
      <c r="BM532" s="403"/>
      <c r="BN532" s="404"/>
      <c r="BO532" s="404"/>
      <c r="BP532" s="408"/>
      <c r="BQ532" s="409"/>
      <c r="BR532" s="410"/>
      <c r="BS532" s="408"/>
      <c r="BT532" s="405"/>
      <c r="BU532" s="418"/>
      <c r="BV532" s="408"/>
      <c r="BW532" s="404" t="s">
        <v>3117</v>
      </c>
      <c r="BX532" s="403" t="s">
        <v>3831</v>
      </c>
      <c r="BY532" s="404"/>
      <c r="BZ532" s="404"/>
      <c r="CA532" s="443"/>
      <c r="CB532" s="409"/>
      <c r="CC532" s="407"/>
      <c r="CD532" s="407"/>
      <c r="CE532" s="407"/>
      <c r="CF532" s="407"/>
      <c r="CG532" s="407">
        <v>2.0470000000000002</v>
      </c>
      <c r="CH532" s="407">
        <v>20.881</v>
      </c>
      <c r="CI532" s="407">
        <v>35.569000000000003</v>
      </c>
      <c r="CJ532" s="407">
        <v>41.762</v>
      </c>
      <c r="CK532" s="407">
        <v>41.762</v>
      </c>
      <c r="CL532" s="407">
        <v>41.762</v>
      </c>
      <c r="CM532" s="407">
        <v>41.762</v>
      </c>
      <c r="CN532" s="407">
        <v>41.762</v>
      </c>
      <c r="CO532" s="407">
        <v>41.762</v>
      </c>
      <c r="CP532" s="407">
        <v>41.762</v>
      </c>
      <c r="CQ532" s="407">
        <v>34.801000000000002</v>
      </c>
      <c r="CR532" s="407"/>
      <c r="CS532" s="407"/>
      <c r="CT532" s="407"/>
      <c r="CU532" s="407"/>
      <c r="CV532" s="407"/>
      <c r="CW532" s="407"/>
      <c r="CX532" s="407"/>
      <c r="CY532" s="407"/>
      <c r="CZ532" s="407"/>
      <c r="DA532" s="407"/>
      <c r="DB532" s="407"/>
      <c r="DC532" s="407"/>
      <c r="DD532" s="407"/>
      <c r="DE532" s="404"/>
      <c r="DF532" s="404"/>
      <c r="DG532" s="404"/>
      <c r="DH532" s="404"/>
      <c r="DI532" s="404"/>
      <c r="DJ532" s="404"/>
      <c r="DK532" s="897"/>
    </row>
    <row r="533" spans="1:115" ht="38.25" x14ac:dyDescent="0.2">
      <c r="A533" s="295">
        <v>529</v>
      </c>
      <c r="B533" s="390" t="s">
        <v>826</v>
      </c>
      <c r="C533" s="424" t="s">
        <v>7498</v>
      </c>
      <c r="D533" s="391"/>
      <c r="E533" s="706" t="s">
        <v>1972</v>
      </c>
      <c r="F533" s="390" t="s">
        <v>1375</v>
      </c>
      <c r="G533" s="390" t="s">
        <v>998</v>
      </c>
      <c r="H533" s="390" t="s">
        <v>350</v>
      </c>
      <c r="I533" s="402"/>
      <c r="J533" s="402" t="s">
        <v>350</v>
      </c>
      <c r="K533" s="402"/>
      <c r="L533" s="402" t="s">
        <v>266</v>
      </c>
      <c r="M533" s="402" t="s">
        <v>4040</v>
      </c>
      <c r="N533" s="390" t="s">
        <v>33</v>
      </c>
      <c r="O533" s="390" t="s">
        <v>827</v>
      </c>
      <c r="P533" s="390" t="s">
        <v>51</v>
      </c>
      <c r="Q533" s="402" t="s">
        <v>828</v>
      </c>
      <c r="R533" s="402"/>
      <c r="S533" s="402" t="s">
        <v>483</v>
      </c>
      <c r="T533" s="411">
        <v>1</v>
      </c>
      <c r="U533" s="412">
        <v>49.587000000000003</v>
      </c>
      <c r="V533" s="412"/>
      <c r="W533" s="457">
        <v>40725</v>
      </c>
      <c r="X533" s="411">
        <v>28</v>
      </c>
      <c r="Y533" s="411"/>
      <c r="Z533" s="411"/>
      <c r="AA533" s="412"/>
      <c r="AB533" s="454"/>
      <c r="AC533" s="413">
        <v>34.914999999999999</v>
      </c>
      <c r="AD533" s="413">
        <v>471.55199178082194</v>
      </c>
      <c r="AE533" s="390" t="s">
        <v>355</v>
      </c>
      <c r="AF533" s="419"/>
      <c r="AG533" s="419"/>
      <c r="AH533" s="419">
        <v>0</v>
      </c>
      <c r="AI533" s="411"/>
      <c r="AJ533" s="454"/>
      <c r="AK533" s="454"/>
      <c r="AL533" s="390"/>
      <c r="AM533" s="390"/>
      <c r="AN533" s="419"/>
      <c r="AO533" s="402"/>
      <c r="AP533" s="402" t="s">
        <v>7067</v>
      </c>
      <c r="AQ533" s="402"/>
      <c r="AR533" s="402" t="s">
        <v>3777</v>
      </c>
      <c r="AS533" s="481">
        <v>40582</v>
      </c>
      <c r="AT533" s="454"/>
      <c r="AU533" s="454"/>
      <c r="AV533" s="454"/>
      <c r="AW533" s="454"/>
      <c r="AX533" s="454"/>
      <c r="AY533" s="454"/>
      <c r="AZ533" s="454"/>
      <c r="BA533" s="390"/>
      <c r="BB533" s="390" t="s">
        <v>3147</v>
      </c>
      <c r="BC533" s="390" t="b">
        <v>0</v>
      </c>
      <c r="BD533" s="390" t="s">
        <v>3147</v>
      </c>
      <c r="BE533" s="402"/>
      <c r="BF533" s="411">
        <v>8</v>
      </c>
      <c r="BG533" s="411">
        <v>9</v>
      </c>
      <c r="BH533" s="411">
        <v>5</v>
      </c>
      <c r="BI533" s="411">
        <v>7</v>
      </c>
      <c r="BJ533" s="411">
        <v>6</v>
      </c>
      <c r="BK533" s="411"/>
      <c r="BL533" s="445"/>
      <c r="BM533" s="402"/>
      <c r="BN533" s="390"/>
      <c r="BO533" s="390"/>
      <c r="BP533" s="414"/>
      <c r="BQ533" s="415"/>
      <c r="BR533" s="416"/>
      <c r="BS533" s="414">
        <v>0</v>
      </c>
      <c r="BT533" s="411"/>
      <c r="BU533" s="419"/>
      <c r="BV533" s="414"/>
      <c r="BW533" s="390"/>
      <c r="BX533" s="402"/>
      <c r="BY533" s="390"/>
      <c r="BZ533" s="390"/>
      <c r="CA533" s="442"/>
      <c r="CB533" s="415"/>
      <c r="CC533" s="413"/>
      <c r="CD533" s="413"/>
      <c r="CE533" s="413"/>
      <c r="CF533" s="413"/>
      <c r="CG533" s="413"/>
      <c r="CH533" s="413"/>
      <c r="CI533" s="413"/>
      <c r="CJ533" s="413"/>
      <c r="CK533" s="413"/>
      <c r="CL533" s="413"/>
      <c r="CM533" s="413"/>
      <c r="CN533" s="413"/>
      <c r="CO533" s="413"/>
      <c r="CP533" s="413"/>
      <c r="CQ533" s="413"/>
      <c r="CR533" s="413"/>
      <c r="CS533" s="413"/>
      <c r="CT533" s="413"/>
      <c r="CU533" s="413"/>
      <c r="CV533" s="413"/>
      <c r="CW533" s="413"/>
      <c r="CX533" s="413"/>
      <c r="CY533" s="413"/>
      <c r="CZ533" s="413"/>
      <c r="DA533" s="413"/>
      <c r="DB533" s="413"/>
      <c r="DC533" s="413"/>
      <c r="DD533" s="413"/>
      <c r="DE533" s="390"/>
      <c r="DF533" s="390"/>
      <c r="DG533" s="390"/>
      <c r="DH533" s="390"/>
      <c r="DI533" s="390"/>
      <c r="DJ533" s="390"/>
      <c r="DK533" s="897"/>
    </row>
    <row r="534" spans="1:115" ht="51" x14ac:dyDescent="0.2">
      <c r="A534" s="295">
        <v>530</v>
      </c>
      <c r="B534" s="390" t="s">
        <v>2670</v>
      </c>
      <c r="C534" s="390"/>
      <c r="D534" s="391"/>
      <c r="E534" s="706" t="s">
        <v>830</v>
      </c>
      <c r="F534" s="390" t="s">
        <v>1375</v>
      </c>
      <c r="G534" s="390" t="s">
        <v>998</v>
      </c>
      <c r="H534" s="390" t="s">
        <v>350</v>
      </c>
      <c r="I534" s="402"/>
      <c r="J534" s="402"/>
      <c r="K534" s="402" t="s">
        <v>831</v>
      </c>
      <c r="L534" s="402" t="s">
        <v>266</v>
      </c>
      <c r="M534" s="402"/>
      <c r="N534" s="390" t="s">
        <v>33</v>
      </c>
      <c r="O534" s="390" t="s">
        <v>827</v>
      </c>
      <c r="P534" s="390" t="s">
        <v>51</v>
      </c>
      <c r="Q534" s="402" t="s">
        <v>828</v>
      </c>
      <c r="R534" s="402" t="s">
        <v>4041</v>
      </c>
      <c r="S534" s="402" t="s">
        <v>483</v>
      </c>
      <c r="T534" s="411">
        <v>1</v>
      </c>
      <c r="U534" s="412">
        <v>49.587000000000003</v>
      </c>
      <c r="V534" s="412"/>
      <c r="W534" s="454"/>
      <c r="X534" s="411"/>
      <c r="Y534" s="411">
        <v>7</v>
      </c>
      <c r="Z534" s="411">
        <v>28</v>
      </c>
      <c r="AA534" s="412">
        <v>20</v>
      </c>
      <c r="AB534" s="457">
        <v>40725</v>
      </c>
      <c r="AC534" s="413">
        <v>34.914999999999999</v>
      </c>
      <c r="AD534" s="413">
        <v>471.55199178082194</v>
      </c>
      <c r="AE534" s="390" t="s">
        <v>355</v>
      </c>
      <c r="AF534" s="419"/>
      <c r="AG534" s="419"/>
      <c r="AH534" s="419"/>
      <c r="AI534" s="411"/>
      <c r="AJ534" s="454"/>
      <c r="AK534" s="454"/>
      <c r="AL534" s="390"/>
      <c r="AM534" s="390"/>
      <c r="AN534" s="419"/>
      <c r="AO534" s="402"/>
      <c r="AP534" s="402" t="s">
        <v>7067</v>
      </c>
      <c r="AQ534" s="402"/>
      <c r="AR534" s="402" t="s">
        <v>3777</v>
      </c>
      <c r="AS534" s="481">
        <v>40582</v>
      </c>
      <c r="AT534" s="454"/>
      <c r="AU534" s="454"/>
      <c r="AV534" s="454"/>
      <c r="AW534" s="454"/>
      <c r="AX534" s="454"/>
      <c r="AY534" s="454"/>
      <c r="AZ534" s="454"/>
      <c r="BA534" s="390"/>
      <c r="BB534" s="390"/>
      <c r="BC534" s="390" t="b">
        <v>0</v>
      </c>
      <c r="BD534" s="390"/>
      <c r="BE534" s="402"/>
      <c r="BF534" s="411">
        <v>8</v>
      </c>
      <c r="BG534" s="411">
        <v>9</v>
      </c>
      <c r="BH534" s="411">
        <v>5</v>
      </c>
      <c r="BI534" s="411">
        <v>7</v>
      </c>
      <c r="BJ534" s="411">
        <v>6</v>
      </c>
      <c r="BK534" s="411"/>
      <c r="BL534" s="445" t="s">
        <v>6981</v>
      </c>
      <c r="BM534" s="402"/>
      <c r="BN534" s="390"/>
      <c r="BO534" s="390"/>
      <c r="BP534" s="414"/>
      <c r="BQ534" s="415"/>
      <c r="BR534" s="416"/>
      <c r="BS534" s="414"/>
      <c r="BT534" s="411"/>
      <c r="BU534" s="419"/>
      <c r="BV534" s="414"/>
      <c r="BW534" s="390" t="s">
        <v>3117</v>
      </c>
      <c r="BX534" s="402" t="s">
        <v>3199</v>
      </c>
      <c r="BY534" s="390"/>
      <c r="BZ534" s="390"/>
      <c r="CA534" s="442" t="s">
        <v>1664</v>
      </c>
      <c r="CB534" s="415"/>
      <c r="CC534" s="413"/>
      <c r="CD534" s="413"/>
      <c r="CE534" s="413"/>
      <c r="CF534" s="413"/>
      <c r="CG534" s="413">
        <v>3.9079999999999999</v>
      </c>
      <c r="CH534" s="413">
        <v>31.007000000000001</v>
      </c>
      <c r="CI534" s="413">
        <v>56.499000000000002</v>
      </c>
      <c r="CJ534" s="413">
        <v>59.323999999999998</v>
      </c>
      <c r="CK534" s="413">
        <v>62.29</v>
      </c>
      <c r="CL534" s="413">
        <v>65.403999999999996</v>
      </c>
      <c r="CM534" s="413">
        <v>68.674999999999997</v>
      </c>
      <c r="CN534" s="413">
        <v>68.674999999999997</v>
      </c>
      <c r="CO534" s="413">
        <v>68.674999999999997</v>
      </c>
      <c r="CP534" s="413">
        <v>68.674999999999997</v>
      </c>
      <c r="CQ534" s="413">
        <v>68.674999999999997</v>
      </c>
      <c r="CR534" s="413">
        <v>68.674999999999997</v>
      </c>
      <c r="CS534" s="413">
        <v>68.674999999999997</v>
      </c>
      <c r="CT534" s="413">
        <v>68.674999999999997</v>
      </c>
      <c r="CU534" s="413">
        <v>68.674999999999997</v>
      </c>
      <c r="CV534" s="413">
        <v>68.674999999999997</v>
      </c>
      <c r="CW534" s="413">
        <v>68.674999999999997</v>
      </c>
      <c r="CX534" s="413">
        <v>68.674999999999997</v>
      </c>
      <c r="CY534" s="413">
        <v>68.674999999999997</v>
      </c>
      <c r="CZ534" s="413">
        <v>68.674999999999997</v>
      </c>
      <c r="DA534" s="413">
        <v>68.674999999999997</v>
      </c>
      <c r="DB534" s="413"/>
      <c r="DC534" s="413"/>
      <c r="DD534" s="413"/>
      <c r="DE534" s="390"/>
      <c r="DF534" s="390"/>
      <c r="DG534" s="390"/>
      <c r="DH534" s="390"/>
      <c r="DI534" s="390"/>
      <c r="DJ534" s="390"/>
      <c r="DK534" s="897"/>
    </row>
    <row r="535" spans="1:115" ht="25.5" x14ac:dyDescent="0.2">
      <c r="A535" s="295">
        <v>531</v>
      </c>
      <c r="B535" s="390" t="s">
        <v>952</v>
      </c>
      <c r="C535" s="424" t="s">
        <v>7499</v>
      </c>
      <c r="D535" s="391"/>
      <c r="E535" s="707" t="s">
        <v>953</v>
      </c>
      <c r="F535" s="404" t="s">
        <v>1352</v>
      </c>
      <c r="G535" s="404" t="s">
        <v>1671</v>
      </c>
      <c r="H535" s="404" t="s">
        <v>107</v>
      </c>
      <c r="I535" s="403"/>
      <c r="J535" s="403" t="s">
        <v>107</v>
      </c>
      <c r="K535" s="403"/>
      <c r="L535" s="403" t="s">
        <v>954</v>
      </c>
      <c r="M535" s="403" t="s">
        <v>4042</v>
      </c>
      <c r="N535" s="404" t="s">
        <v>2412</v>
      </c>
      <c r="O535" s="404" t="s">
        <v>827</v>
      </c>
      <c r="P535" s="404" t="s">
        <v>827</v>
      </c>
      <c r="Q535" s="403" t="s">
        <v>923</v>
      </c>
      <c r="R535" s="403"/>
      <c r="S535" s="403" t="s">
        <v>955</v>
      </c>
      <c r="T535" s="405"/>
      <c r="U535" s="406"/>
      <c r="V535" s="406"/>
      <c r="W535" s="456">
        <v>40336</v>
      </c>
      <c r="X535" s="405">
        <v>28</v>
      </c>
      <c r="Y535" s="405"/>
      <c r="Z535" s="405"/>
      <c r="AA535" s="406"/>
      <c r="AB535" s="455"/>
      <c r="AC535" s="407"/>
      <c r="AD535" s="407"/>
      <c r="AE535" s="404" t="s">
        <v>111</v>
      </c>
      <c r="AF535" s="418"/>
      <c r="AG535" s="418"/>
      <c r="AH535" s="418"/>
      <c r="AI535" s="405"/>
      <c r="AJ535" s="455"/>
      <c r="AK535" s="455"/>
      <c r="AL535" s="404"/>
      <c r="AM535" s="404"/>
      <c r="AN535" s="418"/>
      <c r="AO535" s="403"/>
      <c r="AP535" s="403" t="s">
        <v>55</v>
      </c>
      <c r="AQ535" s="403"/>
      <c r="AR535" s="403" t="s">
        <v>954</v>
      </c>
      <c r="AS535" s="482">
        <v>40596</v>
      </c>
      <c r="AT535" s="456">
        <v>40628</v>
      </c>
      <c r="AU535" s="455"/>
      <c r="AV535" s="455"/>
      <c r="AW535" s="455"/>
      <c r="AX535" s="455"/>
      <c r="AY535" s="455"/>
      <c r="AZ535" s="455"/>
      <c r="BA535" s="404"/>
      <c r="BB535" s="404" t="s">
        <v>3147</v>
      </c>
      <c r="BC535" s="404" t="b">
        <v>0</v>
      </c>
      <c r="BD535" s="404" t="s">
        <v>3147</v>
      </c>
      <c r="BE535" s="403"/>
      <c r="BF535" s="405">
        <v>8</v>
      </c>
      <c r="BG535" s="405">
        <v>9</v>
      </c>
      <c r="BH535" s="405"/>
      <c r="BI535" s="405"/>
      <c r="BJ535" s="405"/>
      <c r="BK535" s="405"/>
      <c r="BL535" s="446"/>
      <c r="BM535" s="403"/>
      <c r="BN535" s="404"/>
      <c r="BO535" s="404"/>
      <c r="BP535" s="408"/>
      <c r="BQ535" s="409"/>
      <c r="BR535" s="410"/>
      <c r="BS535" s="408"/>
      <c r="BT535" s="405"/>
      <c r="BU535" s="418"/>
      <c r="BV535" s="408"/>
      <c r="BW535" s="404"/>
      <c r="BX535" s="403"/>
      <c r="BY535" s="404"/>
      <c r="BZ535" s="404"/>
      <c r="CA535" s="443"/>
      <c r="CB535" s="409"/>
      <c r="CC535" s="407"/>
      <c r="CD535" s="407"/>
      <c r="CE535" s="407"/>
      <c r="CF535" s="407"/>
      <c r="CG535" s="407"/>
      <c r="CH535" s="407"/>
      <c r="CI535" s="407"/>
      <c r="CJ535" s="407"/>
      <c r="CK535" s="407"/>
      <c r="CL535" s="407"/>
      <c r="CM535" s="407"/>
      <c r="CN535" s="407"/>
      <c r="CO535" s="407"/>
      <c r="CP535" s="407"/>
      <c r="CQ535" s="407"/>
      <c r="CR535" s="407"/>
      <c r="CS535" s="407"/>
      <c r="CT535" s="407"/>
      <c r="CU535" s="407"/>
      <c r="CV535" s="407"/>
      <c r="CW535" s="407"/>
      <c r="CX535" s="407"/>
      <c r="CY535" s="407"/>
      <c r="CZ535" s="407"/>
      <c r="DA535" s="407"/>
      <c r="DB535" s="407"/>
      <c r="DC535" s="407"/>
      <c r="DD535" s="407"/>
      <c r="DE535" s="404"/>
      <c r="DF535" s="404"/>
      <c r="DG535" s="404"/>
      <c r="DH535" s="404"/>
      <c r="DI535" s="404"/>
      <c r="DJ535" s="404"/>
      <c r="DK535" s="897"/>
    </row>
    <row r="536" spans="1:115" ht="51" x14ac:dyDescent="0.2">
      <c r="A536" s="295">
        <v>532</v>
      </c>
      <c r="B536" s="390" t="s">
        <v>2671</v>
      </c>
      <c r="C536" s="390"/>
      <c r="D536" s="391"/>
      <c r="E536" s="707" t="s">
        <v>956</v>
      </c>
      <c r="F536" s="404" t="s">
        <v>1352</v>
      </c>
      <c r="G536" s="404" t="s">
        <v>1671</v>
      </c>
      <c r="H536" s="404" t="s">
        <v>107</v>
      </c>
      <c r="I536" s="403"/>
      <c r="J536" s="403"/>
      <c r="K536" s="403" t="s">
        <v>957</v>
      </c>
      <c r="L536" s="403" t="s">
        <v>954</v>
      </c>
      <c r="M536" s="403"/>
      <c r="N536" s="404" t="s">
        <v>2412</v>
      </c>
      <c r="O536" s="404" t="s">
        <v>827</v>
      </c>
      <c r="P536" s="404" t="s">
        <v>827</v>
      </c>
      <c r="Q536" s="403" t="s">
        <v>923</v>
      </c>
      <c r="R536" s="403" t="s">
        <v>4043</v>
      </c>
      <c r="S536" s="403" t="s">
        <v>955</v>
      </c>
      <c r="T536" s="405">
        <v>1</v>
      </c>
      <c r="U536" s="406">
        <v>0.56294</v>
      </c>
      <c r="V536" s="406"/>
      <c r="W536" s="455"/>
      <c r="X536" s="405"/>
      <c r="Y536" s="405">
        <v>10</v>
      </c>
      <c r="Z536" s="405">
        <v>10</v>
      </c>
      <c r="AA536" s="406">
        <v>0</v>
      </c>
      <c r="AB536" s="456">
        <v>40695</v>
      </c>
      <c r="AC536" s="407">
        <v>0.808755</v>
      </c>
      <c r="AD536" s="407">
        <v>5.6294000000000004</v>
      </c>
      <c r="AE536" s="404" t="s">
        <v>111</v>
      </c>
      <c r="AF536" s="418"/>
      <c r="AG536" s="418"/>
      <c r="AH536" s="418"/>
      <c r="AI536" s="405"/>
      <c r="AJ536" s="455"/>
      <c r="AK536" s="455"/>
      <c r="AL536" s="404"/>
      <c r="AM536" s="404"/>
      <c r="AN536" s="418"/>
      <c r="AO536" s="403"/>
      <c r="AP536" s="403" t="s">
        <v>55</v>
      </c>
      <c r="AQ536" s="403"/>
      <c r="AR536" s="403" t="s">
        <v>954</v>
      </c>
      <c r="AS536" s="482">
        <v>40596</v>
      </c>
      <c r="AT536" s="456">
        <v>40628</v>
      </c>
      <c r="AU536" s="455"/>
      <c r="AV536" s="455"/>
      <c r="AW536" s="455"/>
      <c r="AX536" s="455"/>
      <c r="AY536" s="455"/>
      <c r="AZ536" s="455"/>
      <c r="BA536" s="404"/>
      <c r="BB536" s="404"/>
      <c r="BC536" s="404" t="b">
        <v>0</v>
      </c>
      <c r="BD536" s="404"/>
      <c r="BE536" s="403"/>
      <c r="BF536" s="405">
        <v>8</v>
      </c>
      <c r="BG536" s="405">
        <v>9</v>
      </c>
      <c r="BH536" s="405"/>
      <c r="BI536" s="405"/>
      <c r="BJ536" s="405"/>
      <c r="BK536" s="405"/>
      <c r="BL536" s="446" t="s">
        <v>6981</v>
      </c>
      <c r="BM536" s="403"/>
      <c r="BN536" s="404"/>
      <c r="BO536" s="404"/>
      <c r="BP536" s="408"/>
      <c r="BQ536" s="409"/>
      <c r="BR536" s="410"/>
      <c r="BS536" s="408">
        <v>0.52600000000000002</v>
      </c>
      <c r="BT536" s="405">
        <v>714</v>
      </c>
      <c r="BU536" s="418"/>
      <c r="BV536" s="408"/>
      <c r="BW536" s="404" t="s">
        <v>3117</v>
      </c>
      <c r="BX536" s="403" t="s">
        <v>4044</v>
      </c>
      <c r="BY536" s="404"/>
      <c r="BZ536" s="404"/>
      <c r="CA536" s="443"/>
      <c r="CB536" s="409"/>
      <c r="CC536" s="407"/>
      <c r="CD536" s="407"/>
      <c r="CE536" s="407"/>
      <c r="CF536" s="407"/>
      <c r="CG536" s="407">
        <v>539.16999999999996</v>
      </c>
      <c r="CH536" s="407">
        <v>539.16999999999996</v>
      </c>
      <c r="CI536" s="407">
        <v>539.16999999999996</v>
      </c>
      <c r="CJ536" s="407">
        <v>539.16999999999996</v>
      </c>
      <c r="CK536" s="407">
        <v>539.16999999999996</v>
      </c>
      <c r="CL536" s="407">
        <v>539.16999999999996</v>
      </c>
      <c r="CM536" s="407">
        <v>539.16999999999996</v>
      </c>
      <c r="CN536" s="407">
        <v>539.16999999999996</v>
      </c>
      <c r="CO536" s="407">
        <v>539.16999999999996</v>
      </c>
      <c r="CP536" s="407">
        <v>539.16999999999996</v>
      </c>
      <c r="CQ536" s="407"/>
      <c r="CR536" s="407"/>
      <c r="CS536" s="407"/>
      <c r="CT536" s="407"/>
      <c r="CU536" s="407"/>
      <c r="CV536" s="407"/>
      <c r="CW536" s="407"/>
      <c r="CX536" s="407"/>
      <c r="CY536" s="407"/>
      <c r="CZ536" s="407"/>
      <c r="DA536" s="407"/>
      <c r="DB536" s="407"/>
      <c r="DC536" s="407"/>
      <c r="DD536" s="407"/>
      <c r="DE536" s="404"/>
      <c r="DF536" s="404"/>
      <c r="DG536" s="404"/>
      <c r="DH536" s="404"/>
      <c r="DI536" s="404"/>
      <c r="DJ536" s="404"/>
      <c r="DK536" s="897"/>
    </row>
    <row r="537" spans="1:115" ht="51" x14ac:dyDescent="0.2">
      <c r="A537" s="295">
        <v>533</v>
      </c>
      <c r="B537" s="390" t="s">
        <v>1067</v>
      </c>
      <c r="C537" s="424" t="s">
        <v>7500</v>
      </c>
      <c r="D537" s="391"/>
      <c r="E537" s="707" t="s">
        <v>1068</v>
      </c>
      <c r="F537" s="404" t="s">
        <v>1375</v>
      </c>
      <c r="G537" s="404" t="s">
        <v>1670</v>
      </c>
      <c r="H537" s="404" t="s">
        <v>1069</v>
      </c>
      <c r="I537" s="403"/>
      <c r="J537" s="403" t="s">
        <v>1070</v>
      </c>
      <c r="K537" s="403"/>
      <c r="L537" s="403" t="s">
        <v>1071</v>
      </c>
      <c r="M537" s="403" t="s">
        <v>3726</v>
      </c>
      <c r="N537" s="404" t="s">
        <v>2412</v>
      </c>
      <c r="O537" s="404" t="s">
        <v>51</v>
      </c>
      <c r="P537" s="404" t="s">
        <v>51</v>
      </c>
      <c r="Q537" s="403" t="s">
        <v>976</v>
      </c>
      <c r="R537" s="403"/>
      <c r="S537" s="403" t="s">
        <v>977</v>
      </c>
      <c r="T537" s="405"/>
      <c r="U537" s="406"/>
      <c r="V537" s="406"/>
      <c r="W537" s="456">
        <v>40544</v>
      </c>
      <c r="X537" s="405">
        <v>28</v>
      </c>
      <c r="Y537" s="405"/>
      <c r="Z537" s="405"/>
      <c r="AA537" s="406"/>
      <c r="AB537" s="455"/>
      <c r="AC537" s="407"/>
      <c r="AD537" s="407"/>
      <c r="AE537" s="404" t="s">
        <v>54</v>
      </c>
      <c r="AF537" s="418"/>
      <c r="AG537" s="418"/>
      <c r="AH537" s="418"/>
      <c r="AI537" s="405"/>
      <c r="AJ537" s="455"/>
      <c r="AK537" s="455"/>
      <c r="AL537" s="404"/>
      <c r="AM537" s="404"/>
      <c r="AN537" s="418"/>
      <c r="AO537" s="403"/>
      <c r="AP537" s="403" t="s">
        <v>55</v>
      </c>
      <c r="AQ537" s="403"/>
      <c r="AR537" s="403" t="s">
        <v>1071</v>
      </c>
      <c r="AS537" s="482">
        <v>40598</v>
      </c>
      <c r="AT537" s="456">
        <v>40936</v>
      </c>
      <c r="AU537" s="455"/>
      <c r="AV537" s="455"/>
      <c r="AW537" s="455"/>
      <c r="AX537" s="455"/>
      <c r="AY537" s="456">
        <v>41449</v>
      </c>
      <c r="AZ537" s="455"/>
      <c r="BA537" s="404"/>
      <c r="BB537" s="404" t="s">
        <v>3147</v>
      </c>
      <c r="BC537" s="404" t="b">
        <v>0</v>
      </c>
      <c r="BD537" s="404" t="s">
        <v>3147</v>
      </c>
      <c r="BE537" s="403"/>
      <c r="BF537" s="405">
        <v>8</v>
      </c>
      <c r="BG537" s="405">
        <v>1</v>
      </c>
      <c r="BH537" s="405">
        <v>4</v>
      </c>
      <c r="BI537" s="405">
        <v>6</v>
      </c>
      <c r="BJ537" s="405"/>
      <c r="BK537" s="405"/>
      <c r="BL537" s="446"/>
      <c r="BM537" s="403"/>
      <c r="BN537" s="404"/>
      <c r="BO537" s="404"/>
      <c r="BP537" s="408"/>
      <c r="BQ537" s="409"/>
      <c r="BR537" s="410"/>
      <c r="BS537" s="408"/>
      <c r="BT537" s="405"/>
      <c r="BU537" s="418"/>
      <c r="BV537" s="408"/>
      <c r="BW537" s="404"/>
      <c r="BX537" s="403"/>
      <c r="BY537" s="404"/>
      <c r="BZ537" s="404"/>
      <c r="CA537" s="443"/>
      <c r="CB537" s="409"/>
      <c r="CC537" s="407"/>
      <c r="CD537" s="407"/>
      <c r="CE537" s="407"/>
      <c r="CF537" s="407"/>
      <c r="CG537" s="407"/>
      <c r="CH537" s="407"/>
      <c r="CI537" s="407"/>
      <c r="CJ537" s="407"/>
      <c r="CK537" s="407"/>
      <c r="CL537" s="407"/>
      <c r="CM537" s="407"/>
      <c r="CN537" s="407"/>
      <c r="CO537" s="407"/>
      <c r="CP537" s="407"/>
      <c r="CQ537" s="407"/>
      <c r="CR537" s="407"/>
      <c r="CS537" s="407"/>
      <c r="CT537" s="407"/>
      <c r="CU537" s="407"/>
      <c r="CV537" s="407"/>
      <c r="CW537" s="407"/>
      <c r="CX537" s="407"/>
      <c r="CY537" s="407"/>
      <c r="CZ537" s="407"/>
      <c r="DA537" s="407"/>
      <c r="DB537" s="407"/>
      <c r="DC537" s="407"/>
      <c r="DD537" s="407"/>
      <c r="DE537" s="404"/>
      <c r="DF537" s="404"/>
      <c r="DG537" s="404"/>
      <c r="DH537" s="404"/>
      <c r="DI537" s="404"/>
      <c r="DJ537" s="404"/>
      <c r="DK537" s="897"/>
    </row>
    <row r="538" spans="1:115" ht="51" x14ac:dyDescent="0.2">
      <c r="A538" s="295">
        <v>534</v>
      </c>
      <c r="B538" s="390" t="s">
        <v>2672</v>
      </c>
      <c r="C538" s="390"/>
      <c r="D538" s="391"/>
      <c r="E538" s="707" t="s">
        <v>1072</v>
      </c>
      <c r="F538" s="404" t="s">
        <v>1375</v>
      </c>
      <c r="G538" s="404" t="s">
        <v>1670</v>
      </c>
      <c r="H538" s="404" t="s">
        <v>1069</v>
      </c>
      <c r="I538" s="403"/>
      <c r="J538" s="403"/>
      <c r="K538" s="403" t="s">
        <v>2148</v>
      </c>
      <c r="L538" s="403" t="s">
        <v>1071</v>
      </c>
      <c r="M538" s="403"/>
      <c r="N538" s="404" t="s">
        <v>2412</v>
      </c>
      <c r="O538" s="404" t="s">
        <v>51</v>
      </c>
      <c r="P538" s="404" t="s">
        <v>51</v>
      </c>
      <c r="Q538" s="403" t="s">
        <v>976</v>
      </c>
      <c r="R538" s="403" t="s">
        <v>4045</v>
      </c>
      <c r="S538" s="403" t="s">
        <v>977</v>
      </c>
      <c r="T538" s="405">
        <v>1</v>
      </c>
      <c r="U538" s="406">
        <v>45.192999999999998</v>
      </c>
      <c r="V538" s="406"/>
      <c r="W538" s="455"/>
      <c r="X538" s="405"/>
      <c r="Y538" s="405">
        <v>7</v>
      </c>
      <c r="Z538" s="405">
        <v>7</v>
      </c>
      <c r="AA538" s="406">
        <v>0</v>
      </c>
      <c r="AB538" s="456">
        <v>40725</v>
      </c>
      <c r="AC538" s="407">
        <v>67.787999999999997</v>
      </c>
      <c r="AD538" s="407">
        <v>429.76685753424653</v>
      </c>
      <c r="AE538" s="404" t="s">
        <v>54</v>
      </c>
      <c r="AF538" s="418"/>
      <c r="AG538" s="418"/>
      <c r="AH538" s="418"/>
      <c r="AI538" s="405"/>
      <c r="AJ538" s="455"/>
      <c r="AK538" s="455"/>
      <c r="AL538" s="404"/>
      <c r="AM538" s="404"/>
      <c r="AN538" s="418"/>
      <c r="AO538" s="403"/>
      <c r="AP538" s="403" t="s">
        <v>55</v>
      </c>
      <c r="AQ538" s="403"/>
      <c r="AR538" s="403" t="s">
        <v>1071</v>
      </c>
      <c r="AS538" s="482">
        <v>40598</v>
      </c>
      <c r="AT538" s="456">
        <v>40936</v>
      </c>
      <c r="AU538" s="455"/>
      <c r="AV538" s="455"/>
      <c r="AW538" s="455"/>
      <c r="AX538" s="455"/>
      <c r="AY538" s="455"/>
      <c r="AZ538" s="456">
        <v>41449</v>
      </c>
      <c r="BA538" s="404"/>
      <c r="BB538" s="404"/>
      <c r="BC538" s="404" t="b">
        <v>0</v>
      </c>
      <c r="BD538" s="404"/>
      <c r="BE538" s="403"/>
      <c r="BF538" s="405">
        <v>8</v>
      </c>
      <c r="BG538" s="405">
        <v>1</v>
      </c>
      <c r="BH538" s="405">
        <v>4</v>
      </c>
      <c r="BI538" s="405">
        <v>6</v>
      </c>
      <c r="BJ538" s="405"/>
      <c r="BK538" s="405"/>
      <c r="BL538" s="446" t="s">
        <v>1451</v>
      </c>
      <c r="BM538" s="403" t="s">
        <v>3728</v>
      </c>
      <c r="BN538" s="404" t="s">
        <v>1008</v>
      </c>
      <c r="BO538" s="404"/>
      <c r="BP538" s="408"/>
      <c r="BQ538" s="409"/>
      <c r="BR538" s="410"/>
      <c r="BS538" s="408"/>
      <c r="BT538" s="405"/>
      <c r="BU538" s="418"/>
      <c r="BV538" s="408"/>
      <c r="BW538" s="404" t="s">
        <v>3165</v>
      </c>
      <c r="BX538" s="403" t="s">
        <v>3275</v>
      </c>
      <c r="BY538" s="404"/>
      <c r="BZ538" s="404"/>
      <c r="CA538" s="443" t="s">
        <v>1664</v>
      </c>
      <c r="CB538" s="409"/>
      <c r="CC538" s="407"/>
      <c r="CD538" s="407"/>
      <c r="CE538" s="407"/>
      <c r="CF538" s="407"/>
      <c r="CG538" s="407"/>
      <c r="CH538" s="407">
        <v>19.079999999999998</v>
      </c>
      <c r="CI538" s="407">
        <v>45.869</v>
      </c>
      <c r="CJ538" s="407">
        <v>45.869</v>
      </c>
      <c r="CK538" s="407">
        <v>45.869</v>
      </c>
      <c r="CL538" s="407">
        <v>45.869</v>
      </c>
      <c r="CM538" s="407">
        <v>45.869</v>
      </c>
      <c r="CN538" s="407">
        <v>45.345999999999997</v>
      </c>
      <c r="CO538" s="407">
        <v>45.345999999999997</v>
      </c>
      <c r="CP538" s="407">
        <v>45.345999999999997</v>
      </c>
      <c r="CQ538" s="407">
        <v>45.345999999999997</v>
      </c>
      <c r="CR538" s="407">
        <v>45.345999999999997</v>
      </c>
      <c r="CS538" s="407">
        <v>45.345999999999997</v>
      </c>
      <c r="CT538" s="407">
        <v>45.345999999999997</v>
      </c>
      <c r="CU538" s="407">
        <v>45.345999999999997</v>
      </c>
      <c r="CV538" s="407">
        <v>45.345999999999997</v>
      </c>
      <c r="CW538" s="407">
        <v>45.345999999999997</v>
      </c>
      <c r="CX538" s="407">
        <v>45.345999999999997</v>
      </c>
      <c r="CY538" s="407">
        <v>45.345999999999997</v>
      </c>
      <c r="CZ538" s="407">
        <v>45.345999999999997</v>
      </c>
      <c r="DA538" s="407">
        <v>45.345999999999997</v>
      </c>
      <c r="DB538" s="407">
        <v>45.345999999999997</v>
      </c>
      <c r="DC538" s="407"/>
      <c r="DD538" s="407"/>
      <c r="DE538" s="404"/>
      <c r="DF538" s="404"/>
      <c r="DG538" s="404"/>
      <c r="DH538" s="404"/>
      <c r="DI538" s="404"/>
      <c r="DJ538" s="404"/>
      <c r="DK538" s="897"/>
    </row>
    <row r="539" spans="1:115" ht="63.75" x14ac:dyDescent="0.2">
      <c r="A539" s="295">
        <v>535</v>
      </c>
      <c r="B539" s="390" t="s">
        <v>939</v>
      </c>
      <c r="C539" s="424" t="s">
        <v>7501</v>
      </c>
      <c r="D539" s="391"/>
      <c r="E539" s="706" t="s">
        <v>1973</v>
      </c>
      <c r="F539" s="390" t="s">
        <v>1375</v>
      </c>
      <c r="G539" s="390" t="s">
        <v>1361</v>
      </c>
      <c r="H539" s="390" t="s">
        <v>137</v>
      </c>
      <c r="I539" s="402"/>
      <c r="J539" s="402" t="s">
        <v>137</v>
      </c>
      <c r="K539" s="402"/>
      <c r="L539" s="402" t="s">
        <v>940</v>
      </c>
      <c r="M539" s="402" t="s">
        <v>4046</v>
      </c>
      <c r="N539" s="390" t="s">
        <v>33</v>
      </c>
      <c r="O539" s="390" t="s">
        <v>827</v>
      </c>
      <c r="P539" s="390" t="s">
        <v>827</v>
      </c>
      <c r="Q539" s="402" t="s">
        <v>923</v>
      </c>
      <c r="R539" s="402"/>
      <c r="S539" s="402" t="s">
        <v>46</v>
      </c>
      <c r="T539" s="411">
        <v>1</v>
      </c>
      <c r="U539" s="412">
        <v>13</v>
      </c>
      <c r="V539" s="412"/>
      <c r="W539" s="457">
        <v>40603</v>
      </c>
      <c r="X539" s="411">
        <v>28</v>
      </c>
      <c r="Y539" s="411"/>
      <c r="Z539" s="411"/>
      <c r="AA539" s="412"/>
      <c r="AB539" s="454"/>
      <c r="AC539" s="413">
        <v>23.114000000000001</v>
      </c>
      <c r="AD539" s="413">
        <v>130</v>
      </c>
      <c r="AE539" s="390" t="s">
        <v>355</v>
      </c>
      <c r="AF539" s="419"/>
      <c r="AG539" s="419"/>
      <c r="AH539" s="419">
        <v>0</v>
      </c>
      <c r="AI539" s="411"/>
      <c r="AJ539" s="454"/>
      <c r="AK539" s="454"/>
      <c r="AL539" s="390"/>
      <c r="AM539" s="390"/>
      <c r="AN539" s="419"/>
      <c r="AO539" s="402"/>
      <c r="AP539" s="402" t="s">
        <v>55</v>
      </c>
      <c r="AQ539" s="402"/>
      <c r="AR539" s="402" t="s">
        <v>788</v>
      </c>
      <c r="AS539" s="481">
        <v>40620</v>
      </c>
      <c r="AT539" s="454"/>
      <c r="AU539" s="454"/>
      <c r="AV539" s="454"/>
      <c r="AW539" s="454"/>
      <c r="AX539" s="454"/>
      <c r="AY539" s="454"/>
      <c r="AZ539" s="454"/>
      <c r="BA539" s="390"/>
      <c r="BB539" s="390" t="s">
        <v>3116</v>
      </c>
      <c r="BC539" s="390" t="b">
        <v>0</v>
      </c>
      <c r="BD539" s="390" t="s">
        <v>3147</v>
      </c>
      <c r="BE539" s="402"/>
      <c r="BF539" s="411">
        <v>4</v>
      </c>
      <c r="BG539" s="411">
        <v>5</v>
      </c>
      <c r="BH539" s="411">
        <v>10</v>
      </c>
      <c r="BI539" s="411">
        <v>7</v>
      </c>
      <c r="BJ539" s="411">
        <v>8</v>
      </c>
      <c r="BK539" s="411">
        <v>9</v>
      </c>
      <c r="BL539" s="445"/>
      <c r="BM539" s="402"/>
      <c r="BN539" s="390"/>
      <c r="BO539" s="390"/>
      <c r="BP539" s="414"/>
      <c r="BQ539" s="415"/>
      <c r="BR539" s="416"/>
      <c r="BS539" s="414">
        <v>0</v>
      </c>
      <c r="BT539" s="411"/>
      <c r="BU539" s="419"/>
      <c r="BV539" s="414"/>
      <c r="BW539" s="390"/>
      <c r="BX539" s="402"/>
      <c r="BY539" s="390"/>
      <c r="BZ539" s="390"/>
      <c r="CA539" s="442"/>
      <c r="CB539" s="415"/>
      <c r="CC539" s="413"/>
      <c r="CD539" s="413"/>
      <c r="CE539" s="413"/>
      <c r="CF539" s="413"/>
      <c r="CG539" s="413"/>
      <c r="CH539" s="413"/>
      <c r="CI539" s="413"/>
      <c r="CJ539" s="413"/>
      <c r="CK539" s="413"/>
      <c r="CL539" s="413"/>
      <c r="CM539" s="413"/>
      <c r="CN539" s="413"/>
      <c r="CO539" s="413"/>
      <c r="CP539" s="413"/>
      <c r="CQ539" s="413"/>
      <c r="CR539" s="413"/>
      <c r="CS539" s="413"/>
      <c r="CT539" s="413"/>
      <c r="CU539" s="413"/>
      <c r="CV539" s="413"/>
      <c r="CW539" s="413"/>
      <c r="CX539" s="413"/>
      <c r="CY539" s="413"/>
      <c r="CZ539" s="413"/>
      <c r="DA539" s="413"/>
      <c r="DB539" s="413"/>
      <c r="DC539" s="413"/>
      <c r="DD539" s="413"/>
      <c r="DE539" s="390"/>
      <c r="DF539" s="390"/>
      <c r="DG539" s="390"/>
      <c r="DH539" s="390"/>
      <c r="DI539" s="390"/>
      <c r="DJ539" s="390"/>
      <c r="DK539" s="897"/>
    </row>
    <row r="540" spans="1:115" ht="38.25" x14ac:dyDescent="0.2">
      <c r="A540" s="295">
        <v>536</v>
      </c>
      <c r="B540" s="390" t="s">
        <v>2673</v>
      </c>
      <c r="C540" s="390"/>
      <c r="D540" s="391"/>
      <c r="E540" s="706" t="s">
        <v>941</v>
      </c>
      <c r="F540" s="390" t="s">
        <v>1375</v>
      </c>
      <c r="G540" s="390" t="s">
        <v>1361</v>
      </c>
      <c r="H540" s="390" t="s">
        <v>137</v>
      </c>
      <c r="I540" s="402"/>
      <c r="J540" s="402"/>
      <c r="K540" s="402" t="s">
        <v>942</v>
      </c>
      <c r="L540" s="402" t="s">
        <v>940</v>
      </c>
      <c r="M540" s="402"/>
      <c r="N540" s="390" t="s">
        <v>33</v>
      </c>
      <c r="O540" s="390" t="s">
        <v>827</v>
      </c>
      <c r="P540" s="390" t="s">
        <v>827</v>
      </c>
      <c r="Q540" s="402" t="s">
        <v>923</v>
      </c>
      <c r="R540" s="402" t="s">
        <v>4047</v>
      </c>
      <c r="S540" s="402" t="s">
        <v>46</v>
      </c>
      <c r="T540" s="411">
        <v>1</v>
      </c>
      <c r="U540" s="412">
        <v>13</v>
      </c>
      <c r="V540" s="412"/>
      <c r="W540" s="454"/>
      <c r="X540" s="411"/>
      <c r="Y540" s="411">
        <v>10</v>
      </c>
      <c r="Z540" s="411">
        <v>10</v>
      </c>
      <c r="AA540" s="412">
        <v>0</v>
      </c>
      <c r="AB540" s="457">
        <v>40624</v>
      </c>
      <c r="AC540" s="413">
        <v>23.114000000000001</v>
      </c>
      <c r="AD540" s="413">
        <v>130</v>
      </c>
      <c r="AE540" s="390" t="s">
        <v>355</v>
      </c>
      <c r="AF540" s="419"/>
      <c r="AG540" s="419"/>
      <c r="AH540" s="419"/>
      <c r="AI540" s="411"/>
      <c r="AJ540" s="454"/>
      <c r="AK540" s="454"/>
      <c r="AL540" s="390"/>
      <c r="AM540" s="390"/>
      <c r="AN540" s="419"/>
      <c r="AO540" s="402"/>
      <c r="AP540" s="402" t="s">
        <v>55</v>
      </c>
      <c r="AQ540" s="402"/>
      <c r="AR540" s="402" t="s">
        <v>788</v>
      </c>
      <c r="AS540" s="481">
        <v>40620</v>
      </c>
      <c r="AT540" s="454"/>
      <c r="AU540" s="454"/>
      <c r="AV540" s="454"/>
      <c r="AW540" s="454"/>
      <c r="AX540" s="454"/>
      <c r="AY540" s="454"/>
      <c r="AZ540" s="454"/>
      <c r="BA540" s="390"/>
      <c r="BB540" s="390"/>
      <c r="BC540" s="390" t="b">
        <v>0</v>
      </c>
      <c r="BD540" s="390"/>
      <c r="BE540" s="402"/>
      <c r="BF540" s="411">
        <v>4</v>
      </c>
      <c r="BG540" s="411">
        <v>5</v>
      </c>
      <c r="BH540" s="411">
        <v>10</v>
      </c>
      <c r="BI540" s="411">
        <v>7</v>
      </c>
      <c r="BJ540" s="411">
        <v>8</v>
      </c>
      <c r="BK540" s="411">
        <v>9</v>
      </c>
      <c r="BL540" s="445" t="s">
        <v>6981</v>
      </c>
      <c r="BM540" s="402"/>
      <c r="BN540" s="390"/>
      <c r="BO540" s="390"/>
      <c r="BP540" s="414"/>
      <c r="BQ540" s="415"/>
      <c r="BR540" s="416"/>
      <c r="BS540" s="414"/>
      <c r="BT540" s="411"/>
      <c r="BU540" s="419">
        <v>0.99</v>
      </c>
      <c r="BV540" s="414"/>
      <c r="BW540" s="390" t="s">
        <v>3117</v>
      </c>
      <c r="BX540" s="402" t="s">
        <v>3253</v>
      </c>
      <c r="BY540" s="390"/>
      <c r="BZ540" s="390"/>
      <c r="CA540" s="442"/>
      <c r="CB540" s="415"/>
      <c r="CC540" s="413"/>
      <c r="CD540" s="413"/>
      <c r="CE540" s="413"/>
      <c r="CF540" s="413"/>
      <c r="CG540" s="413">
        <v>13</v>
      </c>
      <c r="CH540" s="413">
        <v>13</v>
      </c>
      <c r="CI540" s="413">
        <v>13</v>
      </c>
      <c r="CJ540" s="413">
        <v>13</v>
      </c>
      <c r="CK540" s="413">
        <v>13</v>
      </c>
      <c r="CL540" s="413">
        <v>13</v>
      </c>
      <c r="CM540" s="413">
        <v>13</v>
      </c>
      <c r="CN540" s="413">
        <v>13</v>
      </c>
      <c r="CO540" s="413">
        <v>13</v>
      </c>
      <c r="CP540" s="413">
        <v>13</v>
      </c>
      <c r="CQ540" s="413"/>
      <c r="CR540" s="413"/>
      <c r="CS540" s="413"/>
      <c r="CT540" s="413"/>
      <c r="CU540" s="413"/>
      <c r="CV540" s="413"/>
      <c r="CW540" s="413"/>
      <c r="CX540" s="413"/>
      <c r="CY540" s="413"/>
      <c r="CZ540" s="413"/>
      <c r="DA540" s="413"/>
      <c r="DB540" s="413"/>
      <c r="DC540" s="413"/>
      <c r="DD540" s="413"/>
      <c r="DE540" s="390"/>
      <c r="DF540" s="390"/>
      <c r="DG540" s="390"/>
      <c r="DH540" s="390"/>
      <c r="DI540" s="390"/>
      <c r="DJ540" s="390"/>
      <c r="DK540" s="897"/>
    </row>
    <row r="541" spans="1:115" ht="102" x14ac:dyDescent="0.2">
      <c r="A541" s="295">
        <v>537</v>
      </c>
      <c r="B541" s="390" t="s">
        <v>319</v>
      </c>
      <c r="C541" s="424" t="s">
        <v>7502</v>
      </c>
      <c r="D541" s="391" t="s">
        <v>5073</v>
      </c>
      <c r="E541" s="704" t="s">
        <v>320</v>
      </c>
      <c r="F541" s="393" t="s">
        <v>1352</v>
      </c>
      <c r="G541" s="393" t="s">
        <v>1671</v>
      </c>
      <c r="H541" s="393" t="s">
        <v>117</v>
      </c>
      <c r="I541" s="392"/>
      <c r="J541" s="392" t="s">
        <v>321</v>
      </c>
      <c r="K541" s="392"/>
      <c r="L541" s="392" t="s">
        <v>322</v>
      </c>
      <c r="M541" s="392" t="s">
        <v>4048</v>
      </c>
      <c r="N541" s="393" t="s">
        <v>44</v>
      </c>
      <c r="O541" s="393" t="s">
        <v>323</v>
      </c>
      <c r="P541" s="393" t="s">
        <v>323</v>
      </c>
      <c r="Q541" s="392" t="s">
        <v>324</v>
      </c>
      <c r="R541" s="392"/>
      <c r="S541" s="392" t="s">
        <v>325</v>
      </c>
      <c r="T541" s="394">
        <v>1</v>
      </c>
      <c r="U541" s="395">
        <v>0.89600000000000002</v>
      </c>
      <c r="V541" s="395"/>
      <c r="W541" s="452">
        <v>40545</v>
      </c>
      <c r="X541" s="394">
        <v>28</v>
      </c>
      <c r="Y541" s="394"/>
      <c r="Z541" s="394"/>
      <c r="AA541" s="395"/>
      <c r="AB541" s="453"/>
      <c r="AC541" s="398">
        <v>0</v>
      </c>
      <c r="AD541" s="398">
        <v>7.1680000000000001</v>
      </c>
      <c r="AE541" s="393" t="s">
        <v>96</v>
      </c>
      <c r="AF541" s="417"/>
      <c r="AG541" s="417"/>
      <c r="AH541" s="417">
        <v>0</v>
      </c>
      <c r="AI541" s="394"/>
      <c r="AJ541" s="453"/>
      <c r="AK541" s="453"/>
      <c r="AL541" s="393"/>
      <c r="AM541" s="393"/>
      <c r="AN541" s="417"/>
      <c r="AO541" s="392"/>
      <c r="AP541" s="392" t="s">
        <v>7068</v>
      </c>
      <c r="AQ541" s="392"/>
      <c r="AR541" s="392" t="s">
        <v>326</v>
      </c>
      <c r="AS541" s="479">
        <v>40626</v>
      </c>
      <c r="AT541" s="453"/>
      <c r="AU541" s="453"/>
      <c r="AV541" s="452">
        <v>41000</v>
      </c>
      <c r="AW541" s="452">
        <v>41247</v>
      </c>
      <c r="AX541" s="452">
        <v>41293</v>
      </c>
      <c r="AY541" s="452">
        <v>41247</v>
      </c>
      <c r="AZ541" s="453"/>
      <c r="BA541" s="393"/>
      <c r="BB541" s="393" t="s">
        <v>3147</v>
      </c>
      <c r="BC541" s="393" t="b">
        <v>1</v>
      </c>
      <c r="BD541" s="393" t="s">
        <v>3116</v>
      </c>
      <c r="BE541" s="392"/>
      <c r="BF541" s="394">
        <v>1</v>
      </c>
      <c r="BG541" s="394">
        <v>8</v>
      </c>
      <c r="BH541" s="394">
        <v>5</v>
      </c>
      <c r="BI541" s="394">
        <v>7</v>
      </c>
      <c r="BJ541" s="394"/>
      <c r="BK541" s="394"/>
      <c r="BL541" s="444"/>
      <c r="BM541" s="392"/>
      <c r="BN541" s="393"/>
      <c r="BO541" s="393"/>
      <c r="BP541" s="399"/>
      <c r="BQ541" s="400"/>
      <c r="BR541" s="401"/>
      <c r="BS541" s="399">
        <v>0</v>
      </c>
      <c r="BT541" s="394"/>
      <c r="BU541" s="417"/>
      <c r="BV541" s="399"/>
      <c r="BW541" s="393"/>
      <c r="BX541" s="392"/>
      <c r="BY541" s="475" t="s">
        <v>7224</v>
      </c>
      <c r="BZ541" s="393"/>
      <c r="CA541" s="441"/>
      <c r="CB541" s="400"/>
      <c r="CC541" s="398"/>
      <c r="CD541" s="398"/>
      <c r="CE541" s="398"/>
      <c r="CF541" s="398"/>
      <c r="CG541" s="398"/>
      <c r="CH541" s="398"/>
      <c r="CI541" s="398"/>
      <c r="CJ541" s="398"/>
      <c r="CK541" s="398"/>
      <c r="CL541" s="398"/>
      <c r="CM541" s="398"/>
      <c r="CN541" s="398"/>
      <c r="CO541" s="398"/>
      <c r="CP541" s="398"/>
      <c r="CQ541" s="398"/>
      <c r="CR541" s="398"/>
      <c r="CS541" s="398"/>
      <c r="CT541" s="398"/>
      <c r="CU541" s="398"/>
      <c r="CV541" s="398"/>
      <c r="CW541" s="398"/>
      <c r="CX541" s="398"/>
      <c r="CY541" s="398"/>
      <c r="CZ541" s="398"/>
      <c r="DA541" s="398"/>
      <c r="DB541" s="398"/>
      <c r="DC541" s="398"/>
      <c r="DD541" s="398"/>
      <c r="DE541" s="393"/>
      <c r="DF541" s="393"/>
      <c r="DG541" s="393"/>
      <c r="DH541" s="393"/>
      <c r="DI541" s="393"/>
      <c r="DJ541" s="393"/>
      <c r="DK541" s="896" t="s">
        <v>9748</v>
      </c>
    </row>
    <row r="542" spans="1:115" ht="25.5" x14ac:dyDescent="0.2">
      <c r="A542" s="295">
        <v>538</v>
      </c>
      <c r="B542" s="390" t="s">
        <v>2674</v>
      </c>
      <c r="C542" s="390"/>
      <c r="D542" s="391" t="s">
        <v>4458</v>
      </c>
      <c r="E542" s="704" t="s">
        <v>327</v>
      </c>
      <c r="F542" s="393" t="s">
        <v>1352</v>
      </c>
      <c r="G542" s="393" t="s">
        <v>1671</v>
      </c>
      <c r="H542" s="393" t="s">
        <v>117</v>
      </c>
      <c r="I542" s="392"/>
      <c r="J542" s="392"/>
      <c r="K542" s="392" t="s">
        <v>328</v>
      </c>
      <c r="L542" s="392" t="s">
        <v>322</v>
      </c>
      <c r="M542" s="392"/>
      <c r="N542" s="393" t="s">
        <v>44</v>
      </c>
      <c r="O542" s="393" t="s">
        <v>323</v>
      </c>
      <c r="P542" s="393" t="s">
        <v>323</v>
      </c>
      <c r="Q542" s="392" t="s">
        <v>324</v>
      </c>
      <c r="R542" s="392" t="s">
        <v>4049</v>
      </c>
      <c r="S542" s="392" t="s">
        <v>325</v>
      </c>
      <c r="T542" s="394">
        <v>1</v>
      </c>
      <c r="U542" s="395">
        <v>0.89600000000000002</v>
      </c>
      <c r="V542" s="395"/>
      <c r="W542" s="453"/>
      <c r="X542" s="394"/>
      <c r="Y542" s="394">
        <v>7</v>
      </c>
      <c r="Z542" s="394">
        <v>25</v>
      </c>
      <c r="AA542" s="395">
        <v>0</v>
      </c>
      <c r="AB542" s="452">
        <v>41276</v>
      </c>
      <c r="AC542" s="398">
        <v>0</v>
      </c>
      <c r="AD542" s="398">
        <v>7.1680000000000001</v>
      </c>
      <c r="AE542" s="393" t="s">
        <v>96</v>
      </c>
      <c r="AF542" s="417"/>
      <c r="AG542" s="417"/>
      <c r="AH542" s="417"/>
      <c r="AI542" s="394"/>
      <c r="AJ542" s="453"/>
      <c r="AK542" s="453"/>
      <c r="AL542" s="393"/>
      <c r="AM542" s="393"/>
      <c r="AN542" s="417"/>
      <c r="AO542" s="392"/>
      <c r="AP542" s="392" t="s">
        <v>7068</v>
      </c>
      <c r="AQ542" s="392"/>
      <c r="AR542" s="392" t="s">
        <v>326</v>
      </c>
      <c r="AS542" s="479">
        <v>40626</v>
      </c>
      <c r="AT542" s="453"/>
      <c r="AU542" s="453"/>
      <c r="AV542" s="453"/>
      <c r="AW542" s="453"/>
      <c r="AX542" s="453"/>
      <c r="AY542" s="453"/>
      <c r="AZ542" s="452">
        <v>41247</v>
      </c>
      <c r="BA542" s="393"/>
      <c r="BB542" s="393"/>
      <c r="BC542" s="393" t="b">
        <v>0</v>
      </c>
      <c r="BD542" s="393"/>
      <c r="BE542" s="392"/>
      <c r="BF542" s="394">
        <v>1</v>
      </c>
      <c r="BG542" s="394">
        <v>8</v>
      </c>
      <c r="BH542" s="394">
        <v>5</v>
      </c>
      <c r="BI542" s="394">
        <v>7</v>
      </c>
      <c r="BJ542" s="394"/>
      <c r="BK542" s="394"/>
      <c r="BL542" s="444" t="s">
        <v>6981</v>
      </c>
      <c r="BM542" s="392"/>
      <c r="BN542" s="393"/>
      <c r="BO542" s="393"/>
      <c r="BP542" s="399"/>
      <c r="BQ542" s="400"/>
      <c r="BR542" s="401"/>
      <c r="BS542" s="399"/>
      <c r="BT542" s="394"/>
      <c r="BU542" s="417">
        <v>1.0871</v>
      </c>
      <c r="BV542" s="399">
        <v>18</v>
      </c>
      <c r="BW542" s="393" t="s">
        <v>3117</v>
      </c>
      <c r="BX542" s="392"/>
      <c r="BY542" s="475" t="s">
        <v>7224</v>
      </c>
      <c r="BZ542" s="393"/>
      <c r="CA542" s="441"/>
      <c r="CB542" s="400"/>
      <c r="CC542" s="398"/>
      <c r="CD542" s="398"/>
      <c r="CE542" s="398"/>
      <c r="CF542" s="398"/>
      <c r="CG542" s="398">
        <v>3.8730000000000002</v>
      </c>
      <c r="CH542" s="398">
        <v>3.8730000000000002</v>
      </c>
      <c r="CI542" s="398">
        <v>3.8730000000000002</v>
      </c>
      <c r="CJ542" s="398">
        <v>3.8730000000000002</v>
      </c>
      <c r="CK542" s="398">
        <v>3.8730000000000002</v>
      </c>
      <c r="CL542" s="398">
        <v>3.8730000000000002</v>
      </c>
      <c r="CM542" s="398">
        <v>3.8730000000000002</v>
      </c>
      <c r="CN542" s="398">
        <v>3.8730000000000002</v>
      </c>
      <c r="CO542" s="398">
        <v>3.8730000000000002</v>
      </c>
      <c r="CP542" s="398">
        <v>3.8730000000000002</v>
      </c>
      <c r="CQ542" s="398">
        <v>3.8730000000000002</v>
      </c>
      <c r="CR542" s="398">
        <v>3.8730000000000002</v>
      </c>
      <c r="CS542" s="398">
        <v>3.8730000000000002</v>
      </c>
      <c r="CT542" s="398">
        <v>3.8730000000000002</v>
      </c>
      <c r="CU542" s="398">
        <v>3.8730000000000002</v>
      </c>
      <c r="CV542" s="398">
        <v>3.8730000000000002</v>
      </c>
      <c r="CW542" s="398">
        <v>3.8730000000000002</v>
      </c>
      <c r="CX542" s="398">
        <v>3.8730000000000002</v>
      </c>
      <c r="CY542" s="398">
        <v>3.8730000000000002</v>
      </c>
      <c r="CZ542" s="398">
        <v>3.8730000000000002</v>
      </c>
      <c r="DA542" s="398">
        <v>3.8730000000000002</v>
      </c>
      <c r="DB542" s="398"/>
      <c r="DC542" s="398"/>
      <c r="DD542" s="398"/>
      <c r="DE542" s="393"/>
      <c r="DF542" s="393"/>
      <c r="DG542" s="393"/>
      <c r="DH542" s="393"/>
      <c r="DI542" s="393"/>
      <c r="DJ542" s="393"/>
      <c r="DK542" s="897"/>
    </row>
    <row r="543" spans="1:115" ht="51" x14ac:dyDescent="0.2">
      <c r="A543" s="295">
        <v>539</v>
      </c>
      <c r="B543" s="390" t="s">
        <v>745</v>
      </c>
      <c r="C543" s="424" t="s">
        <v>7503</v>
      </c>
      <c r="D543" s="391"/>
      <c r="E543" s="708" t="s">
        <v>746</v>
      </c>
      <c r="F543" s="404" t="s">
        <v>1340</v>
      </c>
      <c r="G543" s="404" t="s">
        <v>1359</v>
      </c>
      <c r="H543" s="404" t="s">
        <v>741</v>
      </c>
      <c r="I543" s="403"/>
      <c r="J543" s="403" t="s">
        <v>1974</v>
      </c>
      <c r="K543" s="403"/>
      <c r="L543" s="403" t="s">
        <v>747</v>
      </c>
      <c r="M543" s="403" t="s">
        <v>3269</v>
      </c>
      <c r="N543" s="404" t="s">
        <v>2412</v>
      </c>
      <c r="O543" s="404" t="s">
        <v>289</v>
      </c>
      <c r="P543" s="404" t="s">
        <v>289</v>
      </c>
      <c r="Q543" s="403" t="s">
        <v>721</v>
      </c>
      <c r="R543" s="403"/>
      <c r="S543" s="403" t="s">
        <v>291</v>
      </c>
      <c r="T543" s="405"/>
      <c r="U543" s="406"/>
      <c r="V543" s="406"/>
      <c r="W543" s="456">
        <v>40695</v>
      </c>
      <c r="X543" s="405">
        <v>28</v>
      </c>
      <c r="Y543" s="405"/>
      <c r="Z543" s="405"/>
      <c r="AA543" s="406"/>
      <c r="AB543" s="455"/>
      <c r="AC543" s="407"/>
      <c r="AD543" s="407"/>
      <c r="AE543" s="404" t="s">
        <v>96</v>
      </c>
      <c r="AF543" s="418"/>
      <c r="AG543" s="418"/>
      <c r="AH543" s="418"/>
      <c r="AI543" s="405"/>
      <c r="AJ543" s="455"/>
      <c r="AK543" s="455"/>
      <c r="AL543" s="404"/>
      <c r="AM543" s="404"/>
      <c r="AN543" s="418"/>
      <c r="AO543" s="403"/>
      <c r="AP543" s="403" t="s">
        <v>7069</v>
      </c>
      <c r="AQ543" s="403"/>
      <c r="AR543" s="403" t="s">
        <v>747</v>
      </c>
      <c r="AS543" s="482">
        <v>40646</v>
      </c>
      <c r="AT543" s="456">
        <v>40836</v>
      </c>
      <c r="AU543" s="455"/>
      <c r="AV543" s="455"/>
      <c r="AW543" s="455"/>
      <c r="AX543" s="455"/>
      <c r="AY543" s="455"/>
      <c r="AZ543" s="455"/>
      <c r="BA543" s="404"/>
      <c r="BB543" s="404" t="s">
        <v>3147</v>
      </c>
      <c r="BC543" s="404" t="b">
        <v>1</v>
      </c>
      <c r="BD543" s="404" t="s">
        <v>3147</v>
      </c>
      <c r="BE543" s="403"/>
      <c r="BF543" s="405">
        <v>5</v>
      </c>
      <c r="BG543" s="405">
        <v>9</v>
      </c>
      <c r="BH543" s="405">
        <v>10</v>
      </c>
      <c r="BI543" s="405">
        <v>11</v>
      </c>
      <c r="BJ543" s="405">
        <v>8</v>
      </c>
      <c r="BK543" s="405"/>
      <c r="BL543" s="446"/>
      <c r="BM543" s="403"/>
      <c r="BN543" s="404"/>
      <c r="BO543" s="404"/>
      <c r="BP543" s="408"/>
      <c r="BQ543" s="409"/>
      <c r="BR543" s="410"/>
      <c r="BS543" s="408"/>
      <c r="BT543" s="405"/>
      <c r="BU543" s="418"/>
      <c r="BV543" s="408"/>
      <c r="BW543" s="404"/>
      <c r="BX543" s="403"/>
      <c r="BY543" s="404"/>
      <c r="BZ543" s="404"/>
      <c r="CA543" s="443"/>
      <c r="CB543" s="409"/>
      <c r="CC543" s="407"/>
      <c r="CD543" s="407"/>
      <c r="CE543" s="407"/>
      <c r="CF543" s="407"/>
      <c r="CG543" s="407"/>
      <c r="CH543" s="407"/>
      <c r="CI543" s="407"/>
      <c r="CJ543" s="407"/>
      <c r="CK543" s="407"/>
      <c r="CL543" s="407"/>
      <c r="CM543" s="407"/>
      <c r="CN543" s="407"/>
      <c r="CO543" s="407"/>
      <c r="CP543" s="407"/>
      <c r="CQ543" s="407"/>
      <c r="CR543" s="407"/>
      <c r="CS543" s="407"/>
      <c r="CT543" s="407"/>
      <c r="CU543" s="407"/>
      <c r="CV543" s="407"/>
      <c r="CW543" s="407"/>
      <c r="CX543" s="407"/>
      <c r="CY543" s="407"/>
      <c r="CZ543" s="407"/>
      <c r="DA543" s="407"/>
      <c r="DB543" s="407"/>
      <c r="DC543" s="407"/>
      <c r="DD543" s="407"/>
      <c r="DE543" s="404"/>
      <c r="DF543" s="404"/>
      <c r="DG543" s="404"/>
      <c r="DH543" s="404"/>
      <c r="DI543" s="404"/>
      <c r="DJ543" s="404"/>
      <c r="DK543" s="897"/>
    </row>
    <row r="544" spans="1:115" ht="25.5" x14ac:dyDescent="0.2">
      <c r="A544" s="295">
        <v>540</v>
      </c>
      <c r="B544" s="390" t="s">
        <v>2675</v>
      </c>
      <c r="C544" s="390"/>
      <c r="D544" s="391"/>
      <c r="E544" s="707" t="s">
        <v>748</v>
      </c>
      <c r="F544" s="404" t="s">
        <v>1340</v>
      </c>
      <c r="G544" s="404" t="s">
        <v>1359</v>
      </c>
      <c r="H544" s="404" t="s">
        <v>741</v>
      </c>
      <c r="I544" s="403"/>
      <c r="J544" s="403"/>
      <c r="K544" s="403" t="s">
        <v>2149</v>
      </c>
      <c r="L544" s="403" t="s">
        <v>747</v>
      </c>
      <c r="M544" s="403"/>
      <c r="N544" s="404" t="s">
        <v>2412</v>
      </c>
      <c r="O544" s="404" t="s">
        <v>289</v>
      </c>
      <c r="P544" s="404" t="s">
        <v>289</v>
      </c>
      <c r="Q544" s="403" t="s">
        <v>721</v>
      </c>
      <c r="R544" s="403" t="s">
        <v>4050</v>
      </c>
      <c r="S544" s="403" t="s">
        <v>291</v>
      </c>
      <c r="T544" s="405">
        <v>1</v>
      </c>
      <c r="U544" s="406">
        <v>4.9359999999999999</v>
      </c>
      <c r="V544" s="406"/>
      <c r="W544" s="455"/>
      <c r="X544" s="405"/>
      <c r="Y544" s="405">
        <v>7</v>
      </c>
      <c r="Z544" s="405">
        <v>25</v>
      </c>
      <c r="AA544" s="406">
        <v>0</v>
      </c>
      <c r="AB544" s="456">
        <v>40725</v>
      </c>
      <c r="AC544" s="407">
        <v>9.8719999999999999</v>
      </c>
      <c r="AD544" s="407">
        <v>46.939331506849314</v>
      </c>
      <c r="AE544" s="404" t="s">
        <v>96</v>
      </c>
      <c r="AF544" s="418"/>
      <c r="AG544" s="418"/>
      <c r="AH544" s="418"/>
      <c r="AI544" s="405"/>
      <c r="AJ544" s="455"/>
      <c r="AK544" s="455"/>
      <c r="AL544" s="404"/>
      <c r="AM544" s="404"/>
      <c r="AN544" s="418"/>
      <c r="AO544" s="403"/>
      <c r="AP544" s="403" t="s">
        <v>7069</v>
      </c>
      <c r="AQ544" s="403"/>
      <c r="AR544" s="403" t="s">
        <v>747</v>
      </c>
      <c r="AS544" s="482">
        <v>40646</v>
      </c>
      <c r="AT544" s="456">
        <v>40836</v>
      </c>
      <c r="AU544" s="455"/>
      <c r="AV544" s="455"/>
      <c r="AW544" s="455"/>
      <c r="AX544" s="455"/>
      <c r="AY544" s="455"/>
      <c r="AZ544" s="455"/>
      <c r="BA544" s="404"/>
      <c r="BB544" s="404"/>
      <c r="BC544" s="404" t="b">
        <v>0</v>
      </c>
      <c r="BD544" s="404"/>
      <c r="BE544" s="403"/>
      <c r="BF544" s="405">
        <v>5</v>
      </c>
      <c r="BG544" s="405">
        <v>9</v>
      </c>
      <c r="BH544" s="405">
        <v>10</v>
      </c>
      <c r="BI544" s="405">
        <v>11</v>
      </c>
      <c r="BJ544" s="405">
        <v>8</v>
      </c>
      <c r="BK544" s="405"/>
      <c r="BL544" s="446" t="s">
        <v>6981</v>
      </c>
      <c r="BM544" s="403"/>
      <c r="BN544" s="404"/>
      <c r="BO544" s="404"/>
      <c r="BP544" s="408"/>
      <c r="BQ544" s="409"/>
      <c r="BR544" s="410"/>
      <c r="BS544" s="408">
        <v>1.34</v>
      </c>
      <c r="BT544" s="405">
        <v>7800</v>
      </c>
      <c r="BU544" s="418">
        <v>0.63290000000000002</v>
      </c>
      <c r="BV544" s="408"/>
      <c r="BW544" s="404" t="s">
        <v>3117</v>
      </c>
      <c r="BX544" s="403" t="s">
        <v>4051</v>
      </c>
      <c r="BY544" s="404"/>
      <c r="BZ544" s="404"/>
      <c r="CA544" s="443"/>
      <c r="CB544" s="409"/>
      <c r="CC544" s="407"/>
      <c r="CD544" s="407"/>
      <c r="CE544" s="407"/>
      <c r="CF544" s="407"/>
      <c r="CG544" s="407">
        <v>4.9359999999999999</v>
      </c>
      <c r="CH544" s="407">
        <v>4.9359999999999999</v>
      </c>
      <c r="CI544" s="407">
        <v>4.9359999999999999</v>
      </c>
      <c r="CJ544" s="407">
        <v>4.9359999999999999</v>
      </c>
      <c r="CK544" s="407">
        <v>4.9359999999999999</v>
      </c>
      <c r="CL544" s="407">
        <v>4.9359999999999999</v>
      </c>
      <c r="CM544" s="407">
        <v>4.9359999999999999</v>
      </c>
      <c r="CN544" s="407">
        <v>4.9359999999999999</v>
      </c>
      <c r="CO544" s="407">
        <v>4.9359999999999999</v>
      </c>
      <c r="CP544" s="407">
        <v>4.9359999999999999</v>
      </c>
      <c r="CQ544" s="407">
        <v>4.9359999999999999</v>
      </c>
      <c r="CR544" s="407">
        <v>4.9359999999999999</v>
      </c>
      <c r="CS544" s="407">
        <v>4.9359999999999999</v>
      </c>
      <c r="CT544" s="407">
        <v>4.9359999999999999</v>
      </c>
      <c r="CU544" s="407"/>
      <c r="CV544" s="407"/>
      <c r="CW544" s="407"/>
      <c r="CX544" s="407"/>
      <c r="CY544" s="407"/>
      <c r="CZ544" s="407"/>
      <c r="DA544" s="407"/>
      <c r="DB544" s="407"/>
      <c r="DC544" s="407"/>
      <c r="DD544" s="407"/>
      <c r="DE544" s="404"/>
      <c r="DF544" s="404"/>
      <c r="DG544" s="404"/>
      <c r="DH544" s="404"/>
      <c r="DI544" s="404"/>
      <c r="DJ544" s="404"/>
      <c r="DK544" s="897"/>
    </row>
    <row r="545" spans="1:115" ht="25.5" x14ac:dyDescent="0.2">
      <c r="A545" s="295">
        <v>541</v>
      </c>
      <c r="B545" s="390" t="s">
        <v>1190</v>
      </c>
      <c r="C545" s="424" t="s">
        <v>7504</v>
      </c>
      <c r="D545" s="391" t="s">
        <v>5074</v>
      </c>
      <c r="E545" s="704" t="s">
        <v>1191</v>
      </c>
      <c r="F545" s="393" t="s">
        <v>1352</v>
      </c>
      <c r="G545" s="393" t="s">
        <v>1671</v>
      </c>
      <c r="H545" s="393" t="s">
        <v>107</v>
      </c>
      <c r="I545" s="392"/>
      <c r="J545" s="392" t="s">
        <v>892</v>
      </c>
      <c r="K545" s="392"/>
      <c r="L545" s="392" t="s">
        <v>893</v>
      </c>
      <c r="M545" s="392" t="s">
        <v>4052</v>
      </c>
      <c r="N545" s="393" t="s">
        <v>44</v>
      </c>
      <c r="O545" s="393" t="s">
        <v>5030</v>
      </c>
      <c r="P545" s="393" t="s">
        <v>5030</v>
      </c>
      <c r="Q545" s="392" t="s">
        <v>1834</v>
      </c>
      <c r="R545" s="392"/>
      <c r="S545" s="392" t="s">
        <v>889</v>
      </c>
      <c r="T545" s="394">
        <v>1</v>
      </c>
      <c r="U545" s="395">
        <v>0.86299999999999999</v>
      </c>
      <c r="V545" s="395"/>
      <c r="W545" s="452">
        <v>40665</v>
      </c>
      <c r="X545" s="394">
        <v>28</v>
      </c>
      <c r="Y545" s="394"/>
      <c r="Z545" s="394"/>
      <c r="AA545" s="395"/>
      <c r="AB545" s="453"/>
      <c r="AC545" s="398">
        <v>0</v>
      </c>
      <c r="AD545" s="398">
        <v>8.629999999999999</v>
      </c>
      <c r="AE545" s="393" t="s">
        <v>894</v>
      </c>
      <c r="AF545" s="417"/>
      <c r="AG545" s="417"/>
      <c r="AH545" s="417">
        <v>0</v>
      </c>
      <c r="AI545" s="394"/>
      <c r="AJ545" s="453"/>
      <c r="AK545" s="453"/>
      <c r="AL545" s="393"/>
      <c r="AM545" s="393"/>
      <c r="AN545" s="417"/>
      <c r="AO545" s="392"/>
      <c r="AP545" s="392" t="s">
        <v>55</v>
      </c>
      <c r="AQ545" s="392"/>
      <c r="AR545" s="392" t="s">
        <v>112</v>
      </c>
      <c r="AS545" s="479">
        <v>40648</v>
      </c>
      <c r="AT545" s="453"/>
      <c r="AU545" s="453"/>
      <c r="AV545" s="452">
        <v>41059</v>
      </c>
      <c r="AW545" s="452">
        <v>41094</v>
      </c>
      <c r="AX545" s="452">
        <v>41145</v>
      </c>
      <c r="AY545" s="452">
        <v>41094</v>
      </c>
      <c r="AZ545" s="453"/>
      <c r="BA545" s="393"/>
      <c r="BB545" s="393" t="s">
        <v>3116</v>
      </c>
      <c r="BC545" s="393" t="b">
        <v>0</v>
      </c>
      <c r="BD545" s="393" t="s">
        <v>3116</v>
      </c>
      <c r="BE545" s="392"/>
      <c r="BF545" s="394">
        <v>9</v>
      </c>
      <c r="BG545" s="394"/>
      <c r="BH545" s="394"/>
      <c r="BI545" s="394"/>
      <c r="BJ545" s="394"/>
      <c r="BK545" s="394"/>
      <c r="BL545" s="444"/>
      <c r="BM545" s="392"/>
      <c r="BN545" s="393"/>
      <c r="BO545" s="393"/>
      <c r="BP545" s="399"/>
      <c r="BQ545" s="400"/>
      <c r="BR545" s="401"/>
      <c r="BS545" s="399">
        <v>5.18</v>
      </c>
      <c r="BT545" s="394"/>
      <c r="BU545" s="417"/>
      <c r="BV545" s="399"/>
      <c r="BW545" s="393"/>
      <c r="BX545" s="392"/>
      <c r="BY545" s="393"/>
      <c r="BZ545" s="393"/>
      <c r="CA545" s="441"/>
      <c r="CB545" s="400"/>
      <c r="CC545" s="398"/>
      <c r="CD545" s="398"/>
      <c r="CE545" s="398"/>
      <c r="CF545" s="398"/>
      <c r="CG545" s="398"/>
      <c r="CH545" s="398"/>
      <c r="CI545" s="398"/>
      <c r="CJ545" s="398"/>
      <c r="CK545" s="398"/>
      <c r="CL545" s="398"/>
      <c r="CM545" s="398"/>
      <c r="CN545" s="398"/>
      <c r="CO545" s="398"/>
      <c r="CP545" s="398"/>
      <c r="CQ545" s="398"/>
      <c r="CR545" s="398"/>
      <c r="CS545" s="398"/>
      <c r="CT545" s="398"/>
      <c r="CU545" s="398"/>
      <c r="CV545" s="398"/>
      <c r="CW545" s="398"/>
      <c r="CX545" s="398"/>
      <c r="CY545" s="398"/>
      <c r="CZ545" s="398"/>
      <c r="DA545" s="398"/>
      <c r="DB545" s="398"/>
      <c r="DC545" s="398"/>
      <c r="DD545" s="398"/>
      <c r="DE545" s="393"/>
      <c r="DF545" s="393"/>
      <c r="DG545" s="393"/>
      <c r="DH545" s="393"/>
      <c r="DI545" s="393"/>
      <c r="DJ545" s="393"/>
      <c r="DK545" s="896" t="s">
        <v>9713</v>
      </c>
    </row>
    <row r="546" spans="1:115" ht="25.5" x14ac:dyDescent="0.2">
      <c r="A546" s="295">
        <v>542</v>
      </c>
      <c r="B546" s="390" t="s">
        <v>2676</v>
      </c>
      <c r="C546" s="390"/>
      <c r="D546" s="391" t="s">
        <v>2981</v>
      </c>
      <c r="E546" s="704" t="s">
        <v>891</v>
      </c>
      <c r="F546" s="393" t="s">
        <v>1352</v>
      </c>
      <c r="G546" s="393" t="s">
        <v>1671</v>
      </c>
      <c r="H546" s="393" t="s">
        <v>107</v>
      </c>
      <c r="I546" s="392"/>
      <c r="J546" s="392"/>
      <c r="K546" s="392" t="s">
        <v>892</v>
      </c>
      <c r="L546" s="392" t="s">
        <v>893</v>
      </c>
      <c r="M546" s="392"/>
      <c r="N546" s="393" t="s">
        <v>44</v>
      </c>
      <c r="O546" s="393" t="s">
        <v>827</v>
      </c>
      <c r="P546" s="393" t="s">
        <v>827</v>
      </c>
      <c r="Q546" s="392" t="s">
        <v>836</v>
      </c>
      <c r="R546" s="392" t="s">
        <v>4053</v>
      </c>
      <c r="S546" s="392" t="s">
        <v>889</v>
      </c>
      <c r="T546" s="394">
        <v>1</v>
      </c>
      <c r="U546" s="395">
        <v>0.86299999999999999</v>
      </c>
      <c r="V546" s="395"/>
      <c r="W546" s="453"/>
      <c r="X546" s="394"/>
      <c r="Y546" s="394">
        <v>10</v>
      </c>
      <c r="Z546" s="394">
        <v>10</v>
      </c>
      <c r="AA546" s="395">
        <v>0</v>
      </c>
      <c r="AB546" s="452">
        <v>41275</v>
      </c>
      <c r="AC546" s="398">
        <v>0</v>
      </c>
      <c r="AD546" s="398">
        <v>8.629999999999999</v>
      </c>
      <c r="AE546" s="393" t="s">
        <v>894</v>
      </c>
      <c r="AF546" s="417"/>
      <c r="AG546" s="417"/>
      <c r="AH546" s="417"/>
      <c r="AI546" s="394"/>
      <c r="AJ546" s="453"/>
      <c r="AK546" s="453"/>
      <c r="AL546" s="393"/>
      <c r="AM546" s="393"/>
      <c r="AN546" s="417"/>
      <c r="AO546" s="392"/>
      <c r="AP546" s="392" t="s">
        <v>55</v>
      </c>
      <c r="AQ546" s="392"/>
      <c r="AR546" s="392" t="s">
        <v>112</v>
      </c>
      <c r="AS546" s="479">
        <v>40648</v>
      </c>
      <c r="AT546" s="453"/>
      <c r="AU546" s="453"/>
      <c r="AV546" s="453"/>
      <c r="AW546" s="453"/>
      <c r="AX546" s="453"/>
      <c r="AY546" s="453"/>
      <c r="AZ546" s="452">
        <v>41094</v>
      </c>
      <c r="BA546" s="393"/>
      <c r="BB546" s="393"/>
      <c r="BC546" s="393" t="b">
        <v>0</v>
      </c>
      <c r="BD546" s="393"/>
      <c r="BE546" s="392"/>
      <c r="BF546" s="394">
        <v>9</v>
      </c>
      <c r="BG546" s="394"/>
      <c r="BH546" s="394"/>
      <c r="BI546" s="394"/>
      <c r="BJ546" s="394"/>
      <c r="BK546" s="394"/>
      <c r="BL546" s="444" t="s">
        <v>6981</v>
      </c>
      <c r="BM546" s="392"/>
      <c r="BN546" s="393"/>
      <c r="BO546" s="393"/>
      <c r="BP546" s="399"/>
      <c r="BQ546" s="400"/>
      <c r="BR546" s="401"/>
      <c r="BS546" s="399">
        <v>5.18</v>
      </c>
      <c r="BT546" s="394">
        <v>10608</v>
      </c>
      <c r="BU546" s="417">
        <v>0.68320000000000003</v>
      </c>
      <c r="BV546" s="399"/>
      <c r="BW546" s="393" t="s">
        <v>3117</v>
      </c>
      <c r="BX546" s="392" t="s">
        <v>1447</v>
      </c>
      <c r="BY546" s="393"/>
      <c r="BZ546" s="393"/>
      <c r="CA546" s="441"/>
      <c r="CB546" s="400"/>
      <c r="CC546" s="398"/>
      <c r="CD546" s="398"/>
      <c r="CE546" s="398"/>
      <c r="CF546" s="398"/>
      <c r="CG546" s="398">
        <v>7232.59</v>
      </c>
      <c r="CH546" s="398">
        <v>7232.59</v>
      </c>
      <c r="CI546" s="398">
        <v>7232.59</v>
      </c>
      <c r="CJ546" s="398">
        <v>7232.59</v>
      </c>
      <c r="CK546" s="398">
        <v>7232.59</v>
      </c>
      <c r="CL546" s="398">
        <v>7232.59</v>
      </c>
      <c r="CM546" s="398">
        <v>7232.59</v>
      </c>
      <c r="CN546" s="398">
        <v>7232.59</v>
      </c>
      <c r="CO546" s="398">
        <v>7232.59</v>
      </c>
      <c r="CP546" s="398">
        <v>7232.59</v>
      </c>
      <c r="CQ546" s="398"/>
      <c r="CR546" s="398"/>
      <c r="CS546" s="398"/>
      <c r="CT546" s="398"/>
      <c r="CU546" s="398"/>
      <c r="CV546" s="398"/>
      <c r="CW546" s="398"/>
      <c r="CX546" s="398"/>
      <c r="CY546" s="398"/>
      <c r="CZ546" s="398"/>
      <c r="DA546" s="398"/>
      <c r="DB546" s="398"/>
      <c r="DC546" s="398"/>
      <c r="DD546" s="398"/>
      <c r="DE546" s="393"/>
      <c r="DF546" s="393"/>
      <c r="DG546" s="393"/>
      <c r="DH546" s="393"/>
      <c r="DI546" s="393"/>
      <c r="DJ546" s="393"/>
      <c r="DK546" s="897"/>
    </row>
    <row r="547" spans="1:115" ht="63.75" x14ac:dyDescent="0.2">
      <c r="A547" s="295">
        <v>543</v>
      </c>
      <c r="B547" s="390" t="s">
        <v>383</v>
      </c>
      <c r="C547" s="424" t="s">
        <v>7505</v>
      </c>
      <c r="D547" s="391" t="s">
        <v>5075</v>
      </c>
      <c r="E547" s="704" t="s">
        <v>384</v>
      </c>
      <c r="F547" s="393" t="s">
        <v>1352</v>
      </c>
      <c r="G547" s="393" t="s">
        <v>1673</v>
      </c>
      <c r="H547" s="393" t="s">
        <v>313</v>
      </c>
      <c r="I547" s="392"/>
      <c r="J547" s="392" t="s">
        <v>313</v>
      </c>
      <c r="K547" s="392"/>
      <c r="L547" s="392" t="s">
        <v>359</v>
      </c>
      <c r="M547" s="392" t="s">
        <v>4054</v>
      </c>
      <c r="N547" s="393" t="s">
        <v>44</v>
      </c>
      <c r="O547" s="393" t="s">
        <v>80</v>
      </c>
      <c r="P547" s="393" t="s">
        <v>80</v>
      </c>
      <c r="Q547" s="392" t="s">
        <v>380</v>
      </c>
      <c r="R547" s="392"/>
      <c r="S547" s="392" t="s">
        <v>153</v>
      </c>
      <c r="T547" s="394">
        <v>2</v>
      </c>
      <c r="U547" s="395">
        <v>7.0269999999999992</v>
      </c>
      <c r="V547" s="395"/>
      <c r="W547" s="452">
        <v>40598</v>
      </c>
      <c r="X547" s="394">
        <v>28</v>
      </c>
      <c r="Y547" s="394"/>
      <c r="Z547" s="394"/>
      <c r="AA547" s="395"/>
      <c r="AB547" s="453"/>
      <c r="AC547" s="398">
        <v>0.90500000000000003</v>
      </c>
      <c r="AD547" s="398">
        <v>55.804156164383564</v>
      </c>
      <c r="AE547" s="393" t="s">
        <v>111</v>
      </c>
      <c r="AF547" s="417"/>
      <c r="AG547" s="417"/>
      <c r="AH547" s="417">
        <v>0</v>
      </c>
      <c r="AI547" s="394"/>
      <c r="AJ547" s="453"/>
      <c r="AK547" s="453"/>
      <c r="AL547" s="393"/>
      <c r="AM547" s="393"/>
      <c r="AN547" s="417"/>
      <c r="AO547" s="392"/>
      <c r="AP547" s="392" t="s">
        <v>55</v>
      </c>
      <c r="AQ547" s="392"/>
      <c r="AR547" s="392" t="s">
        <v>112</v>
      </c>
      <c r="AS547" s="479">
        <v>40649</v>
      </c>
      <c r="AT547" s="453"/>
      <c r="AU547" s="453"/>
      <c r="AV547" s="452">
        <v>40973</v>
      </c>
      <c r="AW547" s="452">
        <v>41161</v>
      </c>
      <c r="AX547" s="452">
        <v>41222</v>
      </c>
      <c r="AY547" s="452">
        <v>41161</v>
      </c>
      <c r="AZ547" s="453"/>
      <c r="BA547" s="393"/>
      <c r="BB547" s="393" t="s">
        <v>3147</v>
      </c>
      <c r="BC547" s="393" t="b">
        <v>1</v>
      </c>
      <c r="BD547" s="393" t="s">
        <v>3147</v>
      </c>
      <c r="BE547" s="392"/>
      <c r="BF547" s="394">
        <v>1</v>
      </c>
      <c r="BG547" s="394">
        <v>9</v>
      </c>
      <c r="BH547" s="394">
        <v>2</v>
      </c>
      <c r="BI547" s="394">
        <v>3</v>
      </c>
      <c r="BJ547" s="394"/>
      <c r="BK547" s="394"/>
      <c r="BL547" s="444"/>
      <c r="BM547" s="392"/>
      <c r="BN547" s="393"/>
      <c r="BO547" s="393"/>
      <c r="BP547" s="399"/>
      <c r="BQ547" s="400"/>
      <c r="BR547" s="401"/>
      <c r="BS547" s="399">
        <v>0</v>
      </c>
      <c r="BT547" s="394"/>
      <c r="BU547" s="417"/>
      <c r="BV547" s="399"/>
      <c r="BW547" s="393"/>
      <c r="BX547" s="392"/>
      <c r="BY547" s="393"/>
      <c r="BZ547" s="393"/>
      <c r="CA547" s="441"/>
      <c r="CB547" s="400"/>
      <c r="CC547" s="398"/>
      <c r="CD547" s="398"/>
      <c r="CE547" s="398"/>
      <c r="CF547" s="398"/>
      <c r="CG547" s="398"/>
      <c r="CH547" s="398"/>
      <c r="CI547" s="398"/>
      <c r="CJ547" s="398"/>
      <c r="CK547" s="398"/>
      <c r="CL547" s="398"/>
      <c r="CM547" s="398"/>
      <c r="CN547" s="398"/>
      <c r="CO547" s="398"/>
      <c r="CP547" s="398"/>
      <c r="CQ547" s="398"/>
      <c r="CR547" s="398"/>
      <c r="CS547" s="398"/>
      <c r="CT547" s="398"/>
      <c r="CU547" s="398"/>
      <c r="CV547" s="398"/>
      <c r="CW547" s="398"/>
      <c r="CX547" s="398"/>
      <c r="CY547" s="398"/>
      <c r="CZ547" s="398"/>
      <c r="DA547" s="398"/>
      <c r="DB547" s="398"/>
      <c r="DC547" s="398"/>
      <c r="DD547" s="398"/>
      <c r="DE547" s="393"/>
      <c r="DF547" s="393"/>
      <c r="DG547" s="393"/>
      <c r="DH547" s="393"/>
      <c r="DI547" s="393"/>
      <c r="DJ547" s="393"/>
      <c r="DK547" s="896" t="s">
        <v>9737</v>
      </c>
    </row>
    <row r="548" spans="1:115" ht="25.5" x14ac:dyDescent="0.2">
      <c r="A548" s="295">
        <v>544</v>
      </c>
      <c r="B548" s="390" t="s">
        <v>2677</v>
      </c>
      <c r="C548" s="390"/>
      <c r="D548" s="391" t="s">
        <v>4240</v>
      </c>
      <c r="E548" s="704" t="s">
        <v>385</v>
      </c>
      <c r="F548" s="393" t="s">
        <v>1352</v>
      </c>
      <c r="G548" s="393" t="s">
        <v>1673</v>
      </c>
      <c r="H548" s="393" t="s">
        <v>313</v>
      </c>
      <c r="I548" s="392"/>
      <c r="J548" s="392"/>
      <c r="K548" s="392" t="s">
        <v>2150</v>
      </c>
      <c r="L548" s="392" t="s">
        <v>359</v>
      </c>
      <c r="M548" s="392"/>
      <c r="N548" s="393" t="s">
        <v>44</v>
      </c>
      <c r="O548" s="393" t="s">
        <v>80</v>
      </c>
      <c r="P548" s="393" t="s">
        <v>80</v>
      </c>
      <c r="Q548" s="392" t="s">
        <v>380</v>
      </c>
      <c r="R548" s="392" t="s">
        <v>3833</v>
      </c>
      <c r="S548" s="392" t="s">
        <v>153</v>
      </c>
      <c r="T548" s="394">
        <v>1</v>
      </c>
      <c r="U548" s="395">
        <v>6.0789999999999997</v>
      </c>
      <c r="V548" s="395"/>
      <c r="W548" s="453"/>
      <c r="X548" s="394"/>
      <c r="Y548" s="394">
        <v>7</v>
      </c>
      <c r="Z548" s="394">
        <v>20</v>
      </c>
      <c r="AA548" s="395">
        <v>1.5</v>
      </c>
      <c r="AB548" s="452">
        <v>41161</v>
      </c>
      <c r="AC548" s="398">
        <v>0.45250000000000001</v>
      </c>
      <c r="AD548" s="398">
        <v>50.547301369863014</v>
      </c>
      <c r="AE548" s="393" t="s">
        <v>111</v>
      </c>
      <c r="AF548" s="417"/>
      <c r="AG548" s="417"/>
      <c r="AH548" s="417"/>
      <c r="AI548" s="394"/>
      <c r="AJ548" s="453"/>
      <c r="AK548" s="453"/>
      <c r="AL548" s="393"/>
      <c r="AM548" s="393"/>
      <c r="AN548" s="417"/>
      <c r="AO548" s="392"/>
      <c r="AP548" s="392" t="s">
        <v>55</v>
      </c>
      <c r="AQ548" s="392"/>
      <c r="AR548" s="392" t="s">
        <v>112</v>
      </c>
      <c r="AS548" s="479">
        <v>40649</v>
      </c>
      <c r="AT548" s="453"/>
      <c r="AU548" s="453"/>
      <c r="AV548" s="453"/>
      <c r="AW548" s="453"/>
      <c r="AX548" s="453"/>
      <c r="AY548" s="453"/>
      <c r="AZ548" s="452">
        <v>41161</v>
      </c>
      <c r="BA548" s="393"/>
      <c r="BB548" s="393"/>
      <c r="BC548" s="393" t="b">
        <v>0</v>
      </c>
      <c r="BD548" s="393"/>
      <c r="BE548" s="392"/>
      <c r="BF548" s="394">
        <v>1</v>
      </c>
      <c r="BG548" s="394">
        <v>9</v>
      </c>
      <c r="BH548" s="394">
        <v>2</v>
      </c>
      <c r="BI548" s="394">
        <v>3</v>
      </c>
      <c r="BJ548" s="394"/>
      <c r="BK548" s="394"/>
      <c r="BL548" s="444" t="s">
        <v>6981</v>
      </c>
      <c r="BM548" s="392"/>
      <c r="BN548" s="393"/>
      <c r="BO548" s="393"/>
      <c r="BP548" s="399"/>
      <c r="BQ548" s="400"/>
      <c r="BR548" s="401"/>
      <c r="BS548" s="399"/>
      <c r="BT548" s="394"/>
      <c r="BU548" s="417"/>
      <c r="BV548" s="399"/>
      <c r="BW548" s="393" t="s">
        <v>3117</v>
      </c>
      <c r="BX548" s="392" t="s">
        <v>1447</v>
      </c>
      <c r="BY548" s="393"/>
      <c r="BZ548" s="393"/>
      <c r="CA548" s="441" t="s">
        <v>1662</v>
      </c>
      <c r="CB548" s="400">
        <v>4</v>
      </c>
      <c r="CC548" s="398"/>
      <c r="CD548" s="398"/>
      <c r="CE548" s="398"/>
      <c r="CF548" s="398"/>
      <c r="CG548" s="398">
        <v>2.2050000000000001</v>
      </c>
      <c r="CH548" s="398">
        <v>4.9210000000000003</v>
      </c>
      <c r="CI548" s="398">
        <v>6.9180000000000001</v>
      </c>
      <c r="CJ548" s="398">
        <v>8.4109999999999996</v>
      </c>
      <c r="CK548" s="398">
        <v>9.5449999999999999</v>
      </c>
      <c r="CL548" s="398">
        <v>10.422000000000001</v>
      </c>
      <c r="CM548" s="398">
        <v>11.111000000000001</v>
      </c>
      <c r="CN548" s="398">
        <v>11.111000000000001</v>
      </c>
      <c r="CO548" s="398">
        <v>11.111000000000001</v>
      </c>
      <c r="CP548" s="398">
        <v>11.111000000000001</v>
      </c>
      <c r="CQ548" s="398">
        <v>11.111000000000001</v>
      </c>
      <c r="CR548" s="398">
        <v>11.111000000000001</v>
      </c>
      <c r="CS548" s="398">
        <v>11.111000000000001</v>
      </c>
      <c r="CT548" s="398">
        <v>11.111000000000001</v>
      </c>
      <c r="CU548" s="398"/>
      <c r="CV548" s="398"/>
      <c r="CW548" s="398"/>
      <c r="CX548" s="398"/>
      <c r="CY548" s="398"/>
      <c r="CZ548" s="398"/>
      <c r="DA548" s="398"/>
      <c r="DB548" s="398"/>
      <c r="DC548" s="398"/>
      <c r="DD548" s="398"/>
      <c r="DE548" s="393"/>
      <c r="DF548" s="393"/>
      <c r="DG548" s="393"/>
      <c r="DH548" s="393"/>
      <c r="DI548" s="393"/>
      <c r="DJ548" s="393"/>
      <c r="DK548" s="897"/>
    </row>
    <row r="549" spans="1:115" ht="25.5" x14ac:dyDescent="0.2">
      <c r="A549" s="295">
        <v>545</v>
      </c>
      <c r="B549" s="390" t="s">
        <v>7147</v>
      </c>
      <c r="C549" s="390"/>
      <c r="D549" s="391" t="s">
        <v>7148</v>
      </c>
      <c r="E549" s="704" t="s">
        <v>384</v>
      </c>
      <c r="F549" s="393" t="s">
        <v>1352</v>
      </c>
      <c r="G549" s="393" t="s">
        <v>1673</v>
      </c>
      <c r="H549" s="393" t="s">
        <v>313</v>
      </c>
      <c r="I549" s="392"/>
      <c r="J549" s="392"/>
      <c r="K549" s="392" t="s">
        <v>2166</v>
      </c>
      <c r="L549" s="392" t="s">
        <v>359</v>
      </c>
      <c r="M549" s="392"/>
      <c r="N549" s="393" t="s">
        <v>44</v>
      </c>
      <c r="O549" s="393" t="s">
        <v>80</v>
      </c>
      <c r="P549" s="393" t="s">
        <v>80</v>
      </c>
      <c r="Q549" s="392" t="s">
        <v>380</v>
      </c>
      <c r="R549" s="392" t="s">
        <v>3833</v>
      </c>
      <c r="S549" s="392" t="s">
        <v>153</v>
      </c>
      <c r="T549" s="394">
        <v>1</v>
      </c>
      <c r="U549" s="395">
        <v>0.94799999999999995</v>
      </c>
      <c r="V549" s="395"/>
      <c r="W549" s="453"/>
      <c r="X549" s="394"/>
      <c r="Y549" s="394">
        <v>7</v>
      </c>
      <c r="Z549" s="394">
        <v>20</v>
      </c>
      <c r="AA549" s="395">
        <v>1.5</v>
      </c>
      <c r="AB549" s="452">
        <v>42172</v>
      </c>
      <c r="AC549" s="398">
        <v>0.45250000000000001</v>
      </c>
      <c r="AD549" s="398">
        <v>5.2568547945205477</v>
      </c>
      <c r="AE549" s="393" t="s">
        <v>111</v>
      </c>
      <c r="AF549" s="417"/>
      <c r="AG549" s="417"/>
      <c r="AH549" s="417"/>
      <c r="AI549" s="394"/>
      <c r="AJ549" s="453"/>
      <c r="AK549" s="453"/>
      <c r="AL549" s="393"/>
      <c r="AM549" s="393"/>
      <c r="AN549" s="417"/>
      <c r="AO549" s="392"/>
      <c r="AP549" s="392"/>
      <c r="AQ549" s="392"/>
      <c r="AR549" s="392" t="s">
        <v>112</v>
      </c>
      <c r="AS549" s="479">
        <v>40649</v>
      </c>
      <c r="AT549" s="453"/>
      <c r="AU549" s="453"/>
      <c r="AV549" s="453"/>
      <c r="AW549" s="453"/>
      <c r="AX549" s="453"/>
      <c r="AY549" s="453"/>
      <c r="AZ549" s="452">
        <v>42172</v>
      </c>
      <c r="BA549" s="393"/>
      <c r="BB549" s="393"/>
      <c r="BC549" s="393" t="b">
        <v>0</v>
      </c>
      <c r="BD549" s="393"/>
      <c r="BE549" s="392"/>
      <c r="BF549" s="394">
        <v>1</v>
      </c>
      <c r="BG549" s="394">
        <v>9</v>
      </c>
      <c r="BH549" s="394">
        <v>2</v>
      </c>
      <c r="BI549" s="394">
        <v>3</v>
      </c>
      <c r="BJ549" s="394"/>
      <c r="BK549" s="394"/>
      <c r="BL549" s="444" t="s">
        <v>6981</v>
      </c>
      <c r="BM549" s="392"/>
      <c r="BN549" s="393"/>
      <c r="BO549" s="393"/>
      <c r="BP549" s="399"/>
      <c r="BQ549" s="400"/>
      <c r="BR549" s="401"/>
      <c r="BS549" s="399"/>
      <c r="BT549" s="394"/>
      <c r="BU549" s="417"/>
      <c r="BV549" s="399"/>
      <c r="BW549" s="393" t="s">
        <v>3117</v>
      </c>
      <c r="BX549" s="392" t="s">
        <v>1447</v>
      </c>
      <c r="BY549" s="393"/>
      <c r="BZ549" s="393"/>
      <c r="CA549" s="441" t="s">
        <v>1662</v>
      </c>
      <c r="CB549" s="400">
        <v>4</v>
      </c>
      <c r="CC549" s="398"/>
      <c r="CD549" s="398"/>
      <c r="CE549" s="398"/>
      <c r="CF549" s="398"/>
      <c r="CG549" s="398"/>
      <c r="CH549" s="398"/>
      <c r="CI549" s="398"/>
      <c r="CJ549" s="398"/>
      <c r="CK549" s="398"/>
      <c r="CL549" s="398">
        <v>0.22800000000000001</v>
      </c>
      <c r="CM549" s="398">
        <v>0.64400000000000002</v>
      </c>
      <c r="CN549" s="398">
        <v>0.88700000000000001</v>
      </c>
      <c r="CO549" s="398">
        <v>1.056</v>
      </c>
      <c r="CP549" s="398">
        <v>1.175</v>
      </c>
      <c r="CQ549" s="398">
        <v>1.26</v>
      </c>
      <c r="CR549" s="398">
        <v>1.3220000000000001</v>
      </c>
      <c r="CS549" s="398"/>
      <c r="CT549" s="398"/>
      <c r="CU549" s="398"/>
      <c r="CV549" s="398"/>
      <c r="CW549" s="398"/>
      <c r="CX549" s="398"/>
      <c r="CY549" s="398"/>
      <c r="CZ549" s="398"/>
      <c r="DA549" s="398"/>
      <c r="DB549" s="398"/>
      <c r="DC549" s="398"/>
      <c r="DD549" s="398"/>
      <c r="DE549" s="393"/>
      <c r="DF549" s="393"/>
      <c r="DG549" s="393"/>
      <c r="DH549" s="393"/>
      <c r="DI549" s="393"/>
      <c r="DJ549" s="393"/>
      <c r="DK549" s="897"/>
    </row>
    <row r="550" spans="1:115" ht="38.25" x14ac:dyDescent="0.2">
      <c r="A550" s="295">
        <v>546</v>
      </c>
      <c r="B550" s="390" t="s">
        <v>1192</v>
      </c>
      <c r="C550" s="424" t="s">
        <v>7506</v>
      </c>
      <c r="D550" s="391" t="s">
        <v>5076</v>
      </c>
      <c r="E550" s="704" t="s">
        <v>1193</v>
      </c>
      <c r="F550" s="393" t="s">
        <v>1352</v>
      </c>
      <c r="G550" s="393" t="s">
        <v>1672</v>
      </c>
      <c r="H550" s="393" t="s">
        <v>301</v>
      </c>
      <c r="I550" s="392"/>
      <c r="J550" s="392" t="s">
        <v>301</v>
      </c>
      <c r="K550" s="392"/>
      <c r="L550" s="392" t="s">
        <v>302</v>
      </c>
      <c r="M550" s="392" t="s">
        <v>4055</v>
      </c>
      <c r="N550" s="393" t="s">
        <v>44</v>
      </c>
      <c r="O550" s="393" t="s">
        <v>45</v>
      </c>
      <c r="P550" s="393" t="s">
        <v>45</v>
      </c>
      <c r="Q550" s="392" t="s">
        <v>303</v>
      </c>
      <c r="R550" s="392"/>
      <c r="S550" s="392" t="s">
        <v>291</v>
      </c>
      <c r="T550" s="394">
        <v>1</v>
      </c>
      <c r="U550" s="395">
        <v>37.941000000000003</v>
      </c>
      <c r="V550" s="395"/>
      <c r="W550" s="452">
        <v>40807</v>
      </c>
      <c r="X550" s="394">
        <v>28</v>
      </c>
      <c r="Y550" s="394"/>
      <c r="Z550" s="394"/>
      <c r="AA550" s="395"/>
      <c r="AB550" s="453"/>
      <c r="AC550" s="398">
        <v>0</v>
      </c>
      <c r="AD550" s="398">
        <v>379.41</v>
      </c>
      <c r="AE550" s="393" t="s">
        <v>96</v>
      </c>
      <c r="AF550" s="417"/>
      <c r="AG550" s="417"/>
      <c r="AH550" s="417">
        <v>0</v>
      </c>
      <c r="AI550" s="394"/>
      <c r="AJ550" s="453"/>
      <c r="AK550" s="453"/>
      <c r="AL550" s="393"/>
      <c r="AM550" s="393"/>
      <c r="AN550" s="417"/>
      <c r="AO550" s="392"/>
      <c r="AP550" s="392" t="s">
        <v>55</v>
      </c>
      <c r="AQ550" s="392"/>
      <c r="AR550" s="392" t="s">
        <v>302</v>
      </c>
      <c r="AS550" s="479">
        <v>40655</v>
      </c>
      <c r="AT550" s="453"/>
      <c r="AU550" s="453"/>
      <c r="AV550" s="452">
        <v>40823</v>
      </c>
      <c r="AW550" s="452">
        <v>41222</v>
      </c>
      <c r="AX550" s="452">
        <v>41277</v>
      </c>
      <c r="AY550" s="452">
        <v>41232</v>
      </c>
      <c r="AZ550" s="453"/>
      <c r="BA550" s="393"/>
      <c r="BB550" s="393" t="s">
        <v>3310</v>
      </c>
      <c r="BC550" s="393" t="b">
        <v>0</v>
      </c>
      <c r="BD550" s="393" t="s">
        <v>3310</v>
      </c>
      <c r="BE550" s="392"/>
      <c r="BF550" s="394">
        <v>5</v>
      </c>
      <c r="BG550" s="394">
        <v>8</v>
      </c>
      <c r="BH550" s="394">
        <v>9</v>
      </c>
      <c r="BI550" s="394">
        <v>12</v>
      </c>
      <c r="BJ550" s="394">
        <v>2</v>
      </c>
      <c r="BK550" s="394">
        <v>1</v>
      </c>
      <c r="BL550" s="444"/>
      <c r="BM550" s="392"/>
      <c r="BN550" s="393"/>
      <c r="BO550" s="393"/>
      <c r="BP550" s="399"/>
      <c r="BQ550" s="400"/>
      <c r="BR550" s="401"/>
      <c r="BS550" s="399">
        <v>9.9</v>
      </c>
      <c r="BT550" s="394"/>
      <c r="BU550" s="417"/>
      <c r="BV550" s="399"/>
      <c r="BW550" s="393"/>
      <c r="BX550" s="392"/>
      <c r="BY550" s="393"/>
      <c r="BZ550" s="393"/>
      <c r="CA550" s="441"/>
      <c r="CB550" s="400"/>
      <c r="CC550" s="398"/>
      <c r="CD550" s="398"/>
      <c r="CE550" s="398"/>
      <c r="CF550" s="398"/>
      <c r="CG550" s="398"/>
      <c r="CH550" s="398"/>
      <c r="CI550" s="398"/>
      <c r="CJ550" s="398"/>
      <c r="CK550" s="398"/>
      <c r="CL550" s="398"/>
      <c r="CM550" s="398"/>
      <c r="CN550" s="398"/>
      <c r="CO550" s="398"/>
      <c r="CP550" s="398"/>
      <c r="CQ550" s="398"/>
      <c r="CR550" s="398"/>
      <c r="CS550" s="398"/>
      <c r="CT550" s="398"/>
      <c r="CU550" s="398"/>
      <c r="CV550" s="398"/>
      <c r="CW550" s="398"/>
      <c r="CX550" s="398"/>
      <c r="CY550" s="398"/>
      <c r="CZ550" s="398"/>
      <c r="DA550" s="398"/>
      <c r="DB550" s="398"/>
      <c r="DC550" s="398"/>
      <c r="DD550" s="398"/>
      <c r="DE550" s="393"/>
      <c r="DF550" s="393"/>
      <c r="DG550" s="393"/>
      <c r="DH550" s="393"/>
      <c r="DI550" s="393"/>
      <c r="DJ550" s="393"/>
      <c r="DK550" s="896" t="s">
        <v>9701</v>
      </c>
    </row>
    <row r="551" spans="1:115" ht="25.5" x14ac:dyDescent="0.2">
      <c r="A551" s="295">
        <v>547</v>
      </c>
      <c r="B551" s="390" t="s">
        <v>2678</v>
      </c>
      <c r="C551" s="390"/>
      <c r="D551" s="391" t="s">
        <v>4459</v>
      </c>
      <c r="E551" s="704" t="s">
        <v>300</v>
      </c>
      <c r="F551" s="393" t="s">
        <v>1352</v>
      </c>
      <c r="G551" s="393" t="s">
        <v>1672</v>
      </c>
      <c r="H551" s="393" t="s">
        <v>301</v>
      </c>
      <c r="I551" s="392"/>
      <c r="J551" s="392"/>
      <c r="K551" s="392" t="s">
        <v>2151</v>
      </c>
      <c r="L551" s="392" t="s">
        <v>302</v>
      </c>
      <c r="M551" s="392"/>
      <c r="N551" s="393" t="s">
        <v>44</v>
      </c>
      <c r="O551" s="393" t="s">
        <v>45</v>
      </c>
      <c r="P551" s="393" t="s">
        <v>45</v>
      </c>
      <c r="Q551" s="392" t="s">
        <v>303</v>
      </c>
      <c r="R551" s="392" t="s">
        <v>4056</v>
      </c>
      <c r="S551" s="392" t="s">
        <v>291</v>
      </c>
      <c r="T551" s="394">
        <v>1</v>
      </c>
      <c r="U551" s="395">
        <v>37.941000000000003</v>
      </c>
      <c r="V551" s="395"/>
      <c r="W551" s="453"/>
      <c r="X551" s="394"/>
      <c r="Y551" s="394">
        <v>10</v>
      </c>
      <c r="Z551" s="394">
        <v>25</v>
      </c>
      <c r="AA551" s="395">
        <v>0</v>
      </c>
      <c r="AB551" s="452">
        <v>41251</v>
      </c>
      <c r="AC551" s="398"/>
      <c r="AD551" s="398">
        <v>379.41</v>
      </c>
      <c r="AE551" s="393" t="s">
        <v>96</v>
      </c>
      <c r="AF551" s="417"/>
      <c r="AG551" s="417"/>
      <c r="AH551" s="417"/>
      <c r="AI551" s="394"/>
      <c r="AJ551" s="453"/>
      <c r="AK551" s="453"/>
      <c r="AL551" s="393"/>
      <c r="AM551" s="393"/>
      <c r="AN551" s="417"/>
      <c r="AO551" s="392"/>
      <c r="AP551" s="392" t="s">
        <v>55</v>
      </c>
      <c r="AQ551" s="392"/>
      <c r="AR551" s="392" t="s">
        <v>302</v>
      </c>
      <c r="AS551" s="479">
        <v>40655</v>
      </c>
      <c r="AT551" s="453"/>
      <c r="AU551" s="453"/>
      <c r="AV551" s="453"/>
      <c r="AW551" s="453"/>
      <c r="AX551" s="453"/>
      <c r="AY551" s="453"/>
      <c r="AZ551" s="452">
        <v>41232</v>
      </c>
      <c r="BA551" s="393"/>
      <c r="BB551" s="393"/>
      <c r="BC551" s="393" t="b">
        <v>0</v>
      </c>
      <c r="BD551" s="393"/>
      <c r="BE551" s="392"/>
      <c r="BF551" s="394">
        <v>5</v>
      </c>
      <c r="BG551" s="394">
        <v>8</v>
      </c>
      <c r="BH551" s="394">
        <v>9</v>
      </c>
      <c r="BI551" s="394">
        <v>12</v>
      </c>
      <c r="BJ551" s="394">
        <v>2</v>
      </c>
      <c r="BK551" s="394">
        <v>1</v>
      </c>
      <c r="BL551" s="444" t="s">
        <v>6981</v>
      </c>
      <c r="BM551" s="392"/>
      <c r="BN551" s="393"/>
      <c r="BO551" s="393"/>
      <c r="BP551" s="399"/>
      <c r="BQ551" s="400"/>
      <c r="BR551" s="401"/>
      <c r="BS551" s="399">
        <v>9.9</v>
      </c>
      <c r="BT551" s="394">
        <v>65280</v>
      </c>
      <c r="BU551" s="417">
        <v>0.58120000000000005</v>
      </c>
      <c r="BV551" s="399"/>
      <c r="BW551" s="393" t="s">
        <v>3117</v>
      </c>
      <c r="BX551" s="392" t="s">
        <v>1447</v>
      </c>
      <c r="BY551" s="393"/>
      <c r="BZ551" s="393"/>
      <c r="CA551" s="441" t="s">
        <v>1662</v>
      </c>
      <c r="CB551" s="400">
        <v>3</v>
      </c>
      <c r="CC551" s="398"/>
      <c r="CD551" s="398"/>
      <c r="CE551" s="398"/>
      <c r="CF551" s="398"/>
      <c r="CG551" s="398"/>
      <c r="CH551" s="398"/>
      <c r="CI551" s="398">
        <v>37941</v>
      </c>
      <c r="CJ551" s="398">
        <v>37.941000000000003</v>
      </c>
      <c r="CK551" s="398">
        <v>37.941000000000003</v>
      </c>
      <c r="CL551" s="398">
        <v>37.941000000000003</v>
      </c>
      <c r="CM551" s="398">
        <v>37.941000000000003</v>
      </c>
      <c r="CN551" s="398">
        <v>37.941000000000003</v>
      </c>
      <c r="CO551" s="398">
        <v>37.941000000000003</v>
      </c>
      <c r="CP551" s="398">
        <v>37.941000000000003</v>
      </c>
      <c r="CQ551" s="398">
        <v>37.941000000000003</v>
      </c>
      <c r="CR551" s="398">
        <v>37.941000000000003</v>
      </c>
      <c r="CS551" s="398"/>
      <c r="CT551" s="398"/>
      <c r="CU551" s="398"/>
      <c r="CV551" s="398"/>
      <c r="CW551" s="398"/>
      <c r="CX551" s="398"/>
      <c r="CY551" s="398"/>
      <c r="CZ551" s="398"/>
      <c r="DA551" s="398"/>
      <c r="DB551" s="398"/>
      <c r="DC551" s="398"/>
      <c r="DD551" s="398"/>
      <c r="DE551" s="393"/>
      <c r="DF551" s="393"/>
      <c r="DG551" s="393"/>
      <c r="DH551" s="393"/>
      <c r="DI551" s="393"/>
      <c r="DJ551" s="393"/>
      <c r="DK551" s="897"/>
    </row>
    <row r="552" spans="1:115" ht="38.25" x14ac:dyDescent="0.2">
      <c r="A552" s="295">
        <v>548</v>
      </c>
      <c r="B552" s="390" t="s">
        <v>1185</v>
      </c>
      <c r="C552" s="424" t="s">
        <v>7507</v>
      </c>
      <c r="D552" s="391" t="s">
        <v>5077</v>
      </c>
      <c r="E552" s="705" t="s">
        <v>1186</v>
      </c>
      <c r="F552" s="393" t="s">
        <v>1340</v>
      </c>
      <c r="G552" s="393" t="s">
        <v>1359</v>
      </c>
      <c r="H552" s="393" t="s">
        <v>1346</v>
      </c>
      <c r="I552" s="392"/>
      <c r="J552" s="392" t="s">
        <v>4460</v>
      </c>
      <c r="K552" s="392"/>
      <c r="L552" s="392" t="s">
        <v>738</v>
      </c>
      <c r="M552" s="392" t="s">
        <v>4057</v>
      </c>
      <c r="N552" s="393" t="s">
        <v>44</v>
      </c>
      <c r="O552" s="393" t="s">
        <v>289</v>
      </c>
      <c r="P552" s="393" t="s">
        <v>289</v>
      </c>
      <c r="Q552" s="392" t="s">
        <v>721</v>
      </c>
      <c r="R552" s="392"/>
      <c r="S552" s="392" t="s">
        <v>291</v>
      </c>
      <c r="T552" s="394">
        <v>6</v>
      </c>
      <c r="U552" s="395">
        <v>50.202000000000005</v>
      </c>
      <c r="V552" s="395"/>
      <c r="W552" s="452">
        <v>40667</v>
      </c>
      <c r="X552" s="394">
        <v>28</v>
      </c>
      <c r="Y552" s="394"/>
      <c r="Z552" s="394"/>
      <c r="AA552" s="395"/>
      <c r="AB552" s="453"/>
      <c r="AC552" s="398">
        <v>0</v>
      </c>
      <c r="AD552" s="398">
        <v>240.25524931506851</v>
      </c>
      <c r="AE552" s="393" t="s">
        <v>225</v>
      </c>
      <c r="AF552" s="417"/>
      <c r="AG552" s="417"/>
      <c r="AH552" s="417">
        <v>0</v>
      </c>
      <c r="AI552" s="394"/>
      <c r="AJ552" s="453"/>
      <c r="AK552" s="453"/>
      <c r="AL552" s="393"/>
      <c r="AM552" s="393"/>
      <c r="AN552" s="417"/>
      <c r="AO552" s="392"/>
      <c r="AP552" s="392" t="s">
        <v>7048</v>
      </c>
      <c r="AQ552" s="392"/>
      <c r="AR552" s="392" t="s">
        <v>368</v>
      </c>
      <c r="AS552" s="479">
        <v>40667</v>
      </c>
      <c r="AT552" s="453"/>
      <c r="AU552" s="453"/>
      <c r="AV552" s="452">
        <v>40864</v>
      </c>
      <c r="AW552" s="452">
        <v>41212</v>
      </c>
      <c r="AX552" s="452">
        <v>41272</v>
      </c>
      <c r="AY552" s="452">
        <v>41212</v>
      </c>
      <c r="AZ552" s="453"/>
      <c r="BA552" s="393"/>
      <c r="BB552" s="393" t="s">
        <v>3147</v>
      </c>
      <c r="BC552" s="393" t="b">
        <v>1</v>
      </c>
      <c r="BD552" s="393" t="s">
        <v>3147</v>
      </c>
      <c r="BE552" s="392"/>
      <c r="BF552" s="394">
        <v>3</v>
      </c>
      <c r="BG552" s="394">
        <v>4</v>
      </c>
      <c r="BH552" s="394">
        <v>5</v>
      </c>
      <c r="BI552" s="394">
        <v>9</v>
      </c>
      <c r="BJ552" s="394">
        <v>10</v>
      </c>
      <c r="BK552" s="394">
        <v>11</v>
      </c>
      <c r="BL552" s="444"/>
      <c r="BM552" s="392"/>
      <c r="BN552" s="393"/>
      <c r="BO552" s="393"/>
      <c r="BP552" s="399"/>
      <c r="BQ552" s="400"/>
      <c r="BR552" s="401"/>
      <c r="BS552" s="399">
        <v>16.790500000000002</v>
      </c>
      <c r="BT552" s="394"/>
      <c r="BU552" s="417"/>
      <c r="BV552" s="399"/>
      <c r="BW552" s="393"/>
      <c r="BX552" s="392"/>
      <c r="BY552" s="393"/>
      <c r="BZ552" s="393"/>
      <c r="CA552" s="441"/>
      <c r="CB552" s="400"/>
      <c r="CC552" s="398"/>
      <c r="CD552" s="398"/>
      <c r="CE552" s="398"/>
      <c r="CF552" s="398"/>
      <c r="CG552" s="398"/>
      <c r="CH552" s="398"/>
      <c r="CI552" s="398"/>
      <c r="CJ552" s="398"/>
      <c r="CK552" s="398"/>
      <c r="CL552" s="398"/>
      <c r="CM552" s="398"/>
      <c r="CN552" s="398"/>
      <c r="CO552" s="398"/>
      <c r="CP552" s="398"/>
      <c r="CQ552" s="398"/>
      <c r="CR552" s="398"/>
      <c r="CS552" s="398"/>
      <c r="CT552" s="398"/>
      <c r="CU552" s="398"/>
      <c r="CV552" s="398"/>
      <c r="CW552" s="398"/>
      <c r="CX552" s="398"/>
      <c r="CY552" s="398"/>
      <c r="CZ552" s="398"/>
      <c r="DA552" s="398"/>
      <c r="DB552" s="398"/>
      <c r="DC552" s="398"/>
      <c r="DD552" s="398"/>
      <c r="DE552" s="393"/>
      <c r="DF552" s="393"/>
      <c r="DG552" s="393"/>
      <c r="DH552" s="393"/>
      <c r="DI552" s="393"/>
      <c r="DJ552" s="393"/>
      <c r="DK552" s="896" t="s">
        <v>9739</v>
      </c>
    </row>
    <row r="553" spans="1:115" ht="25.5" x14ac:dyDescent="0.2">
      <c r="A553" s="295">
        <v>549</v>
      </c>
      <c r="B553" s="390" t="s">
        <v>2679</v>
      </c>
      <c r="C553" s="390"/>
      <c r="D553" s="391" t="s">
        <v>4389</v>
      </c>
      <c r="E553" s="704" t="s">
        <v>737</v>
      </c>
      <c r="F553" s="393" t="s">
        <v>1340</v>
      </c>
      <c r="G553" s="393" t="s">
        <v>1359</v>
      </c>
      <c r="H553" s="393" t="s">
        <v>1346</v>
      </c>
      <c r="I553" s="392"/>
      <c r="J553" s="392"/>
      <c r="K553" s="392" t="s">
        <v>2152</v>
      </c>
      <c r="L553" s="428" t="s">
        <v>738</v>
      </c>
      <c r="M553" s="392"/>
      <c r="N553" s="393" t="s">
        <v>44</v>
      </c>
      <c r="O553" s="393" t="s">
        <v>289</v>
      </c>
      <c r="P553" s="393" t="s">
        <v>289</v>
      </c>
      <c r="Q553" s="392" t="s">
        <v>721</v>
      </c>
      <c r="R553" s="392" t="s">
        <v>4058</v>
      </c>
      <c r="S553" s="392" t="s">
        <v>291</v>
      </c>
      <c r="T553" s="394">
        <v>1</v>
      </c>
      <c r="U553" s="395">
        <v>3.6419999999999999</v>
      </c>
      <c r="V553" s="395"/>
      <c r="W553" s="453"/>
      <c r="X553" s="394"/>
      <c r="Y553" s="394">
        <v>7</v>
      </c>
      <c r="Z553" s="394">
        <v>25</v>
      </c>
      <c r="AA553" s="395">
        <v>0</v>
      </c>
      <c r="AB553" s="452">
        <v>41289</v>
      </c>
      <c r="AC553" s="398">
        <v>0</v>
      </c>
      <c r="AD553" s="398">
        <v>29.006284931506848</v>
      </c>
      <c r="AE553" s="393" t="s">
        <v>225</v>
      </c>
      <c r="AF553" s="417"/>
      <c r="AG553" s="417"/>
      <c r="AH553" s="417"/>
      <c r="AI553" s="394"/>
      <c r="AJ553" s="453"/>
      <c r="AK553" s="453"/>
      <c r="AL553" s="393"/>
      <c r="AM553" s="393"/>
      <c r="AN553" s="417"/>
      <c r="AO553" s="392"/>
      <c r="AP553" s="392" t="s">
        <v>7048</v>
      </c>
      <c r="AQ553" s="392"/>
      <c r="AR553" s="392" t="s">
        <v>368</v>
      </c>
      <c r="AS553" s="479">
        <v>40667</v>
      </c>
      <c r="AT553" s="453"/>
      <c r="AU553" s="453"/>
      <c r="AV553" s="453"/>
      <c r="AW553" s="453"/>
      <c r="AX553" s="453"/>
      <c r="AY553" s="453"/>
      <c r="AZ553" s="452">
        <v>41212</v>
      </c>
      <c r="BA553" s="393"/>
      <c r="BB553" s="393"/>
      <c r="BC553" s="393" t="b">
        <v>0</v>
      </c>
      <c r="BD553" s="393"/>
      <c r="BE553" s="392"/>
      <c r="BF553" s="394">
        <v>3</v>
      </c>
      <c r="BG553" s="394">
        <v>4</v>
      </c>
      <c r="BH553" s="394">
        <v>5</v>
      </c>
      <c r="BI553" s="394">
        <v>9</v>
      </c>
      <c r="BJ553" s="394">
        <v>10</v>
      </c>
      <c r="BK553" s="394">
        <v>11</v>
      </c>
      <c r="BL553" s="444" t="s">
        <v>6981</v>
      </c>
      <c r="BM553" s="392"/>
      <c r="BN553" s="393"/>
      <c r="BO553" s="393"/>
      <c r="BP553" s="399"/>
      <c r="BQ553" s="400"/>
      <c r="BR553" s="401"/>
      <c r="BS553" s="399">
        <v>1.4730000000000001</v>
      </c>
      <c r="BT553" s="394">
        <v>6000</v>
      </c>
      <c r="BU553" s="417">
        <v>0.39256000000000002</v>
      </c>
      <c r="BV553" s="399"/>
      <c r="BW553" s="393" t="s">
        <v>3117</v>
      </c>
      <c r="BX553" s="392" t="s">
        <v>4364</v>
      </c>
      <c r="BY553" s="393" t="s">
        <v>7226</v>
      </c>
      <c r="BZ553" s="393"/>
      <c r="CA553" s="441" t="s">
        <v>4364</v>
      </c>
      <c r="CB553" s="400"/>
      <c r="CC553" s="398"/>
      <c r="CD553" s="398"/>
      <c r="CE553" s="398"/>
      <c r="CF553" s="398"/>
      <c r="CG553" s="398"/>
      <c r="CH553" s="398"/>
      <c r="CI553" s="398">
        <v>2.532</v>
      </c>
      <c r="CJ553" s="398">
        <v>3.6419999999999999</v>
      </c>
      <c r="CK553" s="398">
        <v>3.6419999999999999</v>
      </c>
      <c r="CL553" s="398">
        <v>3.6419999999999999</v>
      </c>
      <c r="CM553" s="398">
        <v>3.6419999999999999</v>
      </c>
      <c r="CN553" s="398">
        <v>3.6419999999999999</v>
      </c>
      <c r="CO553" s="398">
        <v>3.6419999999999999</v>
      </c>
      <c r="CP553" s="398">
        <v>0.15</v>
      </c>
      <c r="CQ553" s="398"/>
      <c r="CR553" s="398"/>
      <c r="CS553" s="398"/>
      <c r="CT553" s="398"/>
      <c r="CU553" s="398"/>
      <c r="CV553" s="398"/>
      <c r="CW553" s="398"/>
      <c r="CX553" s="398"/>
      <c r="CY553" s="398"/>
      <c r="CZ553" s="398"/>
      <c r="DA553" s="398"/>
      <c r="DB553" s="398"/>
      <c r="DC553" s="398"/>
      <c r="DD553" s="398"/>
      <c r="DE553" s="393"/>
      <c r="DF553" s="393"/>
      <c r="DG553" s="393"/>
      <c r="DH553" s="393"/>
      <c r="DI553" s="393"/>
      <c r="DJ553" s="393"/>
      <c r="DK553" s="897"/>
    </row>
    <row r="554" spans="1:115" ht="25.5" x14ac:dyDescent="0.2">
      <c r="A554" s="295">
        <v>550</v>
      </c>
      <c r="B554" s="390" t="s">
        <v>7381</v>
      </c>
      <c r="C554" s="390"/>
      <c r="D554" s="391" t="s">
        <v>7382</v>
      </c>
      <c r="E554" s="705" t="s">
        <v>7385</v>
      </c>
      <c r="F554" s="393" t="s">
        <v>1340</v>
      </c>
      <c r="G554" s="393" t="s">
        <v>1359</v>
      </c>
      <c r="H554" s="393" t="s">
        <v>1346</v>
      </c>
      <c r="I554" s="392"/>
      <c r="J554" s="392"/>
      <c r="K554" s="428" t="s">
        <v>55</v>
      </c>
      <c r="L554" s="428" t="s">
        <v>738</v>
      </c>
      <c r="M554" s="392"/>
      <c r="N554" s="475" t="s">
        <v>44</v>
      </c>
      <c r="O554" s="475" t="s">
        <v>289</v>
      </c>
      <c r="P554" s="475" t="s">
        <v>289</v>
      </c>
      <c r="Q554" s="428" t="s">
        <v>721</v>
      </c>
      <c r="R554" s="428" t="s">
        <v>7387</v>
      </c>
      <c r="S554" s="428" t="s">
        <v>291</v>
      </c>
      <c r="T554" s="394">
        <v>1</v>
      </c>
      <c r="U554" s="395">
        <v>1.4450000000000001</v>
      </c>
      <c r="V554" s="395"/>
      <c r="W554" s="453"/>
      <c r="X554" s="394"/>
      <c r="Y554" s="394">
        <v>7</v>
      </c>
      <c r="Z554" s="394">
        <v>25</v>
      </c>
      <c r="AA554" s="395">
        <v>0</v>
      </c>
      <c r="AB554" s="452">
        <v>42339</v>
      </c>
      <c r="AC554" s="398">
        <v>0</v>
      </c>
      <c r="AD554" s="398">
        <v>7.35168493150685</v>
      </c>
      <c r="AE554" s="475" t="s">
        <v>225</v>
      </c>
      <c r="AF554" s="417"/>
      <c r="AG554" s="417"/>
      <c r="AH554" s="417"/>
      <c r="AI554" s="394"/>
      <c r="AJ554" s="453"/>
      <c r="AK554" s="453"/>
      <c r="AL554" s="393"/>
      <c r="AM554" s="393"/>
      <c r="AN554" s="417"/>
      <c r="AO554" s="392"/>
      <c r="AP554" s="392" t="s">
        <v>7048</v>
      </c>
      <c r="AQ554" s="428"/>
      <c r="AR554" s="428" t="s">
        <v>368</v>
      </c>
      <c r="AS554" s="479">
        <v>40667</v>
      </c>
      <c r="AT554" s="453"/>
      <c r="AU554" s="453"/>
      <c r="AV554" s="453"/>
      <c r="AW554" s="453"/>
      <c r="AX554" s="453"/>
      <c r="AY554" s="453"/>
      <c r="AZ554" s="452">
        <v>42333</v>
      </c>
      <c r="BA554" s="393"/>
      <c r="BB554" s="393"/>
      <c r="BC554" s="393" t="b">
        <v>0</v>
      </c>
      <c r="BD554" s="393"/>
      <c r="BE554" s="392"/>
      <c r="BF554" s="394">
        <v>3</v>
      </c>
      <c r="BG554" s="394">
        <v>4</v>
      </c>
      <c r="BH554" s="394">
        <v>5</v>
      </c>
      <c r="BI554" s="394">
        <v>9</v>
      </c>
      <c r="BJ554" s="394">
        <v>10</v>
      </c>
      <c r="BK554" s="394">
        <v>11</v>
      </c>
      <c r="BL554" s="444" t="s">
        <v>6981</v>
      </c>
      <c r="BM554" s="392"/>
      <c r="BN554" s="393"/>
      <c r="BO554" s="393"/>
      <c r="BP554" s="399"/>
      <c r="BQ554" s="400"/>
      <c r="BR554" s="401"/>
      <c r="BS554" s="399">
        <v>0.60099999999999998</v>
      </c>
      <c r="BT554" s="394">
        <v>2690</v>
      </c>
      <c r="BU554" s="417">
        <v>0.53749999999999998</v>
      </c>
      <c r="BV554" s="399"/>
      <c r="BW554" s="475" t="s">
        <v>3117</v>
      </c>
      <c r="BX554" s="428" t="s">
        <v>4364</v>
      </c>
      <c r="BY554" s="393"/>
      <c r="BZ554" s="393"/>
      <c r="CA554" s="441"/>
      <c r="CB554" s="400"/>
      <c r="CC554" s="398"/>
      <c r="CD554" s="398"/>
      <c r="CE554" s="398"/>
      <c r="CF554" s="398"/>
      <c r="CG554" s="398"/>
      <c r="CH554" s="398"/>
      <c r="CI554" s="398"/>
      <c r="CJ554" s="398"/>
      <c r="CK554" s="398">
        <v>1.4550000000000001</v>
      </c>
      <c r="CL554" s="398">
        <v>1.4550000000000001</v>
      </c>
      <c r="CM554" s="398">
        <v>1.4550000000000001</v>
      </c>
      <c r="CN554" s="398">
        <v>1.4550000000000001</v>
      </c>
      <c r="CO554" s="398">
        <v>1.4550000000000001</v>
      </c>
      <c r="CP554" s="398">
        <v>1.4550000000000001</v>
      </c>
      <c r="CQ554" s="398">
        <v>1.4550000000000001</v>
      </c>
      <c r="CR554" s="398"/>
      <c r="CS554" s="398"/>
      <c r="CT554" s="398"/>
      <c r="CU554" s="398"/>
      <c r="CV554" s="398"/>
      <c r="CW554" s="398"/>
      <c r="CX554" s="398"/>
      <c r="CY554" s="398"/>
      <c r="CZ554" s="398"/>
      <c r="DA554" s="398"/>
      <c r="DB554" s="398"/>
      <c r="DC554" s="398"/>
      <c r="DD554" s="398"/>
      <c r="DE554" s="393"/>
      <c r="DF554" s="393"/>
      <c r="DG554" s="393"/>
      <c r="DH554" s="393"/>
      <c r="DI554" s="393"/>
      <c r="DJ554" s="393"/>
      <c r="DK554" s="897"/>
    </row>
    <row r="555" spans="1:115" ht="25.5" x14ac:dyDescent="0.2">
      <c r="A555" s="295">
        <v>551</v>
      </c>
      <c r="B555" s="390" t="s">
        <v>7383</v>
      </c>
      <c r="C555" s="390"/>
      <c r="D555" s="391" t="s">
        <v>7384</v>
      </c>
      <c r="E555" s="705" t="s">
        <v>7386</v>
      </c>
      <c r="F555" s="393" t="s">
        <v>1340</v>
      </c>
      <c r="G555" s="393" t="s">
        <v>1359</v>
      </c>
      <c r="H555" s="393" t="s">
        <v>1346</v>
      </c>
      <c r="I555" s="392"/>
      <c r="J555" s="392"/>
      <c r="K555" s="428" t="s">
        <v>55</v>
      </c>
      <c r="L555" s="428" t="s">
        <v>738</v>
      </c>
      <c r="M555" s="392"/>
      <c r="N555" s="475" t="s">
        <v>44</v>
      </c>
      <c r="O555" s="475" t="s">
        <v>289</v>
      </c>
      <c r="P555" s="475" t="s">
        <v>289</v>
      </c>
      <c r="Q555" s="428" t="s">
        <v>721</v>
      </c>
      <c r="R555" s="428" t="s">
        <v>7388</v>
      </c>
      <c r="S555" s="428" t="s">
        <v>291</v>
      </c>
      <c r="T555" s="394">
        <v>1</v>
      </c>
      <c r="U555" s="395">
        <v>13.922000000000001</v>
      </c>
      <c r="V555" s="395"/>
      <c r="W555" s="453"/>
      <c r="X555" s="394"/>
      <c r="Y555" s="394">
        <v>7</v>
      </c>
      <c r="Z555" s="394">
        <v>25</v>
      </c>
      <c r="AA555" s="395">
        <v>0</v>
      </c>
      <c r="AB555" s="452">
        <v>42339</v>
      </c>
      <c r="AC555" s="398">
        <v>0</v>
      </c>
      <c r="AD555" s="398">
        <v>70.830558904109594</v>
      </c>
      <c r="AE555" s="475" t="s">
        <v>225</v>
      </c>
      <c r="AF555" s="417"/>
      <c r="AG555" s="417"/>
      <c r="AH555" s="417"/>
      <c r="AI555" s="394"/>
      <c r="AJ555" s="453"/>
      <c r="AK555" s="453"/>
      <c r="AL555" s="393"/>
      <c r="AM555" s="393"/>
      <c r="AN555" s="417"/>
      <c r="AO555" s="392"/>
      <c r="AP555" s="392" t="s">
        <v>7048</v>
      </c>
      <c r="AQ555" s="428"/>
      <c r="AR555" s="428" t="s">
        <v>368</v>
      </c>
      <c r="AS555" s="479">
        <v>40667</v>
      </c>
      <c r="AT555" s="453"/>
      <c r="AU555" s="453"/>
      <c r="AV555" s="453"/>
      <c r="AW555" s="453"/>
      <c r="AX555" s="453"/>
      <c r="AY555" s="453"/>
      <c r="AZ555" s="452">
        <v>42333</v>
      </c>
      <c r="BA555" s="393"/>
      <c r="BB555" s="393"/>
      <c r="BC555" s="393" t="b">
        <v>0</v>
      </c>
      <c r="BD555" s="393"/>
      <c r="BE555" s="392"/>
      <c r="BF555" s="394">
        <v>3</v>
      </c>
      <c r="BG555" s="394">
        <v>4</v>
      </c>
      <c r="BH555" s="394">
        <v>5</v>
      </c>
      <c r="BI555" s="394">
        <v>9</v>
      </c>
      <c r="BJ555" s="394">
        <v>10</v>
      </c>
      <c r="BK555" s="394">
        <v>11</v>
      </c>
      <c r="BL555" s="444" t="s">
        <v>6981</v>
      </c>
      <c r="BM555" s="392"/>
      <c r="BN555" s="393"/>
      <c r="BO555" s="393"/>
      <c r="BP555" s="399"/>
      <c r="BQ555" s="400"/>
      <c r="BR555" s="401"/>
      <c r="BS555" s="399">
        <v>5</v>
      </c>
      <c r="BT555" s="394">
        <v>25902</v>
      </c>
      <c r="BU555" s="417">
        <v>0.53749999999999998</v>
      </c>
      <c r="BV555" s="399"/>
      <c r="BW555" s="475" t="s">
        <v>3117</v>
      </c>
      <c r="BX555" s="428" t="s">
        <v>4364</v>
      </c>
      <c r="BY555" s="393"/>
      <c r="BZ555" s="393"/>
      <c r="CA555" s="441"/>
      <c r="CB555" s="400"/>
      <c r="CC555" s="398"/>
      <c r="CD555" s="398"/>
      <c r="CE555" s="398"/>
      <c r="CF555" s="398"/>
      <c r="CG555" s="398"/>
      <c r="CH555" s="398"/>
      <c r="CI555" s="398"/>
      <c r="CJ555" s="398"/>
      <c r="CK555" s="398">
        <v>13.922000000000001</v>
      </c>
      <c r="CL555" s="398">
        <v>13.922000000000001</v>
      </c>
      <c r="CM555" s="398">
        <v>13.922000000000001</v>
      </c>
      <c r="CN555" s="398">
        <v>13.922000000000001</v>
      </c>
      <c r="CO555" s="398">
        <v>13.922000000000001</v>
      </c>
      <c r="CP555" s="398">
        <v>13.922000000000001</v>
      </c>
      <c r="CQ555" s="398">
        <v>13.922000000000001</v>
      </c>
      <c r="CR555" s="398"/>
      <c r="CS555" s="398"/>
      <c r="CT555" s="398"/>
      <c r="CU555" s="398"/>
      <c r="CV555" s="398"/>
      <c r="CW555" s="398"/>
      <c r="CX555" s="398"/>
      <c r="CY555" s="398"/>
      <c r="CZ555" s="398"/>
      <c r="DA555" s="398"/>
      <c r="DB555" s="398"/>
      <c r="DC555" s="398"/>
      <c r="DD555" s="398"/>
      <c r="DE555" s="393"/>
      <c r="DF555" s="393"/>
      <c r="DG555" s="393"/>
      <c r="DH555" s="393"/>
      <c r="DI555" s="393"/>
      <c r="DJ555" s="393"/>
      <c r="DK555" s="897"/>
    </row>
    <row r="556" spans="1:115" ht="25.5" x14ac:dyDescent="0.2">
      <c r="A556" s="295">
        <v>552</v>
      </c>
      <c r="B556" s="390" t="s">
        <v>8861</v>
      </c>
      <c r="C556" s="390"/>
      <c r="D556" s="391" t="s">
        <v>8862</v>
      </c>
      <c r="E556" s="709" t="s">
        <v>8863</v>
      </c>
      <c r="F556" s="393" t="s">
        <v>1340</v>
      </c>
      <c r="G556" s="393" t="s">
        <v>1359</v>
      </c>
      <c r="H556" s="393" t="s">
        <v>1346</v>
      </c>
      <c r="I556" s="563"/>
      <c r="J556" s="563"/>
      <c r="K556" s="560" t="s">
        <v>55</v>
      </c>
      <c r="L556" s="560" t="s">
        <v>738</v>
      </c>
      <c r="M556" s="563"/>
      <c r="N556" s="562" t="s">
        <v>44</v>
      </c>
      <c r="O556" s="475" t="s">
        <v>289</v>
      </c>
      <c r="P556" s="475" t="s">
        <v>289</v>
      </c>
      <c r="Q556" s="428" t="s">
        <v>721</v>
      </c>
      <c r="R556" s="428" t="s">
        <v>8864</v>
      </c>
      <c r="S556" s="428" t="s">
        <v>291</v>
      </c>
      <c r="T556" s="564">
        <v>1</v>
      </c>
      <c r="U556" s="565">
        <v>16.308</v>
      </c>
      <c r="V556" s="565"/>
      <c r="W556" s="566"/>
      <c r="X556" s="564"/>
      <c r="Y556" s="564">
        <v>7</v>
      </c>
      <c r="Z556" s="564">
        <v>25</v>
      </c>
      <c r="AA556" s="565">
        <v>0</v>
      </c>
      <c r="AB556" s="567">
        <v>42690</v>
      </c>
      <c r="AC556" s="568">
        <v>0</v>
      </c>
      <c r="AD556" s="568">
        <v>67.28725479452055</v>
      </c>
      <c r="AE556" s="562" t="s">
        <v>225</v>
      </c>
      <c r="AF556" s="569"/>
      <c r="AG556" s="569"/>
      <c r="AH556" s="569"/>
      <c r="AI556" s="564"/>
      <c r="AJ556" s="566"/>
      <c r="AK556" s="566"/>
      <c r="AL556" s="561"/>
      <c r="AM556" s="561"/>
      <c r="AN556" s="569"/>
      <c r="AO556" s="563"/>
      <c r="AP556" s="392" t="s">
        <v>7048</v>
      </c>
      <c r="AQ556" s="560"/>
      <c r="AR556" s="560" t="s">
        <v>368</v>
      </c>
      <c r="AS556" s="578">
        <v>40667</v>
      </c>
      <c r="AT556" s="566"/>
      <c r="AU556" s="566"/>
      <c r="AV556" s="566"/>
      <c r="AW556" s="566"/>
      <c r="AX556" s="566"/>
      <c r="AY556" s="566"/>
      <c r="AZ556" s="567">
        <v>42690</v>
      </c>
      <c r="BA556" s="561"/>
      <c r="BB556" s="561"/>
      <c r="BC556" s="561" t="b">
        <v>1</v>
      </c>
      <c r="BD556" s="561"/>
      <c r="BE556" s="563"/>
      <c r="BF556" s="394">
        <v>3</v>
      </c>
      <c r="BG556" s="394">
        <v>4</v>
      </c>
      <c r="BH556" s="394">
        <v>5</v>
      </c>
      <c r="BI556" s="394">
        <v>9</v>
      </c>
      <c r="BJ556" s="394">
        <v>10</v>
      </c>
      <c r="BK556" s="394">
        <v>11</v>
      </c>
      <c r="BL556" s="444" t="s">
        <v>6981</v>
      </c>
      <c r="BM556" s="563"/>
      <c r="BN556" s="561"/>
      <c r="BO556" s="561"/>
      <c r="BP556" s="571"/>
      <c r="BQ556" s="572"/>
      <c r="BR556" s="573"/>
      <c r="BS556" s="571">
        <v>5.22</v>
      </c>
      <c r="BT556" s="564">
        <v>30341.56</v>
      </c>
      <c r="BU556" s="569">
        <v>0.53749999999999998</v>
      </c>
      <c r="BV556" s="571"/>
      <c r="BW556" s="562" t="s">
        <v>3117</v>
      </c>
      <c r="BX556" s="560" t="s">
        <v>4364</v>
      </c>
      <c r="BY556" s="561"/>
      <c r="BZ556" s="561"/>
      <c r="CA556" s="574"/>
      <c r="CB556" s="572"/>
      <c r="CC556" s="568"/>
      <c r="CD556" s="568"/>
      <c r="CE556" s="568"/>
      <c r="CF556" s="568"/>
      <c r="CG556" s="568"/>
      <c r="CH556" s="568"/>
      <c r="CI556" s="568"/>
      <c r="CJ556" s="568"/>
      <c r="CK556" s="568"/>
      <c r="CL556" s="568">
        <v>16.308</v>
      </c>
      <c r="CM556" s="568">
        <v>16.308</v>
      </c>
      <c r="CN556" s="568">
        <v>16.308</v>
      </c>
      <c r="CO556" s="568">
        <v>16.308</v>
      </c>
      <c r="CP556" s="568">
        <v>16.308</v>
      </c>
      <c r="CQ556" s="568">
        <v>16.308</v>
      </c>
      <c r="CR556" s="568">
        <v>16.308</v>
      </c>
      <c r="CS556" s="568"/>
      <c r="CT556" s="568"/>
      <c r="CU556" s="568"/>
      <c r="CV556" s="568"/>
      <c r="CW556" s="568"/>
      <c r="CX556" s="568"/>
      <c r="CY556" s="568"/>
      <c r="CZ556" s="568"/>
      <c r="DA556" s="568"/>
      <c r="DB556" s="568"/>
      <c r="DC556" s="568"/>
      <c r="DD556" s="568"/>
      <c r="DE556" s="561"/>
      <c r="DF556" s="561"/>
      <c r="DG556" s="561"/>
      <c r="DH556" s="561"/>
      <c r="DI556" s="561"/>
      <c r="DJ556" s="561"/>
      <c r="DK556" s="897"/>
    </row>
    <row r="557" spans="1:115" ht="25.5" x14ac:dyDescent="0.2">
      <c r="A557" s="295">
        <v>553</v>
      </c>
      <c r="B557" s="390" t="s">
        <v>8878</v>
      </c>
      <c r="C557" s="390"/>
      <c r="D557" s="391" t="s">
        <v>8879</v>
      </c>
      <c r="E557" s="709" t="s">
        <v>8882</v>
      </c>
      <c r="F557" s="393" t="s">
        <v>1340</v>
      </c>
      <c r="G557" s="393" t="s">
        <v>1359</v>
      </c>
      <c r="H557" s="393" t="s">
        <v>1002</v>
      </c>
      <c r="I557" s="563"/>
      <c r="J557" s="563"/>
      <c r="K557" s="560" t="s">
        <v>8884</v>
      </c>
      <c r="L557" s="428" t="s">
        <v>738</v>
      </c>
      <c r="M557" s="563"/>
      <c r="N557" s="562" t="s">
        <v>44</v>
      </c>
      <c r="O557" s="475" t="s">
        <v>289</v>
      </c>
      <c r="P557" s="475" t="s">
        <v>289</v>
      </c>
      <c r="Q557" s="428" t="s">
        <v>721</v>
      </c>
      <c r="R557" s="428" t="s">
        <v>8886</v>
      </c>
      <c r="S557" s="428" t="s">
        <v>291</v>
      </c>
      <c r="T557" s="564">
        <v>1</v>
      </c>
      <c r="U557" s="565">
        <v>10.510999999999999</v>
      </c>
      <c r="V557" s="565"/>
      <c r="W557" s="566"/>
      <c r="X557" s="564"/>
      <c r="Y557" s="564">
        <v>7</v>
      </c>
      <c r="Z557" s="564">
        <v>25</v>
      </c>
      <c r="AA557" s="565">
        <v>0</v>
      </c>
      <c r="AB557" s="567">
        <v>42583</v>
      </c>
      <c r="AC557" s="568">
        <v>0</v>
      </c>
      <c r="AD557" s="568">
        <v>46.449980821917805</v>
      </c>
      <c r="AE557" s="562" t="s">
        <v>225</v>
      </c>
      <c r="AF557" s="569"/>
      <c r="AG557" s="569"/>
      <c r="AH557" s="569"/>
      <c r="AI557" s="564"/>
      <c r="AJ557" s="566"/>
      <c r="AK557" s="566"/>
      <c r="AL557" s="561"/>
      <c r="AM557" s="561"/>
      <c r="AN557" s="569"/>
      <c r="AO557" s="563"/>
      <c r="AP557" s="392" t="s">
        <v>7048</v>
      </c>
      <c r="AQ557" s="560"/>
      <c r="AR557" s="560" t="s">
        <v>368</v>
      </c>
      <c r="AS557" s="479">
        <v>40667</v>
      </c>
      <c r="AT557" s="566"/>
      <c r="AU557" s="566"/>
      <c r="AV557" s="566"/>
      <c r="AW557" s="566"/>
      <c r="AX557" s="566"/>
      <c r="AY557" s="566"/>
      <c r="AZ557" s="567">
        <v>42722</v>
      </c>
      <c r="BA557" s="561"/>
      <c r="BB557" s="561"/>
      <c r="BC557" s="561" t="b">
        <v>1</v>
      </c>
      <c r="BD557" s="561"/>
      <c r="BE557" s="563"/>
      <c r="BF557" s="394">
        <v>3</v>
      </c>
      <c r="BG557" s="394">
        <v>4</v>
      </c>
      <c r="BH557" s="394">
        <v>5</v>
      </c>
      <c r="BI557" s="394">
        <v>9</v>
      </c>
      <c r="BJ557" s="394">
        <v>10</v>
      </c>
      <c r="BK557" s="394">
        <v>11</v>
      </c>
      <c r="BL557" s="444" t="s">
        <v>6981</v>
      </c>
      <c r="BM557" s="563"/>
      <c r="BN557" s="561"/>
      <c r="BO557" s="561"/>
      <c r="BP557" s="571"/>
      <c r="BQ557" s="572"/>
      <c r="BR557" s="573"/>
      <c r="BS557" s="571">
        <v>2.4580000000000002</v>
      </c>
      <c r="BT557" s="564">
        <f>17441/BS557</f>
        <v>7095.6061838893402</v>
      </c>
      <c r="BU557" s="569">
        <v>0.60270000000000001</v>
      </c>
      <c r="BV557" s="571"/>
      <c r="BW557" s="562" t="s">
        <v>3117</v>
      </c>
      <c r="BX557" s="560" t="s">
        <v>4364</v>
      </c>
      <c r="BY557" s="561"/>
      <c r="BZ557" s="561"/>
      <c r="CA557" s="574"/>
      <c r="CB557" s="572"/>
      <c r="CC557" s="568"/>
      <c r="CD557" s="568"/>
      <c r="CE557" s="568"/>
      <c r="CF557" s="568"/>
      <c r="CG557" s="568"/>
      <c r="CH557" s="568"/>
      <c r="CI557" s="568"/>
      <c r="CJ557" s="568"/>
      <c r="CK557" s="568"/>
      <c r="CL557" s="568">
        <v>10.510999999999999</v>
      </c>
      <c r="CM557" s="568">
        <v>10.510999999999999</v>
      </c>
      <c r="CN557" s="568">
        <v>10.510999999999999</v>
      </c>
      <c r="CO557" s="568">
        <v>10.510999999999999</v>
      </c>
      <c r="CP557" s="568">
        <v>10.510999999999999</v>
      </c>
      <c r="CQ557" s="568">
        <v>10.510999999999999</v>
      </c>
      <c r="CR557" s="568">
        <v>10.510999999999999</v>
      </c>
      <c r="CS557" s="568"/>
      <c r="CT557" s="568"/>
      <c r="CU557" s="568"/>
      <c r="CV557" s="568"/>
      <c r="CW557" s="568"/>
      <c r="CX557" s="568"/>
      <c r="CY557" s="568"/>
      <c r="CZ557" s="568"/>
      <c r="DA557" s="568"/>
      <c r="DB557" s="568"/>
      <c r="DC557" s="568"/>
      <c r="DD557" s="568"/>
      <c r="DE557" s="561"/>
      <c r="DF557" s="561"/>
      <c r="DG557" s="561"/>
      <c r="DH557" s="561"/>
      <c r="DI557" s="561"/>
      <c r="DJ557" s="561"/>
      <c r="DK557" s="897"/>
    </row>
    <row r="558" spans="1:115" ht="38.25" x14ac:dyDescent="0.2">
      <c r="A558" s="295">
        <v>554</v>
      </c>
      <c r="B558" s="390" t="s">
        <v>8880</v>
      </c>
      <c r="C558" s="390"/>
      <c r="D558" s="391" t="s">
        <v>8881</v>
      </c>
      <c r="E558" s="709" t="s">
        <v>8883</v>
      </c>
      <c r="F558" s="393" t="s">
        <v>1340</v>
      </c>
      <c r="G558" s="393" t="s">
        <v>1359</v>
      </c>
      <c r="H558" s="393" t="s">
        <v>1346</v>
      </c>
      <c r="I558" s="563"/>
      <c r="J558" s="563"/>
      <c r="K558" s="560" t="s">
        <v>8885</v>
      </c>
      <c r="L558" s="560" t="s">
        <v>738</v>
      </c>
      <c r="M558" s="563"/>
      <c r="N558" s="562" t="s">
        <v>44</v>
      </c>
      <c r="O558" s="475" t="s">
        <v>289</v>
      </c>
      <c r="P558" s="475" t="s">
        <v>289</v>
      </c>
      <c r="Q558" s="428" t="s">
        <v>721</v>
      </c>
      <c r="R558" s="428" t="s">
        <v>8887</v>
      </c>
      <c r="S558" s="560" t="s">
        <v>291</v>
      </c>
      <c r="T558" s="564">
        <v>1</v>
      </c>
      <c r="U558" s="565">
        <v>4.3739999999999997</v>
      </c>
      <c r="V558" s="565"/>
      <c r="W558" s="566"/>
      <c r="X558" s="564"/>
      <c r="Y558" s="564">
        <v>7</v>
      </c>
      <c r="Z558" s="564">
        <v>25</v>
      </c>
      <c r="AA558" s="565">
        <v>0</v>
      </c>
      <c r="AB558" s="567">
        <v>42583</v>
      </c>
      <c r="AC558" s="568"/>
      <c r="AD558" s="568">
        <v>19.329484931506848</v>
      </c>
      <c r="AE558" s="562" t="s">
        <v>225</v>
      </c>
      <c r="AF558" s="569"/>
      <c r="AG558" s="569"/>
      <c r="AH558" s="569"/>
      <c r="AI558" s="564"/>
      <c r="AJ558" s="566"/>
      <c r="AK558" s="566"/>
      <c r="AL558" s="561"/>
      <c r="AM558" s="561"/>
      <c r="AN558" s="569"/>
      <c r="AO558" s="563"/>
      <c r="AP558" s="392" t="s">
        <v>7048</v>
      </c>
      <c r="AQ558" s="560"/>
      <c r="AR558" s="560" t="s">
        <v>368</v>
      </c>
      <c r="AS558" s="578">
        <v>40667</v>
      </c>
      <c r="AT558" s="566"/>
      <c r="AU558" s="566"/>
      <c r="AV558" s="566"/>
      <c r="AW558" s="566"/>
      <c r="AX558" s="566"/>
      <c r="AY558" s="566"/>
      <c r="AZ558" s="567">
        <v>42722</v>
      </c>
      <c r="BA558" s="561"/>
      <c r="BB558" s="561"/>
      <c r="BC558" s="393" t="b">
        <v>0</v>
      </c>
      <c r="BD558" s="561"/>
      <c r="BE558" s="563"/>
      <c r="BF558" s="394">
        <v>3</v>
      </c>
      <c r="BG558" s="394">
        <v>4</v>
      </c>
      <c r="BH558" s="394">
        <v>5</v>
      </c>
      <c r="BI558" s="394">
        <v>9</v>
      </c>
      <c r="BJ558" s="394">
        <v>10</v>
      </c>
      <c r="BK558" s="394">
        <v>11</v>
      </c>
      <c r="BL558" s="444" t="s">
        <v>6981</v>
      </c>
      <c r="BM558" s="563"/>
      <c r="BN558" s="561"/>
      <c r="BO558" s="561"/>
      <c r="BP558" s="571"/>
      <c r="BQ558" s="572"/>
      <c r="BR558" s="573"/>
      <c r="BS558" s="571">
        <v>2.0385</v>
      </c>
      <c r="BT558" s="564">
        <v>8138</v>
      </c>
      <c r="BU558" s="569">
        <v>0.53749999999999998</v>
      </c>
      <c r="BV558" s="571"/>
      <c r="BW558" s="562" t="s">
        <v>3117</v>
      </c>
      <c r="BX558" s="560" t="s">
        <v>4364</v>
      </c>
      <c r="BY558" s="561"/>
      <c r="BZ558" s="561"/>
      <c r="CA558" s="574"/>
      <c r="CB558" s="572"/>
      <c r="CC558" s="568"/>
      <c r="CD558" s="568"/>
      <c r="CE558" s="568"/>
      <c r="CF558" s="568"/>
      <c r="CG558" s="568"/>
      <c r="CH558" s="568"/>
      <c r="CI558" s="568"/>
      <c r="CJ558" s="568"/>
      <c r="CK558" s="568"/>
      <c r="CL558" s="568">
        <v>4.3739999999999997</v>
      </c>
      <c r="CM558" s="568">
        <v>4.3739999999999997</v>
      </c>
      <c r="CN558" s="568">
        <v>4.3739999999999997</v>
      </c>
      <c r="CO558" s="568">
        <v>4.3739999999999997</v>
      </c>
      <c r="CP558" s="568">
        <v>4.3739999999999997</v>
      </c>
      <c r="CQ558" s="568">
        <v>4.3739999999999997</v>
      </c>
      <c r="CR558" s="568">
        <v>4.3739999999999997</v>
      </c>
      <c r="CS558" s="568"/>
      <c r="CT558" s="568"/>
      <c r="CU558" s="568"/>
      <c r="CV558" s="568"/>
      <c r="CW558" s="568"/>
      <c r="CX558" s="568"/>
      <c r="CY558" s="568"/>
      <c r="CZ558" s="568"/>
      <c r="DA558" s="568"/>
      <c r="DB558" s="568"/>
      <c r="DC558" s="568"/>
      <c r="DD558" s="568"/>
      <c r="DE558" s="561"/>
      <c r="DF558" s="561"/>
      <c r="DG558" s="561"/>
      <c r="DH558" s="561"/>
      <c r="DI558" s="561"/>
      <c r="DJ558" s="561"/>
      <c r="DK558" s="897"/>
    </row>
    <row r="559" spans="1:115" ht="63.75" x14ac:dyDescent="0.2">
      <c r="A559" s="295">
        <v>555</v>
      </c>
      <c r="B559" s="390" t="s">
        <v>513</v>
      </c>
      <c r="C559" s="424" t="s">
        <v>7508</v>
      </c>
      <c r="D559" s="391" t="s">
        <v>5078</v>
      </c>
      <c r="E559" s="704" t="s">
        <v>514</v>
      </c>
      <c r="F559" s="393" t="s">
        <v>1352</v>
      </c>
      <c r="G559" s="393" t="s">
        <v>1673</v>
      </c>
      <c r="H559" s="393" t="s">
        <v>239</v>
      </c>
      <c r="I559" s="392"/>
      <c r="J559" s="392" t="s">
        <v>239</v>
      </c>
      <c r="K559" s="392"/>
      <c r="L559" s="392" t="s">
        <v>515</v>
      </c>
      <c r="M559" s="392" t="s">
        <v>4060</v>
      </c>
      <c r="N559" s="393" t="s">
        <v>44</v>
      </c>
      <c r="O559" s="393" t="s">
        <v>51</v>
      </c>
      <c r="P559" s="393" t="s">
        <v>51</v>
      </c>
      <c r="Q559" s="392" t="s">
        <v>426</v>
      </c>
      <c r="R559" s="392"/>
      <c r="S559" s="392" t="s">
        <v>427</v>
      </c>
      <c r="T559" s="394">
        <v>53</v>
      </c>
      <c r="U559" s="395">
        <v>557.05200000000013</v>
      </c>
      <c r="V559" s="395"/>
      <c r="W559" s="452">
        <v>40521</v>
      </c>
      <c r="X559" s="394">
        <v>28</v>
      </c>
      <c r="Y559" s="394"/>
      <c r="Z559" s="394"/>
      <c r="AA559" s="395"/>
      <c r="AB559" s="453"/>
      <c r="AC559" s="398">
        <v>0.33400000000000002</v>
      </c>
      <c r="AD559" s="398">
        <v>5570.5200000000023</v>
      </c>
      <c r="AE559" s="393" t="s">
        <v>54</v>
      </c>
      <c r="AF559" s="417"/>
      <c r="AG559" s="417"/>
      <c r="AH559" s="417">
        <v>0</v>
      </c>
      <c r="AI559" s="394"/>
      <c r="AJ559" s="453"/>
      <c r="AK559" s="453"/>
      <c r="AL559" s="393"/>
      <c r="AM559" s="393"/>
      <c r="AN559" s="417"/>
      <c r="AO559" s="392"/>
      <c r="AP559" s="392" t="s">
        <v>55</v>
      </c>
      <c r="AQ559" s="392"/>
      <c r="AR559" s="392" t="s">
        <v>249</v>
      </c>
      <c r="AS559" s="479">
        <v>40670</v>
      </c>
      <c r="AT559" s="453"/>
      <c r="AU559" s="453"/>
      <c r="AV559" s="452">
        <v>40934</v>
      </c>
      <c r="AW559" s="452">
        <v>41263</v>
      </c>
      <c r="AX559" s="452">
        <v>41303</v>
      </c>
      <c r="AY559" s="452">
        <v>41205</v>
      </c>
      <c r="AZ559" s="453"/>
      <c r="BA559" s="393"/>
      <c r="BB559" s="393" t="s">
        <v>3116</v>
      </c>
      <c r="BC559" s="393" t="b">
        <v>0</v>
      </c>
      <c r="BD559" s="393" t="s">
        <v>3116</v>
      </c>
      <c r="BE559" s="392"/>
      <c r="BF559" s="394">
        <v>11</v>
      </c>
      <c r="BG559" s="394">
        <v>9</v>
      </c>
      <c r="BH559" s="394">
        <v>4</v>
      </c>
      <c r="BI559" s="394"/>
      <c r="BJ559" s="394"/>
      <c r="BK559" s="394"/>
      <c r="BL559" s="444"/>
      <c r="BM559" s="392"/>
      <c r="BN559" s="393"/>
      <c r="BO559" s="393"/>
      <c r="BP559" s="399"/>
      <c r="BQ559" s="400"/>
      <c r="BR559" s="401"/>
      <c r="BS559" s="399">
        <v>0</v>
      </c>
      <c r="BT559" s="394"/>
      <c r="BU559" s="417"/>
      <c r="BV559" s="399"/>
      <c r="BW559" s="393"/>
      <c r="BX559" s="392"/>
      <c r="BY559" s="393"/>
      <c r="BZ559" s="393"/>
      <c r="CA559" s="441"/>
      <c r="CB559" s="400"/>
      <c r="CC559" s="398"/>
      <c r="CD559" s="398"/>
      <c r="CE559" s="398"/>
      <c r="CF559" s="398"/>
      <c r="CG559" s="398"/>
      <c r="CH559" s="398"/>
      <c r="CI559" s="398"/>
      <c r="CJ559" s="398"/>
      <c r="CK559" s="398"/>
      <c r="CL559" s="398"/>
      <c r="CM559" s="398"/>
      <c r="CN559" s="398"/>
      <c r="CO559" s="398"/>
      <c r="CP559" s="398"/>
      <c r="CQ559" s="398"/>
      <c r="CR559" s="398"/>
      <c r="CS559" s="398"/>
      <c r="CT559" s="398"/>
      <c r="CU559" s="398"/>
      <c r="CV559" s="398"/>
      <c r="CW559" s="398"/>
      <c r="CX559" s="398"/>
      <c r="CY559" s="398"/>
      <c r="CZ559" s="398"/>
      <c r="DA559" s="398"/>
      <c r="DB559" s="398"/>
      <c r="DC559" s="398"/>
      <c r="DD559" s="398"/>
      <c r="DE559" s="393"/>
      <c r="DF559" s="393"/>
      <c r="DG559" s="393"/>
      <c r="DH559" s="393"/>
      <c r="DI559" s="393"/>
      <c r="DJ559" s="393"/>
      <c r="DK559" s="896" t="s">
        <v>9701</v>
      </c>
    </row>
    <row r="560" spans="1:115" ht="25.5" x14ac:dyDescent="0.2">
      <c r="A560" s="295">
        <v>556</v>
      </c>
      <c r="B560" s="390" t="s">
        <v>2680</v>
      </c>
      <c r="C560" s="390"/>
      <c r="D560" s="391" t="s">
        <v>4461</v>
      </c>
      <c r="E560" s="704" t="s">
        <v>516</v>
      </c>
      <c r="F560" s="393" t="s">
        <v>1352</v>
      </c>
      <c r="G560" s="393" t="s">
        <v>1673</v>
      </c>
      <c r="H560" s="393" t="s">
        <v>239</v>
      </c>
      <c r="I560" s="392"/>
      <c r="J560" s="392"/>
      <c r="K560" s="392" t="s">
        <v>517</v>
      </c>
      <c r="L560" s="392" t="s">
        <v>515</v>
      </c>
      <c r="M560" s="392"/>
      <c r="N560" s="393" t="s">
        <v>44</v>
      </c>
      <c r="O560" s="393" t="s">
        <v>51</v>
      </c>
      <c r="P560" s="393" t="s">
        <v>51</v>
      </c>
      <c r="Q560" s="392" t="s">
        <v>426</v>
      </c>
      <c r="R560" s="392" t="s">
        <v>4061</v>
      </c>
      <c r="S560" s="392" t="s">
        <v>427</v>
      </c>
      <c r="T560" s="394">
        <v>1</v>
      </c>
      <c r="U560" s="395">
        <v>4.0110000000000001</v>
      </c>
      <c r="V560" s="395"/>
      <c r="W560" s="453"/>
      <c r="X560" s="394"/>
      <c r="Y560" s="394">
        <v>10</v>
      </c>
      <c r="Z560" s="394">
        <v>8</v>
      </c>
      <c r="AA560" s="395">
        <v>-0.5</v>
      </c>
      <c r="AB560" s="452">
        <v>41243</v>
      </c>
      <c r="AC560" s="398">
        <v>0.33400000000000002</v>
      </c>
      <c r="AD560" s="398">
        <v>40.11</v>
      </c>
      <c r="AE560" s="393" t="s">
        <v>54</v>
      </c>
      <c r="AF560" s="417"/>
      <c r="AG560" s="417"/>
      <c r="AH560" s="417"/>
      <c r="AI560" s="394"/>
      <c r="AJ560" s="453"/>
      <c r="AK560" s="453"/>
      <c r="AL560" s="393"/>
      <c r="AM560" s="393"/>
      <c r="AN560" s="417"/>
      <c r="AO560" s="392"/>
      <c r="AP560" s="392" t="s">
        <v>55</v>
      </c>
      <c r="AQ560" s="392"/>
      <c r="AR560" s="392" t="s">
        <v>249</v>
      </c>
      <c r="AS560" s="479">
        <v>40670</v>
      </c>
      <c r="AT560" s="453"/>
      <c r="AU560" s="453"/>
      <c r="AV560" s="453"/>
      <c r="AW560" s="453"/>
      <c r="AX560" s="453"/>
      <c r="AY560" s="453"/>
      <c r="AZ560" s="452">
        <v>41205</v>
      </c>
      <c r="BA560" s="393"/>
      <c r="BB560" s="393"/>
      <c r="BC560" s="393" t="b">
        <v>0</v>
      </c>
      <c r="BD560" s="393"/>
      <c r="BE560" s="392"/>
      <c r="BF560" s="394">
        <v>11</v>
      </c>
      <c r="BG560" s="394">
        <v>9</v>
      </c>
      <c r="BH560" s="394">
        <v>4</v>
      </c>
      <c r="BI560" s="394"/>
      <c r="BJ560" s="394"/>
      <c r="BK560" s="394"/>
      <c r="BL560" s="444" t="s">
        <v>6981</v>
      </c>
      <c r="BM560" s="392"/>
      <c r="BN560" s="393"/>
      <c r="BO560" s="393"/>
      <c r="BP560" s="399"/>
      <c r="BQ560" s="400"/>
      <c r="BR560" s="401"/>
      <c r="BS560" s="399"/>
      <c r="BT560" s="394"/>
      <c r="BU560" s="417">
        <v>0.48</v>
      </c>
      <c r="BV560" s="399">
        <v>15.04</v>
      </c>
      <c r="BW560" s="393" t="s">
        <v>3165</v>
      </c>
      <c r="BX560" s="392" t="s">
        <v>3714</v>
      </c>
      <c r="BY560" s="393"/>
      <c r="BZ560" s="393"/>
      <c r="CA560" s="441" t="s">
        <v>1662</v>
      </c>
      <c r="CB560" s="400">
        <v>3</v>
      </c>
      <c r="CC560" s="398"/>
      <c r="CD560" s="398"/>
      <c r="CE560" s="398"/>
      <c r="CF560" s="398"/>
      <c r="CG560" s="398"/>
      <c r="CH560" s="398">
        <v>6.6479999999999997</v>
      </c>
      <c r="CI560" s="398">
        <v>6.1609999999999996</v>
      </c>
      <c r="CJ560" s="398">
        <v>4.0110000000000001</v>
      </c>
      <c r="CK560" s="398">
        <v>4.0110000000000001</v>
      </c>
      <c r="CL560" s="398">
        <v>4.0110000000000001</v>
      </c>
      <c r="CM560" s="398">
        <v>4.0110000000000001</v>
      </c>
      <c r="CN560" s="398">
        <v>4.0110000000000001</v>
      </c>
      <c r="CO560" s="398">
        <v>4.0110000000000001</v>
      </c>
      <c r="CP560" s="398">
        <v>4.0110000000000001</v>
      </c>
      <c r="CQ560" s="398">
        <v>3.677</v>
      </c>
      <c r="CR560" s="398"/>
      <c r="CS560" s="398"/>
      <c r="CT560" s="398"/>
      <c r="CU560" s="398"/>
      <c r="CV560" s="398"/>
      <c r="CW560" s="398"/>
      <c r="CX560" s="398"/>
      <c r="CY560" s="398"/>
      <c r="CZ560" s="398"/>
      <c r="DA560" s="398"/>
      <c r="DB560" s="398"/>
      <c r="DC560" s="398"/>
      <c r="DD560" s="398"/>
      <c r="DE560" s="393"/>
      <c r="DF560" s="393"/>
      <c r="DG560" s="393"/>
      <c r="DH560" s="393"/>
      <c r="DI560" s="393"/>
      <c r="DJ560" s="393"/>
      <c r="DK560" s="897"/>
    </row>
    <row r="561" spans="1:115" ht="25.5" x14ac:dyDescent="0.2">
      <c r="A561" s="295">
        <v>557</v>
      </c>
      <c r="B561" s="390" t="s">
        <v>6476</v>
      </c>
      <c r="C561" s="390"/>
      <c r="D561" s="391" t="s">
        <v>6247</v>
      </c>
      <c r="E561" s="704" t="s">
        <v>6248</v>
      </c>
      <c r="F561" s="393" t="s">
        <v>1352</v>
      </c>
      <c r="G561" s="393" t="s">
        <v>1673</v>
      </c>
      <c r="H561" s="393" t="s">
        <v>239</v>
      </c>
      <c r="I561" s="392"/>
      <c r="J561" s="392"/>
      <c r="K561" s="392" t="s">
        <v>6249</v>
      </c>
      <c r="L561" s="392" t="s">
        <v>515</v>
      </c>
      <c r="M561" s="392"/>
      <c r="N561" s="393" t="s">
        <v>44</v>
      </c>
      <c r="O561" s="393" t="s">
        <v>51</v>
      </c>
      <c r="P561" s="393" t="s">
        <v>51</v>
      </c>
      <c r="Q561" s="392" t="s">
        <v>426</v>
      </c>
      <c r="R561" s="392" t="s">
        <v>6250</v>
      </c>
      <c r="S561" s="392" t="s">
        <v>427</v>
      </c>
      <c r="T561" s="394">
        <v>1</v>
      </c>
      <c r="U561" s="395">
        <v>12.679</v>
      </c>
      <c r="V561" s="395"/>
      <c r="W561" s="453"/>
      <c r="X561" s="394"/>
      <c r="Y561" s="394">
        <v>10</v>
      </c>
      <c r="Z561" s="394">
        <v>8</v>
      </c>
      <c r="AA561" s="395">
        <v>-1.554</v>
      </c>
      <c r="AB561" s="452">
        <v>41760</v>
      </c>
      <c r="AC561" s="398"/>
      <c r="AD561" s="398">
        <v>126.79</v>
      </c>
      <c r="AE561" s="393" t="s">
        <v>54</v>
      </c>
      <c r="AF561" s="417"/>
      <c r="AG561" s="417"/>
      <c r="AH561" s="417"/>
      <c r="AI561" s="394"/>
      <c r="AJ561" s="453"/>
      <c r="AK561" s="453"/>
      <c r="AL561" s="393"/>
      <c r="AM561" s="393"/>
      <c r="AN561" s="417"/>
      <c r="AO561" s="392"/>
      <c r="AP561" s="392"/>
      <c r="AQ561" s="392"/>
      <c r="AR561" s="392" t="s">
        <v>249</v>
      </c>
      <c r="AS561" s="479">
        <v>40670</v>
      </c>
      <c r="AT561" s="453"/>
      <c r="AU561" s="453"/>
      <c r="AV561" s="453"/>
      <c r="AW561" s="453"/>
      <c r="AX561" s="453"/>
      <c r="AY561" s="453"/>
      <c r="AZ561" s="452">
        <v>41893</v>
      </c>
      <c r="BA561" s="393"/>
      <c r="BB561" s="393"/>
      <c r="BC561" s="393" t="b">
        <v>0</v>
      </c>
      <c r="BD561" s="393"/>
      <c r="BE561" s="392"/>
      <c r="BF561" s="394">
        <v>11</v>
      </c>
      <c r="BG561" s="394">
        <v>9</v>
      </c>
      <c r="BH561" s="394">
        <v>4</v>
      </c>
      <c r="BI561" s="394"/>
      <c r="BJ561" s="394"/>
      <c r="BK561" s="394"/>
      <c r="BL561" s="444" t="s">
        <v>6981</v>
      </c>
      <c r="BM561" s="392"/>
      <c r="BN561" s="393"/>
      <c r="BO561" s="393"/>
      <c r="BP561" s="399"/>
      <c r="BQ561" s="400"/>
      <c r="BR561" s="401"/>
      <c r="BS561" s="399"/>
      <c r="BT561" s="394"/>
      <c r="BU561" s="417">
        <v>0.48499999999999999</v>
      </c>
      <c r="BV561" s="399">
        <v>47.52</v>
      </c>
      <c r="BW561" s="393" t="s">
        <v>3165</v>
      </c>
      <c r="BX561" s="392" t="s">
        <v>3714</v>
      </c>
      <c r="BY561" s="393"/>
      <c r="BZ561" s="393"/>
      <c r="CA561" s="441"/>
      <c r="CB561" s="400"/>
      <c r="CC561" s="398"/>
      <c r="CD561" s="398"/>
      <c r="CE561" s="398"/>
      <c r="CF561" s="398"/>
      <c r="CG561" s="398"/>
      <c r="CH561" s="398"/>
      <c r="CI561" s="398"/>
      <c r="CJ561" s="398">
        <v>22.774999999999999</v>
      </c>
      <c r="CK561" s="398">
        <v>21.221</v>
      </c>
      <c r="CL561" s="398">
        <v>19.667000000000002</v>
      </c>
      <c r="CM561" s="398">
        <v>18.113</v>
      </c>
      <c r="CN561" s="398">
        <v>16.559000000000001</v>
      </c>
      <c r="CO561" s="398">
        <v>15.005000000000001</v>
      </c>
      <c r="CP561" s="398">
        <v>13.451000000000001</v>
      </c>
      <c r="CQ561" s="398"/>
      <c r="CR561" s="398"/>
      <c r="CS561" s="398"/>
      <c r="CT561" s="398"/>
      <c r="CU561" s="398"/>
      <c r="CV561" s="398"/>
      <c r="CW561" s="398"/>
      <c r="CX561" s="398"/>
      <c r="CY561" s="398"/>
      <c r="CZ561" s="398"/>
      <c r="DA561" s="398"/>
      <c r="DB561" s="398"/>
      <c r="DC561" s="398"/>
      <c r="DD561" s="398"/>
      <c r="DE561" s="393"/>
      <c r="DF561" s="393"/>
      <c r="DG561" s="393"/>
      <c r="DH561" s="393"/>
      <c r="DI561" s="393"/>
      <c r="DJ561" s="393"/>
      <c r="DK561" s="897"/>
    </row>
    <row r="562" spans="1:115" ht="25.5" x14ac:dyDescent="0.2">
      <c r="A562" s="295">
        <v>558</v>
      </c>
      <c r="B562" s="390" t="s">
        <v>6477</v>
      </c>
      <c r="C562" s="390"/>
      <c r="D562" s="391" t="s">
        <v>6251</v>
      </c>
      <c r="E562" s="704" t="s">
        <v>6252</v>
      </c>
      <c r="F562" s="393" t="s">
        <v>1352</v>
      </c>
      <c r="G562" s="393" t="s">
        <v>1673</v>
      </c>
      <c r="H562" s="393" t="s">
        <v>239</v>
      </c>
      <c r="I562" s="392"/>
      <c r="J562" s="392"/>
      <c r="K562" s="392" t="s">
        <v>6249</v>
      </c>
      <c r="L562" s="392" t="s">
        <v>515</v>
      </c>
      <c r="M562" s="392"/>
      <c r="N562" s="393" t="s">
        <v>44</v>
      </c>
      <c r="O562" s="393" t="s">
        <v>51</v>
      </c>
      <c r="P562" s="393" t="s">
        <v>51</v>
      </c>
      <c r="Q562" s="392" t="s">
        <v>426</v>
      </c>
      <c r="R562" s="392" t="s">
        <v>6250</v>
      </c>
      <c r="S562" s="392" t="s">
        <v>427</v>
      </c>
      <c r="T562" s="394">
        <v>1</v>
      </c>
      <c r="U562" s="395">
        <v>12.679</v>
      </c>
      <c r="V562" s="395"/>
      <c r="W562" s="453"/>
      <c r="X562" s="394"/>
      <c r="Y562" s="394">
        <v>10</v>
      </c>
      <c r="Z562" s="394">
        <v>8</v>
      </c>
      <c r="AA562" s="395">
        <v>-1.554</v>
      </c>
      <c r="AB562" s="452">
        <v>41760</v>
      </c>
      <c r="AC562" s="398"/>
      <c r="AD562" s="398">
        <v>126.79</v>
      </c>
      <c r="AE562" s="393" t="s">
        <v>54</v>
      </c>
      <c r="AF562" s="417"/>
      <c r="AG562" s="417"/>
      <c r="AH562" s="417"/>
      <c r="AI562" s="394"/>
      <c r="AJ562" s="453"/>
      <c r="AK562" s="453"/>
      <c r="AL562" s="393"/>
      <c r="AM562" s="393"/>
      <c r="AN562" s="417"/>
      <c r="AO562" s="392"/>
      <c r="AP562" s="392"/>
      <c r="AQ562" s="392"/>
      <c r="AR562" s="392" t="s">
        <v>249</v>
      </c>
      <c r="AS562" s="479">
        <v>40670</v>
      </c>
      <c r="AT562" s="453"/>
      <c r="AU562" s="453"/>
      <c r="AV562" s="453"/>
      <c r="AW562" s="453"/>
      <c r="AX562" s="453"/>
      <c r="AY562" s="453"/>
      <c r="AZ562" s="452">
        <v>41893</v>
      </c>
      <c r="BA562" s="393"/>
      <c r="BB562" s="393"/>
      <c r="BC562" s="393" t="b">
        <v>0</v>
      </c>
      <c r="BD562" s="393"/>
      <c r="BE562" s="392"/>
      <c r="BF562" s="394">
        <v>11</v>
      </c>
      <c r="BG562" s="394">
        <v>9</v>
      </c>
      <c r="BH562" s="394">
        <v>4</v>
      </c>
      <c r="BI562" s="394"/>
      <c r="BJ562" s="394"/>
      <c r="BK562" s="394"/>
      <c r="BL562" s="444" t="s">
        <v>6981</v>
      </c>
      <c r="BM562" s="392"/>
      <c r="BN562" s="393"/>
      <c r="BO562" s="393"/>
      <c r="BP562" s="399"/>
      <c r="BQ562" s="400"/>
      <c r="BR562" s="401"/>
      <c r="BS562" s="399"/>
      <c r="BT562" s="394"/>
      <c r="BU562" s="417">
        <v>0.48499999999999999</v>
      </c>
      <c r="BV562" s="399">
        <v>47.52</v>
      </c>
      <c r="BW562" s="393" t="s">
        <v>3165</v>
      </c>
      <c r="BX562" s="392" t="s">
        <v>3714</v>
      </c>
      <c r="BY562" s="393"/>
      <c r="BZ562" s="393"/>
      <c r="CA562" s="441"/>
      <c r="CB562" s="400"/>
      <c r="CC562" s="398"/>
      <c r="CD562" s="398"/>
      <c r="CE562" s="398"/>
      <c r="CF562" s="398"/>
      <c r="CG562" s="398"/>
      <c r="CH562" s="398"/>
      <c r="CI562" s="398"/>
      <c r="CJ562" s="398">
        <v>22.774999999999999</v>
      </c>
      <c r="CK562" s="398">
        <v>21.221</v>
      </c>
      <c r="CL562" s="398">
        <v>19.667000000000002</v>
      </c>
      <c r="CM562" s="398">
        <v>18.113</v>
      </c>
      <c r="CN562" s="398">
        <v>16.559000000000001</v>
      </c>
      <c r="CO562" s="398">
        <v>15.005000000000001</v>
      </c>
      <c r="CP562" s="398">
        <v>13.451000000000001</v>
      </c>
      <c r="CQ562" s="398"/>
      <c r="CR562" s="398"/>
      <c r="CS562" s="398"/>
      <c r="CT562" s="398"/>
      <c r="CU562" s="398"/>
      <c r="CV562" s="398"/>
      <c r="CW562" s="398"/>
      <c r="CX562" s="398"/>
      <c r="CY562" s="398"/>
      <c r="CZ562" s="398"/>
      <c r="DA562" s="398"/>
      <c r="DB562" s="398"/>
      <c r="DC562" s="398"/>
      <c r="DD562" s="398"/>
      <c r="DE562" s="393"/>
      <c r="DF562" s="393"/>
      <c r="DG562" s="393"/>
      <c r="DH562" s="393"/>
      <c r="DI562" s="393"/>
      <c r="DJ562" s="393"/>
      <c r="DK562" s="897"/>
    </row>
    <row r="563" spans="1:115" ht="25.5" x14ac:dyDescent="0.2">
      <c r="A563" s="295">
        <v>559</v>
      </c>
      <c r="B563" s="390" t="s">
        <v>6478</v>
      </c>
      <c r="C563" s="390"/>
      <c r="D563" s="391" t="s">
        <v>6253</v>
      </c>
      <c r="E563" s="704" t="s">
        <v>6254</v>
      </c>
      <c r="F563" s="393" t="s">
        <v>1352</v>
      </c>
      <c r="G563" s="393" t="s">
        <v>1673</v>
      </c>
      <c r="H563" s="393" t="s">
        <v>239</v>
      </c>
      <c r="I563" s="392"/>
      <c r="J563" s="392"/>
      <c r="K563" s="392" t="s">
        <v>6255</v>
      </c>
      <c r="L563" s="392" t="s">
        <v>515</v>
      </c>
      <c r="M563" s="392"/>
      <c r="N563" s="393" t="s">
        <v>44</v>
      </c>
      <c r="O563" s="393" t="s">
        <v>51</v>
      </c>
      <c r="P563" s="393" t="s">
        <v>51</v>
      </c>
      <c r="Q563" s="392" t="s">
        <v>426</v>
      </c>
      <c r="R563" s="392" t="s">
        <v>6256</v>
      </c>
      <c r="S563" s="392" t="s">
        <v>427</v>
      </c>
      <c r="T563" s="394">
        <v>1</v>
      </c>
      <c r="U563" s="395">
        <v>13.032999999999999</v>
      </c>
      <c r="V563" s="395"/>
      <c r="W563" s="453"/>
      <c r="X563" s="394"/>
      <c r="Y563" s="394">
        <v>10</v>
      </c>
      <c r="Z563" s="394">
        <v>8</v>
      </c>
      <c r="AA563" s="395">
        <v>-1.597</v>
      </c>
      <c r="AB563" s="452">
        <v>41760</v>
      </c>
      <c r="AC563" s="398"/>
      <c r="AD563" s="398">
        <v>130.32999999999998</v>
      </c>
      <c r="AE563" s="393" t="s">
        <v>54</v>
      </c>
      <c r="AF563" s="417"/>
      <c r="AG563" s="417"/>
      <c r="AH563" s="417"/>
      <c r="AI563" s="394"/>
      <c r="AJ563" s="453"/>
      <c r="AK563" s="453"/>
      <c r="AL563" s="393"/>
      <c r="AM563" s="393"/>
      <c r="AN563" s="417"/>
      <c r="AO563" s="392"/>
      <c r="AP563" s="392"/>
      <c r="AQ563" s="392"/>
      <c r="AR563" s="392" t="s">
        <v>249</v>
      </c>
      <c r="AS563" s="479">
        <v>40670</v>
      </c>
      <c r="AT563" s="453"/>
      <c r="AU563" s="453"/>
      <c r="AV563" s="453"/>
      <c r="AW563" s="453"/>
      <c r="AX563" s="453"/>
      <c r="AY563" s="453"/>
      <c r="AZ563" s="452">
        <v>41893</v>
      </c>
      <c r="BA563" s="393"/>
      <c r="BB563" s="393"/>
      <c r="BC563" s="393" t="b">
        <v>0</v>
      </c>
      <c r="BD563" s="393"/>
      <c r="BE563" s="392"/>
      <c r="BF563" s="394">
        <v>11</v>
      </c>
      <c r="BG563" s="394">
        <v>9</v>
      </c>
      <c r="BH563" s="394">
        <v>4</v>
      </c>
      <c r="BI563" s="394"/>
      <c r="BJ563" s="394"/>
      <c r="BK563" s="394"/>
      <c r="BL563" s="444" t="s">
        <v>6981</v>
      </c>
      <c r="BM563" s="392"/>
      <c r="BN563" s="393"/>
      <c r="BO563" s="393"/>
      <c r="BP563" s="399"/>
      <c r="BQ563" s="400"/>
      <c r="BR563" s="401"/>
      <c r="BS563" s="399"/>
      <c r="BT563" s="394"/>
      <c r="BU563" s="417">
        <v>0.48499999999999999</v>
      </c>
      <c r="BV563" s="399">
        <v>48.85</v>
      </c>
      <c r="BW563" s="393" t="s">
        <v>3165</v>
      </c>
      <c r="BX563" s="392" t="s">
        <v>3714</v>
      </c>
      <c r="BY563" s="393"/>
      <c r="BZ563" s="393"/>
      <c r="CA563" s="441"/>
      <c r="CB563" s="400"/>
      <c r="CC563" s="398"/>
      <c r="CD563" s="398"/>
      <c r="CE563" s="398"/>
      <c r="CF563" s="398"/>
      <c r="CG563" s="398"/>
      <c r="CH563" s="398"/>
      <c r="CI563" s="398"/>
      <c r="CJ563" s="398">
        <v>23.41</v>
      </c>
      <c r="CK563" s="398">
        <v>21.812999999999999</v>
      </c>
      <c r="CL563" s="398">
        <v>20.215</v>
      </c>
      <c r="CM563" s="398">
        <v>18.617999999999999</v>
      </c>
      <c r="CN563" s="398">
        <v>17.021000000000001</v>
      </c>
      <c r="CO563" s="398">
        <v>15.423</v>
      </c>
      <c r="CP563" s="398">
        <v>13.826000000000001</v>
      </c>
      <c r="CQ563" s="398"/>
      <c r="CR563" s="398"/>
      <c r="CS563" s="398"/>
      <c r="CT563" s="398"/>
      <c r="CU563" s="398"/>
      <c r="CV563" s="398"/>
      <c r="CW563" s="398"/>
      <c r="CX563" s="398"/>
      <c r="CY563" s="398"/>
      <c r="CZ563" s="398"/>
      <c r="DA563" s="398"/>
      <c r="DB563" s="398"/>
      <c r="DC563" s="398"/>
      <c r="DD563" s="398"/>
      <c r="DE563" s="393"/>
      <c r="DF563" s="393"/>
      <c r="DG563" s="393"/>
      <c r="DH563" s="393"/>
      <c r="DI563" s="393"/>
      <c r="DJ563" s="393"/>
      <c r="DK563" s="897"/>
    </row>
    <row r="564" spans="1:115" ht="25.5" x14ac:dyDescent="0.2">
      <c r="A564" s="295">
        <v>560</v>
      </c>
      <c r="B564" s="390" t="s">
        <v>6479</v>
      </c>
      <c r="C564" s="390"/>
      <c r="D564" s="391" t="s">
        <v>6257</v>
      </c>
      <c r="E564" s="704" t="s">
        <v>6258</v>
      </c>
      <c r="F564" s="393" t="s">
        <v>1352</v>
      </c>
      <c r="G564" s="393" t="s">
        <v>1673</v>
      </c>
      <c r="H564" s="393" t="s">
        <v>239</v>
      </c>
      <c r="I564" s="392"/>
      <c r="J564" s="392"/>
      <c r="K564" s="392" t="s">
        <v>6255</v>
      </c>
      <c r="L564" s="392" t="s">
        <v>515</v>
      </c>
      <c r="M564" s="392"/>
      <c r="N564" s="393" t="s">
        <v>44</v>
      </c>
      <c r="O564" s="393" t="s">
        <v>51</v>
      </c>
      <c r="P564" s="393" t="s">
        <v>51</v>
      </c>
      <c r="Q564" s="392" t="s">
        <v>426</v>
      </c>
      <c r="R564" s="392" t="s">
        <v>6259</v>
      </c>
      <c r="S564" s="392" t="s">
        <v>427</v>
      </c>
      <c r="T564" s="394">
        <v>1</v>
      </c>
      <c r="U564" s="395">
        <v>9.4269999999999996</v>
      </c>
      <c r="V564" s="395"/>
      <c r="W564" s="453"/>
      <c r="X564" s="394"/>
      <c r="Y564" s="394">
        <v>10</v>
      </c>
      <c r="Z564" s="394">
        <v>8</v>
      </c>
      <c r="AA564" s="395">
        <v>-1.155</v>
      </c>
      <c r="AB564" s="452">
        <v>41760</v>
      </c>
      <c r="AC564" s="398"/>
      <c r="AD564" s="398">
        <v>94.27</v>
      </c>
      <c r="AE564" s="393" t="s">
        <v>54</v>
      </c>
      <c r="AF564" s="417"/>
      <c r="AG564" s="417"/>
      <c r="AH564" s="417"/>
      <c r="AI564" s="394"/>
      <c r="AJ564" s="453"/>
      <c r="AK564" s="453"/>
      <c r="AL564" s="393"/>
      <c r="AM564" s="393"/>
      <c r="AN564" s="417"/>
      <c r="AO564" s="392"/>
      <c r="AP564" s="392"/>
      <c r="AQ564" s="392"/>
      <c r="AR564" s="392" t="s">
        <v>249</v>
      </c>
      <c r="AS564" s="479">
        <v>40670</v>
      </c>
      <c r="AT564" s="453"/>
      <c r="AU564" s="453"/>
      <c r="AV564" s="453"/>
      <c r="AW564" s="453"/>
      <c r="AX564" s="453"/>
      <c r="AY564" s="453"/>
      <c r="AZ564" s="452">
        <v>41893</v>
      </c>
      <c r="BA564" s="393"/>
      <c r="BB564" s="393"/>
      <c r="BC564" s="393" t="b">
        <v>0</v>
      </c>
      <c r="BD564" s="393"/>
      <c r="BE564" s="392"/>
      <c r="BF564" s="394">
        <v>11</v>
      </c>
      <c r="BG564" s="394">
        <v>9</v>
      </c>
      <c r="BH564" s="394">
        <v>4</v>
      </c>
      <c r="BI564" s="394"/>
      <c r="BJ564" s="394"/>
      <c r="BK564" s="394"/>
      <c r="BL564" s="444" t="s">
        <v>6981</v>
      </c>
      <c r="BM564" s="392"/>
      <c r="BN564" s="393"/>
      <c r="BO564" s="393"/>
      <c r="BP564" s="399"/>
      <c r="BQ564" s="400"/>
      <c r="BR564" s="401"/>
      <c r="BS564" s="399"/>
      <c r="BT564" s="394"/>
      <c r="BU564" s="417">
        <v>0.48499999999999999</v>
      </c>
      <c r="BV564" s="399">
        <v>35.33</v>
      </c>
      <c r="BW564" s="393" t="s">
        <v>3165</v>
      </c>
      <c r="BX564" s="392" t="s">
        <v>3714</v>
      </c>
      <c r="BY564" s="393"/>
      <c r="BZ564" s="393"/>
      <c r="CA564" s="441"/>
      <c r="CB564" s="400"/>
      <c r="CC564" s="398"/>
      <c r="CD564" s="398"/>
      <c r="CE564" s="398"/>
      <c r="CF564" s="398"/>
      <c r="CG564" s="398"/>
      <c r="CH564" s="398"/>
      <c r="CI564" s="398"/>
      <c r="CJ564" s="398">
        <v>16.934000000000001</v>
      </c>
      <c r="CK564" s="398">
        <v>15.778</v>
      </c>
      <c r="CL564" s="398">
        <v>14.622999999999999</v>
      </c>
      <c r="CM564" s="398">
        <v>13.467000000000001</v>
      </c>
      <c r="CN564" s="398">
        <v>12.311999999999999</v>
      </c>
      <c r="CO564" s="398">
        <v>11.157</v>
      </c>
      <c r="CP564" s="398">
        <v>10.000999999999999</v>
      </c>
      <c r="CQ564" s="398"/>
      <c r="CR564" s="398"/>
      <c r="CS564" s="398"/>
      <c r="CT564" s="398"/>
      <c r="CU564" s="398"/>
      <c r="CV564" s="398"/>
      <c r="CW564" s="398"/>
      <c r="CX564" s="398"/>
      <c r="CY564" s="398"/>
      <c r="CZ564" s="398"/>
      <c r="DA564" s="398"/>
      <c r="DB564" s="398"/>
      <c r="DC564" s="398"/>
      <c r="DD564" s="398"/>
      <c r="DE564" s="393"/>
      <c r="DF564" s="393"/>
      <c r="DG564" s="393"/>
      <c r="DH564" s="393"/>
      <c r="DI564" s="393"/>
      <c r="DJ564" s="393"/>
      <c r="DK564" s="897"/>
    </row>
    <row r="565" spans="1:115" ht="25.5" x14ac:dyDescent="0.2">
      <c r="A565" s="295">
        <v>561</v>
      </c>
      <c r="B565" s="390" t="s">
        <v>6480</v>
      </c>
      <c r="C565" s="390"/>
      <c r="D565" s="391" t="s">
        <v>6260</v>
      </c>
      <c r="E565" s="704" t="s">
        <v>6261</v>
      </c>
      <c r="F565" s="393" t="s">
        <v>1352</v>
      </c>
      <c r="G565" s="393" t="s">
        <v>1673</v>
      </c>
      <c r="H565" s="393" t="s">
        <v>239</v>
      </c>
      <c r="I565" s="392"/>
      <c r="J565" s="392"/>
      <c r="K565" s="392" t="s">
        <v>6262</v>
      </c>
      <c r="L565" s="392" t="s">
        <v>515</v>
      </c>
      <c r="M565" s="392"/>
      <c r="N565" s="393" t="s">
        <v>44</v>
      </c>
      <c r="O565" s="393" t="s">
        <v>51</v>
      </c>
      <c r="P565" s="393" t="s">
        <v>51</v>
      </c>
      <c r="Q565" s="392" t="s">
        <v>426</v>
      </c>
      <c r="R565" s="392" t="s">
        <v>6263</v>
      </c>
      <c r="S565" s="392" t="s">
        <v>427</v>
      </c>
      <c r="T565" s="394">
        <v>1</v>
      </c>
      <c r="U565" s="395">
        <v>13.041</v>
      </c>
      <c r="V565" s="395"/>
      <c r="W565" s="453"/>
      <c r="X565" s="394"/>
      <c r="Y565" s="394">
        <v>10</v>
      </c>
      <c r="Z565" s="394">
        <v>8</v>
      </c>
      <c r="AA565" s="395">
        <v>-1.5980000000000001</v>
      </c>
      <c r="AB565" s="452">
        <v>41760</v>
      </c>
      <c r="AC565" s="398"/>
      <c r="AD565" s="398">
        <v>130.41</v>
      </c>
      <c r="AE565" s="393" t="s">
        <v>54</v>
      </c>
      <c r="AF565" s="417"/>
      <c r="AG565" s="417"/>
      <c r="AH565" s="417"/>
      <c r="AI565" s="394"/>
      <c r="AJ565" s="453"/>
      <c r="AK565" s="453"/>
      <c r="AL565" s="393"/>
      <c r="AM565" s="393"/>
      <c r="AN565" s="417"/>
      <c r="AO565" s="392"/>
      <c r="AP565" s="392"/>
      <c r="AQ565" s="392"/>
      <c r="AR565" s="392" t="s">
        <v>249</v>
      </c>
      <c r="AS565" s="479">
        <v>40670</v>
      </c>
      <c r="AT565" s="453"/>
      <c r="AU565" s="453"/>
      <c r="AV565" s="453"/>
      <c r="AW565" s="453"/>
      <c r="AX565" s="453"/>
      <c r="AY565" s="453"/>
      <c r="AZ565" s="452">
        <v>41893</v>
      </c>
      <c r="BA565" s="393"/>
      <c r="BB565" s="393"/>
      <c r="BC565" s="393" t="b">
        <v>0</v>
      </c>
      <c r="BD565" s="393"/>
      <c r="BE565" s="392"/>
      <c r="BF565" s="394">
        <v>11</v>
      </c>
      <c r="BG565" s="394">
        <v>9</v>
      </c>
      <c r="BH565" s="394">
        <v>4</v>
      </c>
      <c r="BI565" s="394"/>
      <c r="BJ565" s="394"/>
      <c r="BK565" s="394"/>
      <c r="BL565" s="444" t="s">
        <v>6981</v>
      </c>
      <c r="BM565" s="392"/>
      <c r="BN565" s="393"/>
      <c r="BO565" s="393"/>
      <c r="BP565" s="399"/>
      <c r="BQ565" s="400"/>
      <c r="BR565" s="401"/>
      <c r="BS565" s="399"/>
      <c r="BT565" s="394"/>
      <c r="BU565" s="417">
        <v>0.48499999999999999</v>
      </c>
      <c r="BV565" s="399">
        <v>48.88</v>
      </c>
      <c r="BW565" s="393" t="s">
        <v>3165</v>
      </c>
      <c r="BX565" s="392" t="s">
        <v>3714</v>
      </c>
      <c r="BY565" s="393"/>
      <c r="BZ565" s="393"/>
      <c r="CA565" s="441"/>
      <c r="CB565" s="400"/>
      <c r="CC565" s="398"/>
      <c r="CD565" s="398"/>
      <c r="CE565" s="398"/>
      <c r="CF565" s="398"/>
      <c r="CG565" s="398"/>
      <c r="CH565" s="398"/>
      <c r="CI565" s="398"/>
      <c r="CJ565" s="398">
        <v>23.425999999999998</v>
      </c>
      <c r="CK565" s="398">
        <v>21.827000000000002</v>
      </c>
      <c r="CL565" s="398">
        <v>20.228999999999999</v>
      </c>
      <c r="CM565" s="398">
        <v>18.63</v>
      </c>
      <c r="CN565" s="398">
        <v>17.032</v>
      </c>
      <c r="CO565" s="398">
        <v>15.433999999999999</v>
      </c>
      <c r="CP565" s="398">
        <v>13.835000000000001</v>
      </c>
      <c r="CQ565" s="398"/>
      <c r="CR565" s="398"/>
      <c r="CS565" s="398"/>
      <c r="CT565" s="398"/>
      <c r="CU565" s="398"/>
      <c r="CV565" s="398"/>
      <c r="CW565" s="398"/>
      <c r="CX565" s="398"/>
      <c r="CY565" s="398"/>
      <c r="CZ565" s="398"/>
      <c r="DA565" s="398"/>
      <c r="DB565" s="398"/>
      <c r="DC565" s="398"/>
      <c r="DD565" s="398"/>
      <c r="DE565" s="393"/>
      <c r="DF565" s="393"/>
      <c r="DG565" s="393"/>
      <c r="DH565" s="393"/>
      <c r="DI565" s="393"/>
      <c r="DJ565" s="393"/>
      <c r="DK565" s="897"/>
    </row>
    <row r="566" spans="1:115" ht="25.5" x14ac:dyDescent="0.2">
      <c r="A566" s="295">
        <v>562</v>
      </c>
      <c r="B566" s="390" t="s">
        <v>6481</v>
      </c>
      <c r="C566" s="390"/>
      <c r="D566" s="391" t="s">
        <v>6264</v>
      </c>
      <c r="E566" s="704" t="s">
        <v>6265</v>
      </c>
      <c r="F566" s="393" t="s">
        <v>1352</v>
      </c>
      <c r="G566" s="393" t="s">
        <v>1673</v>
      </c>
      <c r="H566" s="393" t="s">
        <v>239</v>
      </c>
      <c r="I566" s="392"/>
      <c r="J566" s="392"/>
      <c r="K566" s="392" t="s">
        <v>6266</v>
      </c>
      <c r="L566" s="392" t="s">
        <v>515</v>
      </c>
      <c r="M566" s="392"/>
      <c r="N566" s="393" t="s">
        <v>44</v>
      </c>
      <c r="O566" s="393" t="s">
        <v>51</v>
      </c>
      <c r="P566" s="393" t="s">
        <v>51</v>
      </c>
      <c r="Q566" s="392" t="s">
        <v>426</v>
      </c>
      <c r="R566" s="392" t="s">
        <v>6267</v>
      </c>
      <c r="S566" s="392" t="s">
        <v>427</v>
      </c>
      <c r="T566" s="394">
        <v>1</v>
      </c>
      <c r="U566" s="395">
        <v>12.061999999999999</v>
      </c>
      <c r="V566" s="395"/>
      <c r="W566" s="453"/>
      <c r="X566" s="394"/>
      <c r="Y566" s="394">
        <v>10</v>
      </c>
      <c r="Z566" s="394">
        <v>8</v>
      </c>
      <c r="AA566" s="395">
        <v>-1.478</v>
      </c>
      <c r="AB566" s="452">
        <v>41760</v>
      </c>
      <c r="AC566" s="398"/>
      <c r="AD566" s="398">
        <v>120.61999999999999</v>
      </c>
      <c r="AE566" s="393" t="s">
        <v>54</v>
      </c>
      <c r="AF566" s="417"/>
      <c r="AG566" s="417"/>
      <c r="AH566" s="417"/>
      <c r="AI566" s="394"/>
      <c r="AJ566" s="453"/>
      <c r="AK566" s="453"/>
      <c r="AL566" s="393"/>
      <c r="AM566" s="393"/>
      <c r="AN566" s="417"/>
      <c r="AO566" s="392"/>
      <c r="AP566" s="392"/>
      <c r="AQ566" s="392"/>
      <c r="AR566" s="392" t="s">
        <v>249</v>
      </c>
      <c r="AS566" s="479">
        <v>40670</v>
      </c>
      <c r="AT566" s="453"/>
      <c r="AU566" s="453"/>
      <c r="AV566" s="453"/>
      <c r="AW566" s="453"/>
      <c r="AX566" s="453"/>
      <c r="AY566" s="453"/>
      <c r="AZ566" s="452">
        <v>41893</v>
      </c>
      <c r="BA566" s="393"/>
      <c r="BB566" s="393"/>
      <c r="BC566" s="393" t="b">
        <v>0</v>
      </c>
      <c r="BD566" s="393"/>
      <c r="BE566" s="392"/>
      <c r="BF566" s="394">
        <v>11</v>
      </c>
      <c r="BG566" s="394">
        <v>9</v>
      </c>
      <c r="BH566" s="394">
        <v>4</v>
      </c>
      <c r="BI566" s="394"/>
      <c r="BJ566" s="394"/>
      <c r="BK566" s="394"/>
      <c r="BL566" s="444" t="s">
        <v>6981</v>
      </c>
      <c r="BM566" s="392"/>
      <c r="BN566" s="393"/>
      <c r="BO566" s="393"/>
      <c r="BP566" s="399"/>
      <c r="BQ566" s="400"/>
      <c r="BR566" s="401"/>
      <c r="BS566" s="399"/>
      <c r="BT566" s="394"/>
      <c r="BU566" s="417">
        <v>0.48499999999999999</v>
      </c>
      <c r="BV566" s="399">
        <v>45.21</v>
      </c>
      <c r="BW566" s="393" t="s">
        <v>3165</v>
      </c>
      <c r="BX566" s="392" t="s">
        <v>3714</v>
      </c>
      <c r="BY566" s="393"/>
      <c r="BZ566" s="393"/>
      <c r="CA566" s="441"/>
      <c r="CB566" s="400"/>
      <c r="CC566" s="398"/>
      <c r="CD566" s="398"/>
      <c r="CE566" s="398"/>
      <c r="CF566" s="398"/>
      <c r="CG566" s="398"/>
      <c r="CH566" s="398"/>
      <c r="CI566" s="398"/>
      <c r="CJ566" s="398">
        <v>21.666</v>
      </c>
      <c r="CK566" s="398">
        <v>20.187999999999999</v>
      </c>
      <c r="CL566" s="398">
        <v>18.709</v>
      </c>
      <c r="CM566" s="398">
        <v>17.231000000000002</v>
      </c>
      <c r="CN566" s="398">
        <v>15.753</v>
      </c>
      <c r="CO566" s="398">
        <v>14.273999999999999</v>
      </c>
      <c r="CP566" s="398">
        <v>12.795999999999999</v>
      </c>
      <c r="CQ566" s="398"/>
      <c r="CR566" s="398"/>
      <c r="CS566" s="398"/>
      <c r="CT566" s="398"/>
      <c r="CU566" s="398"/>
      <c r="CV566" s="398"/>
      <c r="CW566" s="398"/>
      <c r="CX566" s="398"/>
      <c r="CY566" s="398"/>
      <c r="CZ566" s="398"/>
      <c r="DA566" s="398"/>
      <c r="DB566" s="398"/>
      <c r="DC566" s="398"/>
      <c r="DD566" s="398"/>
      <c r="DE566" s="393"/>
      <c r="DF566" s="393"/>
      <c r="DG566" s="393"/>
      <c r="DH566" s="393"/>
      <c r="DI566" s="393"/>
      <c r="DJ566" s="393"/>
      <c r="DK566" s="897"/>
    </row>
    <row r="567" spans="1:115" ht="25.5" x14ac:dyDescent="0.2">
      <c r="A567" s="295">
        <v>563</v>
      </c>
      <c r="B567" s="390" t="s">
        <v>6482</v>
      </c>
      <c r="C567" s="390"/>
      <c r="D567" s="391" t="s">
        <v>6268</v>
      </c>
      <c r="E567" s="704" t="s">
        <v>6269</v>
      </c>
      <c r="F567" s="393" t="s">
        <v>1352</v>
      </c>
      <c r="G567" s="393" t="s">
        <v>1673</v>
      </c>
      <c r="H567" s="393" t="s">
        <v>239</v>
      </c>
      <c r="I567" s="392"/>
      <c r="J567" s="392"/>
      <c r="K567" s="392" t="s">
        <v>6266</v>
      </c>
      <c r="L567" s="392" t="s">
        <v>515</v>
      </c>
      <c r="M567" s="392"/>
      <c r="N567" s="393" t="s">
        <v>44</v>
      </c>
      <c r="O567" s="393" t="s">
        <v>51</v>
      </c>
      <c r="P567" s="393" t="s">
        <v>51</v>
      </c>
      <c r="Q567" s="392" t="s">
        <v>426</v>
      </c>
      <c r="R567" s="392" t="s">
        <v>6270</v>
      </c>
      <c r="S567" s="392" t="s">
        <v>427</v>
      </c>
      <c r="T567" s="394">
        <v>1</v>
      </c>
      <c r="U567" s="395">
        <v>14.885999999999999</v>
      </c>
      <c r="V567" s="395"/>
      <c r="W567" s="453"/>
      <c r="X567" s="394"/>
      <c r="Y567" s="394">
        <v>10</v>
      </c>
      <c r="Z567" s="394">
        <v>8</v>
      </c>
      <c r="AA567" s="395">
        <v>-1.825</v>
      </c>
      <c r="AB567" s="452">
        <v>41760</v>
      </c>
      <c r="AC567" s="398"/>
      <c r="AD567" s="398">
        <v>148.85999999999999</v>
      </c>
      <c r="AE567" s="393" t="s">
        <v>54</v>
      </c>
      <c r="AF567" s="417"/>
      <c r="AG567" s="417"/>
      <c r="AH567" s="417"/>
      <c r="AI567" s="394"/>
      <c r="AJ567" s="453"/>
      <c r="AK567" s="453"/>
      <c r="AL567" s="393"/>
      <c r="AM567" s="393"/>
      <c r="AN567" s="417"/>
      <c r="AO567" s="392"/>
      <c r="AP567" s="392"/>
      <c r="AQ567" s="392"/>
      <c r="AR567" s="392" t="s">
        <v>249</v>
      </c>
      <c r="AS567" s="479">
        <v>40670</v>
      </c>
      <c r="AT567" s="453"/>
      <c r="AU567" s="453"/>
      <c r="AV567" s="453"/>
      <c r="AW567" s="453"/>
      <c r="AX567" s="453"/>
      <c r="AY567" s="453"/>
      <c r="AZ567" s="452">
        <v>41893</v>
      </c>
      <c r="BA567" s="393"/>
      <c r="BB567" s="393"/>
      <c r="BC567" s="393" t="b">
        <v>0</v>
      </c>
      <c r="BD567" s="393"/>
      <c r="BE567" s="392"/>
      <c r="BF567" s="394">
        <v>11</v>
      </c>
      <c r="BG567" s="394">
        <v>9</v>
      </c>
      <c r="BH567" s="394">
        <v>4</v>
      </c>
      <c r="BI567" s="394"/>
      <c r="BJ567" s="394"/>
      <c r="BK567" s="394"/>
      <c r="BL567" s="444" t="s">
        <v>6981</v>
      </c>
      <c r="BM567" s="392"/>
      <c r="BN567" s="393"/>
      <c r="BO567" s="393"/>
      <c r="BP567" s="399"/>
      <c r="BQ567" s="400"/>
      <c r="BR567" s="401"/>
      <c r="BS567" s="399"/>
      <c r="BT567" s="394"/>
      <c r="BU567" s="417">
        <v>0.48499999999999999</v>
      </c>
      <c r="BV567" s="399">
        <v>55.79</v>
      </c>
      <c r="BW567" s="393" t="s">
        <v>3165</v>
      </c>
      <c r="BX567" s="392" t="s">
        <v>3714</v>
      </c>
      <c r="BY567" s="393"/>
      <c r="BZ567" s="393"/>
      <c r="CA567" s="441"/>
      <c r="CB567" s="400"/>
      <c r="CC567" s="398"/>
      <c r="CD567" s="398"/>
      <c r="CE567" s="398"/>
      <c r="CF567" s="398"/>
      <c r="CG567" s="398"/>
      <c r="CH567" s="398"/>
      <c r="CI567" s="398"/>
      <c r="CJ567" s="398">
        <v>26.739000000000001</v>
      </c>
      <c r="CK567" s="398">
        <v>24.914999999999999</v>
      </c>
      <c r="CL567" s="398">
        <v>23.09</v>
      </c>
      <c r="CM567" s="398">
        <v>21.265999999999998</v>
      </c>
      <c r="CN567" s="398">
        <v>19.440999999999999</v>
      </c>
      <c r="CO567" s="398">
        <v>17.617000000000001</v>
      </c>
      <c r="CP567" s="398">
        <v>15.792</v>
      </c>
      <c r="CQ567" s="398"/>
      <c r="CR567" s="398"/>
      <c r="CS567" s="398"/>
      <c r="CT567" s="398"/>
      <c r="CU567" s="398"/>
      <c r="CV567" s="398"/>
      <c r="CW567" s="398"/>
      <c r="CX567" s="398"/>
      <c r="CY567" s="398"/>
      <c r="CZ567" s="398"/>
      <c r="DA567" s="398"/>
      <c r="DB567" s="398"/>
      <c r="DC567" s="398"/>
      <c r="DD567" s="398"/>
      <c r="DE567" s="393"/>
      <c r="DF567" s="393"/>
      <c r="DG567" s="393"/>
      <c r="DH567" s="393"/>
      <c r="DI567" s="393"/>
      <c r="DJ567" s="393"/>
      <c r="DK567" s="897"/>
    </row>
    <row r="568" spans="1:115" ht="25.5" x14ac:dyDescent="0.2">
      <c r="A568" s="295">
        <v>564</v>
      </c>
      <c r="B568" s="390" t="s">
        <v>6483</v>
      </c>
      <c r="C568" s="390"/>
      <c r="D568" s="391" t="s">
        <v>6271</v>
      </c>
      <c r="E568" s="704" t="s">
        <v>6272</v>
      </c>
      <c r="F568" s="393" t="s">
        <v>1352</v>
      </c>
      <c r="G568" s="393" t="s">
        <v>1673</v>
      </c>
      <c r="H568" s="393" t="s">
        <v>239</v>
      </c>
      <c r="I568" s="392"/>
      <c r="J568" s="392"/>
      <c r="K568" s="392" t="s">
        <v>6273</v>
      </c>
      <c r="L568" s="392" t="s">
        <v>515</v>
      </c>
      <c r="M568" s="392"/>
      <c r="N568" s="393" t="s">
        <v>44</v>
      </c>
      <c r="O568" s="393" t="s">
        <v>51</v>
      </c>
      <c r="P568" s="393" t="s">
        <v>51</v>
      </c>
      <c r="Q568" s="392" t="s">
        <v>426</v>
      </c>
      <c r="R568" s="392" t="s">
        <v>6274</v>
      </c>
      <c r="S568" s="392" t="s">
        <v>427</v>
      </c>
      <c r="T568" s="394">
        <v>1</v>
      </c>
      <c r="U568" s="395">
        <v>10.108000000000001</v>
      </c>
      <c r="V568" s="395"/>
      <c r="W568" s="453"/>
      <c r="X568" s="394"/>
      <c r="Y568" s="394">
        <v>10</v>
      </c>
      <c r="Z568" s="394">
        <v>8</v>
      </c>
      <c r="AA568" s="395">
        <v>-1.1060000000000001</v>
      </c>
      <c r="AB568" s="452">
        <v>41760</v>
      </c>
      <c r="AC568" s="398"/>
      <c r="AD568" s="398">
        <v>101.08000000000001</v>
      </c>
      <c r="AE568" s="393" t="s">
        <v>54</v>
      </c>
      <c r="AF568" s="417"/>
      <c r="AG568" s="417"/>
      <c r="AH568" s="417"/>
      <c r="AI568" s="394"/>
      <c r="AJ568" s="453"/>
      <c r="AK568" s="453"/>
      <c r="AL568" s="393"/>
      <c r="AM568" s="393"/>
      <c r="AN568" s="417"/>
      <c r="AO568" s="392"/>
      <c r="AP568" s="392"/>
      <c r="AQ568" s="392"/>
      <c r="AR568" s="392" t="s">
        <v>249</v>
      </c>
      <c r="AS568" s="479">
        <v>40670</v>
      </c>
      <c r="AT568" s="453"/>
      <c r="AU568" s="453"/>
      <c r="AV568" s="453"/>
      <c r="AW568" s="453"/>
      <c r="AX568" s="453"/>
      <c r="AY568" s="453"/>
      <c r="AZ568" s="452">
        <v>41893</v>
      </c>
      <c r="BA568" s="393"/>
      <c r="BB568" s="393"/>
      <c r="BC568" s="393" t="b">
        <v>0</v>
      </c>
      <c r="BD568" s="393"/>
      <c r="BE568" s="392"/>
      <c r="BF568" s="394">
        <v>11</v>
      </c>
      <c r="BG568" s="394">
        <v>9</v>
      </c>
      <c r="BH568" s="394">
        <v>4</v>
      </c>
      <c r="BI568" s="394"/>
      <c r="BJ568" s="394"/>
      <c r="BK568" s="394"/>
      <c r="BL568" s="444" t="s">
        <v>6981</v>
      </c>
      <c r="BM568" s="392"/>
      <c r="BN568" s="393"/>
      <c r="BO568" s="393"/>
      <c r="BP568" s="399"/>
      <c r="BQ568" s="400"/>
      <c r="BR568" s="401"/>
      <c r="BS568" s="399"/>
      <c r="BT568" s="394"/>
      <c r="BU568" s="417">
        <v>0.48499999999999999</v>
      </c>
      <c r="BV568" s="399">
        <v>37.89</v>
      </c>
      <c r="BW568" s="393" t="s">
        <v>3165</v>
      </c>
      <c r="BX568" s="392" t="s">
        <v>3714</v>
      </c>
      <c r="BY568" s="393"/>
      <c r="BZ568" s="393"/>
      <c r="CA568" s="441"/>
      <c r="CB568" s="400"/>
      <c r="CC568" s="398"/>
      <c r="CD568" s="398"/>
      <c r="CE568" s="398"/>
      <c r="CF568" s="398"/>
      <c r="CG568" s="398"/>
      <c r="CH568" s="398"/>
      <c r="CI568" s="398"/>
      <c r="CJ568" s="398">
        <v>18.157</v>
      </c>
      <c r="CK568" s="398">
        <v>16.917999999999999</v>
      </c>
      <c r="CL568" s="398">
        <v>15.679</v>
      </c>
      <c r="CM568" s="398">
        <v>14.44</v>
      </c>
      <c r="CN568" s="398">
        <v>13.201000000000001</v>
      </c>
      <c r="CO568" s="398">
        <v>11.962999999999999</v>
      </c>
      <c r="CP568" s="398">
        <v>11.962999999999999</v>
      </c>
      <c r="CQ568" s="398"/>
      <c r="CR568" s="398"/>
      <c r="CS568" s="398"/>
      <c r="CT568" s="398"/>
      <c r="CU568" s="398"/>
      <c r="CV568" s="398"/>
      <c r="CW568" s="398"/>
      <c r="CX568" s="398"/>
      <c r="CY568" s="398"/>
      <c r="CZ568" s="398"/>
      <c r="DA568" s="398"/>
      <c r="DB568" s="398"/>
      <c r="DC568" s="398"/>
      <c r="DD568" s="398"/>
      <c r="DE568" s="393"/>
      <c r="DF568" s="393"/>
      <c r="DG568" s="393"/>
      <c r="DH568" s="393"/>
      <c r="DI568" s="393"/>
      <c r="DJ568" s="393"/>
      <c r="DK568" s="897"/>
    </row>
    <row r="569" spans="1:115" ht="25.5" x14ac:dyDescent="0.2">
      <c r="A569" s="295">
        <v>565</v>
      </c>
      <c r="B569" s="390" t="s">
        <v>6484</v>
      </c>
      <c r="C569" s="390"/>
      <c r="D569" s="391" t="s">
        <v>6275</v>
      </c>
      <c r="E569" s="704" t="s">
        <v>6276</v>
      </c>
      <c r="F569" s="393" t="s">
        <v>1352</v>
      </c>
      <c r="G569" s="393" t="s">
        <v>1673</v>
      </c>
      <c r="H569" s="393" t="s">
        <v>239</v>
      </c>
      <c r="I569" s="392"/>
      <c r="J569" s="392"/>
      <c r="K569" s="392" t="s">
        <v>6273</v>
      </c>
      <c r="L569" s="392" t="s">
        <v>515</v>
      </c>
      <c r="M569" s="392"/>
      <c r="N569" s="393" t="s">
        <v>44</v>
      </c>
      <c r="O569" s="393" t="s">
        <v>51</v>
      </c>
      <c r="P569" s="393" t="s">
        <v>51</v>
      </c>
      <c r="Q569" s="392" t="s">
        <v>426</v>
      </c>
      <c r="R569" s="392" t="s">
        <v>6277</v>
      </c>
      <c r="S569" s="392" t="s">
        <v>427</v>
      </c>
      <c r="T569" s="394">
        <v>1</v>
      </c>
      <c r="U569" s="395">
        <v>12.367000000000001</v>
      </c>
      <c r="V569" s="395"/>
      <c r="W569" s="453"/>
      <c r="X569" s="394"/>
      <c r="Y569" s="394">
        <v>10</v>
      </c>
      <c r="Z569" s="394">
        <v>8</v>
      </c>
      <c r="AA569" s="395">
        <v>-1.3540000000000001</v>
      </c>
      <c r="AB569" s="452">
        <v>41760</v>
      </c>
      <c r="AC569" s="398"/>
      <c r="AD569" s="398">
        <v>123.67000000000002</v>
      </c>
      <c r="AE569" s="393" t="s">
        <v>54</v>
      </c>
      <c r="AF569" s="417"/>
      <c r="AG569" s="417"/>
      <c r="AH569" s="417"/>
      <c r="AI569" s="394"/>
      <c r="AJ569" s="453"/>
      <c r="AK569" s="453"/>
      <c r="AL569" s="393"/>
      <c r="AM569" s="393"/>
      <c r="AN569" s="417"/>
      <c r="AO569" s="392"/>
      <c r="AP569" s="392"/>
      <c r="AQ569" s="392"/>
      <c r="AR569" s="392" t="s">
        <v>249</v>
      </c>
      <c r="AS569" s="479">
        <v>40670</v>
      </c>
      <c r="AT569" s="453"/>
      <c r="AU569" s="453"/>
      <c r="AV569" s="453"/>
      <c r="AW569" s="453"/>
      <c r="AX569" s="453"/>
      <c r="AY569" s="453"/>
      <c r="AZ569" s="452">
        <v>41893</v>
      </c>
      <c r="BA569" s="393"/>
      <c r="BB569" s="393"/>
      <c r="BC569" s="393" t="b">
        <v>0</v>
      </c>
      <c r="BD569" s="393"/>
      <c r="BE569" s="392"/>
      <c r="BF569" s="394">
        <v>11</v>
      </c>
      <c r="BG569" s="394">
        <v>9</v>
      </c>
      <c r="BH569" s="394">
        <v>4</v>
      </c>
      <c r="BI569" s="394"/>
      <c r="BJ569" s="394"/>
      <c r="BK569" s="394"/>
      <c r="BL569" s="444" t="s">
        <v>6981</v>
      </c>
      <c r="BM569" s="392"/>
      <c r="BN569" s="393"/>
      <c r="BO569" s="393"/>
      <c r="BP569" s="399"/>
      <c r="BQ569" s="400"/>
      <c r="BR569" s="401"/>
      <c r="BS569" s="399"/>
      <c r="BT569" s="394"/>
      <c r="BU569" s="417">
        <v>0.48499999999999999</v>
      </c>
      <c r="BV569" s="399">
        <v>37.89</v>
      </c>
      <c r="BW569" s="393" t="s">
        <v>3165</v>
      </c>
      <c r="BX569" s="392" t="s">
        <v>3714</v>
      </c>
      <c r="BY569" s="393"/>
      <c r="BZ569" s="393"/>
      <c r="CA569" s="441"/>
      <c r="CB569" s="400"/>
      <c r="CC569" s="398"/>
      <c r="CD569" s="398"/>
      <c r="CE569" s="398"/>
      <c r="CF569" s="398"/>
      <c r="CG569" s="398"/>
      <c r="CH569" s="398"/>
      <c r="CI569" s="398"/>
      <c r="CJ569" s="398">
        <v>22.216000000000001</v>
      </c>
      <c r="CK569" s="398">
        <v>20.7</v>
      </c>
      <c r="CL569" s="398">
        <v>19.184000000000001</v>
      </c>
      <c r="CM569" s="398">
        <v>17.667999999999999</v>
      </c>
      <c r="CN569" s="398">
        <v>16.152000000000001</v>
      </c>
      <c r="CO569" s="398">
        <v>14.635999999999999</v>
      </c>
      <c r="CP569" s="398">
        <v>14.635999999999999</v>
      </c>
      <c r="CQ569" s="398"/>
      <c r="CR569" s="398"/>
      <c r="CS569" s="398"/>
      <c r="CT569" s="398"/>
      <c r="CU569" s="398"/>
      <c r="CV569" s="398"/>
      <c r="CW569" s="398"/>
      <c r="CX569" s="398"/>
      <c r="CY569" s="398"/>
      <c r="CZ569" s="398"/>
      <c r="DA569" s="398"/>
      <c r="DB569" s="398"/>
      <c r="DC569" s="398"/>
      <c r="DD569" s="398"/>
      <c r="DE569" s="393"/>
      <c r="DF569" s="393"/>
      <c r="DG569" s="393"/>
      <c r="DH569" s="393"/>
      <c r="DI569" s="393"/>
      <c r="DJ569" s="393"/>
      <c r="DK569" s="897"/>
    </row>
    <row r="570" spans="1:115" ht="25.5" x14ac:dyDescent="0.2">
      <c r="A570" s="295">
        <v>566</v>
      </c>
      <c r="B570" s="390" t="s">
        <v>6485</v>
      </c>
      <c r="C570" s="390"/>
      <c r="D570" s="391" t="s">
        <v>6278</v>
      </c>
      <c r="E570" s="704" t="s">
        <v>6279</v>
      </c>
      <c r="F570" s="393" t="s">
        <v>1352</v>
      </c>
      <c r="G570" s="393" t="s">
        <v>1673</v>
      </c>
      <c r="H570" s="393" t="s">
        <v>239</v>
      </c>
      <c r="I570" s="392"/>
      <c r="J570" s="392"/>
      <c r="K570" s="392" t="s">
        <v>6280</v>
      </c>
      <c r="L570" s="392" t="s">
        <v>515</v>
      </c>
      <c r="M570" s="392"/>
      <c r="N570" s="393" t="s">
        <v>44</v>
      </c>
      <c r="O570" s="393" t="s">
        <v>51</v>
      </c>
      <c r="P570" s="393" t="s">
        <v>51</v>
      </c>
      <c r="Q570" s="392" t="s">
        <v>426</v>
      </c>
      <c r="R570" s="392" t="s">
        <v>6281</v>
      </c>
      <c r="S570" s="392" t="s">
        <v>427</v>
      </c>
      <c r="T570" s="394">
        <v>1</v>
      </c>
      <c r="U570" s="395">
        <v>9.2959999999999994</v>
      </c>
      <c r="V570" s="395"/>
      <c r="W570" s="453"/>
      <c r="X570" s="394"/>
      <c r="Y570" s="394">
        <v>10</v>
      </c>
      <c r="Z570" s="394">
        <v>8</v>
      </c>
      <c r="AA570" s="395">
        <v>-1.139</v>
      </c>
      <c r="AB570" s="452">
        <v>41760</v>
      </c>
      <c r="AC570" s="398"/>
      <c r="AD570" s="398">
        <v>92.96</v>
      </c>
      <c r="AE570" s="393" t="s">
        <v>54</v>
      </c>
      <c r="AF570" s="417"/>
      <c r="AG570" s="417"/>
      <c r="AH570" s="417"/>
      <c r="AI570" s="394"/>
      <c r="AJ570" s="453"/>
      <c r="AK570" s="453"/>
      <c r="AL570" s="393"/>
      <c r="AM570" s="393"/>
      <c r="AN570" s="417"/>
      <c r="AO570" s="392"/>
      <c r="AP570" s="392"/>
      <c r="AQ570" s="392"/>
      <c r="AR570" s="392" t="s">
        <v>249</v>
      </c>
      <c r="AS570" s="479">
        <v>40670</v>
      </c>
      <c r="AT570" s="453"/>
      <c r="AU570" s="453"/>
      <c r="AV570" s="453"/>
      <c r="AW570" s="453"/>
      <c r="AX570" s="453"/>
      <c r="AY570" s="453"/>
      <c r="AZ570" s="452">
        <v>41893</v>
      </c>
      <c r="BA570" s="393"/>
      <c r="BB570" s="393"/>
      <c r="BC570" s="393" t="b">
        <v>0</v>
      </c>
      <c r="BD570" s="393"/>
      <c r="BE570" s="392"/>
      <c r="BF570" s="394">
        <v>11</v>
      </c>
      <c r="BG570" s="394">
        <v>9</v>
      </c>
      <c r="BH570" s="394">
        <v>4</v>
      </c>
      <c r="BI570" s="394"/>
      <c r="BJ570" s="394"/>
      <c r="BK570" s="394"/>
      <c r="BL570" s="444" t="s">
        <v>6981</v>
      </c>
      <c r="BM570" s="392"/>
      <c r="BN570" s="393"/>
      <c r="BO570" s="393"/>
      <c r="BP570" s="399"/>
      <c r="BQ570" s="400"/>
      <c r="BR570" s="401"/>
      <c r="BS570" s="399"/>
      <c r="BT570" s="394"/>
      <c r="BU570" s="417">
        <v>0.48499999999999999</v>
      </c>
      <c r="BV570" s="399">
        <v>34.840000000000003</v>
      </c>
      <c r="BW570" s="393" t="s">
        <v>3165</v>
      </c>
      <c r="BX570" s="392" t="s">
        <v>3714</v>
      </c>
      <c r="BY570" s="393"/>
      <c r="BZ570" s="393"/>
      <c r="CA570" s="441"/>
      <c r="CB570" s="400"/>
      <c r="CC570" s="398"/>
      <c r="CD570" s="398"/>
      <c r="CE570" s="398"/>
      <c r="CF570" s="398"/>
      <c r="CG570" s="398"/>
      <c r="CH570" s="398"/>
      <c r="CI570" s="398"/>
      <c r="CJ570" s="398">
        <v>16.669</v>
      </c>
      <c r="CK570" s="398">
        <v>15.558999999999999</v>
      </c>
      <c r="CL570" s="398">
        <v>14.42</v>
      </c>
      <c r="CM570" s="398">
        <v>13.28</v>
      </c>
      <c r="CN570" s="398">
        <v>12.141</v>
      </c>
      <c r="CO570" s="398">
        <v>11.002000000000001</v>
      </c>
      <c r="CP570" s="398">
        <v>9.8620000000000001</v>
      </c>
      <c r="CQ570" s="398"/>
      <c r="CR570" s="398"/>
      <c r="CS570" s="398"/>
      <c r="CT570" s="398"/>
      <c r="CU570" s="398"/>
      <c r="CV570" s="398"/>
      <c r="CW570" s="398"/>
      <c r="CX570" s="398"/>
      <c r="CY570" s="398"/>
      <c r="CZ570" s="398"/>
      <c r="DA570" s="398"/>
      <c r="DB570" s="398"/>
      <c r="DC570" s="398"/>
      <c r="DD570" s="398"/>
      <c r="DE570" s="393"/>
      <c r="DF570" s="393"/>
      <c r="DG570" s="393"/>
      <c r="DH570" s="393"/>
      <c r="DI570" s="393"/>
      <c r="DJ570" s="393"/>
      <c r="DK570" s="897"/>
    </row>
    <row r="571" spans="1:115" ht="25.5" x14ac:dyDescent="0.2">
      <c r="A571" s="295">
        <v>567</v>
      </c>
      <c r="B571" s="390" t="s">
        <v>6486</v>
      </c>
      <c r="C571" s="390"/>
      <c r="D571" s="391" t="s">
        <v>6282</v>
      </c>
      <c r="E571" s="704" t="s">
        <v>6283</v>
      </c>
      <c r="F571" s="393" t="s">
        <v>1352</v>
      </c>
      <c r="G571" s="393" t="s">
        <v>1673</v>
      </c>
      <c r="H571" s="393" t="s">
        <v>239</v>
      </c>
      <c r="I571" s="392"/>
      <c r="J571" s="392"/>
      <c r="K571" s="392" t="s">
        <v>6280</v>
      </c>
      <c r="L571" s="392" t="s">
        <v>515</v>
      </c>
      <c r="M571" s="392"/>
      <c r="N571" s="393" t="s">
        <v>44</v>
      </c>
      <c r="O571" s="393" t="s">
        <v>51</v>
      </c>
      <c r="P571" s="393" t="s">
        <v>51</v>
      </c>
      <c r="Q571" s="392" t="s">
        <v>426</v>
      </c>
      <c r="R571" s="392" t="s">
        <v>6284</v>
      </c>
      <c r="S571" s="392" t="s">
        <v>427</v>
      </c>
      <c r="T571" s="394">
        <v>1</v>
      </c>
      <c r="U571" s="395">
        <v>11.885</v>
      </c>
      <c r="V571" s="395"/>
      <c r="W571" s="453"/>
      <c r="X571" s="394"/>
      <c r="Y571" s="394">
        <v>10</v>
      </c>
      <c r="Z571" s="394">
        <v>8</v>
      </c>
      <c r="AA571" s="395">
        <v>-1.4570000000000001</v>
      </c>
      <c r="AB571" s="452">
        <v>41760</v>
      </c>
      <c r="AC571" s="398"/>
      <c r="AD571" s="398">
        <v>118.85</v>
      </c>
      <c r="AE571" s="393" t="s">
        <v>54</v>
      </c>
      <c r="AF571" s="417"/>
      <c r="AG571" s="417"/>
      <c r="AH571" s="417"/>
      <c r="AI571" s="394"/>
      <c r="AJ571" s="453"/>
      <c r="AK571" s="453"/>
      <c r="AL571" s="393"/>
      <c r="AM571" s="393"/>
      <c r="AN571" s="417"/>
      <c r="AO571" s="392"/>
      <c r="AP571" s="392"/>
      <c r="AQ571" s="392"/>
      <c r="AR571" s="392" t="s">
        <v>249</v>
      </c>
      <c r="AS571" s="479">
        <v>40670</v>
      </c>
      <c r="AT571" s="453"/>
      <c r="AU571" s="453"/>
      <c r="AV571" s="453"/>
      <c r="AW571" s="453"/>
      <c r="AX571" s="453"/>
      <c r="AY571" s="453"/>
      <c r="AZ571" s="452">
        <v>41893</v>
      </c>
      <c r="BA571" s="393"/>
      <c r="BB571" s="393"/>
      <c r="BC571" s="393" t="b">
        <v>0</v>
      </c>
      <c r="BD571" s="393"/>
      <c r="BE571" s="392"/>
      <c r="BF571" s="394">
        <v>11</v>
      </c>
      <c r="BG571" s="394">
        <v>9</v>
      </c>
      <c r="BH571" s="394">
        <v>4</v>
      </c>
      <c r="BI571" s="394"/>
      <c r="BJ571" s="394"/>
      <c r="BK571" s="394"/>
      <c r="BL571" s="444" t="s">
        <v>6981</v>
      </c>
      <c r="BM571" s="392"/>
      <c r="BN571" s="393"/>
      <c r="BO571" s="393"/>
      <c r="BP571" s="399"/>
      <c r="BQ571" s="400"/>
      <c r="BR571" s="401"/>
      <c r="BS571" s="399"/>
      <c r="BT571" s="394"/>
      <c r="BU571" s="417">
        <v>0.48499999999999999</v>
      </c>
      <c r="BV571" s="399">
        <v>44.55</v>
      </c>
      <c r="BW571" s="393" t="s">
        <v>3165</v>
      </c>
      <c r="BX571" s="392" t="s">
        <v>3714</v>
      </c>
      <c r="BY571" s="393"/>
      <c r="BZ571" s="393"/>
      <c r="CA571" s="441"/>
      <c r="CB571" s="400"/>
      <c r="CC571" s="398"/>
      <c r="CD571" s="398"/>
      <c r="CE571" s="398"/>
      <c r="CF571" s="398"/>
      <c r="CG571" s="398"/>
      <c r="CH571" s="398"/>
      <c r="CI571" s="398"/>
      <c r="CJ571" s="398">
        <v>21.349</v>
      </c>
      <c r="CK571" s="398">
        <v>19.891999999999999</v>
      </c>
      <c r="CL571" s="398">
        <v>18.436</v>
      </c>
      <c r="CM571" s="398">
        <v>16.978999999999999</v>
      </c>
      <c r="CN571" s="398">
        <v>15.522</v>
      </c>
      <c r="CO571" s="398">
        <v>14.065</v>
      </c>
      <c r="CP571" s="398">
        <v>12.609</v>
      </c>
      <c r="CQ571" s="398"/>
      <c r="CR571" s="398"/>
      <c r="CS571" s="398"/>
      <c r="CT571" s="398"/>
      <c r="CU571" s="398"/>
      <c r="CV571" s="398"/>
      <c r="CW571" s="398"/>
      <c r="CX571" s="398"/>
      <c r="CY571" s="398"/>
      <c r="CZ571" s="398"/>
      <c r="DA571" s="398"/>
      <c r="DB571" s="398"/>
      <c r="DC571" s="398"/>
      <c r="DD571" s="398"/>
      <c r="DE571" s="393"/>
      <c r="DF571" s="393"/>
      <c r="DG571" s="393"/>
      <c r="DH571" s="393"/>
      <c r="DI571" s="393"/>
      <c r="DJ571" s="393"/>
      <c r="DK571" s="897"/>
    </row>
    <row r="572" spans="1:115" ht="25.5" x14ac:dyDescent="0.2">
      <c r="A572" s="295">
        <v>568</v>
      </c>
      <c r="B572" s="390" t="s">
        <v>6487</v>
      </c>
      <c r="C572" s="390"/>
      <c r="D572" s="391" t="s">
        <v>6285</v>
      </c>
      <c r="E572" s="704" t="s">
        <v>6286</v>
      </c>
      <c r="F572" s="393" t="s">
        <v>1352</v>
      </c>
      <c r="G572" s="393" t="s">
        <v>1673</v>
      </c>
      <c r="H572" s="393" t="s">
        <v>239</v>
      </c>
      <c r="I572" s="392"/>
      <c r="J572" s="392"/>
      <c r="K572" s="392" t="s">
        <v>6287</v>
      </c>
      <c r="L572" s="392" t="s">
        <v>515</v>
      </c>
      <c r="M572" s="392"/>
      <c r="N572" s="393" t="s">
        <v>44</v>
      </c>
      <c r="O572" s="393" t="s">
        <v>51</v>
      </c>
      <c r="P572" s="393" t="s">
        <v>51</v>
      </c>
      <c r="Q572" s="392" t="s">
        <v>426</v>
      </c>
      <c r="R572" s="392" t="s">
        <v>6288</v>
      </c>
      <c r="S572" s="392" t="s">
        <v>427</v>
      </c>
      <c r="T572" s="394">
        <v>1</v>
      </c>
      <c r="U572" s="395">
        <v>6.1929999999999996</v>
      </c>
      <c r="V572" s="395"/>
      <c r="W572" s="453"/>
      <c r="X572" s="394"/>
      <c r="Y572" s="394">
        <v>10</v>
      </c>
      <c r="Z572" s="394">
        <v>8</v>
      </c>
      <c r="AA572" s="395">
        <v>-0.75900000000000001</v>
      </c>
      <c r="AB572" s="452">
        <v>41760</v>
      </c>
      <c r="AC572" s="398"/>
      <c r="AD572" s="398">
        <v>61.929999999999993</v>
      </c>
      <c r="AE572" s="393" t="s">
        <v>54</v>
      </c>
      <c r="AF572" s="417"/>
      <c r="AG572" s="417"/>
      <c r="AH572" s="417"/>
      <c r="AI572" s="394"/>
      <c r="AJ572" s="453"/>
      <c r="AK572" s="453"/>
      <c r="AL572" s="393"/>
      <c r="AM572" s="393"/>
      <c r="AN572" s="417"/>
      <c r="AO572" s="392"/>
      <c r="AP572" s="392"/>
      <c r="AQ572" s="392"/>
      <c r="AR572" s="392" t="s">
        <v>249</v>
      </c>
      <c r="AS572" s="479">
        <v>40670</v>
      </c>
      <c r="AT572" s="453"/>
      <c r="AU572" s="453"/>
      <c r="AV572" s="453"/>
      <c r="AW572" s="453"/>
      <c r="AX572" s="453"/>
      <c r="AY572" s="453"/>
      <c r="AZ572" s="452">
        <v>41893</v>
      </c>
      <c r="BA572" s="393"/>
      <c r="BB572" s="393"/>
      <c r="BC572" s="393" t="b">
        <v>0</v>
      </c>
      <c r="BD572" s="393"/>
      <c r="BE572" s="392"/>
      <c r="BF572" s="394">
        <v>11</v>
      </c>
      <c r="BG572" s="394">
        <v>9</v>
      </c>
      <c r="BH572" s="394">
        <v>4</v>
      </c>
      <c r="BI572" s="394"/>
      <c r="BJ572" s="394"/>
      <c r="BK572" s="394"/>
      <c r="BL572" s="444" t="s">
        <v>6981</v>
      </c>
      <c r="BM572" s="392"/>
      <c r="BN572" s="393"/>
      <c r="BO572" s="393"/>
      <c r="BP572" s="399"/>
      <c r="BQ572" s="400"/>
      <c r="BR572" s="401"/>
      <c r="BS572" s="399"/>
      <c r="BT572" s="394"/>
      <c r="BU572" s="417">
        <v>0.48499999999999999</v>
      </c>
      <c r="BV572" s="399">
        <v>23.21</v>
      </c>
      <c r="BW572" s="393" t="s">
        <v>3165</v>
      </c>
      <c r="BX572" s="392" t="s">
        <v>3714</v>
      </c>
      <c r="BY572" s="393"/>
      <c r="BZ572" s="393"/>
      <c r="CA572" s="441"/>
      <c r="CB572" s="400"/>
      <c r="CC572" s="398"/>
      <c r="CD572" s="398"/>
      <c r="CE572" s="398"/>
      <c r="CF572" s="398"/>
      <c r="CG572" s="398"/>
      <c r="CH572" s="398"/>
      <c r="CI572" s="398"/>
      <c r="CJ572" s="398">
        <v>11.125</v>
      </c>
      <c r="CK572" s="398">
        <v>10.366</v>
      </c>
      <c r="CL572" s="398">
        <v>9.6069999999999993</v>
      </c>
      <c r="CM572" s="398">
        <v>8.8480000000000008</v>
      </c>
      <c r="CN572" s="398">
        <v>8.0890000000000004</v>
      </c>
      <c r="CO572" s="398">
        <v>7.33</v>
      </c>
      <c r="CP572" s="398">
        <v>6.57</v>
      </c>
      <c r="CQ572" s="398"/>
      <c r="CR572" s="398"/>
      <c r="CS572" s="398"/>
      <c r="CT572" s="398"/>
      <c r="CU572" s="398"/>
      <c r="CV572" s="398"/>
      <c r="CW572" s="398"/>
      <c r="CX572" s="398"/>
      <c r="CY572" s="398"/>
      <c r="CZ572" s="398"/>
      <c r="DA572" s="398"/>
      <c r="DB572" s="398"/>
      <c r="DC572" s="398"/>
      <c r="DD572" s="398"/>
      <c r="DE572" s="393"/>
      <c r="DF572" s="393"/>
      <c r="DG572" s="393"/>
      <c r="DH572" s="393"/>
      <c r="DI572" s="393"/>
      <c r="DJ572" s="393"/>
      <c r="DK572" s="897"/>
    </row>
    <row r="573" spans="1:115" ht="25.5" x14ac:dyDescent="0.2">
      <c r="A573" s="295">
        <v>569</v>
      </c>
      <c r="B573" s="390" t="s">
        <v>6488</v>
      </c>
      <c r="C573" s="390"/>
      <c r="D573" s="391" t="s">
        <v>6289</v>
      </c>
      <c r="E573" s="704" t="s">
        <v>6290</v>
      </c>
      <c r="F573" s="393" t="s">
        <v>1352</v>
      </c>
      <c r="G573" s="393" t="s">
        <v>1673</v>
      </c>
      <c r="H573" s="393" t="s">
        <v>239</v>
      </c>
      <c r="I573" s="392"/>
      <c r="J573" s="392"/>
      <c r="K573" s="392" t="s">
        <v>6291</v>
      </c>
      <c r="L573" s="392" t="s">
        <v>515</v>
      </c>
      <c r="M573" s="392"/>
      <c r="N573" s="393" t="s">
        <v>44</v>
      </c>
      <c r="O573" s="393" t="s">
        <v>51</v>
      </c>
      <c r="P573" s="393" t="s">
        <v>51</v>
      </c>
      <c r="Q573" s="392" t="s">
        <v>426</v>
      </c>
      <c r="R573" s="392" t="s">
        <v>6292</v>
      </c>
      <c r="S573" s="392" t="s">
        <v>427</v>
      </c>
      <c r="T573" s="394">
        <v>1</v>
      </c>
      <c r="U573" s="395">
        <v>10.631</v>
      </c>
      <c r="V573" s="395"/>
      <c r="W573" s="453"/>
      <c r="X573" s="394"/>
      <c r="Y573" s="394">
        <v>10</v>
      </c>
      <c r="Z573" s="394">
        <v>8</v>
      </c>
      <c r="AA573" s="395">
        <v>-1.3029999999999999</v>
      </c>
      <c r="AB573" s="452">
        <v>41760</v>
      </c>
      <c r="AC573" s="398"/>
      <c r="AD573" s="398">
        <v>106.31</v>
      </c>
      <c r="AE573" s="393" t="s">
        <v>54</v>
      </c>
      <c r="AF573" s="417"/>
      <c r="AG573" s="417"/>
      <c r="AH573" s="417"/>
      <c r="AI573" s="394"/>
      <c r="AJ573" s="453"/>
      <c r="AK573" s="453"/>
      <c r="AL573" s="393"/>
      <c r="AM573" s="393"/>
      <c r="AN573" s="417"/>
      <c r="AO573" s="392"/>
      <c r="AP573" s="392"/>
      <c r="AQ573" s="392"/>
      <c r="AR573" s="392" t="s">
        <v>249</v>
      </c>
      <c r="AS573" s="479">
        <v>40670</v>
      </c>
      <c r="AT573" s="453"/>
      <c r="AU573" s="453"/>
      <c r="AV573" s="453"/>
      <c r="AW573" s="453"/>
      <c r="AX573" s="453"/>
      <c r="AY573" s="453"/>
      <c r="AZ573" s="452">
        <v>41893</v>
      </c>
      <c r="BA573" s="393"/>
      <c r="BB573" s="393"/>
      <c r="BC573" s="393" t="b">
        <v>0</v>
      </c>
      <c r="BD573" s="393"/>
      <c r="BE573" s="392"/>
      <c r="BF573" s="394">
        <v>11</v>
      </c>
      <c r="BG573" s="394">
        <v>9</v>
      </c>
      <c r="BH573" s="394">
        <v>4</v>
      </c>
      <c r="BI573" s="394"/>
      <c r="BJ573" s="394"/>
      <c r="BK573" s="394"/>
      <c r="BL573" s="444" t="s">
        <v>6981</v>
      </c>
      <c r="BM573" s="392"/>
      <c r="BN573" s="393"/>
      <c r="BO573" s="393"/>
      <c r="BP573" s="399"/>
      <c r="BQ573" s="400"/>
      <c r="BR573" s="401"/>
      <c r="BS573" s="399"/>
      <c r="BT573" s="394"/>
      <c r="BU573" s="417">
        <v>0.48499999999999999</v>
      </c>
      <c r="BV573" s="399">
        <v>39.85</v>
      </c>
      <c r="BW573" s="393" t="s">
        <v>3165</v>
      </c>
      <c r="BX573" s="392" t="s">
        <v>3714</v>
      </c>
      <c r="BY573" s="393"/>
      <c r="BZ573" s="393"/>
      <c r="CA573" s="441"/>
      <c r="CB573" s="400"/>
      <c r="CC573" s="398"/>
      <c r="CD573" s="398"/>
      <c r="CE573" s="398"/>
      <c r="CF573" s="398"/>
      <c r="CG573" s="398"/>
      <c r="CH573" s="398"/>
      <c r="CI573" s="398"/>
      <c r="CJ573" s="398">
        <v>19.096</v>
      </c>
      <c r="CK573" s="398">
        <v>17.792999999999999</v>
      </c>
      <c r="CL573" s="398">
        <v>16.489999999999998</v>
      </c>
      <c r="CM573" s="398">
        <v>15.186999999999999</v>
      </c>
      <c r="CN573" s="398">
        <v>13.884</v>
      </c>
      <c r="CO573" s="398">
        <v>12.581</v>
      </c>
      <c r="CP573" s="398">
        <v>11.278</v>
      </c>
      <c r="CQ573" s="398"/>
      <c r="CR573" s="398"/>
      <c r="CS573" s="398"/>
      <c r="CT573" s="398"/>
      <c r="CU573" s="398"/>
      <c r="CV573" s="398"/>
      <c r="CW573" s="398"/>
      <c r="CX573" s="398"/>
      <c r="CY573" s="398"/>
      <c r="CZ573" s="398"/>
      <c r="DA573" s="398"/>
      <c r="DB573" s="398"/>
      <c r="DC573" s="398"/>
      <c r="DD573" s="398"/>
      <c r="DE573" s="393"/>
      <c r="DF573" s="393"/>
      <c r="DG573" s="393"/>
      <c r="DH573" s="393"/>
      <c r="DI573" s="393"/>
      <c r="DJ573" s="393"/>
      <c r="DK573" s="897"/>
    </row>
    <row r="574" spans="1:115" ht="25.5" x14ac:dyDescent="0.2">
      <c r="A574" s="295">
        <v>570</v>
      </c>
      <c r="B574" s="390" t="s">
        <v>6489</v>
      </c>
      <c r="C574" s="390"/>
      <c r="D574" s="391" t="s">
        <v>6293</v>
      </c>
      <c r="E574" s="704" t="s">
        <v>6294</v>
      </c>
      <c r="F574" s="393" t="s">
        <v>1352</v>
      </c>
      <c r="G574" s="393" t="s">
        <v>1673</v>
      </c>
      <c r="H574" s="393" t="s">
        <v>239</v>
      </c>
      <c r="I574" s="392"/>
      <c r="J574" s="392"/>
      <c r="K574" s="392" t="s">
        <v>6295</v>
      </c>
      <c r="L574" s="392" t="s">
        <v>515</v>
      </c>
      <c r="M574" s="392"/>
      <c r="N574" s="393" t="s">
        <v>44</v>
      </c>
      <c r="O574" s="393" t="s">
        <v>51</v>
      </c>
      <c r="P574" s="393" t="s">
        <v>51</v>
      </c>
      <c r="Q574" s="392" t="s">
        <v>426</v>
      </c>
      <c r="R574" s="392" t="s">
        <v>6296</v>
      </c>
      <c r="S574" s="392" t="s">
        <v>427</v>
      </c>
      <c r="T574" s="394">
        <v>1</v>
      </c>
      <c r="U574" s="395">
        <v>3.7160000000000002</v>
      </c>
      <c r="V574" s="395"/>
      <c r="W574" s="453"/>
      <c r="X574" s="394"/>
      <c r="Y574" s="394">
        <v>10</v>
      </c>
      <c r="Z574" s="394">
        <v>8</v>
      </c>
      <c r="AA574" s="395">
        <v>-0.45600000000000002</v>
      </c>
      <c r="AB574" s="452">
        <v>41760</v>
      </c>
      <c r="AC574" s="398"/>
      <c r="AD574" s="398">
        <v>37.160000000000004</v>
      </c>
      <c r="AE574" s="393" t="s">
        <v>54</v>
      </c>
      <c r="AF574" s="417"/>
      <c r="AG574" s="417"/>
      <c r="AH574" s="417"/>
      <c r="AI574" s="394"/>
      <c r="AJ574" s="453"/>
      <c r="AK574" s="453"/>
      <c r="AL574" s="393"/>
      <c r="AM574" s="393"/>
      <c r="AN574" s="417"/>
      <c r="AO574" s="392"/>
      <c r="AP574" s="392"/>
      <c r="AQ574" s="392"/>
      <c r="AR574" s="392" t="s">
        <v>249</v>
      </c>
      <c r="AS574" s="479">
        <v>40670</v>
      </c>
      <c r="AT574" s="453"/>
      <c r="AU574" s="453"/>
      <c r="AV574" s="453"/>
      <c r="AW574" s="453"/>
      <c r="AX574" s="453"/>
      <c r="AY574" s="453"/>
      <c r="AZ574" s="452">
        <v>41893</v>
      </c>
      <c r="BA574" s="393"/>
      <c r="BB574" s="393"/>
      <c r="BC574" s="393" t="b">
        <v>0</v>
      </c>
      <c r="BD574" s="393"/>
      <c r="BE574" s="392"/>
      <c r="BF574" s="394">
        <v>11</v>
      </c>
      <c r="BG574" s="394">
        <v>9</v>
      </c>
      <c r="BH574" s="394">
        <v>4</v>
      </c>
      <c r="BI574" s="394"/>
      <c r="BJ574" s="394"/>
      <c r="BK574" s="394"/>
      <c r="BL574" s="444" t="s">
        <v>6981</v>
      </c>
      <c r="BM574" s="392"/>
      <c r="BN574" s="393"/>
      <c r="BO574" s="393"/>
      <c r="BP574" s="399"/>
      <c r="BQ574" s="400"/>
      <c r="BR574" s="401"/>
      <c r="BS574" s="399"/>
      <c r="BT574" s="394"/>
      <c r="BU574" s="417">
        <v>0.48499999999999999</v>
      </c>
      <c r="BV574" s="399">
        <v>13.93</v>
      </c>
      <c r="BW574" s="393" t="s">
        <v>3165</v>
      </c>
      <c r="BX574" s="392" t="s">
        <v>3714</v>
      </c>
      <c r="BY574" s="393"/>
      <c r="BZ574" s="393"/>
      <c r="CA574" s="441"/>
      <c r="CB574" s="400"/>
      <c r="CC574" s="398"/>
      <c r="CD574" s="398"/>
      <c r="CE574" s="398"/>
      <c r="CF574" s="398"/>
      <c r="CG574" s="398"/>
      <c r="CH574" s="398"/>
      <c r="CI574" s="398"/>
      <c r="CJ574" s="398">
        <v>6.6749999999999998</v>
      </c>
      <c r="CK574" s="398">
        <v>6.22</v>
      </c>
      <c r="CL574" s="398">
        <v>5.7640000000000002</v>
      </c>
      <c r="CM574" s="398">
        <v>5.3090000000000002</v>
      </c>
      <c r="CN574" s="398">
        <v>4.8529999999999998</v>
      </c>
      <c r="CO574" s="398">
        <v>4.3979999999999997</v>
      </c>
      <c r="CP574" s="398">
        <v>3.9420000000000002</v>
      </c>
      <c r="CQ574" s="398"/>
      <c r="CR574" s="398"/>
      <c r="CS574" s="398"/>
      <c r="CT574" s="398"/>
      <c r="CU574" s="398"/>
      <c r="CV574" s="398"/>
      <c r="CW574" s="398"/>
      <c r="CX574" s="398"/>
      <c r="CY574" s="398"/>
      <c r="CZ574" s="398"/>
      <c r="DA574" s="398"/>
      <c r="DB574" s="398"/>
      <c r="DC574" s="398"/>
      <c r="DD574" s="398"/>
      <c r="DE574" s="393"/>
      <c r="DF574" s="393"/>
      <c r="DG574" s="393"/>
      <c r="DH574" s="393"/>
      <c r="DI574" s="393"/>
      <c r="DJ574" s="393"/>
      <c r="DK574" s="897"/>
    </row>
    <row r="575" spans="1:115" ht="25.5" x14ac:dyDescent="0.2">
      <c r="A575" s="295">
        <v>571</v>
      </c>
      <c r="B575" s="390" t="s">
        <v>6490</v>
      </c>
      <c r="C575" s="390"/>
      <c r="D575" s="391" t="s">
        <v>6297</v>
      </c>
      <c r="E575" s="704" t="s">
        <v>6298</v>
      </c>
      <c r="F575" s="393" t="s">
        <v>1352</v>
      </c>
      <c r="G575" s="393" t="s">
        <v>1673</v>
      </c>
      <c r="H575" s="393" t="s">
        <v>239</v>
      </c>
      <c r="I575" s="392"/>
      <c r="J575" s="392"/>
      <c r="K575" s="392" t="s">
        <v>6299</v>
      </c>
      <c r="L575" s="392" t="s">
        <v>515</v>
      </c>
      <c r="M575" s="392"/>
      <c r="N575" s="393" t="s">
        <v>44</v>
      </c>
      <c r="O575" s="393" t="s">
        <v>51</v>
      </c>
      <c r="P575" s="393" t="s">
        <v>51</v>
      </c>
      <c r="Q575" s="392" t="s">
        <v>426</v>
      </c>
      <c r="R575" s="392" t="s">
        <v>6288</v>
      </c>
      <c r="S575" s="392" t="s">
        <v>427</v>
      </c>
      <c r="T575" s="394">
        <v>1</v>
      </c>
      <c r="U575" s="395">
        <v>6.1929999999999996</v>
      </c>
      <c r="V575" s="395"/>
      <c r="W575" s="453"/>
      <c r="X575" s="394"/>
      <c r="Y575" s="394">
        <v>10</v>
      </c>
      <c r="Z575" s="394">
        <v>8</v>
      </c>
      <c r="AA575" s="395">
        <v>-0.75900000000000001</v>
      </c>
      <c r="AB575" s="452">
        <v>41760</v>
      </c>
      <c r="AC575" s="398"/>
      <c r="AD575" s="398">
        <v>61.929999999999993</v>
      </c>
      <c r="AE575" s="393" t="s">
        <v>54</v>
      </c>
      <c r="AF575" s="417"/>
      <c r="AG575" s="417"/>
      <c r="AH575" s="417"/>
      <c r="AI575" s="394"/>
      <c r="AJ575" s="453"/>
      <c r="AK575" s="453"/>
      <c r="AL575" s="393"/>
      <c r="AM575" s="393"/>
      <c r="AN575" s="417"/>
      <c r="AO575" s="392"/>
      <c r="AP575" s="392"/>
      <c r="AQ575" s="392"/>
      <c r="AR575" s="392" t="s">
        <v>249</v>
      </c>
      <c r="AS575" s="479">
        <v>40670</v>
      </c>
      <c r="AT575" s="453"/>
      <c r="AU575" s="453"/>
      <c r="AV575" s="453"/>
      <c r="AW575" s="453"/>
      <c r="AX575" s="453"/>
      <c r="AY575" s="453"/>
      <c r="AZ575" s="452">
        <v>41893</v>
      </c>
      <c r="BA575" s="393"/>
      <c r="BB575" s="393"/>
      <c r="BC575" s="393" t="b">
        <v>0</v>
      </c>
      <c r="BD575" s="393"/>
      <c r="BE575" s="392"/>
      <c r="BF575" s="394">
        <v>11</v>
      </c>
      <c r="BG575" s="394">
        <v>9</v>
      </c>
      <c r="BH575" s="394">
        <v>4</v>
      </c>
      <c r="BI575" s="394"/>
      <c r="BJ575" s="394"/>
      <c r="BK575" s="394"/>
      <c r="BL575" s="444" t="s">
        <v>6981</v>
      </c>
      <c r="BM575" s="392"/>
      <c r="BN575" s="393"/>
      <c r="BO575" s="393"/>
      <c r="BP575" s="399"/>
      <c r="BQ575" s="400"/>
      <c r="BR575" s="401"/>
      <c r="BS575" s="399"/>
      <c r="BT575" s="394"/>
      <c r="BU575" s="417">
        <v>0.48499999999999999</v>
      </c>
      <c r="BV575" s="399">
        <v>23.21</v>
      </c>
      <c r="BW575" s="393" t="s">
        <v>3165</v>
      </c>
      <c r="BX575" s="392" t="s">
        <v>3714</v>
      </c>
      <c r="BY575" s="393"/>
      <c r="BZ575" s="393"/>
      <c r="CA575" s="441"/>
      <c r="CB575" s="400"/>
      <c r="CC575" s="398"/>
      <c r="CD575" s="398"/>
      <c r="CE575" s="398"/>
      <c r="CF575" s="398"/>
      <c r="CG575" s="398"/>
      <c r="CH575" s="398"/>
      <c r="CI575" s="398"/>
      <c r="CJ575" s="398">
        <v>11.125</v>
      </c>
      <c r="CK575" s="398">
        <v>10.366</v>
      </c>
      <c r="CL575" s="398">
        <v>9.6069999999999993</v>
      </c>
      <c r="CM575" s="398">
        <v>8.8480000000000008</v>
      </c>
      <c r="CN575" s="398">
        <v>8.0890000000000004</v>
      </c>
      <c r="CO575" s="398">
        <v>7.33</v>
      </c>
      <c r="CP575" s="398">
        <v>6.57</v>
      </c>
      <c r="CQ575" s="398"/>
      <c r="CR575" s="398"/>
      <c r="CS575" s="398"/>
      <c r="CT575" s="398"/>
      <c r="CU575" s="398"/>
      <c r="CV575" s="398"/>
      <c r="CW575" s="398"/>
      <c r="CX575" s="398"/>
      <c r="CY575" s="398"/>
      <c r="CZ575" s="398"/>
      <c r="DA575" s="398"/>
      <c r="DB575" s="398"/>
      <c r="DC575" s="398"/>
      <c r="DD575" s="398"/>
      <c r="DE575" s="393"/>
      <c r="DF575" s="393"/>
      <c r="DG575" s="393"/>
      <c r="DH575" s="393"/>
      <c r="DI575" s="393"/>
      <c r="DJ575" s="393"/>
      <c r="DK575" s="897"/>
    </row>
    <row r="576" spans="1:115" ht="25.5" x14ac:dyDescent="0.2">
      <c r="A576" s="295">
        <v>572</v>
      </c>
      <c r="B576" s="390" t="s">
        <v>6491</v>
      </c>
      <c r="C576" s="390"/>
      <c r="D576" s="391" t="s">
        <v>6300</v>
      </c>
      <c r="E576" s="704" t="s">
        <v>6301</v>
      </c>
      <c r="F576" s="393" t="s">
        <v>1352</v>
      </c>
      <c r="G576" s="393" t="s">
        <v>1673</v>
      </c>
      <c r="H576" s="393" t="s">
        <v>239</v>
      </c>
      <c r="I576" s="392"/>
      <c r="J576" s="392"/>
      <c r="K576" s="392" t="s">
        <v>6302</v>
      </c>
      <c r="L576" s="392" t="s">
        <v>515</v>
      </c>
      <c r="M576" s="392"/>
      <c r="N576" s="393" t="s">
        <v>44</v>
      </c>
      <c r="O576" s="393" t="s">
        <v>51</v>
      </c>
      <c r="P576" s="393" t="s">
        <v>51</v>
      </c>
      <c r="Q576" s="392" t="s">
        <v>426</v>
      </c>
      <c r="R576" s="392" t="s">
        <v>6303</v>
      </c>
      <c r="S576" s="392" t="s">
        <v>427</v>
      </c>
      <c r="T576" s="394">
        <v>1</v>
      </c>
      <c r="U576" s="395">
        <v>13.359</v>
      </c>
      <c r="V576" s="395"/>
      <c r="W576" s="453"/>
      <c r="X576" s="394"/>
      <c r="Y576" s="394">
        <v>10</v>
      </c>
      <c r="Z576" s="394">
        <v>8</v>
      </c>
      <c r="AA576" s="395">
        <v>-1.637</v>
      </c>
      <c r="AB576" s="452">
        <v>41760</v>
      </c>
      <c r="AC576" s="398"/>
      <c r="AD576" s="398">
        <v>133.59</v>
      </c>
      <c r="AE576" s="393" t="s">
        <v>54</v>
      </c>
      <c r="AF576" s="417"/>
      <c r="AG576" s="417"/>
      <c r="AH576" s="417"/>
      <c r="AI576" s="394"/>
      <c r="AJ576" s="453"/>
      <c r="AK576" s="453"/>
      <c r="AL576" s="393"/>
      <c r="AM576" s="393"/>
      <c r="AN576" s="417"/>
      <c r="AO576" s="392"/>
      <c r="AP576" s="392"/>
      <c r="AQ576" s="392"/>
      <c r="AR576" s="392" t="s">
        <v>249</v>
      </c>
      <c r="AS576" s="479">
        <v>40670</v>
      </c>
      <c r="AT576" s="453"/>
      <c r="AU576" s="453"/>
      <c r="AV576" s="453"/>
      <c r="AW576" s="453"/>
      <c r="AX576" s="453"/>
      <c r="AY576" s="453"/>
      <c r="AZ576" s="452">
        <v>41893</v>
      </c>
      <c r="BA576" s="393"/>
      <c r="BB576" s="393"/>
      <c r="BC576" s="393" t="b">
        <v>0</v>
      </c>
      <c r="BD576" s="393"/>
      <c r="BE576" s="392"/>
      <c r="BF576" s="394">
        <v>11</v>
      </c>
      <c r="BG576" s="394">
        <v>9</v>
      </c>
      <c r="BH576" s="394">
        <v>4</v>
      </c>
      <c r="BI576" s="394"/>
      <c r="BJ576" s="394"/>
      <c r="BK576" s="394"/>
      <c r="BL576" s="444" t="s">
        <v>6981</v>
      </c>
      <c r="BM576" s="392"/>
      <c r="BN576" s="393"/>
      <c r="BO576" s="393"/>
      <c r="BP576" s="399"/>
      <c r="BQ576" s="400"/>
      <c r="BR576" s="401"/>
      <c r="BS576" s="399"/>
      <c r="BT576" s="394"/>
      <c r="BU576" s="417">
        <v>0.48499999999999999</v>
      </c>
      <c r="BV576" s="399">
        <v>50.07</v>
      </c>
      <c r="BW576" s="393" t="s">
        <v>3165</v>
      </c>
      <c r="BX576" s="392" t="s">
        <v>3714</v>
      </c>
      <c r="BY576" s="393"/>
      <c r="BZ576" s="393"/>
      <c r="CA576" s="441"/>
      <c r="CB576" s="400"/>
      <c r="CC576" s="398"/>
      <c r="CD576" s="398"/>
      <c r="CE576" s="398"/>
      <c r="CF576" s="398"/>
      <c r="CG576" s="398"/>
      <c r="CH576" s="398"/>
      <c r="CI576" s="398"/>
      <c r="CJ576" s="398">
        <v>23.997</v>
      </c>
      <c r="CK576" s="398">
        <v>22.359000000000002</v>
      </c>
      <c r="CL576" s="398">
        <v>20.722000000000001</v>
      </c>
      <c r="CM576" s="398">
        <v>19.084</v>
      </c>
      <c r="CN576" s="398">
        <v>17.446999999999999</v>
      </c>
      <c r="CO576" s="398">
        <v>15.81</v>
      </c>
      <c r="CP576" s="398">
        <v>14.172000000000001</v>
      </c>
      <c r="CQ576" s="398"/>
      <c r="CR576" s="398"/>
      <c r="CS576" s="398"/>
      <c r="CT576" s="398"/>
      <c r="CU576" s="398"/>
      <c r="CV576" s="398"/>
      <c r="CW576" s="398"/>
      <c r="CX576" s="398"/>
      <c r="CY576" s="398"/>
      <c r="CZ576" s="398"/>
      <c r="DA576" s="398"/>
      <c r="DB576" s="398"/>
      <c r="DC576" s="398"/>
      <c r="DD576" s="398"/>
      <c r="DE576" s="393"/>
      <c r="DF576" s="393"/>
      <c r="DG576" s="393"/>
      <c r="DH576" s="393"/>
      <c r="DI576" s="393"/>
      <c r="DJ576" s="393"/>
      <c r="DK576" s="897"/>
    </row>
    <row r="577" spans="1:115" ht="25.5" x14ac:dyDescent="0.2">
      <c r="A577" s="295">
        <v>573</v>
      </c>
      <c r="B577" s="390" t="s">
        <v>6492</v>
      </c>
      <c r="C577" s="390"/>
      <c r="D577" s="391" t="s">
        <v>6304</v>
      </c>
      <c r="E577" s="704" t="s">
        <v>6305</v>
      </c>
      <c r="F577" s="393" t="s">
        <v>1352</v>
      </c>
      <c r="G577" s="393" t="s">
        <v>1673</v>
      </c>
      <c r="H577" s="393" t="s">
        <v>239</v>
      </c>
      <c r="I577" s="392"/>
      <c r="J577" s="392"/>
      <c r="K577" s="392" t="s">
        <v>6302</v>
      </c>
      <c r="L577" s="392" t="s">
        <v>515</v>
      </c>
      <c r="M577" s="392"/>
      <c r="N577" s="393" t="s">
        <v>44</v>
      </c>
      <c r="O577" s="393" t="s">
        <v>51</v>
      </c>
      <c r="P577" s="393" t="s">
        <v>51</v>
      </c>
      <c r="Q577" s="392" t="s">
        <v>426</v>
      </c>
      <c r="R577" s="392" t="s">
        <v>6306</v>
      </c>
      <c r="S577" s="392" t="s">
        <v>427</v>
      </c>
      <c r="T577" s="394">
        <v>1</v>
      </c>
      <c r="U577" s="395">
        <v>12.846</v>
      </c>
      <c r="V577" s="395"/>
      <c r="W577" s="453"/>
      <c r="X577" s="394"/>
      <c r="Y577" s="394">
        <v>10</v>
      </c>
      <c r="Z577" s="394">
        <v>8</v>
      </c>
      <c r="AA577" s="395">
        <v>-1.575</v>
      </c>
      <c r="AB577" s="452">
        <v>41760</v>
      </c>
      <c r="AC577" s="398"/>
      <c r="AD577" s="398">
        <v>128.46</v>
      </c>
      <c r="AE577" s="393" t="s">
        <v>54</v>
      </c>
      <c r="AF577" s="417"/>
      <c r="AG577" s="417"/>
      <c r="AH577" s="417"/>
      <c r="AI577" s="394"/>
      <c r="AJ577" s="453"/>
      <c r="AK577" s="453"/>
      <c r="AL577" s="393"/>
      <c r="AM577" s="393"/>
      <c r="AN577" s="417"/>
      <c r="AO577" s="392"/>
      <c r="AP577" s="392"/>
      <c r="AQ577" s="392"/>
      <c r="AR577" s="392" t="s">
        <v>249</v>
      </c>
      <c r="AS577" s="479">
        <v>40670</v>
      </c>
      <c r="AT577" s="453"/>
      <c r="AU577" s="453"/>
      <c r="AV577" s="453"/>
      <c r="AW577" s="453"/>
      <c r="AX577" s="453"/>
      <c r="AY577" s="453"/>
      <c r="AZ577" s="452">
        <v>41893</v>
      </c>
      <c r="BA577" s="393"/>
      <c r="BB577" s="393"/>
      <c r="BC577" s="393" t="b">
        <v>0</v>
      </c>
      <c r="BD577" s="393"/>
      <c r="BE577" s="392"/>
      <c r="BF577" s="394">
        <v>11</v>
      </c>
      <c r="BG577" s="394">
        <v>9</v>
      </c>
      <c r="BH577" s="394">
        <v>4</v>
      </c>
      <c r="BI577" s="394"/>
      <c r="BJ577" s="394"/>
      <c r="BK577" s="394"/>
      <c r="BL577" s="444" t="s">
        <v>6981</v>
      </c>
      <c r="BM577" s="392"/>
      <c r="BN577" s="393"/>
      <c r="BO577" s="393"/>
      <c r="BP577" s="399"/>
      <c r="BQ577" s="400"/>
      <c r="BR577" s="401"/>
      <c r="BS577" s="399"/>
      <c r="BT577" s="394"/>
      <c r="BU577" s="417">
        <v>0.48499999999999999</v>
      </c>
      <c r="BV577" s="399">
        <v>48.15</v>
      </c>
      <c r="BW577" s="393" t="s">
        <v>3165</v>
      </c>
      <c r="BX577" s="392" t="s">
        <v>3714</v>
      </c>
      <c r="BY577" s="393"/>
      <c r="BZ577" s="393"/>
      <c r="CA577" s="441"/>
      <c r="CB577" s="400"/>
      <c r="CC577" s="398"/>
      <c r="CD577" s="398"/>
      <c r="CE577" s="398"/>
      <c r="CF577" s="398"/>
      <c r="CG577" s="398"/>
      <c r="CH577" s="398"/>
      <c r="CI577" s="398"/>
      <c r="CJ577" s="398">
        <v>23.076000000000001</v>
      </c>
      <c r="CK577" s="398">
        <v>21.501000000000001</v>
      </c>
      <c r="CL577" s="398">
        <v>19.925999999999998</v>
      </c>
      <c r="CM577" s="398">
        <v>18.352</v>
      </c>
      <c r="CN577" s="398">
        <v>16.777000000000001</v>
      </c>
      <c r="CO577" s="398">
        <v>15.202999999999999</v>
      </c>
      <c r="CP577" s="398">
        <v>13.628</v>
      </c>
      <c r="CQ577" s="398"/>
      <c r="CR577" s="398"/>
      <c r="CS577" s="398"/>
      <c r="CT577" s="398"/>
      <c r="CU577" s="398"/>
      <c r="CV577" s="398"/>
      <c r="CW577" s="398"/>
      <c r="CX577" s="398"/>
      <c r="CY577" s="398"/>
      <c r="CZ577" s="398"/>
      <c r="DA577" s="398"/>
      <c r="DB577" s="398"/>
      <c r="DC577" s="398"/>
      <c r="DD577" s="398"/>
      <c r="DE577" s="393"/>
      <c r="DF577" s="393"/>
      <c r="DG577" s="393"/>
      <c r="DH577" s="393"/>
      <c r="DI577" s="393"/>
      <c r="DJ577" s="393"/>
      <c r="DK577" s="897"/>
    </row>
    <row r="578" spans="1:115" ht="25.5" x14ac:dyDescent="0.2">
      <c r="A578" s="295">
        <v>574</v>
      </c>
      <c r="B578" s="390" t="s">
        <v>6493</v>
      </c>
      <c r="C578" s="390"/>
      <c r="D578" s="391" t="s">
        <v>6307</v>
      </c>
      <c r="E578" s="704" t="s">
        <v>6308</v>
      </c>
      <c r="F578" s="393" t="s">
        <v>1352</v>
      </c>
      <c r="G578" s="393" t="s">
        <v>1673</v>
      </c>
      <c r="H578" s="393" t="s">
        <v>239</v>
      </c>
      <c r="I578" s="392"/>
      <c r="J578" s="392"/>
      <c r="K578" s="392" t="s">
        <v>6309</v>
      </c>
      <c r="L578" s="392" t="s">
        <v>515</v>
      </c>
      <c r="M578" s="392"/>
      <c r="N578" s="393" t="s">
        <v>44</v>
      </c>
      <c r="O578" s="393" t="s">
        <v>51</v>
      </c>
      <c r="P578" s="393" t="s">
        <v>51</v>
      </c>
      <c r="Q578" s="392" t="s">
        <v>426</v>
      </c>
      <c r="R578" s="392" t="s">
        <v>6310</v>
      </c>
      <c r="S578" s="392" t="s">
        <v>427</v>
      </c>
      <c r="T578" s="394">
        <v>1</v>
      </c>
      <c r="U578" s="395">
        <v>9.2680000000000007</v>
      </c>
      <c r="V578" s="395"/>
      <c r="W578" s="453"/>
      <c r="X578" s="394"/>
      <c r="Y578" s="394">
        <v>10</v>
      </c>
      <c r="Z578" s="394">
        <v>8</v>
      </c>
      <c r="AA578" s="395">
        <v>-1.1359999999999999</v>
      </c>
      <c r="AB578" s="452">
        <v>41760</v>
      </c>
      <c r="AC578" s="398"/>
      <c r="AD578" s="398">
        <v>92.68</v>
      </c>
      <c r="AE578" s="393" t="s">
        <v>54</v>
      </c>
      <c r="AF578" s="417"/>
      <c r="AG578" s="417"/>
      <c r="AH578" s="417"/>
      <c r="AI578" s="394"/>
      <c r="AJ578" s="453"/>
      <c r="AK578" s="453"/>
      <c r="AL578" s="393"/>
      <c r="AM578" s="393"/>
      <c r="AN578" s="417"/>
      <c r="AO578" s="392"/>
      <c r="AP578" s="392"/>
      <c r="AQ578" s="392"/>
      <c r="AR578" s="392" t="s">
        <v>249</v>
      </c>
      <c r="AS578" s="479">
        <v>40670</v>
      </c>
      <c r="AT578" s="453"/>
      <c r="AU578" s="453"/>
      <c r="AV578" s="453"/>
      <c r="AW578" s="453"/>
      <c r="AX578" s="453"/>
      <c r="AY578" s="453"/>
      <c r="AZ578" s="452">
        <v>41893</v>
      </c>
      <c r="BA578" s="393"/>
      <c r="BB578" s="393"/>
      <c r="BC578" s="393" t="b">
        <v>0</v>
      </c>
      <c r="BD578" s="393"/>
      <c r="BE578" s="392"/>
      <c r="BF578" s="394">
        <v>11</v>
      </c>
      <c r="BG578" s="394">
        <v>9</v>
      </c>
      <c r="BH578" s="394">
        <v>4</v>
      </c>
      <c r="BI578" s="394"/>
      <c r="BJ578" s="394"/>
      <c r="BK578" s="394"/>
      <c r="BL578" s="444" t="s">
        <v>6981</v>
      </c>
      <c r="BM578" s="392"/>
      <c r="BN578" s="393"/>
      <c r="BO578" s="393"/>
      <c r="BP578" s="399"/>
      <c r="BQ578" s="400"/>
      <c r="BR578" s="401"/>
      <c r="BS578" s="399"/>
      <c r="BT578" s="394"/>
      <c r="BU578" s="417">
        <v>0.48499999999999999</v>
      </c>
      <c r="BV578" s="399">
        <v>34.74</v>
      </c>
      <c r="BW578" s="393" t="s">
        <v>3165</v>
      </c>
      <c r="BX578" s="392" t="s">
        <v>3714</v>
      </c>
      <c r="BY578" s="393"/>
      <c r="BZ578" s="393"/>
      <c r="CA578" s="441"/>
      <c r="CB578" s="400"/>
      <c r="CC578" s="398"/>
      <c r="CD578" s="398"/>
      <c r="CE578" s="398"/>
      <c r="CF578" s="398"/>
      <c r="CG578" s="398"/>
      <c r="CH578" s="398"/>
      <c r="CI578" s="398"/>
      <c r="CJ578" s="398">
        <v>16.648</v>
      </c>
      <c r="CK578" s="398">
        <v>15.512</v>
      </c>
      <c r="CL578" s="398">
        <v>14.375999999999999</v>
      </c>
      <c r="CM578" s="398">
        <v>13.24</v>
      </c>
      <c r="CN578" s="398">
        <v>12.103999999999999</v>
      </c>
      <c r="CO578" s="398">
        <v>10.968</v>
      </c>
      <c r="CP578" s="398">
        <v>9.8320000000000007</v>
      </c>
      <c r="CQ578" s="398"/>
      <c r="CR578" s="398"/>
      <c r="CS578" s="398"/>
      <c r="CT578" s="398"/>
      <c r="CU578" s="398"/>
      <c r="CV578" s="398"/>
      <c r="CW578" s="398"/>
      <c r="CX578" s="398"/>
      <c r="CY578" s="398"/>
      <c r="CZ578" s="398"/>
      <c r="DA578" s="398"/>
      <c r="DB578" s="398"/>
      <c r="DC578" s="398"/>
      <c r="DD578" s="398"/>
      <c r="DE578" s="393"/>
      <c r="DF578" s="393"/>
      <c r="DG578" s="393"/>
      <c r="DH578" s="393"/>
      <c r="DI578" s="393"/>
      <c r="DJ578" s="393"/>
      <c r="DK578" s="897"/>
    </row>
    <row r="579" spans="1:115" ht="25.5" x14ac:dyDescent="0.2">
      <c r="A579" s="295">
        <v>575</v>
      </c>
      <c r="B579" s="390" t="s">
        <v>6494</v>
      </c>
      <c r="C579" s="390"/>
      <c r="D579" s="391" t="s">
        <v>6311</v>
      </c>
      <c r="E579" s="704" t="s">
        <v>6312</v>
      </c>
      <c r="F579" s="393" t="s">
        <v>1352</v>
      </c>
      <c r="G579" s="393" t="s">
        <v>1673</v>
      </c>
      <c r="H579" s="393" t="s">
        <v>239</v>
      </c>
      <c r="I579" s="392"/>
      <c r="J579" s="392"/>
      <c r="K579" s="392" t="s">
        <v>6313</v>
      </c>
      <c r="L579" s="392" t="s">
        <v>515</v>
      </c>
      <c r="M579" s="392"/>
      <c r="N579" s="393" t="s">
        <v>44</v>
      </c>
      <c r="O579" s="393" t="s">
        <v>51</v>
      </c>
      <c r="P579" s="393" t="s">
        <v>51</v>
      </c>
      <c r="Q579" s="392" t="s">
        <v>426</v>
      </c>
      <c r="R579" s="392" t="s">
        <v>6314</v>
      </c>
      <c r="S579" s="392" t="s">
        <v>427</v>
      </c>
      <c r="T579" s="394">
        <v>1</v>
      </c>
      <c r="U579" s="395">
        <v>13.103</v>
      </c>
      <c r="V579" s="395"/>
      <c r="W579" s="453"/>
      <c r="X579" s="394"/>
      <c r="Y579" s="394">
        <v>10</v>
      </c>
      <c r="Z579" s="394">
        <v>8</v>
      </c>
      <c r="AA579" s="395">
        <v>-1.6060000000000001</v>
      </c>
      <c r="AB579" s="452">
        <v>41760</v>
      </c>
      <c r="AC579" s="398"/>
      <c r="AD579" s="398">
        <v>131.03</v>
      </c>
      <c r="AE579" s="393" t="s">
        <v>54</v>
      </c>
      <c r="AF579" s="417"/>
      <c r="AG579" s="417"/>
      <c r="AH579" s="417"/>
      <c r="AI579" s="394"/>
      <c r="AJ579" s="453"/>
      <c r="AK579" s="453"/>
      <c r="AL579" s="393"/>
      <c r="AM579" s="393"/>
      <c r="AN579" s="417"/>
      <c r="AO579" s="392"/>
      <c r="AP579" s="392"/>
      <c r="AQ579" s="392"/>
      <c r="AR579" s="392" t="s">
        <v>249</v>
      </c>
      <c r="AS579" s="479">
        <v>40670</v>
      </c>
      <c r="AT579" s="453"/>
      <c r="AU579" s="453"/>
      <c r="AV579" s="453"/>
      <c r="AW579" s="453"/>
      <c r="AX579" s="453"/>
      <c r="AY579" s="453"/>
      <c r="AZ579" s="452">
        <v>41893</v>
      </c>
      <c r="BA579" s="393"/>
      <c r="BB579" s="393"/>
      <c r="BC579" s="393" t="b">
        <v>0</v>
      </c>
      <c r="BD579" s="393"/>
      <c r="BE579" s="392"/>
      <c r="BF579" s="394">
        <v>11</v>
      </c>
      <c r="BG579" s="394">
        <v>9</v>
      </c>
      <c r="BH579" s="394">
        <v>4</v>
      </c>
      <c r="BI579" s="394"/>
      <c r="BJ579" s="394"/>
      <c r="BK579" s="394"/>
      <c r="BL579" s="444" t="s">
        <v>6981</v>
      </c>
      <c r="BM579" s="392"/>
      <c r="BN579" s="393"/>
      <c r="BO579" s="393"/>
      <c r="BP579" s="399"/>
      <c r="BQ579" s="400"/>
      <c r="BR579" s="401"/>
      <c r="BS579" s="399"/>
      <c r="BT579" s="394"/>
      <c r="BU579" s="417">
        <v>0.48499999999999999</v>
      </c>
      <c r="BV579" s="399">
        <v>49.11</v>
      </c>
      <c r="BW579" s="393" t="s">
        <v>3165</v>
      </c>
      <c r="BX579" s="392" t="s">
        <v>3714</v>
      </c>
      <c r="BY579" s="393"/>
      <c r="BZ579" s="393"/>
      <c r="CA579" s="441"/>
      <c r="CB579" s="400"/>
      <c r="CC579" s="398"/>
      <c r="CD579" s="398"/>
      <c r="CE579" s="398"/>
      <c r="CF579" s="398"/>
      <c r="CG579" s="398"/>
      <c r="CH579" s="398"/>
      <c r="CI579" s="398"/>
      <c r="CJ579" s="398">
        <v>23.536000000000001</v>
      </c>
      <c r="CK579" s="398">
        <v>21.93</v>
      </c>
      <c r="CL579" s="398">
        <v>20.324000000000002</v>
      </c>
      <c r="CM579" s="398">
        <v>18.718</v>
      </c>
      <c r="CN579" s="398">
        <v>17.111999999999998</v>
      </c>
      <c r="CO579" s="398">
        <v>15.506</v>
      </c>
      <c r="CP579" s="398">
        <v>13.9</v>
      </c>
      <c r="CQ579" s="398"/>
      <c r="CR579" s="398"/>
      <c r="CS579" s="398"/>
      <c r="CT579" s="398"/>
      <c r="CU579" s="398"/>
      <c r="CV579" s="398"/>
      <c r="CW579" s="398"/>
      <c r="CX579" s="398"/>
      <c r="CY579" s="398"/>
      <c r="CZ579" s="398"/>
      <c r="DA579" s="398"/>
      <c r="DB579" s="398"/>
      <c r="DC579" s="398"/>
      <c r="DD579" s="398"/>
      <c r="DE579" s="393"/>
      <c r="DF579" s="393"/>
      <c r="DG579" s="393"/>
      <c r="DH579" s="393"/>
      <c r="DI579" s="393"/>
      <c r="DJ579" s="393"/>
      <c r="DK579" s="897"/>
    </row>
    <row r="580" spans="1:115" ht="25.5" x14ac:dyDescent="0.2">
      <c r="A580" s="295">
        <v>576</v>
      </c>
      <c r="B580" s="390" t="s">
        <v>6495</v>
      </c>
      <c r="C580" s="390"/>
      <c r="D580" s="391" t="s">
        <v>6315</v>
      </c>
      <c r="E580" s="704" t="s">
        <v>6316</v>
      </c>
      <c r="F580" s="393" t="s">
        <v>1352</v>
      </c>
      <c r="G580" s="393" t="s">
        <v>1673</v>
      </c>
      <c r="H580" s="393" t="s">
        <v>239</v>
      </c>
      <c r="I580" s="392"/>
      <c r="J580" s="392"/>
      <c r="K580" s="392" t="s">
        <v>6317</v>
      </c>
      <c r="L580" s="392" t="s">
        <v>515</v>
      </c>
      <c r="M580" s="392"/>
      <c r="N580" s="393" t="s">
        <v>44</v>
      </c>
      <c r="O580" s="393" t="s">
        <v>51</v>
      </c>
      <c r="P580" s="393" t="s">
        <v>51</v>
      </c>
      <c r="Q580" s="392" t="s">
        <v>426</v>
      </c>
      <c r="R580" s="392" t="s">
        <v>6318</v>
      </c>
      <c r="S580" s="392" t="s">
        <v>427</v>
      </c>
      <c r="T580" s="394">
        <v>1</v>
      </c>
      <c r="U580" s="395">
        <v>13.606999999999999</v>
      </c>
      <c r="V580" s="395"/>
      <c r="W580" s="453"/>
      <c r="X580" s="394"/>
      <c r="Y580" s="394">
        <v>10</v>
      </c>
      <c r="Z580" s="394">
        <v>8</v>
      </c>
      <c r="AA580" s="395">
        <v>-1.6679999999999999</v>
      </c>
      <c r="AB580" s="452">
        <v>41760</v>
      </c>
      <c r="AC580" s="398"/>
      <c r="AD580" s="398">
        <v>136.07</v>
      </c>
      <c r="AE580" s="393" t="s">
        <v>54</v>
      </c>
      <c r="AF580" s="417"/>
      <c r="AG580" s="417"/>
      <c r="AH580" s="417"/>
      <c r="AI580" s="394"/>
      <c r="AJ580" s="453"/>
      <c r="AK580" s="453"/>
      <c r="AL580" s="393"/>
      <c r="AM580" s="393"/>
      <c r="AN580" s="417"/>
      <c r="AO580" s="392"/>
      <c r="AP580" s="392"/>
      <c r="AQ580" s="392"/>
      <c r="AR580" s="392" t="s">
        <v>249</v>
      </c>
      <c r="AS580" s="479">
        <v>40670</v>
      </c>
      <c r="AT580" s="453"/>
      <c r="AU580" s="453"/>
      <c r="AV580" s="453"/>
      <c r="AW580" s="453"/>
      <c r="AX580" s="453"/>
      <c r="AY580" s="453"/>
      <c r="AZ580" s="452">
        <v>41893</v>
      </c>
      <c r="BA580" s="393"/>
      <c r="BB580" s="393"/>
      <c r="BC580" s="393" t="b">
        <v>0</v>
      </c>
      <c r="BD580" s="393"/>
      <c r="BE580" s="392"/>
      <c r="BF580" s="394">
        <v>11</v>
      </c>
      <c r="BG580" s="394">
        <v>9</v>
      </c>
      <c r="BH580" s="394">
        <v>4</v>
      </c>
      <c r="BI580" s="394"/>
      <c r="BJ580" s="394"/>
      <c r="BK580" s="394"/>
      <c r="BL580" s="444" t="s">
        <v>6981</v>
      </c>
      <c r="BM580" s="392"/>
      <c r="BN580" s="393"/>
      <c r="BO580" s="393"/>
      <c r="BP580" s="399"/>
      <c r="BQ580" s="400"/>
      <c r="BR580" s="401"/>
      <c r="BS580" s="399"/>
      <c r="BT580" s="394"/>
      <c r="BU580" s="417">
        <v>0.48499999999999999</v>
      </c>
      <c r="BV580" s="399">
        <v>51</v>
      </c>
      <c r="BW580" s="393" t="s">
        <v>3165</v>
      </c>
      <c r="BX580" s="392" t="s">
        <v>3714</v>
      </c>
      <c r="BY580" s="393"/>
      <c r="BZ580" s="393"/>
      <c r="CA580" s="441"/>
      <c r="CB580" s="400"/>
      <c r="CC580" s="398"/>
      <c r="CD580" s="398"/>
      <c r="CE580" s="398"/>
      <c r="CF580" s="398"/>
      <c r="CG580" s="398"/>
      <c r="CH580" s="398"/>
      <c r="CI580" s="398"/>
      <c r="CJ580" s="398">
        <v>24.440999999999999</v>
      </c>
      <c r="CK580" s="398">
        <v>22.774000000000001</v>
      </c>
      <c r="CL580" s="398">
        <v>21.106000000000002</v>
      </c>
      <c r="CM580" s="398">
        <v>19.437999999999999</v>
      </c>
      <c r="CN580" s="398">
        <v>17.77</v>
      </c>
      <c r="CO580" s="398">
        <v>16.103000000000002</v>
      </c>
      <c r="CP580" s="398">
        <v>14.435</v>
      </c>
      <c r="CQ580" s="398"/>
      <c r="CR580" s="398"/>
      <c r="CS580" s="398"/>
      <c r="CT580" s="398"/>
      <c r="CU580" s="398"/>
      <c r="CV580" s="398"/>
      <c r="CW580" s="398"/>
      <c r="CX580" s="398"/>
      <c r="CY580" s="398"/>
      <c r="CZ580" s="398"/>
      <c r="DA580" s="398"/>
      <c r="DB580" s="398"/>
      <c r="DC580" s="398"/>
      <c r="DD580" s="398"/>
      <c r="DE580" s="393"/>
      <c r="DF580" s="393"/>
      <c r="DG580" s="393"/>
      <c r="DH580" s="393"/>
      <c r="DI580" s="393"/>
      <c r="DJ580" s="393"/>
      <c r="DK580" s="897"/>
    </row>
    <row r="581" spans="1:115" ht="25.5" x14ac:dyDescent="0.2">
      <c r="A581" s="295">
        <v>577</v>
      </c>
      <c r="B581" s="390" t="s">
        <v>6496</v>
      </c>
      <c r="C581" s="390"/>
      <c r="D581" s="391" t="s">
        <v>6319</v>
      </c>
      <c r="E581" s="704" t="s">
        <v>6320</v>
      </c>
      <c r="F581" s="393" t="s">
        <v>1352</v>
      </c>
      <c r="G581" s="393" t="s">
        <v>1673</v>
      </c>
      <c r="H581" s="393" t="s">
        <v>239</v>
      </c>
      <c r="I581" s="392"/>
      <c r="J581" s="392"/>
      <c r="K581" s="392" t="s">
        <v>6321</v>
      </c>
      <c r="L581" s="392" t="s">
        <v>515</v>
      </c>
      <c r="M581" s="392"/>
      <c r="N581" s="393" t="s">
        <v>44</v>
      </c>
      <c r="O581" s="393" t="s">
        <v>51</v>
      </c>
      <c r="P581" s="393" t="s">
        <v>51</v>
      </c>
      <c r="Q581" s="392" t="s">
        <v>426</v>
      </c>
      <c r="R581" s="392" t="s">
        <v>6322</v>
      </c>
      <c r="S581" s="392" t="s">
        <v>427</v>
      </c>
      <c r="T581" s="394">
        <v>1</v>
      </c>
      <c r="U581" s="395">
        <v>12.906000000000001</v>
      </c>
      <c r="V581" s="395"/>
      <c r="W581" s="453"/>
      <c r="X581" s="394"/>
      <c r="Y581" s="394">
        <v>10</v>
      </c>
      <c r="Z581" s="394">
        <v>8</v>
      </c>
      <c r="AA581" s="395">
        <v>-1.5820000000000001</v>
      </c>
      <c r="AB581" s="452">
        <v>41760</v>
      </c>
      <c r="AC581" s="398"/>
      <c r="AD581" s="398">
        <v>129.06</v>
      </c>
      <c r="AE581" s="393" t="s">
        <v>54</v>
      </c>
      <c r="AF581" s="417"/>
      <c r="AG581" s="417"/>
      <c r="AH581" s="417"/>
      <c r="AI581" s="394"/>
      <c r="AJ581" s="453"/>
      <c r="AK581" s="453"/>
      <c r="AL581" s="393"/>
      <c r="AM581" s="393"/>
      <c r="AN581" s="417"/>
      <c r="AO581" s="392"/>
      <c r="AP581" s="392"/>
      <c r="AQ581" s="392"/>
      <c r="AR581" s="392" t="s">
        <v>249</v>
      </c>
      <c r="AS581" s="479">
        <v>40670</v>
      </c>
      <c r="AT581" s="453"/>
      <c r="AU581" s="453"/>
      <c r="AV581" s="453"/>
      <c r="AW581" s="453"/>
      <c r="AX581" s="453"/>
      <c r="AY581" s="453"/>
      <c r="AZ581" s="452">
        <v>41893</v>
      </c>
      <c r="BA581" s="393"/>
      <c r="BB581" s="393"/>
      <c r="BC581" s="393" t="b">
        <v>0</v>
      </c>
      <c r="BD581" s="393"/>
      <c r="BE581" s="392"/>
      <c r="BF581" s="394">
        <v>11</v>
      </c>
      <c r="BG581" s="394">
        <v>9</v>
      </c>
      <c r="BH581" s="394">
        <v>4</v>
      </c>
      <c r="BI581" s="394"/>
      <c r="BJ581" s="394"/>
      <c r="BK581" s="394"/>
      <c r="BL581" s="444" t="s">
        <v>6981</v>
      </c>
      <c r="BM581" s="392"/>
      <c r="BN581" s="393"/>
      <c r="BO581" s="393"/>
      <c r="BP581" s="399"/>
      <c r="BQ581" s="400"/>
      <c r="BR581" s="401"/>
      <c r="BS581" s="399"/>
      <c r="BT581" s="394"/>
      <c r="BU581" s="417">
        <v>0.48499999999999999</v>
      </c>
      <c r="BV581" s="399">
        <v>48.37</v>
      </c>
      <c r="BW581" s="393" t="s">
        <v>3165</v>
      </c>
      <c r="BX581" s="392" t="s">
        <v>3714</v>
      </c>
      <c r="BY581" s="393"/>
      <c r="BZ581" s="393"/>
      <c r="CA581" s="441"/>
      <c r="CB581" s="400"/>
      <c r="CC581" s="398"/>
      <c r="CD581" s="398"/>
      <c r="CE581" s="398"/>
      <c r="CF581" s="398"/>
      <c r="CG581" s="398"/>
      <c r="CH581" s="398"/>
      <c r="CI581" s="398"/>
      <c r="CJ581" s="398">
        <v>23.183</v>
      </c>
      <c r="CK581" s="398">
        <v>21.600999999999999</v>
      </c>
      <c r="CL581" s="398">
        <v>20.018999999999998</v>
      </c>
      <c r="CM581" s="398">
        <v>18.437000000000001</v>
      </c>
      <c r="CN581" s="398">
        <v>16.855</v>
      </c>
      <c r="CO581" s="398">
        <v>15.273999999999999</v>
      </c>
      <c r="CP581" s="398">
        <v>13.692</v>
      </c>
      <c r="CQ581" s="398"/>
      <c r="CR581" s="398"/>
      <c r="CS581" s="398"/>
      <c r="CT581" s="398"/>
      <c r="CU581" s="398"/>
      <c r="CV581" s="398"/>
      <c r="CW581" s="398"/>
      <c r="CX581" s="398"/>
      <c r="CY581" s="398"/>
      <c r="CZ581" s="398"/>
      <c r="DA581" s="398"/>
      <c r="DB581" s="398"/>
      <c r="DC581" s="398"/>
      <c r="DD581" s="398"/>
      <c r="DE581" s="393"/>
      <c r="DF581" s="393"/>
      <c r="DG581" s="393"/>
      <c r="DH581" s="393"/>
      <c r="DI581" s="393"/>
      <c r="DJ581" s="393"/>
      <c r="DK581" s="897"/>
    </row>
    <row r="582" spans="1:115" ht="25.5" x14ac:dyDescent="0.2">
      <c r="A582" s="295">
        <v>578</v>
      </c>
      <c r="B582" s="390" t="s">
        <v>6497</v>
      </c>
      <c r="C582" s="390"/>
      <c r="D582" s="391" t="s">
        <v>6323</v>
      </c>
      <c r="E582" s="704" t="s">
        <v>6324</v>
      </c>
      <c r="F582" s="393" t="s">
        <v>1352</v>
      </c>
      <c r="G582" s="393" t="s">
        <v>1673</v>
      </c>
      <c r="H582" s="393" t="s">
        <v>239</v>
      </c>
      <c r="I582" s="392"/>
      <c r="J582" s="392"/>
      <c r="K582" s="392" t="s">
        <v>6325</v>
      </c>
      <c r="L582" s="392" t="s">
        <v>515</v>
      </c>
      <c r="M582" s="392"/>
      <c r="N582" s="393" t="s">
        <v>44</v>
      </c>
      <c r="O582" s="393" t="s">
        <v>51</v>
      </c>
      <c r="P582" s="393" t="s">
        <v>51</v>
      </c>
      <c r="Q582" s="392" t="s">
        <v>426</v>
      </c>
      <c r="R582" s="392" t="s">
        <v>6314</v>
      </c>
      <c r="S582" s="392" t="s">
        <v>427</v>
      </c>
      <c r="T582" s="394">
        <v>1</v>
      </c>
      <c r="U582" s="395">
        <v>13.103</v>
      </c>
      <c r="V582" s="395"/>
      <c r="W582" s="453"/>
      <c r="X582" s="394"/>
      <c r="Y582" s="394">
        <v>10</v>
      </c>
      <c r="Z582" s="394">
        <v>8</v>
      </c>
      <c r="AA582" s="395">
        <v>-1.6060000000000001</v>
      </c>
      <c r="AB582" s="452">
        <v>41760</v>
      </c>
      <c r="AC582" s="398"/>
      <c r="AD582" s="398">
        <v>131.03</v>
      </c>
      <c r="AE582" s="393" t="s">
        <v>54</v>
      </c>
      <c r="AF582" s="417"/>
      <c r="AG582" s="417"/>
      <c r="AH582" s="417"/>
      <c r="AI582" s="394"/>
      <c r="AJ582" s="453"/>
      <c r="AK582" s="453"/>
      <c r="AL582" s="393"/>
      <c r="AM582" s="393"/>
      <c r="AN582" s="417"/>
      <c r="AO582" s="392"/>
      <c r="AP582" s="392"/>
      <c r="AQ582" s="392"/>
      <c r="AR582" s="392" t="s">
        <v>249</v>
      </c>
      <c r="AS582" s="479">
        <v>40670</v>
      </c>
      <c r="AT582" s="453"/>
      <c r="AU582" s="453"/>
      <c r="AV582" s="453"/>
      <c r="AW582" s="453"/>
      <c r="AX582" s="453"/>
      <c r="AY582" s="453"/>
      <c r="AZ582" s="452">
        <v>41893</v>
      </c>
      <c r="BA582" s="393"/>
      <c r="BB582" s="393"/>
      <c r="BC582" s="393" t="b">
        <v>0</v>
      </c>
      <c r="BD582" s="393"/>
      <c r="BE582" s="392"/>
      <c r="BF582" s="394">
        <v>11</v>
      </c>
      <c r="BG582" s="394">
        <v>9</v>
      </c>
      <c r="BH582" s="394">
        <v>4</v>
      </c>
      <c r="BI582" s="394"/>
      <c r="BJ582" s="394"/>
      <c r="BK582" s="394"/>
      <c r="BL582" s="444" t="s">
        <v>6981</v>
      </c>
      <c r="BM582" s="392"/>
      <c r="BN582" s="393"/>
      <c r="BO582" s="393"/>
      <c r="BP582" s="399"/>
      <c r="BQ582" s="400"/>
      <c r="BR582" s="401"/>
      <c r="BS582" s="399"/>
      <c r="BT582" s="394"/>
      <c r="BU582" s="417">
        <v>0.48499999999999999</v>
      </c>
      <c r="BV582" s="399">
        <v>49.11</v>
      </c>
      <c r="BW582" s="393" t="s">
        <v>3165</v>
      </c>
      <c r="BX582" s="392" t="s">
        <v>3714</v>
      </c>
      <c r="BY582" s="393"/>
      <c r="BZ582" s="393"/>
      <c r="CA582" s="441"/>
      <c r="CB582" s="400"/>
      <c r="CC582" s="398"/>
      <c r="CD582" s="398"/>
      <c r="CE582" s="398"/>
      <c r="CF582" s="398"/>
      <c r="CG582" s="398"/>
      <c r="CH582" s="398"/>
      <c r="CI582" s="398"/>
      <c r="CJ582" s="398">
        <v>23.536000000000001</v>
      </c>
      <c r="CK582" s="398">
        <v>21.93</v>
      </c>
      <c r="CL582" s="398">
        <v>20.324000000000002</v>
      </c>
      <c r="CM582" s="398">
        <v>18.718</v>
      </c>
      <c r="CN582" s="398">
        <v>17.111999999999998</v>
      </c>
      <c r="CO582" s="398">
        <v>15.506</v>
      </c>
      <c r="CP582" s="398">
        <v>13.9</v>
      </c>
      <c r="CQ582" s="398"/>
      <c r="CR582" s="398"/>
      <c r="CS582" s="398"/>
      <c r="CT582" s="398"/>
      <c r="CU582" s="398"/>
      <c r="CV582" s="398"/>
      <c r="CW582" s="398"/>
      <c r="CX582" s="398"/>
      <c r="CY582" s="398"/>
      <c r="CZ582" s="398"/>
      <c r="DA582" s="398"/>
      <c r="DB582" s="398"/>
      <c r="DC582" s="398"/>
      <c r="DD582" s="398"/>
      <c r="DE582" s="393"/>
      <c r="DF582" s="393"/>
      <c r="DG582" s="393"/>
      <c r="DH582" s="393"/>
      <c r="DI582" s="393"/>
      <c r="DJ582" s="393"/>
      <c r="DK582" s="897"/>
    </row>
    <row r="583" spans="1:115" ht="25.5" x14ac:dyDescent="0.2">
      <c r="A583" s="295">
        <v>579</v>
      </c>
      <c r="B583" s="390" t="s">
        <v>6498</v>
      </c>
      <c r="C583" s="390"/>
      <c r="D583" s="391" t="s">
        <v>6326</v>
      </c>
      <c r="E583" s="704" t="s">
        <v>6327</v>
      </c>
      <c r="F583" s="393" t="s">
        <v>1352</v>
      </c>
      <c r="G583" s="393" t="s">
        <v>1673</v>
      </c>
      <c r="H583" s="393" t="s">
        <v>239</v>
      </c>
      <c r="I583" s="392"/>
      <c r="J583" s="392"/>
      <c r="K583" s="392" t="s">
        <v>6328</v>
      </c>
      <c r="L583" s="392" t="s">
        <v>515</v>
      </c>
      <c r="M583" s="392"/>
      <c r="N583" s="393" t="s">
        <v>44</v>
      </c>
      <c r="O583" s="393" t="s">
        <v>51</v>
      </c>
      <c r="P583" s="393" t="s">
        <v>51</v>
      </c>
      <c r="Q583" s="392" t="s">
        <v>426</v>
      </c>
      <c r="R583" s="392" t="s">
        <v>6318</v>
      </c>
      <c r="S583" s="392" t="s">
        <v>427</v>
      </c>
      <c r="T583" s="394">
        <v>1</v>
      </c>
      <c r="U583" s="395">
        <v>13.606999999999999</v>
      </c>
      <c r="V583" s="395"/>
      <c r="W583" s="453"/>
      <c r="X583" s="394"/>
      <c r="Y583" s="394">
        <v>10</v>
      </c>
      <c r="Z583" s="394">
        <v>8</v>
      </c>
      <c r="AA583" s="395">
        <v>-1.6679999999999999</v>
      </c>
      <c r="AB583" s="452">
        <v>41760</v>
      </c>
      <c r="AC583" s="398"/>
      <c r="AD583" s="398">
        <v>136.07</v>
      </c>
      <c r="AE583" s="393" t="s">
        <v>54</v>
      </c>
      <c r="AF583" s="417"/>
      <c r="AG583" s="417"/>
      <c r="AH583" s="417"/>
      <c r="AI583" s="394"/>
      <c r="AJ583" s="453"/>
      <c r="AK583" s="453"/>
      <c r="AL583" s="393"/>
      <c r="AM583" s="393"/>
      <c r="AN583" s="417"/>
      <c r="AO583" s="392"/>
      <c r="AP583" s="392"/>
      <c r="AQ583" s="392"/>
      <c r="AR583" s="392" t="s">
        <v>249</v>
      </c>
      <c r="AS583" s="479">
        <v>40670</v>
      </c>
      <c r="AT583" s="453"/>
      <c r="AU583" s="453"/>
      <c r="AV583" s="453"/>
      <c r="AW583" s="453"/>
      <c r="AX583" s="453"/>
      <c r="AY583" s="453"/>
      <c r="AZ583" s="452">
        <v>41893</v>
      </c>
      <c r="BA583" s="393"/>
      <c r="BB583" s="393"/>
      <c r="BC583" s="393" t="b">
        <v>0</v>
      </c>
      <c r="BD583" s="393"/>
      <c r="BE583" s="392"/>
      <c r="BF583" s="394">
        <v>11</v>
      </c>
      <c r="BG583" s="394">
        <v>9</v>
      </c>
      <c r="BH583" s="394">
        <v>4</v>
      </c>
      <c r="BI583" s="394"/>
      <c r="BJ583" s="394"/>
      <c r="BK583" s="394"/>
      <c r="BL583" s="444" t="s">
        <v>6981</v>
      </c>
      <c r="BM583" s="392"/>
      <c r="BN583" s="393"/>
      <c r="BO583" s="393"/>
      <c r="BP583" s="399"/>
      <c r="BQ583" s="400"/>
      <c r="BR583" s="401"/>
      <c r="BS583" s="399"/>
      <c r="BT583" s="394"/>
      <c r="BU583" s="417">
        <v>0.48499999999999999</v>
      </c>
      <c r="BV583" s="399">
        <v>51</v>
      </c>
      <c r="BW583" s="393" t="s">
        <v>3165</v>
      </c>
      <c r="BX583" s="392" t="s">
        <v>3714</v>
      </c>
      <c r="BY583" s="393"/>
      <c r="BZ583" s="393"/>
      <c r="CA583" s="441"/>
      <c r="CB583" s="400"/>
      <c r="CC583" s="398"/>
      <c r="CD583" s="398"/>
      <c r="CE583" s="398"/>
      <c r="CF583" s="398"/>
      <c r="CG583" s="398"/>
      <c r="CH583" s="398"/>
      <c r="CI583" s="398"/>
      <c r="CJ583" s="398">
        <v>24.440999999999999</v>
      </c>
      <c r="CK583" s="398">
        <v>22.774000000000001</v>
      </c>
      <c r="CL583" s="398">
        <v>21.106000000000002</v>
      </c>
      <c r="CM583" s="398">
        <v>19.437999999999999</v>
      </c>
      <c r="CN583" s="398">
        <v>17.77</v>
      </c>
      <c r="CO583" s="398">
        <v>16.103000000000002</v>
      </c>
      <c r="CP583" s="398">
        <v>14.435</v>
      </c>
      <c r="CQ583" s="398"/>
      <c r="CR583" s="398"/>
      <c r="CS583" s="398"/>
      <c r="CT583" s="398"/>
      <c r="CU583" s="398"/>
      <c r="CV583" s="398"/>
      <c r="CW583" s="398"/>
      <c r="CX583" s="398"/>
      <c r="CY583" s="398"/>
      <c r="CZ583" s="398"/>
      <c r="DA583" s="398"/>
      <c r="DB583" s="398"/>
      <c r="DC583" s="398"/>
      <c r="DD583" s="398"/>
      <c r="DE583" s="393"/>
      <c r="DF583" s="393"/>
      <c r="DG583" s="393"/>
      <c r="DH583" s="393"/>
      <c r="DI583" s="393"/>
      <c r="DJ583" s="393"/>
      <c r="DK583" s="897"/>
    </row>
    <row r="584" spans="1:115" ht="25.5" x14ac:dyDescent="0.2">
      <c r="A584" s="295">
        <v>580</v>
      </c>
      <c r="B584" s="390" t="s">
        <v>6499</v>
      </c>
      <c r="C584" s="390"/>
      <c r="D584" s="391" t="s">
        <v>6329</v>
      </c>
      <c r="E584" s="704" t="s">
        <v>6330</v>
      </c>
      <c r="F584" s="393" t="s">
        <v>1352</v>
      </c>
      <c r="G584" s="393" t="s">
        <v>1673</v>
      </c>
      <c r="H584" s="393" t="s">
        <v>239</v>
      </c>
      <c r="I584" s="392"/>
      <c r="J584" s="392"/>
      <c r="K584" s="392" t="s">
        <v>6331</v>
      </c>
      <c r="L584" s="392" t="s">
        <v>515</v>
      </c>
      <c r="M584" s="392"/>
      <c r="N584" s="393" t="s">
        <v>44</v>
      </c>
      <c r="O584" s="393" t="s">
        <v>51</v>
      </c>
      <c r="P584" s="393" t="s">
        <v>51</v>
      </c>
      <c r="Q584" s="392" t="s">
        <v>426</v>
      </c>
      <c r="R584" s="392" t="s">
        <v>6314</v>
      </c>
      <c r="S584" s="392" t="s">
        <v>427</v>
      </c>
      <c r="T584" s="394">
        <v>1</v>
      </c>
      <c r="U584" s="395">
        <v>13.103</v>
      </c>
      <c r="V584" s="395"/>
      <c r="W584" s="453"/>
      <c r="X584" s="394"/>
      <c r="Y584" s="394">
        <v>10</v>
      </c>
      <c r="Z584" s="394">
        <v>8</v>
      </c>
      <c r="AA584" s="395">
        <v>-1.6060000000000001</v>
      </c>
      <c r="AB584" s="452">
        <v>41760</v>
      </c>
      <c r="AC584" s="398"/>
      <c r="AD584" s="398">
        <v>131.03</v>
      </c>
      <c r="AE584" s="393" t="s">
        <v>54</v>
      </c>
      <c r="AF584" s="417"/>
      <c r="AG584" s="417"/>
      <c r="AH584" s="417"/>
      <c r="AI584" s="394"/>
      <c r="AJ584" s="453"/>
      <c r="AK584" s="453"/>
      <c r="AL584" s="393"/>
      <c r="AM584" s="393"/>
      <c r="AN584" s="417"/>
      <c r="AO584" s="392"/>
      <c r="AP584" s="392"/>
      <c r="AQ584" s="392"/>
      <c r="AR584" s="392" t="s">
        <v>249</v>
      </c>
      <c r="AS584" s="479">
        <v>40670</v>
      </c>
      <c r="AT584" s="453"/>
      <c r="AU584" s="453"/>
      <c r="AV584" s="453"/>
      <c r="AW584" s="453"/>
      <c r="AX584" s="453"/>
      <c r="AY584" s="453"/>
      <c r="AZ584" s="452">
        <v>41893</v>
      </c>
      <c r="BA584" s="393"/>
      <c r="BB584" s="393"/>
      <c r="BC584" s="393" t="b">
        <v>0</v>
      </c>
      <c r="BD584" s="393"/>
      <c r="BE584" s="392"/>
      <c r="BF584" s="394">
        <v>11</v>
      </c>
      <c r="BG584" s="394">
        <v>9</v>
      </c>
      <c r="BH584" s="394">
        <v>4</v>
      </c>
      <c r="BI584" s="394"/>
      <c r="BJ584" s="394"/>
      <c r="BK584" s="394"/>
      <c r="BL584" s="444" t="s">
        <v>6981</v>
      </c>
      <c r="BM584" s="392"/>
      <c r="BN584" s="393"/>
      <c r="BO584" s="393"/>
      <c r="BP584" s="399"/>
      <c r="BQ584" s="400"/>
      <c r="BR584" s="401"/>
      <c r="BS584" s="399"/>
      <c r="BT584" s="394"/>
      <c r="BU584" s="417">
        <v>0.48499999999999999</v>
      </c>
      <c r="BV584" s="399">
        <v>49.11</v>
      </c>
      <c r="BW584" s="393" t="s">
        <v>3165</v>
      </c>
      <c r="BX584" s="392" t="s">
        <v>3714</v>
      </c>
      <c r="BY584" s="393"/>
      <c r="BZ584" s="393"/>
      <c r="CA584" s="441"/>
      <c r="CB584" s="400"/>
      <c r="CC584" s="398"/>
      <c r="CD584" s="398"/>
      <c r="CE584" s="398"/>
      <c r="CF584" s="398"/>
      <c r="CG584" s="398"/>
      <c r="CH584" s="398"/>
      <c r="CI584" s="398"/>
      <c r="CJ584" s="398">
        <v>23.536000000000001</v>
      </c>
      <c r="CK584" s="398">
        <v>21.93</v>
      </c>
      <c r="CL584" s="398">
        <v>20.324000000000002</v>
      </c>
      <c r="CM584" s="398">
        <v>18.718</v>
      </c>
      <c r="CN584" s="398">
        <v>17.111999999999998</v>
      </c>
      <c r="CO584" s="398">
        <v>15.506</v>
      </c>
      <c r="CP584" s="398">
        <v>13.9</v>
      </c>
      <c r="CQ584" s="398"/>
      <c r="CR584" s="398"/>
      <c r="CS584" s="398"/>
      <c r="CT584" s="398"/>
      <c r="CU584" s="398"/>
      <c r="CV584" s="398"/>
      <c r="CW584" s="398"/>
      <c r="CX584" s="398"/>
      <c r="CY584" s="398"/>
      <c r="CZ584" s="398"/>
      <c r="DA584" s="398"/>
      <c r="DB584" s="398"/>
      <c r="DC584" s="398"/>
      <c r="DD584" s="398"/>
      <c r="DE584" s="393"/>
      <c r="DF584" s="393"/>
      <c r="DG584" s="393"/>
      <c r="DH584" s="393"/>
      <c r="DI584" s="393"/>
      <c r="DJ584" s="393"/>
      <c r="DK584" s="897"/>
    </row>
    <row r="585" spans="1:115" ht="25.5" x14ac:dyDescent="0.2">
      <c r="A585" s="295">
        <v>581</v>
      </c>
      <c r="B585" s="390" t="s">
        <v>6500</v>
      </c>
      <c r="C585" s="390"/>
      <c r="D585" s="391" t="s">
        <v>6332</v>
      </c>
      <c r="E585" s="704" t="s">
        <v>6333</v>
      </c>
      <c r="F585" s="393" t="s">
        <v>1352</v>
      </c>
      <c r="G585" s="393" t="s">
        <v>1673</v>
      </c>
      <c r="H585" s="393" t="s">
        <v>239</v>
      </c>
      <c r="I585" s="392"/>
      <c r="J585" s="392"/>
      <c r="K585" s="392" t="s">
        <v>6334</v>
      </c>
      <c r="L585" s="392" t="s">
        <v>515</v>
      </c>
      <c r="M585" s="392"/>
      <c r="N585" s="393" t="s">
        <v>44</v>
      </c>
      <c r="O585" s="393" t="s">
        <v>51</v>
      </c>
      <c r="P585" s="393" t="s">
        <v>51</v>
      </c>
      <c r="Q585" s="392" t="s">
        <v>426</v>
      </c>
      <c r="R585" s="392" t="s">
        <v>6335</v>
      </c>
      <c r="S585" s="392" t="s">
        <v>427</v>
      </c>
      <c r="T585" s="394">
        <v>1</v>
      </c>
      <c r="U585" s="395">
        <v>13.363</v>
      </c>
      <c r="V585" s="395"/>
      <c r="W585" s="453"/>
      <c r="X585" s="394"/>
      <c r="Y585" s="394">
        <v>10</v>
      </c>
      <c r="Z585" s="394">
        <v>8</v>
      </c>
      <c r="AA585" s="395">
        <v>-1.6379999999999999</v>
      </c>
      <c r="AB585" s="452">
        <v>41760</v>
      </c>
      <c r="AC585" s="398"/>
      <c r="AD585" s="398">
        <v>133.63</v>
      </c>
      <c r="AE585" s="393" t="s">
        <v>54</v>
      </c>
      <c r="AF585" s="417"/>
      <c r="AG585" s="417"/>
      <c r="AH585" s="417"/>
      <c r="AI585" s="394"/>
      <c r="AJ585" s="453"/>
      <c r="AK585" s="453"/>
      <c r="AL585" s="393"/>
      <c r="AM585" s="393"/>
      <c r="AN585" s="417"/>
      <c r="AO585" s="392"/>
      <c r="AP585" s="392"/>
      <c r="AQ585" s="392"/>
      <c r="AR585" s="392" t="s">
        <v>249</v>
      </c>
      <c r="AS585" s="479">
        <v>40670</v>
      </c>
      <c r="AT585" s="453"/>
      <c r="AU585" s="453"/>
      <c r="AV585" s="453"/>
      <c r="AW585" s="453"/>
      <c r="AX585" s="453"/>
      <c r="AY585" s="453"/>
      <c r="AZ585" s="452">
        <v>41893</v>
      </c>
      <c r="BA585" s="393"/>
      <c r="BB585" s="393"/>
      <c r="BC585" s="393" t="b">
        <v>0</v>
      </c>
      <c r="BD585" s="393"/>
      <c r="BE585" s="392"/>
      <c r="BF585" s="394">
        <v>11</v>
      </c>
      <c r="BG585" s="394">
        <v>9</v>
      </c>
      <c r="BH585" s="394">
        <v>4</v>
      </c>
      <c r="BI585" s="394"/>
      <c r="BJ585" s="394"/>
      <c r="BK585" s="394"/>
      <c r="BL585" s="444" t="s">
        <v>6981</v>
      </c>
      <c r="BM585" s="392"/>
      <c r="BN585" s="393"/>
      <c r="BO585" s="393"/>
      <c r="BP585" s="399"/>
      <c r="BQ585" s="400"/>
      <c r="BR585" s="401"/>
      <c r="BS585" s="399"/>
      <c r="BT585" s="394"/>
      <c r="BU585" s="417">
        <v>0.48499999999999999</v>
      </c>
      <c r="BV585" s="399">
        <v>50.09</v>
      </c>
      <c r="BW585" s="393" t="s">
        <v>3165</v>
      </c>
      <c r="BX585" s="392" t="s">
        <v>3714</v>
      </c>
      <c r="BY585" s="393"/>
      <c r="BZ585" s="393"/>
      <c r="CA585" s="441"/>
      <c r="CB585" s="400"/>
      <c r="CC585" s="398"/>
      <c r="CD585" s="398"/>
      <c r="CE585" s="398"/>
      <c r="CF585" s="398"/>
      <c r="CG585" s="398"/>
      <c r="CH585" s="398"/>
      <c r="CI585" s="398"/>
      <c r="CJ585" s="398">
        <v>24.003</v>
      </c>
      <c r="CK585" s="398">
        <v>22.364999999999998</v>
      </c>
      <c r="CL585" s="398">
        <v>20.727</v>
      </c>
      <c r="CM585" s="398">
        <v>19.09</v>
      </c>
      <c r="CN585" s="398">
        <v>17.452000000000002</v>
      </c>
      <c r="CO585" s="398">
        <v>15.814</v>
      </c>
      <c r="CP585" s="398">
        <v>14.176</v>
      </c>
      <c r="CQ585" s="398"/>
      <c r="CR585" s="398"/>
      <c r="CS585" s="398"/>
      <c r="CT585" s="398"/>
      <c r="CU585" s="398"/>
      <c r="CV585" s="398"/>
      <c r="CW585" s="398"/>
      <c r="CX585" s="398"/>
      <c r="CY585" s="398"/>
      <c r="CZ585" s="398"/>
      <c r="DA585" s="398"/>
      <c r="DB585" s="398"/>
      <c r="DC585" s="398"/>
      <c r="DD585" s="398"/>
      <c r="DE585" s="393"/>
      <c r="DF585" s="393"/>
      <c r="DG585" s="393"/>
      <c r="DH585" s="393"/>
      <c r="DI585" s="393"/>
      <c r="DJ585" s="393"/>
      <c r="DK585" s="897"/>
    </row>
    <row r="586" spans="1:115" ht="25.5" x14ac:dyDescent="0.2">
      <c r="A586" s="295">
        <v>582</v>
      </c>
      <c r="B586" s="390" t="s">
        <v>6501</v>
      </c>
      <c r="C586" s="390"/>
      <c r="D586" s="391" t="s">
        <v>6336</v>
      </c>
      <c r="E586" s="704" t="s">
        <v>6337</v>
      </c>
      <c r="F586" s="393" t="s">
        <v>1352</v>
      </c>
      <c r="G586" s="393" t="s">
        <v>1673</v>
      </c>
      <c r="H586" s="393" t="s">
        <v>239</v>
      </c>
      <c r="I586" s="392"/>
      <c r="J586" s="392"/>
      <c r="K586" s="392" t="s">
        <v>6338</v>
      </c>
      <c r="L586" s="392" t="s">
        <v>515</v>
      </c>
      <c r="M586" s="392"/>
      <c r="N586" s="393" t="s">
        <v>44</v>
      </c>
      <c r="O586" s="393" t="s">
        <v>51</v>
      </c>
      <c r="P586" s="393" t="s">
        <v>51</v>
      </c>
      <c r="Q586" s="392" t="s">
        <v>426</v>
      </c>
      <c r="R586" s="392" t="s">
        <v>6339</v>
      </c>
      <c r="S586" s="392" t="s">
        <v>427</v>
      </c>
      <c r="T586" s="394">
        <v>1</v>
      </c>
      <c r="U586" s="395">
        <v>12.964</v>
      </c>
      <c r="V586" s="395"/>
      <c r="W586" s="453"/>
      <c r="X586" s="394"/>
      <c r="Y586" s="394">
        <v>10</v>
      </c>
      <c r="Z586" s="394">
        <v>8</v>
      </c>
      <c r="AA586" s="395">
        <v>-1.589</v>
      </c>
      <c r="AB586" s="452">
        <v>41760</v>
      </c>
      <c r="AC586" s="398"/>
      <c r="AD586" s="398">
        <v>129.64000000000001</v>
      </c>
      <c r="AE586" s="393" t="s">
        <v>54</v>
      </c>
      <c r="AF586" s="417"/>
      <c r="AG586" s="417"/>
      <c r="AH586" s="417"/>
      <c r="AI586" s="394"/>
      <c r="AJ586" s="453"/>
      <c r="AK586" s="453"/>
      <c r="AL586" s="393"/>
      <c r="AM586" s="393"/>
      <c r="AN586" s="417"/>
      <c r="AO586" s="392"/>
      <c r="AP586" s="392"/>
      <c r="AQ586" s="392"/>
      <c r="AR586" s="392" t="s">
        <v>249</v>
      </c>
      <c r="AS586" s="479">
        <v>40670</v>
      </c>
      <c r="AT586" s="453"/>
      <c r="AU586" s="453"/>
      <c r="AV586" s="453"/>
      <c r="AW586" s="453"/>
      <c r="AX586" s="453"/>
      <c r="AY586" s="453"/>
      <c r="AZ586" s="452">
        <v>41893</v>
      </c>
      <c r="BA586" s="393"/>
      <c r="BB586" s="393"/>
      <c r="BC586" s="393" t="b">
        <v>0</v>
      </c>
      <c r="BD586" s="393"/>
      <c r="BE586" s="392"/>
      <c r="BF586" s="394">
        <v>11</v>
      </c>
      <c r="BG586" s="394">
        <v>9</v>
      </c>
      <c r="BH586" s="394">
        <v>4</v>
      </c>
      <c r="BI586" s="394"/>
      <c r="BJ586" s="394"/>
      <c r="BK586" s="394"/>
      <c r="BL586" s="444" t="s">
        <v>6981</v>
      </c>
      <c r="BM586" s="392"/>
      <c r="BN586" s="393"/>
      <c r="BO586" s="393"/>
      <c r="BP586" s="399"/>
      <c r="BQ586" s="400"/>
      <c r="BR586" s="401"/>
      <c r="BS586" s="399"/>
      <c r="BT586" s="394"/>
      <c r="BU586" s="417">
        <v>0.48499999999999999</v>
      </c>
      <c r="BV586" s="399">
        <v>48.59</v>
      </c>
      <c r="BW586" s="393" t="s">
        <v>3165</v>
      </c>
      <c r="BX586" s="392" t="s">
        <v>3714</v>
      </c>
      <c r="BY586" s="393"/>
      <c r="BZ586" s="393"/>
      <c r="CA586" s="441"/>
      <c r="CB586" s="400"/>
      <c r="CC586" s="398"/>
      <c r="CD586" s="398"/>
      <c r="CE586" s="398"/>
      <c r="CF586" s="398"/>
      <c r="CG586" s="398"/>
      <c r="CH586" s="398"/>
      <c r="CI586" s="398"/>
      <c r="CJ586" s="398">
        <v>23.286999999999999</v>
      </c>
      <c r="CK586" s="398">
        <v>21.698</v>
      </c>
      <c r="CL586" s="398">
        <v>20.109000000000002</v>
      </c>
      <c r="CM586" s="398">
        <v>18.52</v>
      </c>
      <c r="CN586" s="398">
        <v>16.931000000000001</v>
      </c>
      <c r="CO586" s="398">
        <v>15.342000000000001</v>
      </c>
      <c r="CP586" s="398">
        <v>13.754</v>
      </c>
      <c r="CQ586" s="398"/>
      <c r="CR586" s="398"/>
      <c r="CS586" s="398"/>
      <c r="CT586" s="398"/>
      <c r="CU586" s="398"/>
      <c r="CV586" s="398"/>
      <c r="CW586" s="398"/>
      <c r="CX586" s="398"/>
      <c r="CY586" s="398"/>
      <c r="CZ586" s="398"/>
      <c r="DA586" s="398"/>
      <c r="DB586" s="398"/>
      <c r="DC586" s="398"/>
      <c r="DD586" s="398"/>
      <c r="DE586" s="393"/>
      <c r="DF586" s="393"/>
      <c r="DG586" s="393"/>
      <c r="DH586" s="393"/>
      <c r="DI586" s="393"/>
      <c r="DJ586" s="393"/>
      <c r="DK586" s="897"/>
    </row>
    <row r="587" spans="1:115" ht="25.5" x14ac:dyDescent="0.2">
      <c r="A587" s="295">
        <v>583</v>
      </c>
      <c r="B587" s="390" t="s">
        <v>6502</v>
      </c>
      <c r="C587" s="390"/>
      <c r="D587" s="391" t="s">
        <v>6340</v>
      </c>
      <c r="E587" s="704" t="s">
        <v>6341</v>
      </c>
      <c r="F587" s="393" t="s">
        <v>1352</v>
      </c>
      <c r="G587" s="393" t="s">
        <v>1673</v>
      </c>
      <c r="H587" s="393" t="s">
        <v>239</v>
      </c>
      <c r="I587" s="392"/>
      <c r="J587" s="392"/>
      <c r="K587" s="392" t="s">
        <v>6342</v>
      </c>
      <c r="L587" s="392" t="s">
        <v>515</v>
      </c>
      <c r="M587" s="392"/>
      <c r="N587" s="393" t="s">
        <v>44</v>
      </c>
      <c r="O587" s="393" t="s">
        <v>51</v>
      </c>
      <c r="P587" s="393" t="s">
        <v>51</v>
      </c>
      <c r="Q587" s="392" t="s">
        <v>426</v>
      </c>
      <c r="R587" s="392" t="s">
        <v>6343</v>
      </c>
      <c r="S587" s="392" t="s">
        <v>427</v>
      </c>
      <c r="T587" s="394">
        <v>1</v>
      </c>
      <c r="U587" s="395">
        <v>13.561</v>
      </c>
      <c r="V587" s="395"/>
      <c r="W587" s="453"/>
      <c r="X587" s="394"/>
      <c r="Y587" s="394">
        <v>10</v>
      </c>
      <c r="Z587" s="394">
        <v>8</v>
      </c>
      <c r="AA587" s="395">
        <v>-1.6619999999999999</v>
      </c>
      <c r="AB587" s="452">
        <v>41760</v>
      </c>
      <c r="AC587" s="398"/>
      <c r="AD587" s="398">
        <v>135.61000000000001</v>
      </c>
      <c r="AE587" s="393" t="s">
        <v>54</v>
      </c>
      <c r="AF587" s="417"/>
      <c r="AG587" s="417"/>
      <c r="AH587" s="417"/>
      <c r="AI587" s="394"/>
      <c r="AJ587" s="453"/>
      <c r="AK587" s="453"/>
      <c r="AL587" s="393"/>
      <c r="AM587" s="393"/>
      <c r="AN587" s="417"/>
      <c r="AO587" s="392"/>
      <c r="AP587" s="392"/>
      <c r="AQ587" s="392"/>
      <c r="AR587" s="392" t="s">
        <v>249</v>
      </c>
      <c r="AS587" s="479">
        <v>40670</v>
      </c>
      <c r="AT587" s="453"/>
      <c r="AU587" s="453"/>
      <c r="AV587" s="453"/>
      <c r="AW587" s="453"/>
      <c r="AX587" s="453"/>
      <c r="AY587" s="453"/>
      <c r="AZ587" s="452">
        <v>41893</v>
      </c>
      <c r="BA587" s="393"/>
      <c r="BB587" s="393"/>
      <c r="BC587" s="393" t="b">
        <v>0</v>
      </c>
      <c r="BD587" s="393"/>
      <c r="BE587" s="392"/>
      <c r="BF587" s="394">
        <v>11</v>
      </c>
      <c r="BG587" s="394">
        <v>9</v>
      </c>
      <c r="BH587" s="394">
        <v>4</v>
      </c>
      <c r="BI587" s="394"/>
      <c r="BJ587" s="394"/>
      <c r="BK587" s="394"/>
      <c r="BL587" s="444" t="s">
        <v>6981</v>
      </c>
      <c r="BM587" s="392"/>
      <c r="BN587" s="393"/>
      <c r="BO587" s="393"/>
      <c r="BP587" s="399"/>
      <c r="BQ587" s="400"/>
      <c r="BR587" s="401"/>
      <c r="BS587" s="399"/>
      <c r="BT587" s="394"/>
      <c r="BU587" s="417">
        <v>0.48499999999999999</v>
      </c>
      <c r="BV587" s="399">
        <v>50.83</v>
      </c>
      <c r="BW587" s="393" t="s">
        <v>3165</v>
      </c>
      <c r="BX587" s="392" t="s">
        <v>3714</v>
      </c>
      <c r="BY587" s="393"/>
      <c r="BZ587" s="393"/>
      <c r="CA587" s="441"/>
      <c r="CB587" s="400"/>
      <c r="CC587" s="398"/>
      <c r="CD587" s="398"/>
      <c r="CE587" s="398"/>
      <c r="CF587" s="398"/>
      <c r="CG587" s="398"/>
      <c r="CH587" s="398"/>
      <c r="CI587" s="398"/>
      <c r="CJ587" s="398">
        <v>24.359000000000002</v>
      </c>
      <c r="CK587" s="398">
        <v>22.696999999999999</v>
      </c>
      <c r="CL587" s="398">
        <v>21.033999999999999</v>
      </c>
      <c r="CM587" s="398">
        <v>19.372</v>
      </c>
      <c r="CN587" s="398">
        <v>17.71</v>
      </c>
      <c r="CO587" s="398">
        <v>16.047999999999998</v>
      </c>
      <c r="CP587" s="398">
        <v>14.385999999999999</v>
      </c>
      <c r="CQ587" s="398"/>
      <c r="CR587" s="398"/>
      <c r="CS587" s="398"/>
      <c r="CT587" s="398"/>
      <c r="CU587" s="398"/>
      <c r="CV587" s="398"/>
      <c r="CW587" s="398"/>
      <c r="CX587" s="398"/>
      <c r="CY587" s="398"/>
      <c r="CZ587" s="398"/>
      <c r="DA587" s="398"/>
      <c r="DB587" s="398"/>
      <c r="DC587" s="398"/>
      <c r="DD587" s="398"/>
      <c r="DE587" s="393"/>
      <c r="DF587" s="393"/>
      <c r="DG587" s="393"/>
      <c r="DH587" s="393"/>
      <c r="DI587" s="393"/>
      <c r="DJ587" s="393"/>
      <c r="DK587" s="897"/>
    </row>
    <row r="588" spans="1:115" ht="25.5" x14ac:dyDescent="0.2">
      <c r="A588" s="295">
        <v>584</v>
      </c>
      <c r="B588" s="390" t="s">
        <v>6503</v>
      </c>
      <c r="C588" s="390"/>
      <c r="D588" s="391" t="s">
        <v>6344</v>
      </c>
      <c r="E588" s="704" t="s">
        <v>6345</v>
      </c>
      <c r="F588" s="393" t="s">
        <v>1352</v>
      </c>
      <c r="G588" s="393" t="s">
        <v>1673</v>
      </c>
      <c r="H588" s="393" t="s">
        <v>239</v>
      </c>
      <c r="I588" s="392"/>
      <c r="J588" s="392"/>
      <c r="K588" s="392" t="s">
        <v>6346</v>
      </c>
      <c r="L588" s="392" t="s">
        <v>515</v>
      </c>
      <c r="M588" s="392"/>
      <c r="N588" s="393" t="s">
        <v>44</v>
      </c>
      <c r="O588" s="393" t="s">
        <v>51</v>
      </c>
      <c r="P588" s="393" t="s">
        <v>51</v>
      </c>
      <c r="Q588" s="392" t="s">
        <v>426</v>
      </c>
      <c r="R588" s="392" t="s">
        <v>6347</v>
      </c>
      <c r="S588" s="392" t="s">
        <v>427</v>
      </c>
      <c r="T588" s="394">
        <v>1</v>
      </c>
      <c r="U588" s="395">
        <v>5.4370000000000003</v>
      </c>
      <c r="V588" s="395"/>
      <c r="W588" s="453"/>
      <c r="X588" s="394"/>
      <c r="Y588" s="394">
        <v>10</v>
      </c>
      <c r="Z588" s="394">
        <v>8</v>
      </c>
      <c r="AA588" s="395">
        <v>-0.66600000000000004</v>
      </c>
      <c r="AB588" s="452">
        <v>41760</v>
      </c>
      <c r="AC588" s="398"/>
      <c r="AD588" s="398">
        <v>54.370000000000005</v>
      </c>
      <c r="AE588" s="393" t="s">
        <v>54</v>
      </c>
      <c r="AF588" s="417"/>
      <c r="AG588" s="417"/>
      <c r="AH588" s="417"/>
      <c r="AI588" s="394"/>
      <c r="AJ588" s="453"/>
      <c r="AK588" s="453"/>
      <c r="AL588" s="393"/>
      <c r="AM588" s="393"/>
      <c r="AN588" s="417"/>
      <c r="AO588" s="392"/>
      <c r="AP588" s="392"/>
      <c r="AQ588" s="392"/>
      <c r="AR588" s="392" t="s">
        <v>249</v>
      </c>
      <c r="AS588" s="479">
        <v>40670</v>
      </c>
      <c r="AT588" s="453"/>
      <c r="AU588" s="453"/>
      <c r="AV588" s="453"/>
      <c r="AW588" s="453"/>
      <c r="AX588" s="453"/>
      <c r="AY588" s="453"/>
      <c r="AZ588" s="452">
        <v>41893</v>
      </c>
      <c r="BA588" s="393"/>
      <c r="BB588" s="393"/>
      <c r="BC588" s="393" t="b">
        <v>0</v>
      </c>
      <c r="BD588" s="393"/>
      <c r="BE588" s="392"/>
      <c r="BF588" s="394">
        <v>11</v>
      </c>
      <c r="BG588" s="394">
        <v>9</v>
      </c>
      <c r="BH588" s="394">
        <v>4</v>
      </c>
      <c r="BI588" s="394"/>
      <c r="BJ588" s="394"/>
      <c r="BK588" s="394"/>
      <c r="BL588" s="444" t="s">
        <v>6981</v>
      </c>
      <c r="BM588" s="392"/>
      <c r="BN588" s="393"/>
      <c r="BO588" s="393"/>
      <c r="BP588" s="399"/>
      <c r="BQ588" s="400"/>
      <c r="BR588" s="401"/>
      <c r="BS588" s="399"/>
      <c r="BT588" s="394"/>
      <c r="BU588" s="417">
        <v>0.48499999999999999</v>
      </c>
      <c r="BV588" s="399">
        <v>20.38</v>
      </c>
      <c r="BW588" s="393" t="s">
        <v>3165</v>
      </c>
      <c r="BX588" s="392" t="s">
        <v>3714</v>
      </c>
      <c r="BY588" s="393"/>
      <c r="BZ588" s="393"/>
      <c r="CA588" s="441"/>
      <c r="CB588" s="400"/>
      <c r="CC588" s="398"/>
      <c r="CD588" s="398"/>
      <c r="CE588" s="398"/>
      <c r="CF588" s="398"/>
      <c r="CG588" s="398"/>
      <c r="CH588" s="398"/>
      <c r="CI588" s="398"/>
      <c r="CJ588" s="398">
        <v>9.766</v>
      </c>
      <c r="CK588" s="398">
        <v>9.0990000000000002</v>
      </c>
      <c r="CL588" s="398">
        <v>8.4329999999999998</v>
      </c>
      <c r="CM588" s="398">
        <v>7.7670000000000003</v>
      </c>
      <c r="CN588" s="398">
        <v>7.1</v>
      </c>
      <c r="CO588" s="398">
        <v>6.4340000000000002</v>
      </c>
      <c r="CP588" s="398">
        <v>5.7679999999999998</v>
      </c>
      <c r="CQ588" s="398"/>
      <c r="CR588" s="398"/>
      <c r="CS588" s="398"/>
      <c r="CT588" s="398"/>
      <c r="CU588" s="398"/>
      <c r="CV588" s="398"/>
      <c r="CW588" s="398"/>
      <c r="CX588" s="398"/>
      <c r="CY588" s="398"/>
      <c r="CZ588" s="398"/>
      <c r="DA588" s="398"/>
      <c r="DB588" s="398"/>
      <c r="DC588" s="398"/>
      <c r="DD588" s="398"/>
      <c r="DE588" s="393"/>
      <c r="DF588" s="393"/>
      <c r="DG588" s="393"/>
      <c r="DH588" s="393"/>
      <c r="DI588" s="393"/>
      <c r="DJ588" s="393"/>
      <c r="DK588" s="897"/>
    </row>
    <row r="589" spans="1:115" ht="25.5" x14ac:dyDescent="0.2">
      <c r="A589" s="295">
        <v>585</v>
      </c>
      <c r="B589" s="390" t="s">
        <v>6504</v>
      </c>
      <c r="C589" s="390"/>
      <c r="D589" s="391" t="s">
        <v>6348</v>
      </c>
      <c r="E589" s="704" t="s">
        <v>6349</v>
      </c>
      <c r="F589" s="393" t="s">
        <v>1352</v>
      </c>
      <c r="G589" s="393" t="s">
        <v>1673</v>
      </c>
      <c r="H589" s="393" t="s">
        <v>239</v>
      </c>
      <c r="I589" s="392"/>
      <c r="J589" s="392"/>
      <c r="K589" s="392" t="s">
        <v>6346</v>
      </c>
      <c r="L589" s="392" t="s">
        <v>515</v>
      </c>
      <c r="M589" s="392"/>
      <c r="N589" s="393" t="s">
        <v>44</v>
      </c>
      <c r="O589" s="393" t="s">
        <v>51</v>
      </c>
      <c r="P589" s="393" t="s">
        <v>51</v>
      </c>
      <c r="Q589" s="392" t="s">
        <v>426</v>
      </c>
      <c r="R589" s="392" t="s">
        <v>6350</v>
      </c>
      <c r="S589" s="392" t="s">
        <v>427</v>
      </c>
      <c r="T589" s="394">
        <v>1</v>
      </c>
      <c r="U589" s="395">
        <v>11.432</v>
      </c>
      <c r="V589" s="395"/>
      <c r="W589" s="453"/>
      <c r="X589" s="394"/>
      <c r="Y589" s="394">
        <v>10</v>
      </c>
      <c r="Z589" s="394">
        <v>8</v>
      </c>
      <c r="AA589" s="395">
        <v>-2.5710000000000002</v>
      </c>
      <c r="AB589" s="452">
        <v>41760</v>
      </c>
      <c r="AC589" s="398"/>
      <c r="AD589" s="398">
        <v>114.32000000000001</v>
      </c>
      <c r="AE589" s="393" t="s">
        <v>54</v>
      </c>
      <c r="AF589" s="417"/>
      <c r="AG589" s="417"/>
      <c r="AH589" s="417"/>
      <c r="AI589" s="394"/>
      <c r="AJ589" s="453"/>
      <c r="AK589" s="453"/>
      <c r="AL589" s="393"/>
      <c r="AM589" s="393"/>
      <c r="AN589" s="417"/>
      <c r="AO589" s="392"/>
      <c r="AP589" s="392"/>
      <c r="AQ589" s="392"/>
      <c r="AR589" s="392" t="s">
        <v>249</v>
      </c>
      <c r="AS589" s="479">
        <v>40670</v>
      </c>
      <c r="AT589" s="453"/>
      <c r="AU589" s="453"/>
      <c r="AV589" s="453"/>
      <c r="AW589" s="453"/>
      <c r="AX589" s="453"/>
      <c r="AY589" s="453"/>
      <c r="AZ589" s="452">
        <v>41893</v>
      </c>
      <c r="BA589" s="393"/>
      <c r="BB589" s="393"/>
      <c r="BC589" s="393" t="b">
        <v>0</v>
      </c>
      <c r="BD589" s="393"/>
      <c r="BE589" s="392"/>
      <c r="BF589" s="394">
        <v>11</v>
      </c>
      <c r="BG589" s="394">
        <v>9</v>
      </c>
      <c r="BH589" s="394">
        <v>4</v>
      </c>
      <c r="BI589" s="394"/>
      <c r="BJ589" s="394"/>
      <c r="BK589" s="394"/>
      <c r="BL589" s="444" t="s">
        <v>6981</v>
      </c>
      <c r="BM589" s="392"/>
      <c r="BN589" s="393"/>
      <c r="BO589" s="393"/>
      <c r="BP589" s="399"/>
      <c r="BQ589" s="400"/>
      <c r="BR589" s="401"/>
      <c r="BS589" s="399"/>
      <c r="BT589" s="394"/>
      <c r="BU589" s="417">
        <v>0.48499999999999999</v>
      </c>
      <c r="BV589" s="399">
        <v>42.85</v>
      </c>
      <c r="BW589" s="393" t="s">
        <v>3165</v>
      </c>
      <c r="BX589" s="392" t="s">
        <v>3714</v>
      </c>
      <c r="BY589" s="393"/>
      <c r="BZ589" s="393"/>
      <c r="CA589" s="441"/>
      <c r="CB589" s="400"/>
      <c r="CC589" s="398"/>
      <c r="CD589" s="398"/>
      <c r="CE589" s="398"/>
      <c r="CF589" s="398"/>
      <c r="CG589" s="398"/>
      <c r="CH589" s="398"/>
      <c r="CI589" s="398"/>
      <c r="CJ589" s="398">
        <v>20.533999999999999</v>
      </c>
      <c r="CK589" s="398">
        <v>19.132999999999999</v>
      </c>
      <c r="CL589" s="398">
        <v>17.731999999999999</v>
      </c>
      <c r="CM589" s="398">
        <v>16.331</v>
      </c>
      <c r="CN589" s="398">
        <v>14.93</v>
      </c>
      <c r="CO589" s="398">
        <v>13.529</v>
      </c>
      <c r="CP589" s="398">
        <v>12.127000000000001</v>
      </c>
      <c r="CQ589" s="398"/>
      <c r="CR589" s="398"/>
      <c r="CS589" s="398"/>
      <c r="CT589" s="398"/>
      <c r="CU589" s="398"/>
      <c r="CV589" s="398"/>
      <c r="CW589" s="398"/>
      <c r="CX589" s="398"/>
      <c r="CY589" s="398"/>
      <c r="CZ589" s="398"/>
      <c r="DA589" s="398"/>
      <c r="DB589" s="398"/>
      <c r="DC589" s="398"/>
      <c r="DD589" s="398"/>
      <c r="DE589" s="393"/>
      <c r="DF589" s="393"/>
      <c r="DG589" s="393"/>
      <c r="DH589" s="393"/>
      <c r="DI589" s="393"/>
      <c r="DJ589" s="393"/>
      <c r="DK589" s="897"/>
    </row>
    <row r="590" spans="1:115" ht="25.5" x14ac:dyDescent="0.2">
      <c r="A590" s="295">
        <v>586</v>
      </c>
      <c r="B590" s="390" t="s">
        <v>6505</v>
      </c>
      <c r="C590" s="390"/>
      <c r="D590" s="391" t="s">
        <v>6351</v>
      </c>
      <c r="E590" s="704" t="s">
        <v>6352</v>
      </c>
      <c r="F590" s="393" t="s">
        <v>1352</v>
      </c>
      <c r="G590" s="393" t="s">
        <v>1673</v>
      </c>
      <c r="H590" s="393" t="s">
        <v>239</v>
      </c>
      <c r="I590" s="392"/>
      <c r="J590" s="392"/>
      <c r="K590" s="392" t="s">
        <v>6346</v>
      </c>
      <c r="L590" s="392" t="s">
        <v>515</v>
      </c>
      <c r="M590" s="392"/>
      <c r="N590" s="393" t="s">
        <v>44</v>
      </c>
      <c r="O590" s="393" t="s">
        <v>51</v>
      </c>
      <c r="P590" s="393" t="s">
        <v>51</v>
      </c>
      <c r="Q590" s="392" t="s">
        <v>426</v>
      </c>
      <c r="R590" s="392" t="s">
        <v>6353</v>
      </c>
      <c r="S590" s="392" t="s">
        <v>427</v>
      </c>
      <c r="T590" s="394">
        <v>1</v>
      </c>
      <c r="U590" s="395">
        <v>7.8460000000000001</v>
      </c>
      <c r="V590" s="395"/>
      <c r="W590" s="453"/>
      <c r="X590" s="394"/>
      <c r="Y590" s="394">
        <v>10</v>
      </c>
      <c r="Z590" s="394">
        <v>8</v>
      </c>
      <c r="AA590" s="395">
        <v>-0.96199999999999997</v>
      </c>
      <c r="AB590" s="452">
        <v>41760</v>
      </c>
      <c r="AC590" s="398"/>
      <c r="AD590" s="398">
        <v>78.460000000000008</v>
      </c>
      <c r="AE590" s="393" t="s">
        <v>54</v>
      </c>
      <c r="AF590" s="417"/>
      <c r="AG590" s="417"/>
      <c r="AH590" s="417"/>
      <c r="AI590" s="394"/>
      <c r="AJ590" s="453"/>
      <c r="AK590" s="453"/>
      <c r="AL590" s="393"/>
      <c r="AM590" s="393"/>
      <c r="AN590" s="417"/>
      <c r="AO590" s="392"/>
      <c r="AP590" s="392"/>
      <c r="AQ590" s="392"/>
      <c r="AR590" s="392" t="s">
        <v>249</v>
      </c>
      <c r="AS590" s="479">
        <v>40670</v>
      </c>
      <c r="AT590" s="453"/>
      <c r="AU590" s="453"/>
      <c r="AV590" s="453"/>
      <c r="AW590" s="453"/>
      <c r="AX590" s="453"/>
      <c r="AY590" s="453"/>
      <c r="AZ590" s="452">
        <v>41893</v>
      </c>
      <c r="BA590" s="393"/>
      <c r="BB590" s="393"/>
      <c r="BC590" s="393" t="b">
        <v>0</v>
      </c>
      <c r="BD590" s="393"/>
      <c r="BE590" s="392"/>
      <c r="BF590" s="394">
        <v>11</v>
      </c>
      <c r="BG590" s="394">
        <v>9</v>
      </c>
      <c r="BH590" s="394">
        <v>4</v>
      </c>
      <c r="BI590" s="394"/>
      <c r="BJ590" s="394"/>
      <c r="BK590" s="394"/>
      <c r="BL590" s="444" t="s">
        <v>6981</v>
      </c>
      <c r="BM590" s="392"/>
      <c r="BN590" s="393"/>
      <c r="BO590" s="393"/>
      <c r="BP590" s="399"/>
      <c r="BQ590" s="400"/>
      <c r="BR590" s="401"/>
      <c r="BS590" s="399"/>
      <c r="BT590" s="394"/>
      <c r="BU590" s="417">
        <v>0.48499999999999999</v>
      </c>
      <c r="BV590" s="399">
        <v>42.85</v>
      </c>
      <c r="BW590" s="393" t="s">
        <v>3165</v>
      </c>
      <c r="BX590" s="392" t="s">
        <v>3714</v>
      </c>
      <c r="BY590" s="393"/>
      <c r="BZ590" s="393"/>
      <c r="CA590" s="441"/>
      <c r="CB590" s="400"/>
      <c r="CC590" s="398"/>
      <c r="CD590" s="398"/>
      <c r="CE590" s="398"/>
      <c r="CF590" s="398"/>
      <c r="CG590" s="398"/>
      <c r="CH590" s="398"/>
      <c r="CI590" s="398"/>
      <c r="CJ590" s="398">
        <v>14.093</v>
      </c>
      <c r="CK590" s="398">
        <v>13.132</v>
      </c>
      <c r="CL590" s="398">
        <v>12.17</v>
      </c>
      <c r="CM590" s="398">
        <v>11.209</v>
      </c>
      <c r="CN590" s="398">
        <v>10.247</v>
      </c>
      <c r="CO590" s="398">
        <v>9.2850000000000001</v>
      </c>
      <c r="CP590" s="398">
        <v>8.3239999999999998</v>
      </c>
      <c r="CQ590" s="398"/>
      <c r="CR590" s="398"/>
      <c r="CS590" s="398"/>
      <c r="CT590" s="398"/>
      <c r="CU590" s="398"/>
      <c r="CV590" s="398"/>
      <c r="CW590" s="398"/>
      <c r="CX590" s="398"/>
      <c r="CY590" s="398"/>
      <c r="CZ590" s="398"/>
      <c r="DA590" s="398"/>
      <c r="DB590" s="398"/>
      <c r="DC590" s="398"/>
      <c r="DD590" s="398"/>
      <c r="DE590" s="393"/>
      <c r="DF590" s="393"/>
      <c r="DG590" s="393"/>
      <c r="DH590" s="393"/>
      <c r="DI590" s="393"/>
      <c r="DJ590" s="393"/>
      <c r="DK590" s="897"/>
    </row>
    <row r="591" spans="1:115" ht="25.5" x14ac:dyDescent="0.2">
      <c r="A591" s="295">
        <v>587</v>
      </c>
      <c r="B591" s="390" t="s">
        <v>6506</v>
      </c>
      <c r="C591" s="390"/>
      <c r="D591" s="391" t="s">
        <v>6354</v>
      </c>
      <c r="E591" s="704" t="s">
        <v>6355</v>
      </c>
      <c r="F591" s="393" t="s">
        <v>1352</v>
      </c>
      <c r="G591" s="393" t="s">
        <v>1673</v>
      </c>
      <c r="H591" s="393" t="s">
        <v>239</v>
      </c>
      <c r="I591" s="392"/>
      <c r="J591" s="392"/>
      <c r="K591" s="392" t="s">
        <v>6356</v>
      </c>
      <c r="L591" s="392" t="s">
        <v>515</v>
      </c>
      <c r="M591" s="392"/>
      <c r="N591" s="393" t="s">
        <v>44</v>
      </c>
      <c r="O591" s="393" t="s">
        <v>51</v>
      </c>
      <c r="P591" s="393" t="s">
        <v>51</v>
      </c>
      <c r="Q591" s="392" t="s">
        <v>426</v>
      </c>
      <c r="R591" s="392" t="s">
        <v>6357</v>
      </c>
      <c r="S591" s="392" t="s">
        <v>427</v>
      </c>
      <c r="T591" s="394">
        <v>1</v>
      </c>
      <c r="U591" s="395">
        <v>13.497999999999999</v>
      </c>
      <c r="V591" s="395"/>
      <c r="W591" s="453"/>
      <c r="X591" s="394"/>
      <c r="Y591" s="394">
        <v>10</v>
      </c>
      <c r="Z591" s="394">
        <v>8</v>
      </c>
      <c r="AA591" s="395">
        <v>-1.6539999999999999</v>
      </c>
      <c r="AB591" s="452">
        <v>41760</v>
      </c>
      <c r="AC591" s="398"/>
      <c r="AD591" s="398">
        <v>134.97999999999999</v>
      </c>
      <c r="AE591" s="393" t="s">
        <v>54</v>
      </c>
      <c r="AF591" s="417"/>
      <c r="AG591" s="417"/>
      <c r="AH591" s="417"/>
      <c r="AI591" s="394"/>
      <c r="AJ591" s="453"/>
      <c r="AK591" s="453"/>
      <c r="AL591" s="393"/>
      <c r="AM591" s="393"/>
      <c r="AN591" s="417"/>
      <c r="AO591" s="392"/>
      <c r="AP591" s="392"/>
      <c r="AQ591" s="392"/>
      <c r="AR591" s="392" t="s">
        <v>249</v>
      </c>
      <c r="AS591" s="479">
        <v>40670</v>
      </c>
      <c r="AT591" s="453"/>
      <c r="AU591" s="453"/>
      <c r="AV591" s="453"/>
      <c r="AW591" s="453"/>
      <c r="AX591" s="453"/>
      <c r="AY591" s="453"/>
      <c r="AZ591" s="452">
        <v>41893</v>
      </c>
      <c r="BA591" s="393"/>
      <c r="BB591" s="393"/>
      <c r="BC591" s="393" t="b">
        <v>0</v>
      </c>
      <c r="BD591" s="393"/>
      <c r="BE591" s="392"/>
      <c r="BF591" s="394">
        <v>11</v>
      </c>
      <c r="BG591" s="394">
        <v>9</v>
      </c>
      <c r="BH591" s="394">
        <v>4</v>
      </c>
      <c r="BI591" s="394"/>
      <c r="BJ591" s="394"/>
      <c r="BK591" s="394"/>
      <c r="BL591" s="444" t="s">
        <v>6981</v>
      </c>
      <c r="BM591" s="392"/>
      <c r="BN591" s="393"/>
      <c r="BO591" s="393"/>
      <c r="BP591" s="399"/>
      <c r="BQ591" s="400"/>
      <c r="BR591" s="401"/>
      <c r="BS591" s="399"/>
      <c r="BT591" s="394"/>
      <c r="BU591" s="417">
        <v>0.48499999999999999</v>
      </c>
      <c r="BV591" s="399">
        <v>50.59</v>
      </c>
      <c r="BW591" s="393" t="s">
        <v>3165</v>
      </c>
      <c r="BX591" s="392" t="s">
        <v>3714</v>
      </c>
      <c r="BY591" s="393"/>
      <c r="BZ591" s="393"/>
      <c r="CA591" s="441"/>
      <c r="CB591" s="400"/>
      <c r="CC591" s="398"/>
      <c r="CD591" s="398"/>
      <c r="CE591" s="398"/>
      <c r="CF591" s="398"/>
      <c r="CG591" s="398"/>
      <c r="CH591" s="398"/>
      <c r="CI591" s="398"/>
      <c r="CJ591" s="398">
        <v>24.245000000000001</v>
      </c>
      <c r="CK591" s="398">
        <v>22.591000000000001</v>
      </c>
      <c r="CL591" s="398">
        <v>20.937000000000001</v>
      </c>
      <c r="CM591" s="398">
        <v>19.282</v>
      </c>
      <c r="CN591" s="398">
        <v>17.628</v>
      </c>
      <c r="CO591" s="398">
        <v>15.974</v>
      </c>
      <c r="CP591" s="398">
        <v>14.319000000000001</v>
      </c>
      <c r="CQ591" s="398"/>
      <c r="CR591" s="398"/>
      <c r="CS591" s="398"/>
      <c r="CT591" s="398"/>
      <c r="CU591" s="398"/>
      <c r="CV591" s="398"/>
      <c r="CW591" s="398"/>
      <c r="CX591" s="398"/>
      <c r="CY591" s="398"/>
      <c r="CZ591" s="398"/>
      <c r="DA591" s="398"/>
      <c r="DB591" s="398"/>
      <c r="DC591" s="398"/>
      <c r="DD591" s="398"/>
      <c r="DE591" s="393"/>
      <c r="DF591" s="393"/>
      <c r="DG591" s="393"/>
      <c r="DH591" s="393"/>
      <c r="DI591" s="393"/>
      <c r="DJ591" s="393"/>
      <c r="DK591" s="897"/>
    </row>
    <row r="592" spans="1:115" ht="25.5" x14ac:dyDescent="0.2">
      <c r="A592" s="295">
        <v>588</v>
      </c>
      <c r="B592" s="390" t="s">
        <v>6507</v>
      </c>
      <c r="C592" s="390"/>
      <c r="D592" s="391" t="s">
        <v>6358</v>
      </c>
      <c r="E592" s="704" t="s">
        <v>6359</v>
      </c>
      <c r="F592" s="393" t="s">
        <v>1352</v>
      </c>
      <c r="G592" s="393" t="s">
        <v>1673</v>
      </c>
      <c r="H592" s="393" t="s">
        <v>239</v>
      </c>
      <c r="I592" s="392"/>
      <c r="J592" s="392"/>
      <c r="K592" s="392" t="s">
        <v>6356</v>
      </c>
      <c r="L592" s="392" t="s">
        <v>515</v>
      </c>
      <c r="M592" s="392"/>
      <c r="N592" s="393" t="s">
        <v>44</v>
      </c>
      <c r="O592" s="393" t="s">
        <v>51</v>
      </c>
      <c r="P592" s="393" t="s">
        <v>51</v>
      </c>
      <c r="Q592" s="392" t="s">
        <v>426</v>
      </c>
      <c r="R592" s="392" t="s">
        <v>6360</v>
      </c>
      <c r="S592" s="392" t="s">
        <v>427</v>
      </c>
      <c r="T592" s="394">
        <v>1</v>
      </c>
      <c r="U592" s="395">
        <v>6.2709999999999999</v>
      </c>
      <c r="V592" s="395"/>
      <c r="W592" s="453"/>
      <c r="X592" s="394"/>
      <c r="Y592" s="394">
        <v>10</v>
      </c>
      <c r="Z592" s="394">
        <v>8</v>
      </c>
      <c r="AA592" s="395">
        <v>-0.76900000000000002</v>
      </c>
      <c r="AB592" s="452">
        <v>41760</v>
      </c>
      <c r="AC592" s="398"/>
      <c r="AD592" s="398">
        <v>62.71</v>
      </c>
      <c r="AE592" s="393" t="s">
        <v>54</v>
      </c>
      <c r="AF592" s="417"/>
      <c r="AG592" s="417"/>
      <c r="AH592" s="417"/>
      <c r="AI592" s="394"/>
      <c r="AJ592" s="453"/>
      <c r="AK592" s="453"/>
      <c r="AL592" s="393"/>
      <c r="AM592" s="393"/>
      <c r="AN592" s="417"/>
      <c r="AO592" s="392"/>
      <c r="AP592" s="392"/>
      <c r="AQ592" s="392"/>
      <c r="AR592" s="392" t="s">
        <v>249</v>
      </c>
      <c r="AS592" s="479">
        <v>40670</v>
      </c>
      <c r="AT592" s="453"/>
      <c r="AU592" s="453"/>
      <c r="AV592" s="453"/>
      <c r="AW592" s="453"/>
      <c r="AX592" s="453"/>
      <c r="AY592" s="453"/>
      <c r="AZ592" s="452">
        <v>41893</v>
      </c>
      <c r="BA592" s="393"/>
      <c r="BB592" s="393"/>
      <c r="BC592" s="393" t="b">
        <v>0</v>
      </c>
      <c r="BD592" s="393"/>
      <c r="BE592" s="392"/>
      <c r="BF592" s="394">
        <v>11</v>
      </c>
      <c r="BG592" s="394">
        <v>9</v>
      </c>
      <c r="BH592" s="394">
        <v>4</v>
      </c>
      <c r="BI592" s="394"/>
      <c r="BJ592" s="394"/>
      <c r="BK592" s="394"/>
      <c r="BL592" s="444" t="s">
        <v>6981</v>
      </c>
      <c r="BM592" s="392"/>
      <c r="BN592" s="393"/>
      <c r="BO592" s="393"/>
      <c r="BP592" s="399"/>
      <c r="BQ592" s="400"/>
      <c r="BR592" s="401"/>
      <c r="BS592" s="399"/>
      <c r="BT592" s="394"/>
      <c r="BU592" s="417">
        <v>0.48499999999999999</v>
      </c>
      <c r="BV592" s="399">
        <v>23.5</v>
      </c>
      <c r="BW592" s="393" t="s">
        <v>3165</v>
      </c>
      <c r="BX592" s="392" t="s">
        <v>3714</v>
      </c>
      <c r="BY592" s="393"/>
      <c r="BZ592" s="393"/>
      <c r="CA592" s="441"/>
      <c r="CB592" s="400"/>
      <c r="CC592" s="398"/>
      <c r="CD592" s="398"/>
      <c r="CE592" s="398"/>
      <c r="CF592" s="398"/>
      <c r="CG592" s="398"/>
      <c r="CH592" s="398"/>
      <c r="CI592" s="398"/>
      <c r="CJ592" s="398">
        <v>11.263999999999999</v>
      </c>
      <c r="CK592" s="398">
        <v>10.494999999999999</v>
      </c>
      <c r="CL592" s="398">
        <v>9.7270000000000003</v>
      </c>
      <c r="CM592" s="398">
        <v>8.9580000000000002</v>
      </c>
      <c r="CN592" s="398">
        <v>8.19</v>
      </c>
      <c r="CO592" s="398">
        <v>7.4210000000000003</v>
      </c>
      <c r="CP592" s="398">
        <v>6.6349999999999998</v>
      </c>
      <c r="CQ592" s="398"/>
      <c r="CR592" s="398"/>
      <c r="CS592" s="398"/>
      <c r="CT592" s="398"/>
      <c r="CU592" s="398"/>
      <c r="CV592" s="398"/>
      <c r="CW592" s="398"/>
      <c r="CX592" s="398"/>
      <c r="CY592" s="398"/>
      <c r="CZ592" s="398"/>
      <c r="DA592" s="398"/>
      <c r="DB592" s="398"/>
      <c r="DC592" s="398"/>
      <c r="DD592" s="398"/>
      <c r="DE592" s="393"/>
      <c r="DF592" s="393"/>
      <c r="DG592" s="393"/>
      <c r="DH592" s="393"/>
      <c r="DI592" s="393"/>
      <c r="DJ592" s="393"/>
      <c r="DK592" s="897"/>
    </row>
    <row r="593" spans="1:115" ht="25.5" x14ac:dyDescent="0.2">
      <c r="A593" s="295">
        <v>589</v>
      </c>
      <c r="B593" s="390" t="s">
        <v>6508</v>
      </c>
      <c r="C593" s="390"/>
      <c r="D593" s="391" t="s">
        <v>6361</v>
      </c>
      <c r="E593" s="704" t="s">
        <v>6362</v>
      </c>
      <c r="F593" s="393" t="s">
        <v>1352</v>
      </c>
      <c r="G593" s="393" t="s">
        <v>1673</v>
      </c>
      <c r="H593" s="393" t="s">
        <v>239</v>
      </c>
      <c r="I593" s="392"/>
      <c r="J593" s="392"/>
      <c r="K593" s="392" t="s">
        <v>6363</v>
      </c>
      <c r="L593" s="392" t="s">
        <v>515</v>
      </c>
      <c r="M593" s="392"/>
      <c r="N593" s="393" t="s">
        <v>44</v>
      </c>
      <c r="O593" s="393" t="s">
        <v>51</v>
      </c>
      <c r="P593" s="393" t="s">
        <v>51</v>
      </c>
      <c r="Q593" s="392" t="s">
        <v>426</v>
      </c>
      <c r="R593" s="392" t="s">
        <v>6364</v>
      </c>
      <c r="S593" s="392" t="s">
        <v>427</v>
      </c>
      <c r="T593" s="394">
        <v>1</v>
      </c>
      <c r="U593" s="395">
        <v>11.429</v>
      </c>
      <c r="V593" s="395"/>
      <c r="W593" s="453"/>
      <c r="X593" s="394"/>
      <c r="Y593" s="394">
        <v>10</v>
      </c>
      <c r="Z593" s="394">
        <v>8</v>
      </c>
      <c r="AA593" s="395">
        <v>-1.401</v>
      </c>
      <c r="AB593" s="452">
        <v>41760</v>
      </c>
      <c r="AC593" s="398"/>
      <c r="AD593" s="398">
        <v>114.29</v>
      </c>
      <c r="AE593" s="393" t="s">
        <v>54</v>
      </c>
      <c r="AF593" s="417"/>
      <c r="AG593" s="417"/>
      <c r="AH593" s="417"/>
      <c r="AI593" s="394"/>
      <c r="AJ593" s="453"/>
      <c r="AK593" s="453"/>
      <c r="AL593" s="393"/>
      <c r="AM593" s="393"/>
      <c r="AN593" s="417"/>
      <c r="AO593" s="392"/>
      <c r="AP593" s="392"/>
      <c r="AQ593" s="392"/>
      <c r="AR593" s="392" t="s">
        <v>249</v>
      </c>
      <c r="AS593" s="479">
        <v>40670</v>
      </c>
      <c r="AT593" s="453"/>
      <c r="AU593" s="453"/>
      <c r="AV593" s="453"/>
      <c r="AW593" s="453"/>
      <c r="AX593" s="453"/>
      <c r="AY593" s="453"/>
      <c r="AZ593" s="452">
        <v>41893</v>
      </c>
      <c r="BA593" s="393"/>
      <c r="BB593" s="393"/>
      <c r="BC593" s="393" t="b">
        <v>0</v>
      </c>
      <c r="BD593" s="393"/>
      <c r="BE593" s="392"/>
      <c r="BF593" s="394">
        <v>11</v>
      </c>
      <c r="BG593" s="394">
        <v>9</v>
      </c>
      <c r="BH593" s="394">
        <v>4</v>
      </c>
      <c r="BI593" s="394"/>
      <c r="BJ593" s="394"/>
      <c r="BK593" s="394"/>
      <c r="BL593" s="444" t="s">
        <v>6981</v>
      </c>
      <c r="BM593" s="392"/>
      <c r="BN593" s="393"/>
      <c r="BO593" s="393"/>
      <c r="BP593" s="399"/>
      <c r="BQ593" s="400"/>
      <c r="BR593" s="401"/>
      <c r="BS593" s="399"/>
      <c r="BT593" s="394"/>
      <c r="BU593" s="417">
        <v>0.48499999999999999</v>
      </c>
      <c r="BV593" s="399">
        <v>42.84</v>
      </c>
      <c r="BW593" s="393" t="s">
        <v>3165</v>
      </c>
      <c r="BX593" s="392" t="s">
        <v>3714</v>
      </c>
      <c r="BY593" s="393"/>
      <c r="BZ593" s="393"/>
      <c r="CA593" s="441"/>
      <c r="CB593" s="400"/>
      <c r="CC593" s="398"/>
      <c r="CD593" s="398"/>
      <c r="CE593" s="398"/>
      <c r="CF593" s="398"/>
      <c r="CG593" s="398"/>
      <c r="CH593" s="398"/>
      <c r="CI593" s="398"/>
      <c r="CJ593" s="398">
        <v>20.529</v>
      </c>
      <c r="CK593" s="398">
        <v>19.128</v>
      </c>
      <c r="CL593" s="398">
        <v>17.727</v>
      </c>
      <c r="CM593" s="398">
        <v>16.327000000000002</v>
      </c>
      <c r="CN593" s="398">
        <v>14.926</v>
      </c>
      <c r="CO593" s="398">
        <v>13.525</v>
      </c>
      <c r="CP593" s="398">
        <v>12.124000000000001</v>
      </c>
      <c r="CQ593" s="398"/>
      <c r="CR593" s="398"/>
      <c r="CS593" s="398"/>
      <c r="CT593" s="398"/>
      <c r="CU593" s="398"/>
      <c r="CV593" s="398"/>
      <c r="CW593" s="398"/>
      <c r="CX593" s="398"/>
      <c r="CY593" s="398"/>
      <c r="CZ593" s="398"/>
      <c r="DA593" s="398"/>
      <c r="DB593" s="398"/>
      <c r="DC593" s="398"/>
      <c r="DD593" s="398"/>
      <c r="DE593" s="393"/>
      <c r="DF593" s="393"/>
      <c r="DG593" s="393"/>
      <c r="DH593" s="393"/>
      <c r="DI593" s="393"/>
      <c r="DJ593" s="393"/>
      <c r="DK593" s="897"/>
    </row>
    <row r="594" spans="1:115" ht="25.5" x14ac:dyDescent="0.2">
      <c r="A594" s="295">
        <v>590</v>
      </c>
      <c r="B594" s="390" t="s">
        <v>6509</v>
      </c>
      <c r="C594" s="390"/>
      <c r="D594" s="391" t="s">
        <v>6365</v>
      </c>
      <c r="E594" s="704" t="s">
        <v>6366</v>
      </c>
      <c r="F594" s="393" t="s">
        <v>1352</v>
      </c>
      <c r="G594" s="393" t="s">
        <v>1673</v>
      </c>
      <c r="H594" s="393" t="s">
        <v>239</v>
      </c>
      <c r="I594" s="392"/>
      <c r="J594" s="392"/>
      <c r="K594" s="392" t="s">
        <v>2280</v>
      </c>
      <c r="L594" s="392" t="s">
        <v>515</v>
      </c>
      <c r="M594" s="392"/>
      <c r="N594" s="393" t="s">
        <v>44</v>
      </c>
      <c r="O594" s="393" t="s">
        <v>51</v>
      </c>
      <c r="P594" s="393" t="s">
        <v>51</v>
      </c>
      <c r="Q594" s="392" t="s">
        <v>426</v>
      </c>
      <c r="R594" s="392" t="s">
        <v>6288</v>
      </c>
      <c r="S594" s="392" t="s">
        <v>427</v>
      </c>
      <c r="T594" s="394">
        <v>1</v>
      </c>
      <c r="U594" s="395">
        <v>12.007</v>
      </c>
      <c r="V594" s="395"/>
      <c r="W594" s="453"/>
      <c r="X594" s="394"/>
      <c r="Y594" s="394">
        <v>10</v>
      </c>
      <c r="Z594" s="394">
        <v>8</v>
      </c>
      <c r="AA594" s="395">
        <v>-1.472</v>
      </c>
      <c r="AB594" s="452">
        <v>41760</v>
      </c>
      <c r="AC594" s="398"/>
      <c r="AD594" s="398">
        <v>120.07</v>
      </c>
      <c r="AE594" s="393" t="s">
        <v>54</v>
      </c>
      <c r="AF594" s="417"/>
      <c r="AG594" s="417"/>
      <c r="AH594" s="417"/>
      <c r="AI594" s="394"/>
      <c r="AJ594" s="453"/>
      <c r="AK594" s="453"/>
      <c r="AL594" s="393"/>
      <c r="AM594" s="393"/>
      <c r="AN594" s="417"/>
      <c r="AO594" s="392"/>
      <c r="AP594" s="392"/>
      <c r="AQ594" s="392"/>
      <c r="AR594" s="392" t="s">
        <v>249</v>
      </c>
      <c r="AS594" s="479">
        <v>40670</v>
      </c>
      <c r="AT594" s="453"/>
      <c r="AU594" s="453"/>
      <c r="AV594" s="453"/>
      <c r="AW594" s="453"/>
      <c r="AX594" s="453"/>
      <c r="AY594" s="453"/>
      <c r="AZ594" s="452">
        <v>41893</v>
      </c>
      <c r="BA594" s="393"/>
      <c r="BB594" s="393"/>
      <c r="BC594" s="393" t="b">
        <v>0</v>
      </c>
      <c r="BD594" s="393"/>
      <c r="BE594" s="392"/>
      <c r="BF594" s="394">
        <v>11</v>
      </c>
      <c r="BG594" s="394">
        <v>9</v>
      </c>
      <c r="BH594" s="394">
        <v>4</v>
      </c>
      <c r="BI594" s="394"/>
      <c r="BJ594" s="394"/>
      <c r="BK594" s="394"/>
      <c r="BL594" s="444" t="s">
        <v>6981</v>
      </c>
      <c r="BM594" s="392"/>
      <c r="BN594" s="393"/>
      <c r="BO594" s="393"/>
      <c r="BP594" s="399"/>
      <c r="BQ594" s="400"/>
      <c r="BR594" s="401"/>
      <c r="BS594" s="399"/>
      <c r="BT594" s="394"/>
      <c r="BU594" s="417">
        <v>0.48499999999999999</v>
      </c>
      <c r="BV594" s="399">
        <v>45</v>
      </c>
      <c r="BW594" s="393" t="s">
        <v>3165</v>
      </c>
      <c r="BX594" s="392" t="s">
        <v>3714</v>
      </c>
      <c r="BY594" s="393"/>
      <c r="BZ594" s="393"/>
      <c r="CA594" s="441"/>
      <c r="CB594" s="400"/>
      <c r="CC594" s="398"/>
      <c r="CD594" s="398"/>
      <c r="CE594" s="398"/>
      <c r="CF594" s="398"/>
      <c r="CG594" s="398"/>
      <c r="CH594" s="398"/>
      <c r="CI594" s="398"/>
      <c r="CJ594" s="398">
        <v>21.567</v>
      </c>
      <c r="CK594" s="398">
        <v>20.096</v>
      </c>
      <c r="CL594" s="398">
        <v>18.623999999999999</v>
      </c>
      <c r="CM594" s="398">
        <v>17.152000000000001</v>
      </c>
      <c r="CN594" s="398">
        <v>15.680999999999999</v>
      </c>
      <c r="CO594" s="398">
        <v>14.209</v>
      </c>
      <c r="CP594" s="398">
        <v>12.738</v>
      </c>
      <c r="CQ594" s="398"/>
      <c r="CR594" s="398"/>
      <c r="CS594" s="398"/>
      <c r="CT594" s="398"/>
      <c r="CU594" s="398"/>
      <c r="CV594" s="398"/>
      <c r="CW594" s="398"/>
      <c r="CX594" s="398"/>
      <c r="CY594" s="398"/>
      <c r="CZ594" s="398"/>
      <c r="DA594" s="398"/>
      <c r="DB594" s="398"/>
      <c r="DC594" s="398"/>
      <c r="DD594" s="398"/>
      <c r="DE594" s="393"/>
      <c r="DF594" s="393"/>
      <c r="DG594" s="393"/>
      <c r="DH594" s="393"/>
      <c r="DI594" s="393"/>
      <c r="DJ594" s="393"/>
      <c r="DK594" s="897"/>
    </row>
    <row r="595" spans="1:115" ht="25.5" x14ac:dyDescent="0.2">
      <c r="A595" s="295">
        <v>591</v>
      </c>
      <c r="B595" s="390" t="s">
        <v>6510</v>
      </c>
      <c r="C595" s="390"/>
      <c r="D595" s="391" t="s">
        <v>6367</v>
      </c>
      <c r="E595" s="704" t="s">
        <v>6368</v>
      </c>
      <c r="F595" s="393" t="s">
        <v>1352</v>
      </c>
      <c r="G595" s="393" t="s">
        <v>1673</v>
      </c>
      <c r="H595" s="393" t="s">
        <v>239</v>
      </c>
      <c r="I595" s="392"/>
      <c r="J595" s="392"/>
      <c r="K595" s="392" t="s">
        <v>2166</v>
      </c>
      <c r="L595" s="392" t="s">
        <v>515</v>
      </c>
      <c r="M595" s="392"/>
      <c r="N595" s="393" t="s">
        <v>44</v>
      </c>
      <c r="O595" s="393" t="s">
        <v>51</v>
      </c>
      <c r="P595" s="393" t="s">
        <v>51</v>
      </c>
      <c r="Q595" s="392" t="s">
        <v>426</v>
      </c>
      <c r="R595" s="392" t="s">
        <v>6288</v>
      </c>
      <c r="S595" s="392" t="s">
        <v>427</v>
      </c>
      <c r="T595" s="394">
        <v>1</v>
      </c>
      <c r="U595" s="395">
        <v>12.007</v>
      </c>
      <c r="V595" s="395"/>
      <c r="W595" s="453"/>
      <c r="X595" s="394"/>
      <c r="Y595" s="394">
        <v>10</v>
      </c>
      <c r="Z595" s="394">
        <v>8</v>
      </c>
      <c r="AA595" s="395">
        <v>-1.472</v>
      </c>
      <c r="AB595" s="452">
        <v>41760</v>
      </c>
      <c r="AC595" s="398"/>
      <c r="AD595" s="398">
        <v>120.07</v>
      </c>
      <c r="AE595" s="393" t="s">
        <v>54</v>
      </c>
      <c r="AF595" s="417"/>
      <c r="AG595" s="417"/>
      <c r="AH595" s="417"/>
      <c r="AI595" s="394"/>
      <c r="AJ595" s="453"/>
      <c r="AK595" s="453"/>
      <c r="AL595" s="393"/>
      <c r="AM595" s="393"/>
      <c r="AN595" s="417"/>
      <c r="AO595" s="392"/>
      <c r="AP595" s="392"/>
      <c r="AQ595" s="392"/>
      <c r="AR595" s="392" t="s">
        <v>249</v>
      </c>
      <c r="AS595" s="479">
        <v>40670</v>
      </c>
      <c r="AT595" s="397"/>
      <c r="AU595" s="397"/>
      <c r="AV595" s="453"/>
      <c r="AW595" s="453"/>
      <c r="AX595" s="453"/>
      <c r="AY595" s="453"/>
      <c r="AZ595" s="452">
        <v>41893</v>
      </c>
      <c r="BA595" s="393"/>
      <c r="BB595" s="393"/>
      <c r="BC595" s="393" t="b">
        <v>0</v>
      </c>
      <c r="BD595" s="393"/>
      <c r="BE595" s="392"/>
      <c r="BF595" s="394">
        <v>11</v>
      </c>
      <c r="BG595" s="394">
        <v>9</v>
      </c>
      <c r="BH595" s="394">
        <v>4</v>
      </c>
      <c r="BI595" s="394"/>
      <c r="BJ595" s="394"/>
      <c r="BK595" s="394"/>
      <c r="BL595" s="444" t="s">
        <v>6981</v>
      </c>
      <c r="BM595" s="392"/>
      <c r="BN595" s="393"/>
      <c r="BO595" s="393"/>
      <c r="BP595" s="399"/>
      <c r="BQ595" s="400"/>
      <c r="BR595" s="401"/>
      <c r="BS595" s="399"/>
      <c r="BT595" s="394"/>
      <c r="BU595" s="417">
        <v>0.48499999999999999</v>
      </c>
      <c r="BV595" s="399">
        <v>45</v>
      </c>
      <c r="BW595" s="393" t="s">
        <v>3165</v>
      </c>
      <c r="BX595" s="392" t="s">
        <v>3714</v>
      </c>
      <c r="BY595" s="393"/>
      <c r="BZ595" s="393"/>
      <c r="CA595" s="441"/>
      <c r="CB595" s="400"/>
      <c r="CC595" s="398"/>
      <c r="CD595" s="398"/>
      <c r="CE595" s="398"/>
      <c r="CF595" s="398"/>
      <c r="CG595" s="398"/>
      <c r="CH595" s="398"/>
      <c r="CI595" s="398"/>
      <c r="CJ595" s="398">
        <v>21.567</v>
      </c>
      <c r="CK595" s="398">
        <v>20.096</v>
      </c>
      <c r="CL595" s="398">
        <v>18.623999999999999</v>
      </c>
      <c r="CM595" s="398">
        <v>17.152000000000001</v>
      </c>
      <c r="CN595" s="398">
        <v>15.680999999999999</v>
      </c>
      <c r="CO595" s="398">
        <v>14.209</v>
      </c>
      <c r="CP595" s="398">
        <v>12.738</v>
      </c>
      <c r="CQ595" s="398"/>
      <c r="CR595" s="398"/>
      <c r="CS595" s="398"/>
      <c r="CT595" s="398"/>
      <c r="CU595" s="398"/>
      <c r="CV595" s="398"/>
      <c r="CW595" s="398"/>
      <c r="CX595" s="398"/>
      <c r="CY595" s="398"/>
      <c r="CZ595" s="398"/>
      <c r="DA595" s="398"/>
      <c r="DB595" s="398"/>
      <c r="DC595" s="398"/>
      <c r="DD595" s="398"/>
      <c r="DE595" s="393"/>
      <c r="DF595" s="393"/>
      <c r="DG595" s="393"/>
      <c r="DH595" s="393"/>
      <c r="DI595" s="393"/>
      <c r="DJ595" s="393"/>
      <c r="DK595" s="897"/>
    </row>
    <row r="596" spans="1:115" ht="25.5" x14ac:dyDescent="0.2">
      <c r="A596" s="295">
        <v>592</v>
      </c>
      <c r="B596" s="390" t="s">
        <v>6511</v>
      </c>
      <c r="C596" s="390"/>
      <c r="D596" s="391" t="s">
        <v>6369</v>
      </c>
      <c r="E596" s="704" t="s">
        <v>6370</v>
      </c>
      <c r="F596" s="393" t="s">
        <v>1352</v>
      </c>
      <c r="G596" s="393" t="s">
        <v>1673</v>
      </c>
      <c r="H596" s="393" t="s">
        <v>239</v>
      </c>
      <c r="I596" s="392"/>
      <c r="J596" s="392"/>
      <c r="K596" s="392" t="s">
        <v>2222</v>
      </c>
      <c r="L596" s="392" t="s">
        <v>515</v>
      </c>
      <c r="M596" s="392"/>
      <c r="N596" s="393" t="s">
        <v>44</v>
      </c>
      <c r="O596" s="393" t="s">
        <v>51</v>
      </c>
      <c r="P596" s="393" t="s">
        <v>51</v>
      </c>
      <c r="Q596" s="392" t="s">
        <v>426</v>
      </c>
      <c r="R596" s="392" t="s">
        <v>6371</v>
      </c>
      <c r="S596" s="392" t="s">
        <v>427</v>
      </c>
      <c r="T596" s="394">
        <v>1</v>
      </c>
      <c r="U596" s="395">
        <v>10.006</v>
      </c>
      <c r="V596" s="395"/>
      <c r="W596" s="453"/>
      <c r="X596" s="394"/>
      <c r="Y596" s="394">
        <v>10</v>
      </c>
      <c r="Z596" s="394">
        <v>8</v>
      </c>
      <c r="AA596" s="395">
        <v>-1.226</v>
      </c>
      <c r="AB596" s="452">
        <v>41760</v>
      </c>
      <c r="AC596" s="398"/>
      <c r="AD596" s="398">
        <v>100.06</v>
      </c>
      <c r="AE596" s="393" t="s">
        <v>54</v>
      </c>
      <c r="AF596" s="417"/>
      <c r="AG596" s="417"/>
      <c r="AH596" s="417"/>
      <c r="AI596" s="394"/>
      <c r="AJ596" s="453"/>
      <c r="AK596" s="453"/>
      <c r="AL596" s="393"/>
      <c r="AM596" s="393"/>
      <c r="AN596" s="417"/>
      <c r="AO596" s="392"/>
      <c r="AP596" s="392"/>
      <c r="AQ596" s="392"/>
      <c r="AR596" s="392" t="s">
        <v>249</v>
      </c>
      <c r="AS596" s="479">
        <v>40670</v>
      </c>
      <c r="AT596" s="397"/>
      <c r="AU596" s="397"/>
      <c r="AV596" s="453"/>
      <c r="AW596" s="453"/>
      <c r="AX596" s="453"/>
      <c r="AY596" s="453"/>
      <c r="AZ596" s="452">
        <v>41893</v>
      </c>
      <c r="BA596" s="393"/>
      <c r="BB596" s="393"/>
      <c r="BC596" s="393" t="b">
        <v>0</v>
      </c>
      <c r="BD596" s="393"/>
      <c r="BE596" s="392"/>
      <c r="BF596" s="394">
        <v>11</v>
      </c>
      <c r="BG596" s="394">
        <v>9</v>
      </c>
      <c r="BH596" s="394">
        <v>4</v>
      </c>
      <c r="BI596" s="394"/>
      <c r="BJ596" s="394"/>
      <c r="BK596" s="394"/>
      <c r="BL596" s="444" t="s">
        <v>6981</v>
      </c>
      <c r="BM596" s="392"/>
      <c r="BN596" s="393"/>
      <c r="BO596" s="393"/>
      <c r="BP596" s="399"/>
      <c r="BQ596" s="400"/>
      <c r="BR596" s="401"/>
      <c r="BS596" s="399"/>
      <c r="BT596" s="394"/>
      <c r="BU596" s="417">
        <v>0.48499999999999999</v>
      </c>
      <c r="BV596" s="399">
        <v>37.5</v>
      </c>
      <c r="BW596" s="393" t="s">
        <v>3165</v>
      </c>
      <c r="BX596" s="392" t="s">
        <v>3714</v>
      </c>
      <c r="BY596" s="393"/>
      <c r="BZ596" s="393"/>
      <c r="CA596" s="441"/>
      <c r="CB596" s="400"/>
      <c r="CC596" s="398"/>
      <c r="CD596" s="398"/>
      <c r="CE596" s="398"/>
      <c r="CF596" s="398"/>
      <c r="CG596" s="398"/>
      <c r="CH596" s="398"/>
      <c r="CI596" s="398"/>
      <c r="CJ596" s="398">
        <v>17.972999999999999</v>
      </c>
      <c r="CK596" s="398">
        <v>16.745999999999999</v>
      </c>
      <c r="CL596" s="398">
        <v>15.52</v>
      </c>
      <c r="CM596" s="398">
        <v>14.294</v>
      </c>
      <c r="CN596" s="398">
        <v>13.067</v>
      </c>
      <c r="CO596" s="398">
        <v>11.840999999999999</v>
      </c>
      <c r="CP596" s="398">
        <v>10.615</v>
      </c>
      <c r="CQ596" s="398"/>
      <c r="CR596" s="398"/>
      <c r="CS596" s="398"/>
      <c r="CT596" s="398"/>
      <c r="CU596" s="398"/>
      <c r="CV596" s="398"/>
      <c r="CW596" s="398"/>
      <c r="CX596" s="398"/>
      <c r="CY596" s="398"/>
      <c r="CZ596" s="398"/>
      <c r="DA596" s="398"/>
      <c r="DB596" s="398"/>
      <c r="DC596" s="398"/>
      <c r="DD596" s="398"/>
      <c r="DE596" s="393"/>
      <c r="DF596" s="393"/>
      <c r="DG596" s="393"/>
      <c r="DH596" s="393"/>
      <c r="DI596" s="393"/>
      <c r="DJ596" s="393"/>
      <c r="DK596" s="897"/>
    </row>
    <row r="597" spans="1:115" ht="25.5" x14ac:dyDescent="0.2">
      <c r="A597" s="295">
        <v>593</v>
      </c>
      <c r="B597" s="390" t="s">
        <v>6512</v>
      </c>
      <c r="C597" s="390"/>
      <c r="D597" s="391" t="s">
        <v>6372</v>
      </c>
      <c r="E597" s="704" t="s">
        <v>6373</v>
      </c>
      <c r="F597" s="393" t="s">
        <v>1352</v>
      </c>
      <c r="G597" s="393" t="s">
        <v>1673</v>
      </c>
      <c r="H597" s="393" t="s">
        <v>239</v>
      </c>
      <c r="I597" s="392"/>
      <c r="J597" s="392"/>
      <c r="K597" s="392" t="s">
        <v>6374</v>
      </c>
      <c r="L597" s="392" t="s">
        <v>515</v>
      </c>
      <c r="M597" s="392"/>
      <c r="N597" s="393" t="s">
        <v>44</v>
      </c>
      <c r="O597" s="393" t="s">
        <v>51</v>
      </c>
      <c r="P597" s="393" t="s">
        <v>51</v>
      </c>
      <c r="Q597" s="392" t="s">
        <v>426</v>
      </c>
      <c r="R597" s="392" t="s">
        <v>6288</v>
      </c>
      <c r="S597" s="392" t="s">
        <v>427</v>
      </c>
      <c r="T597" s="394">
        <v>1</v>
      </c>
      <c r="U597" s="395">
        <v>12.007</v>
      </c>
      <c r="V597" s="395"/>
      <c r="W597" s="453"/>
      <c r="X597" s="394"/>
      <c r="Y597" s="394">
        <v>10</v>
      </c>
      <c r="Z597" s="394">
        <v>8</v>
      </c>
      <c r="AA597" s="395">
        <v>-1.472</v>
      </c>
      <c r="AB597" s="452">
        <v>41760</v>
      </c>
      <c r="AC597" s="398"/>
      <c r="AD597" s="398">
        <v>120.07</v>
      </c>
      <c r="AE597" s="393" t="s">
        <v>54</v>
      </c>
      <c r="AF597" s="417"/>
      <c r="AG597" s="417"/>
      <c r="AH597" s="417"/>
      <c r="AI597" s="394"/>
      <c r="AJ597" s="453"/>
      <c r="AK597" s="453"/>
      <c r="AL597" s="393"/>
      <c r="AM597" s="393"/>
      <c r="AN597" s="417"/>
      <c r="AO597" s="392"/>
      <c r="AP597" s="392"/>
      <c r="AQ597" s="392"/>
      <c r="AR597" s="392" t="s">
        <v>249</v>
      </c>
      <c r="AS597" s="479">
        <v>40670</v>
      </c>
      <c r="AT597" s="453"/>
      <c r="AU597" s="453"/>
      <c r="AV597" s="453"/>
      <c r="AW597" s="453"/>
      <c r="AX597" s="453"/>
      <c r="AY597" s="453"/>
      <c r="AZ597" s="452">
        <v>41893</v>
      </c>
      <c r="BA597" s="393"/>
      <c r="BB597" s="393"/>
      <c r="BC597" s="393" t="b">
        <v>0</v>
      </c>
      <c r="BD597" s="393"/>
      <c r="BE597" s="392"/>
      <c r="BF597" s="394">
        <v>11</v>
      </c>
      <c r="BG597" s="394">
        <v>9</v>
      </c>
      <c r="BH597" s="394">
        <v>4</v>
      </c>
      <c r="BI597" s="394"/>
      <c r="BJ597" s="394"/>
      <c r="BK597" s="394"/>
      <c r="BL597" s="444" t="s">
        <v>6981</v>
      </c>
      <c r="BM597" s="392"/>
      <c r="BN597" s="393"/>
      <c r="BO597" s="393"/>
      <c r="BP597" s="399"/>
      <c r="BQ597" s="400"/>
      <c r="BR597" s="401"/>
      <c r="BS597" s="399"/>
      <c r="BT597" s="394"/>
      <c r="BU597" s="417">
        <v>0.48499999999999999</v>
      </c>
      <c r="BV597" s="399">
        <v>45</v>
      </c>
      <c r="BW597" s="393" t="s">
        <v>3165</v>
      </c>
      <c r="BX597" s="392" t="s">
        <v>3714</v>
      </c>
      <c r="BY597" s="393"/>
      <c r="BZ597" s="393"/>
      <c r="CA597" s="441"/>
      <c r="CB597" s="400"/>
      <c r="CC597" s="398"/>
      <c r="CD597" s="398"/>
      <c r="CE597" s="398"/>
      <c r="CF597" s="398"/>
      <c r="CG597" s="398"/>
      <c r="CH597" s="398"/>
      <c r="CI597" s="398"/>
      <c r="CJ597" s="398">
        <v>21.567</v>
      </c>
      <c r="CK597" s="398">
        <v>20.096</v>
      </c>
      <c r="CL597" s="398">
        <v>18.623999999999999</v>
      </c>
      <c r="CM597" s="398">
        <v>17.152000000000001</v>
      </c>
      <c r="CN597" s="398">
        <v>15.680999999999999</v>
      </c>
      <c r="CO597" s="398">
        <v>14.209</v>
      </c>
      <c r="CP597" s="398">
        <v>12.738</v>
      </c>
      <c r="CQ597" s="398"/>
      <c r="CR597" s="398"/>
      <c r="CS597" s="398"/>
      <c r="CT597" s="398"/>
      <c r="CU597" s="398"/>
      <c r="CV597" s="398"/>
      <c r="CW597" s="398"/>
      <c r="CX597" s="398"/>
      <c r="CY597" s="398"/>
      <c r="CZ597" s="398"/>
      <c r="DA597" s="398"/>
      <c r="DB597" s="398"/>
      <c r="DC597" s="398"/>
      <c r="DD597" s="398"/>
      <c r="DE597" s="393"/>
      <c r="DF597" s="393"/>
      <c r="DG597" s="393"/>
      <c r="DH597" s="393"/>
      <c r="DI597" s="393"/>
      <c r="DJ597" s="393"/>
      <c r="DK597" s="897"/>
    </row>
    <row r="598" spans="1:115" ht="25.5" x14ac:dyDescent="0.2">
      <c r="A598" s="295">
        <v>594</v>
      </c>
      <c r="B598" s="390" t="s">
        <v>6513</v>
      </c>
      <c r="C598" s="390"/>
      <c r="D598" s="391" t="s">
        <v>6375</v>
      </c>
      <c r="E598" s="704" t="s">
        <v>6376</v>
      </c>
      <c r="F598" s="393" t="s">
        <v>1352</v>
      </c>
      <c r="G598" s="393" t="s">
        <v>1673</v>
      </c>
      <c r="H598" s="393" t="s">
        <v>239</v>
      </c>
      <c r="I598" s="392"/>
      <c r="J598" s="392"/>
      <c r="K598" s="392" t="s">
        <v>6377</v>
      </c>
      <c r="L598" s="392" t="s">
        <v>515</v>
      </c>
      <c r="M598" s="392"/>
      <c r="N598" s="393" t="s">
        <v>44</v>
      </c>
      <c r="O598" s="393" t="s">
        <v>51</v>
      </c>
      <c r="P598" s="393" t="s">
        <v>51</v>
      </c>
      <c r="Q598" s="392" t="s">
        <v>426</v>
      </c>
      <c r="R598" s="392" t="s">
        <v>6288</v>
      </c>
      <c r="S598" s="392" t="s">
        <v>427</v>
      </c>
      <c r="T598" s="394">
        <v>1</v>
      </c>
      <c r="U598" s="395">
        <v>12.007</v>
      </c>
      <c r="V598" s="395"/>
      <c r="W598" s="453"/>
      <c r="X598" s="394"/>
      <c r="Y598" s="394">
        <v>10</v>
      </c>
      <c r="Z598" s="394">
        <v>8</v>
      </c>
      <c r="AA598" s="395">
        <v>-1.472</v>
      </c>
      <c r="AB598" s="452">
        <v>41760</v>
      </c>
      <c r="AC598" s="398"/>
      <c r="AD598" s="398">
        <v>120.07</v>
      </c>
      <c r="AE598" s="393" t="s">
        <v>54</v>
      </c>
      <c r="AF598" s="417"/>
      <c r="AG598" s="417"/>
      <c r="AH598" s="417"/>
      <c r="AI598" s="394"/>
      <c r="AJ598" s="453"/>
      <c r="AK598" s="453"/>
      <c r="AL598" s="393"/>
      <c r="AM598" s="393"/>
      <c r="AN598" s="417"/>
      <c r="AO598" s="392"/>
      <c r="AP598" s="392"/>
      <c r="AQ598" s="392"/>
      <c r="AR598" s="392" t="s">
        <v>249</v>
      </c>
      <c r="AS598" s="479">
        <v>40670</v>
      </c>
      <c r="AT598" s="453"/>
      <c r="AU598" s="453"/>
      <c r="AV598" s="453"/>
      <c r="AW598" s="453"/>
      <c r="AX598" s="453"/>
      <c r="AY598" s="453"/>
      <c r="AZ598" s="452">
        <v>41893</v>
      </c>
      <c r="BA598" s="393"/>
      <c r="BB598" s="393"/>
      <c r="BC598" s="393" t="b">
        <v>0</v>
      </c>
      <c r="BD598" s="393"/>
      <c r="BE598" s="392"/>
      <c r="BF598" s="394">
        <v>11</v>
      </c>
      <c r="BG598" s="394">
        <v>9</v>
      </c>
      <c r="BH598" s="394">
        <v>4</v>
      </c>
      <c r="BI598" s="394"/>
      <c r="BJ598" s="394"/>
      <c r="BK598" s="394"/>
      <c r="BL598" s="444" t="s">
        <v>6981</v>
      </c>
      <c r="BM598" s="392"/>
      <c r="BN598" s="393"/>
      <c r="BO598" s="393"/>
      <c r="BP598" s="399"/>
      <c r="BQ598" s="400"/>
      <c r="BR598" s="401"/>
      <c r="BS598" s="399"/>
      <c r="BT598" s="394"/>
      <c r="BU598" s="417">
        <v>0.48499999999999999</v>
      </c>
      <c r="BV598" s="399">
        <v>45</v>
      </c>
      <c r="BW598" s="393" t="s">
        <v>3165</v>
      </c>
      <c r="BX598" s="392" t="s">
        <v>3714</v>
      </c>
      <c r="BY598" s="393"/>
      <c r="BZ598" s="393"/>
      <c r="CA598" s="441"/>
      <c r="CB598" s="400"/>
      <c r="CC598" s="398"/>
      <c r="CD598" s="398"/>
      <c r="CE598" s="398"/>
      <c r="CF598" s="398"/>
      <c r="CG598" s="398"/>
      <c r="CH598" s="398"/>
      <c r="CI598" s="398"/>
      <c r="CJ598" s="398">
        <v>21.567</v>
      </c>
      <c r="CK598" s="398">
        <v>20.096</v>
      </c>
      <c r="CL598" s="398">
        <v>18.623999999999999</v>
      </c>
      <c r="CM598" s="398">
        <v>17.152000000000001</v>
      </c>
      <c r="CN598" s="398">
        <v>15.680999999999999</v>
      </c>
      <c r="CO598" s="398">
        <v>14.209</v>
      </c>
      <c r="CP598" s="398">
        <v>12.738</v>
      </c>
      <c r="CQ598" s="398"/>
      <c r="CR598" s="398"/>
      <c r="CS598" s="398"/>
      <c r="CT598" s="398"/>
      <c r="CU598" s="398"/>
      <c r="CV598" s="398"/>
      <c r="CW598" s="398"/>
      <c r="CX598" s="398"/>
      <c r="CY598" s="398"/>
      <c r="CZ598" s="398"/>
      <c r="DA598" s="398"/>
      <c r="DB598" s="398"/>
      <c r="DC598" s="398"/>
      <c r="DD598" s="398"/>
      <c r="DE598" s="393"/>
      <c r="DF598" s="393"/>
      <c r="DG598" s="393"/>
      <c r="DH598" s="393"/>
      <c r="DI598" s="393"/>
      <c r="DJ598" s="393"/>
      <c r="DK598" s="897"/>
    </row>
    <row r="599" spans="1:115" ht="25.5" x14ac:dyDescent="0.2">
      <c r="A599" s="295">
        <v>595</v>
      </c>
      <c r="B599" s="390" t="s">
        <v>6514</v>
      </c>
      <c r="C599" s="390"/>
      <c r="D599" s="391" t="s">
        <v>6378</v>
      </c>
      <c r="E599" s="704" t="s">
        <v>6379</v>
      </c>
      <c r="F599" s="393" t="s">
        <v>1352</v>
      </c>
      <c r="G599" s="393" t="s">
        <v>1673</v>
      </c>
      <c r="H599" s="393" t="s">
        <v>239</v>
      </c>
      <c r="I599" s="392"/>
      <c r="J599" s="392"/>
      <c r="K599" s="392" t="s">
        <v>6380</v>
      </c>
      <c r="L599" s="392" t="s">
        <v>515</v>
      </c>
      <c r="M599" s="392"/>
      <c r="N599" s="393" t="s">
        <v>44</v>
      </c>
      <c r="O599" s="393" t="s">
        <v>51</v>
      </c>
      <c r="P599" s="393" t="s">
        <v>51</v>
      </c>
      <c r="Q599" s="392" t="s">
        <v>426</v>
      </c>
      <c r="R599" s="392" t="s">
        <v>6381</v>
      </c>
      <c r="S599" s="392" t="s">
        <v>427</v>
      </c>
      <c r="T599" s="394">
        <v>1</v>
      </c>
      <c r="U599" s="395">
        <v>14.007999999999999</v>
      </c>
      <c r="V599" s="395"/>
      <c r="W599" s="453"/>
      <c r="X599" s="394"/>
      <c r="Y599" s="394">
        <v>10</v>
      </c>
      <c r="Z599" s="394">
        <v>8</v>
      </c>
      <c r="AA599" s="395">
        <v>-1.7170000000000001</v>
      </c>
      <c r="AB599" s="452">
        <v>41760</v>
      </c>
      <c r="AC599" s="398"/>
      <c r="AD599" s="398">
        <v>140.07999999999998</v>
      </c>
      <c r="AE599" s="393" t="s">
        <v>54</v>
      </c>
      <c r="AF599" s="417"/>
      <c r="AG599" s="417"/>
      <c r="AH599" s="417"/>
      <c r="AI599" s="394"/>
      <c r="AJ599" s="453"/>
      <c r="AK599" s="453"/>
      <c r="AL599" s="393"/>
      <c r="AM599" s="393"/>
      <c r="AN599" s="417"/>
      <c r="AO599" s="392"/>
      <c r="AP599" s="392"/>
      <c r="AQ599" s="392"/>
      <c r="AR599" s="392" t="s">
        <v>249</v>
      </c>
      <c r="AS599" s="479">
        <v>40670</v>
      </c>
      <c r="AT599" s="453"/>
      <c r="AU599" s="453"/>
      <c r="AV599" s="453"/>
      <c r="AW599" s="453"/>
      <c r="AX599" s="453"/>
      <c r="AY599" s="453"/>
      <c r="AZ599" s="452">
        <v>41893</v>
      </c>
      <c r="BA599" s="393"/>
      <c r="BB599" s="393"/>
      <c r="BC599" s="393" t="b">
        <v>0</v>
      </c>
      <c r="BD599" s="393"/>
      <c r="BE599" s="392"/>
      <c r="BF599" s="394">
        <v>11</v>
      </c>
      <c r="BG599" s="394">
        <v>9</v>
      </c>
      <c r="BH599" s="394">
        <v>4</v>
      </c>
      <c r="BI599" s="394"/>
      <c r="BJ599" s="394"/>
      <c r="BK599" s="394"/>
      <c r="BL599" s="444" t="s">
        <v>6981</v>
      </c>
      <c r="BM599" s="392"/>
      <c r="BN599" s="393"/>
      <c r="BO599" s="393"/>
      <c r="BP599" s="399"/>
      <c r="BQ599" s="400"/>
      <c r="BR599" s="401"/>
      <c r="BS599" s="399"/>
      <c r="BT599" s="394"/>
      <c r="BU599" s="417">
        <v>0.48499999999999999</v>
      </c>
      <c r="BV599" s="399">
        <v>52.5</v>
      </c>
      <c r="BW599" s="393" t="s">
        <v>3165</v>
      </c>
      <c r="BX599" s="392" t="s">
        <v>3714</v>
      </c>
      <c r="BY599" s="393"/>
      <c r="BZ599" s="393"/>
      <c r="CA599" s="441"/>
      <c r="CB599" s="400"/>
      <c r="CC599" s="398"/>
      <c r="CD599" s="398"/>
      <c r="CE599" s="398"/>
      <c r="CF599" s="398"/>
      <c r="CG599" s="398"/>
      <c r="CH599" s="398"/>
      <c r="CI599" s="398"/>
      <c r="CJ599" s="398">
        <v>25.161999999999999</v>
      </c>
      <c r="CK599" s="398">
        <v>23.445</v>
      </c>
      <c r="CL599" s="398">
        <v>21.728000000000002</v>
      </c>
      <c r="CM599" s="398">
        <v>20.010999999999999</v>
      </c>
      <c r="CN599" s="398">
        <v>18.294</v>
      </c>
      <c r="CO599" s="398">
        <v>16.577000000000002</v>
      </c>
      <c r="CP599" s="398">
        <v>14.86</v>
      </c>
      <c r="CQ599" s="398"/>
      <c r="CR599" s="398"/>
      <c r="CS599" s="398"/>
      <c r="CT599" s="398"/>
      <c r="CU599" s="398"/>
      <c r="CV599" s="398"/>
      <c r="CW599" s="398"/>
      <c r="CX599" s="398"/>
      <c r="CY599" s="398"/>
      <c r="CZ599" s="398"/>
      <c r="DA599" s="398"/>
      <c r="DB599" s="398"/>
      <c r="DC599" s="398"/>
      <c r="DD599" s="398"/>
      <c r="DE599" s="393"/>
      <c r="DF599" s="393"/>
      <c r="DG599" s="393"/>
      <c r="DH599" s="393"/>
      <c r="DI599" s="393"/>
      <c r="DJ599" s="393"/>
      <c r="DK599" s="897"/>
    </row>
    <row r="600" spans="1:115" ht="25.5" x14ac:dyDescent="0.2">
      <c r="A600" s="295">
        <v>596</v>
      </c>
      <c r="B600" s="390" t="s">
        <v>6515</v>
      </c>
      <c r="C600" s="390"/>
      <c r="D600" s="391" t="s">
        <v>6382</v>
      </c>
      <c r="E600" s="704" t="s">
        <v>6383</v>
      </c>
      <c r="F600" s="393" t="s">
        <v>1352</v>
      </c>
      <c r="G600" s="393" t="s">
        <v>1673</v>
      </c>
      <c r="H600" s="393" t="s">
        <v>239</v>
      </c>
      <c r="I600" s="392"/>
      <c r="J600" s="392"/>
      <c r="K600" s="392" t="s">
        <v>6384</v>
      </c>
      <c r="L600" s="392" t="s">
        <v>515</v>
      </c>
      <c r="M600" s="392"/>
      <c r="N600" s="393" t="s">
        <v>44</v>
      </c>
      <c r="O600" s="393" t="s">
        <v>51</v>
      </c>
      <c r="P600" s="393" t="s">
        <v>51</v>
      </c>
      <c r="Q600" s="392" t="s">
        <v>426</v>
      </c>
      <c r="R600" s="392" t="s">
        <v>6288</v>
      </c>
      <c r="S600" s="392" t="s">
        <v>427</v>
      </c>
      <c r="T600" s="394">
        <v>1</v>
      </c>
      <c r="U600" s="395">
        <v>12.007</v>
      </c>
      <c r="V600" s="395"/>
      <c r="W600" s="453"/>
      <c r="X600" s="394"/>
      <c r="Y600" s="394">
        <v>10</v>
      </c>
      <c r="Z600" s="394">
        <v>8</v>
      </c>
      <c r="AA600" s="395">
        <v>-1.472</v>
      </c>
      <c r="AB600" s="452">
        <v>41760</v>
      </c>
      <c r="AC600" s="398"/>
      <c r="AD600" s="398">
        <v>120.07</v>
      </c>
      <c r="AE600" s="393" t="s">
        <v>54</v>
      </c>
      <c r="AF600" s="417"/>
      <c r="AG600" s="417"/>
      <c r="AH600" s="417"/>
      <c r="AI600" s="394"/>
      <c r="AJ600" s="453"/>
      <c r="AK600" s="453"/>
      <c r="AL600" s="393"/>
      <c r="AM600" s="393"/>
      <c r="AN600" s="417"/>
      <c r="AO600" s="392"/>
      <c r="AP600" s="392"/>
      <c r="AQ600" s="392"/>
      <c r="AR600" s="392" t="s">
        <v>249</v>
      </c>
      <c r="AS600" s="479">
        <v>40670</v>
      </c>
      <c r="AT600" s="453"/>
      <c r="AU600" s="453"/>
      <c r="AV600" s="453"/>
      <c r="AW600" s="453"/>
      <c r="AX600" s="453"/>
      <c r="AY600" s="453"/>
      <c r="AZ600" s="452">
        <v>41893</v>
      </c>
      <c r="BA600" s="393"/>
      <c r="BB600" s="393"/>
      <c r="BC600" s="393" t="b">
        <v>0</v>
      </c>
      <c r="BD600" s="393"/>
      <c r="BE600" s="392"/>
      <c r="BF600" s="394">
        <v>11</v>
      </c>
      <c r="BG600" s="394">
        <v>9</v>
      </c>
      <c r="BH600" s="394">
        <v>4</v>
      </c>
      <c r="BI600" s="394"/>
      <c r="BJ600" s="394"/>
      <c r="BK600" s="394"/>
      <c r="BL600" s="444" t="s">
        <v>6981</v>
      </c>
      <c r="BM600" s="392"/>
      <c r="BN600" s="393"/>
      <c r="BO600" s="393"/>
      <c r="BP600" s="399"/>
      <c r="BQ600" s="400"/>
      <c r="BR600" s="401"/>
      <c r="BS600" s="399"/>
      <c r="BT600" s="394"/>
      <c r="BU600" s="417">
        <v>0.48499999999999999</v>
      </c>
      <c r="BV600" s="399">
        <v>45</v>
      </c>
      <c r="BW600" s="393" t="s">
        <v>3165</v>
      </c>
      <c r="BX600" s="392" t="s">
        <v>3714</v>
      </c>
      <c r="BY600" s="393"/>
      <c r="BZ600" s="393"/>
      <c r="CA600" s="441"/>
      <c r="CB600" s="400"/>
      <c r="CC600" s="398"/>
      <c r="CD600" s="398"/>
      <c r="CE600" s="398"/>
      <c r="CF600" s="398"/>
      <c r="CG600" s="398"/>
      <c r="CH600" s="398"/>
      <c r="CI600" s="398"/>
      <c r="CJ600" s="398">
        <v>21.567</v>
      </c>
      <c r="CK600" s="398">
        <v>20.096</v>
      </c>
      <c r="CL600" s="398">
        <v>18.623999999999999</v>
      </c>
      <c r="CM600" s="398">
        <v>17.152000000000001</v>
      </c>
      <c r="CN600" s="398">
        <v>15.680999999999999</v>
      </c>
      <c r="CO600" s="398">
        <v>14.209</v>
      </c>
      <c r="CP600" s="398">
        <v>12.738</v>
      </c>
      <c r="CQ600" s="398"/>
      <c r="CR600" s="398"/>
      <c r="CS600" s="398"/>
      <c r="CT600" s="398"/>
      <c r="CU600" s="398"/>
      <c r="CV600" s="398"/>
      <c r="CW600" s="398"/>
      <c r="CX600" s="398"/>
      <c r="CY600" s="398"/>
      <c r="CZ600" s="398"/>
      <c r="DA600" s="398"/>
      <c r="DB600" s="398"/>
      <c r="DC600" s="398"/>
      <c r="DD600" s="398"/>
      <c r="DE600" s="393"/>
      <c r="DF600" s="393"/>
      <c r="DG600" s="393"/>
      <c r="DH600" s="393"/>
      <c r="DI600" s="393"/>
      <c r="DJ600" s="393"/>
      <c r="DK600" s="897"/>
    </row>
    <row r="601" spans="1:115" ht="25.5" x14ac:dyDescent="0.2">
      <c r="A601" s="295">
        <v>597</v>
      </c>
      <c r="B601" s="390" t="s">
        <v>6516</v>
      </c>
      <c r="C601" s="390"/>
      <c r="D601" s="391" t="s">
        <v>6385</v>
      </c>
      <c r="E601" s="704" t="s">
        <v>6386</v>
      </c>
      <c r="F601" s="393" t="s">
        <v>1352</v>
      </c>
      <c r="G601" s="393" t="s">
        <v>1673</v>
      </c>
      <c r="H601" s="393" t="s">
        <v>239</v>
      </c>
      <c r="I601" s="392"/>
      <c r="J601" s="392"/>
      <c r="K601" s="392" t="s">
        <v>6387</v>
      </c>
      <c r="L601" s="392" t="s">
        <v>515</v>
      </c>
      <c r="M601" s="392"/>
      <c r="N601" s="393" t="s">
        <v>44</v>
      </c>
      <c r="O601" s="393" t="s">
        <v>51</v>
      </c>
      <c r="P601" s="393" t="s">
        <v>51</v>
      </c>
      <c r="Q601" s="392" t="s">
        <v>426</v>
      </c>
      <c r="R601" s="392" t="s">
        <v>6388</v>
      </c>
      <c r="S601" s="392" t="s">
        <v>427</v>
      </c>
      <c r="T601" s="394">
        <v>1</v>
      </c>
      <c r="U601" s="395">
        <v>13.586</v>
      </c>
      <c r="V601" s="395"/>
      <c r="W601" s="453"/>
      <c r="X601" s="394"/>
      <c r="Y601" s="394">
        <v>10</v>
      </c>
      <c r="Z601" s="394">
        <v>8</v>
      </c>
      <c r="AA601" s="395">
        <v>-1.665</v>
      </c>
      <c r="AB601" s="452">
        <v>41760</v>
      </c>
      <c r="AC601" s="398"/>
      <c r="AD601" s="398">
        <v>135.86000000000001</v>
      </c>
      <c r="AE601" s="393" t="s">
        <v>54</v>
      </c>
      <c r="AF601" s="417"/>
      <c r="AG601" s="417"/>
      <c r="AH601" s="417"/>
      <c r="AI601" s="394"/>
      <c r="AJ601" s="453"/>
      <c r="AK601" s="453"/>
      <c r="AL601" s="393"/>
      <c r="AM601" s="393"/>
      <c r="AN601" s="417"/>
      <c r="AO601" s="392"/>
      <c r="AP601" s="392"/>
      <c r="AQ601" s="392"/>
      <c r="AR601" s="392" t="s">
        <v>249</v>
      </c>
      <c r="AS601" s="479">
        <v>40670</v>
      </c>
      <c r="AT601" s="397"/>
      <c r="AU601" s="397"/>
      <c r="AV601" s="453"/>
      <c r="AW601" s="453"/>
      <c r="AX601" s="397"/>
      <c r="AY601" s="453"/>
      <c r="AZ601" s="452">
        <v>41893</v>
      </c>
      <c r="BA601" s="393"/>
      <c r="BB601" s="393"/>
      <c r="BC601" s="393" t="b">
        <v>0</v>
      </c>
      <c r="BD601" s="393"/>
      <c r="BE601" s="392"/>
      <c r="BF601" s="394">
        <v>11</v>
      </c>
      <c r="BG601" s="394">
        <v>9</v>
      </c>
      <c r="BH601" s="394">
        <v>4</v>
      </c>
      <c r="BI601" s="394"/>
      <c r="BJ601" s="394"/>
      <c r="BK601" s="394"/>
      <c r="BL601" s="444" t="s">
        <v>6981</v>
      </c>
      <c r="BM601" s="392"/>
      <c r="BN601" s="393"/>
      <c r="BO601" s="393"/>
      <c r="BP601" s="399"/>
      <c r="BQ601" s="400"/>
      <c r="BR601" s="401"/>
      <c r="BS601" s="399"/>
      <c r="BT601" s="394"/>
      <c r="BU601" s="417">
        <v>0.48499999999999999</v>
      </c>
      <c r="BV601" s="399">
        <v>50.92</v>
      </c>
      <c r="BW601" s="393" t="s">
        <v>3165</v>
      </c>
      <c r="BX601" s="392" t="s">
        <v>3714</v>
      </c>
      <c r="BY601" s="393"/>
      <c r="BZ601" s="393"/>
      <c r="CA601" s="441"/>
      <c r="CB601" s="400"/>
      <c r="CC601" s="398"/>
      <c r="CD601" s="398"/>
      <c r="CE601" s="398"/>
      <c r="CF601" s="398"/>
      <c r="CG601" s="398"/>
      <c r="CH601" s="398"/>
      <c r="CI601" s="398"/>
      <c r="CJ601" s="398">
        <v>24.402999999999999</v>
      </c>
      <c r="CK601" s="398">
        <v>22.738</v>
      </c>
      <c r="CL601" s="398">
        <v>21.073</v>
      </c>
      <c r="CM601" s="398">
        <v>19.408000000000001</v>
      </c>
      <c r="CN601" s="398">
        <v>17.742999999999999</v>
      </c>
      <c r="CO601" s="398">
        <v>16.077999999999999</v>
      </c>
      <c r="CP601" s="398">
        <v>14.413</v>
      </c>
      <c r="CQ601" s="398"/>
      <c r="CR601" s="398"/>
      <c r="CS601" s="398"/>
      <c r="CT601" s="398"/>
      <c r="CU601" s="398"/>
      <c r="CV601" s="398"/>
      <c r="CW601" s="398"/>
      <c r="CX601" s="398"/>
      <c r="CY601" s="398"/>
      <c r="CZ601" s="398"/>
      <c r="DA601" s="398"/>
      <c r="DB601" s="398"/>
      <c r="DC601" s="398"/>
      <c r="DD601" s="398"/>
      <c r="DE601" s="393"/>
      <c r="DF601" s="393"/>
      <c r="DG601" s="393"/>
      <c r="DH601" s="393"/>
      <c r="DI601" s="393"/>
      <c r="DJ601" s="393"/>
      <c r="DK601" s="897"/>
    </row>
    <row r="602" spans="1:115" ht="25.5" x14ac:dyDescent="0.2">
      <c r="A602" s="295">
        <v>598</v>
      </c>
      <c r="B602" s="390" t="s">
        <v>6517</v>
      </c>
      <c r="C602" s="390"/>
      <c r="D602" s="391" t="s">
        <v>6389</v>
      </c>
      <c r="E602" s="704" t="s">
        <v>6390</v>
      </c>
      <c r="F602" s="393" t="s">
        <v>1352</v>
      </c>
      <c r="G602" s="393" t="s">
        <v>1673</v>
      </c>
      <c r="H602" s="393" t="s">
        <v>239</v>
      </c>
      <c r="I602" s="392"/>
      <c r="J602" s="392"/>
      <c r="K602" s="392" t="s">
        <v>6387</v>
      </c>
      <c r="L602" s="392" t="s">
        <v>515</v>
      </c>
      <c r="M602" s="392"/>
      <c r="N602" s="393" t="s">
        <v>44</v>
      </c>
      <c r="O602" s="393" t="s">
        <v>51</v>
      </c>
      <c r="P602" s="393" t="s">
        <v>51</v>
      </c>
      <c r="Q602" s="392" t="s">
        <v>426</v>
      </c>
      <c r="R602" s="392" t="s">
        <v>6391</v>
      </c>
      <c r="S602" s="392" t="s">
        <v>427</v>
      </c>
      <c r="T602" s="394">
        <v>1</v>
      </c>
      <c r="U602" s="395">
        <v>5.2640000000000002</v>
      </c>
      <c r="V602" s="395"/>
      <c r="W602" s="397"/>
      <c r="X602" s="394"/>
      <c r="Y602" s="394">
        <v>10</v>
      </c>
      <c r="Z602" s="394">
        <v>8</v>
      </c>
      <c r="AA602" s="395">
        <v>-0.64500000000000002</v>
      </c>
      <c r="AB602" s="396">
        <v>41760</v>
      </c>
      <c r="AC602" s="398"/>
      <c r="AD602" s="398">
        <v>52.64</v>
      </c>
      <c r="AE602" s="393" t="s">
        <v>54</v>
      </c>
      <c r="AF602" s="417"/>
      <c r="AG602" s="417"/>
      <c r="AH602" s="417"/>
      <c r="AI602" s="394"/>
      <c r="AJ602" s="453"/>
      <c r="AK602" s="453"/>
      <c r="AL602" s="393"/>
      <c r="AM602" s="393"/>
      <c r="AN602" s="417"/>
      <c r="AO602" s="392"/>
      <c r="AP602" s="392"/>
      <c r="AQ602" s="392"/>
      <c r="AR602" s="392" t="s">
        <v>249</v>
      </c>
      <c r="AS602" s="479">
        <v>40670</v>
      </c>
      <c r="AT602" s="397"/>
      <c r="AU602" s="397"/>
      <c r="AV602" s="397"/>
      <c r="AW602" s="397"/>
      <c r="AX602" s="397"/>
      <c r="AY602" s="453"/>
      <c r="AZ602" s="452">
        <v>41893</v>
      </c>
      <c r="BA602" s="393"/>
      <c r="BB602" s="393"/>
      <c r="BC602" s="393" t="b">
        <v>0</v>
      </c>
      <c r="BD602" s="393"/>
      <c r="BE602" s="392"/>
      <c r="BF602" s="394">
        <v>11</v>
      </c>
      <c r="BG602" s="394">
        <v>9</v>
      </c>
      <c r="BH602" s="394">
        <v>4</v>
      </c>
      <c r="BI602" s="394"/>
      <c r="BJ602" s="394"/>
      <c r="BK602" s="394"/>
      <c r="BL602" s="444" t="s">
        <v>6981</v>
      </c>
      <c r="BM602" s="392"/>
      <c r="BN602" s="393"/>
      <c r="BO602" s="393"/>
      <c r="BP602" s="399"/>
      <c r="BQ602" s="400"/>
      <c r="BR602" s="401"/>
      <c r="BS602" s="399"/>
      <c r="BT602" s="394"/>
      <c r="BU602" s="417">
        <v>0.48499999999999999</v>
      </c>
      <c r="BV602" s="399">
        <v>19.73</v>
      </c>
      <c r="BW602" s="393" t="s">
        <v>3165</v>
      </c>
      <c r="BX602" s="392" t="s">
        <v>3714</v>
      </c>
      <c r="BY602" s="393"/>
      <c r="BZ602" s="393"/>
      <c r="CA602" s="441"/>
      <c r="CB602" s="400"/>
      <c r="CC602" s="398"/>
      <c r="CD602" s="398"/>
      <c r="CE602" s="398"/>
      <c r="CF602" s="398"/>
      <c r="CG602" s="398"/>
      <c r="CH602" s="398"/>
      <c r="CI602" s="398"/>
      <c r="CJ602" s="398">
        <v>9.4550000000000001</v>
      </c>
      <c r="CK602" s="398">
        <v>8.81</v>
      </c>
      <c r="CL602" s="398">
        <v>8.1639999999999997</v>
      </c>
      <c r="CM602" s="398">
        <v>7.5190000000000001</v>
      </c>
      <c r="CN602" s="398">
        <v>6.8739999999999997</v>
      </c>
      <c r="CO602" s="398">
        <v>6.2290000000000001</v>
      </c>
      <c r="CP602" s="398">
        <v>5.5839999999999996</v>
      </c>
      <c r="CQ602" s="398"/>
      <c r="CR602" s="398"/>
      <c r="CS602" s="398"/>
      <c r="CT602" s="398"/>
      <c r="CU602" s="398"/>
      <c r="CV602" s="398"/>
      <c r="CW602" s="398"/>
      <c r="CX602" s="398"/>
      <c r="CY602" s="398"/>
      <c r="CZ602" s="398"/>
      <c r="DA602" s="398"/>
      <c r="DB602" s="398"/>
      <c r="DC602" s="398"/>
      <c r="DD602" s="398"/>
      <c r="DE602" s="393"/>
      <c r="DF602" s="393"/>
      <c r="DG602" s="393"/>
      <c r="DH602" s="393"/>
      <c r="DI602" s="393"/>
      <c r="DJ602" s="393"/>
      <c r="DK602" s="897"/>
    </row>
    <row r="603" spans="1:115" ht="25.5" x14ac:dyDescent="0.2">
      <c r="A603" s="295">
        <v>599</v>
      </c>
      <c r="B603" s="390" t="s">
        <v>6518</v>
      </c>
      <c r="C603" s="390"/>
      <c r="D603" s="391" t="s">
        <v>6392</v>
      </c>
      <c r="E603" s="704" t="s">
        <v>6393</v>
      </c>
      <c r="F603" s="393" t="s">
        <v>1352</v>
      </c>
      <c r="G603" s="393" t="s">
        <v>1673</v>
      </c>
      <c r="H603" s="393" t="s">
        <v>239</v>
      </c>
      <c r="I603" s="392"/>
      <c r="J603" s="392"/>
      <c r="K603" s="392" t="s">
        <v>6394</v>
      </c>
      <c r="L603" s="392" t="s">
        <v>515</v>
      </c>
      <c r="M603" s="392"/>
      <c r="N603" s="393" t="s">
        <v>44</v>
      </c>
      <c r="O603" s="393" t="s">
        <v>51</v>
      </c>
      <c r="P603" s="393" t="s">
        <v>51</v>
      </c>
      <c r="Q603" s="392" t="s">
        <v>426</v>
      </c>
      <c r="R603" s="392" t="s">
        <v>6395</v>
      </c>
      <c r="S603" s="392" t="s">
        <v>427</v>
      </c>
      <c r="T603" s="394">
        <v>1</v>
      </c>
      <c r="U603" s="395">
        <v>9.2469999999999999</v>
      </c>
      <c r="V603" s="395"/>
      <c r="W603" s="453"/>
      <c r="X603" s="394"/>
      <c r="Y603" s="394">
        <v>10</v>
      </c>
      <c r="Z603" s="394">
        <v>8</v>
      </c>
      <c r="AA603" s="395">
        <v>-1.133</v>
      </c>
      <c r="AB603" s="452">
        <v>41760</v>
      </c>
      <c r="AC603" s="398"/>
      <c r="AD603" s="398">
        <v>92.47</v>
      </c>
      <c r="AE603" s="393" t="s">
        <v>54</v>
      </c>
      <c r="AF603" s="417"/>
      <c r="AG603" s="417"/>
      <c r="AH603" s="417"/>
      <c r="AI603" s="394"/>
      <c r="AJ603" s="453"/>
      <c r="AK603" s="453"/>
      <c r="AL603" s="393"/>
      <c r="AM603" s="393"/>
      <c r="AN603" s="417"/>
      <c r="AO603" s="392"/>
      <c r="AP603" s="392"/>
      <c r="AQ603" s="392"/>
      <c r="AR603" s="392" t="s">
        <v>249</v>
      </c>
      <c r="AS603" s="479">
        <v>40670</v>
      </c>
      <c r="AT603" s="453"/>
      <c r="AU603" s="453"/>
      <c r="AV603" s="453"/>
      <c r="AW603" s="453"/>
      <c r="AX603" s="453"/>
      <c r="AY603" s="453"/>
      <c r="AZ603" s="452">
        <v>41893</v>
      </c>
      <c r="BA603" s="393"/>
      <c r="BB603" s="393"/>
      <c r="BC603" s="393" t="b">
        <v>0</v>
      </c>
      <c r="BD603" s="393"/>
      <c r="BE603" s="392"/>
      <c r="BF603" s="394">
        <v>11</v>
      </c>
      <c r="BG603" s="394">
        <v>9</v>
      </c>
      <c r="BH603" s="394">
        <v>4</v>
      </c>
      <c r="BI603" s="394"/>
      <c r="BJ603" s="394"/>
      <c r="BK603" s="394"/>
      <c r="BL603" s="444" t="s">
        <v>6981</v>
      </c>
      <c r="BM603" s="392"/>
      <c r="BN603" s="393"/>
      <c r="BO603" s="393"/>
      <c r="BP603" s="399"/>
      <c r="BQ603" s="400"/>
      <c r="BR603" s="401"/>
      <c r="BS603" s="399"/>
      <c r="BT603" s="394"/>
      <c r="BU603" s="417">
        <v>0.48499999999999999</v>
      </c>
      <c r="BV603" s="399">
        <v>34.659999999999997</v>
      </c>
      <c r="BW603" s="393" t="s">
        <v>3165</v>
      </c>
      <c r="BX603" s="392" t="s">
        <v>3714</v>
      </c>
      <c r="BY603" s="393"/>
      <c r="BZ603" s="393"/>
      <c r="CA603" s="441"/>
      <c r="CB603" s="400"/>
      <c r="CC603" s="398"/>
      <c r="CD603" s="398"/>
      <c r="CE603" s="398"/>
      <c r="CF603" s="398"/>
      <c r="CG603" s="398"/>
      <c r="CH603" s="398"/>
      <c r="CI603" s="398"/>
      <c r="CJ603" s="398">
        <v>16.61</v>
      </c>
      <c r="CK603" s="398">
        <v>15.476000000000001</v>
      </c>
      <c r="CL603" s="398">
        <v>14.343</v>
      </c>
      <c r="CM603" s="398">
        <v>13.21</v>
      </c>
      <c r="CN603" s="398">
        <v>12.076000000000001</v>
      </c>
      <c r="CO603" s="398">
        <v>10.943</v>
      </c>
      <c r="CP603" s="398">
        <v>9.81</v>
      </c>
      <c r="CQ603" s="398"/>
      <c r="CR603" s="398"/>
      <c r="CS603" s="398"/>
      <c r="CT603" s="398"/>
      <c r="CU603" s="398"/>
      <c r="CV603" s="398"/>
      <c r="CW603" s="398"/>
      <c r="CX603" s="398"/>
      <c r="CY603" s="398"/>
      <c r="CZ603" s="398"/>
      <c r="DA603" s="398"/>
      <c r="DB603" s="398"/>
      <c r="DC603" s="398"/>
      <c r="DD603" s="398"/>
      <c r="DE603" s="393"/>
      <c r="DF603" s="393"/>
      <c r="DG603" s="393"/>
      <c r="DH603" s="393"/>
      <c r="DI603" s="393"/>
      <c r="DJ603" s="393"/>
      <c r="DK603" s="897"/>
    </row>
    <row r="604" spans="1:115" ht="25.5" x14ac:dyDescent="0.2">
      <c r="A604" s="295">
        <v>600</v>
      </c>
      <c r="B604" s="390" t="s">
        <v>6519</v>
      </c>
      <c r="C604" s="390"/>
      <c r="D604" s="391" t="s">
        <v>6396</v>
      </c>
      <c r="E604" s="704" t="s">
        <v>6397</v>
      </c>
      <c r="F604" s="393" t="s">
        <v>1352</v>
      </c>
      <c r="G604" s="393" t="s">
        <v>1673</v>
      </c>
      <c r="H604" s="393" t="s">
        <v>239</v>
      </c>
      <c r="I604" s="392"/>
      <c r="J604" s="392"/>
      <c r="K604" s="392" t="s">
        <v>1733</v>
      </c>
      <c r="L604" s="392" t="s">
        <v>515</v>
      </c>
      <c r="M604" s="392"/>
      <c r="N604" s="393" t="s">
        <v>44</v>
      </c>
      <c r="O604" s="393" t="s">
        <v>51</v>
      </c>
      <c r="P604" s="393" t="s">
        <v>51</v>
      </c>
      <c r="Q604" s="392" t="s">
        <v>426</v>
      </c>
      <c r="R604" s="392" t="s">
        <v>6398</v>
      </c>
      <c r="S604" s="392" t="s">
        <v>427</v>
      </c>
      <c r="T604" s="394">
        <v>1</v>
      </c>
      <c r="U604" s="395">
        <v>11.619</v>
      </c>
      <c r="V604" s="395"/>
      <c r="W604" s="453"/>
      <c r="X604" s="394"/>
      <c r="Y604" s="394">
        <v>10</v>
      </c>
      <c r="Z604" s="394">
        <v>8</v>
      </c>
      <c r="AA604" s="395">
        <v>-1.4239999999999999</v>
      </c>
      <c r="AB604" s="452">
        <v>41760</v>
      </c>
      <c r="AC604" s="398"/>
      <c r="AD604" s="398">
        <v>116.19</v>
      </c>
      <c r="AE604" s="393" t="s">
        <v>54</v>
      </c>
      <c r="AF604" s="417"/>
      <c r="AG604" s="417"/>
      <c r="AH604" s="417"/>
      <c r="AI604" s="394"/>
      <c r="AJ604" s="453"/>
      <c r="AK604" s="453"/>
      <c r="AL604" s="393"/>
      <c r="AM604" s="393"/>
      <c r="AN604" s="417"/>
      <c r="AO604" s="392"/>
      <c r="AP604" s="392"/>
      <c r="AQ604" s="392"/>
      <c r="AR604" s="392" t="s">
        <v>249</v>
      </c>
      <c r="AS604" s="479">
        <v>40670</v>
      </c>
      <c r="AT604" s="453"/>
      <c r="AU604" s="453"/>
      <c r="AV604" s="453"/>
      <c r="AW604" s="453"/>
      <c r="AX604" s="453"/>
      <c r="AY604" s="453"/>
      <c r="AZ604" s="452">
        <v>41893</v>
      </c>
      <c r="BA604" s="393"/>
      <c r="BB604" s="393"/>
      <c r="BC604" s="393" t="b">
        <v>0</v>
      </c>
      <c r="BD604" s="393"/>
      <c r="BE604" s="392"/>
      <c r="BF604" s="394">
        <v>11</v>
      </c>
      <c r="BG604" s="394">
        <v>9</v>
      </c>
      <c r="BH604" s="394">
        <v>4</v>
      </c>
      <c r="BI604" s="394"/>
      <c r="BJ604" s="394"/>
      <c r="BK604" s="394"/>
      <c r="BL604" s="444" t="s">
        <v>6981</v>
      </c>
      <c r="BM604" s="392"/>
      <c r="BN604" s="393"/>
      <c r="BO604" s="393"/>
      <c r="BP604" s="399"/>
      <c r="BQ604" s="400"/>
      <c r="BR604" s="401"/>
      <c r="BS604" s="399"/>
      <c r="BT604" s="394"/>
      <c r="BU604" s="417">
        <v>0.48499999999999999</v>
      </c>
      <c r="BV604" s="399">
        <v>43.55</v>
      </c>
      <c r="BW604" s="393" t="s">
        <v>3165</v>
      </c>
      <c r="BX604" s="392" t="s">
        <v>3714</v>
      </c>
      <c r="BY604" s="393"/>
      <c r="BZ604" s="393"/>
      <c r="CA604" s="441"/>
      <c r="CB604" s="400"/>
      <c r="CC604" s="398"/>
      <c r="CD604" s="398"/>
      <c r="CE604" s="398"/>
      <c r="CF604" s="398"/>
      <c r="CG604" s="398"/>
      <c r="CH604" s="398"/>
      <c r="CI604" s="398"/>
      <c r="CJ604" s="398">
        <v>20.87</v>
      </c>
      <c r="CK604" s="398">
        <v>19.446000000000002</v>
      </c>
      <c r="CL604" s="398">
        <v>18.021999999999998</v>
      </c>
      <c r="CM604" s="398">
        <v>16.597999999999999</v>
      </c>
      <c r="CN604" s="398">
        <v>15.173999999999999</v>
      </c>
      <c r="CO604" s="398">
        <v>13.75</v>
      </c>
      <c r="CP604" s="398">
        <v>12.326000000000001</v>
      </c>
      <c r="CQ604" s="398"/>
      <c r="CR604" s="398"/>
      <c r="CS604" s="398"/>
      <c r="CT604" s="398"/>
      <c r="CU604" s="398"/>
      <c r="CV604" s="398"/>
      <c r="CW604" s="398"/>
      <c r="CX604" s="398"/>
      <c r="CY604" s="398"/>
      <c r="CZ604" s="398"/>
      <c r="DA604" s="398"/>
      <c r="DB604" s="398"/>
      <c r="DC604" s="398"/>
      <c r="DD604" s="398"/>
      <c r="DE604" s="393"/>
      <c r="DF604" s="393"/>
      <c r="DG604" s="393"/>
      <c r="DH604" s="393"/>
      <c r="DI604" s="393"/>
      <c r="DJ604" s="393"/>
      <c r="DK604" s="897"/>
    </row>
    <row r="605" spans="1:115" ht="25.5" x14ac:dyDescent="0.2">
      <c r="A605" s="295">
        <v>601</v>
      </c>
      <c r="B605" s="390" t="s">
        <v>6520</v>
      </c>
      <c r="C605" s="390"/>
      <c r="D605" s="391" t="s">
        <v>6399</v>
      </c>
      <c r="E605" s="704" t="s">
        <v>6400</v>
      </c>
      <c r="F605" s="393" t="s">
        <v>1352</v>
      </c>
      <c r="G605" s="393" t="s">
        <v>1673</v>
      </c>
      <c r="H605" s="393" t="s">
        <v>239</v>
      </c>
      <c r="I605" s="392"/>
      <c r="J605" s="392"/>
      <c r="K605" s="392" t="s">
        <v>1770</v>
      </c>
      <c r="L605" s="392" t="s">
        <v>515</v>
      </c>
      <c r="M605" s="392"/>
      <c r="N605" s="393" t="s">
        <v>44</v>
      </c>
      <c r="O605" s="393" t="s">
        <v>51</v>
      </c>
      <c r="P605" s="393" t="s">
        <v>51</v>
      </c>
      <c r="Q605" s="392" t="s">
        <v>426</v>
      </c>
      <c r="R605" s="392" t="s">
        <v>6401</v>
      </c>
      <c r="S605" s="392" t="s">
        <v>427</v>
      </c>
      <c r="T605" s="394">
        <v>1</v>
      </c>
      <c r="U605" s="395">
        <v>13.46</v>
      </c>
      <c r="V605" s="395"/>
      <c r="W605" s="453"/>
      <c r="X605" s="394"/>
      <c r="Y605" s="394">
        <v>10</v>
      </c>
      <c r="Z605" s="394">
        <v>8</v>
      </c>
      <c r="AA605" s="395">
        <v>-1.65</v>
      </c>
      <c r="AB605" s="452">
        <v>41760</v>
      </c>
      <c r="AC605" s="398"/>
      <c r="AD605" s="398">
        <v>134.60000000000002</v>
      </c>
      <c r="AE605" s="393" t="s">
        <v>54</v>
      </c>
      <c r="AF605" s="417"/>
      <c r="AG605" s="417"/>
      <c r="AH605" s="417"/>
      <c r="AI605" s="394"/>
      <c r="AJ605" s="453"/>
      <c r="AK605" s="453"/>
      <c r="AL605" s="393"/>
      <c r="AM605" s="393"/>
      <c r="AN605" s="417"/>
      <c r="AO605" s="392"/>
      <c r="AP605" s="392"/>
      <c r="AQ605" s="392"/>
      <c r="AR605" s="392" t="s">
        <v>249</v>
      </c>
      <c r="AS605" s="479">
        <v>40670</v>
      </c>
      <c r="AT605" s="453"/>
      <c r="AU605" s="453"/>
      <c r="AV605" s="453"/>
      <c r="AW605" s="453"/>
      <c r="AX605" s="453"/>
      <c r="AY605" s="453"/>
      <c r="AZ605" s="452">
        <v>41893</v>
      </c>
      <c r="BA605" s="393"/>
      <c r="BB605" s="393"/>
      <c r="BC605" s="393" t="b">
        <v>0</v>
      </c>
      <c r="BD605" s="393"/>
      <c r="BE605" s="392"/>
      <c r="BF605" s="394">
        <v>11</v>
      </c>
      <c r="BG605" s="394">
        <v>9</v>
      </c>
      <c r="BH605" s="394">
        <v>4</v>
      </c>
      <c r="BI605" s="394"/>
      <c r="BJ605" s="394"/>
      <c r="BK605" s="394"/>
      <c r="BL605" s="444" t="s">
        <v>6981</v>
      </c>
      <c r="BM605" s="392"/>
      <c r="BN605" s="393"/>
      <c r="BO605" s="393"/>
      <c r="BP605" s="399"/>
      <c r="BQ605" s="400"/>
      <c r="BR605" s="401"/>
      <c r="BS605" s="399"/>
      <c r="BT605" s="394"/>
      <c r="BU605" s="417">
        <v>0.48499999999999999</v>
      </c>
      <c r="BV605" s="399">
        <v>50.45</v>
      </c>
      <c r="BW605" s="393" t="s">
        <v>3165</v>
      </c>
      <c r="BX605" s="392" t="s">
        <v>3714</v>
      </c>
      <c r="BY605" s="393"/>
      <c r="BZ605" s="393"/>
      <c r="CA605" s="441"/>
      <c r="CB605" s="400"/>
      <c r="CC605" s="398"/>
      <c r="CD605" s="398"/>
      <c r="CE605" s="398"/>
      <c r="CF605" s="398"/>
      <c r="CG605" s="398"/>
      <c r="CH605" s="398"/>
      <c r="CI605" s="398"/>
      <c r="CJ605" s="398">
        <v>24.178000000000001</v>
      </c>
      <c r="CK605" s="398">
        <v>22.529</v>
      </c>
      <c r="CL605" s="398">
        <v>20.879000000000001</v>
      </c>
      <c r="CM605" s="398">
        <v>19.228999999999999</v>
      </c>
      <c r="CN605" s="398">
        <v>17.579000000000001</v>
      </c>
      <c r="CO605" s="398">
        <v>15.93</v>
      </c>
      <c r="CP605" s="398">
        <v>14.28</v>
      </c>
      <c r="CQ605" s="398"/>
      <c r="CR605" s="398"/>
      <c r="CS605" s="398"/>
      <c r="CT605" s="398"/>
      <c r="CU605" s="398"/>
      <c r="CV605" s="398"/>
      <c r="CW605" s="398"/>
      <c r="CX605" s="398"/>
      <c r="CY605" s="398"/>
      <c r="CZ605" s="398"/>
      <c r="DA605" s="398"/>
      <c r="DB605" s="398"/>
      <c r="DC605" s="398"/>
      <c r="DD605" s="398"/>
      <c r="DE605" s="393"/>
      <c r="DF605" s="393"/>
      <c r="DG605" s="393"/>
      <c r="DH605" s="393"/>
      <c r="DI605" s="393"/>
      <c r="DJ605" s="393"/>
      <c r="DK605" s="897"/>
    </row>
    <row r="606" spans="1:115" ht="25.5" x14ac:dyDescent="0.2">
      <c r="A606" s="295">
        <v>602</v>
      </c>
      <c r="B606" s="390" t="s">
        <v>6521</v>
      </c>
      <c r="C606" s="390"/>
      <c r="D606" s="391" t="s">
        <v>6402</v>
      </c>
      <c r="E606" s="704" t="s">
        <v>6403</v>
      </c>
      <c r="F606" s="393" t="s">
        <v>1352</v>
      </c>
      <c r="G606" s="393" t="s">
        <v>1673</v>
      </c>
      <c r="H606" s="393" t="s">
        <v>239</v>
      </c>
      <c r="I606" s="392"/>
      <c r="J606" s="392"/>
      <c r="K606" s="392" t="s">
        <v>6404</v>
      </c>
      <c r="L606" s="392" t="s">
        <v>515</v>
      </c>
      <c r="M606" s="392"/>
      <c r="N606" s="393" t="s">
        <v>44</v>
      </c>
      <c r="O606" s="393" t="s">
        <v>51</v>
      </c>
      <c r="P606" s="393" t="s">
        <v>51</v>
      </c>
      <c r="Q606" s="392" t="s">
        <v>426</v>
      </c>
      <c r="R606" s="392" t="s">
        <v>6405</v>
      </c>
      <c r="S606" s="392" t="s">
        <v>427</v>
      </c>
      <c r="T606" s="394">
        <v>1</v>
      </c>
      <c r="U606" s="395">
        <v>15.031000000000001</v>
      </c>
      <c r="V606" s="395"/>
      <c r="W606" s="453"/>
      <c r="X606" s="394"/>
      <c r="Y606" s="394">
        <v>10</v>
      </c>
      <c r="Z606" s="394">
        <v>8</v>
      </c>
      <c r="AA606" s="395">
        <v>-1.8420000000000001</v>
      </c>
      <c r="AB606" s="452">
        <v>41760</v>
      </c>
      <c r="AC606" s="398"/>
      <c r="AD606" s="398">
        <v>150.31</v>
      </c>
      <c r="AE606" s="393" t="s">
        <v>54</v>
      </c>
      <c r="AF606" s="417"/>
      <c r="AG606" s="417"/>
      <c r="AH606" s="417"/>
      <c r="AI606" s="394"/>
      <c r="AJ606" s="453"/>
      <c r="AK606" s="453"/>
      <c r="AL606" s="393"/>
      <c r="AM606" s="393"/>
      <c r="AN606" s="417"/>
      <c r="AO606" s="392"/>
      <c r="AP606" s="392"/>
      <c r="AQ606" s="392"/>
      <c r="AR606" s="392" t="s">
        <v>249</v>
      </c>
      <c r="AS606" s="479">
        <v>40670</v>
      </c>
      <c r="AT606" s="453"/>
      <c r="AU606" s="453"/>
      <c r="AV606" s="453"/>
      <c r="AW606" s="453"/>
      <c r="AX606" s="453"/>
      <c r="AY606" s="453"/>
      <c r="AZ606" s="452">
        <v>41893</v>
      </c>
      <c r="BA606" s="393"/>
      <c r="BB606" s="393"/>
      <c r="BC606" s="393" t="b">
        <v>0</v>
      </c>
      <c r="BD606" s="393"/>
      <c r="BE606" s="392"/>
      <c r="BF606" s="394">
        <v>11</v>
      </c>
      <c r="BG606" s="394">
        <v>9</v>
      </c>
      <c r="BH606" s="394">
        <v>4</v>
      </c>
      <c r="BI606" s="394"/>
      <c r="BJ606" s="394"/>
      <c r="BK606" s="394"/>
      <c r="BL606" s="444" t="s">
        <v>6981</v>
      </c>
      <c r="BM606" s="392"/>
      <c r="BN606" s="393"/>
      <c r="BO606" s="393"/>
      <c r="BP606" s="399"/>
      <c r="BQ606" s="400"/>
      <c r="BR606" s="401"/>
      <c r="BS606" s="399"/>
      <c r="BT606" s="394"/>
      <c r="BU606" s="417">
        <v>0.48499999999999999</v>
      </c>
      <c r="BV606" s="399">
        <v>56.34</v>
      </c>
      <c r="BW606" s="393" t="s">
        <v>3165</v>
      </c>
      <c r="BX606" s="392" t="s">
        <v>3714</v>
      </c>
      <c r="BY606" s="393"/>
      <c r="BZ606" s="393"/>
      <c r="CA606" s="441"/>
      <c r="CB606" s="400"/>
      <c r="CC606" s="398"/>
      <c r="CD606" s="398"/>
      <c r="CE606" s="398"/>
      <c r="CF606" s="398"/>
      <c r="CG606" s="398"/>
      <c r="CH606" s="398"/>
      <c r="CI606" s="398"/>
      <c r="CJ606" s="398">
        <v>27</v>
      </c>
      <c r="CK606" s="398">
        <v>25.158000000000001</v>
      </c>
      <c r="CL606" s="398">
        <v>23.315000000000001</v>
      </c>
      <c r="CM606" s="398">
        <v>21.472999999999999</v>
      </c>
      <c r="CN606" s="398">
        <v>19.631</v>
      </c>
      <c r="CO606" s="398">
        <v>17.788</v>
      </c>
      <c r="CP606" s="398">
        <v>15.946</v>
      </c>
      <c r="CQ606" s="398"/>
      <c r="CR606" s="398"/>
      <c r="CS606" s="398"/>
      <c r="CT606" s="398"/>
      <c r="CU606" s="398"/>
      <c r="CV606" s="398"/>
      <c r="CW606" s="398"/>
      <c r="CX606" s="398"/>
      <c r="CY606" s="398"/>
      <c r="CZ606" s="398"/>
      <c r="DA606" s="398"/>
      <c r="DB606" s="398"/>
      <c r="DC606" s="398"/>
      <c r="DD606" s="398"/>
      <c r="DE606" s="393"/>
      <c r="DF606" s="393"/>
      <c r="DG606" s="393"/>
      <c r="DH606" s="393"/>
      <c r="DI606" s="393"/>
      <c r="DJ606" s="393"/>
      <c r="DK606" s="897"/>
    </row>
    <row r="607" spans="1:115" ht="25.5" x14ac:dyDescent="0.2">
      <c r="A607" s="295">
        <v>603</v>
      </c>
      <c r="B607" s="390" t="s">
        <v>6522</v>
      </c>
      <c r="C607" s="390"/>
      <c r="D607" s="391" t="s">
        <v>6406</v>
      </c>
      <c r="E607" s="704" t="s">
        <v>6407</v>
      </c>
      <c r="F607" s="393" t="s">
        <v>1352</v>
      </c>
      <c r="G607" s="393" t="s">
        <v>1673</v>
      </c>
      <c r="H607" s="393" t="s">
        <v>239</v>
      </c>
      <c r="I607" s="392"/>
      <c r="J607" s="392"/>
      <c r="K607" s="392" t="s">
        <v>6408</v>
      </c>
      <c r="L607" s="392" t="s">
        <v>515</v>
      </c>
      <c r="M607" s="392"/>
      <c r="N607" s="393" t="s">
        <v>44</v>
      </c>
      <c r="O607" s="393" t="s">
        <v>51</v>
      </c>
      <c r="P607" s="393" t="s">
        <v>51</v>
      </c>
      <c r="Q607" s="392" t="s">
        <v>426</v>
      </c>
      <c r="R607" s="392" t="s">
        <v>6409</v>
      </c>
      <c r="S607" s="392" t="s">
        <v>427</v>
      </c>
      <c r="T607" s="394">
        <v>1</v>
      </c>
      <c r="U607" s="395">
        <v>8.3930000000000007</v>
      </c>
      <c r="V607" s="395"/>
      <c r="W607" s="453"/>
      <c r="X607" s="394"/>
      <c r="Y607" s="394">
        <v>10</v>
      </c>
      <c r="Z607" s="394">
        <v>8</v>
      </c>
      <c r="AA607" s="395">
        <v>-1.0289999999999999</v>
      </c>
      <c r="AB607" s="452">
        <v>41760</v>
      </c>
      <c r="AC607" s="398"/>
      <c r="AD607" s="398">
        <v>83.93</v>
      </c>
      <c r="AE607" s="393" t="s">
        <v>54</v>
      </c>
      <c r="AF607" s="417"/>
      <c r="AG607" s="417"/>
      <c r="AH607" s="417"/>
      <c r="AI607" s="394"/>
      <c r="AJ607" s="453"/>
      <c r="AK607" s="453"/>
      <c r="AL607" s="393"/>
      <c r="AM607" s="393"/>
      <c r="AN607" s="417"/>
      <c r="AO607" s="392"/>
      <c r="AP607" s="392"/>
      <c r="AQ607" s="392"/>
      <c r="AR607" s="392" t="s">
        <v>249</v>
      </c>
      <c r="AS607" s="479">
        <v>40670</v>
      </c>
      <c r="AT607" s="453"/>
      <c r="AU607" s="453"/>
      <c r="AV607" s="453"/>
      <c r="AW607" s="453"/>
      <c r="AX607" s="453"/>
      <c r="AY607" s="453"/>
      <c r="AZ607" s="452">
        <v>41893</v>
      </c>
      <c r="BA607" s="393"/>
      <c r="BB607" s="393"/>
      <c r="BC607" s="393" t="b">
        <v>0</v>
      </c>
      <c r="BD607" s="393"/>
      <c r="BE607" s="392"/>
      <c r="BF607" s="394">
        <v>11</v>
      </c>
      <c r="BG607" s="394">
        <v>9</v>
      </c>
      <c r="BH607" s="394">
        <v>4</v>
      </c>
      <c r="BI607" s="394"/>
      <c r="BJ607" s="394"/>
      <c r="BK607" s="394"/>
      <c r="BL607" s="444" t="s">
        <v>6981</v>
      </c>
      <c r="BM607" s="392"/>
      <c r="BN607" s="393"/>
      <c r="BO607" s="393"/>
      <c r="BP607" s="399"/>
      <c r="BQ607" s="400"/>
      <c r="BR607" s="401"/>
      <c r="BS607" s="399"/>
      <c r="BT607" s="394"/>
      <c r="BU607" s="417">
        <v>0.48499999999999999</v>
      </c>
      <c r="BV607" s="399">
        <v>31.46</v>
      </c>
      <c r="BW607" s="393" t="s">
        <v>3165</v>
      </c>
      <c r="BX607" s="392" t="s">
        <v>3714</v>
      </c>
      <c r="BY607" s="393"/>
      <c r="BZ607" s="393"/>
      <c r="CA607" s="441"/>
      <c r="CB607" s="400"/>
      <c r="CC607" s="398"/>
      <c r="CD607" s="398"/>
      <c r="CE607" s="398"/>
      <c r="CF607" s="398"/>
      <c r="CG607" s="398"/>
      <c r="CH607" s="398"/>
      <c r="CI607" s="398"/>
      <c r="CJ607" s="398">
        <v>15.074999999999999</v>
      </c>
      <c r="CK607" s="398">
        <v>14.047000000000001</v>
      </c>
      <c r="CL607" s="398">
        <v>13.018000000000001</v>
      </c>
      <c r="CM607" s="398">
        <v>11.989000000000001</v>
      </c>
      <c r="CN607" s="398">
        <v>10.961</v>
      </c>
      <c r="CO607" s="398">
        <v>9.9320000000000004</v>
      </c>
      <c r="CP607" s="398">
        <v>8.9030000000000005</v>
      </c>
      <c r="CQ607" s="398"/>
      <c r="CR607" s="398"/>
      <c r="CS607" s="398"/>
      <c r="CT607" s="398"/>
      <c r="CU607" s="398"/>
      <c r="CV607" s="398"/>
      <c r="CW607" s="398"/>
      <c r="CX607" s="398"/>
      <c r="CY607" s="398"/>
      <c r="CZ607" s="398"/>
      <c r="DA607" s="398"/>
      <c r="DB607" s="398"/>
      <c r="DC607" s="398"/>
      <c r="DD607" s="398"/>
      <c r="DE607" s="393"/>
      <c r="DF607" s="393"/>
      <c r="DG607" s="393"/>
      <c r="DH607" s="393"/>
      <c r="DI607" s="393"/>
      <c r="DJ607" s="393"/>
      <c r="DK607" s="897"/>
    </row>
    <row r="608" spans="1:115" ht="25.5" x14ac:dyDescent="0.2">
      <c r="A608" s="295">
        <v>604</v>
      </c>
      <c r="B608" s="390" t="s">
        <v>6523</v>
      </c>
      <c r="C608" s="390"/>
      <c r="D608" s="391" t="s">
        <v>6410</v>
      </c>
      <c r="E608" s="704" t="s">
        <v>6411</v>
      </c>
      <c r="F608" s="393" t="s">
        <v>1352</v>
      </c>
      <c r="G608" s="393" t="s">
        <v>1673</v>
      </c>
      <c r="H608" s="393" t="s">
        <v>239</v>
      </c>
      <c r="I608" s="392"/>
      <c r="J608" s="392"/>
      <c r="K608" s="392" t="s">
        <v>6408</v>
      </c>
      <c r="L608" s="392" t="s">
        <v>515</v>
      </c>
      <c r="M608" s="392"/>
      <c r="N608" s="393" t="s">
        <v>44</v>
      </c>
      <c r="O608" s="393" t="s">
        <v>51</v>
      </c>
      <c r="P608" s="393" t="s">
        <v>51</v>
      </c>
      <c r="Q608" s="392" t="s">
        <v>426</v>
      </c>
      <c r="R608" s="392" t="s">
        <v>6412</v>
      </c>
      <c r="S608" s="392" t="s">
        <v>427</v>
      </c>
      <c r="T608" s="394">
        <v>1</v>
      </c>
      <c r="U608" s="395">
        <v>8.3930000000000007</v>
      </c>
      <c r="V608" s="395"/>
      <c r="W608" s="453"/>
      <c r="X608" s="394"/>
      <c r="Y608" s="394">
        <v>10</v>
      </c>
      <c r="Z608" s="394">
        <v>8</v>
      </c>
      <c r="AA608" s="395">
        <v>-1.0289999999999999</v>
      </c>
      <c r="AB608" s="452">
        <v>41760</v>
      </c>
      <c r="AC608" s="398"/>
      <c r="AD608" s="398">
        <v>83.93</v>
      </c>
      <c r="AE608" s="393" t="s">
        <v>54</v>
      </c>
      <c r="AF608" s="417"/>
      <c r="AG608" s="417"/>
      <c r="AH608" s="417"/>
      <c r="AI608" s="394"/>
      <c r="AJ608" s="453"/>
      <c r="AK608" s="453"/>
      <c r="AL608" s="393"/>
      <c r="AM608" s="393"/>
      <c r="AN608" s="417"/>
      <c r="AO608" s="392"/>
      <c r="AP608" s="392"/>
      <c r="AQ608" s="392"/>
      <c r="AR608" s="392" t="s">
        <v>249</v>
      </c>
      <c r="AS608" s="479">
        <v>40670</v>
      </c>
      <c r="AT608" s="453"/>
      <c r="AU608" s="453"/>
      <c r="AV608" s="453"/>
      <c r="AW608" s="453"/>
      <c r="AX608" s="453"/>
      <c r="AY608" s="453"/>
      <c r="AZ608" s="452">
        <v>41893</v>
      </c>
      <c r="BA608" s="393"/>
      <c r="BB608" s="393"/>
      <c r="BC608" s="393" t="b">
        <v>0</v>
      </c>
      <c r="BD608" s="393"/>
      <c r="BE608" s="392"/>
      <c r="BF608" s="394">
        <v>11</v>
      </c>
      <c r="BG608" s="394">
        <v>9</v>
      </c>
      <c r="BH608" s="394">
        <v>4</v>
      </c>
      <c r="BI608" s="394"/>
      <c r="BJ608" s="394"/>
      <c r="BK608" s="394"/>
      <c r="BL608" s="444" t="s">
        <v>6981</v>
      </c>
      <c r="BM608" s="392"/>
      <c r="BN608" s="393"/>
      <c r="BO608" s="393"/>
      <c r="BP608" s="399"/>
      <c r="BQ608" s="400"/>
      <c r="BR608" s="401"/>
      <c r="BS608" s="399"/>
      <c r="BT608" s="394"/>
      <c r="BU608" s="417">
        <v>0.48499999999999999</v>
      </c>
      <c r="BV608" s="399">
        <v>31.46</v>
      </c>
      <c r="BW608" s="393" t="s">
        <v>3165</v>
      </c>
      <c r="BX608" s="392" t="s">
        <v>3714</v>
      </c>
      <c r="BY608" s="393"/>
      <c r="BZ608" s="393"/>
      <c r="CA608" s="441"/>
      <c r="CB608" s="400"/>
      <c r="CC608" s="398"/>
      <c r="CD608" s="398"/>
      <c r="CE608" s="398"/>
      <c r="CF608" s="398"/>
      <c r="CG608" s="398"/>
      <c r="CH608" s="398"/>
      <c r="CI608" s="398"/>
      <c r="CJ608" s="398">
        <v>15.074999999999999</v>
      </c>
      <c r="CK608" s="398">
        <v>14.045999999999999</v>
      </c>
      <c r="CL608" s="398">
        <v>13.018000000000001</v>
      </c>
      <c r="CM608" s="398">
        <v>11.989000000000001</v>
      </c>
      <c r="CN608" s="398">
        <v>10.961</v>
      </c>
      <c r="CO608" s="398">
        <v>9.9320000000000004</v>
      </c>
      <c r="CP608" s="398">
        <v>8.9030000000000005</v>
      </c>
      <c r="CQ608" s="398"/>
      <c r="CR608" s="398"/>
      <c r="CS608" s="398"/>
      <c r="CT608" s="398"/>
      <c r="CU608" s="398"/>
      <c r="CV608" s="398"/>
      <c r="CW608" s="398"/>
      <c r="CX608" s="398"/>
      <c r="CY608" s="398"/>
      <c r="CZ608" s="398"/>
      <c r="DA608" s="398"/>
      <c r="DB608" s="398"/>
      <c r="DC608" s="398"/>
      <c r="DD608" s="398"/>
      <c r="DE608" s="393"/>
      <c r="DF608" s="393"/>
      <c r="DG608" s="393"/>
      <c r="DH608" s="393"/>
      <c r="DI608" s="393"/>
      <c r="DJ608" s="393"/>
      <c r="DK608" s="897"/>
    </row>
    <row r="609" spans="1:115" ht="25.5" x14ac:dyDescent="0.2">
      <c r="A609" s="295">
        <v>605</v>
      </c>
      <c r="B609" s="390" t="s">
        <v>6524</v>
      </c>
      <c r="C609" s="390"/>
      <c r="D609" s="391" t="s">
        <v>6413</v>
      </c>
      <c r="E609" s="704" t="s">
        <v>6414</v>
      </c>
      <c r="F609" s="393" t="s">
        <v>1352</v>
      </c>
      <c r="G609" s="393" t="s">
        <v>1673</v>
      </c>
      <c r="H609" s="393" t="s">
        <v>239</v>
      </c>
      <c r="I609" s="392"/>
      <c r="J609" s="392"/>
      <c r="K609" s="392" t="s">
        <v>2166</v>
      </c>
      <c r="L609" s="392" t="s">
        <v>515</v>
      </c>
      <c r="M609" s="392"/>
      <c r="N609" s="393" t="s">
        <v>44</v>
      </c>
      <c r="O609" s="393" t="s">
        <v>51</v>
      </c>
      <c r="P609" s="393" t="s">
        <v>51</v>
      </c>
      <c r="Q609" s="392" t="s">
        <v>426</v>
      </c>
      <c r="R609" s="392" t="s">
        <v>6415</v>
      </c>
      <c r="S609" s="392" t="s">
        <v>427</v>
      </c>
      <c r="T609" s="394">
        <v>1</v>
      </c>
      <c r="U609" s="395">
        <v>8.7729999999999997</v>
      </c>
      <c r="V609" s="395"/>
      <c r="W609" s="453"/>
      <c r="X609" s="394"/>
      <c r="Y609" s="394">
        <v>10</v>
      </c>
      <c r="Z609" s="394">
        <v>8</v>
      </c>
      <c r="AA609" s="395">
        <v>-1.075</v>
      </c>
      <c r="AB609" s="452">
        <v>41760</v>
      </c>
      <c r="AC609" s="398"/>
      <c r="AD609" s="398">
        <v>87.72999999999999</v>
      </c>
      <c r="AE609" s="393" t="s">
        <v>54</v>
      </c>
      <c r="AF609" s="417"/>
      <c r="AG609" s="417"/>
      <c r="AH609" s="417"/>
      <c r="AI609" s="394"/>
      <c r="AJ609" s="453"/>
      <c r="AK609" s="453"/>
      <c r="AL609" s="393"/>
      <c r="AM609" s="393"/>
      <c r="AN609" s="417"/>
      <c r="AO609" s="392"/>
      <c r="AP609" s="392"/>
      <c r="AQ609" s="392"/>
      <c r="AR609" s="392" t="s">
        <v>249</v>
      </c>
      <c r="AS609" s="479">
        <v>40670</v>
      </c>
      <c r="AT609" s="453"/>
      <c r="AU609" s="453"/>
      <c r="AV609" s="453"/>
      <c r="AW609" s="453"/>
      <c r="AX609" s="453"/>
      <c r="AY609" s="453"/>
      <c r="AZ609" s="452">
        <v>41893</v>
      </c>
      <c r="BA609" s="393"/>
      <c r="BB609" s="393"/>
      <c r="BC609" s="393" t="b">
        <v>0</v>
      </c>
      <c r="BD609" s="393"/>
      <c r="BE609" s="392"/>
      <c r="BF609" s="394">
        <v>11</v>
      </c>
      <c r="BG609" s="394">
        <v>9</v>
      </c>
      <c r="BH609" s="394">
        <v>4</v>
      </c>
      <c r="BI609" s="394"/>
      <c r="BJ609" s="394"/>
      <c r="BK609" s="394"/>
      <c r="BL609" s="444" t="s">
        <v>6981</v>
      </c>
      <c r="BM609" s="392"/>
      <c r="BN609" s="393"/>
      <c r="BO609" s="393"/>
      <c r="BP609" s="399"/>
      <c r="BQ609" s="400"/>
      <c r="BR609" s="401"/>
      <c r="BS609" s="399"/>
      <c r="BT609" s="394"/>
      <c r="BU609" s="417">
        <v>0.48499999999999999</v>
      </c>
      <c r="BV609" s="399">
        <v>32.880000000000003</v>
      </c>
      <c r="BW609" s="393" t="s">
        <v>3165</v>
      </c>
      <c r="BX609" s="392" t="s">
        <v>3714</v>
      </c>
      <c r="BY609" s="393"/>
      <c r="BZ609" s="393"/>
      <c r="CA609" s="441"/>
      <c r="CB609" s="400"/>
      <c r="CC609" s="398"/>
      <c r="CD609" s="398"/>
      <c r="CE609" s="398"/>
      <c r="CF609" s="398"/>
      <c r="CG609" s="398"/>
      <c r="CH609" s="398"/>
      <c r="CI609" s="398"/>
      <c r="CJ609" s="398">
        <v>15.759</v>
      </c>
      <c r="CK609" s="398">
        <v>14.683999999999999</v>
      </c>
      <c r="CL609" s="398">
        <v>13.609</v>
      </c>
      <c r="CM609" s="398">
        <v>12.532999999999999</v>
      </c>
      <c r="CN609" s="398">
        <v>11.458</v>
      </c>
      <c r="CO609" s="398">
        <v>10.382999999999999</v>
      </c>
      <c r="CP609" s="398">
        <v>9.3070000000000004</v>
      </c>
      <c r="CQ609" s="398"/>
      <c r="CR609" s="398"/>
      <c r="CS609" s="398"/>
      <c r="CT609" s="398"/>
      <c r="CU609" s="398"/>
      <c r="CV609" s="398"/>
      <c r="CW609" s="398"/>
      <c r="CX609" s="398"/>
      <c r="CY609" s="398"/>
      <c r="CZ609" s="398"/>
      <c r="DA609" s="398"/>
      <c r="DB609" s="398"/>
      <c r="DC609" s="398"/>
      <c r="DD609" s="398"/>
      <c r="DE609" s="393"/>
      <c r="DF609" s="393"/>
      <c r="DG609" s="393"/>
      <c r="DH609" s="393"/>
      <c r="DI609" s="393"/>
      <c r="DJ609" s="393"/>
      <c r="DK609" s="897"/>
    </row>
    <row r="610" spans="1:115" ht="25.5" x14ac:dyDescent="0.2">
      <c r="A610" s="295">
        <v>606</v>
      </c>
      <c r="B610" s="390" t="s">
        <v>6525</v>
      </c>
      <c r="C610" s="390"/>
      <c r="D610" s="391" t="s">
        <v>6416</v>
      </c>
      <c r="E610" s="704" t="s">
        <v>6417</v>
      </c>
      <c r="F610" s="393" t="s">
        <v>1352</v>
      </c>
      <c r="G610" s="393" t="s">
        <v>1673</v>
      </c>
      <c r="H610" s="393" t="s">
        <v>239</v>
      </c>
      <c r="I610" s="392"/>
      <c r="J610" s="392"/>
      <c r="K610" s="392" t="s">
        <v>6418</v>
      </c>
      <c r="L610" s="392" t="s">
        <v>515</v>
      </c>
      <c r="M610" s="392"/>
      <c r="N610" s="393" t="s">
        <v>44</v>
      </c>
      <c r="O610" s="393" t="s">
        <v>51</v>
      </c>
      <c r="P610" s="393" t="s">
        <v>51</v>
      </c>
      <c r="Q610" s="392" t="s">
        <v>426</v>
      </c>
      <c r="R610" s="392" t="s">
        <v>6419</v>
      </c>
      <c r="S610" s="392" t="s">
        <v>427</v>
      </c>
      <c r="T610" s="394">
        <v>1</v>
      </c>
      <c r="U610" s="395">
        <v>1.51</v>
      </c>
      <c r="V610" s="395"/>
      <c r="W610" s="453"/>
      <c r="X610" s="394"/>
      <c r="Y610" s="394">
        <v>10</v>
      </c>
      <c r="Z610" s="394">
        <v>8</v>
      </c>
      <c r="AA610" s="395">
        <v>-0.185</v>
      </c>
      <c r="AB610" s="452">
        <v>41760</v>
      </c>
      <c r="AC610" s="398"/>
      <c r="AD610" s="398">
        <v>15.1</v>
      </c>
      <c r="AE610" s="393" t="s">
        <v>54</v>
      </c>
      <c r="AF610" s="417"/>
      <c r="AG610" s="417"/>
      <c r="AH610" s="417"/>
      <c r="AI610" s="394"/>
      <c r="AJ610" s="453"/>
      <c r="AK610" s="453"/>
      <c r="AL610" s="393"/>
      <c r="AM610" s="393"/>
      <c r="AN610" s="417"/>
      <c r="AO610" s="392"/>
      <c r="AP610" s="392"/>
      <c r="AQ610" s="392"/>
      <c r="AR610" s="392" t="s">
        <v>249</v>
      </c>
      <c r="AS610" s="479">
        <v>40670</v>
      </c>
      <c r="AT610" s="453"/>
      <c r="AU610" s="453"/>
      <c r="AV610" s="453"/>
      <c r="AW610" s="453"/>
      <c r="AX610" s="453"/>
      <c r="AY610" s="453"/>
      <c r="AZ610" s="452">
        <v>41893</v>
      </c>
      <c r="BA610" s="393"/>
      <c r="BB610" s="393"/>
      <c r="BC610" s="393" t="b">
        <v>0</v>
      </c>
      <c r="BD610" s="393"/>
      <c r="BE610" s="392"/>
      <c r="BF610" s="394">
        <v>11</v>
      </c>
      <c r="BG610" s="394">
        <v>9</v>
      </c>
      <c r="BH610" s="394">
        <v>4</v>
      </c>
      <c r="BI610" s="394"/>
      <c r="BJ610" s="394"/>
      <c r="BK610" s="394"/>
      <c r="BL610" s="444" t="s">
        <v>6981</v>
      </c>
      <c r="BM610" s="392"/>
      <c r="BN610" s="393"/>
      <c r="BO610" s="393"/>
      <c r="BP610" s="399"/>
      <c r="BQ610" s="400"/>
      <c r="BR610" s="401"/>
      <c r="BS610" s="399"/>
      <c r="BT610" s="394"/>
      <c r="BU610" s="417">
        <v>0.48499999999999999</v>
      </c>
      <c r="BV610" s="399">
        <v>5.66</v>
      </c>
      <c r="BW610" s="393" t="s">
        <v>3165</v>
      </c>
      <c r="BX610" s="392" t="s">
        <v>3714</v>
      </c>
      <c r="BY610" s="393"/>
      <c r="BZ610" s="393"/>
      <c r="CA610" s="441"/>
      <c r="CB610" s="400"/>
      <c r="CC610" s="398"/>
      <c r="CD610" s="398"/>
      <c r="CE610" s="398"/>
      <c r="CF610" s="398"/>
      <c r="CG610" s="398"/>
      <c r="CH610" s="398"/>
      <c r="CI610" s="398"/>
      <c r="CJ610" s="398">
        <v>2.7130000000000001</v>
      </c>
      <c r="CK610" s="398">
        <v>2.5270000000000001</v>
      </c>
      <c r="CL610" s="398">
        <v>2.3420000000000001</v>
      </c>
      <c r="CM610" s="398">
        <v>2.157</v>
      </c>
      <c r="CN610" s="398">
        <v>1.972</v>
      </c>
      <c r="CO610" s="398">
        <v>1.7869999999999999</v>
      </c>
      <c r="CP610" s="398">
        <v>1.6020000000000001</v>
      </c>
      <c r="CQ610" s="398"/>
      <c r="CR610" s="398"/>
      <c r="CS610" s="398"/>
      <c r="CT610" s="398"/>
      <c r="CU610" s="398"/>
      <c r="CV610" s="398"/>
      <c r="CW610" s="398"/>
      <c r="CX610" s="398"/>
      <c r="CY610" s="398"/>
      <c r="CZ610" s="398"/>
      <c r="DA610" s="398"/>
      <c r="DB610" s="398"/>
      <c r="DC610" s="398"/>
      <c r="DD610" s="398"/>
      <c r="DE610" s="393"/>
      <c r="DF610" s="393"/>
      <c r="DG610" s="393"/>
      <c r="DH610" s="393"/>
      <c r="DI610" s="393"/>
      <c r="DJ610" s="393"/>
      <c r="DK610" s="897"/>
    </row>
    <row r="611" spans="1:115" ht="25.5" x14ac:dyDescent="0.2">
      <c r="A611" s="295">
        <v>607</v>
      </c>
      <c r="B611" s="390" t="s">
        <v>6526</v>
      </c>
      <c r="C611" s="390"/>
      <c r="D611" s="391" t="s">
        <v>6420</v>
      </c>
      <c r="E611" s="704" t="s">
        <v>6421</v>
      </c>
      <c r="F611" s="393" t="s">
        <v>1352</v>
      </c>
      <c r="G611" s="393" t="s">
        <v>1673</v>
      </c>
      <c r="H611" s="393" t="s">
        <v>239</v>
      </c>
      <c r="I611" s="392"/>
      <c r="J611" s="392"/>
      <c r="K611" s="392" t="s">
        <v>6422</v>
      </c>
      <c r="L611" s="392" t="s">
        <v>515</v>
      </c>
      <c r="M611" s="392"/>
      <c r="N611" s="393" t="s">
        <v>44</v>
      </c>
      <c r="O611" s="393" t="s">
        <v>51</v>
      </c>
      <c r="P611" s="393" t="s">
        <v>51</v>
      </c>
      <c r="Q611" s="392" t="s">
        <v>426</v>
      </c>
      <c r="R611" s="392" t="s">
        <v>6423</v>
      </c>
      <c r="S611" s="392" t="s">
        <v>427</v>
      </c>
      <c r="T611" s="394">
        <v>1</v>
      </c>
      <c r="U611" s="395">
        <v>3.4079999999999999</v>
      </c>
      <c r="V611" s="395"/>
      <c r="W611" s="453"/>
      <c r="X611" s="394"/>
      <c r="Y611" s="394">
        <v>10</v>
      </c>
      <c r="Z611" s="394">
        <v>8</v>
      </c>
      <c r="AA611" s="395">
        <v>-0.41799999999999998</v>
      </c>
      <c r="AB611" s="452">
        <v>41760</v>
      </c>
      <c r="AC611" s="398"/>
      <c r="AD611" s="398">
        <v>34.08</v>
      </c>
      <c r="AE611" s="393" t="s">
        <v>54</v>
      </c>
      <c r="AF611" s="417"/>
      <c r="AG611" s="417"/>
      <c r="AH611" s="417"/>
      <c r="AI611" s="394"/>
      <c r="AJ611" s="453"/>
      <c r="AK611" s="453"/>
      <c r="AL611" s="393"/>
      <c r="AM611" s="393"/>
      <c r="AN611" s="417"/>
      <c r="AO611" s="392"/>
      <c r="AP611" s="392"/>
      <c r="AQ611" s="392"/>
      <c r="AR611" s="392" t="s">
        <v>249</v>
      </c>
      <c r="AS611" s="479">
        <v>40670</v>
      </c>
      <c r="AT611" s="453"/>
      <c r="AU611" s="453"/>
      <c r="AV611" s="453"/>
      <c r="AW611" s="453"/>
      <c r="AX611" s="453"/>
      <c r="AY611" s="453"/>
      <c r="AZ611" s="452">
        <v>41893</v>
      </c>
      <c r="BA611" s="393"/>
      <c r="BB611" s="393"/>
      <c r="BC611" s="393" t="b">
        <v>0</v>
      </c>
      <c r="BD611" s="393"/>
      <c r="BE611" s="392"/>
      <c r="BF611" s="394">
        <v>11</v>
      </c>
      <c r="BG611" s="394">
        <v>9</v>
      </c>
      <c r="BH611" s="394">
        <v>4</v>
      </c>
      <c r="BI611" s="394"/>
      <c r="BJ611" s="394"/>
      <c r="BK611" s="394"/>
      <c r="BL611" s="444" t="s">
        <v>6981</v>
      </c>
      <c r="BM611" s="392"/>
      <c r="BN611" s="393"/>
      <c r="BO611" s="393"/>
      <c r="BP611" s="399"/>
      <c r="BQ611" s="400"/>
      <c r="BR611" s="401"/>
      <c r="BS611" s="399"/>
      <c r="BT611" s="394"/>
      <c r="BU611" s="417">
        <v>0.48499999999999999</v>
      </c>
      <c r="BV611" s="399">
        <v>12.77</v>
      </c>
      <c r="BW611" s="393" t="s">
        <v>3165</v>
      </c>
      <c r="BX611" s="392" t="s">
        <v>3714</v>
      </c>
      <c r="BY611" s="393"/>
      <c r="BZ611" s="393"/>
      <c r="CA611" s="441"/>
      <c r="CB611" s="400"/>
      <c r="CC611" s="398"/>
      <c r="CD611" s="398"/>
      <c r="CE611" s="398"/>
      <c r="CF611" s="398"/>
      <c r="CG611" s="398"/>
      <c r="CH611" s="398"/>
      <c r="CI611" s="398"/>
      <c r="CJ611" s="398">
        <v>6.1219999999999999</v>
      </c>
      <c r="CK611" s="398">
        <v>5.7039999999999997</v>
      </c>
      <c r="CL611" s="398">
        <v>5.2859999999999996</v>
      </c>
      <c r="CM611" s="398">
        <v>4.8689999999999998</v>
      </c>
      <c r="CN611" s="398">
        <v>4.4509999999999996</v>
      </c>
      <c r="CO611" s="398">
        <v>4.0330000000000004</v>
      </c>
      <c r="CP611" s="398">
        <v>3.6160000000000001</v>
      </c>
      <c r="CQ611" s="398"/>
      <c r="CR611" s="398"/>
      <c r="CS611" s="398"/>
      <c r="CT611" s="398"/>
      <c r="CU611" s="398"/>
      <c r="CV611" s="398"/>
      <c r="CW611" s="398"/>
      <c r="CX611" s="398"/>
      <c r="CY611" s="398"/>
      <c r="CZ611" s="398"/>
      <c r="DA611" s="398"/>
      <c r="DB611" s="398"/>
      <c r="DC611" s="398"/>
      <c r="DD611" s="398"/>
      <c r="DE611" s="393"/>
      <c r="DF611" s="393"/>
      <c r="DG611" s="393"/>
      <c r="DH611" s="393"/>
      <c r="DI611" s="393"/>
      <c r="DJ611" s="393"/>
      <c r="DK611" s="897"/>
    </row>
    <row r="612" spans="1:115" ht="25.5" x14ac:dyDescent="0.2">
      <c r="A612" s="295">
        <v>608</v>
      </c>
      <c r="B612" s="390" t="s">
        <v>6527</v>
      </c>
      <c r="C612" s="390"/>
      <c r="D612" s="391" t="s">
        <v>6424</v>
      </c>
      <c r="E612" s="704" t="s">
        <v>6425</v>
      </c>
      <c r="F612" s="393" t="s">
        <v>1352</v>
      </c>
      <c r="G612" s="393" t="s">
        <v>1673</v>
      </c>
      <c r="H612" s="393" t="s">
        <v>239</v>
      </c>
      <c r="I612" s="392"/>
      <c r="J612" s="392"/>
      <c r="K612" s="392" t="s">
        <v>6426</v>
      </c>
      <c r="L612" s="392" t="s">
        <v>515</v>
      </c>
      <c r="M612" s="392"/>
      <c r="N612" s="393" t="s">
        <v>44</v>
      </c>
      <c r="O612" s="393" t="s">
        <v>51</v>
      </c>
      <c r="P612" s="393" t="s">
        <v>51</v>
      </c>
      <c r="Q612" s="392" t="s">
        <v>426</v>
      </c>
      <c r="R612" s="392" t="s">
        <v>6427</v>
      </c>
      <c r="S612" s="392" t="s">
        <v>427</v>
      </c>
      <c r="T612" s="394">
        <v>1</v>
      </c>
      <c r="U612" s="395">
        <v>1.409</v>
      </c>
      <c r="V612" s="395"/>
      <c r="W612" s="453"/>
      <c r="X612" s="394"/>
      <c r="Y612" s="394">
        <v>10</v>
      </c>
      <c r="Z612" s="394">
        <v>8</v>
      </c>
      <c r="AA612" s="395">
        <v>-0.17299999999999999</v>
      </c>
      <c r="AB612" s="452">
        <v>41760</v>
      </c>
      <c r="AC612" s="398"/>
      <c r="AD612" s="398">
        <v>14.09</v>
      </c>
      <c r="AE612" s="393" t="s">
        <v>54</v>
      </c>
      <c r="AF612" s="417"/>
      <c r="AG612" s="417"/>
      <c r="AH612" s="417"/>
      <c r="AI612" s="394"/>
      <c r="AJ612" s="453"/>
      <c r="AK612" s="453"/>
      <c r="AL612" s="393"/>
      <c r="AM612" s="393"/>
      <c r="AN612" s="417"/>
      <c r="AO612" s="392"/>
      <c r="AP612" s="392"/>
      <c r="AQ612" s="392"/>
      <c r="AR612" s="392" t="s">
        <v>249</v>
      </c>
      <c r="AS612" s="479">
        <v>40670</v>
      </c>
      <c r="AT612" s="397"/>
      <c r="AU612" s="397"/>
      <c r="AV612" s="453"/>
      <c r="AW612" s="453"/>
      <c r="AX612" s="453"/>
      <c r="AY612" s="453"/>
      <c r="AZ612" s="452">
        <v>41893</v>
      </c>
      <c r="BA612" s="393"/>
      <c r="BB612" s="393"/>
      <c r="BC612" s="393" t="b">
        <v>0</v>
      </c>
      <c r="BD612" s="393"/>
      <c r="BE612" s="392"/>
      <c r="BF612" s="394">
        <v>11</v>
      </c>
      <c r="BG612" s="394">
        <v>9</v>
      </c>
      <c r="BH612" s="394">
        <v>4</v>
      </c>
      <c r="BI612" s="394"/>
      <c r="BJ612" s="394"/>
      <c r="BK612" s="394"/>
      <c r="BL612" s="444" t="s">
        <v>6981</v>
      </c>
      <c r="BM612" s="392"/>
      <c r="BN612" s="393"/>
      <c r="BO612" s="393"/>
      <c r="BP612" s="399"/>
      <c r="BQ612" s="400"/>
      <c r="BR612" s="401"/>
      <c r="BS612" s="399"/>
      <c r="BT612" s="394"/>
      <c r="BU612" s="417">
        <v>0.48499999999999999</v>
      </c>
      <c r="BV612" s="399">
        <v>5.28</v>
      </c>
      <c r="BW612" s="393" t="s">
        <v>3165</v>
      </c>
      <c r="BX612" s="392" t="s">
        <v>3714</v>
      </c>
      <c r="BY612" s="393"/>
      <c r="BZ612" s="393"/>
      <c r="CA612" s="441"/>
      <c r="CB612" s="400"/>
      <c r="CC612" s="398"/>
      <c r="CD612" s="398"/>
      <c r="CE612" s="398"/>
      <c r="CF612" s="398"/>
      <c r="CG612" s="398"/>
      <c r="CH612" s="398"/>
      <c r="CI612" s="398"/>
      <c r="CJ612" s="398">
        <v>2.532</v>
      </c>
      <c r="CK612" s="398">
        <v>2.359</v>
      </c>
      <c r="CL612" s="398">
        <v>2.1859999999999999</v>
      </c>
      <c r="CM612" s="398">
        <v>2.0129999999999999</v>
      </c>
      <c r="CN612" s="398">
        <v>1.841</v>
      </c>
      <c r="CO612" s="398">
        <v>1.6679999999999999</v>
      </c>
      <c r="CP612" s="398">
        <v>1.4950000000000001</v>
      </c>
      <c r="CQ612" s="398"/>
      <c r="CR612" s="398"/>
      <c r="CS612" s="398"/>
      <c r="CT612" s="398"/>
      <c r="CU612" s="398"/>
      <c r="CV612" s="398"/>
      <c r="CW612" s="398"/>
      <c r="CX612" s="398"/>
      <c r="CY612" s="398"/>
      <c r="CZ612" s="398"/>
      <c r="DA612" s="398"/>
      <c r="DB612" s="398"/>
      <c r="DC612" s="398"/>
      <c r="DD612" s="398"/>
      <c r="DE612" s="393"/>
      <c r="DF612" s="393"/>
      <c r="DG612" s="393"/>
      <c r="DH612" s="393"/>
      <c r="DI612" s="393"/>
      <c r="DJ612" s="393"/>
      <c r="DK612" s="897"/>
    </row>
    <row r="613" spans="1:115" ht="51" x14ac:dyDescent="0.2">
      <c r="A613" s="295">
        <v>609</v>
      </c>
      <c r="B613" s="390" t="s">
        <v>585</v>
      </c>
      <c r="C613" s="424" t="s">
        <v>7509</v>
      </c>
      <c r="D613" s="391" t="s">
        <v>5525</v>
      </c>
      <c r="E613" s="704" t="s">
        <v>586</v>
      </c>
      <c r="F613" s="393" t="s">
        <v>1352</v>
      </c>
      <c r="G613" s="393" t="s">
        <v>1671</v>
      </c>
      <c r="H613" s="393" t="s">
        <v>117</v>
      </c>
      <c r="I613" s="392"/>
      <c r="J613" s="392" t="s">
        <v>587</v>
      </c>
      <c r="K613" s="392"/>
      <c r="L613" s="392" t="s">
        <v>588</v>
      </c>
      <c r="M613" s="392" t="s">
        <v>3319</v>
      </c>
      <c r="N613" s="393" t="s">
        <v>44</v>
      </c>
      <c r="O613" s="393" t="s">
        <v>69</v>
      </c>
      <c r="P613" s="393" t="s">
        <v>69</v>
      </c>
      <c r="Q613" s="392" t="s">
        <v>572</v>
      </c>
      <c r="R613" s="392"/>
      <c r="S613" s="392" t="s">
        <v>589</v>
      </c>
      <c r="T613" s="394">
        <v>1</v>
      </c>
      <c r="U613" s="395">
        <v>21.882000000000001</v>
      </c>
      <c r="V613" s="395"/>
      <c r="W613" s="452">
        <v>40693</v>
      </c>
      <c r="X613" s="394">
        <v>28</v>
      </c>
      <c r="Y613" s="394"/>
      <c r="Z613" s="394"/>
      <c r="AA613" s="395"/>
      <c r="AB613" s="453"/>
      <c r="AC613" s="398">
        <v>17.521999999999998</v>
      </c>
      <c r="AD613" s="398">
        <v>218.82000000000002</v>
      </c>
      <c r="AE613" s="393" t="s">
        <v>72</v>
      </c>
      <c r="AF613" s="417"/>
      <c r="AG613" s="417"/>
      <c r="AH613" s="417">
        <v>0</v>
      </c>
      <c r="AI613" s="394"/>
      <c r="AJ613" s="453"/>
      <c r="AK613" s="453"/>
      <c r="AL613" s="393"/>
      <c r="AM613" s="393"/>
      <c r="AN613" s="417"/>
      <c r="AO613" s="392"/>
      <c r="AP613" s="392" t="s">
        <v>55</v>
      </c>
      <c r="AQ613" s="392"/>
      <c r="AR613" s="392" t="s">
        <v>590</v>
      </c>
      <c r="AS613" s="479">
        <v>40674</v>
      </c>
      <c r="AT613" s="397"/>
      <c r="AU613" s="397"/>
      <c r="AV613" s="452">
        <v>40969</v>
      </c>
      <c r="AW613" s="452">
        <v>41297</v>
      </c>
      <c r="AX613" s="452">
        <v>41507</v>
      </c>
      <c r="AY613" s="452">
        <v>41299</v>
      </c>
      <c r="AZ613" s="453"/>
      <c r="BA613" s="393"/>
      <c r="BB613" s="393" t="s">
        <v>3147</v>
      </c>
      <c r="BC613" s="393" t="b">
        <v>1</v>
      </c>
      <c r="BD613" s="393" t="s">
        <v>3116</v>
      </c>
      <c r="BE613" s="392"/>
      <c r="BF613" s="394">
        <v>1</v>
      </c>
      <c r="BG613" s="394">
        <v>3</v>
      </c>
      <c r="BH613" s="394">
        <v>6</v>
      </c>
      <c r="BI613" s="394">
        <v>5</v>
      </c>
      <c r="BJ613" s="394">
        <v>9</v>
      </c>
      <c r="BK613" s="394">
        <v>11</v>
      </c>
      <c r="BL613" s="444"/>
      <c r="BM613" s="392"/>
      <c r="BN613" s="393"/>
      <c r="BO613" s="393"/>
      <c r="BP613" s="399"/>
      <c r="BQ613" s="400"/>
      <c r="BR613" s="401"/>
      <c r="BS613" s="399">
        <v>0</v>
      </c>
      <c r="BT613" s="394"/>
      <c r="BU613" s="417"/>
      <c r="BV613" s="399"/>
      <c r="BW613" s="393"/>
      <c r="BX613" s="392"/>
      <c r="BY613" s="393"/>
      <c r="BZ613" s="393"/>
      <c r="CA613" s="441"/>
      <c r="CB613" s="400"/>
      <c r="CC613" s="398"/>
      <c r="CD613" s="398"/>
      <c r="CE613" s="398"/>
      <c r="CF613" s="398"/>
      <c r="CG613" s="398"/>
      <c r="CH613" s="398"/>
      <c r="CI613" s="398"/>
      <c r="CJ613" s="398"/>
      <c r="CK613" s="398"/>
      <c r="CL613" s="398"/>
      <c r="CM613" s="398"/>
      <c r="CN613" s="398"/>
      <c r="CO613" s="398"/>
      <c r="CP613" s="398"/>
      <c r="CQ613" s="398"/>
      <c r="CR613" s="398"/>
      <c r="CS613" s="398"/>
      <c r="CT613" s="398"/>
      <c r="CU613" s="398"/>
      <c r="CV613" s="398"/>
      <c r="CW613" s="398"/>
      <c r="CX613" s="398"/>
      <c r="CY613" s="398"/>
      <c r="CZ613" s="398"/>
      <c r="DA613" s="398"/>
      <c r="DB613" s="398"/>
      <c r="DC613" s="398"/>
      <c r="DD613" s="398"/>
      <c r="DE613" s="393"/>
      <c r="DF613" s="393"/>
      <c r="DG613" s="393"/>
      <c r="DH613" s="393"/>
      <c r="DI613" s="393"/>
      <c r="DJ613" s="393"/>
      <c r="DK613" s="896" t="s">
        <v>9700</v>
      </c>
    </row>
    <row r="614" spans="1:115" ht="25.5" x14ac:dyDescent="0.2">
      <c r="A614" s="295">
        <v>610</v>
      </c>
      <c r="B614" s="390" t="s">
        <v>2681</v>
      </c>
      <c r="C614" s="390"/>
      <c r="D614" s="391" t="s">
        <v>5526</v>
      </c>
      <c r="E614" s="704" t="s">
        <v>591</v>
      </c>
      <c r="F614" s="393" t="s">
        <v>1352</v>
      </c>
      <c r="G614" s="393" t="s">
        <v>1671</v>
      </c>
      <c r="H614" s="393" t="s">
        <v>117</v>
      </c>
      <c r="I614" s="392"/>
      <c r="J614" s="392"/>
      <c r="K614" s="392" t="s">
        <v>2153</v>
      </c>
      <c r="L614" s="392" t="s">
        <v>588</v>
      </c>
      <c r="M614" s="392"/>
      <c r="N614" s="393" t="s">
        <v>44</v>
      </c>
      <c r="O614" s="393" t="s">
        <v>69</v>
      </c>
      <c r="P614" s="393" t="s">
        <v>69</v>
      </c>
      <c r="Q614" s="392" t="s">
        <v>572</v>
      </c>
      <c r="R614" s="392" t="s">
        <v>4062</v>
      </c>
      <c r="S614" s="392" t="s">
        <v>589</v>
      </c>
      <c r="T614" s="394">
        <v>1</v>
      </c>
      <c r="U614" s="395">
        <v>21.882000000000001</v>
      </c>
      <c r="V614" s="395"/>
      <c r="W614" s="453"/>
      <c r="X614" s="394"/>
      <c r="Y614" s="394">
        <v>10</v>
      </c>
      <c r="Z614" s="394">
        <v>20</v>
      </c>
      <c r="AA614" s="395">
        <v>0</v>
      </c>
      <c r="AB614" s="452">
        <v>40909</v>
      </c>
      <c r="AC614" s="398">
        <v>17.521999999999998</v>
      </c>
      <c r="AD614" s="398">
        <v>218.82000000000002</v>
      </c>
      <c r="AE614" s="393" t="s">
        <v>72</v>
      </c>
      <c r="AF614" s="417"/>
      <c r="AG614" s="417"/>
      <c r="AH614" s="417"/>
      <c r="AI614" s="394"/>
      <c r="AJ614" s="453"/>
      <c r="AK614" s="453"/>
      <c r="AL614" s="393"/>
      <c r="AM614" s="393"/>
      <c r="AN614" s="417"/>
      <c r="AO614" s="392"/>
      <c r="AP614" s="392" t="s">
        <v>55</v>
      </c>
      <c r="AQ614" s="392"/>
      <c r="AR614" s="392" t="s">
        <v>590</v>
      </c>
      <c r="AS614" s="479">
        <v>40674</v>
      </c>
      <c r="AT614" s="397"/>
      <c r="AU614" s="397"/>
      <c r="AV614" s="453"/>
      <c r="AW614" s="453"/>
      <c r="AX614" s="397"/>
      <c r="AY614" s="453"/>
      <c r="AZ614" s="452">
        <v>41299</v>
      </c>
      <c r="BA614" s="393"/>
      <c r="BB614" s="393"/>
      <c r="BC614" s="393" t="b">
        <v>0</v>
      </c>
      <c r="BD614" s="393"/>
      <c r="BE614" s="392"/>
      <c r="BF614" s="394">
        <v>1</v>
      </c>
      <c r="BG614" s="394">
        <v>3</v>
      </c>
      <c r="BH614" s="394">
        <v>6</v>
      </c>
      <c r="BI614" s="394">
        <v>5</v>
      </c>
      <c r="BJ614" s="394">
        <v>9</v>
      </c>
      <c r="BK614" s="394">
        <v>11</v>
      </c>
      <c r="BL614" s="444" t="s">
        <v>6981</v>
      </c>
      <c r="BM614" s="392"/>
      <c r="BN614" s="393"/>
      <c r="BO614" s="393"/>
      <c r="BP614" s="399"/>
      <c r="BQ614" s="400"/>
      <c r="BR614" s="401"/>
      <c r="BS614" s="399"/>
      <c r="BT614" s="394"/>
      <c r="BU614" s="417"/>
      <c r="BV614" s="399"/>
      <c r="BW614" s="393"/>
      <c r="BX614" s="392"/>
      <c r="BY614" s="393"/>
      <c r="BZ614" s="393"/>
      <c r="CA614" s="441"/>
      <c r="CB614" s="400"/>
      <c r="CC614" s="398"/>
      <c r="CD614" s="398"/>
      <c r="CE614" s="398"/>
      <c r="CF614" s="398"/>
      <c r="CG614" s="398"/>
      <c r="CH614" s="398">
        <v>17522</v>
      </c>
      <c r="CI614" s="398">
        <v>17522</v>
      </c>
      <c r="CJ614" s="398">
        <v>17522</v>
      </c>
      <c r="CK614" s="398">
        <v>17522</v>
      </c>
      <c r="CL614" s="398">
        <v>17522</v>
      </c>
      <c r="CM614" s="398">
        <v>17522</v>
      </c>
      <c r="CN614" s="398">
        <v>17522</v>
      </c>
      <c r="CO614" s="398">
        <v>17522</v>
      </c>
      <c r="CP614" s="398">
        <v>17522</v>
      </c>
      <c r="CQ614" s="398">
        <v>17522</v>
      </c>
      <c r="CR614" s="398"/>
      <c r="CS614" s="398"/>
      <c r="CT614" s="398"/>
      <c r="CU614" s="398"/>
      <c r="CV614" s="398"/>
      <c r="CW614" s="398"/>
      <c r="CX614" s="398"/>
      <c r="CY614" s="398"/>
      <c r="CZ614" s="398"/>
      <c r="DA614" s="398"/>
      <c r="DB614" s="398"/>
      <c r="DC614" s="398"/>
      <c r="DD614" s="398"/>
      <c r="DE614" s="393"/>
      <c r="DF614" s="393"/>
      <c r="DG614" s="393"/>
      <c r="DH614" s="393"/>
      <c r="DI614" s="393"/>
      <c r="DJ614" s="393"/>
      <c r="DK614" s="897"/>
    </row>
    <row r="615" spans="1:115" ht="38.25" x14ac:dyDescent="0.2">
      <c r="A615" s="295">
        <v>611</v>
      </c>
      <c r="B615" s="390" t="s">
        <v>1058</v>
      </c>
      <c r="C615" s="424" t="s">
        <v>7510</v>
      </c>
      <c r="D615" s="391"/>
      <c r="E615" s="708" t="s">
        <v>260</v>
      </c>
      <c r="F615" s="404" t="s">
        <v>1352</v>
      </c>
      <c r="G615" s="404" t="s">
        <v>1672</v>
      </c>
      <c r="H615" s="404" t="s">
        <v>261</v>
      </c>
      <c r="I615" s="403"/>
      <c r="J615" s="403" t="s">
        <v>261</v>
      </c>
      <c r="K615" s="403"/>
      <c r="L615" s="403" t="s">
        <v>262</v>
      </c>
      <c r="M615" s="403" t="s">
        <v>3146</v>
      </c>
      <c r="N615" s="404" t="s">
        <v>2412</v>
      </c>
      <c r="O615" s="404" t="s">
        <v>34</v>
      </c>
      <c r="P615" s="404" t="s">
        <v>34</v>
      </c>
      <c r="Q615" s="403" t="s">
        <v>255</v>
      </c>
      <c r="R615" s="403"/>
      <c r="S615" s="486" t="s">
        <v>64</v>
      </c>
      <c r="T615" s="405"/>
      <c r="U615" s="406"/>
      <c r="V615" s="406"/>
      <c r="W615" s="456">
        <v>40274</v>
      </c>
      <c r="X615" s="405">
        <v>28</v>
      </c>
      <c r="Y615" s="405"/>
      <c r="Z615" s="405"/>
      <c r="AA615" s="406"/>
      <c r="AB615" s="455"/>
      <c r="AC615" s="407"/>
      <c r="AD615" s="407"/>
      <c r="AE615" s="404" t="s">
        <v>72</v>
      </c>
      <c r="AF615" s="418"/>
      <c r="AG615" s="418"/>
      <c r="AH615" s="418"/>
      <c r="AI615" s="405"/>
      <c r="AJ615" s="455"/>
      <c r="AK615" s="455"/>
      <c r="AL615" s="404"/>
      <c r="AM615" s="404"/>
      <c r="AN615" s="418"/>
      <c r="AO615" s="403"/>
      <c r="AP615" s="403" t="s">
        <v>7057</v>
      </c>
      <c r="AQ615" s="403"/>
      <c r="AR615" s="403" t="s">
        <v>262</v>
      </c>
      <c r="AS615" s="482">
        <v>40775</v>
      </c>
      <c r="AT615" s="456">
        <v>40892</v>
      </c>
      <c r="AU615" s="455"/>
      <c r="AV615" s="455"/>
      <c r="AW615" s="455"/>
      <c r="AX615" s="455"/>
      <c r="AY615" s="455"/>
      <c r="AZ615" s="455"/>
      <c r="BA615" s="404"/>
      <c r="BB615" s="404" t="s">
        <v>3147</v>
      </c>
      <c r="BC615" s="404" t="b">
        <v>0</v>
      </c>
      <c r="BD615" s="404" t="s">
        <v>3116</v>
      </c>
      <c r="BE615" s="403"/>
      <c r="BF615" s="405">
        <v>9</v>
      </c>
      <c r="BG615" s="405">
        <v>4</v>
      </c>
      <c r="BH615" s="405">
        <v>5</v>
      </c>
      <c r="BI615" s="405">
        <v>7</v>
      </c>
      <c r="BJ615" s="405"/>
      <c r="BK615" s="405"/>
      <c r="BL615" s="446"/>
      <c r="BM615" s="403"/>
      <c r="BN615" s="404"/>
      <c r="BO615" s="404"/>
      <c r="BP615" s="408"/>
      <c r="BQ615" s="409"/>
      <c r="BR615" s="410"/>
      <c r="BS615" s="408"/>
      <c r="BT615" s="405"/>
      <c r="BU615" s="418"/>
      <c r="BV615" s="408"/>
      <c r="BW615" s="404"/>
      <c r="BX615" s="403"/>
      <c r="BY615" s="404"/>
      <c r="BZ615" s="404"/>
      <c r="CA615" s="443"/>
      <c r="CB615" s="409"/>
      <c r="CC615" s="407"/>
      <c r="CD615" s="407"/>
      <c r="CE615" s="407"/>
      <c r="CF615" s="407"/>
      <c r="CG615" s="407"/>
      <c r="CH615" s="407"/>
      <c r="CI615" s="407"/>
      <c r="CJ615" s="407"/>
      <c r="CK615" s="407"/>
      <c r="CL615" s="407"/>
      <c r="CM615" s="407"/>
      <c r="CN615" s="407"/>
      <c r="CO615" s="407"/>
      <c r="CP615" s="407"/>
      <c r="CQ615" s="407"/>
      <c r="CR615" s="407"/>
      <c r="CS615" s="407"/>
      <c r="CT615" s="407"/>
      <c r="CU615" s="407"/>
      <c r="CV615" s="407"/>
      <c r="CW615" s="407"/>
      <c r="CX615" s="407"/>
      <c r="CY615" s="407"/>
      <c r="CZ615" s="407"/>
      <c r="DA615" s="407"/>
      <c r="DB615" s="407"/>
      <c r="DC615" s="407"/>
      <c r="DD615" s="407"/>
      <c r="DE615" s="404"/>
      <c r="DF615" s="404"/>
      <c r="DG615" s="404"/>
      <c r="DH615" s="404"/>
      <c r="DI615" s="404"/>
      <c r="DJ615" s="404"/>
      <c r="DK615" s="897"/>
    </row>
    <row r="616" spans="1:115" ht="51" x14ac:dyDescent="0.2">
      <c r="A616" s="295">
        <v>612</v>
      </c>
      <c r="B616" s="390" t="s">
        <v>2682</v>
      </c>
      <c r="C616" s="390"/>
      <c r="D616" s="391"/>
      <c r="E616" s="707" t="s">
        <v>263</v>
      </c>
      <c r="F616" s="404" t="s">
        <v>1352</v>
      </c>
      <c r="G616" s="404" t="s">
        <v>1672</v>
      </c>
      <c r="H616" s="404" t="s">
        <v>261</v>
      </c>
      <c r="I616" s="403"/>
      <c r="J616" s="403"/>
      <c r="K616" s="403" t="s">
        <v>2197</v>
      </c>
      <c r="L616" s="403" t="s">
        <v>262</v>
      </c>
      <c r="M616" s="403"/>
      <c r="N616" s="404" t="s">
        <v>2412</v>
      </c>
      <c r="O616" s="404" t="s">
        <v>34</v>
      </c>
      <c r="P616" s="404" t="s">
        <v>34</v>
      </c>
      <c r="Q616" s="403" t="s">
        <v>255</v>
      </c>
      <c r="R616" s="403" t="s">
        <v>3148</v>
      </c>
      <c r="S616" s="486" t="s">
        <v>64</v>
      </c>
      <c r="T616" s="405">
        <v>1</v>
      </c>
      <c r="U616" s="406">
        <v>0.95899999999999996</v>
      </c>
      <c r="V616" s="406"/>
      <c r="W616" s="455"/>
      <c r="X616" s="405"/>
      <c r="Y616" s="405">
        <v>10</v>
      </c>
      <c r="Z616" s="405">
        <v>10</v>
      </c>
      <c r="AA616" s="406">
        <v>0</v>
      </c>
      <c r="AB616" s="456">
        <v>40909</v>
      </c>
      <c r="AC616" s="407">
        <v>0.96</v>
      </c>
      <c r="AD616" s="407">
        <v>9.59</v>
      </c>
      <c r="AE616" s="404" t="s">
        <v>72</v>
      </c>
      <c r="AF616" s="418"/>
      <c r="AG616" s="418"/>
      <c r="AH616" s="418"/>
      <c r="AI616" s="405"/>
      <c r="AJ616" s="455"/>
      <c r="AK616" s="455"/>
      <c r="AL616" s="404"/>
      <c r="AM616" s="404"/>
      <c r="AN616" s="418"/>
      <c r="AO616" s="403"/>
      <c r="AP616" s="403" t="s">
        <v>7057</v>
      </c>
      <c r="AQ616" s="403"/>
      <c r="AR616" s="403" t="s">
        <v>262</v>
      </c>
      <c r="AS616" s="482">
        <v>40775</v>
      </c>
      <c r="AT616" s="456">
        <v>40892</v>
      </c>
      <c r="AU616" s="455"/>
      <c r="AV616" s="455"/>
      <c r="AW616" s="455"/>
      <c r="AX616" s="455"/>
      <c r="AY616" s="455"/>
      <c r="AZ616" s="455"/>
      <c r="BA616" s="404"/>
      <c r="BB616" s="404"/>
      <c r="BC616" s="404" t="b">
        <v>0</v>
      </c>
      <c r="BD616" s="404"/>
      <c r="BE616" s="403"/>
      <c r="BF616" s="405">
        <v>9</v>
      </c>
      <c r="BG616" s="405">
        <v>4</v>
      </c>
      <c r="BH616" s="405">
        <v>5</v>
      </c>
      <c r="BI616" s="405">
        <v>7</v>
      </c>
      <c r="BJ616" s="405"/>
      <c r="BK616" s="405"/>
      <c r="BL616" s="446" t="s">
        <v>6981</v>
      </c>
      <c r="BM616" s="403"/>
      <c r="BN616" s="404"/>
      <c r="BO616" s="404"/>
      <c r="BP616" s="408"/>
      <c r="BQ616" s="409"/>
      <c r="BR616" s="410"/>
      <c r="BS616" s="408"/>
      <c r="BT616" s="405"/>
      <c r="BU616" s="418">
        <v>0.45115</v>
      </c>
      <c r="BV616" s="408">
        <v>2.1266630000000002</v>
      </c>
      <c r="BW616" s="404" t="s">
        <v>3117</v>
      </c>
      <c r="BX616" s="403" t="s">
        <v>3149</v>
      </c>
      <c r="BY616" s="404"/>
      <c r="BZ616" s="404"/>
      <c r="CA616" s="443"/>
      <c r="CB616" s="409"/>
      <c r="CC616" s="407"/>
      <c r="CD616" s="407"/>
      <c r="CE616" s="407"/>
      <c r="CF616" s="407"/>
      <c r="CG616" s="407"/>
      <c r="CH616" s="407">
        <v>0.96</v>
      </c>
      <c r="CI616" s="407">
        <v>0.96</v>
      </c>
      <c r="CJ616" s="407">
        <v>0.96</v>
      </c>
      <c r="CK616" s="407">
        <v>0.96</v>
      </c>
      <c r="CL616" s="407">
        <v>0.96</v>
      </c>
      <c r="CM616" s="407">
        <v>0.96</v>
      </c>
      <c r="CN616" s="407">
        <v>0.96</v>
      </c>
      <c r="CO616" s="407">
        <v>0.96</v>
      </c>
      <c r="CP616" s="407">
        <v>0.96</v>
      </c>
      <c r="CQ616" s="407">
        <v>0.96</v>
      </c>
      <c r="CR616" s="407"/>
      <c r="CS616" s="407"/>
      <c r="CT616" s="407"/>
      <c r="CU616" s="407"/>
      <c r="CV616" s="407"/>
      <c r="CW616" s="407"/>
      <c r="CX616" s="407"/>
      <c r="CY616" s="407"/>
      <c r="CZ616" s="407"/>
      <c r="DA616" s="407"/>
      <c r="DB616" s="407"/>
      <c r="DC616" s="407"/>
      <c r="DD616" s="407"/>
      <c r="DE616" s="404"/>
      <c r="DF616" s="404"/>
      <c r="DG616" s="404"/>
      <c r="DH616" s="404"/>
      <c r="DI616" s="404"/>
      <c r="DJ616" s="404"/>
      <c r="DK616" s="897"/>
    </row>
    <row r="617" spans="1:115" ht="76.5" x14ac:dyDescent="0.2">
      <c r="A617" s="295">
        <v>613</v>
      </c>
      <c r="B617" s="390" t="s">
        <v>1188</v>
      </c>
      <c r="C617" s="424" t="s">
        <v>7511</v>
      </c>
      <c r="D617" s="391" t="s">
        <v>5079</v>
      </c>
      <c r="E617" s="704" t="s">
        <v>1189</v>
      </c>
      <c r="F617" s="393" t="s">
        <v>1352</v>
      </c>
      <c r="G617" s="393" t="s">
        <v>1672</v>
      </c>
      <c r="H617" s="393" t="s">
        <v>684</v>
      </c>
      <c r="I617" s="392"/>
      <c r="J617" s="392" t="s">
        <v>684</v>
      </c>
      <c r="K617" s="392"/>
      <c r="L617" s="392" t="s">
        <v>254</v>
      </c>
      <c r="M617" s="392" t="s">
        <v>4063</v>
      </c>
      <c r="N617" s="393" t="s">
        <v>44</v>
      </c>
      <c r="O617" s="393" t="s">
        <v>45</v>
      </c>
      <c r="P617" s="393" t="s">
        <v>45</v>
      </c>
      <c r="Q617" s="392" t="s">
        <v>685</v>
      </c>
      <c r="R617" s="392"/>
      <c r="S617" s="392" t="s">
        <v>686</v>
      </c>
      <c r="T617" s="394">
        <v>1</v>
      </c>
      <c r="U617" s="395">
        <v>123.449</v>
      </c>
      <c r="V617" s="395"/>
      <c r="W617" s="452">
        <v>40681</v>
      </c>
      <c r="X617" s="394">
        <v>28</v>
      </c>
      <c r="Y617" s="394"/>
      <c r="Z617" s="394"/>
      <c r="AA617" s="395"/>
      <c r="AB617" s="453"/>
      <c r="AC617" s="398">
        <v>0</v>
      </c>
      <c r="AD617" s="398">
        <v>1234.49</v>
      </c>
      <c r="AE617" s="393" t="s">
        <v>72</v>
      </c>
      <c r="AF617" s="417"/>
      <c r="AG617" s="417"/>
      <c r="AH617" s="417">
        <v>0</v>
      </c>
      <c r="AI617" s="394"/>
      <c r="AJ617" s="453"/>
      <c r="AK617" s="453"/>
      <c r="AL617" s="393"/>
      <c r="AM617" s="393"/>
      <c r="AN617" s="417"/>
      <c r="AO617" s="392"/>
      <c r="AP617" s="392" t="s">
        <v>7061</v>
      </c>
      <c r="AQ617" s="392"/>
      <c r="AR617" s="392" t="s">
        <v>254</v>
      </c>
      <c r="AS617" s="479">
        <v>40681</v>
      </c>
      <c r="AT617" s="453"/>
      <c r="AU617" s="397"/>
      <c r="AV617" s="452">
        <v>41095</v>
      </c>
      <c r="AW617" s="452">
        <v>41255</v>
      </c>
      <c r="AX617" s="452">
        <v>41304</v>
      </c>
      <c r="AY617" s="452">
        <v>41255</v>
      </c>
      <c r="AZ617" s="453"/>
      <c r="BA617" s="393"/>
      <c r="BB617" s="393" t="s">
        <v>3147</v>
      </c>
      <c r="BC617" s="393" t="b">
        <v>0</v>
      </c>
      <c r="BD617" s="393" t="s">
        <v>3147</v>
      </c>
      <c r="BE617" s="392"/>
      <c r="BF617" s="394">
        <v>9</v>
      </c>
      <c r="BG617" s="394">
        <v>4</v>
      </c>
      <c r="BH617" s="394">
        <v>1</v>
      </c>
      <c r="BI617" s="394">
        <v>5</v>
      </c>
      <c r="BJ617" s="394">
        <v>8</v>
      </c>
      <c r="BK617" s="394">
        <v>10</v>
      </c>
      <c r="BL617" s="444"/>
      <c r="BM617" s="392"/>
      <c r="BN617" s="393"/>
      <c r="BO617" s="393"/>
      <c r="BP617" s="399"/>
      <c r="BQ617" s="400"/>
      <c r="BR617" s="401"/>
      <c r="BS617" s="399">
        <v>10</v>
      </c>
      <c r="BT617" s="394"/>
      <c r="BU617" s="417"/>
      <c r="BV617" s="399"/>
      <c r="BW617" s="393"/>
      <c r="BX617" s="392"/>
      <c r="BY617" s="393"/>
      <c r="BZ617" s="393"/>
      <c r="CA617" s="441"/>
      <c r="CB617" s="400"/>
      <c r="CC617" s="398"/>
      <c r="CD617" s="398"/>
      <c r="CE617" s="398"/>
      <c r="CF617" s="398"/>
      <c r="CG617" s="398"/>
      <c r="CH617" s="398">
        <v>3</v>
      </c>
      <c r="CI617" s="398">
        <v>3</v>
      </c>
      <c r="CJ617" s="398">
        <v>3</v>
      </c>
      <c r="CK617" s="398"/>
      <c r="CL617" s="398"/>
      <c r="CM617" s="398"/>
      <c r="CN617" s="398"/>
      <c r="CO617" s="398"/>
      <c r="CP617" s="398"/>
      <c r="CQ617" s="398"/>
      <c r="CR617" s="398"/>
      <c r="CS617" s="398"/>
      <c r="CT617" s="398"/>
      <c r="CU617" s="398"/>
      <c r="CV617" s="398"/>
      <c r="CW617" s="398"/>
      <c r="CX617" s="398"/>
      <c r="CY617" s="398"/>
      <c r="CZ617" s="398"/>
      <c r="DA617" s="398"/>
      <c r="DB617" s="398"/>
      <c r="DC617" s="398"/>
      <c r="DD617" s="398"/>
      <c r="DE617" s="393"/>
      <c r="DF617" s="393"/>
      <c r="DG617" s="393"/>
      <c r="DH617" s="393"/>
      <c r="DI617" s="393"/>
      <c r="DJ617" s="393"/>
      <c r="DK617" s="896" t="s">
        <v>9718</v>
      </c>
    </row>
    <row r="618" spans="1:115" ht="38.25" x14ac:dyDescent="0.2">
      <c r="A618" s="295">
        <v>614</v>
      </c>
      <c r="B618" s="390" t="s">
        <v>2683</v>
      </c>
      <c r="C618" s="390"/>
      <c r="D618" s="391" t="s">
        <v>4462</v>
      </c>
      <c r="E618" s="704" t="s">
        <v>683</v>
      </c>
      <c r="F618" s="393" t="s">
        <v>1352</v>
      </c>
      <c r="G618" s="393" t="s">
        <v>1672</v>
      </c>
      <c r="H618" s="393" t="s">
        <v>684</v>
      </c>
      <c r="I618" s="392"/>
      <c r="J618" s="392"/>
      <c r="K618" s="392" t="s">
        <v>2154</v>
      </c>
      <c r="L618" s="392" t="s">
        <v>254</v>
      </c>
      <c r="M618" s="392"/>
      <c r="N618" s="393" t="s">
        <v>44</v>
      </c>
      <c r="O618" s="393" t="s">
        <v>45</v>
      </c>
      <c r="P618" s="393" t="s">
        <v>45</v>
      </c>
      <c r="Q618" s="392" t="s">
        <v>685</v>
      </c>
      <c r="R618" s="392" t="s">
        <v>4064</v>
      </c>
      <c r="S618" s="392" t="s">
        <v>686</v>
      </c>
      <c r="T618" s="394">
        <v>1</v>
      </c>
      <c r="U618" s="395">
        <v>123.449</v>
      </c>
      <c r="V618" s="395"/>
      <c r="W618" s="453"/>
      <c r="X618" s="394"/>
      <c r="Y618" s="394">
        <v>10</v>
      </c>
      <c r="Z618" s="394">
        <v>21</v>
      </c>
      <c r="AA618" s="395">
        <v>20</v>
      </c>
      <c r="AB618" s="452">
        <v>41426</v>
      </c>
      <c r="AC618" s="398">
        <v>0</v>
      </c>
      <c r="AD618" s="398">
        <v>1234.49</v>
      </c>
      <c r="AE618" s="393" t="s">
        <v>72</v>
      </c>
      <c r="AF618" s="417"/>
      <c r="AG618" s="417"/>
      <c r="AH618" s="417"/>
      <c r="AI618" s="394"/>
      <c r="AJ618" s="453"/>
      <c r="AK618" s="453"/>
      <c r="AL618" s="393"/>
      <c r="AM618" s="393"/>
      <c r="AN618" s="417"/>
      <c r="AO618" s="392"/>
      <c r="AP618" s="392" t="s">
        <v>7061</v>
      </c>
      <c r="AQ618" s="392"/>
      <c r="AR618" s="392" t="s">
        <v>254</v>
      </c>
      <c r="AS618" s="479">
        <v>40681</v>
      </c>
      <c r="AT618" s="453"/>
      <c r="AU618" s="453"/>
      <c r="AV618" s="453"/>
      <c r="AW618" s="453"/>
      <c r="AX618" s="453"/>
      <c r="AY618" s="453"/>
      <c r="AZ618" s="452">
        <v>41255</v>
      </c>
      <c r="BA618" s="393"/>
      <c r="BB618" s="393"/>
      <c r="BC618" s="393" t="b">
        <v>0</v>
      </c>
      <c r="BD618" s="393"/>
      <c r="BE618" s="392"/>
      <c r="BF618" s="394">
        <v>9</v>
      </c>
      <c r="BG618" s="394">
        <v>4</v>
      </c>
      <c r="BH618" s="394">
        <v>1</v>
      </c>
      <c r="BI618" s="394">
        <v>5</v>
      </c>
      <c r="BJ618" s="394">
        <v>8</v>
      </c>
      <c r="BK618" s="394">
        <v>10</v>
      </c>
      <c r="BL618" s="444" t="s">
        <v>6981</v>
      </c>
      <c r="BM618" s="392"/>
      <c r="BN618" s="393"/>
      <c r="BO618" s="393"/>
      <c r="BP618" s="399"/>
      <c r="BQ618" s="400"/>
      <c r="BR618" s="401"/>
      <c r="BS618" s="399">
        <v>10</v>
      </c>
      <c r="BT618" s="394">
        <v>78840</v>
      </c>
      <c r="BU618" s="417">
        <v>0.67200000000000004</v>
      </c>
      <c r="BV618" s="399"/>
      <c r="BW618" s="393" t="s">
        <v>3117</v>
      </c>
      <c r="BX618" s="392" t="s">
        <v>3199</v>
      </c>
      <c r="BY618" s="393"/>
      <c r="BZ618" s="393"/>
      <c r="CA618" s="441" t="s">
        <v>1662</v>
      </c>
      <c r="CB618" s="400">
        <v>3</v>
      </c>
      <c r="CC618" s="398"/>
      <c r="CD618" s="398"/>
      <c r="CE618" s="398"/>
      <c r="CF618" s="398"/>
      <c r="CG618" s="398"/>
      <c r="CH618" s="398"/>
      <c r="CI618" s="398">
        <v>91.772000000000006</v>
      </c>
      <c r="CJ618" s="398">
        <v>87.63</v>
      </c>
      <c r="CK618" s="398">
        <v>102.35299999999999</v>
      </c>
      <c r="CL618" s="398">
        <v>114.77500000000001</v>
      </c>
      <c r="CM618" s="398">
        <v>125.255</v>
      </c>
      <c r="CN618" s="398">
        <v>134.096</v>
      </c>
      <c r="CO618" s="398">
        <v>141.55600000000001</v>
      </c>
      <c r="CP618" s="398">
        <v>147.84899999999999</v>
      </c>
      <c r="CQ618" s="398">
        <v>153.15799999999999</v>
      </c>
      <c r="CR618" s="398">
        <v>157.637</v>
      </c>
      <c r="CS618" s="398"/>
      <c r="CT618" s="398"/>
      <c r="CU618" s="398"/>
      <c r="CV618" s="398"/>
      <c r="CW618" s="398"/>
      <c r="CX618" s="398"/>
      <c r="CY618" s="398"/>
      <c r="CZ618" s="398"/>
      <c r="DA618" s="398"/>
      <c r="DB618" s="398"/>
      <c r="DC618" s="398"/>
      <c r="DD618" s="398"/>
      <c r="DE618" s="393"/>
      <c r="DF618" s="393"/>
      <c r="DG618" s="393"/>
      <c r="DH618" s="393"/>
      <c r="DI618" s="393"/>
      <c r="DJ618" s="393"/>
      <c r="DK618" s="897"/>
    </row>
    <row r="619" spans="1:115" ht="76.5" x14ac:dyDescent="0.2">
      <c r="A619" s="295">
        <v>615</v>
      </c>
      <c r="B619" s="390" t="s">
        <v>730</v>
      </c>
      <c r="C619" s="424" t="s">
        <v>7512</v>
      </c>
      <c r="D619" s="391" t="s">
        <v>6012</v>
      </c>
      <c r="E619" s="704" t="s">
        <v>731</v>
      </c>
      <c r="F619" s="393" t="s">
        <v>1352</v>
      </c>
      <c r="G619" s="393" t="s">
        <v>1671</v>
      </c>
      <c r="H619" s="393" t="s">
        <v>117</v>
      </c>
      <c r="I619" s="392"/>
      <c r="J619" s="392" t="s">
        <v>732</v>
      </c>
      <c r="K619" s="392"/>
      <c r="L619" s="392" t="s">
        <v>733</v>
      </c>
      <c r="M619" s="392" t="s">
        <v>4065</v>
      </c>
      <c r="N619" s="393" t="s">
        <v>44</v>
      </c>
      <c r="O619" s="393" t="s">
        <v>289</v>
      </c>
      <c r="P619" s="393" t="s">
        <v>289</v>
      </c>
      <c r="Q619" s="392" t="s">
        <v>721</v>
      </c>
      <c r="R619" s="392"/>
      <c r="S619" s="392" t="s">
        <v>166</v>
      </c>
      <c r="T619" s="394">
        <v>1</v>
      </c>
      <c r="U619" s="395">
        <v>0.84799999999999998</v>
      </c>
      <c r="V619" s="395"/>
      <c r="W619" s="452">
        <v>40653</v>
      </c>
      <c r="X619" s="394">
        <v>28</v>
      </c>
      <c r="Y619" s="394"/>
      <c r="Z619" s="394"/>
      <c r="AA619" s="395"/>
      <c r="AB619" s="453"/>
      <c r="AC619" s="398">
        <v>1.569876</v>
      </c>
      <c r="AD619" s="398">
        <v>8.48</v>
      </c>
      <c r="AE619" s="393" t="s">
        <v>355</v>
      </c>
      <c r="AF619" s="417"/>
      <c r="AG619" s="417"/>
      <c r="AH619" s="417">
        <v>0</v>
      </c>
      <c r="AI619" s="394"/>
      <c r="AJ619" s="453"/>
      <c r="AK619" s="453"/>
      <c r="AL619" s="393"/>
      <c r="AM619" s="393"/>
      <c r="AN619" s="417"/>
      <c r="AO619" s="392"/>
      <c r="AP619" s="392" t="s">
        <v>7040</v>
      </c>
      <c r="AQ619" s="392"/>
      <c r="AR619" s="392" t="s">
        <v>73</v>
      </c>
      <c r="AS619" s="479">
        <v>40688</v>
      </c>
      <c r="AT619" s="453"/>
      <c r="AU619" s="453"/>
      <c r="AV619" s="452">
        <v>41214</v>
      </c>
      <c r="AW619" s="452">
        <v>41656</v>
      </c>
      <c r="AX619" s="452">
        <v>41705</v>
      </c>
      <c r="AY619" s="452">
        <v>41656</v>
      </c>
      <c r="AZ619" s="453"/>
      <c r="BA619" s="393"/>
      <c r="BB619" s="393" t="s">
        <v>3147</v>
      </c>
      <c r="BC619" s="393" t="b">
        <v>1</v>
      </c>
      <c r="BD619" s="393" t="s">
        <v>3147</v>
      </c>
      <c r="BE619" s="392"/>
      <c r="BF619" s="394">
        <v>4</v>
      </c>
      <c r="BG619" s="394">
        <v>10</v>
      </c>
      <c r="BH619" s="394">
        <v>6</v>
      </c>
      <c r="BI619" s="394">
        <v>8</v>
      </c>
      <c r="BJ619" s="394"/>
      <c r="BK619" s="394"/>
      <c r="BL619" s="444"/>
      <c r="BM619" s="392"/>
      <c r="BN619" s="393"/>
      <c r="BO619" s="393"/>
      <c r="BP619" s="399"/>
      <c r="BQ619" s="400"/>
      <c r="BR619" s="401"/>
      <c r="BS619" s="399">
        <v>0.36</v>
      </c>
      <c r="BT619" s="394"/>
      <c r="BU619" s="417"/>
      <c r="BV619" s="399"/>
      <c r="BW619" s="393"/>
      <c r="BX619" s="392"/>
      <c r="BY619" s="393"/>
      <c r="BZ619" s="393"/>
      <c r="CA619" s="441"/>
      <c r="CB619" s="400"/>
      <c r="CC619" s="398"/>
      <c r="CD619" s="398"/>
      <c r="CE619" s="398"/>
      <c r="CF619" s="398"/>
      <c r="CG619" s="398"/>
      <c r="CH619" s="398"/>
      <c r="CI619" s="398"/>
      <c r="CJ619" s="398"/>
      <c r="CK619" s="398"/>
      <c r="CL619" s="398"/>
      <c r="CM619" s="398"/>
      <c r="CN619" s="398"/>
      <c r="CO619" s="398"/>
      <c r="CP619" s="398"/>
      <c r="CQ619" s="398"/>
      <c r="CR619" s="398"/>
      <c r="CS619" s="398"/>
      <c r="CT619" s="398"/>
      <c r="CU619" s="398"/>
      <c r="CV619" s="398"/>
      <c r="CW619" s="398"/>
      <c r="CX619" s="398"/>
      <c r="CY619" s="398"/>
      <c r="CZ619" s="398"/>
      <c r="DA619" s="398"/>
      <c r="DB619" s="398"/>
      <c r="DC619" s="398"/>
      <c r="DD619" s="398"/>
      <c r="DE619" s="393"/>
      <c r="DF619" s="393"/>
      <c r="DG619" s="393"/>
      <c r="DH619" s="393"/>
      <c r="DI619" s="393"/>
      <c r="DJ619" s="393"/>
      <c r="DK619" s="896" t="s">
        <v>9746</v>
      </c>
    </row>
    <row r="620" spans="1:115" ht="38.25" x14ac:dyDescent="0.2">
      <c r="A620" s="295">
        <v>616</v>
      </c>
      <c r="B620" s="390" t="s">
        <v>2684</v>
      </c>
      <c r="C620" s="390"/>
      <c r="D620" s="391" t="s">
        <v>6013</v>
      </c>
      <c r="E620" s="704" t="s">
        <v>734</v>
      </c>
      <c r="F620" s="393" t="s">
        <v>1352</v>
      </c>
      <c r="G620" s="393" t="s">
        <v>1671</v>
      </c>
      <c r="H620" s="393" t="s">
        <v>117</v>
      </c>
      <c r="I620" s="392"/>
      <c r="J620" s="392"/>
      <c r="K620" s="392" t="s">
        <v>196</v>
      </c>
      <c r="L620" s="392" t="s">
        <v>733</v>
      </c>
      <c r="M620" s="392"/>
      <c r="N620" s="393" t="s">
        <v>44</v>
      </c>
      <c r="O620" s="393" t="s">
        <v>289</v>
      </c>
      <c r="P620" s="393" t="s">
        <v>289</v>
      </c>
      <c r="Q620" s="392" t="s">
        <v>721</v>
      </c>
      <c r="R620" s="392" t="s">
        <v>4066</v>
      </c>
      <c r="S620" s="392" t="s">
        <v>166</v>
      </c>
      <c r="T620" s="394">
        <v>1</v>
      </c>
      <c r="U620" s="395">
        <v>0.84799999999999998</v>
      </c>
      <c r="V620" s="395"/>
      <c r="W620" s="397"/>
      <c r="X620" s="394"/>
      <c r="Y620" s="394">
        <v>10</v>
      </c>
      <c r="Z620" s="394">
        <v>10</v>
      </c>
      <c r="AA620" s="395">
        <v>0</v>
      </c>
      <c r="AB620" s="396">
        <v>40653</v>
      </c>
      <c r="AC620" s="398">
        <v>1.569876</v>
      </c>
      <c r="AD620" s="398">
        <v>8.48</v>
      </c>
      <c r="AE620" s="393" t="s">
        <v>355</v>
      </c>
      <c r="AF620" s="417"/>
      <c r="AG620" s="417"/>
      <c r="AH620" s="417"/>
      <c r="AI620" s="394"/>
      <c r="AJ620" s="453"/>
      <c r="AK620" s="453"/>
      <c r="AL620" s="393"/>
      <c r="AM620" s="393"/>
      <c r="AN620" s="417"/>
      <c r="AO620" s="392"/>
      <c r="AP620" s="392" t="s">
        <v>7040</v>
      </c>
      <c r="AQ620" s="392"/>
      <c r="AR620" s="392" t="s">
        <v>73</v>
      </c>
      <c r="AS620" s="479">
        <v>40688</v>
      </c>
      <c r="AT620" s="397"/>
      <c r="AU620" s="397"/>
      <c r="AV620" s="397"/>
      <c r="AW620" s="397"/>
      <c r="AX620" s="397"/>
      <c r="AY620" s="453"/>
      <c r="AZ620" s="452">
        <v>41656</v>
      </c>
      <c r="BA620" s="393"/>
      <c r="BB620" s="393"/>
      <c r="BC620" s="393" t="b">
        <v>0</v>
      </c>
      <c r="BD620" s="393"/>
      <c r="BE620" s="392"/>
      <c r="BF620" s="394">
        <v>4</v>
      </c>
      <c r="BG620" s="394">
        <v>10</v>
      </c>
      <c r="BH620" s="394">
        <v>6</v>
      </c>
      <c r="BI620" s="394">
        <v>8</v>
      </c>
      <c r="BJ620" s="394"/>
      <c r="BK620" s="394"/>
      <c r="BL620" s="444" t="s">
        <v>6981</v>
      </c>
      <c r="BM620" s="392"/>
      <c r="BN620" s="393"/>
      <c r="BO620" s="393"/>
      <c r="BP620" s="399"/>
      <c r="BQ620" s="400"/>
      <c r="BR620" s="401"/>
      <c r="BS620" s="399">
        <v>0.36</v>
      </c>
      <c r="BT620" s="394"/>
      <c r="BU620" s="417"/>
      <c r="BV620" s="399"/>
      <c r="BW620" s="393" t="s">
        <v>3117</v>
      </c>
      <c r="BX620" s="392" t="s">
        <v>4364</v>
      </c>
      <c r="BY620" s="393" t="s">
        <v>7224</v>
      </c>
      <c r="BZ620" s="393"/>
      <c r="CA620" s="441"/>
      <c r="CB620" s="400"/>
      <c r="CC620" s="398"/>
      <c r="CD620" s="398"/>
      <c r="CE620" s="398"/>
      <c r="CF620" s="398"/>
      <c r="CG620" s="398"/>
      <c r="CH620" s="398">
        <v>0.92400000000000004</v>
      </c>
      <c r="CI620" s="398">
        <v>0.92400000000000004</v>
      </c>
      <c r="CJ620" s="398">
        <v>0.92400000000000004</v>
      </c>
      <c r="CK620" s="398">
        <v>0.92400000000000004</v>
      </c>
      <c r="CL620" s="398">
        <v>0.92400000000000004</v>
      </c>
      <c r="CM620" s="398">
        <v>0.92400000000000004</v>
      </c>
      <c r="CN620" s="398">
        <v>0.92400000000000004</v>
      </c>
      <c r="CO620" s="398">
        <v>0.92400000000000004</v>
      </c>
      <c r="CP620" s="398">
        <v>0.92400000000000004</v>
      </c>
      <c r="CQ620" s="398">
        <v>0.92400000000000004</v>
      </c>
      <c r="CR620" s="398"/>
      <c r="CS620" s="398"/>
      <c r="CT620" s="398"/>
      <c r="CU620" s="398"/>
      <c r="CV620" s="398"/>
      <c r="CW620" s="398"/>
      <c r="CX620" s="398"/>
      <c r="CY620" s="398"/>
      <c r="CZ620" s="398"/>
      <c r="DA620" s="398"/>
      <c r="DB620" s="398"/>
      <c r="DC620" s="398"/>
      <c r="DD620" s="398"/>
      <c r="DE620" s="393"/>
      <c r="DF620" s="393"/>
      <c r="DG620" s="393"/>
      <c r="DH620" s="393"/>
      <c r="DI620" s="393"/>
      <c r="DJ620" s="393"/>
      <c r="DK620" s="897"/>
    </row>
    <row r="621" spans="1:115" ht="63.75" x14ac:dyDescent="0.2">
      <c r="A621" s="295">
        <v>617</v>
      </c>
      <c r="B621" s="390" t="s">
        <v>316</v>
      </c>
      <c r="C621" s="424" t="s">
        <v>7513</v>
      </c>
      <c r="D621" s="391"/>
      <c r="E621" s="707" t="s">
        <v>1975</v>
      </c>
      <c r="F621" s="404" t="s">
        <v>1352</v>
      </c>
      <c r="G621" s="404" t="s">
        <v>1672</v>
      </c>
      <c r="H621" s="404" t="s">
        <v>301</v>
      </c>
      <c r="I621" s="403"/>
      <c r="J621" s="403" t="s">
        <v>1978</v>
      </c>
      <c r="K621" s="403"/>
      <c r="L621" s="403" t="s">
        <v>317</v>
      </c>
      <c r="M621" s="403" t="s">
        <v>4067</v>
      </c>
      <c r="N621" s="404" t="s">
        <v>3142</v>
      </c>
      <c r="O621" s="404" t="s">
        <v>45</v>
      </c>
      <c r="P621" s="404" t="s">
        <v>45</v>
      </c>
      <c r="Q621" s="403" t="s">
        <v>307</v>
      </c>
      <c r="R621" s="403"/>
      <c r="S621" s="403" t="s">
        <v>291</v>
      </c>
      <c r="T621" s="405">
        <v>1</v>
      </c>
      <c r="U621" s="406">
        <v>3.2080000000000002</v>
      </c>
      <c r="V621" s="406"/>
      <c r="W621" s="456">
        <v>40697</v>
      </c>
      <c r="X621" s="405">
        <v>28</v>
      </c>
      <c r="Y621" s="405"/>
      <c r="Z621" s="405"/>
      <c r="AA621" s="406"/>
      <c r="AB621" s="455"/>
      <c r="AC621" s="407">
        <v>4.2666399999999998</v>
      </c>
      <c r="AD621" s="407">
        <v>32.08</v>
      </c>
      <c r="AE621" s="404" t="s">
        <v>225</v>
      </c>
      <c r="AF621" s="418"/>
      <c r="AG621" s="418"/>
      <c r="AH621" s="418">
        <v>0</v>
      </c>
      <c r="AI621" s="405"/>
      <c r="AJ621" s="455"/>
      <c r="AK621" s="455"/>
      <c r="AL621" s="404"/>
      <c r="AM621" s="404"/>
      <c r="AN621" s="418"/>
      <c r="AO621" s="403"/>
      <c r="AP621" s="403" t="s">
        <v>7046</v>
      </c>
      <c r="AQ621" s="403"/>
      <c r="AR621" s="403" t="s">
        <v>274</v>
      </c>
      <c r="AS621" s="482">
        <v>40697</v>
      </c>
      <c r="AT621" s="455"/>
      <c r="AU621" s="455"/>
      <c r="AV621" s="455"/>
      <c r="AW621" s="455"/>
      <c r="AX621" s="455"/>
      <c r="AY621" s="455"/>
      <c r="AZ621" s="455"/>
      <c r="BA621" s="404"/>
      <c r="BB621" s="404" t="s">
        <v>3147</v>
      </c>
      <c r="BC621" s="404" t="b">
        <v>0</v>
      </c>
      <c r="BD621" s="404" t="s">
        <v>3147</v>
      </c>
      <c r="BE621" s="403"/>
      <c r="BF621" s="405">
        <v>8</v>
      </c>
      <c r="BG621" s="405">
        <v>9</v>
      </c>
      <c r="BH621" s="405">
        <v>5</v>
      </c>
      <c r="BI621" s="405">
        <v>1</v>
      </c>
      <c r="BJ621" s="405">
        <v>3</v>
      </c>
      <c r="BK621" s="405">
        <v>11</v>
      </c>
      <c r="BL621" s="446"/>
      <c r="BM621" s="403"/>
      <c r="BN621" s="404"/>
      <c r="BO621" s="404"/>
      <c r="BP621" s="408"/>
      <c r="BQ621" s="409"/>
      <c r="BR621" s="410"/>
      <c r="BS621" s="408">
        <v>1</v>
      </c>
      <c r="BT621" s="405"/>
      <c r="BU621" s="418"/>
      <c r="BV621" s="408"/>
      <c r="BW621" s="404"/>
      <c r="BX621" s="403"/>
      <c r="BY621" s="404"/>
      <c r="BZ621" s="404"/>
      <c r="CA621" s="443"/>
      <c r="CB621" s="409"/>
      <c r="CC621" s="407"/>
      <c r="CD621" s="407"/>
      <c r="CE621" s="407"/>
      <c r="CF621" s="407"/>
      <c r="CG621" s="407"/>
      <c r="CH621" s="407"/>
      <c r="CI621" s="407"/>
      <c r="CJ621" s="407"/>
      <c r="CK621" s="407"/>
      <c r="CL621" s="407"/>
      <c r="CM621" s="407"/>
      <c r="CN621" s="407"/>
      <c r="CO621" s="407"/>
      <c r="CP621" s="407"/>
      <c r="CQ621" s="407"/>
      <c r="CR621" s="407"/>
      <c r="CS621" s="407"/>
      <c r="CT621" s="407"/>
      <c r="CU621" s="407"/>
      <c r="CV621" s="407"/>
      <c r="CW621" s="407"/>
      <c r="CX621" s="407"/>
      <c r="CY621" s="407"/>
      <c r="CZ621" s="407"/>
      <c r="DA621" s="407"/>
      <c r="DB621" s="407"/>
      <c r="DC621" s="407"/>
      <c r="DD621" s="407"/>
      <c r="DE621" s="404"/>
      <c r="DF621" s="404"/>
      <c r="DG621" s="404"/>
      <c r="DH621" s="404"/>
      <c r="DI621" s="404"/>
      <c r="DJ621" s="404"/>
      <c r="DK621" s="897"/>
    </row>
    <row r="622" spans="1:115" ht="25.5" x14ac:dyDescent="0.2">
      <c r="A622" s="295">
        <v>618</v>
      </c>
      <c r="B622" s="390" t="s">
        <v>2685</v>
      </c>
      <c r="C622" s="390"/>
      <c r="D622" s="391"/>
      <c r="E622" s="707" t="s">
        <v>318</v>
      </c>
      <c r="F622" s="404" t="s">
        <v>1352</v>
      </c>
      <c r="G622" s="404" t="s">
        <v>1672</v>
      </c>
      <c r="H622" s="404" t="s">
        <v>301</v>
      </c>
      <c r="I622" s="403"/>
      <c r="J622" s="403"/>
      <c r="K622" s="403" t="s">
        <v>2155</v>
      </c>
      <c r="L622" s="403" t="s">
        <v>317</v>
      </c>
      <c r="M622" s="403"/>
      <c r="N622" s="404" t="s">
        <v>3142</v>
      </c>
      <c r="O622" s="404" t="s">
        <v>45</v>
      </c>
      <c r="P622" s="404" t="s">
        <v>45</v>
      </c>
      <c r="Q622" s="403" t="s">
        <v>307</v>
      </c>
      <c r="R622" s="403" t="s">
        <v>4068</v>
      </c>
      <c r="S622" s="403" t="s">
        <v>291</v>
      </c>
      <c r="T622" s="405">
        <v>1</v>
      </c>
      <c r="U622" s="406">
        <v>3.2080000000000002</v>
      </c>
      <c r="V622" s="406"/>
      <c r="W622" s="455"/>
      <c r="X622" s="405"/>
      <c r="Y622" s="405">
        <v>10</v>
      </c>
      <c r="Z622" s="405">
        <v>20</v>
      </c>
      <c r="AA622" s="406">
        <v>0</v>
      </c>
      <c r="AB622" s="456">
        <v>40787</v>
      </c>
      <c r="AC622" s="407">
        <v>4.2666399999999998</v>
      </c>
      <c r="AD622" s="407">
        <v>32.08</v>
      </c>
      <c r="AE622" s="404" t="s">
        <v>225</v>
      </c>
      <c r="AF622" s="418"/>
      <c r="AG622" s="418"/>
      <c r="AH622" s="418"/>
      <c r="AI622" s="405"/>
      <c r="AJ622" s="455"/>
      <c r="AK622" s="455"/>
      <c r="AL622" s="404"/>
      <c r="AM622" s="404"/>
      <c r="AN622" s="418"/>
      <c r="AO622" s="403"/>
      <c r="AP622" s="403" t="s">
        <v>7046</v>
      </c>
      <c r="AQ622" s="403"/>
      <c r="AR622" s="403" t="s">
        <v>274</v>
      </c>
      <c r="AS622" s="482">
        <v>40697</v>
      </c>
      <c r="AT622" s="455"/>
      <c r="AU622" s="455"/>
      <c r="AV622" s="455"/>
      <c r="AW622" s="455"/>
      <c r="AX622" s="455"/>
      <c r="AY622" s="455"/>
      <c r="AZ622" s="455"/>
      <c r="BA622" s="404"/>
      <c r="BB622" s="404"/>
      <c r="BC622" s="404" t="b">
        <v>0</v>
      </c>
      <c r="BD622" s="404"/>
      <c r="BE622" s="403"/>
      <c r="BF622" s="405">
        <v>8</v>
      </c>
      <c r="BG622" s="405">
        <v>9</v>
      </c>
      <c r="BH622" s="405">
        <v>5</v>
      </c>
      <c r="BI622" s="405">
        <v>1</v>
      </c>
      <c r="BJ622" s="405">
        <v>3</v>
      </c>
      <c r="BK622" s="405">
        <v>11</v>
      </c>
      <c r="BL622" s="446" t="s">
        <v>6985</v>
      </c>
      <c r="BM622" s="403"/>
      <c r="BN622" s="404"/>
      <c r="BO622" s="404"/>
      <c r="BP622" s="408"/>
      <c r="BQ622" s="409"/>
      <c r="BR622" s="410"/>
      <c r="BS622" s="408">
        <v>1</v>
      </c>
      <c r="BT622" s="405">
        <v>5519</v>
      </c>
      <c r="BU622" s="418">
        <v>0.58120000000000005</v>
      </c>
      <c r="BV622" s="408"/>
      <c r="BW622" s="404" t="s">
        <v>3165</v>
      </c>
      <c r="BX622" s="403" t="s">
        <v>1447</v>
      </c>
      <c r="BY622" s="404"/>
      <c r="BZ622" s="404"/>
      <c r="CA622" s="443" t="s">
        <v>1662</v>
      </c>
      <c r="CB622" s="409">
        <v>3</v>
      </c>
      <c r="CC622" s="407"/>
      <c r="CD622" s="407"/>
      <c r="CE622" s="407"/>
      <c r="CF622" s="407"/>
      <c r="CG622" s="407"/>
      <c r="CH622" s="407">
        <v>3.2080000000000002</v>
      </c>
      <c r="CI622" s="407">
        <v>3.2080000000000002</v>
      </c>
      <c r="CJ622" s="407">
        <v>3.2080000000000002</v>
      </c>
      <c r="CK622" s="407">
        <v>3.2080000000000002</v>
      </c>
      <c r="CL622" s="407">
        <v>3.2080000000000002</v>
      </c>
      <c r="CM622" s="407">
        <v>3.2080000000000002</v>
      </c>
      <c r="CN622" s="407">
        <v>3.2080000000000002</v>
      </c>
      <c r="CO622" s="407">
        <v>3.2080000000000002</v>
      </c>
      <c r="CP622" s="407">
        <v>3.2080000000000002</v>
      </c>
      <c r="CQ622" s="407">
        <v>3.2080000000000002</v>
      </c>
      <c r="CR622" s="407"/>
      <c r="CS622" s="407"/>
      <c r="CT622" s="407"/>
      <c r="CU622" s="407"/>
      <c r="CV622" s="407"/>
      <c r="CW622" s="407"/>
      <c r="CX622" s="407"/>
      <c r="CY622" s="407"/>
      <c r="CZ622" s="407"/>
      <c r="DA622" s="407"/>
      <c r="DB622" s="407"/>
      <c r="DC622" s="407"/>
      <c r="DD622" s="407"/>
      <c r="DE622" s="404"/>
      <c r="DF622" s="404"/>
      <c r="DG622" s="404"/>
      <c r="DH622" s="404"/>
      <c r="DI622" s="404"/>
      <c r="DJ622" s="404"/>
      <c r="DK622" s="897"/>
    </row>
    <row r="623" spans="1:115" ht="25.5" x14ac:dyDescent="0.2">
      <c r="A623" s="295">
        <v>619</v>
      </c>
      <c r="B623" s="390" t="s">
        <v>909</v>
      </c>
      <c r="C623" s="424" t="s">
        <v>7514</v>
      </c>
      <c r="D623" s="391" t="s">
        <v>5080</v>
      </c>
      <c r="E623" s="704" t="s">
        <v>1976</v>
      </c>
      <c r="F623" s="393" t="s">
        <v>1375</v>
      </c>
      <c r="G623" s="393" t="s">
        <v>998</v>
      </c>
      <c r="H623" s="393" t="s">
        <v>350</v>
      </c>
      <c r="I623" s="392"/>
      <c r="J623" s="392" t="s">
        <v>350</v>
      </c>
      <c r="K623" s="392"/>
      <c r="L623" s="392" t="s">
        <v>910</v>
      </c>
      <c r="M623" s="392" t="s">
        <v>4069</v>
      </c>
      <c r="N623" s="393" t="s">
        <v>44</v>
      </c>
      <c r="O623" s="393" t="s">
        <v>827</v>
      </c>
      <c r="P623" s="393" t="s">
        <v>827</v>
      </c>
      <c r="Q623" s="392" t="s">
        <v>911</v>
      </c>
      <c r="R623" s="392"/>
      <c r="S623" s="392" t="s">
        <v>912</v>
      </c>
      <c r="T623" s="394">
        <v>1</v>
      </c>
      <c r="U623" s="395">
        <v>5.1840000000000002</v>
      </c>
      <c r="V623" s="395"/>
      <c r="W623" s="452">
        <v>41030</v>
      </c>
      <c r="X623" s="394">
        <v>28</v>
      </c>
      <c r="Y623" s="394"/>
      <c r="Z623" s="394"/>
      <c r="AA623" s="395"/>
      <c r="AB623" s="453"/>
      <c r="AC623" s="398">
        <v>3.0249999999999999</v>
      </c>
      <c r="AD623" s="398">
        <v>51.84</v>
      </c>
      <c r="AE623" s="393" t="s">
        <v>47</v>
      </c>
      <c r="AF623" s="417"/>
      <c r="AG623" s="417"/>
      <c r="AH623" s="417">
        <v>0</v>
      </c>
      <c r="AI623" s="394"/>
      <c r="AJ623" s="453"/>
      <c r="AK623" s="453"/>
      <c r="AL623" s="393"/>
      <c r="AM623" s="393"/>
      <c r="AN623" s="417"/>
      <c r="AO623" s="392"/>
      <c r="AP623" s="392" t="s">
        <v>7070</v>
      </c>
      <c r="AQ623" s="392"/>
      <c r="AR623" s="392" t="s">
        <v>910</v>
      </c>
      <c r="AS623" s="479">
        <v>40698</v>
      </c>
      <c r="AT623" s="453"/>
      <c r="AU623" s="453"/>
      <c r="AV623" s="452">
        <v>40961</v>
      </c>
      <c r="AW623" s="452">
        <v>41072</v>
      </c>
      <c r="AX623" s="452">
        <v>41076</v>
      </c>
      <c r="AY623" s="452">
        <v>41072</v>
      </c>
      <c r="AZ623" s="453"/>
      <c r="BA623" s="393"/>
      <c r="BB623" s="393" t="s">
        <v>3116</v>
      </c>
      <c r="BC623" s="393" t="b">
        <v>0</v>
      </c>
      <c r="BD623" s="393" t="s">
        <v>3147</v>
      </c>
      <c r="BE623" s="392"/>
      <c r="BF623" s="394">
        <v>3</v>
      </c>
      <c r="BG623" s="394">
        <v>8</v>
      </c>
      <c r="BH623" s="394">
        <v>6</v>
      </c>
      <c r="BI623" s="394"/>
      <c r="BJ623" s="394"/>
      <c r="BK623" s="394"/>
      <c r="BL623" s="444"/>
      <c r="BM623" s="392"/>
      <c r="BN623" s="393"/>
      <c r="BO623" s="393"/>
      <c r="BP623" s="399"/>
      <c r="BQ623" s="400"/>
      <c r="BR623" s="401"/>
      <c r="BS623" s="399">
        <v>0</v>
      </c>
      <c r="BT623" s="394"/>
      <c r="BU623" s="417"/>
      <c r="BV623" s="399"/>
      <c r="BW623" s="393"/>
      <c r="BX623" s="392"/>
      <c r="BY623" s="393"/>
      <c r="BZ623" s="393" t="s">
        <v>3165</v>
      </c>
      <c r="CA623" s="441"/>
      <c r="CB623" s="400"/>
      <c r="CC623" s="398"/>
      <c r="CD623" s="398"/>
      <c r="CE623" s="398"/>
      <c r="CF623" s="398"/>
      <c r="CG623" s="398"/>
      <c r="CH623" s="398"/>
      <c r="CI623" s="398"/>
      <c r="CJ623" s="398"/>
      <c r="CK623" s="398"/>
      <c r="CL623" s="398"/>
      <c r="CM623" s="398"/>
      <c r="CN623" s="398"/>
      <c r="CO623" s="398"/>
      <c r="CP623" s="398"/>
      <c r="CQ623" s="398"/>
      <c r="CR623" s="398"/>
      <c r="CS623" s="398"/>
      <c r="CT623" s="398"/>
      <c r="CU623" s="398"/>
      <c r="CV623" s="398"/>
      <c r="CW623" s="398"/>
      <c r="CX623" s="398"/>
      <c r="CY623" s="398"/>
      <c r="CZ623" s="398"/>
      <c r="DA623" s="398"/>
      <c r="DB623" s="398"/>
      <c r="DC623" s="398"/>
      <c r="DD623" s="398"/>
      <c r="DE623" s="393"/>
      <c r="DF623" s="393"/>
      <c r="DG623" s="393"/>
      <c r="DH623" s="393"/>
      <c r="DI623" s="393"/>
      <c r="DJ623" s="393"/>
      <c r="DK623" s="896" t="s">
        <v>9700</v>
      </c>
    </row>
    <row r="624" spans="1:115" ht="25.5" x14ac:dyDescent="0.2">
      <c r="A624" s="295">
        <v>620</v>
      </c>
      <c r="B624" s="390" t="s">
        <v>2686</v>
      </c>
      <c r="C624" s="390"/>
      <c r="D624" s="391" t="s">
        <v>2320</v>
      </c>
      <c r="E624" s="704" t="s">
        <v>913</v>
      </c>
      <c r="F624" s="393" t="s">
        <v>1375</v>
      </c>
      <c r="G624" s="393" t="s">
        <v>998</v>
      </c>
      <c r="H624" s="393" t="s">
        <v>350</v>
      </c>
      <c r="I624" s="392"/>
      <c r="J624" s="392"/>
      <c r="K624" s="392" t="s">
        <v>350</v>
      </c>
      <c r="L624" s="392" t="s">
        <v>910</v>
      </c>
      <c r="M624" s="392"/>
      <c r="N624" s="393" t="s">
        <v>44</v>
      </c>
      <c r="O624" s="393" t="s">
        <v>827</v>
      </c>
      <c r="P624" s="393" t="s">
        <v>827</v>
      </c>
      <c r="Q624" s="392" t="s">
        <v>911</v>
      </c>
      <c r="R624" s="392" t="s">
        <v>4070</v>
      </c>
      <c r="S624" s="392" t="s">
        <v>912</v>
      </c>
      <c r="T624" s="394">
        <v>1</v>
      </c>
      <c r="U624" s="395">
        <v>5.1840000000000002</v>
      </c>
      <c r="V624" s="395"/>
      <c r="W624" s="453"/>
      <c r="X624" s="394"/>
      <c r="Y624" s="394">
        <v>10</v>
      </c>
      <c r="Z624" s="394">
        <v>10</v>
      </c>
      <c r="AA624" s="395">
        <v>0</v>
      </c>
      <c r="AB624" s="452">
        <v>40909</v>
      </c>
      <c r="AC624" s="398">
        <v>3.0249999999999999</v>
      </c>
      <c r="AD624" s="398">
        <v>51.84</v>
      </c>
      <c r="AE624" s="393" t="s">
        <v>47</v>
      </c>
      <c r="AF624" s="417"/>
      <c r="AG624" s="417"/>
      <c r="AH624" s="417"/>
      <c r="AI624" s="394"/>
      <c r="AJ624" s="453"/>
      <c r="AK624" s="453"/>
      <c r="AL624" s="393"/>
      <c r="AM624" s="393"/>
      <c r="AN624" s="417"/>
      <c r="AO624" s="392"/>
      <c r="AP624" s="392" t="s">
        <v>7070</v>
      </c>
      <c r="AQ624" s="392"/>
      <c r="AR624" s="392" t="s">
        <v>910</v>
      </c>
      <c r="AS624" s="479">
        <v>40698</v>
      </c>
      <c r="AT624" s="453"/>
      <c r="AU624" s="453"/>
      <c r="AV624" s="453"/>
      <c r="AW624" s="453"/>
      <c r="AX624" s="453"/>
      <c r="AY624" s="453"/>
      <c r="AZ624" s="452">
        <v>41072</v>
      </c>
      <c r="BA624" s="393"/>
      <c r="BB624" s="393"/>
      <c r="BC624" s="393" t="b">
        <v>0</v>
      </c>
      <c r="BD624" s="393"/>
      <c r="BE624" s="392"/>
      <c r="BF624" s="394">
        <v>3</v>
      </c>
      <c r="BG624" s="394">
        <v>8</v>
      </c>
      <c r="BH624" s="394">
        <v>6</v>
      </c>
      <c r="BI624" s="394"/>
      <c r="BJ624" s="394"/>
      <c r="BK624" s="394"/>
      <c r="BL624" s="444" t="s">
        <v>6981</v>
      </c>
      <c r="BM624" s="392"/>
      <c r="BN624" s="393"/>
      <c r="BO624" s="393"/>
      <c r="BP624" s="399"/>
      <c r="BQ624" s="400"/>
      <c r="BR624" s="401"/>
      <c r="BS624" s="399"/>
      <c r="BT624" s="394"/>
      <c r="BU624" s="417"/>
      <c r="BV624" s="399"/>
      <c r="BW624" s="393" t="s">
        <v>3117</v>
      </c>
      <c r="BX624" s="392" t="s">
        <v>4364</v>
      </c>
      <c r="BY624" s="393" t="s">
        <v>7224</v>
      </c>
      <c r="BZ624" s="393" t="s">
        <v>3165</v>
      </c>
      <c r="CA624" s="441"/>
      <c r="CB624" s="400"/>
      <c r="CC624" s="398"/>
      <c r="CD624" s="398"/>
      <c r="CE624" s="398"/>
      <c r="CF624" s="398"/>
      <c r="CG624" s="398"/>
      <c r="CH624" s="398">
        <v>1.96</v>
      </c>
      <c r="CI624" s="398">
        <v>1.96</v>
      </c>
      <c r="CJ624" s="398">
        <v>1.96</v>
      </c>
      <c r="CK624" s="398">
        <v>1.96</v>
      </c>
      <c r="CL624" s="398">
        <v>1.96</v>
      </c>
      <c r="CM624" s="398">
        <v>1.96</v>
      </c>
      <c r="CN624" s="398">
        <v>1.96</v>
      </c>
      <c r="CO624" s="398">
        <v>1.96</v>
      </c>
      <c r="CP624" s="398">
        <v>1.96</v>
      </c>
      <c r="CQ624" s="398">
        <v>1.96</v>
      </c>
      <c r="CR624" s="398"/>
      <c r="CS624" s="398"/>
      <c r="CT624" s="398"/>
      <c r="CU624" s="398"/>
      <c r="CV624" s="398"/>
      <c r="CW624" s="398"/>
      <c r="CX624" s="398"/>
      <c r="CY624" s="398"/>
      <c r="CZ624" s="398"/>
      <c r="DA624" s="398"/>
      <c r="DB624" s="398"/>
      <c r="DC624" s="398"/>
      <c r="DD624" s="398"/>
      <c r="DE624" s="393"/>
      <c r="DF624" s="393"/>
      <c r="DG624" s="393"/>
      <c r="DH624" s="393"/>
      <c r="DI624" s="393"/>
      <c r="DJ624" s="393"/>
      <c r="DK624" s="897"/>
    </row>
    <row r="625" spans="1:115" ht="63.75" x14ac:dyDescent="0.2">
      <c r="A625" s="295">
        <v>621</v>
      </c>
      <c r="B625" s="390" t="s">
        <v>252</v>
      </c>
      <c r="C625" s="424" t="s">
        <v>7515</v>
      </c>
      <c r="D625" s="391"/>
      <c r="E625" s="707" t="s">
        <v>1977</v>
      </c>
      <c r="F625" s="404" t="s">
        <v>1340</v>
      </c>
      <c r="G625" s="404" t="s">
        <v>1677</v>
      </c>
      <c r="H625" s="404" t="s">
        <v>253</v>
      </c>
      <c r="I625" s="403"/>
      <c r="J625" s="403" t="s">
        <v>253</v>
      </c>
      <c r="K625" s="403"/>
      <c r="L625" s="403" t="s">
        <v>254</v>
      </c>
      <c r="M625" s="403" t="s">
        <v>4071</v>
      </c>
      <c r="N625" s="404" t="s">
        <v>3142</v>
      </c>
      <c r="O625" s="404" t="s">
        <v>34</v>
      </c>
      <c r="P625" s="404" t="s">
        <v>34</v>
      </c>
      <c r="Q625" s="403" t="s">
        <v>255</v>
      </c>
      <c r="R625" s="403"/>
      <c r="S625" s="403" t="s">
        <v>256</v>
      </c>
      <c r="T625" s="405">
        <v>1</v>
      </c>
      <c r="U625" s="406">
        <v>0.42299999999999999</v>
      </c>
      <c r="V625" s="406"/>
      <c r="W625" s="456">
        <v>40723</v>
      </c>
      <c r="X625" s="405">
        <v>28</v>
      </c>
      <c r="Y625" s="405"/>
      <c r="Z625" s="405"/>
      <c r="AA625" s="406"/>
      <c r="AB625" s="455"/>
      <c r="AC625" s="407">
        <v>0.52875000000000005</v>
      </c>
      <c r="AD625" s="407">
        <v>3.9159369863013698</v>
      </c>
      <c r="AE625" s="404" t="s">
        <v>72</v>
      </c>
      <c r="AF625" s="418"/>
      <c r="AG625" s="418"/>
      <c r="AH625" s="418">
        <v>0</v>
      </c>
      <c r="AI625" s="405"/>
      <c r="AJ625" s="455"/>
      <c r="AK625" s="455"/>
      <c r="AL625" s="404"/>
      <c r="AM625" s="404"/>
      <c r="AN625" s="418"/>
      <c r="AO625" s="403"/>
      <c r="AP625" s="403" t="s">
        <v>7061</v>
      </c>
      <c r="AQ625" s="403"/>
      <c r="AR625" s="403" t="s">
        <v>257</v>
      </c>
      <c r="AS625" s="482">
        <v>40723</v>
      </c>
      <c r="AT625" s="455"/>
      <c r="AU625" s="455"/>
      <c r="AV625" s="455"/>
      <c r="AW625" s="455"/>
      <c r="AX625" s="455"/>
      <c r="AY625" s="455"/>
      <c r="AZ625" s="455"/>
      <c r="BA625" s="404"/>
      <c r="BB625" s="404" t="s">
        <v>3116</v>
      </c>
      <c r="BC625" s="404" t="b">
        <v>0</v>
      </c>
      <c r="BD625" s="404" t="s">
        <v>3116</v>
      </c>
      <c r="BE625" s="403"/>
      <c r="BF625" s="405">
        <v>4</v>
      </c>
      <c r="BG625" s="405">
        <v>9</v>
      </c>
      <c r="BH625" s="405">
        <v>11</v>
      </c>
      <c r="BI625" s="405">
        <v>5</v>
      </c>
      <c r="BJ625" s="405">
        <v>7</v>
      </c>
      <c r="BK625" s="405">
        <v>8</v>
      </c>
      <c r="BL625" s="446"/>
      <c r="BM625" s="403"/>
      <c r="BN625" s="404"/>
      <c r="BO625" s="404"/>
      <c r="BP625" s="408"/>
      <c r="BQ625" s="409"/>
      <c r="BR625" s="410"/>
      <c r="BS625" s="408">
        <v>0</v>
      </c>
      <c r="BT625" s="405"/>
      <c r="BU625" s="418"/>
      <c r="BV625" s="408"/>
      <c r="BW625" s="404"/>
      <c r="BX625" s="403"/>
      <c r="BY625" s="404"/>
      <c r="BZ625" s="404"/>
      <c r="CA625" s="443"/>
      <c r="CB625" s="409"/>
      <c r="CC625" s="407"/>
      <c r="CD625" s="407"/>
      <c r="CE625" s="407"/>
      <c r="CF625" s="407"/>
      <c r="CG625" s="407"/>
      <c r="CH625" s="407"/>
      <c r="CI625" s="407"/>
      <c r="CJ625" s="407"/>
      <c r="CK625" s="407"/>
      <c r="CL625" s="407"/>
      <c r="CM625" s="407"/>
      <c r="CN625" s="407"/>
      <c r="CO625" s="407"/>
      <c r="CP625" s="407"/>
      <c r="CQ625" s="407"/>
      <c r="CR625" s="407"/>
      <c r="CS625" s="407"/>
      <c r="CT625" s="407"/>
      <c r="CU625" s="407"/>
      <c r="CV625" s="407"/>
      <c r="CW625" s="407"/>
      <c r="CX625" s="407"/>
      <c r="CY625" s="407"/>
      <c r="CZ625" s="407"/>
      <c r="DA625" s="407"/>
      <c r="DB625" s="407"/>
      <c r="DC625" s="407"/>
      <c r="DD625" s="407"/>
      <c r="DE625" s="404"/>
      <c r="DF625" s="404"/>
      <c r="DG625" s="404"/>
      <c r="DH625" s="404"/>
      <c r="DI625" s="404"/>
      <c r="DJ625" s="404"/>
      <c r="DK625" s="897"/>
    </row>
    <row r="626" spans="1:115" ht="25.5" x14ac:dyDescent="0.2">
      <c r="A626" s="295">
        <v>622</v>
      </c>
      <c r="B626" s="390" t="s">
        <v>2687</v>
      </c>
      <c r="C626" s="390"/>
      <c r="D626" s="391"/>
      <c r="E626" s="707" t="s">
        <v>258</v>
      </c>
      <c r="F626" s="404" t="s">
        <v>1340</v>
      </c>
      <c r="G626" s="404" t="s">
        <v>1677</v>
      </c>
      <c r="H626" s="404" t="s">
        <v>253</v>
      </c>
      <c r="I626" s="403"/>
      <c r="J626" s="403"/>
      <c r="K626" s="403" t="s">
        <v>2156</v>
      </c>
      <c r="L626" s="403" t="s">
        <v>254</v>
      </c>
      <c r="M626" s="403"/>
      <c r="N626" s="404" t="s">
        <v>3142</v>
      </c>
      <c r="O626" s="404" t="s">
        <v>34</v>
      </c>
      <c r="P626" s="404" t="s">
        <v>34</v>
      </c>
      <c r="Q626" s="403" t="s">
        <v>255</v>
      </c>
      <c r="R626" s="403" t="s">
        <v>4072</v>
      </c>
      <c r="S626" s="403" t="s">
        <v>256</v>
      </c>
      <c r="T626" s="405">
        <v>1</v>
      </c>
      <c r="U626" s="406">
        <v>0.42299999999999999</v>
      </c>
      <c r="V626" s="406"/>
      <c r="W626" s="455"/>
      <c r="X626" s="405"/>
      <c r="Y626" s="405">
        <v>7</v>
      </c>
      <c r="Z626" s="405">
        <v>21</v>
      </c>
      <c r="AA626" s="406">
        <v>0</v>
      </c>
      <c r="AB626" s="456">
        <v>40817</v>
      </c>
      <c r="AC626" s="407">
        <v>0.52875000000000005</v>
      </c>
      <c r="AD626" s="407">
        <v>3.9159369863013698</v>
      </c>
      <c r="AE626" s="404" t="s">
        <v>72</v>
      </c>
      <c r="AF626" s="418"/>
      <c r="AG626" s="418"/>
      <c r="AH626" s="418"/>
      <c r="AI626" s="405"/>
      <c r="AJ626" s="455"/>
      <c r="AK626" s="455"/>
      <c r="AL626" s="404"/>
      <c r="AM626" s="404"/>
      <c r="AN626" s="418"/>
      <c r="AO626" s="403"/>
      <c r="AP626" s="403" t="s">
        <v>7061</v>
      </c>
      <c r="AQ626" s="403"/>
      <c r="AR626" s="403" t="s">
        <v>257</v>
      </c>
      <c r="AS626" s="482">
        <v>40723</v>
      </c>
      <c r="AT626" s="455"/>
      <c r="AU626" s="455"/>
      <c r="AV626" s="455"/>
      <c r="AW626" s="455"/>
      <c r="AX626" s="455"/>
      <c r="AY626" s="455"/>
      <c r="AZ626" s="455"/>
      <c r="BA626" s="404"/>
      <c r="BB626" s="404"/>
      <c r="BC626" s="404" t="b">
        <v>0</v>
      </c>
      <c r="BD626" s="404"/>
      <c r="BE626" s="403"/>
      <c r="BF626" s="405">
        <v>4</v>
      </c>
      <c r="BG626" s="405">
        <v>9</v>
      </c>
      <c r="BH626" s="405">
        <v>11</v>
      </c>
      <c r="BI626" s="405">
        <v>5</v>
      </c>
      <c r="BJ626" s="405">
        <v>7</v>
      </c>
      <c r="BK626" s="405">
        <v>8</v>
      </c>
      <c r="BL626" s="446" t="s">
        <v>6981</v>
      </c>
      <c r="BM626" s="403"/>
      <c r="BN626" s="404"/>
      <c r="BO626" s="404"/>
      <c r="BP626" s="408"/>
      <c r="BQ626" s="409"/>
      <c r="BR626" s="410"/>
      <c r="BS626" s="408"/>
      <c r="BT626" s="405"/>
      <c r="BU626" s="418">
        <v>0.39779999999999999</v>
      </c>
      <c r="BV626" s="408">
        <v>0.27889999999999998</v>
      </c>
      <c r="BW626" s="404" t="s">
        <v>3117</v>
      </c>
      <c r="BX626" s="403" t="s">
        <v>3177</v>
      </c>
      <c r="BY626" s="404"/>
      <c r="BZ626" s="404"/>
      <c r="CA626" s="443" t="s">
        <v>1664</v>
      </c>
      <c r="CB626" s="409"/>
      <c r="CC626" s="407"/>
      <c r="CD626" s="407"/>
      <c r="CE626" s="407"/>
      <c r="CF626" s="407"/>
      <c r="CG626" s="407"/>
      <c r="CH626" s="407">
        <v>0.42299999999999999</v>
      </c>
      <c r="CI626" s="407">
        <v>0.42299999999999999</v>
      </c>
      <c r="CJ626" s="407">
        <v>0.42299999999999999</v>
      </c>
      <c r="CK626" s="407">
        <v>0.42299999999999999</v>
      </c>
      <c r="CL626" s="407">
        <v>0.42299999999999999</v>
      </c>
      <c r="CM626" s="407">
        <v>0.42299999999999999</v>
      </c>
      <c r="CN626" s="407">
        <v>0.42299999999999999</v>
      </c>
      <c r="CO626" s="407">
        <v>0.42299999999999999</v>
      </c>
      <c r="CP626" s="407">
        <v>0.42299999999999999</v>
      </c>
      <c r="CQ626" s="407">
        <v>0.42299999999999999</v>
      </c>
      <c r="CR626" s="407">
        <v>0.42299999999999999</v>
      </c>
      <c r="CS626" s="407">
        <v>0.42299999999999999</v>
      </c>
      <c r="CT626" s="407">
        <v>0.42299999999999999</v>
      </c>
      <c r="CU626" s="407">
        <v>0.42299999999999999</v>
      </c>
      <c r="CV626" s="407">
        <v>0.42299999999999999</v>
      </c>
      <c r="CW626" s="407">
        <v>0.42299999999999999</v>
      </c>
      <c r="CX626" s="407">
        <v>0.42299999999999999</v>
      </c>
      <c r="CY626" s="407">
        <v>0.42299999999999999</v>
      </c>
      <c r="CZ626" s="407">
        <v>0.42299999999999999</v>
      </c>
      <c r="DA626" s="407">
        <v>0.42299999999999999</v>
      </c>
      <c r="DB626" s="407">
        <v>0.42299999999999999</v>
      </c>
      <c r="DC626" s="407"/>
      <c r="DD626" s="407"/>
      <c r="DE626" s="404"/>
      <c r="DF626" s="404"/>
      <c r="DG626" s="404"/>
      <c r="DH626" s="404"/>
      <c r="DI626" s="404"/>
      <c r="DJ626" s="404"/>
      <c r="DK626" s="897"/>
    </row>
    <row r="627" spans="1:115" ht="63.75" x14ac:dyDescent="0.2">
      <c r="A627" s="295">
        <v>623</v>
      </c>
      <c r="B627" s="390" t="s">
        <v>1075</v>
      </c>
      <c r="C627" s="424" t="s">
        <v>7516</v>
      </c>
      <c r="D627" s="391"/>
      <c r="E627" s="706" t="s">
        <v>1076</v>
      </c>
      <c r="F627" s="390" t="s">
        <v>1375</v>
      </c>
      <c r="G627" s="390" t="s">
        <v>998</v>
      </c>
      <c r="H627" s="390" t="s">
        <v>245</v>
      </c>
      <c r="I627" s="402"/>
      <c r="J627" s="402" t="s">
        <v>245</v>
      </c>
      <c r="K627" s="402"/>
      <c r="L627" s="402" t="s">
        <v>1077</v>
      </c>
      <c r="M627" s="402" t="s">
        <v>4073</v>
      </c>
      <c r="N627" s="390" t="s">
        <v>33</v>
      </c>
      <c r="O627" s="390" t="s">
        <v>51</v>
      </c>
      <c r="P627" s="390" t="s">
        <v>51</v>
      </c>
      <c r="Q627" s="402" t="s">
        <v>976</v>
      </c>
      <c r="R627" s="402"/>
      <c r="S627" s="402" t="s">
        <v>977</v>
      </c>
      <c r="T627" s="411">
        <v>1</v>
      </c>
      <c r="U627" s="412">
        <v>44.232999999999997</v>
      </c>
      <c r="V627" s="412"/>
      <c r="W627" s="457">
        <v>40787</v>
      </c>
      <c r="X627" s="411">
        <v>28</v>
      </c>
      <c r="Y627" s="411"/>
      <c r="Z627" s="411"/>
      <c r="AA627" s="412"/>
      <c r="AB627" s="454"/>
      <c r="AC627" s="413">
        <v>58.829889999999999</v>
      </c>
      <c r="AD627" s="413">
        <v>413.12410136986301</v>
      </c>
      <c r="AE627" s="390" t="s">
        <v>54</v>
      </c>
      <c r="AF627" s="419"/>
      <c r="AG627" s="419"/>
      <c r="AH627" s="419">
        <v>0</v>
      </c>
      <c r="AI627" s="411"/>
      <c r="AJ627" s="454"/>
      <c r="AK627" s="454"/>
      <c r="AL627" s="390"/>
      <c r="AM627" s="390"/>
      <c r="AN627" s="419"/>
      <c r="AO627" s="402"/>
      <c r="AP627" s="402" t="s">
        <v>55</v>
      </c>
      <c r="AQ627" s="402"/>
      <c r="AR627" s="402" t="s">
        <v>1078</v>
      </c>
      <c r="AS627" s="481">
        <v>40723</v>
      </c>
      <c r="AT627" s="457">
        <v>40835</v>
      </c>
      <c r="AU627" s="454"/>
      <c r="AV627" s="454"/>
      <c r="AW627" s="454"/>
      <c r="AX627" s="454"/>
      <c r="AY627" s="454"/>
      <c r="AZ627" s="454"/>
      <c r="BA627" s="390"/>
      <c r="BB627" s="390" t="s">
        <v>3116</v>
      </c>
      <c r="BC627" s="390" t="b">
        <v>0</v>
      </c>
      <c r="BD627" s="390" t="s">
        <v>3147</v>
      </c>
      <c r="BE627" s="402"/>
      <c r="BF627" s="411">
        <v>1</v>
      </c>
      <c r="BG627" s="411">
        <v>4</v>
      </c>
      <c r="BH627" s="411">
        <v>3</v>
      </c>
      <c r="BI627" s="411">
        <v>8</v>
      </c>
      <c r="BJ627" s="411">
        <v>6</v>
      </c>
      <c r="BK627" s="411">
        <v>7</v>
      </c>
      <c r="BL627" s="445"/>
      <c r="BM627" s="402"/>
      <c r="BN627" s="390"/>
      <c r="BO627" s="390"/>
      <c r="BP627" s="414"/>
      <c r="BQ627" s="415"/>
      <c r="BR627" s="416"/>
      <c r="BS627" s="414">
        <v>0</v>
      </c>
      <c r="BT627" s="411"/>
      <c r="BU627" s="419"/>
      <c r="BV627" s="414"/>
      <c r="BW627" s="390"/>
      <c r="BX627" s="402"/>
      <c r="BY627" s="390"/>
      <c r="BZ627" s="390"/>
      <c r="CA627" s="442"/>
      <c r="CB627" s="415"/>
      <c r="CC627" s="413"/>
      <c r="CD627" s="413"/>
      <c r="CE627" s="413"/>
      <c r="CF627" s="413"/>
      <c r="CG627" s="413"/>
      <c r="CH627" s="413"/>
      <c r="CI627" s="413"/>
      <c r="CJ627" s="413"/>
      <c r="CK627" s="413"/>
      <c r="CL627" s="413"/>
      <c r="CM627" s="413"/>
      <c r="CN627" s="413"/>
      <c r="CO627" s="413"/>
      <c r="CP627" s="413"/>
      <c r="CQ627" s="413"/>
      <c r="CR627" s="413"/>
      <c r="CS627" s="413"/>
      <c r="CT627" s="413"/>
      <c r="CU627" s="413"/>
      <c r="CV627" s="413"/>
      <c r="CW627" s="413"/>
      <c r="CX627" s="413"/>
      <c r="CY627" s="413"/>
      <c r="CZ627" s="413"/>
      <c r="DA627" s="413"/>
      <c r="DB627" s="413"/>
      <c r="DC627" s="413"/>
      <c r="DD627" s="413"/>
      <c r="DE627" s="390"/>
      <c r="DF627" s="390"/>
      <c r="DG627" s="390"/>
      <c r="DH627" s="390"/>
      <c r="DI627" s="390"/>
      <c r="DJ627" s="390"/>
      <c r="DK627" s="897"/>
    </row>
    <row r="628" spans="1:115" ht="51" x14ac:dyDescent="0.2">
      <c r="A628" s="295">
        <v>624</v>
      </c>
      <c r="B628" s="390" t="s">
        <v>2688</v>
      </c>
      <c r="C628" s="390"/>
      <c r="D628" s="391"/>
      <c r="E628" s="706" t="s">
        <v>1079</v>
      </c>
      <c r="F628" s="390" t="s">
        <v>1375</v>
      </c>
      <c r="G628" s="390" t="s">
        <v>998</v>
      </c>
      <c r="H628" s="390" t="s">
        <v>245</v>
      </c>
      <c r="I628" s="402"/>
      <c r="J628" s="402"/>
      <c r="K628" s="402" t="s">
        <v>2150</v>
      </c>
      <c r="L628" s="402" t="s">
        <v>1077</v>
      </c>
      <c r="M628" s="402"/>
      <c r="N628" s="390" t="s">
        <v>33</v>
      </c>
      <c r="O628" s="390" t="s">
        <v>51</v>
      </c>
      <c r="P628" s="390" t="s">
        <v>51</v>
      </c>
      <c r="Q628" s="402" t="s">
        <v>976</v>
      </c>
      <c r="R628" s="402" t="s">
        <v>4074</v>
      </c>
      <c r="S628" s="402" t="s">
        <v>977</v>
      </c>
      <c r="T628" s="411">
        <v>1</v>
      </c>
      <c r="U628" s="412">
        <v>44.232999999999997</v>
      </c>
      <c r="V628" s="412"/>
      <c r="W628" s="454"/>
      <c r="X628" s="411"/>
      <c r="Y628" s="411">
        <v>7</v>
      </c>
      <c r="Z628" s="411">
        <v>7</v>
      </c>
      <c r="AA628" s="412">
        <v>0</v>
      </c>
      <c r="AB628" s="457">
        <v>40787</v>
      </c>
      <c r="AC628" s="413">
        <v>58.829889999999999</v>
      </c>
      <c r="AD628" s="413">
        <v>413.12410136986301</v>
      </c>
      <c r="AE628" s="390" t="s">
        <v>54</v>
      </c>
      <c r="AF628" s="419"/>
      <c r="AG628" s="419"/>
      <c r="AH628" s="419"/>
      <c r="AI628" s="411"/>
      <c r="AJ628" s="454"/>
      <c r="AK628" s="454"/>
      <c r="AL628" s="390"/>
      <c r="AM628" s="390"/>
      <c r="AN628" s="419"/>
      <c r="AO628" s="402"/>
      <c r="AP628" s="402" t="s">
        <v>55</v>
      </c>
      <c r="AQ628" s="402"/>
      <c r="AR628" s="402" t="s">
        <v>1078</v>
      </c>
      <c r="AS628" s="481">
        <v>40723</v>
      </c>
      <c r="AT628" s="457">
        <v>40835</v>
      </c>
      <c r="AU628" s="454"/>
      <c r="AV628" s="454"/>
      <c r="AW628" s="454"/>
      <c r="AX628" s="454"/>
      <c r="AY628" s="454"/>
      <c r="AZ628" s="454"/>
      <c r="BA628" s="390"/>
      <c r="BB628" s="390"/>
      <c r="BC628" s="390" t="b">
        <v>0</v>
      </c>
      <c r="BD628" s="390"/>
      <c r="BE628" s="402"/>
      <c r="BF628" s="411">
        <v>1</v>
      </c>
      <c r="BG628" s="411">
        <v>4</v>
      </c>
      <c r="BH628" s="411">
        <v>3</v>
      </c>
      <c r="BI628" s="411">
        <v>8</v>
      </c>
      <c r="BJ628" s="411">
        <v>6</v>
      </c>
      <c r="BK628" s="411">
        <v>7</v>
      </c>
      <c r="BL628" s="445" t="s">
        <v>6986</v>
      </c>
      <c r="BM628" s="402"/>
      <c r="BN628" s="390"/>
      <c r="BO628" s="390"/>
      <c r="BP628" s="414"/>
      <c r="BQ628" s="415"/>
      <c r="BR628" s="416"/>
      <c r="BS628" s="414"/>
      <c r="BT628" s="411"/>
      <c r="BU628" s="419"/>
      <c r="BV628" s="414"/>
      <c r="BW628" s="390" t="s">
        <v>3117</v>
      </c>
      <c r="BX628" s="402" t="s">
        <v>3259</v>
      </c>
      <c r="BY628" s="390"/>
      <c r="BZ628" s="390"/>
      <c r="CA628" s="442"/>
      <c r="CB628" s="415"/>
      <c r="CC628" s="413"/>
      <c r="CD628" s="413"/>
      <c r="CE628" s="413"/>
      <c r="CF628" s="413"/>
      <c r="CG628" s="413">
        <v>44.232999999999997</v>
      </c>
      <c r="CH628" s="413">
        <v>44.232999999999997</v>
      </c>
      <c r="CI628" s="413">
        <v>44.232999999999997</v>
      </c>
      <c r="CJ628" s="413">
        <v>44.232999999999997</v>
      </c>
      <c r="CK628" s="413">
        <v>44.232999999999997</v>
      </c>
      <c r="CL628" s="413">
        <v>44.232999999999997</v>
      </c>
      <c r="CM628" s="413">
        <v>44.232999999999997</v>
      </c>
      <c r="CN628" s="413"/>
      <c r="CO628" s="413"/>
      <c r="CP628" s="413"/>
      <c r="CQ628" s="413"/>
      <c r="CR628" s="413"/>
      <c r="CS628" s="413"/>
      <c r="CT628" s="413"/>
      <c r="CU628" s="413"/>
      <c r="CV628" s="413"/>
      <c r="CW628" s="413"/>
      <c r="CX628" s="413"/>
      <c r="CY628" s="413"/>
      <c r="CZ628" s="413"/>
      <c r="DA628" s="413"/>
      <c r="DB628" s="413"/>
      <c r="DC628" s="413"/>
      <c r="DD628" s="413"/>
      <c r="DE628" s="390"/>
      <c r="DF628" s="390"/>
      <c r="DG628" s="390"/>
      <c r="DH628" s="390"/>
      <c r="DI628" s="390"/>
      <c r="DJ628" s="390"/>
      <c r="DK628" s="897"/>
    </row>
    <row r="629" spans="1:115" ht="51" x14ac:dyDescent="0.2">
      <c r="A629" s="295">
        <v>625</v>
      </c>
      <c r="B629" s="390" t="s">
        <v>1094</v>
      </c>
      <c r="C629" s="424" t="s">
        <v>7517</v>
      </c>
      <c r="D629" s="391" t="s">
        <v>5081</v>
      </c>
      <c r="E629" s="704" t="s">
        <v>1095</v>
      </c>
      <c r="F629" s="393" t="s">
        <v>1352</v>
      </c>
      <c r="G629" s="393" t="s">
        <v>1672</v>
      </c>
      <c r="H629" s="393" t="s">
        <v>301</v>
      </c>
      <c r="I629" s="392"/>
      <c r="J629" s="392" t="s">
        <v>1978</v>
      </c>
      <c r="K629" s="392"/>
      <c r="L629" s="392" t="s">
        <v>317</v>
      </c>
      <c r="M629" s="392" t="s">
        <v>4390</v>
      </c>
      <c r="N629" s="393" t="s">
        <v>44</v>
      </c>
      <c r="O629" s="393" t="s">
        <v>34</v>
      </c>
      <c r="P629" s="393" t="s">
        <v>34</v>
      </c>
      <c r="Q629" s="392" t="s">
        <v>1096</v>
      </c>
      <c r="R629" s="392"/>
      <c r="S629" s="392" t="s">
        <v>1097</v>
      </c>
      <c r="T629" s="394">
        <v>5</v>
      </c>
      <c r="U629" s="395">
        <v>4.5949999999999998</v>
      </c>
      <c r="V629" s="395"/>
      <c r="W629" s="452">
        <v>40710</v>
      </c>
      <c r="X629" s="394">
        <v>28</v>
      </c>
      <c r="Y629" s="394"/>
      <c r="Z629" s="394"/>
      <c r="AA629" s="395"/>
      <c r="AB629" s="453"/>
      <c r="AC629" s="398">
        <v>0</v>
      </c>
      <c r="AD629" s="398">
        <v>45.949999999999996</v>
      </c>
      <c r="AE629" s="393" t="s">
        <v>225</v>
      </c>
      <c r="AF629" s="417"/>
      <c r="AG629" s="417"/>
      <c r="AH629" s="417">
        <v>0</v>
      </c>
      <c r="AI629" s="394"/>
      <c r="AJ629" s="453"/>
      <c r="AK629" s="453"/>
      <c r="AL629" s="393"/>
      <c r="AM629" s="393"/>
      <c r="AN629" s="417"/>
      <c r="AO629" s="392"/>
      <c r="AP629" s="392" t="s">
        <v>7071</v>
      </c>
      <c r="AQ629" s="392"/>
      <c r="AR629" s="392" t="s">
        <v>274</v>
      </c>
      <c r="AS629" s="479">
        <v>40724</v>
      </c>
      <c r="AT629" s="453"/>
      <c r="AU629" s="453"/>
      <c r="AV629" s="452">
        <v>41201</v>
      </c>
      <c r="AW629" s="452">
        <v>41219</v>
      </c>
      <c r="AX629" s="452">
        <v>41272</v>
      </c>
      <c r="AY629" s="452">
        <v>41071</v>
      </c>
      <c r="AZ629" s="453"/>
      <c r="BA629" s="393"/>
      <c r="BB629" s="393" t="s">
        <v>3116</v>
      </c>
      <c r="BC629" s="393" t="b">
        <v>0</v>
      </c>
      <c r="BD629" s="393" t="s">
        <v>3116</v>
      </c>
      <c r="BE629" s="392"/>
      <c r="BF629" s="394">
        <v>12</v>
      </c>
      <c r="BG629" s="394">
        <v>9</v>
      </c>
      <c r="BH629" s="394">
        <v>8</v>
      </c>
      <c r="BI629" s="394">
        <v>5</v>
      </c>
      <c r="BJ629" s="394">
        <v>11</v>
      </c>
      <c r="BK629" s="394">
        <v>4</v>
      </c>
      <c r="BL629" s="444"/>
      <c r="BM629" s="392"/>
      <c r="BN629" s="393"/>
      <c r="BO629" s="393"/>
      <c r="BP629" s="399"/>
      <c r="BQ629" s="400"/>
      <c r="BR629" s="401"/>
      <c r="BS629" s="399">
        <v>0</v>
      </c>
      <c r="BT629" s="394"/>
      <c r="BU629" s="417"/>
      <c r="BV629" s="399"/>
      <c r="BW629" s="393"/>
      <c r="BX629" s="392"/>
      <c r="BY629" s="393"/>
      <c r="BZ629" s="393"/>
      <c r="CA629" s="441"/>
      <c r="CB629" s="400"/>
      <c r="CC629" s="398"/>
      <c r="CD629" s="398"/>
      <c r="CE629" s="398"/>
      <c r="CF629" s="398"/>
      <c r="CG629" s="398"/>
      <c r="CH629" s="398"/>
      <c r="CI629" s="398"/>
      <c r="CJ629" s="398"/>
      <c r="CK629" s="398"/>
      <c r="CL629" s="398"/>
      <c r="CM629" s="398"/>
      <c r="CN629" s="398"/>
      <c r="CO629" s="398"/>
      <c r="CP629" s="398"/>
      <c r="CQ629" s="398"/>
      <c r="CR629" s="398"/>
      <c r="CS629" s="398"/>
      <c r="CT629" s="398"/>
      <c r="CU629" s="398"/>
      <c r="CV629" s="398"/>
      <c r="CW629" s="398"/>
      <c r="CX629" s="398"/>
      <c r="CY629" s="398"/>
      <c r="CZ629" s="398"/>
      <c r="DA629" s="398"/>
      <c r="DB629" s="398"/>
      <c r="DC629" s="398"/>
      <c r="DD629" s="398"/>
      <c r="DE629" s="393"/>
      <c r="DF629" s="393"/>
      <c r="DG629" s="393"/>
      <c r="DH629" s="393"/>
      <c r="DI629" s="393"/>
      <c r="DJ629" s="393"/>
      <c r="DK629" s="896" t="s">
        <v>9747</v>
      </c>
    </row>
    <row r="630" spans="1:115" ht="38.25" x14ac:dyDescent="0.2">
      <c r="A630" s="295">
        <v>626</v>
      </c>
      <c r="B630" s="390" t="s">
        <v>2689</v>
      </c>
      <c r="C630" s="390"/>
      <c r="D630" s="391" t="s">
        <v>4391</v>
      </c>
      <c r="E630" s="704" t="s">
        <v>1098</v>
      </c>
      <c r="F630" s="393" t="s">
        <v>1352</v>
      </c>
      <c r="G630" s="393" t="s">
        <v>1672</v>
      </c>
      <c r="H630" s="393" t="s">
        <v>301</v>
      </c>
      <c r="I630" s="392"/>
      <c r="J630" s="392"/>
      <c r="K630" s="392" t="s">
        <v>2157</v>
      </c>
      <c r="L630" s="392" t="s">
        <v>317</v>
      </c>
      <c r="M630" s="392"/>
      <c r="N630" s="393" t="s">
        <v>44</v>
      </c>
      <c r="O630" s="393" t="s">
        <v>34</v>
      </c>
      <c r="P630" s="393" t="s">
        <v>34</v>
      </c>
      <c r="Q630" s="392" t="s">
        <v>1096</v>
      </c>
      <c r="R630" s="392" t="s">
        <v>4075</v>
      </c>
      <c r="S630" s="392" t="s">
        <v>1097</v>
      </c>
      <c r="T630" s="394">
        <v>1</v>
      </c>
      <c r="U630" s="395">
        <v>2.3E-2</v>
      </c>
      <c r="V630" s="395"/>
      <c r="W630" s="453"/>
      <c r="X630" s="394"/>
      <c r="Y630" s="394">
        <v>10</v>
      </c>
      <c r="Z630" s="394">
        <v>8</v>
      </c>
      <c r="AA630" s="395">
        <v>0</v>
      </c>
      <c r="AB630" s="452">
        <v>41395</v>
      </c>
      <c r="AC630" s="398">
        <v>0</v>
      </c>
      <c r="AD630" s="398">
        <v>0.22999999999999998</v>
      </c>
      <c r="AE630" s="393" t="s">
        <v>225</v>
      </c>
      <c r="AF630" s="417"/>
      <c r="AG630" s="417"/>
      <c r="AH630" s="417"/>
      <c r="AI630" s="394"/>
      <c r="AJ630" s="453"/>
      <c r="AK630" s="453"/>
      <c r="AL630" s="393"/>
      <c r="AM630" s="393"/>
      <c r="AN630" s="417"/>
      <c r="AO630" s="392"/>
      <c r="AP630" s="392" t="s">
        <v>7071</v>
      </c>
      <c r="AQ630" s="392"/>
      <c r="AR630" s="392" t="s">
        <v>274</v>
      </c>
      <c r="AS630" s="479">
        <v>40724</v>
      </c>
      <c r="AT630" s="453"/>
      <c r="AU630" s="453"/>
      <c r="AV630" s="453"/>
      <c r="AW630" s="453"/>
      <c r="AX630" s="453"/>
      <c r="AY630" s="453"/>
      <c r="AZ630" s="452">
        <v>41071</v>
      </c>
      <c r="BA630" s="393"/>
      <c r="BB630" s="393"/>
      <c r="BC630" s="393" t="b">
        <v>0</v>
      </c>
      <c r="BD630" s="393"/>
      <c r="BE630" s="392"/>
      <c r="BF630" s="394">
        <v>12</v>
      </c>
      <c r="BG630" s="394">
        <v>9</v>
      </c>
      <c r="BH630" s="394">
        <v>8</v>
      </c>
      <c r="BI630" s="394">
        <v>5</v>
      </c>
      <c r="BJ630" s="394">
        <v>11</v>
      </c>
      <c r="BK630" s="394">
        <v>4</v>
      </c>
      <c r="BL630" s="444" t="s">
        <v>6982</v>
      </c>
      <c r="BM630" s="392"/>
      <c r="BN630" s="393"/>
      <c r="BO630" s="393"/>
      <c r="BP630" s="399"/>
      <c r="BQ630" s="400"/>
      <c r="BR630" s="401"/>
      <c r="BS630" s="399"/>
      <c r="BT630" s="394"/>
      <c r="BU630" s="417"/>
      <c r="BV630" s="399">
        <v>2.8130000000000002</v>
      </c>
      <c r="BW630" s="393" t="s">
        <v>3165</v>
      </c>
      <c r="BX630" s="392" t="s">
        <v>1447</v>
      </c>
      <c r="BY630" s="393"/>
      <c r="BZ630" s="393"/>
      <c r="CA630" s="441" t="s">
        <v>1662</v>
      </c>
      <c r="CB630" s="400">
        <v>3</v>
      </c>
      <c r="CC630" s="398"/>
      <c r="CD630" s="398"/>
      <c r="CE630" s="398"/>
      <c r="CF630" s="398"/>
      <c r="CG630" s="398"/>
      <c r="CH630" s="398">
        <v>2.3E-2</v>
      </c>
      <c r="CI630" s="398">
        <v>2.3E-2</v>
      </c>
      <c r="CJ630" s="398">
        <v>2.3E-2</v>
      </c>
      <c r="CK630" s="398">
        <v>2.3E-2</v>
      </c>
      <c r="CL630" s="398">
        <v>2.3E-2</v>
      </c>
      <c r="CM630" s="398">
        <v>2.3E-2</v>
      </c>
      <c r="CN630" s="398">
        <v>2.3E-2</v>
      </c>
      <c r="CO630" s="398">
        <v>2.3E-2</v>
      </c>
      <c r="CP630" s="398">
        <v>2.3E-2</v>
      </c>
      <c r="CQ630" s="398">
        <v>2.3E-2</v>
      </c>
      <c r="CR630" s="398">
        <v>2.3E-2</v>
      </c>
      <c r="CS630" s="398">
        <v>2.3E-2</v>
      </c>
      <c r="CT630" s="398">
        <v>7.7000000000000002E-3</v>
      </c>
      <c r="CU630" s="398"/>
      <c r="CV630" s="398"/>
      <c r="CW630" s="398"/>
      <c r="CX630" s="398"/>
      <c r="CY630" s="398"/>
      <c r="CZ630" s="398"/>
      <c r="DA630" s="398"/>
      <c r="DB630" s="398"/>
      <c r="DC630" s="398"/>
      <c r="DD630" s="398"/>
      <c r="DE630" s="393"/>
      <c r="DF630" s="393"/>
      <c r="DG630" s="393"/>
      <c r="DH630" s="393"/>
      <c r="DI630" s="393"/>
      <c r="DJ630" s="393"/>
      <c r="DK630" s="897"/>
    </row>
    <row r="631" spans="1:115" ht="38.25" x14ac:dyDescent="0.2">
      <c r="A631" s="295">
        <v>627</v>
      </c>
      <c r="B631" s="390" t="s">
        <v>6124</v>
      </c>
      <c r="C631" s="390"/>
      <c r="D631" s="391" t="s">
        <v>6125</v>
      </c>
      <c r="E631" s="704" t="s">
        <v>6126</v>
      </c>
      <c r="F631" s="393" t="s">
        <v>1352</v>
      </c>
      <c r="G631" s="393" t="s">
        <v>1672</v>
      </c>
      <c r="H631" s="393" t="s">
        <v>301</v>
      </c>
      <c r="I631" s="392"/>
      <c r="J631" s="392"/>
      <c r="K631" s="392" t="s">
        <v>6127</v>
      </c>
      <c r="L631" s="392" t="s">
        <v>317</v>
      </c>
      <c r="M631" s="392"/>
      <c r="N631" s="393" t="s">
        <v>44</v>
      </c>
      <c r="O631" s="393" t="s">
        <v>34</v>
      </c>
      <c r="P631" s="393" t="s">
        <v>34</v>
      </c>
      <c r="Q631" s="392" t="s">
        <v>1096</v>
      </c>
      <c r="R631" s="392" t="s">
        <v>4075</v>
      </c>
      <c r="S631" s="392" t="s">
        <v>1097</v>
      </c>
      <c r="T631" s="394">
        <v>1</v>
      </c>
      <c r="U631" s="395">
        <v>1.143</v>
      </c>
      <c r="V631" s="395"/>
      <c r="W631" s="453"/>
      <c r="X631" s="394"/>
      <c r="Y631" s="394">
        <v>10</v>
      </c>
      <c r="Z631" s="394">
        <v>8</v>
      </c>
      <c r="AA631" s="395">
        <v>0</v>
      </c>
      <c r="AB631" s="452">
        <v>41821</v>
      </c>
      <c r="AC631" s="398">
        <v>0</v>
      </c>
      <c r="AD631" s="398">
        <v>11.43</v>
      </c>
      <c r="AE631" s="393" t="s">
        <v>225</v>
      </c>
      <c r="AF631" s="417"/>
      <c r="AG631" s="417"/>
      <c r="AH631" s="417"/>
      <c r="AI631" s="394"/>
      <c r="AJ631" s="453"/>
      <c r="AK631" s="453"/>
      <c r="AL631" s="393"/>
      <c r="AM631" s="393"/>
      <c r="AN631" s="417"/>
      <c r="AO631" s="392"/>
      <c r="AP631" s="392"/>
      <c r="AQ631" s="392"/>
      <c r="AR631" s="392" t="s">
        <v>274</v>
      </c>
      <c r="AS631" s="479">
        <v>40724</v>
      </c>
      <c r="AT631" s="453"/>
      <c r="AU631" s="453"/>
      <c r="AV631" s="453"/>
      <c r="AW631" s="453"/>
      <c r="AX631" s="453"/>
      <c r="AY631" s="453"/>
      <c r="AZ631" s="452">
        <v>41801</v>
      </c>
      <c r="BA631" s="393"/>
      <c r="BB631" s="393"/>
      <c r="BC631" s="393" t="b">
        <v>0</v>
      </c>
      <c r="BD631" s="393"/>
      <c r="BE631" s="392"/>
      <c r="BF631" s="394">
        <v>12</v>
      </c>
      <c r="BG631" s="394">
        <v>9</v>
      </c>
      <c r="BH631" s="394">
        <v>8</v>
      </c>
      <c r="BI631" s="394">
        <v>5</v>
      </c>
      <c r="BJ631" s="394">
        <v>11</v>
      </c>
      <c r="BK631" s="394">
        <v>4</v>
      </c>
      <c r="BL631" s="444" t="s">
        <v>6982</v>
      </c>
      <c r="BM631" s="392"/>
      <c r="BN631" s="393"/>
      <c r="BO631" s="393"/>
      <c r="BP631" s="399"/>
      <c r="BQ631" s="400"/>
      <c r="BR631" s="401"/>
      <c r="BS631" s="399"/>
      <c r="BT631" s="394"/>
      <c r="BU631" s="417"/>
      <c r="BV631" s="399">
        <v>2.5</v>
      </c>
      <c r="BW631" s="393" t="s">
        <v>3165</v>
      </c>
      <c r="BX631" s="392" t="s">
        <v>1447</v>
      </c>
      <c r="BY631" s="393"/>
      <c r="BZ631" s="393"/>
      <c r="CA631" s="441" t="s">
        <v>1662</v>
      </c>
      <c r="CB631" s="400">
        <v>3</v>
      </c>
      <c r="CC631" s="398"/>
      <c r="CD631" s="398"/>
      <c r="CE631" s="398"/>
      <c r="CF631" s="398"/>
      <c r="CG631" s="398"/>
      <c r="CH631" s="398"/>
      <c r="CI631" s="398"/>
      <c r="CJ631" s="398">
        <v>0.57099999999999995</v>
      </c>
      <c r="CK631" s="398">
        <v>1.143</v>
      </c>
      <c r="CL631" s="398">
        <v>1.143</v>
      </c>
      <c r="CM631" s="398">
        <v>1.143</v>
      </c>
      <c r="CN631" s="398">
        <v>1.143</v>
      </c>
      <c r="CO631" s="398">
        <v>1.143</v>
      </c>
      <c r="CP631" s="398">
        <v>1.143</v>
      </c>
      <c r="CQ631" s="398">
        <v>1.143</v>
      </c>
      <c r="CR631" s="398">
        <v>1.143</v>
      </c>
      <c r="CS631" s="398">
        <v>1.143</v>
      </c>
      <c r="CT631" s="398"/>
      <c r="CU631" s="398"/>
      <c r="CV631" s="398"/>
      <c r="CW631" s="398"/>
      <c r="CX631" s="398"/>
      <c r="CY631" s="398"/>
      <c r="CZ631" s="398"/>
      <c r="DA631" s="398"/>
      <c r="DB631" s="398"/>
      <c r="DC631" s="398"/>
      <c r="DD631" s="398"/>
      <c r="DE631" s="393"/>
      <c r="DF631" s="393"/>
      <c r="DG631" s="393"/>
      <c r="DH631" s="393"/>
      <c r="DI631" s="393"/>
      <c r="DJ631" s="393"/>
      <c r="DK631" s="897"/>
    </row>
    <row r="632" spans="1:115" ht="38.25" x14ac:dyDescent="0.2">
      <c r="A632" s="295">
        <v>628</v>
      </c>
      <c r="B632" s="390" t="s">
        <v>6624</v>
      </c>
      <c r="C632" s="390"/>
      <c r="D632" s="391" t="s">
        <v>6625</v>
      </c>
      <c r="E632" s="704" t="s">
        <v>6626</v>
      </c>
      <c r="F632" s="393" t="s">
        <v>1352</v>
      </c>
      <c r="G632" s="393" t="s">
        <v>1672</v>
      </c>
      <c r="H632" s="393" t="s">
        <v>301</v>
      </c>
      <c r="I632" s="392"/>
      <c r="J632" s="392"/>
      <c r="K632" s="392" t="s">
        <v>6627</v>
      </c>
      <c r="L632" s="392" t="s">
        <v>317</v>
      </c>
      <c r="M632" s="392"/>
      <c r="N632" s="393" t="s">
        <v>44</v>
      </c>
      <c r="O632" s="393" t="s">
        <v>34</v>
      </c>
      <c r="P632" s="393" t="s">
        <v>34</v>
      </c>
      <c r="Q632" s="392" t="s">
        <v>1096</v>
      </c>
      <c r="R632" s="392" t="s">
        <v>4075</v>
      </c>
      <c r="S632" s="392" t="s">
        <v>1097</v>
      </c>
      <c r="T632" s="394">
        <v>1</v>
      </c>
      <c r="U632" s="395">
        <v>1.143</v>
      </c>
      <c r="V632" s="395"/>
      <c r="W632" s="453"/>
      <c r="X632" s="394"/>
      <c r="Y632" s="394">
        <v>10</v>
      </c>
      <c r="Z632" s="394">
        <v>11</v>
      </c>
      <c r="AA632" s="395">
        <v>0</v>
      </c>
      <c r="AB632" s="452">
        <v>42005</v>
      </c>
      <c r="AC632" s="398"/>
      <c r="AD632" s="398">
        <v>11.43</v>
      </c>
      <c r="AE632" s="393" t="s">
        <v>225</v>
      </c>
      <c r="AF632" s="417"/>
      <c r="AG632" s="417"/>
      <c r="AH632" s="417"/>
      <c r="AI632" s="394"/>
      <c r="AJ632" s="453"/>
      <c r="AK632" s="453"/>
      <c r="AL632" s="393"/>
      <c r="AM632" s="393"/>
      <c r="AN632" s="417"/>
      <c r="AO632" s="392"/>
      <c r="AP632" s="392"/>
      <c r="AQ632" s="392"/>
      <c r="AR632" s="392" t="s">
        <v>274</v>
      </c>
      <c r="AS632" s="479">
        <v>40724</v>
      </c>
      <c r="AT632" s="397"/>
      <c r="AU632" s="397"/>
      <c r="AV632" s="453"/>
      <c r="AW632" s="453"/>
      <c r="AX632" s="453"/>
      <c r="AY632" s="453"/>
      <c r="AZ632" s="452">
        <v>41950</v>
      </c>
      <c r="BA632" s="393"/>
      <c r="BB632" s="393"/>
      <c r="BC632" s="393" t="b">
        <v>0</v>
      </c>
      <c r="BD632" s="393"/>
      <c r="BE632" s="392"/>
      <c r="BF632" s="394">
        <v>12</v>
      </c>
      <c r="BG632" s="394">
        <v>9</v>
      </c>
      <c r="BH632" s="394">
        <v>8</v>
      </c>
      <c r="BI632" s="394">
        <v>5</v>
      </c>
      <c r="BJ632" s="394">
        <v>11</v>
      </c>
      <c r="BK632" s="394">
        <v>4</v>
      </c>
      <c r="BL632" s="444" t="s">
        <v>6982</v>
      </c>
      <c r="BM632" s="392"/>
      <c r="BN632" s="393"/>
      <c r="BO632" s="393"/>
      <c r="BP632" s="399"/>
      <c r="BQ632" s="400"/>
      <c r="BR632" s="401"/>
      <c r="BS632" s="399"/>
      <c r="BT632" s="394"/>
      <c r="BU632" s="417"/>
      <c r="BV632" s="399">
        <v>2.4</v>
      </c>
      <c r="BW632" s="393" t="s">
        <v>3117</v>
      </c>
      <c r="BX632" s="392" t="s">
        <v>1447</v>
      </c>
      <c r="BY632" s="393"/>
      <c r="BZ632" s="393"/>
      <c r="CA632" s="441" t="s">
        <v>1662</v>
      </c>
      <c r="CB632" s="400">
        <v>3</v>
      </c>
      <c r="CC632" s="398"/>
      <c r="CD632" s="398"/>
      <c r="CE632" s="398"/>
      <c r="CF632" s="398"/>
      <c r="CG632" s="398"/>
      <c r="CH632" s="398"/>
      <c r="CI632" s="398"/>
      <c r="CJ632" s="398"/>
      <c r="CK632" s="398">
        <v>1.143</v>
      </c>
      <c r="CL632" s="398">
        <v>1.143</v>
      </c>
      <c r="CM632" s="398">
        <v>1.143</v>
      </c>
      <c r="CN632" s="398">
        <v>1.143</v>
      </c>
      <c r="CO632" s="398">
        <v>1.143</v>
      </c>
      <c r="CP632" s="398">
        <v>1.143</v>
      </c>
      <c r="CQ632" s="398">
        <v>1.143</v>
      </c>
      <c r="CR632" s="398">
        <v>1.143</v>
      </c>
      <c r="CS632" s="398">
        <v>1.143</v>
      </c>
      <c r="CT632" s="398">
        <v>1.143</v>
      </c>
      <c r="CU632" s="398"/>
      <c r="CV632" s="398"/>
      <c r="CW632" s="398"/>
      <c r="CX632" s="398"/>
      <c r="CY632" s="398"/>
      <c r="CZ632" s="398"/>
      <c r="DA632" s="398"/>
      <c r="DB632" s="398"/>
      <c r="DC632" s="398"/>
      <c r="DD632" s="398"/>
      <c r="DE632" s="393"/>
      <c r="DF632" s="393"/>
      <c r="DG632" s="393"/>
      <c r="DH632" s="393"/>
      <c r="DI632" s="393"/>
      <c r="DJ632" s="393"/>
      <c r="DK632" s="897"/>
    </row>
    <row r="633" spans="1:115" ht="25.5" x14ac:dyDescent="0.2">
      <c r="A633" s="295">
        <v>629</v>
      </c>
      <c r="B633" s="390" t="s">
        <v>6628</v>
      </c>
      <c r="C633" s="390"/>
      <c r="D633" s="391" t="s">
        <v>6629</v>
      </c>
      <c r="E633" s="704" t="s">
        <v>6630</v>
      </c>
      <c r="F633" s="393" t="s">
        <v>1352</v>
      </c>
      <c r="G633" s="393" t="s">
        <v>1672</v>
      </c>
      <c r="H633" s="393" t="s">
        <v>301</v>
      </c>
      <c r="I633" s="392"/>
      <c r="J633" s="392"/>
      <c r="K633" s="392" t="s">
        <v>6631</v>
      </c>
      <c r="L633" s="392" t="s">
        <v>317</v>
      </c>
      <c r="M633" s="392"/>
      <c r="N633" s="393" t="s">
        <v>44</v>
      </c>
      <c r="O633" s="393" t="s">
        <v>34</v>
      </c>
      <c r="P633" s="393" t="s">
        <v>34</v>
      </c>
      <c r="Q633" s="392" t="s">
        <v>1096</v>
      </c>
      <c r="R633" s="392" t="s">
        <v>4075</v>
      </c>
      <c r="S633" s="392" t="s">
        <v>1097</v>
      </c>
      <c r="T633" s="394">
        <v>1</v>
      </c>
      <c r="U633" s="395">
        <v>1.143</v>
      </c>
      <c r="V633" s="395"/>
      <c r="W633" s="453"/>
      <c r="X633" s="394"/>
      <c r="Y633" s="394">
        <v>10</v>
      </c>
      <c r="Z633" s="394">
        <v>11</v>
      </c>
      <c r="AA633" s="395">
        <v>0</v>
      </c>
      <c r="AB633" s="452">
        <v>42005</v>
      </c>
      <c r="AC633" s="398"/>
      <c r="AD633" s="398">
        <v>11.43</v>
      </c>
      <c r="AE633" s="393" t="s">
        <v>225</v>
      </c>
      <c r="AF633" s="417"/>
      <c r="AG633" s="417"/>
      <c r="AH633" s="417"/>
      <c r="AI633" s="394"/>
      <c r="AJ633" s="453"/>
      <c r="AK633" s="453"/>
      <c r="AL633" s="393"/>
      <c r="AM633" s="393"/>
      <c r="AN633" s="417"/>
      <c r="AO633" s="392"/>
      <c r="AP633" s="392"/>
      <c r="AQ633" s="392"/>
      <c r="AR633" s="392" t="s">
        <v>274</v>
      </c>
      <c r="AS633" s="479">
        <v>40724</v>
      </c>
      <c r="AT633" s="453"/>
      <c r="AU633" s="453"/>
      <c r="AV633" s="453"/>
      <c r="AW633" s="453"/>
      <c r="AX633" s="453"/>
      <c r="AY633" s="453"/>
      <c r="AZ633" s="452">
        <v>41950</v>
      </c>
      <c r="BA633" s="393"/>
      <c r="BB633" s="393"/>
      <c r="BC633" s="393" t="b">
        <v>0</v>
      </c>
      <c r="BD633" s="393"/>
      <c r="BE633" s="392"/>
      <c r="BF633" s="394">
        <v>12</v>
      </c>
      <c r="BG633" s="394">
        <v>9</v>
      </c>
      <c r="BH633" s="394">
        <v>8</v>
      </c>
      <c r="BI633" s="394">
        <v>5</v>
      </c>
      <c r="BJ633" s="394">
        <v>11</v>
      </c>
      <c r="BK633" s="394">
        <v>4</v>
      </c>
      <c r="BL633" s="444" t="s">
        <v>6982</v>
      </c>
      <c r="BM633" s="392"/>
      <c r="BN633" s="393"/>
      <c r="BO633" s="393"/>
      <c r="BP633" s="399"/>
      <c r="BQ633" s="400"/>
      <c r="BR633" s="401"/>
      <c r="BS633" s="399"/>
      <c r="BT633" s="394"/>
      <c r="BU633" s="417"/>
      <c r="BV633" s="399">
        <v>2.4</v>
      </c>
      <c r="BW633" s="393" t="s">
        <v>3117</v>
      </c>
      <c r="BX633" s="392" t="s">
        <v>1447</v>
      </c>
      <c r="BY633" s="393"/>
      <c r="BZ633" s="393"/>
      <c r="CA633" s="441" t="s">
        <v>1662</v>
      </c>
      <c r="CB633" s="400">
        <v>3</v>
      </c>
      <c r="CC633" s="398"/>
      <c r="CD633" s="398"/>
      <c r="CE633" s="398"/>
      <c r="CF633" s="398"/>
      <c r="CG633" s="398"/>
      <c r="CH633" s="398"/>
      <c r="CI633" s="398"/>
      <c r="CJ633" s="398"/>
      <c r="CK633" s="398">
        <v>1.143</v>
      </c>
      <c r="CL633" s="398">
        <v>1.143</v>
      </c>
      <c r="CM633" s="398">
        <v>1.143</v>
      </c>
      <c r="CN633" s="398">
        <v>1.143</v>
      </c>
      <c r="CO633" s="398">
        <v>1.143</v>
      </c>
      <c r="CP633" s="398">
        <v>1.143</v>
      </c>
      <c r="CQ633" s="398">
        <v>1.143</v>
      </c>
      <c r="CR633" s="398">
        <v>1.143</v>
      </c>
      <c r="CS633" s="398">
        <v>1.143</v>
      </c>
      <c r="CT633" s="398">
        <v>1.143</v>
      </c>
      <c r="CU633" s="398"/>
      <c r="CV633" s="398"/>
      <c r="CW633" s="398"/>
      <c r="CX633" s="398"/>
      <c r="CY633" s="398"/>
      <c r="CZ633" s="398"/>
      <c r="DA633" s="398"/>
      <c r="DB633" s="398"/>
      <c r="DC633" s="398"/>
      <c r="DD633" s="398"/>
      <c r="DE633" s="393"/>
      <c r="DF633" s="393"/>
      <c r="DG633" s="393"/>
      <c r="DH633" s="393"/>
      <c r="DI633" s="393"/>
      <c r="DJ633" s="393"/>
      <c r="DK633" s="897"/>
    </row>
    <row r="634" spans="1:115" ht="38.25" x14ac:dyDescent="0.2">
      <c r="A634" s="295">
        <v>630</v>
      </c>
      <c r="B634" s="390" t="s">
        <v>6632</v>
      </c>
      <c r="C634" s="390"/>
      <c r="D634" s="391" t="s">
        <v>6633</v>
      </c>
      <c r="E634" s="704" t="s">
        <v>6634</v>
      </c>
      <c r="F634" s="393" t="s">
        <v>1352</v>
      </c>
      <c r="G634" s="393" t="s">
        <v>1672</v>
      </c>
      <c r="H634" s="393" t="s">
        <v>301</v>
      </c>
      <c r="I634" s="392"/>
      <c r="J634" s="392"/>
      <c r="K634" s="392" t="s">
        <v>6635</v>
      </c>
      <c r="L634" s="392" t="s">
        <v>317</v>
      </c>
      <c r="M634" s="392"/>
      <c r="N634" s="393" t="s">
        <v>44</v>
      </c>
      <c r="O634" s="393" t="s">
        <v>34</v>
      </c>
      <c r="P634" s="393" t="s">
        <v>34</v>
      </c>
      <c r="Q634" s="392" t="s">
        <v>1096</v>
      </c>
      <c r="R634" s="392" t="s">
        <v>4075</v>
      </c>
      <c r="S634" s="392" t="s">
        <v>1097</v>
      </c>
      <c r="T634" s="394">
        <v>1</v>
      </c>
      <c r="U634" s="395">
        <v>1.143</v>
      </c>
      <c r="V634" s="395"/>
      <c r="W634" s="453"/>
      <c r="X634" s="394"/>
      <c r="Y634" s="394">
        <v>10</v>
      </c>
      <c r="Z634" s="394">
        <v>11</v>
      </c>
      <c r="AA634" s="395">
        <v>0</v>
      </c>
      <c r="AB634" s="452">
        <v>42005</v>
      </c>
      <c r="AC634" s="398"/>
      <c r="AD634" s="398">
        <v>11.43</v>
      </c>
      <c r="AE634" s="393" t="s">
        <v>225</v>
      </c>
      <c r="AF634" s="417"/>
      <c r="AG634" s="417"/>
      <c r="AH634" s="417"/>
      <c r="AI634" s="394"/>
      <c r="AJ634" s="453"/>
      <c r="AK634" s="453"/>
      <c r="AL634" s="393"/>
      <c r="AM634" s="393"/>
      <c r="AN634" s="417"/>
      <c r="AO634" s="392"/>
      <c r="AP634" s="392"/>
      <c r="AQ634" s="392"/>
      <c r="AR634" s="392" t="s">
        <v>274</v>
      </c>
      <c r="AS634" s="479">
        <v>40724</v>
      </c>
      <c r="AT634" s="453"/>
      <c r="AU634" s="453"/>
      <c r="AV634" s="453"/>
      <c r="AW634" s="453"/>
      <c r="AX634" s="453"/>
      <c r="AY634" s="453"/>
      <c r="AZ634" s="452">
        <v>41950</v>
      </c>
      <c r="BA634" s="393"/>
      <c r="BB634" s="393"/>
      <c r="BC634" s="393" t="b">
        <v>0</v>
      </c>
      <c r="BD634" s="393"/>
      <c r="BE634" s="392"/>
      <c r="BF634" s="394">
        <v>12</v>
      </c>
      <c r="BG634" s="394">
        <v>9</v>
      </c>
      <c r="BH634" s="394">
        <v>8</v>
      </c>
      <c r="BI634" s="394">
        <v>5</v>
      </c>
      <c r="BJ634" s="394">
        <v>11</v>
      </c>
      <c r="BK634" s="394">
        <v>4</v>
      </c>
      <c r="BL634" s="444" t="s">
        <v>6982</v>
      </c>
      <c r="BM634" s="392"/>
      <c r="BN634" s="393"/>
      <c r="BO634" s="393"/>
      <c r="BP634" s="399"/>
      <c r="BQ634" s="400"/>
      <c r="BR634" s="401"/>
      <c r="BS634" s="399"/>
      <c r="BT634" s="394"/>
      <c r="BU634" s="417"/>
      <c r="BV634" s="399">
        <v>2.4</v>
      </c>
      <c r="BW634" s="393" t="s">
        <v>3117</v>
      </c>
      <c r="BX634" s="392" t="s">
        <v>1447</v>
      </c>
      <c r="BY634" s="393"/>
      <c r="BZ634" s="393"/>
      <c r="CA634" s="441" t="s">
        <v>1662</v>
      </c>
      <c r="CB634" s="400">
        <v>3</v>
      </c>
      <c r="CC634" s="398"/>
      <c r="CD634" s="398"/>
      <c r="CE634" s="398"/>
      <c r="CF634" s="398"/>
      <c r="CG634" s="398"/>
      <c r="CH634" s="398"/>
      <c r="CI634" s="398"/>
      <c r="CJ634" s="398"/>
      <c r="CK634" s="398">
        <v>1.143</v>
      </c>
      <c r="CL634" s="398">
        <v>1.143</v>
      </c>
      <c r="CM634" s="398">
        <v>1.143</v>
      </c>
      <c r="CN634" s="398">
        <v>1.143</v>
      </c>
      <c r="CO634" s="398">
        <v>1.143</v>
      </c>
      <c r="CP634" s="398">
        <v>1.143</v>
      </c>
      <c r="CQ634" s="398">
        <v>1.143</v>
      </c>
      <c r="CR634" s="398">
        <v>1.143</v>
      </c>
      <c r="CS634" s="398">
        <v>1.143</v>
      </c>
      <c r="CT634" s="398">
        <v>1.143</v>
      </c>
      <c r="CU634" s="398"/>
      <c r="CV634" s="398"/>
      <c r="CW634" s="398"/>
      <c r="CX634" s="398"/>
      <c r="CY634" s="398"/>
      <c r="CZ634" s="398"/>
      <c r="DA634" s="398"/>
      <c r="DB634" s="398"/>
      <c r="DC634" s="398"/>
      <c r="DD634" s="398"/>
      <c r="DE634" s="393"/>
      <c r="DF634" s="393"/>
      <c r="DG634" s="393"/>
      <c r="DH634" s="393"/>
      <c r="DI634" s="393"/>
      <c r="DJ634" s="393"/>
      <c r="DK634" s="897"/>
    </row>
    <row r="635" spans="1:115" ht="51" x14ac:dyDescent="0.2">
      <c r="A635" s="295">
        <v>631</v>
      </c>
      <c r="B635" s="390" t="s">
        <v>160</v>
      </c>
      <c r="C635" s="424" t="s">
        <v>7518</v>
      </c>
      <c r="D635" s="391" t="s">
        <v>5082</v>
      </c>
      <c r="E635" s="704" t="s">
        <v>2982</v>
      </c>
      <c r="F635" s="393" t="s">
        <v>1352</v>
      </c>
      <c r="G635" s="393" t="s">
        <v>1672</v>
      </c>
      <c r="H635" s="393" t="s">
        <v>78</v>
      </c>
      <c r="I635" s="392"/>
      <c r="J635" s="392" t="s">
        <v>78</v>
      </c>
      <c r="K635" s="392"/>
      <c r="L635" s="392" t="s">
        <v>2983</v>
      </c>
      <c r="M635" s="392" t="s">
        <v>3150</v>
      </c>
      <c r="N635" s="393" t="s">
        <v>44</v>
      </c>
      <c r="O635" s="393" t="s">
        <v>69</v>
      </c>
      <c r="P635" s="393" t="s">
        <v>69</v>
      </c>
      <c r="Q635" s="392" t="s">
        <v>152</v>
      </c>
      <c r="R635" s="392"/>
      <c r="S635" s="392" t="s">
        <v>153</v>
      </c>
      <c r="T635" s="394">
        <v>1</v>
      </c>
      <c r="U635" s="395">
        <v>10.130000000000001</v>
      </c>
      <c r="V635" s="395"/>
      <c r="W635" s="452">
        <v>40728</v>
      </c>
      <c r="X635" s="394">
        <v>28</v>
      </c>
      <c r="Y635" s="394"/>
      <c r="Z635" s="394"/>
      <c r="AA635" s="395"/>
      <c r="AB635" s="453"/>
      <c r="AC635" s="398">
        <v>0</v>
      </c>
      <c r="AD635" s="398">
        <v>81.067753424657539</v>
      </c>
      <c r="AE635" s="393" t="s">
        <v>54</v>
      </c>
      <c r="AF635" s="417"/>
      <c r="AG635" s="417"/>
      <c r="AH635" s="417">
        <v>0</v>
      </c>
      <c r="AI635" s="394"/>
      <c r="AJ635" s="453"/>
      <c r="AK635" s="453"/>
      <c r="AL635" s="393"/>
      <c r="AM635" s="393"/>
      <c r="AN635" s="417"/>
      <c r="AO635" s="392"/>
      <c r="AP635" s="392" t="s">
        <v>55</v>
      </c>
      <c r="AQ635" s="392"/>
      <c r="AR635" s="392" t="s">
        <v>161</v>
      </c>
      <c r="AS635" s="479">
        <v>40725</v>
      </c>
      <c r="AT635" s="453"/>
      <c r="AU635" s="453"/>
      <c r="AV635" s="452">
        <v>40974</v>
      </c>
      <c r="AW635" s="452">
        <v>41089</v>
      </c>
      <c r="AX635" s="452">
        <v>41149</v>
      </c>
      <c r="AY635" s="452">
        <v>41089</v>
      </c>
      <c r="AZ635" s="453"/>
      <c r="BA635" s="393"/>
      <c r="BB635" s="393" t="s">
        <v>3147</v>
      </c>
      <c r="BC635" s="393" t="b">
        <v>0</v>
      </c>
      <c r="BD635" s="393" t="s">
        <v>3147</v>
      </c>
      <c r="BE635" s="392"/>
      <c r="BF635" s="394">
        <v>7</v>
      </c>
      <c r="BG635" s="394">
        <v>1</v>
      </c>
      <c r="BH635" s="394">
        <v>6</v>
      </c>
      <c r="BI635" s="394">
        <v>3</v>
      </c>
      <c r="BJ635" s="394">
        <v>5</v>
      </c>
      <c r="BK635" s="394">
        <v>9</v>
      </c>
      <c r="BL635" s="444"/>
      <c r="BM635" s="392"/>
      <c r="BN635" s="393"/>
      <c r="BO635" s="393"/>
      <c r="BP635" s="399"/>
      <c r="BQ635" s="400"/>
      <c r="BR635" s="401"/>
      <c r="BS635" s="399">
        <v>0</v>
      </c>
      <c r="BT635" s="394"/>
      <c r="BU635" s="417"/>
      <c r="BV635" s="399"/>
      <c r="BW635" s="393"/>
      <c r="BX635" s="392"/>
      <c r="BY635" s="393"/>
      <c r="BZ635" s="393"/>
      <c r="CA635" s="441"/>
      <c r="CB635" s="400"/>
      <c r="CC635" s="398"/>
      <c r="CD635" s="398"/>
      <c r="CE635" s="398"/>
      <c r="CF635" s="398"/>
      <c r="CG635" s="398"/>
      <c r="CH635" s="398"/>
      <c r="CI635" s="398"/>
      <c r="CJ635" s="398"/>
      <c r="CK635" s="398"/>
      <c r="CL635" s="398"/>
      <c r="CM635" s="398"/>
      <c r="CN635" s="398"/>
      <c r="CO635" s="398"/>
      <c r="CP635" s="398"/>
      <c r="CQ635" s="398"/>
      <c r="CR635" s="398"/>
      <c r="CS635" s="398"/>
      <c r="CT635" s="398"/>
      <c r="CU635" s="398"/>
      <c r="CV635" s="398"/>
      <c r="CW635" s="398"/>
      <c r="CX635" s="398"/>
      <c r="CY635" s="398"/>
      <c r="CZ635" s="398"/>
      <c r="DA635" s="398"/>
      <c r="DB635" s="398"/>
      <c r="DC635" s="398"/>
      <c r="DD635" s="398"/>
      <c r="DE635" s="393"/>
      <c r="DF635" s="393"/>
      <c r="DG635" s="393"/>
      <c r="DH635" s="393"/>
      <c r="DI635" s="393"/>
      <c r="DJ635" s="393"/>
      <c r="DK635" s="896" t="s">
        <v>9700</v>
      </c>
    </row>
    <row r="636" spans="1:115" ht="25.5" x14ac:dyDescent="0.2">
      <c r="A636" s="295">
        <v>632</v>
      </c>
      <c r="B636" s="390" t="s">
        <v>2690</v>
      </c>
      <c r="C636" s="390"/>
      <c r="D636" s="391" t="s">
        <v>2984</v>
      </c>
      <c r="E636" s="704" t="s">
        <v>162</v>
      </c>
      <c r="F636" s="393" t="s">
        <v>1352</v>
      </c>
      <c r="G636" s="393" t="s">
        <v>1672</v>
      </c>
      <c r="H636" s="393" t="s">
        <v>78</v>
      </c>
      <c r="I636" s="392"/>
      <c r="J636" s="392"/>
      <c r="K636" s="392" t="s">
        <v>2158</v>
      </c>
      <c r="L636" s="392" t="s">
        <v>2983</v>
      </c>
      <c r="M636" s="392"/>
      <c r="N636" s="393" t="s">
        <v>44</v>
      </c>
      <c r="O636" s="393" t="s">
        <v>69</v>
      </c>
      <c r="P636" s="393" t="s">
        <v>69</v>
      </c>
      <c r="Q636" s="392" t="s">
        <v>152</v>
      </c>
      <c r="R636" s="392" t="s">
        <v>3151</v>
      </c>
      <c r="S636" s="392" t="s">
        <v>153</v>
      </c>
      <c r="T636" s="394">
        <v>1</v>
      </c>
      <c r="U636" s="395">
        <v>10.130000000000001</v>
      </c>
      <c r="V636" s="395"/>
      <c r="W636" s="453"/>
      <c r="X636" s="394"/>
      <c r="Y636" s="394">
        <v>7</v>
      </c>
      <c r="Z636" s="394">
        <v>20</v>
      </c>
      <c r="AA636" s="395">
        <v>2</v>
      </c>
      <c r="AB636" s="452">
        <v>41275</v>
      </c>
      <c r="AC636" s="398">
        <v>0</v>
      </c>
      <c r="AD636" s="398">
        <v>81.067753424657539</v>
      </c>
      <c r="AE636" s="393" t="s">
        <v>54</v>
      </c>
      <c r="AF636" s="417"/>
      <c r="AG636" s="417"/>
      <c r="AH636" s="417"/>
      <c r="AI636" s="394"/>
      <c r="AJ636" s="453"/>
      <c r="AK636" s="453"/>
      <c r="AL636" s="393"/>
      <c r="AM636" s="393"/>
      <c r="AN636" s="417"/>
      <c r="AO636" s="392"/>
      <c r="AP636" s="392" t="s">
        <v>55</v>
      </c>
      <c r="AQ636" s="392"/>
      <c r="AR636" s="392" t="s">
        <v>161</v>
      </c>
      <c r="AS636" s="479">
        <v>40725</v>
      </c>
      <c r="AT636" s="453"/>
      <c r="AU636" s="453"/>
      <c r="AV636" s="453"/>
      <c r="AW636" s="453"/>
      <c r="AX636" s="453"/>
      <c r="AY636" s="453"/>
      <c r="AZ636" s="452">
        <v>41089</v>
      </c>
      <c r="BA636" s="393"/>
      <c r="BB636" s="393"/>
      <c r="BC636" s="393" t="b">
        <v>0</v>
      </c>
      <c r="BD636" s="393"/>
      <c r="BE636" s="392"/>
      <c r="BF636" s="394">
        <v>7</v>
      </c>
      <c r="BG636" s="394">
        <v>1</v>
      </c>
      <c r="BH636" s="394">
        <v>6</v>
      </c>
      <c r="BI636" s="394">
        <v>3</v>
      </c>
      <c r="BJ636" s="394">
        <v>5</v>
      </c>
      <c r="BK636" s="394">
        <v>9</v>
      </c>
      <c r="BL636" s="444" t="s">
        <v>6985</v>
      </c>
      <c r="BM636" s="392"/>
      <c r="BN636" s="393"/>
      <c r="BO636" s="393"/>
      <c r="BP636" s="399"/>
      <c r="BQ636" s="400"/>
      <c r="BR636" s="401"/>
      <c r="BS636" s="399"/>
      <c r="BT636" s="394"/>
      <c r="BU636" s="417"/>
      <c r="BV636" s="399"/>
      <c r="BW636" s="393" t="s">
        <v>3117</v>
      </c>
      <c r="BX636" s="392" t="s">
        <v>1450</v>
      </c>
      <c r="BY636" s="393"/>
      <c r="BZ636" s="393"/>
      <c r="CA636" s="441" t="s">
        <v>1662</v>
      </c>
      <c r="CB636" s="400">
        <v>3</v>
      </c>
      <c r="CC636" s="398"/>
      <c r="CD636" s="398"/>
      <c r="CE636" s="398"/>
      <c r="CF636" s="398"/>
      <c r="CG636" s="398"/>
      <c r="CH636" s="398">
        <v>11.973000000000001</v>
      </c>
      <c r="CI636" s="398">
        <v>14.493</v>
      </c>
      <c r="CJ636" s="398">
        <v>16.617999999999999</v>
      </c>
      <c r="CK636" s="398">
        <v>18.411000000000001</v>
      </c>
      <c r="CL636" s="398">
        <v>19.923999999999999</v>
      </c>
      <c r="CM636" s="398">
        <v>19.923999999999999</v>
      </c>
      <c r="CN636" s="398">
        <v>22.276</v>
      </c>
      <c r="CO636" s="398">
        <v>22.276</v>
      </c>
      <c r="CP636" s="398">
        <v>22.276</v>
      </c>
      <c r="CQ636" s="398">
        <v>22.276</v>
      </c>
      <c r="CR636" s="398">
        <v>22.276</v>
      </c>
      <c r="CS636" s="398">
        <v>22.276</v>
      </c>
      <c r="CT636" s="398">
        <v>22.276</v>
      </c>
      <c r="CU636" s="398">
        <v>22.276</v>
      </c>
      <c r="CV636" s="398">
        <v>22.276</v>
      </c>
      <c r="CW636" s="398">
        <v>22.276</v>
      </c>
      <c r="CX636" s="398">
        <v>22.276</v>
      </c>
      <c r="CY636" s="398">
        <v>22.276</v>
      </c>
      <c r="CZ636" s="398">
        <v>22.276</v>
      </c>
      <c r="DA636" s="398">
        <v>22.276</v>
      </c>
      <c r="DB636" s="398">
        <v>22.276</v>
      </c>
      <c r="DC636" s="398"/>
      <c r="DD636" s="398"/>
      <c r="DE636" s="393"/>
      <c r="DF636" s="393"/>
      <c r="DG636" s="393"/>
      <c r="DH636" s="393"/>
      <c r="DI636" s="393"/>
      <c r="DJ636" s="393"/>
      <c r="DK636" s="897"/>
    </row>
    <row r="637" spans="1:115" ht="38.25" x14ac:dyDescent="0.2">
      <c r="A637" s="295">
        <v>633</v>
      </c>
      <c r="B637" s="390" t="s">
        <v>552</v>
      </c>
      <c r="C637" s="424" t="s">
        <v>7519</v>
      </c>
      <c r="D637" s="391"/>
      <c r="E637" s="708" t="s">
        <v>1979</v>
      </c>
      <c r="F637" s="404" t="s">
        <v>1352</v>
      </c>
      <c r="G637" s="404" t="s">
        <v>1673</v>
      </c>
      <c r="H637" s="404" t="s">
        <v>42</v>
      </c>
      <c r="I637" s="403"/>
      <c r="J637" s="403" t="s">
        <v>42</v>
      </c>
      <c r="K637" s="403"/>
      <c r="L637" s="403" t="s">
        <v>4076</v>
      </c>
      <c r="M637" s="403" t="s">
        <v>3152</v>
      </c>
      <c r="N637" s="404" t="s">
        <v>2412</v>
      </c>
      <c r="O637" s="404" t="s">
        <v>34</v>
      </c>
      <c r="P637" s="404" t="s">
        <v>34</v>
      </c>
      <c r="Q637" s="403" t="s">
        <v>554</v>
      </c>
      <c r="R637" s="403"/>
      <c r="S637" s="403" t="s">
        <v>256</v>
      </c>
      <c r="T637" s="405"/>
      <c r="U637" s="406"/>
      <c r="V637" s="406"/>
      <c r="W637" s="456">
        <v>40787</v>
      </c>
      <c r="X637" s="405">
        <v>28</v>
      </c>
      <c r="Y637" s="405"/>
      <c r="Z637" s="405"/>
      <c r="AA637" s="406"/>
      <c r="AB637" s="455"/>
      <c r="AC637" s="407"/>
      <c r="AD637" s="407"/>
      <c r="AE637" s="404" t="s">
        <v>397</v>
      </c>
      <c r="AF637" s="418"/>
      <c r="AG637" s="418"/>
      <c r="AH637" s="418"/>
      <c r="AI637" s="405"/>
      <c r="AJ637" s="455"/>
      <c r="AK637" s="455"/>
      <c r="AL637" s="404"/>
      <c r="AM637" s="404"/>
      <c r="AN637" s="418"/>
      <c r="AO637" s="403"/>
      <c r="AP637" s="403" t="s">
        <v>7063</v>
      </c>
      <c r="AQ637" s="403"/>
      <c r="AR637" s="403" t="s">
        <v>555</v>
      </c>
      <c r="AS637" s="482">
        <v>40725</v>
      </c>
      <c r="AT637" s="456">
        <v>40897</v>
      </c>
      <c r="AU637" s="455"/>
      <c r="AV637" s="455"/>
      <c r="AW637" s="455"/>
      <c r="AX637" s="455"/>
      <c r="AY637" s="455"/>
      <c r="AZ637" s="455"/>
      <c r="BA637" s="404"/>
      <c r="BB637" s="404" t="s">
        <v>3116</v>
      </c>
      <c r="BC637" s="404" t="b">
        <v>0</v>
      </c>
      <c r="BD637" s="404" t="s">
        <v>3116</v>
      </c>
      <c r="BE637" s="403"/>
      <c r="BF637" s="405">
        <v>2</v>
      </c>
      <c r="BG637" s="405">
        <v>9</v>
      </c>
      <c r="BH637" s="405">
        <v>12</v>
      </c>
      <c r="BI637" s="405">
        <v>7</v>
      </c>
      <c r="BJ637" s="405">
        <v>11</v>
      </c>
      <c r="BK637" s="405"/>
      <c r="BL637" s="446"/>
      <c r="BM637" s="403"/>
      <c r="BN637" s="404"/>
      <c r="BO637" s="404"/>
      <c r="BP637" s="408"/>
      <c r="BQ637" s="409"/>
      <c r="BR637" s="410"/>
      <c r="BS637" s="408"/>
      <c r="BT637" s="405"/>
      <c r="BU637" s="418"/>
      <c r="BV637" s="408"/>
      <c r="BW637" s="404"/>
      <c r="BX637" s="403"/>
      <c r="BY637" s="404"/>
      <c r="BZ637" s="404"/>
      <c r="CA637" s="443"/>
      <c r="CB637" s="409"/>
      <c r="CC637" s="407"/>
      <c r="CD637" s="407"/>
      <c r="CE637" s="407"/>
      <c r="CF637" s="407"/>
      <c r="CG637" s="407"/>
      <c r="CH637" s="407"/>
      <c r="CI637" s="407"/>
      <c r="CJ637" s="407"/>
      <c r="CK637" s="407"/>
      <c r="CL637" s="407"/>
      <c r="CM637" s="407"/>
      <c r="CN637" s="407"/>
      <c r="CO637" s="407"/>
      <c r="CP637" s="407"/>
      <c r="CQ637" s="407"/>
      <c r="CR637" s="407"/>
      <c r="CS637" s="407"/>
      <c r="CT637" s="407"/>
      <c r="CU637" s="407"/>
      <c r="CV637" s="407"/>
      <c r="CW637" s="407"/>
      <c r="CX637" s="407"/>
      <c r="CY637" s="407"/>
      <c r="CZ637" s="407"/>
      <c r="DA637" s="407"/>
      <c r="DB637" s="407"/>
      <c r="DC637" s="407"/>
      <c r="DD637" s="407"/>
      <c r="DE637" s="404"/>
      <c r="DF637" s="404"/>
      <c r="DG637" s="404"/>
      <c r="DH637" s="404"/>
      <c r="DI637" s="404"/>
      <c r="DJ637" s="404"/>
      <c r="DK637" s="897"/>
    </row>
    <row r="638" spans="1:115" ht="25.5" x14ac:dyDescent="0.2">
      <c r="A638" s="295">
        <v>634</v>
      </c>
      <c r="B638" s="390" t="s">
        <v>2691</v>
      </c>
      <c r="C638" s="390"/>
      <c r="D638" s="391"/>
      <c r="E638" s="707" t="s">
        <v>556</v>
      </c>
      <c r="F638" s="404" t="s">
        <v>1352</v>
      </c>
      <c r="G638" s="404" t="s">
        <v>1673</v>
      </c>
      <c r="H638" s="404" t="s">
        <v>42</v>
      </c>
      <c r="I638" s="403"/>
      <c r="J638" s="403"/>
      <c r="K638" s="403" t="s">
        <v>42</v>
      </c>
      <c r="L638" s="403" t="s">
        <v>4076</v>
      </c>
      <c r="M638" s="403"/>
      <c r="N638" s="404" t="s">
        <v>2412</v>
      </c>
      <c r="O638" s="404" t="s">
        <v>34</v>
      </c>
      <c r="P638" s="404" t="s">
        <v>34</v>
      </c>
      <c r="Q638" s="403" t="s">
        <v>554</v>
      </c>
      <c r="R638" s="403" t="s">
        <v>3153</v>
      </c>
      <c r="S638" s="403" t="s">
        <v>256</v>
      </c>
      <c r="T638" s="405">
        <v>1</v>
      </c>
      <c r="U638" s="406">
        <v>67.091999999999999</v>
      </c>
      <c r="V638" s="406"/>
      <c r="W638" s="455"/>
      <c r="X638" s="405"/>
      <c r="Y638" s="405">
        <v>10</v>
      </c>
      <c r="Z638" s="405">
        <v>10</v>
      </c>
      <c r="AA638" s="406">
        <v>3</v>
      </c>
      <c r="AB638" s="456">
        <v>40969</v>
      </c>
      <c r="AC638" s="407">
        <v>56.088999999999999</v>
      </c>
      <c r="AD638" s="407">
        <v>670.92</v>
      </c>
      <c r="AE638" s="404" t="s">
        <v>397</v>
      </c>
      <c r="AF638" s="418"/>
      <c r="AG638" s="418"/>
      <c r="AH638" s="418"/>
      <c r="AI638" s="405"/>
      <c r="AJ638" s="455"/>
      <c r="AK638" s="455"/>
      <c r="AL638" s="404"/>
      <c r="AM638" s="404"/>
      <c r="AN638" s="418"/>
      <c r="AO638" s="403"/>
      <c r="AP638" s="403" t="s">
        <v>7063</v>
      </c>
      <c r="AQ638" s="403"/>
      <c r="AR638" s="403" t="s">
        <v>555</v>
      </c>
      <c r="AS638" s="482">
        <v>40725</v>
      </c>
      <c r="AT638" s="456">
        <v>40897</v>
      </c>
      <c r="AU638" s="455"/>
      <c r="AV638" s="455"/>
      <c r="AW638" s="455"/>
      <c r="AX638" s="455"/>
      <c r="AY638" s="455"/>
      <c r="AZ638" s="455"/>
      <c r="BA638" s="404"/>
      <c r="BB638" s="404"/>
      <c r="BC638" s="404" t="b">
        <v>0</v>
      </c>
      <c r="BD638" s="404"/>
      <c r="BE638" s="403"/>
      <c r="BF638" s="405">
        <v>2</v>
      </c>
      <c r="BG638" s="405">
        <v>9</v>
      </c>
      <c r="BH638" s="405">
        <v>12</v>
      </c>
      <c r="BI638" s="405">
        <v>7</v>
      </c>
      <c r="BJ638" s="405">
        <v>11</v>
      </c>
      <c r="BK638" s="405"/>
      <c r="BL638" s="446" t="s">
        <v>6985</v>
      </c>
      <c r="BM638" s="403"/>
      <c r="BN638" s="404"/>
      <c r="BO638" s="404"/>
      <c r="BP638" s="408"/>
      <c r="BQ638" s="409"/>
      <c r="BR638" s="410"/>
      <c r="BS638" s="408"/>
      <c r="BT638" s="405"/>
      <c r="BU638" s="418">
        <v>0.89700000000000002</v>
      </c>
      <c r="BV638" s="408"/>
      <c r="BW638" s="404" t="s">
        <v>3117</v>
      </c>
      <c r="BX638" s="403" t="s">
        <v>3154</v>
      </c>
      <c r="BY638" s="404"/>
      <c r="BZ638" s="404"/>
      <c r="CA638" s="443"/>
      <c r="CB638" s="409"/>
      <c r="CC638" s="407"/>
      <c r="CD638" s="407"/>
      <c r="CE638" s="407"/>
      <c r="CF638" s="407"/>
      <c r="CG638" s="407"/>
      <c r="CH638" s="407">
        <v>38.058</v>
      </c>
      <c r="CI638" s="407">
        <v>56.517000000000003</v>
      </c>
      <c r="CJ638" s="407">
        <v>74.602000000000004</v>
      </c>
      <c r="CK638" s="407">
        <v>73.855999999999995</v>
      </c>
      <c r="CL638" s="407">
        <v>73.117999999999995</v>
      </c>
      <c r="CM638" s="407">
        <v>72.385999999999996</v>
      </c>
      <c r="CN638" s="407">
        <v>71.662000000000006</v>
      </c>
      <c r="CO638" s="407">
        <v>70.945999999999998</v>
      </c>
      <c r="CP638" s="407">
        <v>70.236000000000004</v>
      </c>
      <c r="CQ638" s="407">
        <v>69.534000000000006</v>
      </c>
      <c r="CR638" s="407"/>
      <c r="CS638" s="407"/>
      <c r="CT638" s="407"/>
      <c r="CU638" s="407"/>
      <c r="CV638" s="407"/>
      <c r="CW638" s="407"/>
      <c r="CX638" s="407"/>
      <c r="CY638" s="407"/>
      <c r="CZ638" s="407"/>
      <c r="DA638" s="407"/>
      <c r="DB638" s="407"/>
      <c r="DC638" s="407"/>
      <c r="DD638" s="407"/>
      <c r="DE638" s="404"/>
      <c r="DF638" s="404"/>
      <c r="DG638" s="404"/>
      <c r="DH638" s="404"/>
      <c r="DI638" s="404"/>
      <c r="DJ638" s="404"/>
      <c r="DK638" s="897"/>
    </row>
    <row r="639" spans="1:115" ht="63.75" x14ac:dyDescent="0.2">
      <c r="A639" s="295">
        <v>635</v>
      </c>
      <c r="B639" s="390" t="s">
        <v>770</v>
      </c>
      <c r="C639" s="424" t="s">
        <v>7520</v>
      </c>
      <c r="D639" s="391" t="s">
        <v>5083</v>
      </c>
      <c r="E639" s="704" t="s">
        <v>771</v>
      </c>
      <c r="F639" s="393" t="s">
        <v>1340</v>
      </c>
      <c r="G639" s="393" t="s">
        <v>1677</v>
      </c>
      <c r="H639" s="393" t="s">
        <v>667</v>
      </c>
      <c r="I639" s="392"/>
      <c r="J639" s="392" t="s">
        <v>667</v>
      </c>
      <c r="K639" s="392"/>
      <c r="L639" s="392" t="s">
        <v>772</v>
      </c>
      <c r="M639" s="392" t="s">
        <v>3155</v>
      </c>
      <c r="N639" s="393" t="s">
        <v>44</v>
      </c>
      <c r="O639" s="393" t="s">
        <v>289</v>
      </c>
      <c r="P639" s="393" t="s">
        <v>289</v>
      </c>
      <c r="Q639" s="392" t="s">
        <v>721</v>
      </c>
      <c r="R639" s="392"/>
      <c r="S639" s="392" t="s">
        <v>291</v>
      </c>
      <c r="T639" s="394">
        <v>4</v>
      </c>
      <c r="U639" s="395">
        <v>94.986999999999995</v>
      </c>
      <c r="V639" s="395"/>
      <c r="W639" s="452">
        <v>40778</v>
      </c>
      <c r="X639" s="394">
        <v>28</v>
      </c>
      <c r="Y639" s="394"/>
      <c r="Z639" s="394"/>
      <c r="AA639" s="395"/>
      <c r="AB639" s="453"/>
      <c r="AC639" s="398">
        <v>0</v>
      </c>
      <c r="AD639" s="398">
        <v>513.79523835616442</v>
      </c>
      <c r="AE639" s="393" t="s">
        <v>397</v>
      </c>
      <c r="AF639" s="417"/>
      <c r="AG639" s="417">
        <f>SUM(AG640:AG643)</f>
        <v>61.474000000000004</v>
      </c>
      <c r="AH639" s="417">
        <v>61.474000000000004</v>
      </c>
      <c r="AI639" s="394">
        <v>1</v>
      </c>
      <c r="AJ639" s="453">
        <v>42366</v>
      </c>
      <c r="AK639" s="453">
        <v>43100</v>
      </c>
      <c r="AL639" s="393"/>
      <c r="AM639" s="393"/>
      <c r="AN639" s="417"/>
      <c r="AO639" s="392"/>
      <c r="AP639" s="428" t="s">
        <v>8087</v>
      </c>
      <c r="AQ639" s="392" t="s">
        <v>7051</v>
      </c>
      <c r="AR639" s="392" t="s">
        <v>772</v>
      </c>
      <c r="AS639" s="479">
        <v>40731</v>
      </c>
      <c r="AT639" s="397"/>
      <c r="AU639" s="397"/>
      <c r="AV639" s="452">
        <v>40854</v>
      </c>
      <c r="AW639" s="452">
        <v>41088</v>
      </c>
      <c r="AX639" s="452">
        <v>41135</v>
      </c>
      <c r="AY639" s="452">
        <v>41088</v>
      </c>
      <c r="AZ639" s="453"/>
      <c r="BA639" s="393"/>
      <c r="BB639" s="393" t="s">
        <v>3147</v>
      </c>
      <c r="BC639" s="393" t="b">
        <v>0</v>
      </c>
      <c r="BD639" s="393" t="s">
        <v>3147</v>
      </c>
      <c r="BE639" s="392"/>
      <c r="BF639" s="394">
        <v>5</v>
      </c>
      <c r="BG639" s="394">
        <v>9</v>
      </c>
      <c r="BH639" s="394">
        <v>12</v>
      </c>
      <c r="BI639" s="394">
        <v>10</v>
      </c>
      <c r="BJ639" s="394">
        <v>11</v>
      </c>
      <c r="BK639" s="394"/>
      <c r="BL639" s="444"/>
      <c r="BM639" s="392"/>
      <c r="BN639" s="393"/>
      <c r="BO639" s="393"/>
      <c r="BP639" s="399"/>
      <c r="BQ639" s="400"/>
      <c r="BR639" s="401"/>
      <c r="BS639" s="399">
        <v>23.533999999999999</v>
      </c>
      <c r="BT639" s="394"/>
      <c r="BU639" s="417"/>
      <c r="BV639" s="399"/>
      <c r="BW639" s="393"/>
      <c r="BX639" s="392"/>
      <c r="BY639" s="393"/>
      <c r="BZ639" s="393"/>
      <c r="CA639" s="441"/>
      <c r="CB639" s="400"/>
      <c r="CC639" s="398"/>
      <c r="CD639" s="398"/>
      <c r="CE639" s="398"/>
      <c r="CF639" s="398"/>
      <c r="CG639" s="398"/>
      <c r="CH639" s="398"/>
      <c r="CI639" s="398"/>
      <c r="CJ639" s="398"/>
      <c r="CK639" s="398"/>
      <c r="CL639" s="398"/>
      <c r="CM639" s="398"/>
      <c r="CN639" s="398"/>
      <c r="CO639" s="398"/>
      <c r="CP639" s="398"/>
      <c r="CQ639" s="398"/>
      <c r="CR639" s="398"/>
      <c r="CS639" s="398"/>
      <c r="CT639" s="398"/>
      <c r="CU639" s="398"/>
      <c r="CV639" s="398"/>
      <c r="CW639" s="398"/>
      <c r="CX639" s="398"/>
      <c r="CY639" s="398"/>
      <c r="CZ639" s="398"/>
      <c r="DA639" s="398"/>
      <c r="DB639" s="398"/>
      <c r="DC639" s="398"/>
      <c r="DD639" s="398"/>
      <c r="DE639" s="393"/>
      <c r="DF639" s="393"/>
      <c r="DG639" s="393"/>
      <c r="DH639" s="393"/>
      <c r="DI639" s="393"/>
      <c r="DJ639" s="393"/>
      <c r="DK639" s="896" t="s">
        <v>9724</v>
      </c>
    </row>
    <row r="640" spans="1:115" ht="25.5" x14ac:dyDescent="0.2">
      <c r="A640" s="295">
        <v>636</v>
      </c>
      <c r="B640" s="390" t="s">
        <v>2692</v>
      </c>
      <c r="C640" s="390"/>
      <c r="D640" s="391" t="s">
        <v>2985</v>
      </c>
      <c r="E640" s="704" t="s">
        <v>773</v>
      </c>
      <c r="F640" s="393" t="s">
        <v>1340</v>
      </c>
      <c r="G640" s="393" t="s">
        <v>1677</v>
      </c>
      <c r="H640" s="393" t="s">
        <v>667</v>
      </c>
      <c r="I640" s="392"/>
      <c r="J640" s="392"/>
      <c r="K640" s="392" t="s">
        <v>2159</v>
      </c>
      <c r="L640" s="392" t="s">
        <v>772</v>
      </c>
      <c r="M640" s="392"/>
      <c r="N640" s="393" t="s">
        <v>44</v>
      </c>
      <c r="O640" s="393" t="s">
        <v>289</v>
      </c>
      <c r="P640" s="393" t="s">
        <v>289</v>
      </c>
      <c r="Q640" s="392" t="s">
        <v>721</v>
      </c>
      <c r="R640" s="392" t="s">
        <v>3156</v>
      </c>
      <c r="S640" s="392" t="s">
        <v>291</v>
      </c>
      <c r="T640" s="394">
        <v>1</v>
      </c>
      <c r="U640" s="395">
        <v>8.6340000000000003</v>
      </c>
      <c r="V640" s="395"/>
      <c r="W640" s="453"/>
      <c r="X640" s="394"/>
      <c r="Y640" s="394">
        <v>7</v>
      </c>
      <c r="Z640" s="394">
        <v>40</v>
      </c>
      <c r="AA640" s="395">
        <v>0</v>
      </c>
      <c r="AB640" s="452">
        <v>41365</v>
      </c>
      <c r="AC640" s="398">
        <v>0</v>
      </c>
      <c r="AD640" s="398">
        <v>66.966723287671229</v>
      </c>
      <c r="AE640" s="393" t="s">
        <v>397</v>
      </c>
      <c r="AF640" s="417"/>
      <c r="AG640" s="417">
        <f>4.718+3.793+4.504+4.755</f>
        <v>17.77</v>
      </c>
      <c r="AH640" s="417">
        <v>17.77</v>
      </c>
      <c r="AI640" s="394">
        <v>1</v>
      </c>
      <c r="AJ640" s="453">
        <v>42366</v>
      </c>
      <c r="AK640" s="453">
        <v>43100</v>
      </c>
      <c r="AL640" s="393"/>
      <c r="AM640" s="393"/>
      <c r="AN640" s="417"/>
      <c r="AO640" s="428" t="s">
        <v>225</v>
      </c>
      <c r="AP640" s="428" t="s">
        <v>8087</v>
      </c>
      <c r="AQ640" s="392"/>
      <c r="AR640" s="392" t="s">
        <v>772</v>
      </c>
      <c r="AS640" s="479">
        <v>40731</v>
      </c>
      <c r="AT640" s="453"/>
      <c r="AU640" s="453"/>
      <c r="AV640" s="453"/>
      <c r="AW640" s="453"/>
      <c r="AX640" s="453"/>
      <c r="AY640" s="453"/>
      <c r="AZ640" s="452">
        <v>41088</v>
      </c>
      <c r="BA640" s="393"/>
      <c r="BB640" s="393"/>
      <c r="BC640" s="393" t="b">
        <v>0</v>
      </c>
      <c r="BD640" s="393"/>
      <c r="BE640" s="392"/>
      <c r="BF640" s="394">
        <v>5</v>
      </c>
      <c r="BG640" s="394">
        <v>9</v>
      </c>
      <c r="BH640" s="394">
        <v>12</v>
      </c>
      <c r="BI640" s="394">
        <v>10</v>
      </c>
      <c r="BJ640" s="394">
        <v>11</v>
      </c>
      <c r="BK640" s="394"/>
      <c r="BL640" s="444" t="s">
        <v>6985</v>
      </c>
      <c r="BM640" s="392"/>
      <c r="BN640" s="393"/>
      <c r="BO640" s="393"/>
      <c r="BP640" s="399"/>
      <c r="BQ640" s="400"/>
      <c r="BR640" s="401"/>
      <c r="BS640" s="399">
        <v>1.68</v>
      </c>
      <c r="BT640" s="394">
        <v>12170</v>
      </c>
      <c r="BU640" s="417">
        <v>0.56674000000000002</v>
      </c>
      <c r="BV640" s="399"/>
      <c r="BW640" s="393" t="s">
        <v>3117</v>
      </c>
      <c r="BX640" s="392" t="s">
        <v>1447</v>
      </c>
      <c r="BY640" s="393"/>
      <c r="BZ640" s="393"/>
      <c r="CA640" s="441" t="s">
        <v>1662</v>
      </c>
      <c r="CB640" s="400">
        <v>3</v>
      </c>
      <c r="CC640" s="398"/>
      <c r="CD640" s="398"/>
      <c r="CE640" s="398"/>
      <c r="CF640" s="398"/>
      <c r="CG640" s="398"/>
      <c r="CH640" s="398">
        <v>6.8970000000000002</v>
      </c>
      <c r="CI640" s="398">
        <v>6.8970000000000002</v>
      </c>
      <c r="CJ640" s="398">
        <v>6.8970000000000002</v>
      </c>
      <c r="CK640" s="398">
        <v>6.8970000000000002</v>
      </c>
      <c r="CL640" s="398">
        <v>6.8970000000000002</v>
      </c>
      <c r="CM640" s="398">
        <v>6.8970000000000002</v>
      </c>
      <c r="CN640" s="398">
        <v>6.8970000000000002</v>
      </c>
      <c r="CO640" s="398"/>
      <c r="CP640" s="398"/>
      <c r="CQ640" s="398"/>
      <c r="CR640" s="398"/>
      <c r="CS640" s="398"/>
      <c r="CT640" s="398"/>
      <c r="CU640" s="398"/>
      <c r="CV640" s="398"/>
      <c r="CW640" s="398"/>
      <c r="CX640" s="398"/>
      <c r="CY640" s="398"/>
      <c r="CZ640" s="398"/>
      <c r="DA640" s="398"/>
      <c r="DB640" s="398"/>
      <c r="DC640" s="398"/>
      <c r="DD640" s="398"/>
      <c r="DE640" s="393"/>
      <c r="DF640" s="393"/>
      <c r="DG640" s="393"/>
      <c r="DH640" s="393"/>
      <c r="DI640" s="393"/>
      <c r="DJ640" s="393"/>
      <c r="DK640" s="897"/>
    </row>
    <row r="641" spans="1:115" ht="25.5" x14ac:dyDescent="0.2">
      <c r="A641" s="295">
        <v>637</v>
      </c>
      <c r="B641" s="390" t="s">
        <v>6670</v>
      </c>
      <c r="C641" s="390"/>
      <c r="D641" s="391" t="s">
        <v>6671</v>
      </c>
      <c r="E641" s="704" t="s">
        <v>6672</v>
      </c>
      <c r="F641" s="393" t="s">
        <v>1340</v>
      </c>
      <c r="G641" s="393" t="s">
        <v>1677</v>
      </c>
      <c r="H641" s="393" t="s">
        <v>667</v>
      </c>
      <c r="I641" s="392"/>
      <c r="J641" s="392"/>
      <c r="K641" s="392" t="s">
        <v>6673</v>
      </c>
      <c r="L641" s="392" t="s">
        <v>772</v>
      </c>
      <c r="M641" s="392"/>
      <c r="N641" s="393" t="s">
        <v>44</v>
      </c>
      <c r="O641" s="393" t="s">
        <v>289</v>
      </c>
      <c r="P641" s="393" t="s">
        <v>289</v>
      </c>
      <c r="Q641" s="392" t="s">
        <v>721</v>
      </c>
      <c r="R641" s="392" t="s">
        <v>6674</v>
      </c>
      <c r="S641" s="392" t="s">
        <v>291</v>
      </c>
      <c r="T641" s="394">
        <v>1</v>
      </c>
      <c r="U641" s="395">
        <v>28.116</v>
      </c>
      <c r="V641" s="395"/>
      <c r="W641" s="453"/>
      <c r="X641" s="394"/>
      <c r="Y641" s="394">
        <v>7</v>
      </c>
      <c r="Z641" s="394">
        <v>30</v>
      </c>
      <c r="AA641" s="395">
        <v>0</v>
      </c>
      <c r="AB641" s="452">
        <v>41913</v>
      </c>
      <c r="AC641" s="398"/>
      <c r="AD641" s="398">
        <v>175.85980273972604</v>
      </c>
      <c r="AE641" s="393" t="s">
        <v>397</v>
      </c>
      <c r="AF641" s="417"/>
      <c r="AG641" s="417">
        <f>14.139+14.794+14.771</f>
        <v>43.704000000000001</v>
      </c>
      <c r="AH641" s="417">
        <v>43.704000000000001</v>
      </c>
      <c r="AI641" s="394"/>
      <c r="AJ641" s="453">
        <v>42640</v>
      </c>
      <c r="AK641" s="453">
        <v>43100</v>
      </c>
      <c r="AL641" s="393"/>
      <c r="AM641" s="393"/>
      <c r="AN641" s="417"/>
      <c r="AO641" s="428" t="s">
        <v>225</v>
      </c>
      <c r="AP641" s="392"/>
      <c r="AQ641" s="392"/>
      <c r="AR641" s="392" t="s">
        <v>772</v>
      </c>
      <c r="AS641" s="479">
        <v>40731</v>
      </c>
      <c r="AT641" s="453"/>
      <c r="AU641" s="453"/>
      <c r="AV641" s="453"/>
      <c r="AW641" s="453"/>
      <c r="AX641" s="453"/>
      <c r="AY641" s="453"/>
      <c r="AZ641" s="452">
        <v>41986</v>
      </c>
      <c r="BA641" s="393"/>
      <c r="BB641" s="393"/>
      <c r="BC641" s="393" t="b">
        <v>0</v>
      </c>
      <c r="BD641" s="393"/>
      <c r="BE641" s="392"/>
      <c r="BF641" s="394">
        <v>5</v>
      </c>
      <c r="BG641" s="394">
        <v>9</v>
      </c>
      <c r="BH641" s="394">
        <v>12</v>
      </c>
      <c r="BI641" s="394">
        <v>10</v>
      </c>
      <c r="BJ641" s="394">
        <v>11</v>
      </c>
      <c r="BK641" s="394"/>
      <c r="BL641" s="444" t="s">
        <v>6985</v>
      </c>
      <c r="BM641" s="392"/>
      <c r="BN641" s="393"/>
      <c r="BO641" s="393"/>
      <c r="BP641" s="399"/>
      <c r="BQ641" s="400"/>
      <c r="BR641" s="401"/>
      <c r="BS641" s="399">
        <v>5.2640000000000002</v>
      </c>
      <c r="BT641" s="394">
        <v>46112</v>
      </c>
      <c r="BU641" s="417">
        <v>0.60973999999999995</v>
      </c>
      <c r="BV641" s="399"/>
      <c r="BW641" s="393" t="s">
        <v>3117</v>
      </c>
      <c r="BX641" s="392" t="s">
        <v>1447</v>
      </c>
      <c r="BY641" s="393"/>
      <c r="BZ641" s="393"/>
      <c r="CA641" s="441" t="s">
        <v>1662</v>
      </c>
      <c r="CB641" s="400">
        <v>3</v>
      </c>
      <c r="CC641" s="398"/>
      <c r="CD641" s="398"/>
      <c r="CE641" s="398"/>
      <c r="CF641" s="398"/>
      <c r="CG641" s="398"/>
      <c r="CH641" s="398"/>
      <c r="CI641" s="398"/>
      <c r="CJ641" s="398">
        <v>9.3719999999999999</v>
      </c>
      <c r="CK641" s="398">
        <v>28.116</v>
      </c>
      <c r="CL641" s="398">
        <v>28.116</v>
      </c>
      <c r="CM641" s="398">
        <v>28.116</v>
      </c>
      <c r="CN641" s="398">
        <v>28.116</v>
      </c>
      <c r="CO641" s="398">
        <v>28.116</v>
      </c>
      <c r="CP641" s="398">
        <v>28.116</v>
      </c>
      <c r="CQ641" s="398">
        <v>18.744</v>
      </c>
      <c r="CR641" s="398"/>
      <c r="CS641" s="398"/>
      <c r="CT641" s="398"/>
      <c r="CU641" s="398"/>
      <c r="CV641" s="398"/>
      <c r="CW641" s="398"/>
      <c r="CX641" s="398"/>
      <c r="CY641" s="398"/>
      <c r="CZ641" s="398"/>
      <c r="DA641" s="398"/>
      <c r="DB641" s="398"/>
      <c r="DC641" s="398"/>
      <c r="DD641" s="398"/>
      <c r="DE641" s="393"/>
      <c r="DF641" s="393"/>
      <c r="DG641" s="393"/>
      <c r="DH641" s="393"/>
      <c r="DI641" s="393"/>
      <c r="DJ641" s="393"/>
      <c r="DK641" s="897"/>
    </row>
    <row r="642" spans="1:115" ht="25.5" x14ac:dyDescent="0.2">
      <c r="A642" s="295">
        <v>638</v>
      </c>
      <c r="B642" s="390" t="s">
        <v>6675</v>
      </c>
      <c r="C642" s="390"/>
      <c r="D642" s="391" t="s">
        <v>6676</v>
      </c>
      <c r="E642" s="704" t="s">
        <v>6677</v>
      </c>
      <c r="F642" s="393" t="s">
        <v>1340</v>
      </c>
      <c r="G642" s="393" t="s">
        <v>1677</v>
      </c>
      <c r="H642" s="393" t="s">
        <v>667</v>
      </c>
      <c r="I642" s="392"/>
      <c r="J642" s="392"/>
      <c r="K642" s="392" t="s">
        <v>6678</v>
      </c>
      <c r="L642" s="392" t="s">
        <v>772</v>
      </c>
      <c r="M642" s="392"/>
      <c r="N642" s="393" t="s">
        <v>44</v>
      </c>
      <c r="O642" s="393" t="s">
        <v>289</v>
      </c>
      <c r="P642" s="393" t="s">
        <v>289</v>
      </c>
      <c r="Q642" s="392" t="s">
        <v>721</v>
      </c>
      <c r="R642" s="392" t="s">
        <v>6679</v>
      </c>
      <c r="S642" s="392" t="s">
        <v>291</v>
      </c>
      <c r="T642" s="394">
        <v>1</v>
      </c>
      <c r="U642" s="395">
        <v>8.8840000000000003</v>
      </c>
      <c r="V642" s="395"/>
      <c r="W642" s="453"/>
      <c r="X642" s="394"/>
      <c r="Y642" s="394">
        <v>7</v>
      </c>
      <c r="Z642" s="394">
        <v>30</v>
      </c>
      <c r="AA642" s="395">
        <v>0</v>
      </c>
      <c r="AB642" s="452">
        <v>41685</v>
      </c>
      <c r="AC642" s="398"/>
      <c r="AD642" s="398">
        <v>61.117052054794527</v>
      </c>
      <c r="AE642" s="393" t="s">
        <v>397</v>
      </c>
      <c r="AF642" s="417"/>
      <c r="AG642" s="417">
        <v>0</v>
      </c>
      <c r="AH642" s="417">
        <f>SUM(AF642:AG642)</f>
        <v>0</v>
      </c>
      <c r="AI642" s="394"/>
      <c r="AJ642" s="453">
        <v>42976</v>
      </c>
      <c r="AK642" s="453">
        <v>42674</v>
      </c>
      <c r="AL642" s="393"/>
      <c r="AM642" s="393"/>
      <c r="AN642" s="417"/>
      <c r="AO642" s="428" t="s">
        <v>225</v>
      </c>
      <c r="AP642" s="392"/>
      <c r="AQ642" s="392"/>
      <c r="AR642" s="392" t="s">
        <v>772</v>
      </c>
      <c r="AS642" s="479">
        <v>40731</v>
      </c>
      <c r="AT642" s="453"/>
      <c r="AU642" s="453"/>
      <c r="AV642" s="453"/>
      <c r="AW642" s="453"/>
      <c r="AX642" s="453"/>
      <c r="AY642" s="453"/>
      <c r="AZ642" s="452">
        <v>41986</v>
      </c>
      <c r="BA642" s="393"/>
      <c r="BB642" s="393"/>
      <c r="BC642" s="393" t="b">
        <v>0</v>
      </c>
      <c r="BD642" s="393"/>
      <c r="BE642" s="392"/>
      <c r="BF642" s="394">
        <v>5</v>
      </c>
      <c r="BG642" s="394">
        <v>9</v>
      </c>
      <c r="BH642" s="394">
        <v>12</v>
      </c>
      <c r="BI642" s="394">
        <v>10</v>
      </c>
      <c r="BJ642" s="394">
        <v>11</v>
      </c>
      <c r="BK642" s="394"/>
      <c r="BL642" s="444" t="s">
        <v>6985</v>
      </c>
      <c r="BM642" s="392"/>
      <c r="BN642" s="393"/>
      <c r="BO642" s="393"/>
      <c r="BP642" s="399"/>
      <c r="BQ642" s="400"/>
      <c r="BR642" s="401"/>
      <c r="BS642" s="399">
        <v>3.39</v>
      </c>
      <c r="BT642" s="394">
        <v>17027</v>
      </c>
      <c r="BU642" s="417">
        <v>0.61016000000000004</v>
      </c>
      <c r="BV642" s="399"/>
      <c r="BW642" s="393" t="s">
        <v>3117</v>
      </c>
      <c r="BX642" s="392" t="s">
        <v>1447</v>
      </c>
      <c r="BY642" s="393"/>
      <c r="BZ642" s="393"/>
      <c r="CA642" s="441" t="s">
        <v>1662</v>
      </c>
      <c r="CB642" s="400"/>
      <c r="CC642" s="398"/>
      <c r="CD642" s="398"/>
      <c r="CE642" s="398"/>
      <c r="CF642" s="398"/>
      <c r="CG642" s="398"/>
      <c r="CH642" s="398"/>
      <c r="CI642" s="398"/>
      <c r="CJ642" s="398"/>
      <c r="CK642" s="398">
        <v>7.0330000000000004</v>
      </c>
      <c r="CL642" s="398">
        <v>8.8840000000000003</v>
      </c>
      <c r="CM642" s="398">
        <v>8.8840000000000003</v>
      </c>
      <c r="CN642" s="398">
        <v>8.8840000000000003</v>
      </c>
      <c r="CO642" s="398">
        <v>8.8840000000000003</v>
      </c>
      <c r="CP642" s="398">
        <v>8.8840000000000003</v>
      </c>
      <c r="CQ642" s="398">
        <v>8.8840000000000003</v>
      </c>
      <c r="CR642" s="398">
        <v>1.85</v>
      </c>
      <c r="CS642" s="398"/>
      <c r="CT642" s="398"/>
      <c r="CU642" s="398"/>
      <c r="CV642" s="398"/>
      <c r="CW642" s="398"/>
      <c r="CX642" s="398"/>
      <c r="CY642" s="398"/>
      <c r="CZ642" s="398"/>
      <c r="DA642" s="398"/>
      <c r="DB642" s="398"/>
      <c r="DC642" s="398"/>
      <c r="DD642" s="398"/>
      <c r="DE642" s="393"/>
      <c r="DF642" s="393"/>
      <c r="DG642" s="393"/>
      <c r="DH642" s="393"/>
      <c r="DI642" s="393"/>
      <c r="DJ642" s="393"/>
      <c r="DK642" s="897"/>
    </row>
    <row r="643" spans="1:115" ht="25.5" x14ac:dyDescent="0.2">
      <c r="A643" s="295">
        <v>639</v>
      </c>
      <c r="B643" s="449" t="s">
        <v>7310</v>
      </c>
      <c r="C643" s="449"/>
      <c r="D643" s="474" t="s">
        <v>7311</v>
      </c>
      <c r="E643" s="705" t="s">
        <v>7312</v>
      </c>
      <c r="F643" s="475" t="s">
        <v>1340</v>
      </c>
      <c r="G643" s="475" t="s">
        <v>1677</v>
      </c>
      <c r="H643" s="475" t="s">
        <v>667</v>
      </c>
      <c r="I643" s="392"/>
      <c r="J643" s="392"/>
      <c r="K643" s="428" t="s">
        <v>2159</v>
      </c>
      <c r="L643" s="428" t="s">
        <v>7313</v>
      </c>
      <c r="M643" s="392"/>
      <c r="N643" s="475" t="s">
        <v>44</v>
      </c>
      <c r="O643" s="475" t="s">
        <v>289</v>
      </c>
      <c r="P643" s="475" t="s">
        <v>289</v>
      </c>
      <c r="Q643" s="428" t="s">
        <v>721</v>
      </c>
      <c r="R643" s="428" t="s">
        <v>7314</v>
      </c>
      <c r="S643" s="428" t="s">
        <v>291</v>
      </c>
      <c r="T643" s="394">
        <v>1</v>
      </c>
      <c r="U643" s="395">
        <v>49.353000000000002</v>
      </c>
      <c r="V643" s="395"/>
      <c r="W643" s="453"/>
      <c r="X643" s="394"/>
      <c r="Y643" s="394">
        <v>7</v>
      </c>
      <c r="Z643" s="394">
        <v>30</v>
      </c>
      <c r="AA643" s="395">
        <v>0</v>
      </c>
      <c r="AB643" s="452">
        <v>42644</v>
      </c>
      <c r="AC643" s="398"/>
      <c r="AD643" s="398">
        <v>209.85166027397261</v>
      </c>
      <c r="AE643" s="475" t="s">
        <v>397</v>
      </c>
      <c r="AF643" s="417"/>
      <c r="AG643" s="417"/>
      <c r="AH643" s="417">
        <f>SUM(AF643:AG643)</f>
        <v>0</v>
      </c>
      <c r="AI643" s="394"/>
      <c r="AJ643" s="453"/>
      <c r="AK643" s="453"/>
      <c r="AL643" s="393"/>
      <c r="AM643" s="393"/>
      <c r="AN643" s="417"/>
      <c r="AO643" s="392"/>
      <c r="AP643" s="428"/>
      <c r="AQ643" s="428"/>
      <c r="AR643" s="392" t="s">
        <v>7316</v>
      </c>
      <c r="AS643" s="479">
        <v>40731</v>
      </c>
      <c r="AT643" s="453"/>
      <c r="AU643" s="453"/>
      <c r="AV643" s="453"/>
      <c r="AW643" s="453"/>
      <c r="AX643" s="453"/>
      <c r="AY643" s="453"/>
      <c r="AZ643" s="452">
        <v>42307</v>
      </c>
      <c r="BA643" s="393"/>
      <c r="BB643" s="393"/>
      <c r="BC643" s="393" t="b">
        <v>0</v>
      </c>
      <c r="BD643" s="393"/>
      <c r="BE643" s="392"/>
      <c r="BF643" s="394">
        <v>5</v>
      </c>
      <c r="BG643" s="394">
        <v>9</v>
      </c>
      <c r="BH643" s="394">
        <v>12</v>
      </c>
      <c r="BI643" s="394">
        <v>10</v>
      </c>
      <c r="BJ643" s="394">
        <v>11</v>
      </c>
      <c r="BK643" s="394"/>
      <c r="BL643" s="444" t="s">
        <v>6985</v>
      </c>
      <c r="BM643" s="392"/>
      <c r="BN643" s="393"/>
      <c r="BO643" s="393"/>
      <c r="BP643" s="399"/>
      <c r="BQ643" s="400"/>
      <c r="BR643" s="401"/>
      <c r="BS643" s="399">
        <v>13.2</v>
      </c>
      <c r="BT643" s="394">
        <v>81760</v>
      </c>
      <c r="BU643" s="417">
        <v>0.60973999999999995</v>
      </c>
      <c r="BV643" s="399"/>
      <c r="BW643" s="475" t="s">
        <v>3117</v>
      </c>
      <c r="BX643" s="428" t="s">
        <v>1447</v>
      </c>
      <c r="BY643" s="393"/>
      <c r="BZ643" s="393"/>
      <c r="CA643" s="476" t="s">
        <v>1662</v>
      </c>
      <c r="CB643" s="400"/>
      <c r="CC643" s="398"/>
      <c r="CD643" s="398"/>
      <c r="CE643" s="398"/>
      <c r="CF643" s="398"/>
      <c r="CG643" s="398"/>
      <c r="CH643" s="398"/>
      <c r="CI643" s="398"/>
      <c r="CJ643" s="398"/>
      <c r="CK643" s="398"/>
      <c r="CL643" s="398">
        <v>12.33839</v>
      </c>
      <c r="CM643" s="398">
        <v>49.353549999999998</v>
      </c>
      <c r="CN643" s="398">
        <v>49.353549999999998</v>
      </c>
      <c r="CO643" s="398">
        <v>49.353549999999998</v>
      </c>
      <c r="CP643" s="398">
        <v>49.353549999999998</v>
      </c>
      <c r="CQ643" s="398">
        <v>49.353549999999998</v>
      </c>
      <c r="CR643" s="398">
        <v>49.353549999999998</v>
      </c>
      <c r="CS643" s="398">
        <v>37.015160000000002</v>
      </c>
      <c r="CT643" s="398"/>
      <c r="CU643" s="398"/>
      <c r="CV643" s="398"/>
      <c r="CW643" s="398"/>
      <c r="CX643" s="398"/>
      <c r="CY643" s="398"/>
      <c r="CZ643" s="398"/>
      <c r="DA643" s="398"/>
      <c r="DB643" s="398"/>
      <c r="DC643" s="398"/>
      <c r="DD643" s="398"/>
      <c r="DE643" s="393"/>
      <c r="DF643" s="393"/>
      <c r="DG643" s="393"/>
      <c r="DH643" s="393"/>
      <c r="DI643" s="393"/>
      <c r="DJ643" s="393"/>
      <c r="DK643" s="897"/>
    </row>
    <row r="644" spans="1:115" ht="51" x14ac:dyDescent="0.2">
      <c r="A644" s="295">
        <v>640</v>
      </c>
      <c r="B644" s="390" t="s">
        <v>943</v>
      </c>
      <c r="C644" s="424" t="s">
        <v>7521</v>
      </c>
      <c r="D644" s="391" t="s">
        <v>5084</v>
      </c>
      <c r="E644" s="704" t="s">
        <v>944</v>
      </c>
      <c r="F644" s="393" t="s">
        <v>1375</v>
      </c>
      <c r="G644" s="393" t="s">
        <v>1361</v>
      </c>
      <c r="H644" s="393" t="s">
        <v>137</v>
      </c>
      <c r="I644" s="392"/>
      <c r="J644" s="392" t="s">
        <v>137</v>
      </c>
      <c r="K644" s="392"/>
      <c r="L644" s="392" t="s">
        <v>945</v>
      </c>
      <c r="M644" s="392" t="s">
        <v>3157</v>
      </c>
      <c r="N644" s="393" t="s">
        <v>44</v>
      </c>
      <c r="O644" s="393" t="s">
        <v>827</v>
      </c>
      <c r="P644" s="393" t="s">
        <v>827</v>
      </c>
      <c r="Q644" s="392" t="s">
        <v>923</v>
      </c>
      <c r="R644" s="392"/>
      <c r="S644" s="392" t="s">
        <v>946</v>
      </c>
      <c r="T644" s="394">
        <v>1</v>
      </c>
      <c r="U644" s="395">
        <v>20.37</v>
      </c>
      <c r="V644" s="395"/>
      <c r="W644" s="452">
        <v>40233</v>
      </c>
      <c r="X644" s="394">
        <v>28</v>
      </c>
      <c r="Y644" s="394"/>
      <c r="Z644" s="394"/>
      <c r="AA644" s="395"/>
      <c r="AB644" s="453"/>
      <c r="AC644" s="398">
        <v>6.7830000000000004</v>
      </c>
      <c r="AD644" s="398">
        <v>203.70000000000002</v>
      </c>
      <c r="AE644" s="393" t="s">
        <v>355</v>
      </c>
      <c r="AF644" s="417"/>
      <c r="AG644" s="417"/>
      <c r="AH644" s="417">
        <v>0</v>
      </c>
      <c r="AI644" s="394"/>
      <c r="AJ644" s="453"/>
      <c r="AK644" s="453"/>
      <c r="AL644" s="393"/>
      <c r="AM644" s="393"/>
      <c r="AN644" s="417"/>
      <c r="AO644" s="392"/>
      <c r="AP644" s="392" t="s">
        <v>7072</v>
      </c>
      <c r="AQ644" s="392"/>
      <c r="AR644" s="392" t="s">
        <v>947</v>
      </c>
      <c r="AS644" s="479">
        <v>40733</v>
      </c>
      <c r="AT644" s="453"/>
      <c r="AU644" s="453"/>
      <c r="AV644" s="452">
        <v>40969</v>
      </c>
      <c r="AW644" s="452">
        <v>41036</v>
      </c>
      <c r="AX644" s="452">
        <v>41166</v>
      </c>
      <c r="AY644" s="452">
        <v>41115</v>
      </c>
      <c r="AZ644" s="453"/>
      <c r="BA644" s="393"/>
      <c r="BB644" s="393" t="s">
        <v>3116</v>
      </c>
      <c r="BC644" s="393" t="b">
        <v>0</v>
      </c>
      <c r="BD644" s="393" t="s">
        <v>3147</v>
      </c>
      <c r="BE644" s="392"/>
      <c r="BF644" s="394">
        <v>1</v>
      </c>
      <c r="BG644" s="394">
        <v>3</v>
      </c>
      <c r="BH644" s="394">
        <v>4</v>
      </c>
      <c r="BI644" s="394">
        <v>5</v>
      </c>
      <c r="BJ644" s="394">
        <v>8</v>
      </c>
      <c r="BK644" s="394">
        <v>7</v>
      </c>
      <c r="BL644" s="444"/>
      <c r="BM644" s="392"/>
      <c r="BN644" s="393"/>
      <c r="BO644" s="393"/>
      <c r="BP644" s="399"/>
      <c r="BQ644" s="400"/>
      <c r="BR644" s="401"/>
      <c r="BS644" s="399">
        <v>0</v>
      </c>
      <c r="BT644" s="394"/>
      <c r="BU644" s="417"/>
      <c r="BV644" s="399"/>
      <c r="BW644" s="393"/>
      <c r="BX644" s="392"/>
      <c r="BY644" s="475" t="s">
        <v>7224</v>
      </c>
      <c r="BZ644" s="393"/>
      <c r="CA644" s="441"/>
      <c r="CB644" s="400"/>
      <c r="CC644" s="398"/>
      <c r="CD644" s="398"/>
      <c r="CE644" s="398"/>
      <c r="CF644" s="398"/>
      <c r="CG644" s="398"/>
      <c r="CH644" s="398"/>
      <c r="CI644" s="398"/>
      <c r="CJ644" s="398"/>
      <c r="CK644" s="398"/>
      <c r="CL644" s="398"/>
      <c r="CM644" s="398"/>
      <c r="CN644" s="398"/>
      <c r="CO644" s="398"/>
      <c r="CP644" s="398"/>
      <c r="CQ644" s="398"/>
      <c r="CR644" s="398"/>
      <c r="CS644" s="398"/>
      <c r="CT644" s="398"/>
      <c r="CU644" s="398"/>
      <c r="CV644" s="398"/>
      <c r="CW644" s="398"/>
      <c r="CX644" s="398"/>
      <c r="CY644" s="398"/>
      <c r="CZ644" s="398"/>
      <c r="DA644" s="398"/>
      <c r="DB644" s="398"/>
      <c r="DC644" s="398"/>
      <c r="DD644" s="398"/>
      <c r="DE644" s="393"/>
      <c r="DF644" s="393"/>
      <c r="DG644" s="393"/>
      <c r="DH644" s="393"/>
      <c r="DI644" s="393"/>
      <c r="DJ644" s="393"/>
      <c r="DK644" s="896" t="s">
        <v>9701</v>
      </c>
    </row>
    <row r="645" spans="1:115" ht="51" x14ac:dyDescent="0.2">
      <c r="A645" s="295">
        <v>641</v>
      </c>
      <c r="B645" s="390" t="s">
        <v>2693</v>
      </c>
      <c r="C645" s="390"/>
      <c r="D645" s="391" t="s">
        <v>3158</v>
      </c>
      <c r="E645" s="704" t="s">
        <v>948</v>
      </c>
      <c r="F645" s="393" t="s">
        <v>1375</v>
      </c>
      <c r="G645" s="393" t="s">
        <v>1361</v>
      </c>
      <c r="H645" s="393" t="s">
        <v>137</v>
      </c>
      <c r="I645" s="392"/>
      <c r="J645" s="392"/>
      <c r="K645" s="392" t="s">
        <v>2160</v>
      </c>
      <c r="L645" s="392" t="s">
        <v>945</v>
      </c>
      <c r="M645" s="392"/>
      <c r="N645" s="393" t="s">
        <v>44</v>
      </c>
      <c r="O645" s="393" t="s">
        <v>827</v>
      </c>
      <c r="P645" s="393" t="s">
        <v>827</v>
      </c>
      <c r="Q645" s="392" t="s">
        <v>923</v>
      </c>
      <c r="R645" s="392" t="s">
        <v>3159</v>
      </c>
      <c r="S645" s="392" t="s">
        <v>946</v>
      </c>
      <c r="T645" s="394">
        <v>1</v>
      </c>
      <c r="U645" s="395">
        <v>20.37</v>
      </c>
      <c r="V645" s="395"/>
      <c r="W645" s="453"/>
      <c r="X645" s="394"/>
      <c r="Y645" s="394">
        <v>10</v>
      </c>
      <c r="Z645" s="394">
        <v>15</v>
      </c>
      <c r="AA645" s="395">
        <v>3</v>
      </c>
      <c r="AB645" s="452">
        <v>41153</v>
      </c>
      <c r="AC645" s="398">
        <v>6.7830000000000004</v>
      </c>
      <c r="AD645" s="398">
        <v>203.70000000000002</v>
      </c>
      <c r="AE645" s="393" t="s">
        <v>355</v>
      </c>
      <c r="AF645" s="417"/>
      <c r="AG645" s="417"/>
      <c r="AH645" s="417"/>
      <c r="AI645" s="394"/>
      <c r="AJ645" s="453"/>
      <c r="AK645" s="453"/>
      <c r="AL645" s="393"/>
      <c r="AM645" s="393"/>
      <c r="AN645" s="417"/>
      <c r="AO645" s="392"/>
      <c r="AP645" s="392" t="s">
        <v>7072</v>
      </c>
      <c r="AQ645" s="392"/>
      <c r="AR645" s="392" t="s">
        <v>947</v>
      </c>
      <c r="AS645" s="479">
        <v>40733</v>
      </c>
      <c r="AT645" s="453"/>
      <c r="AU645" s="453"/>
      <c r="AV645" s="453"/>
      <c r="AW645" s="453"/>
      <c r="AX645" s="453"/>
      <c r="AY645" s="453"/>
      <c r="AZ645" s="452">
        <v>41115</v>
      </c>
      <c r="BA645" s="393"/>
      <c r="BB645" s="393"/>
      <c r="BC645" s="393" t="b">
        <v>0</v>
      </c>
      <c r="BD645" s="393"/>
      <c r="BE645" s="392"/>
      <c r="BF645" s="394">
        <v>1</v>
      </c>
      <c r="BG645" s="394">
        <v>3</v>
      </c>
      <c r="BH645" s="394">
        <v>4</v>
      </c>
      <c r="BI645" s="394">
        <v>5</v>
      </c>
      <c r="BJ645" s="394">
        <v>8</v>
      </c>
      <c r="BK645" s="394">
        <v>7</v>
      </c>
      <c r="BL645" s="444" t="s">
        <v>6981</v>
      </c>
      <c r="BM645" s="392"/>
      <c r="BN645" s="393"/>
      <c r="BO645" s="393"/>
      <c r="BP645" s="399"/>
      <c r="BQ645" s="400"/>
      <c r="BR645" s="401"/>
      <c r="BS645" s="399"/>
      <c r="BT645" s="394"/>
      <c r="BU645" s="417">
        <v>0.9798</v>
      </c>
      <c r="BV645" s="399">
        <v>23</v>
      </c>
      <c r="BW645" s="393" t="s">
        <v>3117</v>
      </c>
      <c r="BX645" s="392" t="s">
        <v>3160</v>
      </c>
      <c r="BY645" s="475" t="s">
        <v>7224</v>
      </c>
      <c r="BZ645" s="393"/>
      <c r="CA645" s="441"/>
      <c r="CB645" s="400"/>
      <c r="CC645" s="398"/>
      <c r="CD645" s="398"/>
      <c r="CE645" s="398"/>
      <c r="CF645" s="398"/>
      <c r="CG645" s="398"/>
      <c r="CH645" s="398">
        <v>6.9880000000000004</v>
      </c>
      <c r="CI645" s="398">
        <v>16.771000000000001</v>
      </c>
      <c r="CJ645" s="398">
        <v>25.157</v>
      </c>
      <c r="CK645" s="398">
        <v>27.952000000000002</v>
      </c>
      <c r="CL645" s="398">
        <v>27.952000000000002</v>
      </c>
      <c r="CM645" s="398">
        <v>27.952000000000002</v>
      </c>
      <c r="CN645" s="398">
        <v>27.952000000000002</v>
      </c>
      <c r="CO645" s="398">
        <v>27.952000000000002</v>
      </c>
      <c r="CP645" s="398">
        <v>27.952000000000002</v>
      </c>
      <c r="CQ645" s="398">
        <v>27.952000000000002</v>
      </c>
      <c r="CR645" s="398"/>
      <c r="CS645" s="398"/>
      <c r="CT645" s="398"/>
      <c r="CU645" s="398"/>
      <c r="CV645" s="398"/>
      <c r="CW645" s="398"/>
      <c r="CX645" s="398"/>
      <c r="CY645" s="398"/>
      <c r="CZ645" s="398"/>
      <c r="DA645" s="398"/>
      <c r="DB645" s="398"/>
      <c r="DC645" s="398"/>
      <c r="DD645" s="398"/>
      <c r="DE645" s="393"/>
      <c r="DF645" s="393"/>
      <c r="DG645" s="393"/>
      <c r="DH645" s="393"/>
      <c r="DI645" s="393"/>
      <c r="DJ645" s="393"/>
      <c r="DK645" s="897"/>
    </row>
    <row r="646" spans="1:115" ht="38.25" x14ac:dyDescent="0.2">
      <c r="A646" s="295">
        <v>642</v>
      </c>
      <c r="B646" s="390" t="s">
        <v>135</v>
      </c>
      <c r="C646" s="424" t="s">
        <v>7522</v>
      </c>
      <c r="D646" s="391" t="s">
        <v>5259</v>
      </c>
      <c r="E646" s="704" t="s">
        <v>136</v>
      </c>
      <c r="F646" s="393" t="s">
        <v>1375</v>
      </c>
      <c r="G646" s="393" t="s">
        <v>1361</v>
      </c>
      <c r="H646" s="393" t="s">
        <v>137</v>
      </c>
      <c r="I646" s="392"/>
      <c r="J646" s="392" t="s">
        <v>137</v>
      </c>
      <c r="K646" s="392"/>
      <c r="L646" s="392" t="s">
        <v>138</v>
      </c>
      <c r="M646" s="392" t="s">
        <v>3161</v>
      </c>
      <c r="N646" s="393" t="s">
        <v>44</v>
      </c>
      <c r="O646" s="393" t="s">
        <v>139</v>
      </c>
      <c r="P646" s="393" t="s">
        <v>139</v>
      </c>
      <c r="Q646" s="392" t="s">
        <v>140</v>
      </c>
      <c r="R646" s="392"/>
      <c r="S646" s="392" t="s">
        <v>141</v>
      </c>
      <c r="T646" s="394">
        <v>1</v>
      </c>
      <c r="U646" s="395">
        <v>4.742</v>
      </c>
      <c r="V646" s="395"/>
      <c r="W646" s="452">
        <v>41306</v>
      </c>
      <c r="X646" s="394">
        <v>28</v>
      </c>
      <c r="Y646" s="394"/>
      <c r="Z646" s="394"/>
      <c r="AA646" s="395"/>
      <c r="AB646" s="453"/>
      <c r="AC646" s="398">
        <v>0</v>
      </c>
      <c r="AD646" s="398">
        <v>47.42</v>
      </c>
      <c r="AE646" s="393" t="s">
        <v>133</v>
      </c>
      <c r="AF646" s="417"/>
      <c r="AG646" s="417"/>
      <c r="AH646" s="417">
        <v>0</v>
      </c>
      <c r="AI646" s="394"/>
      <c r="AJ646" s="453"/>
      <c r="AK646" s="453"/>
      <c r="AL646" s="393"/>
      <c r="AM646" s="393"/>
      <c r="AN646" s="417"/>
      <c r="AO646" s="392"/>
      <c r="AP646" s="392" t="s">
        <v>55</v>
      </c>
      <c r="AQ646" s="392"/>
      <c r="AR646" s="392" t="s">
        <v>138</v>
      </c>
      <c r="AS646" s="479">
        <v>40736</v>
      </c>
      <c r="AT646" s="453"/>
      <c r="AU646" s="453"/>
      <c r="AV646" s="452">
        <v>41213</v>
      </c>
      <c r="AW646" s="452">
        <v>41274</v>
      </c>
      <c r="AX646" s="452">
        <v>41467</v>
      </c>
      <c r="AY646" s="452">
        <v>41274</v>
      </c>
      <c r="AZ646" s="453"/>
      <c r="BA646" s="393"/>
      <c r="BB646" s="393" t="s">
        <v>3147</v>
      </c>
      <c r="BC646" s="393" t="b">
        <v>0</v>
      </c>
      <c r="BD646" s="393" t="s">
        <v>3147</v>
      </c>
      <c r="BE646" s="392"/>
      <c r="BF646" s="394">
        <v>1</v>
      </c>
      <c r="BG646" s="394">
        <v>3</v>
      </c>
      <c r="BH646" s="394">
        <v>10</v>
      </c>
      <c r="BI646" s="394">
        <v>11</v>
      </c>
      <c r="BJ646" s="394">
        <v>5</v>
      </c>
      <c r="BK646" s="394"/>
      <c r="BL646" s="444"/>
      <c r="BM646" s="392"/>
      <c r="BN646" s="393"/>
      <c r="BO646" s="393"/>
      <c r="BP646" s="399"/>
      <c r="BQ646" s="400"/>
      <c r="BR646" s="401"/>
      <c r="BS646" s="399">
        <v>2.1259999999999999</v>
      </c>
      <c r="BT646" s="394"/>
      <c r="BU646" s="417"/>
      <c r="BV646" s="399"/>
      <c r="BW646" s="393"/>
      <c r="BX646" s="392"/>
      <c r="BY646" s="393"/>
      <c r="BZ646" s="393"/>
      <c r="CA646" s="441"/>
      <c r="CB646" s="400"/>
      <c r="CC646" s="398"/>
      <c r="CD646" s="398"/>
      <c r="CE646" s="398"/>
      <c r="CF646" s="398"/>
      <c r="CG646" s="398"/>
      <c r="CH646" s="398"/>
      <c r="CI646" s="398"/>
      <c r="CJ646" s="398"/>
      <c r="CK646" s="398"/>
      <c r="CL646" s="398"/>
      <c r="CM646" s="398"/>
      <c r="CN646" s="398"/>
      <c r="CO646" s="398"/>
      <c r="CP646" s="398"/>
      <c r="CQ646" s="398"/>
      <c r="CR646" s="398"/>
      <c r="CS646" s="398"/>
      <c r="CT646" s="398"/>
      <c r="CU646" s="398"/>
      <c r="CV646" s="398"/>
      <c r="CW646" s="398"/>
      <c r="CX646" s="398"/>
      <c r="CY646" s="398"/>
      <c r="CZ646" s="398"/>
      <c r="DA646" s="398"/>
      <c r="DB646" s="398"/>
      <c r="DC646" s="398"/>
      <c r="DD646" s="398"/>
      <c r="DE646" s="393"/>
      <c r="DF646" s="393"/>
      <c r="DG646" s="393"/>
      <c r="DH646" s="393"/>
      <c r="DI646" s="393"/>
      <c r="DJ646" s="393"/>
      <c r="DK646" s="896" t="s">
        <v>9700</v>
      </c>
    </row>
    <row r="647" spans="1:115" ht="51" x14ac:dyDescent="0.2">
      <c r="A647" s="295">
        <v>643</v>
      </c>
      <c r="B647" s="390" t="s">
        <v>2694</v>
      </c>
      <c r="C647" s="390"/>
      <c r="D647" s="391" t="s">
        <v>5260</v>
      </c>
      <c r="E647" s="704" t="s">
        <v>142</v>
      </c>
      <c r="F647" s="393" t="s">
        <v>1375</v>
      </c>
      <c r="G647" s="393" t="s">
        <v>1361</v>
      </c>
      <c r="H647" s="393" t="s">
        <v>137</v>
      </c>
      <c r="I647" s="392"/>
      <c r="J647" s="392"/>
      <c r="K647" s="392" t="s">
        <v>2161</v>
      </c>
      <c r="L647" s="392" t="s">
        <v>138</v>
      </c>
      <c r="M647" s="392"/>
      <c r="N647" s="393" t="s">
        <v>44</v>
      </c>
      <c r="O647" s="393" t="s">
        <v>139</v>
      </c>
      <c r="P647" s="393" t="s">
        <v>139</v>
      </c>
      <c r="Q647" s="392" t="s">
        <v>140</v>
      </c>
      <c r="R647" s="392" t="s">
        <v>3162</v>
      </c>
      <c r="S647" s="392" t="s">
        <v>141</v>
      </c>
      <c r="T647" s="394">
        <v>1</v>
      </c>
      <c r="U647" s="395">
        <v>4.742</v>
      </c>
      <c r="V647" s="395"/>
      <c r="W647" s="453"/>
      <c r="X647" s="394"/>
      <c r="Y647" s="394">
        <v>10</v>
      </c>
      <c r="Z647" s="394">
        <v>10</v>
      </c>
      <c r="AA647" s="395">
        <v>0</v>
      </c>
      <c r="AB647" s="452">
        <v>41640</v>
      </c>
      <c r="AC647" s="398">
        <v>0</v>
      </c>
      <c r="AD647" s="398">
        <v>47.42</v>
      </c>
      <c r="AE647" s="393" t="s">
        <v>133</v>
      </c>
      <c r="AF647" s="417"/>
      <c r="AG647" s="417"/>
      <c r="AH647" s="417"/>
      <c r="AI647" s="394"/>
      <c r="AJ647" s="453"/>
      <c r="AK647" s="453"/>
      <c r="AL647" s="393"/>
      <c r="AM647" s="393"/>
      <c r="AN647" s="417"/>
      <c r="AO647" s="392"/>
      <c r="AP647" s="392" t="s">
        <v>55</v>
      </c>
      <c r="AQ647" s="392"/>
      <c r="AR647" s="392" t="s">
        <v>138</v>
      </c>
      <c r="AS647" s="479">
        <v>40736</v>
      </c>
      <c r="AT647" s="453"/>
      <c r="AU647" s="453"/>
      <c r="AV647" s="453"/>
      <c r="AW647" s="453"/>
      <c r="AX647" s="453"/>
      <c r="AY647" s="453"/>
      <c r="AZ647" s="452">
        <v>41274</v>
      </c>
      <c r="BA647" s="393"/>
      <c r="BB647" s="393"/>
      <c r="BC647" s="393" t="b">
        <v>0</v>
      </c>
      <c r="BD647" s="393"/>
      <c r="BE647" s="392"/>
      <c r="BF647" s="394">
        <v>1</v>
      </c>
      <c r="BG647" s="394">
        <v>3</v>
      </c>
      <c r="BH647" s="394">
        <v>10</v>
      </c>
      <c r="BI647" s="394">
        <v>11</v>
      </c>
      <c r="BJ647" s="394">
        <v>5</v>
      </c>
      <c r="BK647" s="394"/>
      <c r="BL647" s="444" t="s">
        <v>6982</v>
      </c>
      <c r="BM647" s="392"/>
      <c r="BN647" s="393"/>
      <c r="BO647" s="393"/>
      <c r="BP647" s="399"/>
      <c r="BQ647" s="400"/>
      <c r="BR647" s="401"/>
      <c r="BS647" s="399">
        <v>2.1259999999999999</v>
      </c>
      <c r="BT647" s="394">
        <v>18642</v>
      </c>
      <c r="BU647" s="417">
        <v>0.9</v>
      </c>
      <c r="BV647" s="399"/>
      <c r="BW647" s="393" t="s">
        <v>3117</v>
      </c>
      <c r="BX647" s="392" t="s">
        <v>3160</v>
      </c>
      <c r="BY647" s="393"/>
      <c r="BZ647" s="393"/>
      <c r="CA647" s="441"/>
      <c r="CB647" s="400"/>
      <c r="CC647" s="398"/>
      <c r="CD647" s="398"/>
      <c r="CE647" s="398"/>
      <c r="CF647" s="398"/>
      <c r="CG647" s="398"/>
      <c r="CH647" s="398"/>
      <c r="CI647" s="398"/>
      <c r="CJ647" s="398">
        <v>4.742</v>
      </c>
      <c r="CK647" s="398">
        <v>4.742</v>
      </c>
      <c r="CL647" s="398">
        <v>4.742</v>
      </c>
      <c r="CM647" s="398">
        <v>4.742</v>
      </c>
      <c r="CN647" s="398">
        <v>4.742</v>
      </c>
      <c r="CO647" s="398">
        <v>4.742</v>
      </c>
      <c r="CP647" s="398">
        <v>4.742</v>
      </c>
      <c r="CQ647" s="398">
        <v>4.742</v>
      </c>
      <c r="CR647" s="398">
        <v>4.742</v>
      </c>
      <c r="CS647" s="398">
        <v>4.742</v>
      </c>
      <c r="CT647" s="398"/>
      <c r="CU647" s="398"/>
      <c r="CV647" s="398"/>
      <c r="CW647" s="398"/>
      <c r="CX647" s="398"/>
      <c r="CY647" s="398"/>
      <c r="CZ647" s="398"/>
      <c r="DA647" s="398"/>
      <c r="DB647" s="398"/>
      <c r="DC647" s="398"/>
      <c r="DD647" s="398"/>
      <c r="DE647" s="393"/>
      <c r="DF647" s="393"/>
      <c r="DG647" s="393"/>
      <c r="DH647" s="393"/>
      <c r="DI647" s="393"/>
      <c r="DJ647" s="393"/>
      <c r="DK647" s="897"/>
    </row>
    <row r="648" spans="1:115" ht="63.75" x14ac:dyDescent="0.2">
      <c r="A648" s="295">
        <v>644</v>
      </c>
      <c r="B648" s="390" t="s">
        <v>31</v>
      </c>
      <c r="C648" s="424" t="s">
        <v>7523</v>
      </c>
      <c r="D648" s="391"/>
      <c r="E648" s="707" t="s">
        <v>32</v>
      </c>
      <c r="F648" s="404" t="s">
        <v>1352</v>
      </c>
      <c r="G648" s="404" t="s">
        <v>1672</v>
      </c>
      <c r="H648" s="404" t="s">
        <v>632</v>
      </c>
      <c r="I648" s="403"/>
      <c r="J648" s="403" t="s">
        <v>632</v>
      </c>
      <c r="K648" s="403"/>
      <c r="L648" s="403" t="s">
        <v>4077</v>
      </c>
      <c r="M648" s="403" t="s">
        <v>3163</v>
      </c>
      <c r="N648" s="404" t="s">
        <v>3142</v>
      </c>
      <c r="O648" s="404" t="s">
        <v>34</v>
      </c>
      <c r="P648" s="404" t="s">
        <v>34</v>
      </c>
      <c r="Q648" s="403" t="s">
        <v>35</v>
      </c>
      <c r="R648" s="403"/>
      <c r="S648" s="403" t="s">
        <v>36</v>
      </c>
      <c r="T648" s="405">
        <v>1</v>
      </c>
      <c r="U648" s="406">
        <v>6.3E-2</v>
      </c>
      <c r="V648" s="406"/>
      <c r="W648" s="456">
        <v>40736</v>
      </c>
      <c r="X648" s="405">
        <v>28</v>
      </c>
      <c r="Y648" s="405"/>
      <c r="Z648" s="405"/>
      <c r="AA648" s="406"/>
      <c r="AB648" s="455"/>
      <c r="AC648" s="407">
        <v>0.06</v>
      </c>
      <c r="AD648" s="407">
        <v>0.63</v>
      </c>
      <c r="AE648" s="404" t="s">
        <v>37</v>
      </c>
      <c r="AF648" s="418"/>
      <c r="AG648" s="418"/>
      <c r="AH648" s="418">
        <v>0</v>
      </c>
      <c r="AI648" s="405"/>
      <c r="AJ648" s="455"/>
      <c r="AK648" s="455"/>
      <c r="AL648" s="404"/>
      <c r="AM648" s="404"/>
      <c r="AN648" s="418"/>
      <c r="AO648" s="403"/>
      <c r="AP648" s="403" t="s">
        <v>7055</v>
      </c>
      <c r="AQ648" s="403"/>
      <c r="AR648" s="403" t="s">
        <v>38</v>
      </c>
      <c r="AS648" s="482">
        <v>40736</v>
      </c>
      <c r="AT648" s="455"/>
      <c r="AU648" s="455"/>
      <c r="AV648" s="455"/>
      <c r="AW648" s="455"/>
      <c r="AX648" s="455"/>
      <c r="AY648" s="455"/>
      <c r="AZ648" s="455"/>
      <c r="BA648" s="404"/>
      <c r="BB648" s="404" t="s">
        <v>3147</v>
      </c>
      <c r="BC648" s="404" t="b">
        <v>0</v>
      </c>
      <c r="BD648" s="404" t="s">
        <v>3116</v>
      </c>
      <c r="BE648" s="403"/>
      <c r="BF648" s="405">
        <v>9</v>
      </c>
      <c r="BG648" s="405">
        <v>4</v>
      </c>
      <c r="BH648" s="405">
        <v>1</v>
      </c>
      <c r="BI648" s="405"/>
      <c r="BJ648" s="405"/>
      <c r="BK648" s="405"/>
      <c r="BL648" s="446"/>
      <c r="BM648" s="403"/>
      <c r="BN648" s="404"/>
      <c r="BO648" s="404"/>
      <c r="BP648" s="408"/>
      <c r="BQ648" s="409"/>
      <c r="BR648" s="410"/>
      <c r="BS648" s="408">
        <v>0</v>
      </c>
      <c r="BT648" s="405"/>
      <c r="BU648" s="418"/>
      <c r="BV648" s="408"/>
      <c r="BW648" s="404"/>
      <c r="BX648" s="403"/>
      <c r="BY648" s="404"/>
      <c r="BZ648" s="404"/>
      <c r="CA648" s="443"/>
      <c r="CB648" s="409"/>
      <c r="CC648" s="407"/>
      <c r="CD648" s="407"/>
      <c r="CE648" s="407"/>
      <c r="CF648" s="407"/>
      <c r="CG648" s="407"/>
      <c r="CH648" s="407"/>
      <c r="CI648" s="407"/>
      <c r="CJ648" s="407"/>
      <c r="CK648" s="407"/>
      <c r="CL648" s="407"/>
      <c r="CM648" s="407"/>
      <c r="CN648" s="407"/>
      <c r="CO648" s="407"/>
      <c r="CP648" s="407"/>
      <c r="CQ648" s="407"/>
      <c r="CR648" s="407"/>
      <c r="CS648" s="407"/>
      <c r="CT648" s="407"/>
      <c r="CU648" s="407"/>
      <c r="CV648" s="407"/>
      <c r="CW648" s="407"/>
      <c r="CX648" s="407"/>
      <c r="CY648" s="407"/>
      <c r="CZ648" s="407"/>
      <c r="DA648" s="407"/>
      <c r="DB648" s="407"/>
      <c r="DC648" s="407"/>
      <c r="DD648" s="407"/>
      <c r="DE648" s="404"/>
      <c r="DF648" s="404"/>
      <c r="DG648" s="404"/>
      <c r="DH648" s="404"/>
      <c r="DI648" s="404"/>
      <c r="DJ648" s="404"/>
      <c r="DK648" s="897"/>
    </row>
    <row r="649" spans="1:115" ht="63.75" x14ac:dyDescent="0.2">
      <c r="A649" s="295">
        <v>645</v>
      </c>
      <c r="B649" s="390" t="s">
        <v>2695</v>
      </c>
      <c r="C649" s="390"/>
      <c r="D649" s="391"/>
      <c r="E649" s="707" t="s">
        <v>39</v>
      </c>
      <c r="F649" s="404" t="s">
        <v>1352</v>
      </c>
      <c r="G649" s="404" t="s">
        <v>1672</v>
      </c>
      <c r="H649" s="404" t="s">
        <v>632</v>
      </c>
      <c r="I649" s="403"/>
      <c r="J649" s="403"/>
      <c r="K649" s="403" t="s">
        <v>2162</v>
      </c>
      <c r="L649" s="403" t="s">
        <v>4077</v>
      </c>
      <c r="M649" s="403"/>
      <c r="N649" s="404" t="s">
        <v>3142</v>
      </c>
      <c r="O649" s="404" t="s">
        <v>34</v>
      </c>
      <c r="P649" s="404" t="s">
        <v>34</v>
      </c>
      <c r="Q649" s="403" t="s">
        <v>35</v>
      </c>
      <c r="R649" s="403" t="s">
        <v>3164</v>
      </c>
      <c r="S649" s="403" t="s">
        <v>36</v>
      </c>
      <c r="T649" s="405">
        <v>1</v>
      </c>
      <c r="U649" s="406">
        <v>6.3E-2</v>
      </c>
      <c r="V649" s="406"/>
      <c r="W649" s="455"/>
      <c r="X649" s="405"/>
      <c r="Y649" s="405">
        <v>10</v>
      </c>
      <c r="Z649" s="405">
        <v>7</v>
      </c>
      <c r="AA649" s="406">
        <v>2.3999999999999998E-3</v>
      </c>
      <c r="AB649" s="456">
        <v>40940</v>
      </c>
      <c r="AC649" s="407">
        <v>0.06</v>
      </c>
      <c r="AD649" s="407">
        <v>0.63</v>
      </c>
      <c r="AE649" s="404" t="s">
        <v>37</v>
      </c>
      <c r="AF649" s="418"/>
      <c r="AG649" s="418"/>
      <c r="AH649" s="418"/>
      <c r="AI649" s="405"/>
      <c r="AJ649" s="455"/>
      <c r="AK649" s="455"/>
      <c r="AL649" s="404"/>
      <c r="AM649" s="404"/>
      <c r="AN649" s="418"/>
      <c r="AO649" s="403"/>
      <c r="AP649" s="403" t="s">
        <v>7055</v>
      </c>
      <c r="AQ649" s="403"/>
      <c r="AR649" s="403" t="s">
        <v>38</v>
      </c>
      <c r="AS649" s="482">
        <v>40736</v>
      </c>
      <c r="AT649" s="455"/>
      <c r="AU649" s="455"/>
      <c r="AV649" s="455"/>
      <c r="AW649" s="455"/>
      <c r="AX649" s="455"/>
      <c r="AY649" s="455"/>
      <c r="AZ649" s="455"/>
      <c r="BA649" s="404"/>
      <c r="BB649" s="404"/>
      <c r="BC649" s="404" t="b">
        <v>0</v>
      </c>
      <c r="BD649" s="404"/>
      <c r="BE649" s="403"/>
      <c r="BF649" s="405">
        <v>9</v>
      </c>
      <c r="BG649" s="405">
        <v>4</v>
      </c>
      <c r="BH649" s="405">
        <v>1</v>
      </c>
      <c r="BI649" s="405"/>
      <c r="BJ649" s="405"/>
      <c r="BK649" s="405"/>
      <c r="BL649" s="446" t="s">
        <v>6981</v>
      </c>
      <c r="BM649" s="403"/>
      <c r="BN649" s="404"/>
      <c r="BO649" s="404"/>
      <c r="BP649" s="408"/>
      <c r="BQ649" s="409"/>
      <c r="BR649" s="410"/>
      <c r="BS649" s="408"/>
      <c r="BT649" s="405"/>
      <c r="BU649" s="418">
        <v>0.48399999999999999</v>
      </c>
      <c r="BV649" s="408"/>
      <c r="BW649" s="404" t="s">
        <v>3165</v>
      </c>
      <c r="BX649" s="403" t="s">
        <v>3154</v>
      </c>
      <c r="BY649" s="404"/>
      <c r="BZ649" s="404"/>
      <c r="CA649" s="443"/>
      <c r="CB649" s="409"/>
      <c r="CC649" s="407"/>
      <c r="CD649" s="407"/>
      <c r="CE649" s="407"/>
      <c r="CF649" s="407"/>
      <c r="CG649" s="407"/>
      <c r="CH649" s="407">
        <v>8.3000000000000004E-2</v>
      </c>
      <c r="CI649" s="407">
        <v>6.0999999999999999E-2</v>
      </c>
      <c r="CJ649" s="407">
        <v>6.0999999999999999E-2</v>
      </c>
      <c r="CK649" s="407">
        <v>6.0999999999999999E-2</v>
      </c>
      <c r="CL649" s="407">
        <v>6.0999999999999999E-2</v>
      </c>
      <c r="CM649" s="407">
        <v>6.0999999999999999E-2</v>
      </c>
      <c r="CN649" s="407">
        <v>6.0999999999999999E-2</v>
      </c>
      <c r="CO649" s="407">
        <v>6.0999999999999999E-2</v>
      </c>
      <c r="CP649" s="407">
        <v>6.0999999999999999E-2</v>
      </c>
      <c r="CQ649" s="407">
        <v>6.0999999999999999E-2</v>
      </c>
      <c r="CR649" s="407"/>
      <c r="CS649" s="407"/>
      <c r="CT649" s="407"/>
      <c r="CU649" s="407"/>
      <c r="CV649" s="407"/>
      <c r="CW649" s="407"/>
      <c r="CX649" s="407"/>
      <c r="CY649" s="407"/>
      <c r="CZ649" s="407"/>
      <c r="DA649" s="407"/>
      <c r="DB649" s="407"/>
      <c r="DC649" s="407"/>
      <c r="DD649" s="407"/>
      <c r="DE649" s="404"/>
      <c r="DF649" s="404"/>
      <c r="DG649" s="404"/>
      <c r="DH649" s="404"/>
      <c r="DI649" s="404"/>
      <c r="DJ649" s="404"/>
      <c r="DK649" s="897"/>
    </row>
    <row r="650" spans="1:115" ht="51" x14ac:dyDescent="0.2">
      <c r="A650" s="295">
        <v>646</v>
      </c>
      <c r="B650" s="390" t="s">
        <v>764</v>
      </c>
      <c r="C650" s="424" t="s">
        <v>7524</v>
      </c>
      <c r="D650" s="391" t="s">
        <v>5085</v>
      </c>
      <c r="E650" s="704" t="s">
        <v>765</v>
      </c>
      <c r="F650" s="393" t="s">
        <v>1352</v>
      </c>
      <c r="G650" s="393" t="s">
        <v>1672</v>
      </c>
      <c r="H650" s="393" t="s">
        <v>766</v>
      </c>
      <c r="I650" s="392"/>
      <c r="J650" s="392" t="s">
        <v>766</v>
      </c>
      <c r="K650" s="392"/>
      <c r="L650" s="392" t="s">
        <v>767</v>
      </c>
      <c r="M650" s="392" t="s">
        <v>3166</v>
      </c>
      <c r="N650" s="393" t="s">
        <v>44</v>
      </c>
      <c r="O650" s="393" t="s">
        <v>289</v>
      </c>
      <c r="P650" s="393" t="s">
        <v>289</v>
      </c>
      <c r="Q650" s="392" t="s">
        <v>721</v>
      </c>
      <c r="R650" s="392"/>
      <c r="S650" s="392" t="s">
        <v>768</v>
      </c>
      <c r="T650" s="394">
        <v>2</v>
      </c>
      <c r="U650" s="395">
        <v>34.763999999999996</v>
      </c>
      <c r="V650" s="395"/>
      <c r="W650" s="452">
        <v>41182</v>
      </c>
      <c r="X650" s="394">
        <v>28</v>
      </c>
      <c r="Y650" s="394"/>
      <c r="Z650" s="394"/>
      <c r="AA650" s="395"/>
      <c r="AB650" s="453"/>
      <c r="AC650" s="398">
        <v>0</v>
      </c>
      <c r="AD650" s="398">
        <v>178.34065753424656</v>
      </c>
      <c r="AE650" s="393" t="s">
        <v>37</v>
      </c>
      <c r="AF650" s="417"/>
      <c r="AG650" s="417"/>
      <c r="AH650" s="417">
        <v>0</v>
      </c>
      <c r="AI650" s="394"/>
      <c r="AJ650" s="453"/>
      <c r="AK650" s="453"/>
      <c r="AL650" s="393"/>
      <c r="AM650" s="393"/>
      <c r="AN650" s="417"/>
      <c r="AO650" s="392"/>
      <c r="AP650" s="428" t="s">
        <v>7071</v>
      </c>
      <c r="AQ650" s="392"/>
      <c r="AR650" s="392" t="s">
        <v>249</v>
      </c>
      <c r="AS650" s="479">
        <v>40736</v>
      </c>
      <c r="AT650" s="397"/>
      <c r="AU650" s="397"/>
      <c r="AV650" s="452">
        <v>41142</v>
      </c>
      <c r="AW650" s="452">
        <v>41236</v>
      </c>
      <c r="AX650" s="452">
        <v>41299</v>
      </c>
      <c r="AY650" s="452">
        <v>41236</v>
      </c>
      <c r="AZ650" s="453"/>
      <c r="BA650" s="393"/>
      <c r="BB650" s="393" t="s">
        <v>3147</v>
      </c>
      <c r="BC650" s="393" t="b">
        <v>0</v>
      </c>
      <c r="BD650" s="393" t="s">
        <v>3147</v>
      </c>
      <c r="BE650" s="392"/>
      <c r="BF650" s="394">
        <v>9</v>
      </c>
      <c r="BG650" s="394">
        <v>8</v>
      </c>
      <c r="BH650" s="394">
        <v>10</v>
      </c>
      <c r="BI650" s="394"/>
      <c r="BJ650" s="394"/>
      <c r="BK650" s="394"/>
      <c r="BL650" s="444"/>
      <c r="BM650" s="392"/>
      <c r="BN650" s="393"/>
      <c r="BO650" s="393"/>
      <c r="BP650" s="399"/>
      <c r="BQ650" s="400"/>
      <c r="BR650" s="401"/>
      <c r="BS650" s="399">
        <v>6.3209999999999997</v>
      </c>
      <c r="BT650" s="394"/>
      <c r="BU650" s="417"/>
      <c r="BV650" s="399"/>
      <c r="BW650" s="393"/>
      <c r="BX650" s="392"/>
      <c r="BY650" s="393"/>
      <c r="BZ650" s="393"/>
      <c r="CA650" s="441"/>
      <c r="CB650" s="400"/>
      <c r="CC650" s="398"/>
      <c r="CD650" s="398"/>
      <c r="CE650" s="398"/>
      <c r="CF650" s="398"/>
      <c r="CG650" s="398"/>
      <c r="CH650" s="398"/>
      <c r="CI650" s="398"/>
      <c r="CJ650" s="398"/>
      <c r="CK650" s="398"/>
      <c r="CL650" s="398"/>
      <c r="CM650" s="398"/>
      <c r="CN650" s="398"/>
      <c r="CO650" s="398"/>
      <c r="CP650" s="398"/>
      <c r="CQ650" s="398"/>
      <c r="CR650" s="398"/>
      <c r="CS650" s="398"/>
      <c r="CT650" s="398"/>
      <c r="CU650" s="398"/>
      <c r="CV650" s="398"/>
      <c r="CW650" s="398"/>
      <c r="CX650" s="398"/>
      <c r="CY650" s="398"/>
      <c r="CZ650" s="398"/>
      <c r="DA650" s="398"/>
      <c r="DB650" s="398"/>
      <c r="DC650" s="398"/>
      <c r="DD650" s="398"/>
      <c r="DE650" s="393"/>
      <c r="DF650" s="393"/>
      <c r="DG650" s="393"/>
      <c r="DH650" s="393"/>
      <c r="DI650" s="393"/>
      <c r="DJ650" s="393"/>
      <c r="DK650" s="896" t="s">
        <v>9747</v>
      </c>
    </row>
    <row r="651" spans="1:115" ht="25.5" x14ac:dyDescent="0.2">
      <c r="A651" s="295">
        <v>647</v>
      </c>
      <c r="B651" s="390" t="s">
        <v>2696</v>
      </c>
      <c r="C651" s="390"/>
      <c r="D651" s="391" t="s">
        <v>4463</v>
      </c>
      <c r="E651" s="704" t="s">
        <v>769</v>
      </c>
      <c r="F651" s="393" t="s">
        <v>1352</v>
      </c>
      <c r="G651" s="393" t="s">
        <v>1672</v>
      </c>
      <c r="H651" s="393" t="s">
        <v>766</v>
      </c>
      <c r="I651" s="392"/>
      <c r="J651" s="392"/>
      <c r="K651" s="392" t="s">
        <v>2163</v>
      </c>
      <c r="L651" s="392" t="s">
        <v>767</v>
      </c>
      <c r="M651" s="392"/>
      <c r="N651" s="393" t="s">
        <v>44</v>
      </c>
      <c r="O651" s="393" t="s">
        <v>289</v>
      </c>
      <c r="P651" s="393" t="s">
        <v>289</v>
      </c>
      <c r="Q651" s="392" t="s">
        <v>721</v>
      </c>
      <c r="R651" s="392" t="s">
        <v>3167</v>
      </c>
      <c r="S651" s="392" t="s">
        <v>768</v>
      </c>
      <c r="T651" s="394">
        <v>1</v>
      </c>
      <c r="U651" s="395">
        <v>15.724</v>
      </c>
      <c r="V651" s="395"/>
      <c r="W651" s="453"/>
      <c r="X651" s="394"/>
      <c r="Y651" s="394">
        <v>7</v>
      </c>
      <c r="Z651" s="394">
        <v>30</v>
      </c>
      <c r="AA651" s="395">
        <v>0</v>
      </c>
      <c r="AB651" s="452">
        <v>41881</v>
      </c>
      <c r="AC651" s="398">
        <v>0</v>
      </c>
      <c r="AD651" s="398">
        <v>99.728931506849307</v>
      </c>
      <c r="AE651" s="393" t="s">
        <v>37</v>
      </c>
      <c r="AF651" s="417"/>
      <c r="AG651" s="417"/>
      <c r="AH651" s="417"/>
      <c r="AI651" s="394"/>
      <c r="AJ651" s="453"/>
      <c r="AK651" s="453"/>
      <c r="AL651" s="393"/>
      <c r="AM651" s="393"/>
      <c r="AN651" s="417"/>
      <c r="AO651" s="392"/>
      <c r="AP651" s="428" t="s">
        <v>7071</v>
      </c>
      <c r="AQ651" s="392"/>
      <c r="AR651" s="392" t="s">
        <v>249</v>
      </c>
      <c r="AS651" s="479">
        <v>40736</v>
      </c>
      <c r="AT651" s="453"/>
      <c r="AU651" s="453"/>
      <c r="AV651" s="453"/>
      <c r="AW651" s="453"/>
      <c r="AX651" s="453"/>
      <c r="AY651" s="453"/>
      <c r="AZ651" s="452">
        <v>41236</v>
      </c>
      <c r="BA651" s="393"/>
      <c r="BB651" s="393"/>
      <c r="BC651" s="393" t="b">
        <v>0</v>
      </c>
      <c r="BD651" s="393"/>
      <c r="BE651" s="392"/>
      <c r="BF651" s="394">
        <v>9</v>
      </c>
      <c r="BG651" s="394">
        <v>8</v>
      </c>
      <c r="BH651" s="394">
        <v>10</v>
      </c>
      <c r="BI651" s="394"/>
      <c r="BJ651" s="394"/>
      <c r="BK651" s="394"/>
      <c r="BL651" s="444" t="s">
        <v>6981</v>
      </c>
      <c r="BM651" s="392"/>
      <c r="BN651" s="393"/>
      <c r="BO651" s="393"/>
      <c r="BP651" s="399"/>
      <c r="BQ651" s="400"/>
      <c r="BR651" s="401"/>
      <c r="BS651" s="399">
        <v>3.3210000000000002</v>
      </c>
      <c r="BT651" s="394">
        <v>26000</v>
      </c>
      <c r="BU651" s="417">
        <v>0.8</v>
      </c>
      <c r="BV651" s="399"/>
      <c r="BW651" s="393" t="s">
        <v>3117</v>
      </c>
      <c r="BX651" s="392" t="s">
        <v>4364</v>
      </c>
      <c r="BY651" s="393" t="s">
        <v>7224</v>
      </c>
      <c r="BZ651" s="393"/>
      <c r="CA651" s="441"/>
      <c r="CB651" s="400"/>
      <c r="CC651" s="398"/>
      <c r="CD651" s="398"/>
      <c r="CE651" s="398"/>
      <c r="CF651" s="398"/>
      <c r="CG651" s="398"/>
      <c r="CH651" s="398"/>
      <c r="CI651" s="398">
        <v>20.8</v>
      </c>
      <c r="CJ651" s="398">
        <v>15.724</v>
      </c>
      <c r="CK651" s="398">
        <v>15.724</v>
      </c>
      <c r="CL651" s="398">
        <v>15.724</v>
      </c>
      <c r="CM651" s="398">
        <v>15.724</v>
      </c>
      <c r="CN651" s="398">
        <v>15.724</v>
      </c>
      <c r="CO651" s="398">
        <v>15.724</v>
      </c>
      <c r="CP651" s="398">
        <v>20.8</v>
      </c>
      <c r="CQ651" s="398">
        <v>15.724</v>
      </c>
      <c r="CR651" s="398">
        <v>15.724</v>
      </c>
      <c r="CS651" s="398">
        <v>15.724</v>
      </c>
      <c r="CT651" s="398">
        <v>15.724</v>
      </c>
      <c r="CU651" s="398">
        <v>15.724</v>
      </c>
      <c r="CV651" s="398">
        <v>20.8</v>
      </c>
      <c r="CW651" s="398">
        <v>15.724</v>
      </c>
      <c r="CX651" s="398">
        <v>15.724</v>
      </c>
      <c r="CY651" s="398">
        <v>15.724</v>
      </c>
      <c r="CZ651" s="398">
        <v>15.724</v>
      </c>
      <c r="DA651" s="398">
        <v>15.724</v>
      </c>
      <c r="DB651" s="398">
        <v>15.724</v>
      </c>
      <c r="DC651" s="398">
        <v>15.724</v>
      </c>
      <c r="DD651" s="398">
        <v>15.724</v>
      </c>
      <c r="DE651" s="393">
        <v>15.724</v>
      </c>
      <c r="DF651" s="393">
        <v>15.724</v>
      </c>
      <c r="DG651" s="393">
        <v>15.724</v>
      </c>
      <c r="DH651" s="393">
        <v>15.724</v>
      </c>
      <c r="DI651" s="393">
        <v>15.724</v>
      </c>
      <c r="DJ651" s="393">
        <v>15.724</v>
      </c>
      <c r="DK651" s="897"/>
    </row>
    <row r="652" spans="1:115" ht="25.5" x14ac:dyDescent="0.2">
      <c r="A652" s="295">
        <v>648</v>
      </c>
      <c r="B652" s="390" t="s">
        <v>5754</v>
      </c>
      <c r="C652" s="390"/>
      <c r="D652" s="391" t="s">
        <v>5755</v>
      </c>
      <c r="E652" s="704" t="s">
        <v>5756</v>
      </c>
      <c r="F652" s="393" t="s">
        <v>1352</v>
      </c>
      <c r="G652" s="393" t="s">
        <v>1672</v>
      </c>
      <c r="H652" s="393" t="s">
        <v>766</v>
      </c>
      <c r="I652" s="392"/>
      <c r="J652" s="392"/>
      <c r="K652" s="392" t="s">
        <v>5757</v>
      </c>
      <c r="L652" s="392" t="s">
        <v>767</v>
      </c>
      <c r="M652" s="392"/>
      <c r="N652" s="393" t="s">
        <v>44</v>
      </c>
      <c r="O652" s="393" t="s">
        <v>289</v>
      </c>
      <c r="P652" s="393" t="s">
        <v>289</v>
      </c>
      <c r="Q652" s="392" t="s">
        <v>721</v>
      </c>
      <c r="R652" s="392" t="s">
        <v>3167</v>
      </c>
      <c r="S652" s="392" t="s">
        <v>768</v>
      </c>
      <c r="T652" s="394">
        <v>1</v>
      </c>
      <c r="U652" s="395">
        <v>19.04</v>
      </c>
      <c r="V652" s="395"/>
      <c r="W652" s="453"/>
      <c r="X652" s="394"/>
      <c r="Y652" s="394">
        <v>7</v>
      </c>
      <c r="Z652" s="394">
        <v>30</v>
      </c>
      <c r="AA652" s="395">
        <v>0</v>
      </c>
      <c r="AB652" s="452">
        <v>42689</v>
      </c>
      <c r="AC652" s="398">
        <v>0</v>
      </c>
      <c r="AD652" s="398">
        <v>78.611726027397253</v>
      </c>
      <c r="AE652" s="393" t="s">
        <v>37</v>
      </c>
      <c r="AF652" s="417"/>
      <c r="AG652" s="417"/>
      <c r="AH652" s="417"/>
      <c r="AI652" s="394"/>
      <c r="AJ652" s="453"/>
      <c r="AK652" s="453"/>
      <c r="AL652" s="393"/>
      <c r="AM652" s="393"/>
      <c r="AN652" s="417"/>
      <c r="AO652" s="392"/>
      <c r="AP652" s="392"/>
      <c r="AQ652" s="392"/>
      <c r="AR652" s="392" t="s">
        <v>249</v>
      </c>
      <c r="AS652" s="479">
        <v>40736</v>
      </c>
      <c r="AT652" s="453"/>
      <c r="AU652" s="453"/>
      <c r="AV652" s="453"/>
      <c r="AW652" s="453"/>
      <c r="AX652" s="453"/>
      <c r="AY652" s="453"/>
      <c r="AZ652" s="452">
        <v>41639</v>
      </c>
      <c r="BA652" s="393"/>
      <c r="BB652" s="393"/>
      <c r="BC652" s="393" t="b">
        <v>0</v>
      </c>
      <c r="BD652" s="393"/>
      <c r="BE652" s="392"/>
      <c r="BF652" s="394">
        <v>9</v>
      </c>
      <c r="BG652" s="394">
        <v>8</v>
      </c>
      <c r="BH652" s="394">
        <v>10</v>
      </c>
      <c r="BI652" s="394"/>
      <c r="BJ652" s="394"/>
      <c r="BK652" s="394"/>
      <c r="BL652" s="444" t="s">
        <v>6981</v>
      </c>
      <c r="BM652" s="392"/>
      <c r="BN652" s="393"/>
      <c r="BO652" s="393"/>
      <c r="BP652" s="399"/>
      <c r="BQ652" s="400"/>
      <c r="BR652" s="401"/>
      <c r="BS652" s="399">
        <v>3</v>
      </c>
      <c r="BT652" s="394">
        <v>23800</v>
      </c>
      <c r="BU652" s="417">
        <v>0.8</v>
      </c>
      <c r="BV652" s="399"/>
      <c r="BW652" s="393" t="s">
        <v>3117</v>
      </c>
      <c r="BX652" s="392" t="s">
        <v>4364</v>
      </c>
      <c r="BY652" s="393" t="s">
        <v>7224</v>
      </c>
      <c r="BZ652" s="393"/>
      <c r="CA652" s="441"/>
      <c r="CB652" s="400"/>
      <c r="CC652" s="398"/>
      <c r="CD652" s="398"/>
      <c r="CE652" s="398"/>
      <c r="CF652" s="398"/>
      <c r="CG652" s="398"/>
      <c r="CH652" s="398"/>
      <c r="CI652" s="398"/>
      <c r="CJ652" s="398"/>
      <c r="CK652" s="398"/>
      <c r="CL652" s="398"/>
      <c r="CM652" s="398">
        <v>19.04</v>
      </c>
      <c r="CN652" s="398">
        <v>19.04</v>
      </c>
      <c r="CO652" s="398">
        <v>19.04</v>
      </c>
      <c r="CP652" s="398">
        <v>19.04</v>
      </c>
      <c r="CQ652" s="398">
        <v>19.04</v>
      </c>
      <c r="CR652" s="398">
        <v>19.04</v>
      </c>
      <c r="CS652" s="398">
        <v>19.04</v>
      </c>
      <c r="CT652" s="398"/>
      <c r="CU652" s="398"/>
      <c r="CV652" s="398"/>
      <c r="CW652" s="398"/>
      <c r="CX652" s="398"/>
      <c r="CY652" s="398"/>
      <c r="CZ652" s="398"/>
      <c r="DA652" s="398"/>
      <c r="DB652" s="398"/>
      <c r="DC652" s="398"/>
      <c r="DD652" s="398"/>
      <c r="DE652" s="393"/>
      <c r="DF652" s="393"/>
      <c r="DG652" s="393"/>
      <c r="DH652" s="393"/>
      <c r="DI652" s="393"/>
      <c r="DJ652" s="393"/>
      <c r="DK652" s="897"/>
    </row>
    <row r="653" spans="1:115" ht="25.5" x14ac:dyDescent="0.2">
      <c r="A653" s="295">
        <v>649</v>
      </c>
      <c r="B653" s="390" t="s">
        <v>442</v>
      </c>
      <c r="C653" s="424" t="s">
        <v>7525</v>
      </c>
      <c r="D653" s="391" t="s">
        <v>5086</v>
      </c>
      <c r="E653" s="704" t="s">
        <v>443</v>
      </c>
      <c r="F653" s="393" t="s">
        <v>1352</v>
      </c>
      <c r="G653" s="393" t="s">
        <v>1671</v>
      </c>
      <c r="H653" s="393" t="s">
        <v>117</v>
      </c>
      <c r="I653" s="392"/>
      <c r="J653" s="392" t="s">
        <v>444</v>
      </c>
      <c r="K653" s="392"/>
      <c r="L653" s="392" t="s">
        <v>445</v>
      </c>
      <c r="M653" s="392" t="s">
        <v>3168</v>
      </c>
      <c r="N653" s="393" t="s">
        <v>44</v>
      </c>
      <c r="O653" s="393" t="s">
        <v>51</v>
      </c>
      <c r="P653" s="393" t="s">
        <v>51</v>
      </c>
      <c r="Q653" s="392" t="s">
        <v>426</v>
      </c>
      <c r="R653" s="392"/>
      <c r="S653" s="392" t="s">
        <v>427</v>
      </c>
      <c r="T653" s="394">
        <v>1</v>
      </c>
      <c r="U653" s="395">
        <v>16.492999999999999</v>
      </c>
      <c r="V653" s="395"/>
      <c r="W653" s="452">
        <v>40848</v>
      </c>
      <c r="X653" s="394">
        <v>28</v>
      </c>
      <c r="Y653" s="394"/>
      <c r="Z653" s="394"/>
      <c r="AA653" s="395"/>
      <c r="AB653" s="453"/>
      <c r="AC653" s="398">
        <v>0</v>
      </c>
      <c r="AD653" s="398">
        <v>164.92999999999998</v>
      </c>
      <c r="AE653" s="393" t="s">
        <v>446</v>
      </c>
      <c r="AF653" s="417"/>
      <c r="AG653" s="417"/>
      <c r="AH653" s="417">
        <v>0</v>
      </c>
      <c r="AI653" s="394"/>
      <c r="AJ653" s="453"/>
      <c r="AK653" s="453"/>
      <c r="AL653" s="393"/>
      <c r="AM653" s="393"/>
      <c r="AN653" s="417"/>
      <c r="AO653" s="392"/>
      <c r="AP653" s="392" t="s">
        <v>55</v>
      </c>
      <c r="AQ653" s="392"/>
      <c r="AR653" s="392" t="s">
        <v>3778</v>
      </c>
      <c r="AS653" s="479">
        <v>40740</v>
      </c>
      <c r="AT653" s="453"/>
      <c r="AU653" s="453"/>
      <c r="AV653" s="452">
        <v>40848</v>
      </c>
      <c r="AW653" s="452">
        <v>41156</v>
      </c>
      <c r="AX653" s="452">
        <v>41208</v>
      </c>
      <c r="AY653" s="452">
        <v>41156</v>
      </c>
      <c r="AZ653" s="453"/>
      <c r="BA653" s="393"/>
      <c r="BB653" s="393" t="s">
        <v>3116</v>
      </c>
      <c r="BC653" s="393" t="b">
        <v>0</v>
      </c>
      <c r="BD653" s="393" t="s">
        <v>3147</v>
      </c>
      <c r="BE653" s="392"/>
      <c r="BF653" s="394">
        <v>4</v>
      </c>
      <c r="BG653" s="394">
        <v>9</v>
      </c>
      <c r="BH653" s="394"/>
      <c r="BI653" s="394"/>
      <c r="BJ653" s="394"/>
      <c r="BK653" s="394"/>
      <c r="BL653" s="444"/>
      <c r="BM653" s="392"/>
      <c r="BN653" s="393"/>
      <c r="BO653" s="393"/>
      <c r="BP653" s="399"/>
      <c r="BQ653" s="400"/>
      <c r="BR653" s="401"/>
      <c r="BS653" s="399">
        <v>0</v>
      </c>
      <c r="BT653" s="394"/>
      <c r="BU653" s="417"/>
      <c r="BV653" s="399"/>
      <c r="BW653" s="393"/>
      <c r="BX653" s="392"/>
      <c r="BY653" s="393"/>
      <c r="BZ653" s="393"/>
      <c r="CA653" s="441"/>
      <c r="CB653" s="400"/>
      <c r="CC653" s="398"/>
      <c r="CD653" s="398"/>
      <c r="CE653" s="398"/>
      <c r="CF653" s="398"/>
      <c r="CG653" s="398"/>
      <c r="CH653" s="398"/>
      <c r="CI653" s="398"/>
      <c r="CJ653" s="398"/>
      <c r="CK653" s="398"/>
      <c r="CL653" s="398"/>
      <c r="CM653" s="398"/>
      <c r="CN653" s="398"/>
      <c r="CO653" s="398"/>
      <c r="CP653" s="398"/>
      <c r="CQ653" s="398"/>
      <c r="CR653" s="398"/>
      <c r="CS653" s="398"/>
      <c r="CT653" s="398"/>
      <c r="CU653" s="398"/>
      <c r="CV653" s="398"/>
      <c r="CW653" s="398"/>
      <c r="CX653" s="398"/>
      <c r="CY653" s="398"/>
      <c r="CZ653" s="398"/>
      <c r="DA653" s="398"/>
      <c r="DB653" s="398"/>
      <c r="DC653" s="398"/>
      <c r="DD653" s="398"/>
      <c r="DE653" s="393"/>
      <c r="DF653" s="393"/>
      <c r="DG653" s="393"/>
      <c r="DH653" s="393"/>
      <c r="DI653" s="393"/>
      <c r="DJ653" s="393"/>
      <c r="DK653" s="896" t="s">
        <v>9722</v>
      </c>
    </row>
    <row r="654" spans="1:115" ht="25.5" x14ac:dyDescent="0.2">
      <c r="A654" s="295">
        <v>650</v>
      </c>
      <c r="B654" s="390" t="s">
        <v>2697</v>
      </c>
      <c r="C654" s="390"/>
      <c r="D654" s="391" t="s">
        <v>4078</v>
      </c>
      <c r="E654" s="704" t="s">
        <v>447</v>
      </c>
      <c r="F654" s="393" t="s">
        <v>1352</v>
      </c>
      <c r="G654" s="393" t="s">
        <v>1671</v>
      </c>
      <c r="H654" s="393" t="s">
        <v>117</v>
      </c>
      <c r="I654" s="392"/>
      <c r="J654" s="392"/>
      <c r="K654" s="392" t="s">
        <v>448</v>
      </c>
      <c r="L654" s="392" t="s">
        <v>445</v>
      </c>
      <c r="M654" s="392"/>
      <c r="N654" s="393" t="s">
        <v>44</v>
      </c>
      <c r="O654" s="393" t="s">
        <v>51</v>
      </c>
      <c r="P654" s="393" t="s">
        <v>51</v>
      </c>
      <c r="Q654" s="392" t="s">
        <v>426</v>
      </c>
      <c r="R654" s="392" t="s">
        <v>3169</v>
      </c>
      <c r="S654" s="392" t="s">
        <v>427</v>
      </c>
      <c r="T654" s="394">
        <v>1</v>
      </c>
      <c r="U654" s="395">
        <v>16.492999999999999</v>
      </c>
      <c r="V654" s="395"/>
      <c r="W654" s="453"/>
      <c r="X654" s="394"/>
      <c r="Y654" s="394">
        <v>10</v>
      </c>
      <c r="Z654" s="394">
        <v>8</v>
      </c>
      <c r="AA654" s="395">
        <v>-3</v>
      </c>
      <c r="AB654" s="452">
        <v>41186</v>
      </c>
      <c r="AC654" s="398">
        <v>0</v>
      </c>
      <c r="AD654" s="398">
        <v>164.92999999999998</v>
      </c>
      <c r="AE654" s="393" t="s">
        <v>446</v>
      </c>
      <c r="AF654" s="417"/>
      <c r="AG654" s="417"/>
      <c r="AH654" s="417"/>
      <c r="AI654" s="394"/>
      <c r="AJ654" s="453"/>
      <c r="AK654" s="453"/>
      <c r="AL654" s="393"/>
      <c r="AM654" s="393"/>
      <c r="AN654" s="417"/>
      <c r="AO654" s="392"/>
      <c r="AP654" s="392" t="s">
        <v>55</v>
      </c>
      <c r="AQ654" s="392"/>
      <c r="AR654" s="392" t="s">
        <v>3778</v>
      </c>
      <c r="AS654" s="479">
        <v>40740</v>
      </c>
      <c r="AT654" s="453"/>
      <c r="AU654" s="453"/>
      <c r="AV654" s="453"/>
      <c r="AW654" s="453"/>
      <c r="AX654" s="453"/>
      <c r="AY654" s="453"/>
      <c r="AZ654" s="452">
        <v>41156</v>
      </c>
      <c r="BA654" s="393"/>
      <c r="BB654" s="393"/>
      <c r="BC654" s="393" t="b">
        <v>0</v>
      </c>
      <c r="BD654" s="393"/>
      <c r="BE654" s="392"/>
      <c r="BF654" s="394">
        <v>4</v>
      </c>
      <c r="BG654" s="394">
        <v>9</v>
      </c>
      <c r="BH654" s="394"/>
      <c r="BI654" s="394"/>
      <c r="BJ654" s="394"/>
      <c r="BK654" s="394"/>
      <c r="BL654" s="444" t="s">
        <v>6981</v>
      </c>
      <c r="BM654" s="392"/>
      <c r="BN654" s="393"/>
      <c r="BO654" s="393"/>
      <c r="BP654" s="399"/>
      <c r="BQ654" s="400"/>
      <c r="BR654" s="401"/>
      <c r="BS654" s="399"/>
      <c r="BT654" s="394"/>
      <c r="BU654" s="417">
        <v>0.76907000000000003</v>
      </c>
      <c r="BV654" s="399">
        <v>45</v>
      </c>
      <c r="BW654" s="393" t="s">
        <v>3117</v>
      </c>
      <c r="BX654" s="392" t="s">
        <v>1447</v>
      </c>
      <c r="BY654" s="393"/>
      <c r="BZ654" s="393"/>
      <c r="CA654" s="441" t="s">
        <v>1664</v>
      </c>
      <c r="CB654" s="400">
        <v>4</v>
      </c>
      <c r="CC654" s="398"/>
      <c r="CD654" s="398"/>
      <c r="CE654" s="398"/>
      <c r="CF654" s="398"/>
      <c r="CG654" s="398"/>
      <c r="CH654" s="398">
        <v>45.667999999999999</v>
      </c>
      <c r="CI654" s="398">
        <v>42.552</v>
      </c>
      <c r="CJ654" s="398">
        <v>39.435000000000002</v>
      </c>
      <c r="CK654" s="398">
        <v>36.319000000000003</v>
      </c>
      <c r="CL654" s="398">
        <v>33.203000000000003</v>
      </c>
      <c r="CM654" s="398">
        <v>30.087</v>
      </c>
      <c r="CN654" s="398">
        <v>26.971</v>
      </c>
      <c r="CO654" s="398">
        <v>20.253</v>
      </c>
      <c r="CP654" s="398">
        <v>0</v>
      </c>
      <c r="CQ654" s="398">
        <v>0</v>
      </c>
      <c r="CR654" s="398"/>
      <c r="CS654" s="398"/>
      <c r="CT654" s="398"/>
      <c r="CU654" s="398"/>
      <c r="CV654" s="398"/>
      <c r="CW654" s="398"/>
      <c r="CX654" s="398"/>
      <c r="CY654" s="398"/>
      <c r="CZ654" s="398"/>
      <c r="DA654" s="398"/>
      <c r="DB654" s="398"/>
      <c r="DC654" s="398"/>
      <c r="DD654" s="398"/>
      <c r="DE654" s="393"/>
      <c r="DF654" s="393"/>
      <c r="DG654" s="393"/>
      <c r="DH654" s="393"/>
      <c r="DI654" s="393"/>
      <c r="DJ654" s="393"/>
      <c r="DK654" s="897"/>
    </row>
    <row r="655" spans="1:115" ht="63.75" x14ac:dyDescent="0.2">
      <c r="A655" s="295">
        <v>651</v>
      </c>
      <c r="B655" s="390" t="s">
        <v>562</v>
      </c>
      <c r="C655" s="424" t="s">
        <v>7526</v>
      </c>
      <c r="D655" s="391" t="s">
        <v>5087</v>
      </c>
      <c r="E655" s="704" t="s">
        <v>5088</v>
      </c>
      <c r="F655" s="393" t="s">
        <v>1375</v>
      </c>
      <c r="G655" s="393" t="s">
        <v>1361</v>
      </c>
      <c r="H655" s="393" t="s">
        <v>137</v>
      </c>
      <c r="I655" s="392"/>
      <c r="J655" s="392" t="s">
        <v>563</v>
      </c>
      <c r="K655" s="392"/>
      <c r="L655" s="392" t="s">
        <v>564</v>
      </c>
      <c r="M655" s="392" t="s">
        <v>3170</v>
      </c>
      <c r="N655" s="393" t="s">
        <v>44</v>
      </c>
      <c r="O655" s="393" t="s">
        <v>34</v>
      </c>
      <c r="P655" s="393" t="s">
        <v>34</v>
      </c>
      <c r="Q655" s="392" t="s">
        <v>554</v>
      </c>
      <c r="R655" s="392"/>
      <c r="S655" s="392" t="s">
        <v>256</v>
      </c>
      <c r="T655" s="394">
        <v>1</v>
      </c>
      <c r="U655" s="395">
        <v>2.4220000000000002</v>
      </c>
      <c r="V655" s="395"/>
      <c r="W655" s="452">
        <v>40743</v>
      </c>
      <c r="X655" s="394">
        <v>28</v>
      </c>
      <c r="Y655" s="394"/>
      <c r="Z655" s="394"/>
      <c r="AA655" s="395"/>
      <c r="AB655" s="453"/>
      <c r="AC655" s="398">
        <v>1.2E-2</v>
      </c>
      <c r="AD655" s="398">
        <v>24.220000000000002</v>
      </c>
      <c r="AE655" s="393" t="s">
        <v>72</v>
      </c>
      <c r="AF655" s="417"/>
      <c r="AG655" s="417"/>
      <c r="AH655" s="417">
        <v>0</v>
      </c>
      <c r="AI655" s="394"/>
      <c r="AJ655" s="453"/>
      <c r="AK655" s="453"/>
      <c r="AL655" s="393"/>
      <c r="AM655" s="393"/>
      <c r="AN655" s="417"/>
      <c r="AO655" s="392"/>
      <c r="AP655" s="392" t="s">
        <v>55</v>
      </c>
      <c r="AQ655" s="428" t="s">
        <v>7057</v>
      </c>
      <c r="AR655" s="392" t="s">
        <v>565</v>
      </c>
      <c r="AS655" s="479">
        <v>40743</v>
      </c>
      <c r="AT655" s="453"/>
      <c r="AU655" s="453"/>
      <c r="AV655" s="452">
        <v>41010</v>
      </c>
      <c r="AW655" s="452">
        <v>41274</v>
      </c>
      <c r="AX655" s="452">
        <v>41453</v>
      </c>
      <c r="AY655" s="452">
        <v>41491</v>
      </c>
      <c r="AZ655" s="453"/>
      <c r="BA655" s="393" t="s">
        <v>6984</v>
      </c>
      <c r="BB655" s="393" t="s">
        <v>3116</v>
      </c>
      <c r="BC655" s="393" t="b">
        <v>0</v>
      </c>
      <c r="BD655" s="393" t="s">
        <v>3116</v>
      </c>
      <c r="BE655" s="392"/>
      <c r="BF655" s="394">
        <v>9</v>
      </c>
      <c r="BG655" s="394">
        <v>5</v>
      </c>
      <c r="BH655" s="394">
        <v>11</v>
      </c>
      <c r="BI655" s="394">
        <v>1</v>
      </c>
      <c r="BJ655" s="394"/>
      <c r="BK655" s="394"/>
      <c r="BL655" s="444"/>
      <c r="BM655" s="392"/>
      <c r="BN655" s="393"/>
      <c r="BO655" s="393"/>
      <c r="BP655" s="399"/>
      <c r="BQ655" s="400"/>
      <c r="BR655" s="401"/>
      <c r="BS655" s="399">
        <v>0</v>
      </c>
      <c r="BT655" s="394"/>
      <c r="BU655" s="417"/>
      <c r="BV655" s="399"/>
      <c r="BW655" s="393"/>
      <c r="BX655" s="392"/>
      <c r="BY655" s="393"/>
      <c r="BZ655" s="393"/>
      <c r="CA655" s="441"/>
      <c r="CB655" s="400"/>
      <c r="CC655" s="398"/>
      <c r="CD655" s="398"/>
      <c r="CE655" s="398"/>
      <c r="CF655" s="398"/>
      <c r="CG655" s="398"/>
      <c r="CH655" s="398"/>
      <c r="CI655" s="398"/>
      <c r="CJ655" s="398"/>
      <c r="CK655" s="398"/>
      <c r="CL655" s="398"/>
      <c r="CM655" s="398"/>
      <c r="CN655" s="398"/>
      <c r="CO655" s="398"/>
      <c r="CP655" s="398"/>
      <c r="CQ655" s="398"/>
      <c r="CR655" s="398"/>
      <c r="CS655" s="398"/>
      <c r="CT655" s="398"/>
      <c r="CU655" s="398"/>
      <c r="CV655" s="398"/>
      <c r="CW655" s="398"/>
      <c r="CX655" s="398"/>
      <c r="CY655" s="398"/>
      <c r="CZ655" s="398"/>
      <c r="DA655" s="398"/>
      <c r="DB655" s="398"/>
      <c r="DC655" s="398"/>
      <c r="DD655" s="398"/>
      <c r="DE655" s="393"/>
      <c r="DF655" s="393"/>
      <c r="DG655" s="393"/>
      <c r="DH655" s="393"/>
      <c r="DI655" s="393"/>
      <c r="DJ655" s="393"/>
      <c r="DK655" s="896" t="s">
        <v>9739</v>
      </c>
    </row>
    <row r="656" spans="1:115" ht="25.5" x14ac:dyDescent="0.2">
      <c r="A656" s="295">
        <v>652</v>
      </c>
      <c r="B656" s="390" t="s">
        <v>2698</v>
      </c>
      <c r="C656" s="390"/>
      <c r="D656" s="391" t="s">
        <v>5089</v>
      </c>
      <c r="E656" s="704" t="s">
        <v>566</v>
      </c>
      <c r="F656" s="393" t="s">
        <v>1375</v>
      </c>
      <c r="G656" s="393" t="s">
        <v>1361</v>
      </c>
      <c r="H656" s="393" t="s">
        <v>137</v>
      </c>
      <c r="I656" s="392"/>
      <c r="J656" s="392"/>
      <c r="K656" s="392" t="s">
        <v>2164</v>
      </c>
      <c r="L656" s="392" t="s">
        <v>564</v>
      </c>
      <c r="M656" s="392"/>
      <c r="N656" s="393" t="s">
        <v>44</v>
      </c>
      <c r="O656" s="393" t="s">
        <v>34</v>
      </c>
      <c r="P656" s="393" t="s">
        <v>34</v>
      </c>
      <c r="Q656" s="392" t="s">
        <v>554</v>
      </c>
      <c r="R656" s="392" t="s">
        <v>3171</v>
      </c>
      <c r="S656" s="392" t="s">
        <v>256</v>
      </c>
      <c r="T656" s="394">
        <v>1</v>
      </c>
      <c r="U656" s="395">
        <v>2.4220000000000002</v>
      </c>
      <c r="V656" s="395"/>
      <c r="W656" s="453"/>
      <c r="X656" s="394"/>
      <c r="Y656" s="394">
        <v>10</v>
      </c>
      <c r="Z656" s="394">
        <v>10</v>
      </c>
      <c r="AA656" s="395">
        <v>0</v>
      </c>
      <c r="AB656" s="452">
        <v>41271</v>
      </c>
      <c r="AC656" s="398">
        <v>1.2E-2</v>
      </c>
      <c r="AD656" s="398">
        <v>24.220000000000002</v>
      </c>
      <c r="AE656" s="393" t="s">
        <v>72</v>
      </c>
      <c r="AF656" s="417"/>
      <c r="AG656" s="417"/>
      <c r="AH656" s="417"/>
      <c r="AI656" s="394"/>
      <c r="AJ656" s="453"/>
      <c r="AK656" s="453"/>
      <c r="AL656" s="393"/>
      <c r="AM656" s="393"/>
      <c r="AN656" s="417"/>
      <c r="AO656" s="392"/>
      <c r="AP656" s="392" t="s">
        <v>55</v>
      </c>
      <c r="AQ656" s="428" t="s">
        <v>7057</v>
      </c>
      <c r="AR656" s="392" t="s">
        <v>565</v>
      </c>
      <c r="AS656" s="479">
        <v>40743</v>
      </c>
      <c r="AT656" s="397"/>
      <c r="AU656" s="397"/>
      <c r="AV656" s="397"/>
      <c r="AW656" s="397"/>
      <c r="AX656" s="397"/>
      <c r="AY656" s="453"/>
      <c r="AZ656" s="452">
        <v>41491</v>
      </c>
      <c r="BA656" s="393" t="s">
        <v>6984</v>
      </c>
      <c r="BB656" s="393"/>
      <c r="BC656" s="393" t="b">
        <v>0</v>
      </c>
      <c r="BD656" s="393"/>
      <c r="BE656" s="392"/>
      <c r="BF656" s="394">
        <v>9</v>
      </c>
      <c r="BG656" s="394">
        <v>5</v>
      </c>
      <c r="BH656" s="394">
        <v>11</v>
      </c>
      <c r="BI656" s="394">
        <v>1</v>
      </c>
      <c r="BJ656" s="394"/>
      <c r="BK656" s="394"/>
      <c r="BL656" s="444" t="s">
        <v>6982</v>
      </c>
      <c r="BM656" s="392"/>
      <c r="BN656" s="393"/>
      <c r="BO656" s="393"/>
      <c r="BP656" s="399"/>
      <c r="BQ656" s="400"/>
      <c r="BR656" s="401"/>
      <c r="BS656" s="399"/>
      <c r="BT656" s="394"/>
      <c r="BU656" s="417">
        <v>1.01</v>
      </c>
      <c r="BV656" s="399"/>
      <c r="BW656" s="393" t="s">
        <v>3117</v>
      </c>
      <c r="BX656" s="392" t="s">
        <v>3172</v>
      </c>
      <c r="BY656" s="393"/>
      <c r="BZ656" s="393"/>
      <c r="CA656" s="441"/>
      <c r="CB656" s="400"/>
      <c r="CC656" s="398"/>
      <c r="CD656" s="398"/>
      <c r="CE656" s="398"/>
      <c r="CF656" s="398"/>
      <c r="CG656" s="398"/>
      <c r="CH656" s="398"/>
      <c r="CI656" s="398">
        <v>2.423</v>
      </c>
      <c r="CJ656" s="398">
        <v>2.423</v>
      </c>
      <c r="CK656" s="398">
        <v>2.423</v>
      </c>
      <c r="CL656" s="398">
        <v>2.423</v>
      </c>
      <c r="CM656" s="398">
        <v>2.423</v>
      </c>
      <c r="CN656" s="398">
        <v>2.423</v>
      </c>
      <c r="CO656" s="398">
        <v>2.423</v>
      </c>
      <c r="CP656" s="398">
        <v>2.423</v>
      </c>
      <c r="CQ656" s="398">
        <v>2.423</v>
      </c>
      <c r="CR656" s="398">
        <v>2.423</v>
      </c>
      <c r="CS656" s="398"/>
      <c r="CT656" s="398"/>
      <c r="CU656" s="398"/>
      <c r="CV656" s="398"/>
      <c r="CW656" s="398"/>
      <c r="CX656" s="398"/>
      <c r="CY656" s="398"/>
      <c r="CZ656" s="398"/>
      <c r="DA656" s="398"/>
      <c r="DB656" s="398"/>
      <c r="DC656" s="398"/>
      <c r="DD656" s="398"/>
      <c r="DE656" s="393"/>
      <c r="DF656" s="393"/>
      <c r="DG656" s="393"/>
      <c r="DH656" s="393"/>
      <c r="DI656" s="393"/>
      <c r="DJ656" s="393"/>
      <c r="DK656" s="897"/>
    </row>
    <row r="657" spans="1:115" ht="38.25" x14ac:dyDescent="0.2">
      <c r="A657" s="295">
        <v>653</v>
      </c>
      <c r="B657" s="390" t="s">
        <v>357</v>
      </c>
      <c r="C657" s="424" t="s">
        <v>7527</v>
      </c>
      <c r="D657" s="391"/>
      <c r="E657" s="707" t="s">
        <v>358</v>
      </c>
      <c r="F657" s="404" t="s">
        <v>1352</v>
      </c>
      <c r="G657" s="404" t="s">
        <v>1671</v>
      </c>
      <c r="H657" s="404" t="s">
        <v>107</v>
      </c>
      <c r="I657" s="403"/>
      <c r="J657" s="403" t="s">
        <v>107</v>
      </c>
      <c r="K657" s="403"/>
      <c r="L657" s="403" t="s">
        <v>359</v>
      </c>
      <c r="M657" s="403" t="s">
        <v>4464</v>
      </c>
      <c r="N657" s="404" t="s">
        <v>3142</v>
      </c>
      <c r="O657" s="404" t="s">
        <v>69</v>
      </c>
      <c r="P657" s="404" t="s">
        <v>69</v>
      </c>
      <c r="Q657" s="403" t="s">
        <v>360</v>
      </c>
      <c r="R657" s="403"/>
      <c r="S657" s="403" t="s">
        <v>46</v>
      </c>
      <c r="T657" s="405">
        <v>1</v>
      </c>
      <c r="U657" s="406">
        <v>2.5979999999999999</v>
      </c>
      <c r="V657" s="406"/>
      <c r="W657" s="456">
        <v>40512</v>
      </c>
      <c r="X657" s="405">
        <v>28</v>
      </c>
      <c r="Y657" s="405"/>
      <c r="Z657" s="405"/>
      <c r="AA657" s="406"/>
      <c r="AB657" s="455"/>
      <c r="AC657" s="407">
        <v>1.5149999999999999</v>
      </c>
      <c r="AD657" s="407">
        <v>25.979999999999997</v>
      </c>
      <c r="AE657" s="404" t="s">
        <v>37</v>
      </c>
      <c r="AF657" s="418"/>
      <c r="AG657" s="418"/>
      <c r="AH657" s="418">
        <v>0</v>
      </c>
      <c r="AI657" s="405"/>
      <c r="AJ657" s="455"/>
      <c r="AK657" s="455"/>
      <c r="AL657" s="404"/>
      <c r="AM657" s="404"/>
      <c r="AN657" s="418"/>
      <c r="AO657" s="403"/>
      <c r="AP657" s="403" t="s">
        <v>55</v>
      </c>
      <c r="AQ657" s="403"/>
      <c r="AR657" s="403" t="s">
        <v>55</v>
      </c>
      <c r="AS657" s="482">
        <v>40747</v>
      </c>
      <c r="AT657" s="455"/>
      <c r="AU657" s="455"/>
      <c r="AV657" s="455"/>
      <c r="AW657" s="455"/>
      <c r="AX657" s="455"/>
      <c r="AY657" s="455"/>
      <c r="AZ657" s="455"/>
      <c r="BA657" s="404"/>
      <c r="BB657" s="404" t="s">
        <v>3147</v>
      </c>
      <c r="BC657" s="404" t="b">
        <v>1</v>
      </c>
      <c r="BD657" s="404" t="s">
        <v>3147</v>
      </c>
      <c r="BE657" s="403"/>
      <c r="BF657" s="405">
        <v>1</v>
      </c>
      <c r="BG657" s="405">
        <v>9</v>
      </c>
      <c r="BH657" s="405">
        <v>11</v>
      </c>
      <c r="BI657" s="405"/>
      <c r="BJ657" s="405"/>
      <c r="BK657" s="405"/>
      <c r="BL657" s="446"/>
      <c r="BM657" s="403"/>
      <c r="BN657" s="404"/>
      <c r="BO657" s="404"/>
      <c r="BP657" s="408"/>
      <c r="BQ657" s="409"/>
      <c r="BR657" s="410"/>
      <c r="BS657" s="408">
        <v>0.60704999999999998</v>
      </c>
      <c r="BT657" s="405"/>
      <c r="BU657" s="418"/>
      <c r="BV657" s="408"/>
      <c r="BW657" s="404"/>
      <c r="BX657" s="403"/>
      <c r="BY657" s="404"/>
      <c r="BZ657" s="404"/>
      <c r="CA657" s="443"/>
      <c r="CB657" s="409"/>
      <c r="CC657" s="407"/>
      <c r="CD657" s="407"/>
      <c r="CE657" s="407"/>
      <c r="CF657" s="407"/>
      <c r="CG657" s="407"/>
      <c r="CH657" s="407"/>
      <c r="CI657" s="407"/>
      <c r="CJ657" s="407"/>
      <c r="CK657" s="407"/>
      <c r="CL657" s="407"/>
      <c r="CM657" s="407"/>
      <c r="CN657" s="407"/>
      <c r="CO657" s="407"/>
      <c r="CP657" s="407"/>
      <c r="CQ657" s="407"/>
      <c r="CR657" s="407"/>
      <c r="CS657" s="407"/>
      <c r="CT657" s="407"/>
      <c r="CU657" s="407"/>
      <c r="CV657" s="407"/>
      <c r="CW657" s="407"/>
      <c r="CX657" s="407"/>
      <c r="CY657" s="407"/>
      <c r="CZ657" s="407"/>
      <c r="DA657" s="407"/>
      <c r="DB657" s="407"/>
      <c r="DC657" s="407"/>
      <c r="DD657" s="407"/>
      <c r="DE657" s="404"/>
      <c r="DF657" s="404"/>
      <c r="DG657" s="404"/>
      <c r="DH657" s="404"/>
      <c r="DI657" s="404"/>
      <c r="DJ657" s="404"/>
      <c r="DK657" s="897"/>
    </row>
    <row r="658" spans="1:115" ht="25.5" x14ac:dyDescent="0.2">
      <c r="A658" s="295">
        <v>654</v>
      </c>
      <c r="B658" s="390" t="s">
        <v>2699</v>
      </c>
      <c r="C658" s="390"/>
      <c r="D658" s="391"/>
      <c r="E658" s="707" t="s">
        <v>361</v>
      </c>
      <c r="F658" s="404" t="s">
        <v>1352</v>
      </c>
      <c r="G658" s="404" t="s">
        <v>1671</v>
      </c>
      <c r="H658" s="404" t="s">
        <v>107</v>
      </c>
      <c r="I658" s="403"/>
      <c r="J658" s="403"/>
      <c r="K658" s="403" t="s">
        <v>362</v>
      </c>
      <c r="L658" s="403" t="s">
        <v>359</v>
      </c>
      <c r="M658" s="403"/>
      <c r="N658" s="404" t="s">
        <v>3142</v>
      </c>
      <c r="O658" s="404" t="s">
        <v>69</v>
      </c>
      <c r="P658" s="404" t="s">
        <v>69</v>
      </c>
      <c r="Q658" s="403" t="s">
        <v>360</v>
      </c>
      <c r="R658" s="403" t="s">
        <v>4079</v>
      </c>
      <c r="S658" s="403" t="s">
        <v>46</v>
      </c>
      <c r="T658" s="405">
        <v>1</v>
      </c>
      <c r="U658" s="406">
        <v>2.5979999999999999</v>
      </c>
      <c r="V658" s="406"/>
      <c r="W658" s="455"/>
      <c r="X658" s="405"/>
      <c r="Y658" s="405">
        <v>10</v>
      </c>
      <c r="Z658" s="405"/>
      <c r="AA658" s="406">
        <v>0</v>
      </c>
      <c r="AB658" s="456">
        <v>41061</v>
      </c>
      <c r="AC658" s="407">
        <v>1.5149999999999999</v>
      </c>
      <c r="AD658" s="407">
        <v>25.979999999999997</v>
      </c>
      <c r="AE658" s="404" t="s">
        <v>37</v>
      </c>
      <c r="AF658" s="418"/>
      <c r="AG658" s="418"/>
      <c r="AH658" s="418"/>
      <c r="AI658" s="405"/>
      <c r="AJ658" s="455"/>
      <c r="AK658" s="455"/>
      <c r="AL658" s="404"/>
      <c r="AM658" s="404"/>
      <c r="AN658" s="418"/>
      <c r="AO658" s="403"/>
      <c r="AP658" s="403" t="s">
        <v>55</v>
      </c>
      <c r="AQ658" s="403"/>
      <c r="AR658" s="403" t="s">
        <v>55</v>
      </c>
      <c r="AS658" s="482">
        <v>40747</v>
      </c>
      <c r="AT658" s="455"/>
      <c r="AU658" s="455"/>
      <c r="AV658" s="455"/>
      <c r="AW658" s="455"/>
      <c r="AX658" s="455"/>
      <c r="AY658" s="455"/>
      <c r="AZ658" s="455"/>
      <c r="BA658" s="404"/>
      <c r="BB658" s="404"/>
      <c r="BC658" s="404" t="b">
        <v>0</v>
      </c>
      <c r="BD658" s="404"/>
      <c r="BE658" s="403"/>
      <c r="BF658" s="405">
        <v>1</v>
      </c>
      <c r="BG658" s="405">
        <v>9</v>
      </c>
      <c r="BH658" s="405">
        <v>11</v>
      </c>
      <c r="BI658" s="405"/>
      <c r="BJ658" s="405"/>
      <c r="BK658" s="405"/>
      <c r="BL658" s="446" t="s">
        <v>6981</v>
      </c>
      <c r="BM658" s="403"/>
      <c r="BN658" s="404"/>
      <c r="BO658" s="404"/>
      <c r="BP658" s="408"/>
      <c r="BQ658" s="409"/>
      <c r="BR658" s="410"/>
      <c r="BS658" s="408">
        <v>0.60704999999999998</v>
      </c>
      <c r="BT658" s="405">
        <v>330</v>
      </c>
      <c r="BU658" s="418">
        <v>0.55610000000000004</v>
      </c>
      <c r="BV658" s="408"/>
      <c r="BW658" s="404" t="s">
        <v>3117</v>
      </c>
      <c r="BX658" s="403" t="s">
        <v>1447</v>
      </c>
      <c r="BY658" s="404"/>
      <c r="BZ658" s="404"/>
      <c r="CA658" s="443" t="s">
        <v>1662</v>
      </c>
      <c r="CB658" s="409">
        <v>3</v>
      </c>
      <c r="CC658" s="407"/>
      <c r="CD658" s="407"/>
      <c r="CE658" s="407"/>
      <c r="CF658" s="407"/>
      <c r="CG658" s="407"/>
      <c r="CH658" s="407">
        <v>2.5979999999999999</v>
      </c>
      <c r="CI658" s="407">
        <v>2.5979999999999999</v>
      </c>
      <c r="CJ658" s="407">
        <v>2.5979999999999999</v>
      </c>
      <c r="CK658" s="407">
        <v>2.5979999999999999</v>
      </c>
      <c r="CL658" s="407">
        <v>2.5979999999999999</v>
      </c>
      <c r="CM658" s="407">
        <v>2.5979999999999999</v>
      </c>
      <c r="CN658" s="407">
        <v>2.5979999999999999</v>
      </c>
      <c r="CO658" s="407">
        <v>2.5979999999999999</v>
      </c>
      <c r="CP658" s="407">
        <v>2.5979999999999999</v>
      </c>
      <c r="CQ658" s="407">
        <v>2.5979999999999999</v>
      </c>
      <c r="CR658" s="407"/>
      <c r="CS658" s="407"/>
      <c r="CT658" s="407"/>
      <c r="CU658" s="407"/>
      <c r="CV658" s="407"/>
      <c r="CW658" s="407"/>
      <c r="CX658" s="407"/>
      <c r="CY658" s="407"/>
      <c r="CZ658" s="407"/>
      <c r="DA658" s="407"/>
      <c r="DB658" s="407"/>
      <c r="DC658" s="407"/>
      <c r="DD658" s="407"/>
      <c r="DE658" s="404"/>
      <c r="DF658" s="404"/>
      <c r="DG658" s="404"/>
      <c r="DH658" s="404"/>
      <c r="DI658" s="404"/>
      <c r="DJ658" s="404"/>
      <c r="DK658" s="897"/>
    </row>
    <row r="659" spans="1:115" ht="63.75" x14ac:dyDescent="0.2">
      <c r="A659" s="295">
        <v>655</v>
      </c>
      <c r="B659" s="390" t="s">
        <v>449</v>
      </c>
      <c r="C659" s="424" t="s">
        <v>7528</v>
      </c>
      <c r="D659" s="391" t="s">
        <v>5090</v>
      </c>
      <c r="E659" s="704" t="s">
        <v>450</v>
      </c>
      <c r="F659" s="393" t="s">
        <v>1352</v>
      </c>
      <c r="G659" s="393" t="s">
        <v>1671</v>
      </c>
      <c r="H659" s="393" t="s">
        <v>117</v>
      </c>
      <c r="I659" s="392"/>
      <c r="J659" s="392" t="s">
        <v>196</v>
      </c>
      <c r="K659" s="392"/>
      <c r="L659" s="392" t="s">
        <v>445</v>
      </c>
      <c r="M659" s="392" t="s">
        <v>4080</v>
      </c>
      <c r="N659" s="393" t="s">
        <v>44</v>
      </c>
      <c r="O659" s="393" t="s">
        <v>51</v>
      </c>
      <c r="P659" s="393" t="s">
        <v>51</v>
      </c>
      <c r="Q659" s="392" t="s">
        <v>426</v>
      </c>
      <c r="R659" s="392"/>
      <c r="S659" s="392" t="s">
        <v>427</v>
      </c>
      <c r="T659" s="394">
        <v>1</v>
      </c>
      <c r="U659" s="395">
        <v>30.818000000000001</v>
      </c>
      <c r="V659" s="395"/>
      <c r="W659" s="452">
        <v>41305</v>
      </c>
      <c r="X659" s="394">
        <v>28</v>
      </c>
      <c r="Y659" s="394"/>
      <c r="Z659" s="394"/>
      <c r="AA659" s="395"/>
      <c r="AB659" s="453"/>
      <c r="AC659" s="398">
        <v>0</v>
      </c>
      <c r="AD659" s="398">
        <v>308.18</v>
      </c>
      <c r="AE659" s="393" t="s">
        <v>72</v>
      </c>
      <c r="AF659" s="417"/>
      <c r="AG659" s="417"/>
      <c r="AH659" s="417">
        <v>0</v>
      </c>
      <c r="AI659" s="394"/>
      <c r="AJ659" s="453"/>
      <c r="AK659" s="453"/>
      <c r="AL659" s="393"/>
      <c r="AM659" s="393"/>
      <c r="AN659" s="417"/>
      <c r="AO659" s="392"/>
      <c r="AP659" s="392" t="s">
        <v>55</v>
      </c>
      <c r="AQ659" s="392"/>
      <c r="AR659" s="392" t="s">
        <v>3778</v>
      </c>
      <c r="AS659" s="479">
        <v>40751</v>
      </c>
      <c r="AT659" s="453"/>
      <c r="AU659" s="453"/>
      <c r="AV659" s="452">
        <v>40878</v>
      </c>
      <c r="AW659" s="452">
        <v>41271</v>
      </c>
      <c r="AX659" s="452">
        <v>41362</v>
      </c>
      <c r="AY659" s="452">
        <v>41271</v>
      </c>
      <c r="AZ659" s="453"/>
      <c r="BA659" s="393"/>
      <c r="BB659" s="393" t="s">
        <v>3116</v>
      </c>
      <c r="BC659" s="393" t="b">
        <v>0</v>
      </c>
      <c r="BD659" s="393" t="s">
        <v>3147</v>
      </c>
      <c r="BE659" s="392"/>
      <c r="BF659" s="394">
        <v>4</v>
      </c>
      <c r="BG659" s="394">
        <v>9</v>
      </c>
      <c r="BH659" s="394"/>
      <c r="BI659" s="394"/>
      <c r="BJ659" s="394"/>
      <c r="BK659" s="394"/>
      <c r="BL659" s="444"/>
      <c r="BM659" s="392"/>
      <c r="BN659" s="393"/>
      <c r="BO659" s="393"/>
      <c r="BP659" s="399"/>
      <c r="BQ659" s="400"/>
      <c r="BR659" s="401"/>
      <c r="BS659" s="399">
        <v>0</v>
      </c>
      <c r="BT659" s="394"/>
      <c r="BU659" s="417"/>
      <c r="BV659" s="399"/>
      <c r="BW659" s="393"/>
      <c r="BX659" s="392"/>
      <c r="BY659" s="475" t="s">
        <v>7227</v>
      </c>
      <c r="BZ659" s="393"/>
      <c r="CA659" s="441"/>
      <c r="CB659" s="400"/>
      <c r="CC659" s="398"/>
      <c r="CD659" s="398"/>
      <c r="CE659" s="398"/>
      <c r="CF659" s="398"/>
      <c r="CG659" s="398"/>
      <c r="CH659" s="398"/>
      <c r="CI659" s="398"/>
      <c r="CJ659" s="398"/>
      <c r="CK659" s="398"/>
      <c r="CL659" s="398"/>
      <c r="CM659" s="398"/>
      <c r="CN659" s="398"/>
      <c r="CO659" s="398"/>
      <c r="CP659" s="398"/>
      <c r="CQ659" s="398"/>
      <c r="CR659" s="398"/>
      <c r="CS659" s="398"/>
      <c r="CT659" s="398"/>
      <c r="CU659" s="398"/>
      <c r="CV659" s="398"/>
      <c r="CW659" s="398"/>
      <c r="CX659" s="398"/>
      <c r="CY659" s="398"/>
      <c r="CZ659" s="398"/>
      <c r="DA659" s="398"/>
      <c r="DB659" s="398"/>
      <c r="DC659" s="398"/>
      <c r="DD659" s="398"/>
      <c r="DE659" s="393"/>
      <c r="DF659" s="393"/>
      <c r="DG659" s="393"/>
      <c r="DH659" s="393"/>
      <c r="DI659" s="393"/>
      <c r="DJ659" s="393"/>
      <c r="DK659" s="896" t="s">
        <v>9722</v>
      </c>
    </row>
    <row r="660" spans="1:115" ht="25.5" x14ac:dyDescent="0.2">
      <c r="A660" s="295">
        <v>656</v>
      </c>
      <c r="B660" s="390" t="s">
        <v>2700</v>
      </c>
      <c r="C660" s="390"/>
      <c r="D660" s="391" t="s">
        <v>4598</v>
      </c>
      <c r="E660" s="704" t="s">
        <v>451</v>
      </c>
      <c r="F660" s="393" t="s">
        <v>1352</v>
      </c>
      <c r="G660" s="393" t="s">
        <v>1671</v>
      </c>
      <c r="H660" s="393" t="s">
        <v>117</v>
      </c>
      <c r="I660" s="392"/>
      <c r="J660" s="392"/>
      <c r="K660" s="392" t="s">
        <v>2165</v>
      </c>
      <c r="L660" s="392" t="s">
        <v>445</v>
      </c>
      <c r="M660" s="392"/>
      <c r="N660" s="393" t="s">
        <v>44</v>
      </c>
      <c r="O660" s="393" t="s">
        <v>51</v>
      </c>
      <c r="P660" s="393" t="s">
        <v>51</v>
      </c>
      <c r="Q660" s="392" t="s">
        <v>426</v>
      </c>
      <c r="R660" s="392" t="s">
        <v>3169</v>
      </c>
      <c r="S660" s="392" t="s">
        <v>427</v>
      </c>
      <c r="T660" s="394">
        <v>1</v>
      </c>
      <c r="U660" s="395">
        <v>30.818000000000001</v>
      </c>
      <c r="V660" s="395"/>
      <c r="W660" s="453"/>
      <c r="X660" s="394"/>
      <c r="Y660" s="394">
        <v>10</v>
      </c>
      <c r="Z660" s="394">
        <v>8</v>
      </c>
      <c r="AA660" s="395">
        <v>-3</v>
      </c>
      <c r="AB660" s="452">
        <v>41305</v>
      </c>
      <c r="AC660" s="398">
        <v>0</v>
      </c>
      <c r="AD660" s="398">
        <v>308.18</v>
      </c>
      <c r="AE660" s="393" t="s">
        <v>72</v>
      </c>
      <c r="AF660" s="417"/>
      <c r="AG660" s="417"/>
      <c r="AH660" s="417"/>
      <c r="AI660" s="394"/>
      <c r="AJ660" s="453"/>
      <c r="AK660" s="453"/>
      <c r="AL660" s="393"/>
      <c r="AM660" s="393"/>
      <c r="AN660" s="417"/>
      <c r="AO660" s="392"/>
      <c r="AP660" s="392" t="s">
        <v>55</v>
      </c>
      <c r="AQ660" s="392"/>
      <c r="AR660" s="392" t="s">
        <v>3778</v>
      </c>
      <c r="AS660" s="479">
        <v>40751</v>
      </c>
      <c r="AT660" s="453"/>
      <c r="AU660" s="453"/>
      <c r="AV660" s="453"/>
      <c r="AW660" s="453"/>
      <c r="AX660" s="453"/>
      <c r="AY660" s="453"/>
      <c r="AZ660" s="452">
        <v>41271</v>
      </c>
      <c r="BA660" s="393"/>
      <c r="BB660" s="393"/>
      <c r="BC660" s="393" t="b">
        <v>0</v>
      </c>
      <c r="BD660" s="393"/>
      <c r="BE660" s="392"/>
      <c r="BF660" s="394">
        <v>4</v>
      </c>
      <c r="BG660" s="394">
        <v>9</v>
      </c>
      <c r="BH660" s="394"/>
      <c r="BI660" s="394"/>
      <c r="BJ660" s="394"/>
      <c r="BK660" s="394"/>
      <c r="BL660" s="444" t="s">
        <v>6981</v>
      </c>
      <c r="BM660" s="392"/>
      <c r="BN660" s="393"/>
      <c r="BO660" s="393"/>
      <c r="BP660" s="399"/>
      <c r="BQ660" s="400"/>
      <c r="BR660" s="401"/>
      <c r="BS660" s="399"/>
      <c r="BT660" s="394"/>
      <c r="BU660" s="417">
        <v>0.77071000000000001</v>
      </c>
      <c r="BV660" s="399">
        <v>45</v>
      </c>
      <c r="BW660" s="393" t="s">
        <v>3117</v>
      </c>
      <c r="BX660" s="392" t="s">
        <v>1447</v>
      </c>
      <c r="BY660" s="475" t="s">
        <v>7227</v>
      </c>
      <c r="BZ660" s="393"/>
      <c r="CA660" s="441" t="s">
        <v>1664</v>
      </c>
      <c r="CB660" s="400">
        <v>4</v>
      </c>
      <c r="CC660" s="398"/>
      <c r="CD660" s="398"/>
      <c r="CE660" s="398"/>
      <c r="CF660" s="398"/>
      <c r="CG660" s="398"/>
      <c r="CH660" s="398"/>
      <c r="CI660" s="398">
        <v>40.143999999999998</v>
      </c>
      <c r="CJ660" s="398">
        <v>37.405000000000001</v>
      </c>
      <c r="CK660" s="398">
        <v>34.664999999999999</v>
      </c>
      <c r="CL660" s="398">
        <v>31.925999999999998</v>
      </c>
      <c r="CM660" s="398">
        <v>29.187000000000001</v>
      </c>
      <c r="CN660" s="398">
        <v>26.448</v>
      </c>
      <c r="CO660" s="398">
        <v>23.709</v>
      </c>
      <c r="CP660" s="398">
        <v>17.741</v>
      </c>
      <c r="CQ660" s="398">
        <v>0</v>
      </c>
      <c r="CR660" s="398">
        <v>0</v>
      </c>
      <c r="CS660" s="398"/>
      <c r="CT660" s="398"/>
      <c r="CU660" s="398"/>
      <c r="CV660" s="398"/>
      <c r="CW660" s="398"/>
      <c r="CX660" s="398"/>
      <c r="CY660" s="398"/>
      <c r="CZ660" s="398"/>
      <c r="DA660" s="398"/>
      <c r="DB660" s="398"/>
      <c r="DC660" s="398"/>
      <c r="DD660" s="398"/>
      <c r="DE660" s="393"/>
      <c r="DF660" s="393"/>
      <c r="DG660" s="393"/>
      <c r="DH660" s="393"/>
      <c r="DI660" s="393"/>
      <c r="DJ660" s="393"/>
      <c r="DK660" s="897"/>
    </row>
    <row r="661" spans="1:115" ht="114.75" x14ac:dyDescent="0.2">
      <c r="A661" s="295">
        <v>657</v>
      </c>
      <c r="B661" s="390" t="s">
        <v>1147</v>
      </c>
      <c r="C661" s="424" t="s">
        <v>7529</v>
      </c>
      <c r="D661" s="391" t="s">
        <v>5091</v>
      </c>
      <c r="E661" s="705" t="s">
        <v>1148</v>
      </c>
      <c r="F661" s="393" t="s">
        <v>1375</v>
      </c>
      <c r="G661" s="393" t="s">
        <v>998</v>
      </c>
      <c r="H661" s="393" t="s">
        <v>245</v>
      </c>
      <c r="I661" s="392"/>
      <c r="J661" s="428" t="s">
        <v>7341</v>
      </c>
      <c r="K661" s="392"/>
      <c r="L661" s="392" t="s">
        <v>1150</v>
      </c>
      <c r="M661" s="392" t="s">
        <v>4081</v>
      </c>
      <c r="N661" s="393" t="s">
        <v>44</v>
      </c>
      <c r="O661" s="393" t="s">
        <v>34</v>
      </c>
      <c r="P661" s="393" t="s">
        <v>34</v>
      </c>
      <c r="Q661" s="392" t="s">
        <v>1145</v>
      </c>
      <c r="R661" s="392"/>
      <c r="S661" s="392" t="s">
        <v>912</v>
      </c>
      <c r="T661" s="394">
        <v>22</v>
      </c>
      <c r="U661" s="395">
        <v>947.91700000000014</v>
      </c>
      <c r="V661" s="395"/>
      <c r="W661" s="452">
        <v>41232</v>
      </c>
      <c r="X661" s="394">
        <v>28</v>
      </c>
      <c r="Y661" s="394"/>
      <c r="Z661" s="394"/>
      <c r="AA661" s="395"/>
      <c r="AB661" s="453"/>
      <c r="AC661" s="398">
        <v>0</v>
      </c>
      <c r="AD661" s="398">
        <v>4191.8204931506853</v>
      </c>
      <c r="AE661" s="393" t="s">
        <v>660</v>
      </c>
      <c r="AF661" s="417"/>
      <c r="AG661" s="417"/>
      <c r="AH661" s="417">
        <v>34.664999999999999</v>
      </c>
      <c r="AI661" s="394"/>
      <c r="AJ661" s="453">
        <v>42482</v>
      </c>
      <c r="AK661" s="453">
        <v>42521</v>
      </c>
      <c r="AL661" s="393"/>
      <c r="AM661" s="393"/>
      <c r="AN661" s="417"/>
      <c r="AO661" s="392"/>
      <c r="AP661" s="428" t="s">
        <v>8144</v>
      </c>
      <c r="AQ661" s="392"/>
      <c r="AR661" s="392" t="s">
        <v>368</v>
      </c>
      <c r="AS661" s="479">
        <v>40753</v>
      </c>
      <c r="AT661" s="453"/>
      <c r="AU661" s="453"/>
      <c r="AV661" s="452">
        <v>40914</v>
      </c>
      <c r="AW661" s="452">
        <v>41229</v>
      </c>
      <c r="AX661" s="452">
        <v>41264</v>
      </c>
      <c r="AY661" s="452">
        <v>41229</v>
      </c>
      <c r="AZ661" s="453"/>
      <c r="BA661" s="393"/>
      <c r="BB661" s="393" t="s">
        <v>3116</v>
      </c>
      <c r="BC661" s="393" t="b">
        <v>0</v>
      </c>
      <c r="BD661" s="393" t="s">
        <v>3147</v>
      </c>
      <c r="BE661" s="392" t="s">
        <v>6246</v>
      </c>
      <c r="BF661" s="394">
        <v>8</v>
      </c>
      <c r="BG661" s="394">
        <v>9</v>
      </c>
      <c r="BH661" s="394">
        <v>6</v>
      </c>
      <c r="BI661" s="394">
        <v>1</v>
      </c>
      <c r="BJ661" s="394">
        <v>5</v>
      </c>
      <c r="BK661" s="394">
        <v>3</v>
      </c>
      <c r="BL661" s="444"/>
      <c r="BM661" s="392"/>
      <c r="BN661" s="393"/>
      <c r="BO661" s="393"/>
      <c r="BP661" s="399"/>
      <c r="BQ661" s="400"/>
      <c r="BR661" s="401"/>
      <c r="BS661" s="399">
        <v>0</v>
      </c>
      <c r="BT661" s="394"/>
      <c r="BU661" s="417"/>
      <c r="BV661" s="399"/>
      <c r="BW661" s="393"/>
      <c r="BX661" s="392"/>
      <c r="BY661" s="393"/>
      <c r="BZ661" s="393"/>
      <c r="CA661" s="441"/>
      <c r="CB661" s="400"/>
      <c r="CC661" s="398"/>
      <c r="CD661" s="398"/>
      <c r="CE661" s="398"/>
      <c r="CF661" s="398"/>
      <c r="CG661" s="398"/>
      <c r="CH661" s="398"/>
      <c r="CI661" s="398"/>
      <c r="CJ661" s="398"/>
      <c r="CK661" s="398"/>
      <c r="CL661" s="398"/>
      <c r="CM661" s="398"/>
      <c r="CN661" s="398"/>
      <c r="CO661" s="398"/>
      <c r="CP661" s="398"/>
      <c r="CQ661" s="398"/>
      <c r="CR661" s="398"/>
      <c r="CS661" s="398"/>
      <c r="CT661" s="398"/>
      <c r="CU661" s="398"/>
      <c r="CV661" s="398"/>
      <c r="CW661" s="398"/>
      <c r="CX661" s="398"/>
      <c r="CY661" s="398"/>
      <c r="CZ661" s="398"/>
      <c r="DA661" s="398"/>
      <c r="DB661" s="398"/>
      <c r="DC661" s="398"/>
      <c r="DD661" s="398"/>
      <c r="DE661" s="393"/>
      <c r="DF661" s="393"/>
      <c r="DG661" s="393"/>
      <c r="DH661" s="393"/>
      <c r="DI661" s="393"/>
      <c r="DJ661" s="393"/>
      <c r="DK661" s="896" t="s">
        <v>9707</v>
      </c>
    </row>
    <row r="662" spans="1:115" ht="38.25" x14ac:dyDescent="0.2">
      <c r="A662" s="295">
        <v>658</v>
      </c>
      <c r="B662" s="390" t="s">
        <v>2701</v>
      </c>
      <c r="C662" s="390"/>
      <c r="D662" s="391" t="s">
        <v>4392</v>
      </c>
      <c r="E662" s="705" t="s">
        <v>8004</v>
      </c>
      <c r="F662" s="393" t="s">
        <v>1375</v>
      </c>
      <c r="G662" s="393" t="s">
        <v>998</v>
      </c>
      <c r="H662" s="393" t="s">
        <v>245</v>
      </c>
      <c r="I662" s="392"/>
      <c r="J662" s="392"/>
      <c r="K662" s="392" t="s">
        <v>2166</v>
      </c>
      <c r="L662" s="392" t="s">
        <v>1150</v>
      </c>
      <c r="M662" s="392"/>
      <c r="N662" s="393" t="s">
        <v>44</v>
      </c>
      <c r="O662" s="393" t="s">
        <v>34</v>
      </c>
      <c r="P662" s="393" t="s">
        <v>34</v>
      </c>
      <c r="Q662" s="392" t="s">
        <v>1145</v>
      </c>
      <c r="R662" s="392" t="s">
        <v>4082</v>
      </c>
      <c r="S662" s="392" t="s">
        <v>912</v>
      </c>
      <c r="T662" s="394">
        <v>1</v>
      </c>
      <c r="U662" s="395">
        <v>6.2539999999999996</v>
      </c>
      <c r="V662" s="395"/>
      <c r="W662" s="453"/>
      <c r="X662" s="394"/>
      <c r="Y662" s="394">
        <v>7</v>
      </c>
      <c r="Z662" s="394">
        <v>10</v>
      </c>
      <c r="AA662" s="395">
        <v>2.7</v>
      </c>
      <c r="AB662" s="452">
        <v>41275</v>
      </c>
      <c r="AC662" s="398">
        <v>0</v>
      </c>
      <c r="AD662" s="398">
        <v>50.049134246575335</v>
      </c>
      <c r="AE662" s="393" t="s">
        <v>660</v>
      </c>
      <c r="AF662" s="417"/>
      <c r="AG662" s="417"/>
      <c r="AH662" s="417"/>
      <c r="AI662" s="394"/>
      <c r="AJ662" s="453"/>
      <c r="AK662" s="453"/>
      <c r="AL662" s="393"/>
      <c r="AM662" s="393"/>
      <c r="AN662" s="417"/>
      <c r="AO662" s="392"/>
      <c r="AP662" s="428" t="s">
        <v>8144</v>
      </c>
      <c r="AQ662" s="392"/>
      <c r="AR662" s="392" t="s">
        <v>368</v>
      </c>
      <c r="AS662" s="479">
        <v>40753</v>
      </c>
      <c r="AT662" s="453"/>
      <c r="AU662" s="453"/>
      <c r="AV662" s="453"/>
      <c r="AW662" s="453"/>
      <c r="AX662" s="453"/>
      <c r="AY662" s="453"/>
      <c r="AZ662" s="452">
        <v>41229</v>
      </c>
      <c r="BA662" s="393"/>
      <c r="BB662" s="393"/>
      <c r="BC662" s="393" t="b">
        <v>0</v>
      </c>
      <c r="BD662" s="393"/>
      <c r="BE662" s="392"/>
      <c r="BF662" s="394">
        <v>8</v>
      </c>
      <c r="BG662" s="394">
        <v>9</v>
      </c>
      <c r="BH662" s="394">
        <v>6</v>
      </c>
      <c r="BI662" s="394">
        <v>1</v>
      </c>
      <c r="BJ662" s="394">
        <v>5</v>
      </c>
      <c r="BK662" s="394">
        <v>3</v>
      </c>
      <c r="BL662" s="444" t="s">
        <v>6981</v>
      </c>
      <c r="BM662" s="392"/>
      <c r="BN662" s="393"/>
      <c r="BO662" s="393"/>
      <c r="BP662" s="399"/>
      <c r="BQ662" s="400"/>
      <c r="BR662" s="401"/>
      <c r="BS662" s="399"/>
      <c r="BT662" s="394"/>
      <c r="BU662" s="417"/>
      <c r="BV662" s="399"/>
      <c r="BW662" s="393" t="s">
        <v>3117</v>
      </c>
      <c r="BX662" s="392" t="s">
        <v>4364</v>
      </c>
      <c r="BY662" s="393" t="s">
        <v>7224</v>
      </c>
      <c r="BZ662" s="393"/>
      <c r="CA662" s="441"/>
      <c r="CB662" s="400"/>
      <c r="CC662" s="398"/>
      <c r="CD662" s="398"/>
      <c r="CE662" s="398"/>
      <c r="CF662" s="398"/>
      <c r="CG662" s="398"/>
      <c r="CH662" s="398">
        <v>2.11</v>
      </c>
      <c r="CI662" s="398">
        <v>4.2210000000000001</v>
      </c>
      <c r="CJ662" s="398">
        <v>8.4410000000000007</v>
      </c>
      <c r="CK662" s="398">
        <v>12.662000000000001</v>
      </c>
      <c r="CL662" s="398">
        <v>18.992000000000001</v>
      </c>
      <c r="CM662" s="398">
        <v>18.992000000000001</v>
      </c>
      <c r="CN662" s="398">
        <v>18.992000000000001</v>
      </c>
      <c r="CO662" s="398">
        <v>18.992000000000001</v>
      </c>
      <c r="CP662" s="398">
        <v>18.992000000000001</v>
      </c>
      <c r="CQ662" s="398">
        <v>18.992000000000001</v>
      </c>
      <c r="CR662" s="398">
        <v>18.992000000000001</v>
      </c>
      <c r="CS662" s="398">
        <v>18.992000000000001</v>
      </c>
      <c r="CT662" s="398">
        <v>18.992000000000001</v>
      </c>
      <c r="CU662" s="398">
        <v>18.992000000000001</v>
      </c>
      <c r="CV662" s="398">
        <v>18.992000000000001</v>
      </c>
      <c r="CW662" s="398">
        <v>18.992000000000001</v>
      </c>
      <c r="CX662" s="398">
        <v>18.992000000000001</v>
      </c>
      <c r="CY662" s="398">
        <v>18.992000000000001</v>
      </c>
      <c r="CZ662" s="398">
        <v>18.992000000000001</v>
      </c>
      <c r="DA662" s="398">
        <v>18.992000000000001</v>
      </c>
      <c r="DB662" s="398">
        <v>18.992000000000001</v>
      </c>
      <c r="DC662" s="398"/>
      <c r="DD662" s="398"/>
      <c r="DE662" s="393"/>
      <c r="DF662" s="393"/>
      <c r="DG662" s="393"/>
      <c r="DH662" s="393"/>
      <c r="DI662" s="393"/>
      <c r="DJ662" s="393"/>
      <c r="DK662" s="897"/>
    </row>
    <row r="663" spans="1:115" ht="38.25" x14ac:dyDescent="0.2">
      <c r="A663" s="295">
        <v>659</v>
      </c>
      <c r="B663" s="390" t="s">
        <v>6142</v>
      </c>
      <c r="C663" s="390"/>
      <c r="D663" s="391" t="s">
        <v>6143</v>
      </c>
      <c r="E663" s="704" t="s">
        <v>6144</v>
      </c>
      <c r="F663" s="393" t="s">
        <v>1375</v>
      </c>
      <c r="G663" s="393" t="s">
        <v>998</v>
      </c>
      <c r="H663" s="393" t="s">
        <v>245</v>
      </c>
      <c r="I663" s="392"/>
      <c r="J663" s="392"/>
      <c r="K663" s="392" t="s">
        <v>6145</v>
      </c>
      <c r="L663" s="392" t="s">
        <v>1150</v>
      </c>
      <c r="M663" s="392"/>
      <c r="N663" s="393" t="s">
        <v>44</v>
      </c>
      <c r="O663" s="393" t="s">
        <v>34</v>
      </c>
      <c r="P663" s="393" t="s">
        <v>34</v>
      </c>
      <c r="Q663" s="392" t="s">
        <v>1145</v>
      </c>
      <c r="R663" s="392" t="s">
        <v>6146</v>
      </c>
      <c r="S663" s="392" t="s">
        <v>912</v>
      </c>
      <c r="T663" s="394">
        <v>1</v>
      </c>
      <c r="U663" s="395">
        <v>58.286000000000001</v>
      </c>
      <c r="V663" s="395"/>
      <c r="W663" s="453"/>
      <c r="X663" s="394"/>
      <c r="Y663" s="394">
        <v>7</v>
      </c>
      <c r="Z663" s="394">
        <v>5</v>
      </c>
      <c r="AA663" s="395">
        <v>0</v>
      </c>
      <c r="AB663" s="452">
        <v>41870</v>
      </c>
      <c r="AC663" s="398">
        <v>0</v>
      </c>
      <c r="AD663" s="398">
        <v>371.43352328767122</v>
      </c>
      <c r="AE663" s="393" t="s">
        <v>660</v>
      </c>
      <c r="AF663" s="417"/>
      <c r="AG663" s="417">
        <f>26.816+4.256</f>
        <v>31.071999999999999</v>
      </c>
      <c r="AH663" s="417">
        <v>31.071999999999999</v>
      </c>
      <c r="AI663" s="394"/>
      <c r="AJ663" s="453">
        <v>42482</v>
      </c>
      <c r="AK663" s="453">
        <v>42521</v>
      </c>
      <c r="AL663" s="393"/>
      <c r="AM663" s="393"/>
      <c r="AN663" s="417"/>
      <c r="AO663" s="392"/>
      <c r="AP663" s="428"/>
      <c r="AQ663" s="392"/>
      <c r="AR663" s="392" t="s">
        <v>368</v>
      </c>
      <c r="AS663" s="479">
        <v>40753</v>
      </c>
      <c r="AT663" s="453"/>
      <c r="AU663" s="453"/>
      <c r="AV663" s="453"/>
      <c r="AW663" s="453"/>
      <c r="AX663" s="453"/>
      <c r="AY663" s="453"/>
      <c r="AZ663" s="452">
        <v>41837</v>
      </c>
      <c r="BA663" s="393"/>
      <c r="BB663" s="393"/>
      <c r="BC663" s="393" t="b">
        <v>0</v>
      </c>
      <c r="BD663" s="393"/>
      <c r="BE663" s="392"/>
      <c r="BF663" s="394">
        <v>8</v>
      </c>
      <c r="BG663" s="394">
        <v>9</v>
      </c>
      <c r="BH663" s="394">
        <v>6</v>
      </c>
      <c r="BI663" s="394">
        <v>1</v>
      </c>
      <c r="BJ663" s="394">
        <v>5</v>
      </c>
      <c r="BK663" s="394">
        <v>3</v>
      </c>
      <c r="BL663" s="444" t="s">
        <v>6981</v>
      </c>
      <c r="BM663" s="392"/>
      <c r="BN663" s="393"/>
      <c r="BO663" s="393"/>
      <c r="BP663" s="399"/>
      <c r="BQ663" s="400"/>
      <c r="BR663" s="401"/>
      <c r="BS663" s="399"/>
      <c r="BT663" s="394"/>
      <c r="BU663" s="417"/>
      <c r="BV663" s="399"/>
      <c r="BW663" s="393" t="s">
        <v>3165</v>
      </c>
      <c r="BX663" s="392" t="s">
        <v>4364</v>
      </c>
      <c r="BY663" s="393" t="s">
        <v>7224</v>
      </c>
      <c r="BZ663" s="393"/>
      <c r="CA663" s="441"/>
      <c r="CB663" s="400"/>
      <c r="CC663" s="398"/>
      <c r="CD663" s="398"/>
      <c r="CE663" s="398"/>
      <c r="CF663" s="398"/>
      <c r="CG663" s="398"/>
      <c r="CH663" s="398"/>
      <c r="CI663" s="398"/>
      <c r="CJ663" s="398">
        <v>52.433999999999997</v>
      </c>
      <c r="CK663" s="398">
        <v>59.261000000000003</v>
      </c>
      <c r="CL663" s="398">
        <v>59.261000000000003</v>
      </c>
      <c r="CM663" s="398">
        <v>59.261000000000003</v>
      </c>
      <c r="CN663" s="398">
        <v>59.261000000000003</v>
      </c>
      <c r="CO663" s="398">
        <v>59.261000000000003</v>
      </c>
      <c r="CP663" s="398">
        <v>59.261000000000003</v>
      </c>
      <c r="CQ663" s="398"/>
      <c r="CR663" s="398"/>
      <c r="CS663" s="398"/>
      <c r="CT663" s="398"/>
      <c r="CU663" s="398"/>
      <c r="CV663" s="398"/>
      <c r="CW663" s="398"/>
      <c r="CX663" s="398"/>
      <c r="CY663" s="398"/>
      <c r="CZ663" s="398"/>
      <c r="DA663" s="398"/>
      <c r="DB663" s="398"/>
      <c r="DC663" s="398"/>
      <c r="DD663" s="398"/>
      <c r="DE663" s="393"/>
      <c r="DF663" s="393"/>
      <c r="DG663" s="393"/>
      <c r="DH663" s="393"/>
      <c r="DI663" s="393"/>
      <c r="DJ663" s="393"/>
      <c r="DK663" s="897"/>
    </row>
    <row r="664" spans="1:115" ht="38.25" x14ac:dyDescent="0.2">
      <c r="A664" s="295">
        <v>660</v>
      </c>
      <c r="B664" s="390" t="s">
        <v>6987</v>
      </c>
      <c r="C664" s="390"/>
      <c r="D664" s="391" t="s">
        <v>6988</v>
      </c>
      <c r="E664" s="704" t="s">
        <v>6989</v>
      </c>
      <c r="F664" s="393" t="s">
        <v>1375</v>
      </c>
      <c r="G664" s="393" t="s">
        <v>998</v>
      </c>
      <c r="H664" s="393" t="s">
        <v>245</v>
      </c>
      <c r="I664" s="392"/>
      <c r="J664" s="392"/>
      <c r="K664" s="392" t="s">
        <v>6145</v>
      </c>
      <c r="L664" s="392" t="s">
        <v>1150</v>
      </c>
      <c r="M664" s="392"/>
      <c r="N664" s="393" t="s">
        <v>44</v>
      </c>
      <c r="O664" s="393" t="s">
        <v>34</v>
      </c>
      <c r="P664" s="393" t="s">
        <v>34</v>
      </c>
      <c r="Q664" s="392" t="s">
        <v>1145</v>
      </c>
      <c r="R664" s="392" t="s">
        <v>6146</v>
      </c>
      <c r="S664" s="392" t="s">
        <v>912</v>
      </c>
      <c r="T664" s="394">
        <v>1</v>
      </c>
      <c r="U664" s="395">
        <v>44.741999999999997</v>
      </c>
      <c r="V664" s="395"/>
      <c r="W664" s="453"/>
      <c r="X664" s="394"/>
      <c r="Y664" s="394">
        <v>7</v>
      </c>
      <c r="Z664" s="394">
        <v>5</v>
      </c>
      <c r="AA664" s="395">
        <v>0</v>
      </c>
      <c r="AB664" s="452">
        <v>42104</v>
      </c>
      <c r="AC664" s="398"/>
      <c r="AD664" s="398">
        <v>256.43907945205478</v>
      </c>
      <c r="AE664" s="393" t="s">
        <v>660</v>
      </c>
      <c r="AF664" s="417"/>
      <c r="AG664" s="417">
        <f>3.593</f>
        <v>3.593</v>
      </c>
      <c r="AH664" s="417">
        <v>3.593</v>
      </c>
      <c r="AI664" s="394"/>
      <c r="AJ664" s="453">
        <v>43168</v>
      </c>
      <c r="AK664" s="453">
        <v>42521</v>
      </c>
      <c r="AL664" s="393"/>
      <c r="AM664" s="393"/>
      <c r="AN664" s="417"/>
      <c r="AO664" s="392"/>
      <c r="AP664" s="428"/>
      <c r="AQ664" s="392"/>
      <c r="AR664" s="392" t="s">
        <v>368</v>
      </c>
      <c r="AS664" s="479">
        <v>40753</v>
      </c>
      <c r="AT664" s="453"/>
      <c r="AU664" s="453"/>
      <c r="AV664" s="453"/>
      <c r="AW664" s="453"/>
      <c r="AX664" s="453"/>
      <c r="AY664" s="453"/>
      <c r="AZ664" s="452">
        <v>42109</v>
      </c>
      <c r="BA664" s="393"/>
      <c r="BB664" s="393"/>
      <c r="BC664" s="393" t="b">
        <v>0</v>
      </c>
      <c r="BD664" s="393"/>
      <c r="BE664" s="392"/>
      <c r="BF664" s="394">
        <v>8</v>
      </c>
      <c r="BG664" s="394">
        <v>9</v>
      </c>
      <c r="BH664" s="394">
        <v>6</v>
      </c>
      <c r="BI664" s="394">
        <v>1</v>
      </c>
      <c r="BJ664" s="394">
        <v>5</v>
      </c>
      <c r="BK664" s="394">
        <v>3</v>
      </c>
      <c r="BL664" s="444" t="s">
        <v>6981</v>
      </c>
      <c r="BM664" s="392"/>
      <c r="BN664" s="393"/>
      <c r="BO664" s="393"/>
      <c r="BP664" s="399"/>
      <c r="BQ664" s="400"/>
      <c r="BR664" s="401"/>
      <c r="BS664" s="399"/>
      <c r="BT664" s="394"/>
      <c r="BU664" s="417"/>
      <c r="BV664" s="399"/>
      <c r="BW664" s="393" t="s">
        <v>3165</v>
      </c>
      <c r="BX664" s="392" t="s">
        <v>4364</v>
      </c>
      <c r="BY664" s="393" t="s">
        <v>7224</v>
      </c>
      <c r="BZ664" s="393"/>
      <c r="CA664" s="441"/>
      <c r="CB664" s="400"/>
      <c r="CC664" s="398"/>
      <c r="CD664" s="398"/>
      <c r="CE664" s="398"/>
      <c r="CF664" s="398"/>
      <c r="CG664" s="398"/>
      <c r="CH664" s="398"/>
      <c r="CI664" s="398"/>
      <c r="CJ664" s="398"/>
      <c r="CK664" s="398">
        <v>44.741999999999997</v>
      </c>
      <c r="CL664" s="398">
        <v>44.741999999999997</v>
      </c>
      <c r="CM664" s="398">
        <v>44.741999999999997</v>
      </c>
      <c r="CN664" s="398">
        <v>44.741999999999997</v>
      </c>
      <c r="CO664" s="398">
        <v>44.741999999999997</v>
      </c>
      <c r="CP664" s="398">
        <v>44.741999999999997</v>
      </c>
      <c r="CQ664" s="398">
        <v>44.741999999999997</v>
      </c>
      <c r="CR664" s="398"/>
      <c r="CS664" s="398"/>
      <c r="CT664" s="398"/>
      <c r="CU664" s="398"/>
      <c r="CV664" s="398"/>
      <c r="CW664" s="398"/>
      <c r="CX664" s="398"/>
      <c r="CY664" s="398"/>
      <c r="CZ664" s="398"/>
      <c r="DA664" s="398"/>
      <c r="DB664" s="398"/>
      <c r="DC664" s="398"/>
      <c r="DD664" s="398"/>
      <c r="DE664" s="393"/>
      <c r="DF664" s="393"/>
      <c r="DG664" s="393"/>
      <c r="DH664" s="393"/>
      <c r="DI664" s="393"/>
      <c r="DJ664" s="393"/>
      <c r="DK664" s="897"/>
    </row>
    <row r="665" spans="1:115" ht="38.25" x14ac:dyDescent="0.2">
      <c r="A665" s="295">
        <v>661</v>
      </c>
      <c r="B665" s="390" t="s">
        <v>7337</v>
      </c>
      <c r="C665" s="390"/>
      <c r="D665" s="391" t="s">
        <v>7338</v>
      </c>
      <c r="E665" s="705" t="s">
        <v>7339</v>
      </c>
      <c r="F665" s="475" t="s">
        <v>1375</v>
      </c>
      <c r="G665" s="475" t="s">
        <v>7340</v>
      </c>
      <c r="H665" s="475" t="s">
        <v>504</v>
      </c>
      <c r="I665" s="392"/>
      <c r="J665" s="392"/>
      <c r="K665" s="428" t="s">
        <v>504</v>
      </c>
      <c r="L665" s="428" t="s">
        <v>1150</v>
      </c>
      <c r="M665" s="392"/>
      <c r="N665" s="475" t="s">
        <v>44</v>
      </c>
      <c r="O665" s="475" t="s">
        <v>34</v>
      </c>
      <c r="P665" s="475" t="s">
        <v>34</v>
      </c>
      <c r="Q665" s="428" t="s">
        <v>1145</v>
      </c>
      <c r="R665" s="428" t="s">
        <v>6146</v>
      </c>
      <c r="S665" s="428" t="s">
        <v>912</v>
      </c>
      <c r="T665" s="394">
        <v>1</v>
      </c>
      <c r="U665" s="395">
        <v>6.2539999999999996</v>
      </c>
      <c r="V665" s="395"/>
      <c r="W665" s="453"/>
      <c r="X665" s="394"/>
      <c r="Y665" s="394">
        <v>7</v>
      </c>
      <c r="Z665" s="394">
        <v>5</v>
      </c>
      <c r="AA665" s="395">
        <v>0</v>
      </c>
      <c r="AB665" s="452">
        <v>42325</v>
      </c>
      <c r="AC665" s="398"/>
      <c r="AD665" s="398">
        <v>32.058175342465752</v>
      </c>
      <c r="AE665" s="475" t="s">
        <v>660</v>
      </c>
      <c r="AF665" s="417"/>
      <c r="AG665" s="417"/>
      <c r="AH665" s="417"/>
      <c r="AI665" s="394"/>
      <c r="AJ665" s="453"/>
      <c r="AK665" s="453"/>
      <c r="AL665" s="393"/>
      <c r="AM665" s="393"/>
      <c r="AN665" s="417"/>
      <c r="AO665" s="392"/>
      <c r="AP665" s="392"/>
      <c r="AQ665" s="428"/>
      <c r="AR665" s="428" t="s">
        <v>368</v>
      </c>
      <c r="AS665" s="479">
        <v>40753</v>
      </c>
      <c r="AT665" s="453"/>
      <c r="AU665" s="453"/>
      <c r="AV665" s="453"/>
      <c r="AW665" s="453"/>
      <c r="AX665" s="453"/>
      <c r="AY665" s="453"/>
      <c r="AZ665" s="452">
        <v>42327</v>
      </c>
      <c r="BA665" s="393"/>
      <c r="BB665" s="393"/>
      <c r="BC665" s="393" t="b">
        <v>0</v>
      </c>
      <c r="BD665" s="393"/>
      <c r="BE665" s="392"/>
      <c r="BF665" s="394">
        <v>8</v>
      </c>
      <c r="BG665" s="394">
        <v>9</v>
      </c>
      <c r="BH665" s="394">
        <v>6</v>
      </c>
      <c r="BI665" s="394">
        <v>1</v>
      </c>
      <c r="BJ665" s="394">
        <v>5</v>
      </c>
      <c r="BK665" s="394">
        <v>3</v>
      </c>
      <c r="BL665" s="444" t="s">
        <v>6981</v>
      </c>
      <c r="BM665" s="392"/>
      <c r="BN665" s="393"/>
      <c r="BO665" s="393"/>
      <c r="BP665" s="399"/>
      <c r="BQ665" s="400"/>
      <c r="BR665" s="401"/>
      <c r="BS665" s="399"/>
      <c r="BT665" s="394"/>
      <c r="BU665" s="417"/>
      <c r="BV665" s="399"/>
      <c r="BW665" s="475" t="s">
        <v>3165</v>
      </c>
      <c r="BX665" s="428" t="s">
        <v>4364</v>
      </c>
      <c r="BY665" s="475" t="s">
        <v>7224</v>
      </c>
      <c r="BZ665" s="393"/>
      <c r="CA665" s="441"/>
      <c r="CB665" s="400"/>
      <c r="CC665" s="398"/>
      <c r="CD665" s="398"/>
      <c r="CE665" s="398"/>
      <c r="CF665" s="398"/>
      <c r="CG665" s="398"/>
      <c r="CH665" s="398"/>
      <c r="CI665" s="398"/>
      <c r="CJ665" s="398"/>
      <c r="CK665" s="398">
        <v>48.066000000000003</v>
      </c>
      <c r="CL665" s="398">
        <v>53.914000000000001</v>
      </c>
      <c r="CM665" s="398">
        <v>53.914000000000001</v>
      </c>
      <c r="CN665" s="398">
        <v>53.914000000000001</v>
      </c>
      <c r="CO665" s="398">
        <v>53.914000000000001</v>
      </c>
      <c r="CP665" s="398">
        <v>53.914000000000001</v>
      </c>
      <c r="CQ665" s="398">
        <v>53.914000000000001</v>
      </c>
      <c r="CR665" s="398"/>
      <c r="CS665" s="398"/>
      <c r="CT665" s="398"/>
      <c r="CU665" s="398"/>
      <c r="CV665" s="398"/>
      <c r="CW665" s="398"/>
      <c r="CX665" s="398"/>
      <c r="CY665" s="398"/>
      <c r="CZ665" s="398"/>
      <c r="DA665" s="398"/>
      <c r="DB665" s="398"/>
      <c r="DC665" s="398"/>
      <c r="DD665" s="398"/>
      <c r="DE665" s="393"/>
      <c r="DF665" s="393"/>
      <c r="DG665" s="393"/>
      <c r="DH665" s="393"/>
      <c r="DI665" s="393"/>
      <c r="DJ665" s="393"/>
      <c r="DK665" s="897"/>
    </row>
    <row r="666" spans="1:115" ht="25.5" x14ac:dyDescent="0.2">
      <c r="A666" s="295">
        <v>662</v>
      </c>
      <c r="B666" s="390" t="s">
        <v>7998</v>
      </c>
      <c r="C666" s="390"/>
      <c r="D666" s="391" t="s">
        <v>7995</v>
      </c>
      <c r="E666" s="705" t="s">
        <v>8001</v>
      </c>
      <c r="F666" s="475" t="s">
        <v>1375</v>
      </c>
      <c r="G666" s="393" t="s">
        <v>998</v>
      </c>
      <c r="H666" s="393" t="s">
        <v>218</v>
      </c>
      <c r="I666" s="392"/>
      <c r="J666" s="392"/>
      <c r="K666" s="428" t="s">
        <v>8005</v>
      </c>
      <c r="L666" s="428" t="s">
        <v>8006</v>
      </c>
      <c r="M666" s="392"/>
      <c r="N666" s="475" t="s">
        <v>44</v>
      </c>
      <c r="O666" s="475" t="s">
        <v>34</v>
      </c>
      <c r="P666" s="475" t="s">
        <v>34</v>
      </c>
      <c r="Q666" s="428" t="s">
        <v>1145</v>
      </c>
      <c r="R666" s="428" t="s">
        <v>6146</v>
      </c>
      <c r="S666" s="428" t="s">
        <v>912</v>
      </c>
      <c r="T666" s="394">
        <v>1</v>
      </c>
      <c r="U666" s="395">
        <v>59.892000000000003</v>
      </c>
      <c r="V666" s="395"/>
      <c r="W666" s="453"/>
      <c r="X666" s="394"/>
      <c r="Y666" s="394">
        <v>7</v>
      </c>
      <c r="Z666" s="394">
        <v>5</v>
      </c>
      <c r="AA666" s="395">
        <v>0</v>
      </c>
      <c r="AB666" s="452">
        <v>42390</v>
      </c>
      <c r="AC666" s="398"/>
      <c r="AD666" s="398">
        <v>296.34233424657538</v>
      </c>
      <c r="AE666" s="475" t="s">
        <v>660</v>
      </c>
      <c r="AF666" s="417"/>
      <c r="AG666" s="417"/>
      <c r="AH666" s="417"/>
      <c r="AI666" s="394"/>
      <c r="AJ666" s="453"/>
      <c r="AK666" s="453"/>
      <c r="AL666" s="393"/>
      <c r="AM666" s="393"/>
      <c r="AN666" s="417"/>
      <c r="AO666" s="392"/>
      <c r="AP666" s="392"/>
      <c r="AQ666" s="428"/>
      <c r="AR666" s="428" t="s">
        <v>368</v>
      </c>
      <c r="AS666" s="479">
        <v>40753</v>
      </c>
      <c r="AT666" s="453"/>
      <c r="AU666" s="453"/>
      <c r="AV666" s="453"/>
      <c r="AW666" s="453"/>
      <c r="AX666" s="453"/>
      <c r="AY666" s="453"/>
      <c r="AZ666" s="452">
        <v>42390</v>
      </c>
      <c r="BA666" s="393"/>
      <c r="BB666" s="393"/>
      <c r="BC666" s="393" t="b">
        <v>0</v>
      </c>
      <c r="BD666" s="393"/>
      <c r="BE666" s="392"/>
      <c r="BF666" s="394">
        <v>8</v>
      </c>
      <c r="BG666" s="394">
        <v>9</v>
      </c>
      <c r="BH666" s="394">
        <v>6</v>
      </c>
      <c r="BI666" s="394">
        <v>1</v>
      </c>
      <c r="BJ666" s="394">
        <v>5</v>
      </c>
      <c r="BK666" s="394">
        <v>3</v>
      </c>
      <c r="BL666" s="444" t="s">
        <v>6981</v>
      </c>
      <c r="BM666" s="392"/>
      <c r="BN666" s="393"/>
      <c r="BO666" s="393"/>
      <c r="BP666" s="399"/>
      <c r="BQ666" s="400"/>
      <c r="BR666" s="401"/>
      <c r="BS666" s="399"/>
      <c r="BT666" s="394"/>
      <c r="BU666" s="417"/>
      <c r="BV666" s="399"/>
      <c r="BW666" s="475" t="s">
        <v>3165</v>
      </c>
      <c r="BX666" s="428" t="s">
        <v>4364</v>
      </c>
      <c r="BY666" s="475"/>
      <c r="BZ666" s="393"/>
      <c r="CA666" s="441"/>
      <c r="CB666" s="400"/>
      <c r="CC666" s="398"/>
      <c r="CD666" s="398"/>
      <c r="CE666" s="398"/>
      <c r="CF666" s="398"/>
      <c r="CG666" s="398"/>
      <c r="CH666" s="398"/>
      <c r="CI666" s="398"/>
      <c r="CJ666" s="398"/>
      <c r="CK666" s="398"/>
      <c r="CL666" s="398">
        <v>54.393999999999998</v>
      </c>
      <c r="CM666" s="398">
        <v>59.892000000000003</v>
      </c>
      <c r="CN666" s="398">
        <v>59.892000000000003</v>
      </c>
      <c r="CO666" s="398">
        <v>59.892000000000003</v>
      </c>
      <c r="CP666" s="398">
        <v>59.892000000000003</v>
      </c>
      <c r="CQ666" s="398">
        <v>59.892000000000003</v>
      </c>
      <c r="CR666" s="398">
        <v>59.892000000000003</v>
      </c>
      <c r="CS666" s="398"/>
      <c r="CT666" s="398"/>
      <c r="CU666" s="398"/>
      <c r="CV666" s="398"/>
      <c r="CW666" s="398"/>
      <c r="CX666" s="398"/>
      <c r="CY666" s="398"/>
      <c r="CZ666" s="398"/>
      <c r="DA666" s="398"/>
      <c r="DB666" s="398"/>
      <c r="DC666" s="398"/>
      <c r="DD666" s="398"/>
      <c r="DE666" s="393"/>
      <c r="DF666" s="393"/>
      <c r="DG666" s="393"/>
      <c r="DH666" s="393"/>
      <c r="DI666" s="393"/>
      <c r="DJ666" s="393"/>
      <c r="DK666" s="897"/>
    </row>
    <row r="667" spans="1:115" ht="38.25" x14ac:dyDescent="0.2">
      <c r="A667" s="295">
        <v>663</v>
      </c>
      <c r="B667" s="390" t="s">
        <v>7999</v>
      </c>
      <c r="C667" s="390"/>
      <c r="D667" s="391" t="s">
        <v>7996</v>
      </c>
      <c r="E667" s="705" t="s">
        <v>8002</v>
      </c>
      <c r="F667" s="475" t="s">
        <v>1375</v>
      </c>
      <c r="G667" s="393" t="s">
        <v>998</v>
      </c>
      <c r="H667" s="393" t="s">
        <v>218</v>
      </c>
      <c r="I667" s="392"/>
      <c r="J667" s="392"/>
      <c r="K667" s="428" t="s">
        <v>8007</v>
      </c>
      <c r="L667" s="428" t="s">
        <v>8006</v>
      </c>
      <c r="M667" s="392"/>
      <c r="N667" s="475" t="s">
        <v>44</v>
      </c>
      <c r="O667" s="475" t="s">
        <v>34</v>
      </c>
      <c r="P667" s="475" t="s">
        <v>34</v>
      </c>
      <c r="Q667" s="428" t="s">
        <v>1145</v>
      </c>
      <c r="R667" s="428" t="s">
        <v>6146</v>
      </c>
      <c r="S667" s="428" t="s">
        <v>912</v>
      </c>
      <c r="T667" s="394">
        <v>1</v>
      </c>
      <c r="U667" s="395">
        <v>41.948999999999998</v>
      </c>
      <c r="V667" s="395"/>
      <c r="W667" s="453"/>
      <c r="X667" s="394"/>
      <c r="Y667" s="394">
        <v>7</v>
      </c>
      <c r="Z667" s="394">
        <v>5</v>
      </c>
      <c r="AA667" s="395">
        <v>0</v>
      </c>
      <c r="AB667" s="452">
        <v>42390</v>
      </c>
      <c r="AC667" s="398"/>
      <c r="AD667" s="398">
        <v>207.56135342465754</v>
      </c>
      <c r="AE667" s="475" t="s">
        <v>660</v>
      </c>
      <c r="AF667" s="417"/>
      <c r="AG667" s="417"/>
      <c r="AH667" s="417"/>
      <c r="AI667" s="394"/>
      <c r="AJ667" s="453"/>
      <c r="AK667" s="453"/>
      <c r="AL667" s="393"/>
      <c r="AM667" s="393"/>
      <c r="AN667" s="417"/>
      <c r="AO667" s="392"/>
      <c r="AP667" s="392"/>
      <c r="AQ667" s="428"/>
      <c r="AR667" s="428" t="s">
        <v>368</v>
      </c>
      <c r="AS667" s="479">
        <v>40753</v>
      </c>
      <c r="AT667" s="453"/>
      <c r="AU667" s="453"/>
      <c r="AV667" s="453"/>
      <c r="AW667" s="453"/>
      <c r="AX667" s="453"/>
      <c r="AY667" s="453"/>
      <c r="AZ667" s="452">
        <v>42390</v>
      </c>
      <c r="BA667" s="393"/>
      <c r="BB667" s="393"/>
      <c r="BC667" s="393" t="b">
        <v>0</v>
      </c>
      <c r="BD667" s="393"/>
      <c r="BE667" s="392"/>
      <c r="BF667" s="394">
        <v>8</v>
      </c>
      <c r="BG667" s="394">
        <v>9</v>
      </c>
      <c r="BH667" s="394">
        <v>6</v>
      </c>
      <c r="BI667" s="394">
        <v>1</v>
      </c>
      <c r="BJ667" s="394">
        <v>5</v>
      </c>
      <c r="BK667" s="394">
        <v>3</v>
      </c>
      <c r="BL667" s="444" t="s">
        <v>6981</v>
      </c>
      <c r="BM667" s="392"/>
      <c r="BN667" s="393"/>
      <c r="BO667" s="393"/>
      <c r="BP667" s="399"/>
      <c r="BQ667" s="400"/>
      <c r="BR667" s="401"/>
      <c r="BS667" s="399"/>
      <c r="BT667" s="394"/>
      <c r="BU667" s="417"/>
      <c r="BV667" s="399"/>
      <c r="BW667" s="475" t="s">
        <v>3165</v>
      </c>
      <c r="BX667" s="428" t="s">
        <v>4364</v>
      </c>
      <c r="BY667" s="475"/>
      <c r="BZ667" s="393"/>
      <c r="CA667" s="441"/>
      <c r="CB667" s="400"/>
      <c r="CC667" s="398"/>
      <c r="CD667" s="398"/>
      <c r="CE667" s="398"/>
      <c r="CF667" s="398"/>
      <c r="CG667" s="398"/>
      <c r="CH667" s="398"/>
      <c r="CI667" s="398"/>
      <c r="CJ667" s="398"/>
      <c r="CK667" s="398"/>
      <c r="CL667" s="398">
        <v>24.879000000000001</v>
      </c>
      <c r="CM667" s="398">
        <v>44.793999999999997</v>
      </c>
      <c r="CN667" s="398">
        <v>44.793999999999997</v>
      </c>
      <c r="CO667" s="398">
        <v>44.793999999999997</v>
      </c>
      <c r="CP667" s="398">
        <v>44.793999999999997</v>
      </c>
      <c r="CQ667" s="398">
        <v>44.793999999999997</v>
      </c>
      <c r="CR667" s="398">
        <v>44.793999999999997</v>
      </c>
      <c r="CS667" s="398"/>
      <c r="CT667" s="398"/>
      <c r="CU667" s="398"/>
      <c r="CV667" s="398"/>
      <c r="CW667" s="398"/>
      <c r="CX667" s="398"/>
      <c r="CY667" s="398"/>
      <c r="CZ667" s="398"/>
      <c r="DA667" s="398"/>
      <c r="DB667" s="398"/>
      <c r="DC667" s="398"/>
      <c r="DD667" s="398"/>
      <c r="DE667" s="393"/>
      <c r="DF667" s="393"/>
      <c r="DG667" s="393"/>
      <c r="DH667" s="393"/>
      <c r="DI667" s="393"/>
      <c r="DJ667" s="393"/>
      <c r="DK667" s="897"/>
    </row>
    <row r="668" spans="1:115" ht="51" x14ac:dyDescent="0.2">
      <c r="A668" s="295">
        <v>664</v>
      </c>
      <c r="B668" s="390" t="s">
        <v>8000</v>
      </c>
      <c r="C668" s="390"/>
      <c r="D668" s="391" t="s">
        <v>7997</v>
      </c>
      <c r="E668" s="705" t="s">
        <v>8003</v>
      </c>
      <c r="F668" s="475" t="s">
        <v>1375</v>
      </c>
      <c r="G668" s="475" t="s">
        <v>7340</v>
      </c>
      <c r="H668" s="475" t="s">
        <v>504</v>
      </c>
      <c r="I668" s="392"/>
      <c r="J668" s="392"/>
      <c r="K668" s="428" t="s">
        <v>8008</v>
      </c>
      <c r="L668" s="428" t="s">
        <v>8006</v>
      </c>
      <c r="M668" s="392"/>
      <c r="N668" s="475" t="s">
        <v>44</v>
      </c>
      <c r="O668" s="475" t="s">
        <v>34</v>
      </c>
      <c r="P668" s="475" t="s">
        <v>34</v>
      </c>
      <c r="Q668" s="428" t="s">
        <v>1145</v>
      </c>
      <c r="R668" s="428" t="s">
        <v>6146</v>
      </c>
      <c r="S668" s="428" t="s">
        <v>912</v>
      </c>
      <c r="T668" s="394">
        <v>1</v>
      </c>
      <c r="U668" s="395">
        <v>49.002000000000002</v>
      </c>
      <c r="V668" s="395"/>
      <c r="W668" s="453"/>
      <c r="X668" s="394"/>
      <c r="Y668" s="394">
        <v>7</v>
      </c>
      <c r="Z668" s="394">
        <v>5</v>
      </c>
      <c r="AA668" s="395">
        <v>0</v>
      </c>
      <c r="AB668" s="452">
        <v>42390</v>
      </c>
      <c r="AC668" s="398"/>
      <c r="AD668" s="398">
        <v>242.45921095890412</v>
      </c>
      <c r="AE668" s="475" t="s">
        <v>660</v>
      </c>
      <c r="AF668" s="417"/>
      <c r="AG668" s="417"/>
      <c r="AH668" s="417"/>
      <c r="AI668" s="394"/>
      <c r="AJ668" s="453"/>
      <c r="AK668" s="453"/>
      <c r="AL668" s="393"/>
      <c r="AM668" s="393"/>
      <c r="AN668" s="417"/>
      <c r="AO668" s="392"/>
      <c r="AP668" s="392"/>
      <c r="AQ668" s="428"/>
      <c r="AR668" s="428" t="s">
        <v>368</v>
      </c>
      <c r="AS668" s="479">
        <v>40753</v>
      </c>
      <c r="AT668" s="453"/>
      <c r="AU668" s="453"/>
      <c r="AV668" s="453"/>
      <c r="AW668" s="453"/>
      <c r="AX668" s="453"/>
      <c r="AY668" s="453"/>
      <c r="AZ668" s="452">
        <v>42390</v>
      </c>
      <c r="BA668" s="393"/>
      <c r="BB668" s="393"/>
      <c r="BC668" s="393" t="b">
        <v>0</v>
      </c>
      <c r="BD668" s="393"/>
      <c r="BE668" s="392"/>
      <c r="BF668" s="394">
        <v>8</v>
      </c>
      <c r="BG668" s="394">
        <v>9</v>
      </c>
      <c r="BH668" s="394">
        <v>6</v>
      </c>
      <c r="BI668" s="394">
        <v>1</v>
      </c>
      <c r="BJ668" s="394">
        <v>5</v>
      </c>
      <c r="BK668" s="394">
        <v>3</v>
      </c>
      <c r="BL668" s="444" t="s">
        <v>6981</v>
      </c>
      <c r="BM668" s="392"/>
      <c r="BN668" s="393"/>
      <c r="BO668" s="393"/>
      <c r="BP668" s="399"/>
      <c r="BQ668" s="400"/>
      <c r="BR668" s="401"/>
      <c r="BS668" s="399"/>
      <c r="BT668" s="394"/>
      <c r="BU668" s="417"/>
      <c r="BV668" s="399"/>
      <c r="BW668" s="475" t="s">
        <v>3165</v>
      </c>
      <c r="BX668" s="428" t="s">
        <v>4364</v>
      </c>
      <c r="BY668" s="475"/>
      <c r="BZ668" s="393"/>
      <c r="CA668" s="441"/>
      <c r="CB668" s="400"/>
      <c r="CC668" s="398"/>
      <c r="CD668" s="398"/>
      <c r="CE668" s="398"/>
      <c r="CF668" s="398"/>
      <c r="CG668" s="398"/>
      <c r="CH668" s="398"/>
      <c r="CI668" s="398"/>
      <c r="CJ668" s="398"/>
      <c r="CK668" s="398"/>
      <c r="CL668" s="398">
        <v>40.887999999999998</v>
      </c>
      <c r="CM668" s="520">
        <v>50.354999999999997</v>
      </c>
      <c r="CN668" s="520">
        <v>50.354999999999997</v>
      </c>
      <c r="CO668" s="520">
        <v>50.354999999999997</v>
      </c>
      <c r="CP668" s="520">
        <v>50.354999999999997</v>
      </c>
      <c r="CQ668" s="520">
        <v>50.354999999999997</v>
      </c>
      <c r="CR668" s="520">
        <v>50.354999999999997</v>
      </c>
      <c r="CS668" s="398"/>
      <c r="CT668" s="398"/>
      <c r="CU668" s="398"/>
      <c r="CV668" s="398"/>
      <c r="CW668" s="398"/>
      <c r="CX668" s="398"/>
      <c r="CY668" s="398"/>
      <c r="CZ668" s="398"/>
      <c r="DA668" s="398"/>
      <c r="DB668" s="398"/>
      <c r="DC668" s="398"/>
      <c r="DD668" s="398"/>
      <c r="DE668" s="393"/>
      <c r="DF668" s="393"/>
      <c r="DG668" s="393"/>
      <c r="DH668" s="393"/>
      <c r="DI668" s="393"/>
      <c r="DJ668" s="393"/>
      <c r="DK668" s="897"/>
    </row>
    <row r="669" spans="1:115" ht="38.25" x14ac:dyDescent="0.2">
      <c r="A669" s="295">
        <v>665</v>
      </c>
      <c r="B669" s="390" t="s">
        <v>8254</v>
      </c>
      <c r="C669" s="390"/>
      <c r="D669" s="391" t="s">
        <v>8255</v>
      </c>
      <c r="E669" s="709" t="s">
        <v>8266</v>
      </c>
      <c r="F669" s="475" t="s">
        <v>1375</v>
      </c>
      <c r="G669" s="393" t="s">
        <v>998</v>
      </c>
      <c r="H669" s="393" t="s">
        <v>245</v>
      </c>
      <c r="I669" s="563"/>
      <c r="J669" s="563"/>
      <c r="K669" s="560" t="s">
        <v>8272</v>
      </c>
      <c r="L669" s="428" t="s">
        <v>8006</v>
      </c>
      <c r="M669" s="563"/>
      <c r="N669" s="475" t="s">
        <v>44</v>
      </c>
      <c r="O669" s="475" t="s">
        <v>34</v>
      </c>
      <c r="P669" s="475" t="s">
        <v>34</v>
      </c>
      <c r="Q669" s="428" t="s">
        <v>1145</v>
      </c>
      <c r="R669" s="560" t="s">
        <v>6146</v>
      </c>
      <c r="S669" s="428" t="s">
        <v>912</v>
      </c>
      <c r="T669" s="394">
        <v>1</v>
      </c>
      <c r="U669" s="565">
        <v>59.338999999999999</v>
      </c>
      <c r="V669" s="565"/>
      <c r="W669" s="566"/>
      <c r="X669" s="564"/>
      <c r="Y669" s="564">
        <v>7</v>
      </c>
      <c r="Z669" s="564">
        <v>5</v>
      </c>
      <c r="AA669" s="565">
        <v>0</v>
      </c>
      <c r="AB669" s="567">
        <v>42626</v>
      </c>
      <c r="AC669" s="568"/>
      <c r="AD669" s="568">
        <v>255.23898630136986</v>
      </c>
      <c r="AE669" s="475" t="s">
        <v>660</v>
      </c>
      <c r="AF669" s="569"/>
      <c r="AG669" s="569"/>
      <c r="AH669" s="569"/>
      <c r="AI669" s="564"/>
      <c r="AJ669" s="566"/>
      <c r="AK669" s="566"/>
      <c r="AL669" s="561"/>
      <c r="AM669" s="561"/>
      <c r="AN669" s="569"/>
      <c r="AO669" s="563"/>
      <c r="AP669" s="563"/>
      <c r="AQ669" s="560"/>
      <c r="AR669" s="428" t="s">
        <v>368</v>
      </c>
      <c r="AS669" s="479">
        <v>40753</v>
      </c>
      <c r="AT669" s="566"/>
      <c r="AU669" s="566"/>
      <c r="AV669" s="566"/>
      <c r="AW669" s="566"/>
      <c r="AX669" s="566"/>
      <c r="AY669" s="566"/>
      <c r="AZ669" s="567">
        <v>42626</v>
      </c>
      <c r="BA669" s="561"/>
      <c r="BB669" s="561"/>
      <c r="BC669" s="393" t="b">
        <v>0</v>
      </c>
      <c r="BD669" s="561"/>
      <c r="BE669" s="563"/>
      <c r="BF669" s="394">
        <v>8</v>
      </c>
      <c r="BG669" s="394">
        <v>9</v>
      </c>
      <c r="BH669" s="394">
        <v>6</v>
      </c>
      <c r="BI669" s="394">
        <v>1</v>
      </c>
      <c r="BJ669" s="394">
        <v>5</v>
      </c>
      <c r="BK669" s="394">
        <v>3</v>
      </c>
      <c r="BL669" s="444" t="s">
        <v>6981</v>
      </c>
      <c r="BM669" s="563"/>
      <c r="BN669" s="561"/>
      <c r="BO669" s="561"/>
      <c r="BP669" s="571"/>
      <c r="BQ669" s="572"/>
      <c r="BR669" s="573"/>
      <c r="BS669" s="571"/>
      <c r="BT669" s="564"/>
      <c r="BU669" s="569"/>
      <c r="BV669" s="571"/>
      <c r="BW669" s="475" t="s">
        <v>3165</v>
      </c>
      <c r="BX669" s="428" t="s">
        <v>4364</v>
      </c>
      <c r="BY669" s="562"/>
      <c r="BZ669" s="561"/>
      <c r="CA669" s="574"/>
      <c r="CB669" s="572"/>
      <c r="CC669" s="568"/>
      <c r="CD669" s="568"/>
      <c r="CE669" s="568"/>
      <c r="CF669" s="568"/>
      <c r="CG669" s="568"/>
      <c r="CH669" s="568"/>
      <c r="CI669" s="568"/>
      <c r="CJ669" s="568"/>
      <c r="CK669" s="568"/>
      <c r="CL669" s="568">
        <v>57.662999999999997</v>
      </c>
      <c r="CM669" s="579">
        <v>59.619</v>
      </c>
      <c r="CN669" s="579">
        <v>59.619</v>
      </c>
      <c r="CO669" s="579">
        <v>59.619</v>
      </c>
      <c r="CP669" s="579">
        <v>59.619</v>
      </c>
      <c r="CQ669" s="579">
        <v>59.619</v>
      </c>
      <c r="CR669" s="579">
        <v>59.619</v>
      </c>
      <c r="CS669" s="568"/>
      <c r="CT669" s="568"/>
      <c r="CU669" s="568"/>
      <c r="CV669" s="568"/>
      <c r="CW669" s="568"/>
      <c r="CX669" s="568"/>
      <c r="CY669" s="568"/>
      <c r="CZ669" s="568"/>
      <c r="DA669" s="568"/>
      <c r="DB669" s="568"/>
      <c r="DC669" s="568"/>
      <c r="DD669" s="568"/>
      <c r="DE669" s="561"/>
      <c r="DF669" s="561"/>
      <c r="DG669" s="561"/>
      <c r="DH669" s="561"/>
      <c r="DI669" s="561"/>
      <c r="DJ669" s="561"/>
      <c r="DK669" s="897"/>
    </row>
    <row r="670" spans="1:115" ht="25.5" x14ac:dyDescent="0.2">
      <c r="A670" s="295">
        <v>666</v>
      </c>
      <c r="B670" s="390" t="s">
        <v>8256</v>
      </c>
      <c r="C670" s="390"/>
      <c r="D670" s="391" t="s">
        <v>8257</v>
      </c>
      <c r="E670" s="709" t="s">
        <v>8267</v>
      </c>
      <c r="F670" s="475" t="s">
        <v>1375</v>
      </c>
      <c r="G670" s="393" t="s">
        <v>998</v>
      </c>
      <c r="H670" s="393" t="s">
        <v>245</v>
      </c>
      <c r="I670" s="563"/>
      <c r="J670" s="563"/>
      <c r="K670" s="560" t="s">
        <v>8273</v>
      </c>
      <c r="L670" s="428" t="s">
        <v>8006</v>
      </c>
      <c r="M670" s="563"/>
      <c r="N670" s="475" t="s">
        <v>44</v>
      </c>
      <c r="O670" s="475" t="s">
        <v>34</v>
      </c>
      <c r="P670" s="475" t="s">
        <v>34</v>
      </c>
      <c r="Q670" s="428" t="s">
        <v>1145</v>
      </c>
      <c r="R670" s="560" t="s">
        <v>6146</v>
      </c>
      <c r="S670" s="428" t="s">
        <v>912</v>
      </c>
      <c r="T670" s="394">
        <v>1</v>
      </c>
      <c r="U670" s="565">
        <v>57.491</v>
      </c>
      <c r="V670" s="565"/>
      <c r="W670" s="566"/>
      <c r="X670" s="564"/>
      <c r="Y670" s="564">
        <v>7</v>
      </c>
      <c r="Z670" s="564">
        <v>5</v>
      </c>
      <c r="AA670" s="565">
        <v>0</v>
      </c>
      <c r="AB670" s="567">
        <v>42626</v>
      </c>
      <c r="AC670" s="568"/>
      <c r="AD670" s="568">
        <v>247.29005479452053</v>
      </c>
      <c r="AE670" s="475" t="s">
        <v>660</v>
      </c>
      <c r="AF670" s="569"/>
      <c r="AG670" s="569"/>
      <c r="AH670" s="569"/>
      <c r="AI670" s="564"/>
      <c r="AJ670" s="566"/>
      <c r="AK670" s="566"/>
      <c r="AL670" s="561"/>
      <c r="AM670" s="561"/>
      <c r="AN670" s="569"/>
      <c r="AO670" s="563"/>
      <c r="AP670" s="563"/>
      <c r="AQ670" s="560"/>
      <c r="AR670" s="428" t="s">
        <v>368</v>
      </c>
      <c r="AS670" s="479">
        <v>40753</v>
      </c>
      <c r="AT670" s="566"/>
      <c r="AU670" s="566"/>
      <c r="AV670" s="566"/>
      <c r="AW670" s="566"/>
      <c r="AX670" s="566"/>
      <c r="AY670" s="566"/>
      <c r="AZ670" s="567">
        <v>42626</v>
      </c>
      <c r="BA670" s="561"/>
      <c r="BB670" s="561"/>
      <c r="BC670" s="393" t="b">
        <v>0</v>
      </c>
      <c r="BD670" s="561"/>
      <c r="BE670" s="563"/>
      <c r="BF670" s="394">
        <v>8</v>
      </c>
      <c r="BG670" s="394">
        <v>9</v>
      </c>
      <c r="BH670" s="394">
        <v>6</v>
      </c>
      <c r="BI670" s="394">
        <v>1</v>
      </c>
      <c r="BJ670" s="394">
        <v>5</v>
      </c>
      <c r="BK670" s="394">
        <v>3</v>
      </c>
      <c r="BL670" s="444" t="s">
        <v>6981</v>
      </c>
      <c r="BM670" s="563"/>
      <c r="BN670" s="561"/>
      <c r="BO670" s="561"/>
      <c r="BP670" s="571"/>
      <c r="BQ670" s="572"/>
      <c r="BR670" s="573"/>
      <c r="BS670" s="571"/>
      <c r="BT670" s="564"/>
      <c r="BU670" s="569"/>
      <c r="BV670" s="571"/>
      <c r="BW670" s="475" t="s">
        <v>3165</v>
      </c>
      <c r="BX670" s="428" t="s">
        <v>4364</v>
      </c>
      <c r="BY670" s="562"/>
      <c r="BZ670" s="561"/>
      <c r="CA670" s="574"/>
      <c r="CB670" s="572"/>
      <c r="CC670" s="568"/>
      <c r="CD670" s="568"/>
      <c r="CE670" s="568"/>
      <c r="CF670" s="568"/>
      <c r="CG670" s="568"/>
      <c r="CH670" s="568"/>
      <c r="CI670" s="568"/>
      <c r="CJ670" s="568"/>
      <c r="CK670" s="568"/>
      <c r="CL670" s="568">
        <v>56.34</v>
      </c>
      <c r="CM670" s="579">
        <v>57.491</v>
      </c>
      <c r="CN670" s="579">
        <v>57.491</v>
      </c>
      <c r="CO670" s="579">
        <v>57.491</v>
      </c>
      <c r="CP670" s="579">
        <v>57.491</v>
      </c>
      <c r="CQ670" s="579">
        <v>57.491</v>
      </c>
      <c r="CR670" s="579">
        <v>57.491</v>
      </c>
      <c r="CS670" s="568"/>
      <c r="CT670" s="568"/>
      <c r="CU670" s="568"/>
      <c r="CV670" s="568"/>
      <c r="CW670" s="568"/>
      <c r="CX670" s="568"/>
      <c r="CY670" s="568"/>
      <c r="CZ670" s="568"/>
      <c r="DA670" s="568"/>
      <c r="DB670" s="568"/>
      <c r="DC670" s="568"/>
      <c r="DD670" s="568"/>
      <c r="DE670" s="561"/>
      <c r="DF670" s="561"/>
      <c r="DG670" s="561"/>
      <c r="DH670" s="561"/>
      <c r="DI670" s="561"/>
      <c r="DJ670" s="561"/>
      <c r="DK670" s="897"/>
    </row>
    <row r="671" spans="1:115" ht="25.5" x14ac:dyDescent="0.2">
      <c r="A671" s="295">
        <v>667</v>
      </c>
      <c r="B671" s="390" t="s">
        <v>8258</v>
      </c>
      <c r="C671" s="390"/>
      <c r="D671" s="391" t="s">
        <v>8259</v>
      </c>
      <c r="E671" s="709" t="s">
        <v>8268</v>
      </c>
      <c r="F671" s="475" t="s">
        <v>1375</v>
      </c>
      <c r="G671" s="475" t="s">
        <v>7340</v>
      </c>
      <c r="H671" s="475" t="s">
        <v>504</v>
      </c>
      <c r="I671" s="563"/>
      <c r="J671" s="563"/>
      <c r="K671" s="560" t="s">
        <v>8274</v>
      </c>
      <c r="L671" s="428" t="s">
        <v>8006</v>
      </c>
      <c r="M671" s="563"/>
      <c r="N671" s="475" t="s">
        <v>44</v>
      </c>
      <c r="O671" s="475" t="s">
        <v>34</v>
      </c>
      <c r="P671" s="475" t="s">
        <v>34</v>
      </c>
      <c r="Q671" s="428" t="s">
        <v>1145</v>
      </c>
      <c r="R671" s="560" t="s">
        <v>6146</v>
      </c>
      <c r="S671" s="428" t="s">
        <v>912</v>
      </c>
      <c r="T671" s="394">
        <v>1</v>
      </c>
      <c r="U671" s="565">
        <v>44.215000000000003</v>
      </c>
      <c r="V671" s="565"/>
      <c r="W671" s="566"/>
      <c r="X671" s="564"/>
      <c r="Y671" s="564">
        <v>7</v>
      </c>
      <c r="Z671" s="564">
        <v>5</v>
      </c>
      <c r="AA671" s="565">
        <v>0</v>
      </c>
      <c r="AB671" s="567">
        <v>42626</v>
      </c>
      <c r="AC671" s="568"/>
      <c r="AD671" s="568">
        <v>190.18506849315068</v>
      </c>
      <c r="AE671" s="475" t="s">
        <v>660</v>
      </c>
      <c r="AF671" s="569"/>
      <c r="AG671" s="569"/>
      <c r="AH671" s="569"/>
      <c r="AI671" s="564"/>
      <c r="AJ671" s="566"/>
      <c r="AK671" s="566"/>
      <c r="AL671" s="561"/>
      <c r="AM671" s="561"/>
      <c r="AN671" s="569"/>
      <c r="AO671" s="563"/>
      <c r="AP671" s="563"/>
      <c r="AQ671" s="560"/>
      <c r="AR671" s="428" t="s">
        <v>368</v>
      </c>
      <c r="AS671" s="479">
        <v>40753</v>
      </c>
      <c r="AT671" s="566"/>
      <c r="AU671" s="566"/>
      <c r="AV671" s="566"/>
      <c r="AW671" s="566"/>
      <c r="AX671" s="566"/>
      <c r="AY671" s="566"/>
      <c r="AZ671" s="567">
        <v>42626</v>
      </c>
      <c r="BA671" s="561"/>
      <c r="BB671" s="561"/>
      <c r="BC671" s="393" t="b">
        <v>0</v>
      </c>
      <c r="BD671" s="561"/>
      <c r="BE671" s="563"/>
      <c r="BF671" s="394">
        <v>8</v>
      </c>
      <c r="BG671" s="394">
        <v>9</v>
      </c>
      <c r="BH671" s="394">
        <v>6</v>
      </c>
      <c r="BI671" s="394">
        <v>1</v>
      </c>
      <c r="BJ671" s="394">
        <v>5</v>
      </c>
      <c r="BK671" s="394">
        <v>3</v>
      </c>
      <c r="BL671" s="444" t="s">
        <v>6981</v>
      </c>
      <c r="BM671" s="563"/>
      <c r="BN671" s="561"/>
      <c r="BO671" s="561"/>
      <c r="BP671" s="571"/>
      <c r="BQ671" s="572"/>
      <c r="BR671" s="573"/>
      <c r="BS671" s="571"/>
      <c r="BT671" s="564"/>
      <c r="BU671" s="569"/>
      <c r="BV671" s="571"/>
      <c r="BW671" s="475" t="s">
        <v>3165</v>
      </c>
      <c r="BX671" s="428" t="s">
        <v>4364</v>
      </c>
      <c r="BY671" s="562"/>
      <c r="BZ671" s="561"/>
      <c r="CA671" s="574"/>
      <c r="CB671" s="572"/>
      <c r="CC671" s="568"/>
      <c r="CD671" s="568"/>
      <c r="CE671" s="568"/>
      <c r="CF671" s="568"/>
      <c r="CG671" s="568"/>
      <c r="CH671" s="568"/>
      <c r="CI671" s="568"/>
      <c r="CJ671" s="568"/>
      <c r="CK671" s="568"/>
      <c r="CL671" s="568">
        <v>38.142000000000003</v>
      </c>
      <c r="CM671" s="579">
        <v>45.228000000000002</v>
      </c>
      <c r="CN671" s="579">
        <v>45.228000000000002</v>
      </c>
      <c r="CO671" s="579">
        <v>45.228000000000002</v>
      </c>
      <c r="CP671" s="579">
        <v>45.228000000000002</v>
      </c>
      <c r="CQ671" s="579">
        <v>45.228000000000002</v>
      </c>
      <c r="CR671" s="579">
        <v>45.228000000000002</v>
      </c>
      <c r="CS671" s="568"/>
      <c r="CT671" s="568"/>
      <c r="CU671" s="568"/>
      <c r="CV671" s="568"/>
      <c r="CW671" s="568"/>
      <c r="CX671" s="568"/>
      <c r="CY671" s="568"/>
      <c r="CZ671" s="568"/>
      <c r="DA671" s="568"/>
      <c r="DB671" s="568"/>
      <c r="DC671" s="568"/>
      <c r="DD671" s="568"/>
      <c r="DE671" s="561"/>
      <c r="DF671" s="561"/>
      <c r="DG671" s="561"/>
      <c r="DH671" s="561"/>
      <c r="DI671" s="561"/>
      <c r="DJ671" s="561"/>
      <c r="DK671" s="897"/>
    </row>
    <row r="672" spans="1:115" ht="25.5" x14ac:dyDescent="0.2">
      <c r="A672" s="295">
        <v>668</v>
      </c>
      <c r="B672" s="390" t="s">
        <v>8260</v>
      </c>
      <c r="C672" s="390"/>
      <c r="D672" s="391" t="s">
        <v>8261</v>
      </c>
      <c r="E672" s="709" t="s">
        <v>8269</v>
      </c>
      <c r="F672" s="475" t="s">
        <v>1375</v>
      </c>
      <c r="G672" s="393" t="s">
        <v>998</v>
      </c>
      <c r="H672" s="393" t="s">
        <v>218</v>
      </c>
      <c r="I672" s="563"/>
      <c r="J672" s="563"/>
      <c r="K672" s="560" t="s">
        <v>8275</v>
      </c>
      <c r="L672" s="428" t="s">
        <v>8006</v>
      </c>
      <c r="M672" s="563"/>
      <c r="N672" s="475" t="s">
        <v>44</v>
      </c>
      <c r="O672" s="475" t="s">
        <v>34</v>
      </c>
      <c r="P672" s="475" t="s">
        <v>34</v>
      </c>
      <c r="Q672" s="428" t="s">
        <v>1145</v>
      </c>
      <c r="R672" s="560" t="s">
        <v>6146</v>
      </c>
      <c r="S672" s="428" t="s">
        <v>912</v>
      </c>
      <c r="T672" s="394">
        <v>1</v>
      </c>
      <c r="U672" s="565">
        <v>52.475000000000001</v>
      </c>
      <c r="V672" s="565"/>
      <c r="W672" s="566"/>
      <c r="X672" s="564"/>
      <c r="Y672" s="564">
        <v>7</v>
      </c>
      <c r="Z672" s="564">
        <v>5</v>
      </c>
      <c r="AA672" s="565">
        <v>0</v>
      </c>
      <c r="AB672" s="567">
        <v>42626</v>
      </c>
      <c r="AC672" s="568"/>
      <c r="AD672" s="568">
        <v>225.71438356164384</v>
      </c>
      <c r="AE672" s="475" t="s">
        <v>660</v>
      </c>
      <c r="AF672" s="569"/>
      <c r="AG672" s="569"/>
      <c r="AH672" s="569"/>
      <c r="AI672" s="564"/>
      <c r="AJ672" s="566"/>
      <c r="AK672" s="566"/>
      <c r="AL672" s="561"/>
      <c r="AM672" s="561"/>
      <c r="AN672" s="569"/>
      <c r="AO672" s="563"/>
      <c r="AP672" s="563"/>
      <c r="AQ672" s="560"/>
      <c r="AR672" s="428" t="s">
        <v>368</v>
      </c>
      <c r="AS672" s="479">
        <v>40753</v>
      </c>
      <c r="AT672" s="566"/>
      <c r="AU672" s="566"/>
      <c r="AV672" s="566"/>
      <c r="AW672" s="566"/>
      <c r="AX672" s="566"/>
      <c r="AY672" s="566"/>
      <c r="AZ672" s="567">
        <v>42626</v>
      </c>
      <c r="BA672" s="561"/>
      <c r="BB672" s="561"/>
      <c r="BC672" s="393" t="b">
        <v>0</v>
      </c>
      <c r="BD672" s="561"/>
      <c r="BE672" s="563"/>
      <c r="BF672" s="394">
        <v>8</v>
      </c>
      <c r="BG672" s="394">
        <v>9</v>
      </c>
      <c r="BH672" s="394">
        <v>6</v>
      </c>
      <c r="BI672" s="394">
        <v>1</v>
      </c>
      <c r="BJ672" s="394">
        <v>5</v>
      </c>
      <c r="BK672" s="394">
        <v>3</v>
      </c>
      <c r="BL672" s="444" t="s">
        <v>6981</v>
      </c>
      <c r="BM672" s="563"/>
      <c r="BN672" s="561"/>
      <c r="BO672" s="561"/>
      <c r="BP672" s="571"/>
      <c r="BQ672" s="572"/>
      <c r="BR672" s="573"/>
      <c r="BS672" s="571"/>
      <c r="BT672" s="564"/>
      <c r="BU672" s="569"/>
      <c r="BV672" s="571"/>
      <c r="BW672" s="475" t="s">
        <v>3165</v>
      </c>
      <c r="BX672" s="428" t="s">
        <v>4364</v>
      </c>
      <c r="BY672" s="562"/>
      <c r="BZ672" s="561"/>
      <c r="CA672" s="574"/>
      <c r="CB672" s="572"/>
      <c r="CC672" s="568"/>
      <c r="CD672" s="568"/>
      <c r="CE672" s="568"/>
      <c r="CF672" s="568"/>
      <c r="CG672" s="568"/>
      <c r="CH672" s="568"/>
      <c r="CI672" s="568"/>
      <c r="CJ672" s="568"/>
      <c r="CK672" s="568"/>
      <c r="CL672" s="568">
        <v>48.494999999999997</v>
      </c>
      <c r="CM672" s="579">
        <v>53.137999999999998</v>
      </c>
      <c r="CN672" s="579">
        <v>53.137999999999998</v>
      </c>
      <c r="CO672" s="579">
        <v>53.137999999999998</v>
      </c>
      <c r="CP672" s="579">
        <v>53.137999999999998</v>
      </c>
      <c r="CQ672" s="579">
        <v>53.137999999999998</v>
      </c>
      <c r="CR672" s="579">
        <v>53.137999999999998</v>
      </c>
      <c r="CS672" s="568"/>
      <c r="CT672" s="568"/>
      <c r="CU672" s="568"/>
      <c r="CV672" s="568"/>
      <c r="CW672" s="568"/>
      <c r="CX672" s="568"/>
      <c r="CY672" s="568"/>
      <c r="CZ672" s="568"/>
      <c r="DA672" s="568"/>
      <c r="DB672" s="568"/>
      <c r="DC672" s="568"/>
      <c r="DD672" s="568"/>
      <c r="DE672" s="561"/>
      <c r="DF672" s="561"/>
      <c r="DG672" s="561"/>
      <c r="DH672" s="561"/>
      <c r="DI672" s="561"/>
      <c r="DJ672" s="561"/>
      <c r="DK672" s="897"/>
    </row>
    <row r="673" spans="1:115" ht="25.5" x14ac:dyDescent="0.2">
      <c r="A673" s="295">
        <v>669</v>
      </c>
      <c r="B673" s="390" t="s">
        <v>8262</v>
      </c>
      <c r="C673" s="390"/>
      <c r="D673" s="391" t="s">
        <v>8263</v>
      </c>
      <c r="E673" s="709" t="s">
        <v>8270</v>
      </c>
      <c r="F673" s="475" t="s">
        <v>1375</v>
      </c>
      <c r="G673" s="393" t="s">
        <v>998</v>
      </c>
      <c r="H673" s="393" t="s">
        <v>218</v>
      </c>
      <c r="I673" s="563"/>
      <c r="J673" s="563"/>
      <c r="K673" s="560" t="s">
        <v>8275</v>
      </c>
      <c r="L673" s="428" t="s">
        <v>8006</v>
      </c>
      <c r="M673" s="563"/>
      <c r="N673" s="475" t="s">
        <v>44</v>
      </c>
      <c r="O673" s="475" t="s">
        <v>34</v>
      </c>
      <c r="P673" s="475" t="s">
        <v>34</v>
      </c>
      <c r="Q673" s="428" t="s">
        <v>1145</v>
      </c>
      <c r="R673" s="560" t="s">
        <v>6146</v>
      </c>
      <c r="S673" s="428" t="s">
        <v>912</v>
      </c>
      <c r="T673" s="394">
        <v>1</v>
      </c>
      <c r="U673" s="565">
        <v>58.671999999999997</v>
      </c>
      <c r="V673" s="565"/>
      <c r="W673" s="566"/>
      <c r="X673" s="564"/>
      <c r="Y673" s="564">
        <v>7</v>
      </c>
      <c r="Z673" s="564">
        <v>5</v>
      </c>
      <c r="AA673" s="565">
        <v>0</v>
      </c>
      <c r="AB673" s="567">
        <v>42626</v>
      </c>
      <c r="AC673" s="568"/>
      <c r="AD673" s="568">
        <v>252.36997260273972</v>
      </c>
      <c r="AE673" s="475" t="s">
        <v>660</v>
      </c>
      <c r="AF673" s="569"/>
      <c r="AG673" s="569"/>
      <c r="AH673" s="569"/>
      <c r="AI673" s="564"/>
      <c r="AJ673" s="566"/>
      <c r="AK673" s="566"/>
      <c r="AL673" s="561"/>
      <c r="AM673" s="561"/>
      <c r="AN673" s="569"/>
      <c r="AO673" s="563"/>
      <c r="AP673" s="563"/>
      <c r="AQ673" s="560"/>
      <c r="AR673" s="428" t="s">
        <v>368</v>
      </c>
      <c r="AS673" s="479">
        <v>40753</v>
      </c>
      <c r="AT673" s="566"/>
      <c r="AU673" s="566"/>
      <c r="AV673" s="566"/>
      <c r="AW673" s="566"/>
      <c r="AX673" s="566"/>
      <c r="AY673" s="566"/>
      <c r="AZ673" s="567">
        <v>42626</v>
      </c>
      <c r="BA673" s="561"/>
      <c r="BB673" s="561"/>
      <c r="BC673" s="393" t="b">
        <v>0</v>
      </c>
      <c r="BD673" s="561"/>
      <c r="BE673" s="563"/>
      <c r="BF673" s="394">
        <v>8</v>
      </c>
      <c r="BG673" s="394">
        <v>9</v>
      </c>
      <c r="BH673" s="394">
        <v>6</v>
      </c>
      <c r="BI673" s="394">
        <v>1</v>
      </c>
      <c r="BJ673" s="394">
        <v>5</v>
      </c>
      <c r="BK673" s="394">
        <v>3</v>
      </c>
      <c r="BL673" s="444" t="s">
        <v>6981</v>
      </c>
      <c r="BM673" s="563"/>
      <c r="BN673" s="561"/>
      <c r="BO673" s="561"/>
      <c r="BP673" s="571"/>
      <c r="BQ673" s="572"/>
      <c r="BR673" s="573"/>
      <c r="BS673" s="571"/>
      <c r="BT673" s="564"/>
      <c r="BU673" s="569"/>
      <c r="BV673" s="571"/>
      <c r="BW673" s="475" t="s">
        <v>3165</v>
      </c>
      <c r="BX673" s="428" t="s">
        <v>4364</v>
      </c>
      <c r="BY673" s="562"/>
      <c r="BZ673" s="561"/>
      <c r="CA673" s="574"/>
      <c r="CB673" s="572"/>
      <c r="CC673" s="568"/>
      <c r="CD673" s="568"/>
      <c r="CE673" s="568"/>
      <c r="CF673" s="568"/>
      <c r="CG673" s="568"/>
      <c r="CH673" s="568"/>
      <c r="CI673" s="568"/>
      <c r="CJ673" s="568"/>
      <c r="CK673" s="568"/>
      <c r="CL673" s="568">
        <v>56.128999999999998</v>
      </c>
      <c r="CM673" s="579">
        <v>58.671999999999997</v>
      </c>
      <c r="CN673" s="579">
        <v>58.671999999999997</v>
      </c>
      <c r="CO673" s="579">
        <v>58.671999999999997</v>
      </c>
      <c r="CP673" s="579">
        <v>58.671999999999997</v>
      </c>
      <c r="CQ673" s="579">
        <v>58.671999999999997</v>
      </c>
      <c r="CR673" s="579">
        <v>58.671999999999997</v>
      </c>
      <c r="CS673" s="568"/>
      <c r="CT673" s="568"/>
      <c r="CU673" s="568"/>
      <c r="CV673" s="568"/>
      <c r="CW673" s="568"/>
      <c r="CX673" s="568"/>
      <c r="CY673" s="568"/>
      <c r="CZ673" s="568"/>
      <c r="DA673" s="568"/>
      <c r="DB673" s="568"/>
      <c r="DC673" s="568"/>
      <c r="DD673" s="568"/>
      <c r="DE673" s="561"/>
      <c r="DF673" s="561"/>
      <c r="DG673" s="561"/>
      <c r="DH673" s="561"/>
      <c r="DI673" s="561"/>
      <c r="DJ673" s="561"/>
      <c r="DK673" s="897"/>
    </row>
    <row r="674" spans="1:115" ht="25.5" x14ac:dyDescent="0.2">
      <c r="A674" s="295">
        <v>670</v>
      </c>
      <c r="B674" s="390" t="s">
        <v>8264</v>
      </c>
      <c r="C674" s="390"/>
      <c r="D674" s="391" t="s">
        <v>8265</v>
      </c>
      <c r="E674" s="709" t="s">
        <v>8271</v>
      </c>
      <c r="F674" s="475" t="s">
        <v>1375</v>
      </c>
      <c r="G674" s="393" t="s">
        <v>998</v>
      </c>
      <c r="H674" s="393" t="s">
        <v>218</v>
      </c>
      <c r="I674" s="563"/>
      <c r="J674" s="563"/>
      <c r="K674" s="560" t="s">
        <v>8276</v>
      </c>
      <c r="L674" s="428" t="s">
        <v>8006</v>
      </c>
      <c r="M674" s="563"/>
      <c r="N674" s="475" t="s">
        <v>44</v>
      </c>
      <c r="O674" s="475" t="s">
        <v>34</v>
      </c>
      <c r="P674" s="475" t="s">
        <v>34</v>
      </c>
      <c r="Q674" s="428" t="s">
        <v>1145</v>
      </c>
      <c r="R674" s="560" t="s">
        <v>6146</v>
      </c>
      <c r="S674" s="428" t="s">
        <v>912</v>
      </c>
      <c r="T674" s="394">
        <v>1</v>
      </c>
      <c r="U674" s="565">
        <v>48.744</v>
      </c>
      <c r="V674" s="565"/>
      <c r="W674" s="566"/>
      <c r="X674" s="564"/>
      <c r="Y674" s="564">
        <v>7</v>
      </c>
      <c r="Z674" s="564">
        <v>5</v>
      </c>
      <c r="AA674" s="565">
        <v>0</v>
      </c>
      <c r="AB674" s="567">
        <v>42626</v>
      </c>
      <c r="AC674" s="568"/>
      <c r="AD674" s="568">
        <v>209.66597260273974</v>
      </c>
      <c r="AE674" s="475" t="s">
        <v>660</v>
      </c>
      <c r="AF674" s="569"/>
      <c r="AG674" s="569"/>
      <c r="AH674" s="569"/>
      <c r="AI674" s="564"/>
      <c r="AJ674" s="566"/>
      <c r="AK674" s="566"/>
      <c r="AL674" s="561"/>
      <c r="AM674" s="561"/>
      <c r="AN674" s="569"/>
      <c r="AO674" s="563"/>
      <c r="AP674" s="563"/>
      <c r="AQ674" s="560"/>
      <c r="AR674" s="428" t="s">
        <v>368</v>
      </c>
      <c r="AS674" s="479">
        <v>40753</v>
      </c>
      <c r="AT674" s="566"/>
      <c r="AU674" s="566"/>
      <c r="AV674" s="566"/>
      <c r="AW674" s="566"/>
      <c r="AX674" s="566"/>
      <c r="AY674" s="566"/>
      <c r="AZ674" s="567">
        <v>42626</v>
      </c>
      <c r="BA674" s="561"/>
      <c r="BB674" s="561"/>
      <c r="BC674" s="393" t="b">
        <v>0</v>
      </c>
      <c r="BD674" s="561"/>
      <c r="BE674" s="563"/>
      <c r="BF674" s="394">
        <v>8</v>
      </c>
      <c r="BG674" s="394">
        <v>9</v>
      </c>
      <c r="BH674" s="394">
        <v>6</v>
      </c>
      <c r="BI674" s="394">
        <v>1</v>
      </c>
      <c r="BJ674" s="394">
        <v>5</v>
      </c>
      <c r="BK674" s="394">
        <v>3</v>
      </c>
      <c r="BL674" s="444" t="s">
        <v>6981</v>
      </c>
      <c r="BM674" s="563"/>
      <c r="BN674" s="561"/>
      <c r="BO674" s="561"/>
      <c r="BP674" s="571"/>
      <c r="BQ674" s="572"/>
      <c r="BR674" s="573"/>
      <c r="BS674" s="571"/>
      <c r="BT674" s="564"/>
      <c r="BU674" s="569"/>
      <c r="BV674" s="571"/>
      <c r="BW674" s="475" t="s">
        <v>3165</v>
      </c>
      <c r="BX674" s="428" t="s">
        <v>4364</v>
      </c>
      <c r="BY674" s="562"/>
      <c r="BZ674" s="561"/>
      <c r="CA674" s="574"/>
      <c r="CB674" s="572"/>
      <c r="CC674" s="568"/>
      <c r="CD674" s="568"/>
      <c r="CE674" s="568"/>
      <c r="CF674" s="568"/>
      <c r="CG674" s="568"/>
      <c r="CH674" s="568"/>
      <c r="CI674" s="568"/>
      <c r="CJ674" s="568"/>
      <c r="CK674" s="568"/>
      <c r="CL674" s="568">
        <v>45.295000000000002</v>
      </c>
      <c r="CM674" s="579">
        <v>49.319000000000003</v>
      </c>
      <c r="CN674" s="579">
        <v>49.319000000000003</v>
      </c>
      <c r="CO674" s="579">
        <v>49.319000000000003</v>
      </c>
      <c r="CP674" s="579">
        <v>49.319000000000003</v>
      </c>
      <c r="CQ674" s="579">
        <v>49.319000000000003</v>
      </c>
      <c r="CR674" s="579">
        <v>49.319000000000003</v>
      </c>
      <c r="CS674" s="568"/>
      <c r="CT674" s="568"/>
      <c r="CU674" s="568"/>
      <c r="CV674" s="568"/>
      <c r="CW674" s="568"/>
      <c r="CX674" s="568"/>
      <c r="CY674" s="568"/>
      <c r="CZ674" s="568"/>
      <c r="DA674" s="568"/>
      <c r="DB674" s="568"/>
      <c r="DC674" s="568"/>
      <c r="DD674" s="568"/>
      <c r="DE674" s="561"/>
      <c r="DF674" s="561"/>
      <c r="DG674" s="561"/>
      <c r="DH674" s="561"/>
      <c r="DI674" s="561"/>
      <c r="DJ674" s="561"/>
      <c r="DK674" s="897"/>
    </row>
    <row r="675" spans="1:115" ht="25.5" x14ac:dyDescent="0.2">
      <c r="A675" s="295">
        <v>671</v>
      </c>
      <c r="B675" s="390" t="s">
        <v>8875</v>
      </c>
      <c r="C675" s="390"/>
      <c r="D675" s="391" t="s">
        <v>8876</v>
      </c>
      <c r="E675" s="709" t="s">
        <v>8877</v>
      </c>
      <c r="F675" s="393" t="s">
        <v>1352</v>
      </c>
      <c r="G675" s="393" t="s">
        <v>1672</v>
      </c>
      <c r="H675" s="393" t="s">
        <v>1354</v>
      </c>
      <c r="I675" s="563"/>
      <c r="J675" s="563"/>
      <c r="K675" s="560" t="s">
        <v>1354</v>
      </c>
      <c r="L675" s="560" t="s">
        <v>8006</v>
      </c>
      <c r="M675" s="563"/>
      <c r="N675" s="562" t="s">
        <v>44</v>
      </c>
      <c r="O675" s="475" t="s">
        <v>34</v>
      </c>
      <c r="P675" s="475" t="s">
        <v>34</v>
      </c>
      <c r="Q675" s="428" t="s">
        <v>1145</v>
      </c>
      <c r="R675" s="560" t="s">
        <v>6146</v>
      </c>
      <c r="S675" s="428" t="s">
        <v>912</v>
      </c>
      <c r="T675" s="564">
        <v>1</v>
      </c>
      <c r="U675" s="565">
        <v>7.3209999999999997</v>
      </c>
      <c r="V675" s="565"/>
      <c r="W675" s="566"/>
      <c r="X675" s="564"/>
      <c r="Y675" s="564">
        <v>7</v>
      </c>
      <c r="Z675" s="564">
        <v>21</v>
      </c>
      <c r="AA675" s="565">
        <v>0</v>
      </c>
      <c r="AB675" s="567">
        <v>42736</v>
      </c>
      <c r="AC675" s="568"/>
      <c r="AD675" s="568">
        <v>29.283999999999999</v>
      </c>
      <c r="AE675" s="562" t="s">
        <v>660</v>
      </c>
      <c r="AF675" s="569"/>
      <c r="AG675" s="569"/>
      <c r="AH675" s="569"/>
      <c r="AI675" s="564"/>
      <c r="AJ675" s="566"/>
      <c r="AK675" s="566"/>
      <c r="AL675" s="561"/>
      <c r="AM675" s="561"/>
      <c r="AN675" s="569"/>
      <c r="AO675" s="563"/>
      <c r="AP675" s="563"/>
      <c r="AQ675" s="560"/>
      <c r="AR675" s="560" t="s">
        <v>368</v>
      </c>
      <c r="AS675" s="578">
        <v>40753</v>
      </c>
      <c r="AT675" s="566"/>
      <c r="AU675" s="566"/>
      <c r="AV675" s="566"/>
      <c r="AW675" s="566"/>
      <c r="AX675" s="566"/>
      <c r="AY675" s="566"/>
      <c r="AZ675" s="567">
        <v>42709</v>
      </c>
      <c r="BA675" s="561"/>
      <c r="BB675" s="561"/>
      <c r="BC675" s="561" t="b">
        <v>0</v>
      </c>
      <c r="BD675" s="561"/>
      <c r="BE675" s="563"/>
      <c r="BF675" s="394">
        <v>8</v>
      </c>
      <c r="BG675" s="394">
        <v>9</v>
      </c>
      <c r="BH675" s="394">
        <v>6</v>
      </c>
      <c r="BI675" s="394">
        <v>1</v>
      </c>
      <c r="BJ675" s="394">
        <v>5</v>
      </c>
      <c r="BK675" s="394">
        <v>3</v>
      </c>
      <c r="BL675" s="444" t="s">
        <v>6981</v>
      </c>
      <c r="BM675" s="563"/>
      <c r="BN675" s="561"/>
      <c r="BO675" s="561"/>
      <c r="BP675" s="571"/>
      <c r="BQ675" s="572"/>
      <c r="BR675" s="573"/>
      <c r="BS675" s="571"/>
      <c r="BT675" s="564"/>
      <c r="BU675" s="569"/>
      <c r="BV675" s="571"/>
      <c r="BW675" s="475" t="s">
        <v>3165</v>
      </c>
      <c r="BX675" s="428" t="s">
        <v>4364</v>
      </c>
      <c r="BY675" s="562"/>
      <c r="BZ675" s="561"/>
      <c r="CA675" s="574"/>
      <c r="CB675" s="572"/>
      <c r="CC675" s="568"/>
      <c r="CD675" s="568"/>
      <c r="CE675" s="568"/>
      <c r="CF675" s="568"/>
      <c r="CG675" s="568"/>
      <c r="CH675" s="568"/>
      <c r="CI675" s="568"/>
      <c r="CJ675" s="568"/>
      <c r="CK675" s="568"/>
      <c r="CL675" s="568">
        <v>4.2569999999999997</v>
      </c>
      <c r="CM675" s="579">
        <v>5.5090000000000003</v>
      </c>
      <c r="CN675" s="579">
        <v>6.7610000000000001</v>
      </c>
      <c r="CO675" s="579">
        <v>8.6809999999999992</v>
      </c>
      <c r="CP675" s="579">
        <v>8.6809999999999992</v>
      </c>
      <c r="CQ675" s="579">
        <v>8.6809999999999992</v>
      </c>
      <c r="CR675" s="579">
        <v>8.6809999999999992</v>
      </c>
      <c r="CS675" s="568"/>
      <c r="CT675" s="568"/>
      <c r="CU675" s="568"/>
      <c r="CV675" s="568"/>
      <c r="CW675" s="568"/>
      <c r="CX675" s="568"/>
      <c r="CY675" s="568"/>
      <c r="CZ675" s="568"/>
      <c r="DA675" s="568"/>
      <c r="DB675" s="568"/>
      <c r="DC675" s="568"/>
      <c r="DD675" s="568"/>
      <c r="DE675" s="561"/>
      <c r="DF675" s="561"/>
      <c r="DG675" s="561"/>
      <c r="DH675" s="561"/>
      <c r="DI675" s="561"/>
      <c r="DJ675" s="561"/>
      <c r="DK675" s="897"/>
    </row>
    <row r="676" spans="1:115" ht="25.5" x14ac:dyDescent="0.2">
      <c r="A676" s="295">
        <v>672</v>
      </c>
      <c r="B676" s="390" t="s">
        <v>9032</v>
      </c>
      <c r="C676" s="390"/>
      <c r="D676" s="391" t="s">
        <v>9033</v>
      </c>
      <c r="E676" s="709" t="s">
        <v>9048</v>
      </c>
      <c r="F676" s="475" t="s">
        <v>1375</v>
      </c>
      <c r="G676" s="393" t="s">
        <v>998</v>
      </c>
      <c r="H676" s="393" t="s">
        <v>218</v>
      </c>
      <c r="I676" s="563"/>
      <c r="J676" s="563"/>
      <c r="K676" s="560" t="s">
        <v>9056</v>
      </c>
      <c r="L676" s="560" t="s">
        <v>8006</v>
      </c>
      <c r="M676" s="563"/>
      <c r="N676" s="562" t="s">
        <v>44</v>
      </c>
      <c r="O676" s="475" t="s">
        <v>34</v>
      </c>
      <c r="P676" s="475" t="s">
        <v>34</v>
      </c>
      <c r="Q676" s="428" t="s">
        <v>1145</v>
      </c>
      <c r="R676" s="560" t="s">
        <v>6146</v>
      </c>
      <c r="S676" s="428" t="s">
        <v>912</v>
      </c>
      <c r="T676" s="564">
        <v>1</v>
      </c>
      <c r="U676" s="565">
        <v>35.838000000000001</v>
      </c>
      <c r="V676" s="565"/>
      <c r="W676" s="566"/>
      <c r="X676" s="564"/>
      <c r="Y676" s="564">
        <v>7</v>
      </c>
      <c r="Z676" s="564">
        <v>21</v>
      </c>
      <c r="AA676" s="565">
        <v>0</v>
      </c>
      <c r="AB676" s="567">
        <v>42767</v>
      </c>
      <c r="AC676" s="568"/>
      <c r="AD676" s="568">
        <v>140.30822465753425</v>
      </c>
      <c r="AE676" s="562" t="s">
        <v>660</v>
      </c>
      <c r="AF676" s="569"/>
      <c r="AG676" s="569"/>
      <c r="AH676" s="569"/>
      <c r="AI676" s="564"/>
      <c r="AJ676" s="566"/>
      <c r="AK676" s="566"/>
      <c r="AL676" s="561"/>
      <c r="AM676" s="561"/>
      <c r="AN676" s="569"/>
      <c r="AO676" s="563"/>
      <c r="AP676" s="563"/>
      <c r="AQ676" s="560"/>
      <c r="AR676" s="560" t="s">
        <v>368</v>
      </c>
      <c r="AS676" s="578">
        <v>40753</v>
      </c>
      <c r="AT676" s="566"/>
      <c r="AU676" s="566"/>
      <c r="AV676" s="566"/>
      <c r="AW676" s="566"/>
      <c r="AX676" s="566"/>
      <c r="AY676" s="566"/>
      <c r="AZ676" s="567">
        <v>42767</v>
      </c>
      <c r="BA676" s="561"/>
      <c r="BB676" s="561"/>
      <c r="BC676" s="561" t="b">
        <v>0</v>
      </c>
      <c r="BD676" s="561"/>
      <c r="BE676" s="563"/>
      <c r="BF676" s="394">
        <v>8</v>
      </c>
      <c r="BG676" s="394">
        <v>9</v>
      </c>
      <c r="BH676" s="394">
        <v>6</v>
      </c>
      <c r="BI676" s="394">
        <v>1</v>
      </c>
      <c r="BJ676" s="394">
        <v>5</v>
      </c>
      <c r="BK676" s="394">
        <v>3</v>
      </c>
      <c r="BL676" s="444" t="s">
        <v>6981</v>
      </c>
      <c r="BM676" s="563"/>
      <c r="BN676" s="561"/>
      <c r="BO676" s="561"/>
      <c r="BP676" s="571"/>
      <c r="BQ676" s="572"/>
      <c r="BR676" s="573"/>
      <c r="BS676" s="571"/>
      <c r="BT676" s="564"/>
      <c r="BU676" s="569"/>
      <c r="BV676" s="571"/>
      <c r="BW676" s="475" t="s">
        <v>3165</v>
      </c>
      <c r="BX676" s="560" t="s">
        <v>4364</v>
      </c>
      <c r="BY676" s="562"/>
      <c r="BZ676" s="561"/>
      <c r="CA676" s="574"/>
      <c r="CB676" s="572"/>
      <c r="CC676" s="568"/>
      <c r="CD676" s="568"/>
      <c r="CE676" s="568"/>
      <c r="CF676" s="568"/>
      <c r="CG676" s="568"/>
      <c r="CH676" s="568"/>
      <c r="CI676" s="568"/>
      <c r="CJ676" s="568"/>
      <c r="CK676" s="568"/>
      <c r="CL676" s="568"/>
      <c r="CM676" s="579">
        <v>32.210999999999999</v>
      </c>
      <c r="CN676" s="579">
        <v>36.442999999999998</v>
      </c>
      <c r="CO676" s="579">
        <v>36.442999999999998</v>
      </c>
      <c r="CP676" s="579">
        <v>36.442999999999998</v>
      </c>
      <c r="CQ676" s="579">
        <v>36.442999999999998</v>
      </c>
      <c r="CR676" s="579">
        <v>36.442999999999998</v>
      </c>
      <c r="CS676" s="579">
        <v>36.442999999999998</v>
      </c>
      <c r="CT676" s="568"/>
      <c r="CU676" s="568"/>
      <c r="CV676" s="568"/>
      <c r="CW676" s="568"/>
      <c r="CX676" s="568"/>
      <c r="CY676" s="568"/>
      <c r="CZ676" s="568"/>
      <c r="DA676" s="568"/>
      <c r="DB676" s="568"/>
      <c r="DC676" s="568"/>
      <c r="DD676" s="568"/>
      <c r="DE676" s="561"/>
      <c r="DF676" s="561"/>
      <c r="DG676" s="561"/>
      <c r="DH676" s="561"/>
      <c r="DI676" s="561"/>
      <c r="DJ676" s="561"/>
      <c r="DK676" s="897"/>
    </row>
    <row r="677" spans="1:115" ht="51" x14ac:dyDescent="0.2">
      <c r="A677" s="295">
        <v>673</v>
      </c>
      <c r="B677" s="390" t="s">
        <v>9034</v>
      </c>
      <c r="C677" s="390"/>
      <c r="D677" s="391" t="s">
        <v>9035</v>
      </c>
      <c r="E677" s="709" t="s">
        <v>9049</v>
      </c>
      <c r="F677" s="475" t="s">
        <v>1375</v>
      </c>
      <c r="G677" s="393" t="s">
        <v>998</v>
      </c>
      <c r="H677" s="393" t="s">
        <v>218</v>
      </c>
      <c r="I677" s="563"/>
      <c r="J677" s="563"/>
      <c r="K677" s="560" t="s">
        <v>9057</v>
      </c>
      <c r="L677" s="560" t="s">
        <v>8006</v>
      </c>
      <c r="M677" s="563"/>
      <c r="N677" s="562" t="s">
        <v>44</v>
      </c>
      <c r="O677" s="475" t="s">
        <v>34</v>
      </c>
      <c r="P677" s="475" t="s">
        <v>34</v>
      </c>
      <c r="Q677" s="428" t="s">
        <v>1145</v>
      </c>
      <c r="R677" s="560" t="s">
        <v>6146</v>
      </c>
      <c r="S677" s="428" t="s">
        <v>912</v>
      </c>
      <c r="T677" s="564">
        <v>1</v>
      </c>
      <c r="U677" s="565">
        <v>33.662999999999997</v>
      </c>
      <c r="V677" s="565"/>
      <c r="W677" s="566"/>
      <c r="X677" s="564"/>
      <c r="Y677" s="564">
        <v>7</v>
      </c>
      <c r="Z677" s="564">
        <v>21</v>
      </c>
      <c r="AA677" s="565">
        <v>0</v>
      </c>
      <c r="AB677" s="567">
        <v>42767</v>
      </c>
      <c r="AC677" s="568"/>
      <c r="AD677" s="568">
        <v>131.7929506849315</v>
      </c>
      <c r="AE677" s="562" t="s">
        <v>660</v>
      </c>
      <c r="AF677" s="569"/>
      <c r="AG677" s="569"/>
      <c r="AH677" s="569"/>
      <c r="AI677" s="564"/>
      <c r="AJ677" s="566"/>
      <c r="AK677" s="566"/>
      <c r="AL677" s="561"/>
      <c r="AM677" s="561"/>
      <c r="AN677" s="569"/>
      <c r="AO677" s="563"/>
      <c r="AP677" s="563"/>
      <c r="AQ677" s="560"/>
      <c r="AR677" s="560" t="s">
        <v>368</v>
      </c>
      <c r="AS677" s="578">
        <v>40753</v>
      </c>
      <c r="AT677" s="566"/>
      <c r="AU677" s="566"/>
      <c r="AV677" s="566"/>
      <c r="AW677" s="566"/>
      <c r="AX677" s="566"/>
      <c r="AY677" s="566"/>
      <c r="AZ677" s="567">
        <v>42767</v>
      </c>
      <c r="BA677" s="561"/>
      <c r="BB677" s="561"/>
      <c r="BC677" s="561" t="b">
        <v>0</v>
      </c>
      <c r="BD677" s="561"/>
      <c r="BE677" s="563"/>
      <c r="BF677" s="394">
        <v>8</v>
      </c>
      <c r="BG677" s="394">
        <v>9</v>
      </c>
      <c r="BH677" s="394">
        <v>6</v>
      </c>
      <c r="BI677" s="394">
        <v>1</v>
      </c>
      <c r="BJ677" s="394">
        <v>5</v>
      </c>
      <c r="BK677" s="394">
        <v>3</v>
      </c>
      <c r="BL677" s="444" t="s">
        <v>6981</v>
      </c>
      <c r="BM677" s="563"/>
      <c r="BN677" s="561"/>
      <c r="BO677" s="561"/>
      <c r="BP677" s="571"/>
      <c r="BQ677" s="572"/>
      <c r="BR677" s="573"/>
      <c r="BS677" s="571"/>
      <c r="BT677" s="564"/>
      <c r="BU677" s="569"/>
      <c r="BV677" s="571"/>
      <c r="BW677" s="562" t="s">
        <v>3165</v>
      </c>
      <c r="BX677" s="560" t="s">
        <v>4364</v>
      </c>
      <c r="BY677" s="562"/>
      <c r="BZ677" s="561"/>
      <c r="CA677" s="574"/>
      <c r="CB677" s="572"/>
      <c r="CC677" s="568"/>
      <c r="CD677" s="568"/>
      <c r="CE677" s="568"/>
      <c r="CF677" s="568"/>
      <c r="CG677" s="568"/>
      <c r="CH677" s="568"/>
      <c r="CI677" s="568"/>
      <c r="CJ677" s="568"/>
      <c r="CK677" s="568"/>
      <c r="CL677" s="568"/>
      <c r="CM677" s="579">
        <v>18.187999999999999</v>
      </c>
      <c r="CN677" s="579">
        <v>36.241999999999997</v>
      </c>
      <c r="CO677" s="579">
        <v>36.241999999999997</v>
      </c>
      <c r="CP677" s="579">
        <v>36.241999999999997</v>
      </c>
      <c r="CQ677" s="579">
        <v>36.241999999999997</v>
      </c>
      <c r="CR677" s="579">
        <v>36.241999999999997</v>
      </c>
      <c r="CS677" s="579">
        <v>36.241999999999997</v>
      </c>
      <c r="CT677" s="568"/>
      <c r="CU677" s="568"/>
      <c r="CV677" s="568"/>
      <c r="CW677" s="568"/>
      <c r="CX677" s="568"/>
      <c r="CY677" s="568"/>
      <c r="CZ677" s="568"/>
      <c r="DA677" s="568"/>
      <c r="DB677" s="568"/>
      <c r="DC677" s="568"/>
      <c r="DD677" s="568"/>
      <c r="DE677" s="561"/>
      <c r="DF677" s="561"/>
      <c r="DG677" s="561"/>
      <c r="DH677" s="561"/>
      <c r="DI677" s="561"/>
      <c r="DJ677" s="561"/>
      <c r="DK677" s="897"/>
    </row>
    <row r="678" spans="1:115" ht="25.5" x14ac:dyDescent="0.2">
      <c r="A678" s="295">
        <v>674</v>
      </c>
      <c r="B678" s="390" t="s">
        <v>9036</v>
      </c>
      <c r="C678" s="390"/>
      <c r="D678" s="391" t="s">
        <v>9037</v>
      </c>
      <c r="E678" s="709" t="s">
        <v>9050</v>
      </c>
      <c r="F678" s="393" t="s">
        <v>1375</v>
      </c>
      <c r="G678" s="393" t="s">
        <v>998</v>
      </c>
      <c r="H678" s="393" t="s">
        <v>245</v>
      </c>
      <c r="I678" s="563"/>
      <c r="J678" s="563"/>
      <c r="K678" s="560" t="s">
        <v>9058</v>
      </c>
      <c r="L678" s="560" t="s">
        <v>8006</v>
      </c>
      <c r="M678" s="563"/>
      <c r="N678" s="562" t="s">
        <v>44</v>
      </c>
      <c r="O678" s="475" t="s">
        <v>34</v>
      </c>
      <c r="P678" s="475" t="s">
        <v>34</v>
      </c>
      <c r="Q678" s="428" t="s">
        <v>1145</v>
      </c>
      <c r="R678" s="560" t="s">
        <v>6146</v>
      </c>
      <c r="S678" s="428" t="s">
        <v>912</v>
      </c>
      <c r="T678" s="564">
        <v>1</v>
      </c>
      <c r="U678" s="565">
        <v>59.518999999999998</v>
      </c>
      <c r="V678" s="565"/>
      <c r="W678" s="566"/>
      <c r="X678" s="564"/>
      <c r="Y678" s="564">
        <v>7</v>
      </c>
      <c r="Z678" s="564">
        <v>21</v>
      </c>
      <c r="AA678" s="565">
        <v>0</v>
      </c>
      <c r="AB678" s="567">
        <v>42767</v>
      </c>
      <c r="AC678" s="568"/>
      <c r="AD678" s="568">
        <v>233.02096164383562</v>
      </c>
      <c r="AE678" s="562" t="s">
        <v>660</v>
      </c>
      <c r="AF678" s="569"/>
      <c r="AG678" s="569"/>
      <c r="AH678" s="569"/>
      <c r="AI678" s="564"/>
      <c r="AJ678" s="566"/>
      <c r="AK678" s="566"/>
      <c r="AL678" s="561"/>
      <c r="AM678" s="561"/>
      <c r="AN678" s="569"/>
      <c r="AO678" s="563"/>
      <c r="AP678" s="563"/>
      <c r="AQ678" s="560"/>
      <c r="AR678" s="560" t="s">
        <v>368</v>
      </c>
      <c r="AS678" s="578">
        <v>40753</v>
      </c>
      <c r="AT678" s="566"/>
      <c r="AU678" s="566"/>
      <c r="AV678" s="566"/>
      <c r="AW678" s="566"/>
      <c r="AX678" s="566"/>
      <c r="AY678" s="566"/>
      <c r="AZ678" s="567">
        <v>42767</v>
      </c>
      <c r="BA678" s="561"/>
      <c r="BB678" s="561"/>
      <c r="BC678" s="561" t="b">
        <v>0</v>
      </c>
      <c r="BD678" s="561"/>
      <c r="BE678" s="563"/>
      <c r="BF678" s="394">
        <v>8</v>
      </c>
      <c r="BG678" s="394">
        <v>9</v>
      </c>
      <c r="BH678" s="394">
        <v>6</v>
      </c>
      <c r="BI678" s="394">
        <v>1</v>
      </c>
      <c r="BJ678" s="394">
        <v>5</v>
      </c>
      <c r="BK678" s="394">
        <v>3</v>
      </c>
      <c r="BL678" s="444" t="s">
        <v>6981</v>
      </c>
      <c r="BM678" s="563"/>
      <c r="BN678" s="561"/>
      <c r="BO678" s="561"/>
      <c r="BP678" s="571"/>
      <c r="BQ678" s="572"/>
      <c r="BR678" s="573"/>
      <c r="BS678" s="571"/>
      <c r="BT678" s="564"/>
      <c r="BU678" s="569"/>
      <c r="BV678" s="571"/>
      <c r="BW678" s="562" t="s">
        <v>3165</v>
      </c>
      <c r="BX678" s="560" t="s">
        <v>4364</v>
      </c>
      <c r="BY678" s="562"/>
      <c r="BZ678" s="561"/>
      <c r="CA678" s="574"/>
      <c r="CB678" s="572"/>
      <c r="CC678" s="568"/>
      <c r="CD678" s="568"/>
      <c r="CE678" s="568"/>
      <c r="CF678" s="568"/>
      <c r="CG678" s="568"/>
      <c r="CH678" s="568"/>
      <c r="CI678" s="568"/>
      <c r="CJ678" s="568"/>
      <c r="CK678" s="568"/>
      <c r="CL678" s="568"/>
      <c r="CM678" s="579">
        <v>59.518999999999998</v>
      </c>
      <c r="CN678" s="579">
        <v>59.518999999999998</v>
      </c>
      <c r="CO678" s="579">
        <v>59.518999999999998</v>
      </c>
      <c r="CP678" s="579">
        <v>59.518999999999998</v>
      </c>
      <c r="CQ678" s="579">
        <v>59.518999999999998</v>
      </c>
      <c r="CR678" s="579">
        <v>59.518999999999998</v>
      </c>
      <c r="CS678" s="579">
        <v>59.518999999999998</v>
      </c>
      <c r="CT678" s="568"/>
      <c r="CU678" s="568"/>
      <c r="CV678" s="568"/>
      <c r="CW678" s="568"/>
      <c r="CX678" s="568"/>
      <c r="CY678" s="568"/>
      <c r="CZ678" s="568"/>
      <c r="DA678" s="568"/>
      <c r="DB678" s="568"/>
      <c r="DC678" s="568"/>
      <c r="DD678" s="568"/>
      <c r="DE678" s="561"/>
      <c r="DF678" s="561"/>
      <c r="DG678" s="561"/>
      <c r="DH678" s="561"/>
      <c r="DI678" s="561"/>
      <c r="DJ678" s="561"/>
      <c r="DK678" s="897"/>
    </row>
    <row r="679" spans="1:115" ht="25.5" x14ac:dyDescent="0.2">
      <c r="A679" s="295">
        <v>675</v>
      </c>
      <c r="B679" s="390" t="s">
        <v>9038</v>
      </c>
      <c r="C679" s="390"/>
      <c r="D679" s="391" t="s">
        <v>9039</v>
      </c>
      <c r="E679" s="709" t="s">
        <v>9051</v>
      </c>
      <c r="F679" s="393" t="s">
        <v>1375</v>
      </c>
      <c r="G679" s="393" t="s">
        <v>998</v>
      </c>
      <c r="H679" s="393" t="s">
        <v>245</v>
      </c>
      <c r="I679" s="563"/>
      <c r="J679" s="563"/>
      <c r="K679" s="560" t="s">
        <v>9059</v>
      </c>
      <c r="L679" s="560" t="s">
        <v>8006</v>
      </c>
      <c r="M679" s="563"/>
      <c r="N679" s="562" t="s">
        <v>44</v>
      </c>
      <c r="O679" s="475" t="s">
        <v>34</v>
      </c>
      <c r="P679" s="475" t="s">
        <v>34</v>
      </c>
      <c r="Q679" s="428" t="s">
        <v>1145</v>
      </c>
      <c r="R679" s="560" t="s">
        <v>6146</v>
      </c>
      <c r="S679" s="428" t="s">
        <v>912</v>
      </c>
      <c r="T679" s="564">
        <v>1</v>
      </c>
      <c r="U679" s="565">
        <v>56.682000000000002</v>
      </c>
      <c r="V679" s="565"/>
      <c r="W679" s="566"/>
      <c r="X679" s="564"/>
      <c r="Y679" s="564">
        <v>7</v>
      </c>
      <c r="Z679" s="564">
        <v>21</v>
      </c>
      <c r="AA679" s="565">
        <v>0</v>
      </c>
      <c r="AB679" s="567">
        <v>42767</v>
      </c>
      <c r="AC679" s="568"/>
      <c r="AD679" s="568">
        <v>221.91391232876714</v>
      </c>
      <c r="AE679" s="562" t="s">
        <v>660</v>
      </c>
      <c r="AF679" s="569"/>
      <c r="AG679" s="569"/>
      <c r="AH679" s="569"/>
      <c r="AI679" s="564"/>
      <c r="AJ679" s="566"/>
      <c r="AK679" s="566"/>
      <c r="AL679" s="561"/>
      <c r="AM679" s="561"/>
      <c r="AN679" s="569"/>
      <c r="AO679" s="563"/>
      <c r="AP679" s="563"/>
      <c r="AQ679" s="560"/>
      <c r="AR679" s="560" t="s">
        <v>368</v>
      </c>
      <c r="AS679" s="578">
        <v>40753</v>
      </c>
      <c r="AT679" s="566"/>
      <c r="AU679" s="566"/>
      <c r="AV679" s="566"/>
      <c r="AW679" s="566"/>
      <c r="AX679" s="566"/>
      <c r="AY679" s="566"/>
      <c r="AZ679" s="567">
        <v>42767</v>
      </c>
      <c r="BA679" s="561"/>
      <c r="BB679" s="561"/>
      <c r="BC679" s="561" t="b">
        <v>0</v>
      </c>
      <c r="BD679" s="561"/>
      <c r="BE679" s="563"/>
      <c r="BF679" s="394">
        <v>8</v>
      </c>
      <c r="BG679" s="394">
        <v>9</v>
      </c>
      <c r="BH679" s="394">
        <v>6</v>
      </c>
      <c r="BI679" s="394">
        <v>1</v>
      </c>
      <c r="BJ679" s="394">
        <v>5</v>
      </c>
      <c r="BK679" s="394">
        <v>3</v>
      </c>
      <c r="BL679" s="444" t="s">
        <v>6981</v>
      </c>
      <c r="BM679" s="563"/>
      <c r="BN679" s="561"/>
      <c r="BO679" s="561"/>
      <c r="BP679" s="571"/>
      <c r="BQ679" s="572"/>
      <c r="BR679" s="573"/>
      <c r="BS679" s="571"/>
      <c r="BT679" s="564"/>
      <c r="BU679" s="569"/>
      <c r="BV679" s="571"/>
      <c r="BW679" s="562" t="s">
        <v>3165</v>
      </c>
      <c r="BX679" s="560" t="s">
        <v>4364</v>
      </c>
      <c r="BY679" s="562"/>
      <c r="BZ679" s="561"/>
      <c r="CA679" s="574"/>
      <c r="CB679" s="572"/>
      <c r="CC679" s="568"/>
      <c r="CD679" s="568"/>
      <c r="CE679" s="568"/>
      <c r="CF679" s="568"/>
      <c r="CG679" s="568"/>
      <c r="CH679" s="568"/>
      <c r="CI679" s="568"/>
      <c r="CJ679" s="568"/>
      <c r="CK679" s="568"/>
      <c r="CL679" s="568"/>
      <c r="CM679" s="579">
        <v>37.786999999999999</v>
      </c>
      <c r="CN679" s="579">
        <v>59.831000000000003</v>
      </c>
      <c r="CO679" s="579">
        <v>59.831000000000003</v>
      </c>
      <c r="CP679" s="579">
        <v>59.831000000000003</v>
      </c>
      <c r="CQ679" s="579">
        <v>59.831000000000003</v>
      </c>
      <c r="CR679" s="579">
        <v>59.831000000000003</v>
      </c>
      <c r="CS679" s="579">
        <v>59.831000000000003</v>
      </c>
      <c r="CT679" s="568"/>
      <c r="CU679" s="568"/>
      <c r="CV679" s="568"/>
      <c r="CW679" s="568"/>
      <c r="CX679" s="568"/>
      <c r="CY679" s="568"/>
      <c r="CZ679" s="568"/>
      <c r="DA679" s="568"/>
      <c r="DB679" s="568"/>
      <c r="DC679" s="568"/>
      <c r="DD679" s="568"/>
      <c r="DE679" s="561"/>
      <c r="DF679" s="561"/>
      <c r="DG679" s="561"/>
      <c r="DH679" s="561"/>
      <c r="DI679" s="561"/>
      <c r="DJ679" s="561"/>
      <c r="DK679" s="897"/>
    </row>
    <row r="680" spans="1:115" ht="38.25" x14ac:dyDescent="0.2">
      <c r="A680" s="295">
        <v>676</v>
      </c>
      <c r="B680" s="390" t="s">
        <v>9040</v>
      </c>
      <c r="C680" s="390"/>
      <c r="D680" s="391" t="s">
        <v>9041</v>
      </c>
      <c r="E680" s="709" t="s">
        <v>9052</v>
      </c>
      <c r="F680" s="475" t="s">
        <v>1375</v>
      </c>
      <c r="G680" s="393" t="s">
        <v>998</v>
      </c>
      <c r="H680" s="393" t="s">
        <v>218</v>
      </c>
      <c r="I680" s="563"/>
      <c r="J680" s="563"/>
      <c r="K680" s="560" t="s">
        <v>9060</v>
      </c>
      <c r="L680" s="560" t="s">
        <v>8006</v>
      </c>
      <c r="M680" s="563"/>
      <c r="N680" s="562" t="s">
        <v>44</v>
      </c>
      <c r="O680" s="475" t="s">
        <v>34</v>
      </c>
      <c r="P680" s="475" t="s">
        <v>34</v>
      </c>
      <c r="Q680" s="428" t="s">
        <v>1145</v>
      </c>
      <c r="R680" s="560" t="s">
        <v>6146</v>
      </c>
      <c r="S680" s="428" t="s">
        <v>912</v>
      </c>
      <c r="T680" s="564">
        <v>1</v>
      </c>
      <c r="U680" s="565">
        <v>43.527000000000001</v>
      </c>
      <c r="V680" s="565"/>
      <c r="W680" s="566"/>
      <c r="X680" s="564"/>
      <c r="Y680" s="564">
        <v>7</v>
      </c>
      <c r="Z680" s="564">
        <v>21</v>
      </c>
      <c r="AA680" s="565">
        <v>0</v>
      </c>
      <c r="AB680" s="567">
        <v>42892</v>
      </c>
      <c r="AC680" s="568"/>
      <c r="AD680" s="568">
        <v>155.5046794520548</v>
      </c>
      <c r="AE680" s="562" t="s">
        <v>660</v>
      </c>
      <c r="AF680" s="569"/>
      <c r="AG680" s="569"/>
      <c r="AH680" s="569"/>
      <c r="AI680" s="564"/>
      <c r="AJ680" s="566"/>
      <c r="AK680" s="566"/>
      <c r="AL680" s="561"/>
      <c r="AM680" s="561"/>
      <c r="AN680" s="569"/>
      <c r="AO680" s="563"/>
      <c r="AP680" s="563"/>
      <c r="AQ680" s="560"/>
      <c r="AR680" s="560" t="s">
        <v>368</v>
      </c>
      <c r="AS680" s="578">
        <v>40753</v>
      </c>
      <c r="AT680" s="566"/>
      <c r="AU680" s="566"/>
      <c r="AV680" s="566"/>
      <c r="AW680" s="566"/>
      <c r="AX680" s="566"/>
      <c r="AY680" s="566"/>
      <c r="AZ680" s="567">
        <v>42892</v>
      </c>
      <c r="BA680" s="561"/>
      <c r="BB680" s="561"/>
      <c r="BC680" s="561" t="b">
        <v>0</v>
      </c>
      <c r="BD680" s="561"/>
      <c r="BE680" s="563"/>
      <c r="BF680" s="394">
        <v>8</v>
      </c>
      <c r="BG680" s="394">
        <v>9</v>
      </c>
      <c r="BH680" s="394">
        <v>6</v>
      </c>
      <c r="BI680" s="394">
        <v>1</v>
      </c>
      <c r="BJ680" s="394">
        <v>5</v>
      </c>
      <c r="BK680" s="394">
        <v>3</v>
      </c>
      <c r="BL680" s="444" t="s">
        <v>6981</v>
      </c>
      <c r="BM680" s="563"/>
      <c r="BN680" s="561"/>
      <c r="BO680" s="561"/>
      <c r="BP680" s="571"/>
      <c r="BQ680" s="572"/>
      <c r="BR680" s="573"/>
      <c r="BS680" s="571"/>
      <c r="BT680" s="564"/>
      <c r="BU680" s="569"/>
      <c r="BV680" s="571"/>
      <c r="BW680" s="562" t="s">
        <v>3165</v>
      </c>
      <c r="BX680" s="560" t="s">
        <v>4364</v>
      </c>
      <c r="BY680" s="562"/>
      <c r="BZ680" s="561"/>
      <c r="CA680" s="574"/>
      <c r="CB680" s="572"/>
      <c r="CC680" s="568"/>
      <c r="CD680" s="568"/>
      <c r="CE680" s="568"/>
      <c r="CF680" s="568"/>
      <c r="CG680" s="568"/>
      <c r="CH680" s="568"/>
      <c r="CI680" s="568"/>
      <c r="CJ680" s="568"/>
      <c r="CK680" s="568"/>
      <c r="CL680" s="568"/>
      <c r="CM680" s="579">
        <v>40.323999999999998</v>
      </c>
      <c r="CN680" s="579">
        <v>44.061</v>
      </c>
      <c r="CO680" s="579">
        <v>44.061</v>
      </c>
      <c r="CP680" s="579">
        <v>44.061</v>
      </c>
      <c r="CQ680" s="579">
        <v>44.061</v>
      </c>
      <c r="CR680" s="579">
        <v>44.061</v>
      </c>
      <c r="CS680" s="579">
        <v>44.061</v>
      </c>
      <c r="CT680" s="568"/>
      <c r="CU680" s="568"/>
      <c r="CV680" s="568"/>
      <c r="CW680" s="568"/>
      <c r="CX680" s="568"/>
      <c r="CY680" s="568"/>
      <c r="CZ680" s="568"/>
      <c r="DA680" s="568"/>
      <c r="DB680" s="568"/>
      <c r="DC680" s="568"/>
      <c r="DD680" s="568"/>
      <c r="DE680" s="561"/>
      <c r="DF680" s="561"/>
      <c r="DG680" s="561"/>
      <c r="DH680" s="561"/>
      <c r="DI680" s="561"/>
      <c r="DJ680" s="561"/>
      <c r="DK680" s="897"/>
    </row>
    <row r="681" spans="1:115" ht="25.5" x14ac:dyDescent="0.2">
      <c r="A681" s="295">
        <v>677</v>
      </c>
      <c r="B681" s="390" t="s">
        <v>9042</v>
      </c>
      <c r="C681" s="390"/>
      <c r="D681" s="391" t="s">
        <v>9043</v>
      </c>
      <c r="E681" s="709" t="s">
        <v>9053</v>
      </c>
      <c r="F681" s="475" t="s">
        <v>1375</v>
      </c>
      <c r="G681" s="393" t="s">
        <v>998</v>
      </c>
      <c r="H681" s="393" t="s">
        <v>218</v>
      </c>
      <c r="I681" s="563"/>
      <c r="J681" s="563"/>
      <c r="K681" s="560" t="s">
        <v>9061</v>
      </c>
      <c r="L681" s="560" t="s">
        <v>8006</v>
      </c>
      <c r="M681" s="563"/>
      <c r="N681" s="562" t="s">
        <v>44</v>
      </c>
      <c r="O681" s="475" t="s">
        <v>34</v>
      </c>
      <c r="P681" s="475" t="s">
        <v>34</v>
      </c>
      <c r="Q681" s="428" t="s">
        <v>1145</v>
      </c>
      <c r="R681" s="560" t="s">
        <v>6146</v>
      </c>
      <c r="S681" s="428" t="s">
        <v>912</v>
      </c>
      <c r="T681" s="564">
        <v>1</v>
      </c>
      <c r="U681" s="565">
        <v>38.755000000000003</v>
      </c>
      <c r="V681" s="565"/>
      <c r="W681" s="566"/>
      <c r="X681" s="564"/>
      <c r="Y681" s="564">
        <v>7</v>
      </c>
      <c r="Z681" s="564">
        <v>21</v>
      </c>
      <c r="AA681" s="565">
        <v>0</v>
      </c>
      <c r="AB681" s="567">
        <v>42892</v>
      </c>
      <c r="AC681" s="568"/>
      <c r="AD681" s="568">
        <v>138.45621917808219</v>
      </c>
      <c r="AE681" s="562" t="s">
        <v>660</v>
      </c>
      <c r="AF681" s="569"/>
      <c r="AG681" s="569"/>
      <c r="AH681" s="569"/>
      <c r="AI681" s="564"/>
      <c r="AJ681" s="566"/>
      <c r="AK681" s="566"/>
      <c r="AL681" s="561"/>
      <c r="AM681" s="561"/>
      <c r="AN681" s="569"/>
      <c r="AO681" s="563"/>
      <c r="AP681" s="563"/>
      <c r="AQ681" s="560"/>
      <c r="AR681" s="560" t="s">
        <v>368</v>
      </c>
      <c r="AS681" s="578">
        <v>40753</v>
      </c>
      <c r="AT681" s="566"/>
      <c r="AU681" s="566"/>
      <c r="AV681" s="566"/>
      <c r="AW681" s="566"/>
      <c r="AX681" s="566"/>
      <c r="AY681" s="566"/>
      <c r="AZ681" s="567">
        <v>42892</v>
      </c>
      <c r="BA681" s="561"/>
      <c r="BB681" s="561"/>
      <c r="BC681" s="561" t="b">
        <v>0</v>
      </c>
      <c r="BD681" s="561"/>
      <c r="BE681" s="563"/>
      <c r="BF681" s="394">
        <v>8</v>
      </c>
      <c r="BG681" s="394">
        <v>9</v>
      </c>
      <c r="BH681" s="394">
        <v>6</v>
      </c>
      <c r="BI681" s="394">
        <v>1</v>
      </c>
      <c r="BJ681" s="394">
        <v>5</v>
      </c>
      <c r="BK681" s="394">
        <v>3</v>
      </c>
      <c r="BL681" s="444" t="s">
        <v>6981</v>
      </c>
      <c r="BM681" s="563"/>
      <c r="BN681" s="561"/>
      <c r="BO681" s="561"/>
      <c r="BP681" s="571"/>
      <c r="BQ681" s="572"/>
      <c r="BR681" s="573"/>
      <c r="BS681" s="571"/>
      <c r="BT681" s="564"/>
      <c r="BU681" s="569"/>
      <c r="BV681" s="571"/>
      <c r="BW681" s="562" t="s">
        <v>3165</v>
      </c>
      <c r="BX681" s="560" t="s">
        <v>4364</v>
      </c>
      <c r="BY681" s="562"/>
      <c r="BZ681" s="561"/>
      <c r="CA681" s="574"/>
      <c r="CB681" s="572"/>
      <c r="CC681" s="568"/>
      <c r="CD681" s="568"/>
      <c r="CE681" s="568"/>
      <c r="CF681" s="568"/>
      <c r="CG681" s="568"/>
      <c r="CH681" s="568"/>
      <c r="CI681" s="568"/>
      <c r="CJ681" s="568"/>
      <c r="CK681" s="568"/>
      <c r="CL681" s="568"/>
      <c r="CM681" s="579">
        <v>34.058</v>
      </c>
      <c r="CN681" s="579">
        <v>39.537999999999997</v>
      </c>
      <c r="CO681" s="579">
        <v>39.537999999999997</v>
      </c>
      <c r="CP681" s="579">
        <v>39.537999999999997</v>
      </c>
      <c r="CQ681" s="579">
        <v>39.537999999999997</v>
      </c>
      <c r="CR681" s="579">
        <v>39.537999999999997</v>
      </c>
      <c r="CS681" s="579">
        <v>39.537999999999997</v>
      </c>
      <c r="CT681" s="568"/>
      <c r="CU681" s="568"/>
      <c r="CV681" s="568"/>
      <c r="CW681" s="568"/>
      <c r="CX681" s="568"/>
      <c r="CY681" s="568"/>
      <c r="CZ681" s="568"/>
      <c r="DA681" s="568"/>
      <c r="DB681" s="568"/>
      <c r="DC681" s="568"/>
      <c r="DD681" s="568"/>
      <c r="DE681" s="561"/>
      <c r="DF681" s="561"/>
      <c r="DG681" s="561"/>
      <c r="DH681" s="561"/>
      <c r="DI681" s="561"/>
      <c r="DJ681" s="561"/>
      <c r="DK681" s="897"/>
    </row>
    <row r="682" spans="1:115" ht="25.5" x14ac:dyDescent="0.2">
      <c r="A682" s="295">
        <v>678</v>
      </c>
      <c r="B682" s="390" t="s">
        <v>9044</v>
      </c>
      <c r="C682" s="390"/>
      <c r="D682" s="391" t="s">
        <v>9045</v>
      </c>
      <c r="E682" s="709" t="s">
        <v>9054</v>
      </c>
      <c r="F682" s="475" t="s">
        <v>1375</v>
      </c>
      <c r="G682" s="393" t="s">
        <v>998</v>
      </c>
      <c r="H682" s="393" t="s">
        <v>218</v>
      </c>
      <c r="I682" s="563"/>
      <c r="J682" s="563"/>
      <c r="K682" s="560" t="s">
        <v>9062</v>
      </c>
      <c r="L682" s="560" t="s">
        <v>8006</v>
      </c>
      <c r="M682" s="563"/>
      <c r="N682" s="562" t="s">
        <v>44</v>
      </c>
      <c r="O682" s="475" t="s">
        <v>34</v>
      </c>
      <c r="P682" s="475" t="s">
        <v>34</v>
      </c>
      <c r="Q682" s="428" t="s">
        <v>1145</v>
      </c>
      <c r="R682" s="560" t="s">
        <v>6146</v>
      </c>
      <c r="S682" s="428" t="s">
        <v>912</v>
      </c>
      <c r="T682" s="564">
        <v>1</v>
      </c>
      <c r="U682" s="565">
        <v>47.081000000000003</v>
      </c>
      <c r="V682" s="565"/>
      <c r="W682" s="566"/>
      <c r="X682" s="564"/>
      <c r="Y682" s="564">
        <v>7</v>
      </c>
      <c r="Z682" s="564">
        <v>21</v>
      </c>
      <c r="AA682" s="565">
        <v>0</v>
      </c>
      <c r="AB682" s="567">
        <v>42892</v>
      </c>
      <c r="AC682" s="568"/>
      <c r="AD682" s="568">
        <v>168.20170958904112</v>
      </c>
      <c r="AE682" s="562" t="s">
        <v>660</v>
      </c>
      <c r="AF682" s="569"/>
      <c r="AG682" s="569"/>
      <c r="AH682" s="569"/>
      <c r="AI682" s="564"/>
      <c r="AJ682" s="566"/>
      <c r="AK682" s="566"/>
      <c r="AL682" s="561"/>
      <c r="AM682" s="561"/>
      <c r="AN682" s="569"/>
      <c r="AO682" s="563"/>
      <c r="AP682" s="563"/>
      <c r="AQ682" s="560"/>
      <c r="AR682" s="560" t="s">
        <v>368</v>
      </c>
      <c r="AS682" s="578">
        <v>40753</v>
      </c>
      <c r="AT682" s="566"/>
      <c r="AU682" s="566"/>
      <c r="AV682" s="566"/>
      <c r="AW682" s="566"/>
      <c r="AX682" s="566"/>
      <c r="AY682" s="566"/>
      <c r="AZ682" s="567">
        <v>42892</v>
      </c>
      <c r="BA682" s="561"/>
      <c r="BB682" s="561"/>
      <c r="BC682" s="561" t="b">
        <v>0</v>
      </c>
      <c r="BD682" s="561"/>
      <c r="BE682" s="563"/>
      <c r="BF682" s="394">
        <v>8</v>
      </c>
      <c r="BG682" s="394">
        <v>9</v>
      </c>
      <c r="BH682" s="394">
        <v>6</v>
      </c>
      <c r="BI682" s="394">
        <v>1</v>
      </c>
      <c r="BJ682" s="394">
        <v>5</v>
      </c>
      <c r="BK682" s="394">
        <v>3</v>
      </c>
      <c r="BL682" s="444" t="s">
        <v>6981</v>
      </c>
      <c r="BM682" s="563"/>
      <c r="BN682" s="561"/>
      <c r="BO682" s="561"/>
      <c r="BP682" s="571"/>
      <c r="BQ682" s="572"/>
      <c r="BR682" s="573"/>
      <c r="BS682" s="571"/>
      <c r="BT682" s="564"/>
      <c r="BU682" s="569"/>
      <c r="BV682" s="571"/>
      <c r="BW682" s="562" t="s">
        <v>3165</v>
      </c>
      <c r="BX682" s="560" t="s">
        <v>4364</v>
      </c>
      <c r="BY682" s="562"/>
      <c r="BZ682" s="561"/>
      <c r="CA682" s="574"/>
      <c r="CB682" s="572"/>
      <c r="CC682" s="568"/>
      <c r="CD682" s="568"/>
      <c r="CE682" s="568"/>
      <c r="CF682" s="568"/>
      <c r="CG682" s="568"/>
      <c r="CH682" s="568"/>
      <c r="CI682" s="568"/>
      <c r="CJ682" s="568"/>
      <c r="CK682" s="568"/>
      <c r="CL682" s="568"/>
      <c r="CM682" s="579">
        <v>43.877000000000002</v>
      </c>
      <c r="CN682" s="579">
        <v>47.615000000000002</v>
      </c>
      <c r="CO682" s="579">
        <v>47.615000000000002</v>
      </c>
      <c r="CP682" s="579">
        <v>47.615000000000002</v>
      </c>
      <c r="CQ682" s="579">
        <v>47.615000000000002</v>
      </c>
      <c r="CR682" s="579">
        <v>47.615000000000002</v>
      </c>
      <c r="CS682" s="579">
        <v>47.615000000000002</v>
      </c>
      <c r="CT682" s="568"/>
      <c r="CU682" s="568"/>
      <c r="CV682" s="568"/>
      <c r="CW682" s="568"/>
      <c r="CX682" s="568"/>
      <c r="CY682" s="568"/>
      <c r="CZ682" s="568"/>
      <c r="DA682" s="568"/>
      <c r="DB682" s="568"/>
      <c r="DC682" s="568"/>
      <c r="DD682" s="568"/>
      <c r="DE682" s="561"/>
      <c r="DF682" s="561"/>
      <c r="DG682" s="561"/>
      <c r="DH682" s="561"/>
      <c r="DI682" s="561"/>
      <c r="DJ682" s="561"/>
      <c r="DK682" s="897"/>
    </row>
    <row r="683" spans="1:115" ht="25.5" x14ac:dyDescent="0.2">
      <c r="A683" s="295">
        <v>679</v>
      </c>
      <c r="B683" s="390" t="s">
        <v>9046</v>
      </c>
      <c r="C683" s="390"/>
      <c r="D683" s="391" t="s">
        <v>9047</v>
      </c>
      <c r="E683" s="709" t="s">
        <v>9055</v>
      </c>
      <c r="F683" s="475" t="s">
        <v>1375</v>
      </c>
      <c r="G683" s="393" t="s">
        <v>998</v>
      </c>
      <c r="H683" s="393" t="s">
        <v>218</v>
      </c>
      <c r="I683" s="563"/>
      <c r="J683" s="563"/>
      <c r="K683" s="560" t="s">
        <v>9062</v>
      </c>
      <c r="L683" s="560" t="s">
        <v>8006</v>
      </c>
      <c r="M683" s="563"/>
      <c r="N683" s="562" t="s">
        <v>44</v>
      </c>
      <c r="O683" s="475" t="s">
        <v>34</v>
      </c>
      <c r="P683" s="475" t="s">
        <v>34</v>
      </c>
      <c r="Q683" s="428" t="s">
        <v>1145</v>
      </c>
      <c r="R683" s="560" t="s">
        <v>6146</v>
      </c>
      <c r="S683" s="428" t="s">
        <v>912</v>
      </c>
      <c r="T683" s="564">
        <v>1</v>
      </c>
      <c r="U683" s="565">
        <v>38.216000000000001</v>
      </c>
      <c r="V683" s="565"/>
      <c r="W683" s="566"/>
      <c r="X683" s="564"/>
      <c r="Y683" s="564">
        <v>7</v>
      </c>
      <c r="Z683" s="564">
        <v>21</v>
      </c>
      <c r="AA683" s="565">
        <v>0</v>
      </c>
      <c r="AB683" s="567">
        <v>42892</v>
      </c>
      <c r="AC683" s="568"/>
      <c r="AD683" s="568">
        <v>136.53058630136988</v>
      </c>
      <c r="AE683" s="562" t="s">
        <v>660</v>
      </c>
      <c r="AF683" s="569"/>
      <c r="AG683" s="569"/>
      <c r="AH683" s="569"/>
      <c r="AI683" s="564"/>
      <c r="AJ683" s="566"/>
      <c r="AK683" s="566"/>
      <c r="AL683" s="561"/>
      <c r="AM683" s="561"/>
      <c r="AN683" s="569"/>
      <c r="AO683" s="563"/>
      <c r="AP683" s="563"/>
      <c r="AQ683" s="560"/>
      <c r="AR683" s="560" t="s">
        <v>368</v>
      </c>
      <c r="AS683" s="578">
        <v>40753</v>
      </c>
      <c r="AT683" s="566"/>
      <c r="AU683" s="566"/>
      <c r="AV683" s="566"/>
      <c r="AW683" s="566"/>
      <c r="AX683" s="566"/>
      <c r="AY683" s="566"/>
      <c r="AZ683" s="567">
        <v>42892</v>
      </c>
      <c r="BA683" s="561"/>
      <c r="BB683" s="561"/>
      <c r="BC683" s="561" t="b">
        <v>0</v>
      </c>
      <c r="BD683" s="561"/>
      <c r="BE683" s="563"/>
      <c r="BF683" s="394">
        <v>8</v>
      </c>
      <c r="BG683" s="394">
        <v>9</v>
      </c>
      <c r="BH683" s="394">
        <v>6</v>
      </c>
      <c r="BI683" s="394">
        <v>1</v>
      </c>
      <c r="BJ683" s="394">
        <v>5</v>
      </c>
      <c r="BK683" s="394">
        <v>3</v>
      </c>
      <c r="BL683" s="444" t="s">
        <v>6981</v>
      </c>
      <c r="BM683" s="563"/>
      <c r="BN683" s="561"/>
      <c r="BO683" s="561"/>
      <c r="BP683" s="571"/>
      <c r="BQ683" s="572"/>
      <c r="BR683" s="573"/>
      <c r="BS683" s="571"/>
      <c r="BT683" s="564"/>
      <c r="BU683" s="569"/>
      <c r="BV683" s="571"/>
      <c r="BW683" s="562" t="s">
        <v>3165</v>
      </c>
      <c r="BX683" s="560" t="s">
        <v>4364</v>
      </c>
      <c r="BY683" s="562"/>
      <c r="BZ683" s="561"/>
      <c r="CA683" s="574"/>
      <c r="CB683" s="572"/>
      <c r="CC683" s="568"/>
      <c r="CD683" s="568"/>
      <c r="CE683" s="568"/>
      <c r="CF683" s="568"/>
      <c r="CG683" s="568"/>
      <c r="CH683" s="568"/>
      <c r="CI683" s="568"/>
      <c r="CJ683" s="568"/>
      <c r="CK683" s="568"/>
      <c r="CL683" s="568"/>
      <c r="CM683" s="579">
        <v>36.14</v>
      </c>
      <c r="CN683" s="579">
        <v>38.561999999999998</v>
      </c>
      <c r="CO683" s="579">
        <v>38.561999999999998</v>
      </c>
      <c r="CP683" s="579">
        <v>38.561999999999998</v>
      </c>
      <c r="CQ683" s="579">
        <v>38.561999999999998</v>
      </c>
      <c r="CR683" s="579">
        <v>38.561999999999998</v>
      </c>
      <c r="CS683" s="579">
        <v>38.561999999999998</v>
      </c>
      <c r="CT683" s="568"/>
      <c r="CU683" s="568"/>
      <c r="CV683" s="568"/>
      <c r="CW683" s="568"/>
      <c r="CX683" s="568"/>
      <c r="CY683" s="568"/>
      <c r="CZ683" s="568"/>
      <c r="DA683" s="568"/>
      <c r="DB683" s="568"/>
      <c r="DC683" s="568"/>
      <c r="DD683" s="568"/>
      <c r="DE683" s="561"/>
      <c r="DF683" s="561"/>
      <c r="DG683" s="561"/>
      <c r="DH683" s="561"/>
      <c r="DI683" s="561"/>
      <c r="DJ683" s="561"/>
      <c r="DK683" s="897"/>
    </row>
    <row r="684" spans="1:115" ht="63.75" x14ac:dyDescent="0.2">
      <c r="A684" s="295">
        <v>680</v>
      </c>
      <c r="B684" s="390" t="s">
        <v>1080</v>
      </c>
      <c r="C684" s="424" t="s">
        <v>7530</v>
      </c>
      <c r="D684" s="391" t="s">
        <v>6534</v>
      </c>
      <c r="E684" s="704" t="s">
        <v>1980</v>
      </c>
      <c r="F684" s="393" t="s">
        <v>1375</v>
      </c>
      <c r="G684" s="393" t="s">
        <v>998</v>
      </c>
      <c r="H684" s="393" t="s">
        <v>245</v>
      </c>
      <c r="I684" s="392"/>
      <c r="J684" s="392" t="s">
        <v>245</v>
      </c>
      <c r="K684" s="392"/>
      <c r="L684" s="392" t="s">
        <v>1081</v>
      </c>
      <c r="M684" s="392" t="s">
        <v>3173</v>
      </c>
      <c r="N684" s="393" t="s">
        <v>44</v>
      </c>
      <c r="O684" s="393" t="s">
        <v>51</v>
      </c>
      <c r="P684" s="393" t="s">
        <v>51</v>
      </c>
      <c r="Q684" s="392" t="s">
        <v>976</v>
      </c>
      <c r="R684" s="392"/>
      <c r="S684" s="392" t="s">
        <v>977</v>
      </c>
      <c r="T684" s="394">
        <v>12</v>
      </c>
      <c r="U684" s="395">
        <v>539.65400000000011</v>
      </c>
      <c r="V684" s="395"/>
      <c r="W684" s="452">
        <v>40721</v>
      </c>
      <c r="X684" s="394">
        <v>28</v>
      </c>
      <c r="Y684" s="394"/>
      <c r="Z684" s="394"/>
      <c r="AA684" s="395"/>
      <c r="AB684" s="453"/>
      <c r="AC684" s="398">
        <v>17.181000000000001</v>
      </c>
      <c r="AD684" s="398">
        <v>2541.4801315068498</v>
      </c>
      <c r="AE684" s="393" t="s">
        <v>54</v>
      </c>
      <c r="AF684" s="417"/>
      <c r="AG684" s="417">
        <f>SUM(AG685:AG688)</f>
        <v>131.05699999999999</v>
      </c>
      <c r="AH684" s="417">
        <v>131.05699999999999</v>
      </c>
      <c r="AI684" s="394"/>
      <c r="AJ684" s="453">
        <v>42629</v>
      </c>
      <c r="AK684" s="453">
        <v>42674</v>
      </c>
      <c r="AL684" s="393"/>
      <c r="AM684" s="393"/>
      <c r="AN684" s="417"/>
      <c r="AO684" s="428" t="s">
        <v>7418</v>
      </c>
      <c r="AP684" s="428" t="s">
        <v>7071</v>
      </c>
      <c r="AQ684" s="392"/>
      <c r="AR684" s="392" t="s">
        <v>1082</v>
      </c>
      <c r="AS684" s="479">
        <v>40757</v>
      </c>
      <c r="AT684" s="453"/>
      <c r="AU684" s="453"/>
      <c r="AV684" s="452">
        <v>41407</v>
      </c>
      <c r="AW684" s="452">
        <v>41827</v>
      </c>
      <c r="AX684" s="452">
        <v>41905</v>
      </c>
      <c r="AY684" s="452">
        <v>41842</v>
      </c>
      <c r="AZ684" s="453"/>
      <c r="BA684" s="393"/>
      <c r="BB684" s="393" t="s">
        <v>3116</v>
      </c>
      <c r="BC684" s="393" t="b">
        <v>0</v>
      </c>
      <c r="BD684" s="393" t="s">
        <v>3116</v>
      </c>
      <c r="BE684" s="392"/>
      <c r="BF684" s="394">
        <v>4</v>
      </c>
      <c r="BG684" s="394">
        <v>1</v>
      </c>
      <c r="BH684" s="394">
        <v>8</v>
      </c>
      <c r="BI684" s="394">
        <v>9</v>
      </c>
      <c r="BJ684" s="394">
        <v>6</v>
      </c>
      <c r="BK684" s="394"/>
      <c r="BL684" s="444"/>
      <c r="BM684" s="392"/>
      <c r="BN684" s="393"/>
      <c r="BO684" s="393"/>
      <c r="BP684" s="399"/>
      <c r="BQ684" s="400"/>
      <c r="BR684" s="401"/>
      <c r="BS684" s="399">
        <v>0</v>
      </c>
      <c r="BT684" s="394"/>
      <c r="BU684" s="417"/>
      <c r="BV684" s="399"/>
      <c r="BW684" s="393"/>
      <c r="BX684" s="392"/>
      <c r="BY684" s="393"/>
      <c r="BZ684" s="393"/>
      <c r="CA684" s="441"/>
      <c r="CB684" s="400"/>
      <c r="CC684" s="398"/>
      <c r="CD684" s="398"/>
      <c r="CE684" s="398"/>
      <c r="CF684" s="398"/>
      <c r="CG684" s="398"/>
      <c r="CH684" s="398"/>
      <c r="CI684" s="398"/>
      <c r="CJ684" s="398"/>
      <c r="CK684" s="398"/>
      <c r="CL684" s="398"/>
      <c r="CM684" s="398"/>
      <c r="CN684" s="398"/>
      <c r="CO684" s="398"/>
      <c r="CP684" s="398"/>
      <c r="CQ684" s="398"/>
      <c r="CR684" s="398"/>
      <c r="CS684" s="398"/>
      <c r="CT684" s="398"/>
      <c r="CU684" s="398"/>
      <c r="CV684" s="398"/>
      <c r="CW684" s="398"/>
      <c r="CX684" s="398"/>
      <c r="CY684" s="398"/>
      <c r="CZ684" s="398"/>
      <c r="DA684" s="398"/>
      <c r="DB684" s="398"/>
      <c r="DC684" s="398"/>
      <c r="DD684" s="398"/>
      <c r="DE684" s="393"/>
      <c r="DF684" s="393"/>
      <c r="DG684" s="393"/>
      <c r="DH684" s="393"/>
      <c r="DI684" s="393"/>
      <c r="DJ684" s="393"/>
      <c r="DK684" s="896" t="s">
        <v>9728</v>
      </c>
    </row>
    <row r="685" spans="1:115" ht="25.5" x14ac:dyDescent="0.2">
      <c r="A685" s="295">
        <v>681</v>
      </c>
      <c r="B685" s="390" t="s">
        <v>2702</v>
      </c>
      <c r="C685" s="390"/>
      <c r="D685" s="391" t="s">
        <v>6535</v>
      </c>
      <c r="E685" s="704" t="s">
        <v>1083</v>
      </c>
      <c r="F685" s="393" t="s">
        <v>1375</v>
      </c>
      <c r="G685" s="393" t="s">
        <v>998</v>
      </c>
      <c r="H685" s="393" t="s">
        <v>245</v>
      </c>
      <c r="I685" s="392"/>
      <c r="J685" s="392"/>
      <c r="K685" s="392" t="s">
        <v>245</v>
      </c>
      <c r="L685" s="392" t="s">
        <v>1081</v>
      </c>
      <c r="M685" s="392"/>
      <c r="N685" s="393" t="s">
        <v>44</v>
      </c>
      <c r="O685" s="393" t="s">
        <v>51</v>
      </c>
      <c r="P685" s="393" t="s">
        <v>51</v>
      </c>
      <c r="Q685" s="392" t="s">
        <v>976</v>
      </c>
      <c r="R685" s="392" t="s">
        <v>3174</v>
      </c>
      <c r="S685" s="392" t="s">
        <v>977</v>
      </c>
      <c r="T685" s="394">
        <v>1</v>
      </c>
      <c r="U685" s="395">
        <v>44.874000000000002</v>
      </c>
      <c r="V685" s="395"/>
      <c r="W685" s="453"/>
      <c r="X685" s="394"/>
      <c r="Y685" s="394">
        <v>7</v>
      </c>
      <c r="Z685" s="394">
        <v>21</v>
      </c>
      <c r="AA685" s="395">
        <v>6</v>
      </c>
      <c r="AB685" s="452">
        <v>40544</v>
      </c>
      <c r="AC685" s="398">
        <v>17.181000000000001</v>
      </c>
      <c r="AD685" s="398">
        <v>448.98588493150686</v>
      </c>
      <c r="AE685" s="393" t="s">
        <v>54</v>
      </c>
      <c r="AF685" s="417"/>
      <c r="AG685" s="417">
        <f>20.729+20.307</f>
        <v>41.036000000000001</v>
      </c>
      <c r="AH685" s="417">
        <v>41.036000000000001</v>
      </c>
      <c r="AI685" s="394"/>
      <c r="AJ685" s="453">
        <v>42629</v>
      </c>
      <c r="AK685" s="453">
        <v>42674</v>
      </c>
      <c r="AL685" s="393"/>
      <c r="AM685" s="393"/>
      <c r="AN685" s="417"/>
      <c r="AO685" s="428" t="s">
        <v>7418</v>
      </c>
      <c r="AP685" s="428" t="s">
        <v>7071</v>
      </c>
      <c r="AQ685" s="392"/>
      <c r="AR685" s="392" t="s">
        <v>1082</v>
      </c>
      <c r="AS685" s="479">
        <v>40757</v>
      </c>
      <c r="AT685" s="453"/>
      <c r="AU685" s="453"/>
      <c r="AV685" s="453"/>
      <c r="AW685" s="453"/>
      <c r="AX685" s="453"/>
      <c r="AY685" s="453"/>
      <c r="AZ685" s="452">
        <v>41842</v>
      </c>
      <c r="BA685" s="393"/>
      <c r="BB685" s="393"/>
      <c r="BC685" s="393" t="b">
        <v>0</v>
      </c>
      <c r="BD685" s="393"/>
      <c r="BE685" s="392"/>
      <c r="BF685" s="394">
        <v>4</v>
      </c>
      <c r="BG685" s="394">
        <v>1</v>
      </c>
      <c r="BH685" s="394">
        <v>8</v>
      </c>
      <c r="BI685" s="394">
        <v>9</v>
      </c>
      <c r="BJ685" s="394">
        <v>6</v>
      </c>
      <c r="BK685" s="394"/>
      <c r="BL685" s="444" t="s">
        <v>6981</v>
      </c>
      <c r="BM685" s="392"/>
      <c r="BN685" s="393"/>
      <c r="BO685" s="393"/>
      <c r="BP685" s="399"/>
      <c r="BQ685" s="400"/>
      <c r="BR685" s="401"/>
      <c r="BS685" s="399"/>
      <c r="BT685" s="394"/>
      <c r="BU685" s="417"/>
      <c r="BV685" s="399"/>
      <c r="BW685" s="393" t="s">
        <v>3117</v>
      </c>
      <c r="BX685" s="392" t="s">
        <v>1449</v>
      </c>
      <c r="BY685" s="393"/>
      <c r="BZ685" s="393"/>
      <c r="CA685" s="441"/>
      <c r="CB685" s="400"/>
      <c r="CC685" s="398"/>
      <c r="CD685" s="398"/>
      <c r="CE685" s="398"/>
      <c r="CF685" s="398"/>
      <c r="CG685" s="398"/>
      <c r="CH685" s="398">
        <v>17.181000000000001</v>
      </c>
      <c r="CI685" s="398">
        <v>41.180999999999997</v>
      </c>
      <c r="CJ685" s="398">
        <v>47.215000000000003</v>
      </c>
      <c r="CK685" s="398">
        <v>44.518000000000001</v>
      </c>
      <c r="CL685" s="398">
        <v>40.591999999999999</v>
      </c>
      <c r="CM685" s="398">
        <v>35.868000000000002</v>
      </c>
      <c r="CN685" s="398">
        <v>30.957000000000001</v>
      </c>
      <c r="CO685" s="398">
        <v>36.786999999999999</v>
      </c>
      <c r="CP685" s="398">
        <v>36.786999999999999</v>
      </c>
      <c r="CQ685" s="398">
        <v>36.786999999999999</v>
      </c>
      <c r="CR685" s="398">
        <v>36.786999999999999</v>
      </c>
      <c r="CS685" s="398">
        <v>36.786999999999999</v>
      </c>
      <c r="CT685" s="398">
        <v>36.786999999999999</v>
      </c>
      <c r="CU685" s="398">
        <v>36.786999999999999</v>
      </c>
      <c r="CV685" s="398">
        <v>36.786999999999999</v>
      </c>
      <c r="CW685" s="398">
        <v>36.786999999999999</v>
      </c>
      <c r="CX685" s="398">
        <v>36.786999999999999</v>
      </c>
      <c r="CY685" s="398">
        <v>36.786999999999999</v>
      </c>
      <c r="CZ685" s="398">
        <v>36.786999999999999</v>
      </c>
      <c r="DA685" s="398">
        <v>36.786999999999999</v>
      </c>
      <c r="DB685" s="398">
        <v>36.786999999999999</v>
      </c>
      <c r="DC685" s="398"/>
      <c r="DD685" s="398"/>
      <c r="DE685" s="393"/>
      <c r="DF685" s="393"/>
      <c r="DG685" s="393"/>
      <c r="DH685" s="393"/>
      <c r="DI685" s="393"/>
      <c r="DJ685" s="393"/>
      <c r="DK685" s="897"/>
    </row>
    <row r="686" spans="1:115" ht="38.25" x14ac:dyDescent="0.2">
      <c r="A686" s="295">
        <v>682</v>
      </c>
      <c r="B686" s="390" t="s">
        <v>6990</v>
      </c>
      <c r="C686" s="390"/>
      <c r="D686" s="391" t="s">
        <v>6950</v>
      </c>
      <c r="E686" s="704" t="s">
        <v>6951</v>
      </c>
      <c r="F686" s="393" t="s">
        <v>1375</v>
      </c>
      <c r="G686" s="393" t="s">
        <v>998</v>
      </c>
      <c r="H686" s="393" t="s">
        <v>245</v>
      </c>
      <c r="I686" s="392"/>
      <c r="J686" s="392"/>
      <c r="K686" s="392" t="s">
        <v>245</v>
      </c>
      <c r="L686" s="392" t="s">
        <v>1081</v>
      </c>
      <c r="M686" s="392"/>
      <c r="N686" s="393" t="s">
        <v>44</v>
      </c>
      <c r="O686" s="393" t="s">
        <v>51</v>
      </c>
      <c r="P686" s="393" t="s">
        <v>51</v>
      </c>
      <c r="Q686" s="392" t="s">
        <v>976</v>
      </c>
      <c r="R686" s="392" t="s">
        <v>6952</v>
      </c>
      <c r="S686" s="392" t="s">
        <v>977</v>
      </c>
      <c r="T686" s="394">
        <v>1</v>
      </c>
      <c r="U686" s="395">
        <v>44.98</v>
      </c>
      <c r="V686" s="395"/>
      <c r="W686" s="453"/>
      <c r="X686" s="394"/>
      <c r="Y686" s="394">
        <v>7</v>
      </c>
      <c r="Z686" s="394">
        <v>21</v>
      </c>
      <c r="AA686" s="395">
        <v>0</v>
      </c>
      <c r="AB686" s="452">
        <v>42080</v>
      </c>
      <c r="AC686" s="398"/>
      <c r="AD686" s="398">
        <v>260.76076712328768</v>
      </c>
      <c r="AE686" s="393" t="s">
        <v>54</v>
      </c>
      <c r="AF686" s="417"/>
      <c r="AG686" s="417">
        <f>18.311+22.503</f>
        <v>40.814</v>
      </c>
      <c r="AH686" s="417">
        <v>40.814</v>
      </c>
      <c r="AI686" s="394"/>
      <c r="AJ686" s="453">
        <v>42629</v>
      </c>
      <c r="AK686" s="453">
        <v>42674</v>
      </c>
      <c r="AL686" s="393"/>
      <c r="AM686" s="393"/>
      <c r="AN686" s="417"/>
      <c r="AO686" s="428" t="s">
        <v>7418</v>
      </c>
      <c r="AP686" s="428" t="s">
        <v>7071</v>
      </c>
      <c r="AQ686" s="392"/>
      <c r="AR686" s="392" t="s">
        <v>1082</v>
      </c>
      <c r="AS686" s="479">
        <v>40757</v>
      </c>
      <c r="AT686" s="453"/>
      <c r="AU686" s="453"/>
      <c r="AV686" s="453"/>
      <c r="AW686" s="453"/>
      <c r="AX686" s="453"/>
      <c r="AY686" s="453"/>
      <c r="AZ686" s="452">
        <v>42080</v>
      </c>
      <c r="BA686" s="393"/>
      <c r="BB686" s="393"/>
      <c r="BC686" s="393" t="b">
        <v>0</v>
      </c>
      <c r="BD686" s="393"/>
      <c r="BE686" s="392"/>
      <c r="BF686" s="394">
        <v>4</v>
      </c>
      <c r="BG686" s="394">
        <v>1</v>
      </c>
      <c r="BH686" s="394">
        <v>8</v>
      </c>
      <c r="BI686" s="394">
        <v>9</v>
      </c>
      <c r="BJ686" s="394">
        <v>6</v>
      </c>
      <c r="BK686" s="394"/>
      <c r="BL686" s="444" t="s">
        <v>6981</v>
      </c>
      <c r="BM686" s="392"/>
      <c r="BN686" s="393"/>
      <c r="BO686" s="393"/>
      <c r="BP686" s="399"/>
      <c r="BQ686" s="400"/>
      <c r="BR686" s="401"/>
      <c r="BS686" s="399"/>
      <c r="BT686" s="394"/>
      <c r="BU686" s="417"/>
      <c r="BV686" s="399"/>
      <c r="BW686" s="393" t="s">
        <v>3117</v>
      </c>
      <c r="BX686" s="392" t="s">
        <v>1449</v>
      </c>
      <c r="BY686" s="393"/>
      <c r="BZ686" s="393"/>
      <c r="CA686" s="441"/>
      <c r="CB686" s="400"/>
      <c r="CC686" s="398"/>
      <c r="CD686" s="398"/>
      <c r="CE686" s="398"/>
      <c r="CF686" s="398"/>
      <c r="CG686" s="398"/>
      <c r="CH686" s="398"/>
      <c r="CI686" s="398"/>
      <c r="CJ686" s="398"/>
      <c r="CK686" s="398">
        <v>44.98</v>
      </c>
      <c r="CL686" s="398">
        <v>44.98</v>
      </c>
      <c r="CM686" s="398">
        <v>44.98</v>
      </c>
      <c r="CN686" s="398">
        <v>44.98</v>
      </c>
      <c r="CO686" s="398">
        <v>44.98</v>
      </c>
      <c r="CP686" s="398">
        <v>44.98</v>
      </c>
      <c r="CQ686" s="398">
        <v>44.98</v>
      </c>
      <c r="CR686" s="398"/>
      <c r="CS686" s="398"/>
      <c r="CT686" s="398"/>
      <c r="CU686" s="398"/>
      <c r="CV686" s="398"/>
      <c r="CW686" s="398"/>
      <c r="CX686" s="398"/>
      <c r="CY686" s="398"/>
      <c r="CZ686" s="398"/>
      <c r="DA686" s="398"/>
      <c r="DB686" s="398"/>
      <c r="DC686" s="398"/>
      <c r="DD686" s="398"/>
      <c r="DE686" s="393"/>
      <c r="DF686" s="393"/>
      <c r="DG686" s="393"/>
      <c r="DH686" s="393"/>
      <c r="DI686" s="393"/>
      <c r="DJ686" s="393"/>
      <c r="DK686" s="897"/>
    </row>
    <row r="687" spans="1:115" ht="38.25" x14ac:dyDescent="0.2">
      <c r="A687" s="295">
        <v>683</v>
      </c>
      <c r="B687" s="390" t="s">
        <v>6991</v>
      </c>
      <c r="C687" s="390"/>
      <c r="D687" s="391" t="s">
        <v>6992</v>
      </c>
      <c r="E687" s="704" t="s">
        <v>6993</v>
      </c>
      <c r="F687" s="393" t="s">
        <v>1375</v>
      </c>
      <c r="G687" s="393" t="s">
        <v>998</v>
      </c>
      <c r="H687" s="393" t="s">
        <v>245</v>
      </c>
      <c r="I687" s="392"/>
      <c r="J687" s="392"/>
      <c r="K687" s="392" t="s">
        <v>245</v>
      </c>
      <c r="L687" s="392" t="s">
        <v>1081</v>
      </c>
      <c r="M687" s="392"/>
      <c r="N687" s="393" t="s">
        <v>44</v>
      </c>
      <c r="O687" s="393" t="s">
        <v>51</v>
      </c>
      <c r="P687" s="393" t="s">
        <v>51</v>
      </c>
      <c r="Q687" s="392" t="s">
        <v>976</v>
      </c>
      <c r="R687" s="392" t="s">
        <v>6952</v>
      </c>
      <c r="S687" s="392" t="s">
        <v>977</v>
      </c>
      <c r="T687" s="394">
        <v>1</v>
      </c>
      <c r="U687" s="395">
        <v>44.98</v>
      </c>
      <c r="V687" s="395"/>
      <c r="W687" s="453"/>
      <c r="X687" s="394"/>
      <c r="Y687" s="394">
        <v>7</v>
      </c>
      <c r="Z687" s="394">
        <v>21</v>
      </c>
      <c r="AA687" s="395">
        <v>0</v>
      </c>
      <c r="AB687" s="452">
        <v>42111</v>
      </c>
      <c r="AC687" s="398"/>
      <c r="AD687" s="398">
        <v>256.94054794520542</v>
      </c>
      <c r="AE687" s="393" t="s">
        <v>54</v>
      </c>
      <c r="AF687" s="417"/>
      <c r="AG687" s="417">
        <f>10.497+22.384</f>
        <v>32.881</v>
      </c>
      <c r="AH687" s="417">
        <v>32.881</v>
      </c>
      <c r="AI687" s="394"/>
      <c r="AJ687" s="453">
        <v>42629</v>
      </c>
      <c r="AK687" s="453">
        <v>42674</v>
      </c>
      <c r="AL687" s="393"/>
      <c r="AM687" s="393"/>
      <c r="AN687" s="417"/>
      <c r="AO687" s="428" t="s">
        <v>7418</v>
      </c>
      <c r="AP687" s="428" t="s">
        <v>7071</v>
      </c>
      <c r="AQ687" s="392"/>
      <c r="AR687" s="392" t="s">
        <v>1082</v>
      </c>
      <c r="AS687" s="479">
        <v>40757</v>
      </c>
      <c r="AT687" s="453"/>
      <c r="AU687" s="453"/>
      <c r="AV687" s="453"/>
      <c r="AW687" s="453"/>
      <c r="AX687" s="453"/>
      <c r="AY687" s="453"/>
      <c r="AZ687" s="452">
        <v>42111</v>
      </c>
      <c r="BA687" s="393"/>
      <c r="BB687" s="393"/>
      <c r="BC687" s="393" t="b">
        <v>0</v>
      </c>
      <c r="BD687" s="393"/>
      <c r="BE687" s="392"/>
      <c r="BF687" s="394">
        <v>4</v>
      </c>
      <c r="BG687" s="394">
        <v>1</v>
      </c>
      <c r="BH687" s="394">
        <v>8</v>
      </c>
      <c r="BI687" s="394">
        <v>9</v>
      </c>
      <c r="BJ687" s="394">
        <v>6</v>
      </c>
      <c r="BK687" s="394"/>
      <c r="BL687" s="444" t="s">
        <v>6981</v>
      </c>
      <c r="BM687" s="392"/>
      <c r="BN687" s="393"/>
      <c r="BO687" s="393"/>
      <c r="BP687" s="399"/>
      <c r="BQ687" s="400"/>
      <c r="BR687" s="401"/>
      <c r="BS687" s="399"/>
      <c r="BT687" s="394"/>
      <c r="BU687" s="417"/>
      <c r="BV687" s="399"/>
      <c r="BW687" s="393" t="s">
        <v>3117</v>
      </c>
      <c r="BX687" s="392" t="s">
        <v>1449</v>
      </c>
      <c r="BY687" s="393"/>
      <c r="BZ687" s="393"/>
      <c r="CA687" s="441"/>
      <c r="CB687" s="400"/>
      <c r="CC687" s="398"/>
      <c r="CD687" s="398"/>
      <c r="CE687" s="398"/>
      <c r="CF687" s="398"/>
      <c r="CG687" s="398"/>
      <c r="CH687" s="398"/>
      <c r="CI687" s="398"/>
      <c r="CJ687" s="398"/>
      <c r="CK687" s="398">
        <v>44.98</v>
      </c>
      <c r="CL687" s="398">
        <v>44.98</v>
      </c>
      <c r="CM687" s="398">
        <v>44.98</v>
      </c>
      <c r="CN687" s="398">
        <v>44.98</v>
      </c>
      <c r="CO687" s="398">
        <v>44.98</v>
      </c>
      <c r="CP687" s="398">
        <v>44.98</v>
      </c>
      <c r="CQ687" s="398">
        <v>44.98</v>
      </c>
      <c r="CR687" s="398"/>
      <c r="CS687" s="398"/>
      <c r="CT687" s="398"/>
      <c r="CU687" s="398"/>
      <c r="CV687" s="398"/>
      <c r="CW687" s="398"/>
      <c r="CX687" s="398"/>
      <c r="CY687" s="398"/>
      <c r="CZ687" s="398"/>
      <c r="DA687" s="398"/>
      <c r="DB687" s="398"/>
      <c r="DC687" s="398"/>
      <c r="DD687" s="398"/>
      <c r="DE687" s="393"/>
      <c r="DF687" s="393"/>
      <c r="DG687" s="393"/>
      <c r="DH687" s="393"/>
      <c r="DI687" s="393"/>
      <c r="DJ687" s="393"/>
      <c r="DK687" s="897"/>
    </row>
    <row r="688" spans="1:115" ht="38.25" x14ac:dyDescent="0.2">
      <c r="A688" s="295">
        <v>684</v>
      </c>
      <c r="B688" s="390" t="s">
        <v>6994</v>
      </c>
      <c r="C688" s="390"/>
      <c r="D688" s="391" t="s">
        <v>6995</v>
      </c>
      <c r="E688" s="704" t="s">
        <v>6996</v>
      </c>
      <c r="F688" s="393" t="s">
        <v>1375</v>
      </c>
      <c r="G688" s="393" t="s">
        <v>998</v>
      </c>
      <c r="H688" s="393" t="s">
        <v>245</v>
      </c>
      <c r="I688" s="392"/>
      <c r="J688" s="392"/>
      <c r="K688" s="392" t="s">
        <v>245</v>
      </c>
      <c r="L688" s="392" t="s">
        <v>1081</v>
      </c>
      <c r="M688" s="392"/>
      <c r="N688" s="393" t="s">
        <v>44</v>
      </c>
      <c r="O688" s="393" t="s">
        <v>51</v>
      </c>
      <c r="P688" s="393" t="s">
        <v>51</v>
      </c>
      <c r="Q688" s="392" t="s">
        <v>976</v>
      </c>
      <c r="R688" s="392" t="s">
        <v>6952</v>
      </c>
      <c r="S688" s="392" t="s">
        <v>977</v>
      </c>
      <c r="T688" s="394">
        <v>1</v>
      </c>
      <c r="U688" s="395">
        <v>44.98</v>
      </c>
      <c r="V688" s="395"/>
      <c r="W688" s="453"/>
      <c r="X688" s="394"/>
      <c r="Y688" s="394">
        <v>7</v>
      </c>
      <c r="Z688" s="394">
        <v>21</v>
      </c>
      <c r="AA688" s="395">
        <v>0</v>
      </c>
      <c r="AB688" s="452">
        <v>42111</v>
      </c>
      <c r="AC688" s="398"/>
      <c r="AD688" s="398">
        <v>256.94054794520542</v>
      </c>
      <c r="AE688" s="393" t="s">
        <v>54</v>
      </c>
      <c r="AF688" s="417"/>
      <c r="AG688" s="417">
        <f>0.621+15.705</f>
        <v>16.326000000000001</v>
      </c>
      <c r="AH688" s="417">
        <v>16.326000000000001</v>
      </c>
      <c r="AI688" s="394"/>
      <c r="AJ688" s="453">
        <v>42629</v>
      </c>
      <c r="AK688" s="453">
        <v>42674</v>
      </c>
      <c r="AL688" s="393"/>
      <c r="AM688" s="393"/>
      <c r="AN688" s="417"/>
      <c r="AO688" s="428" t="s">
        <v>7418</v>
      </c>
      <c r="AP688" s="428" t="s">
        <v>7071</v>
      </c>
      <c r="AQ688" s="392"/>
      <c r="AR688" s="392" t="s">
        <v>1082</v>
      </c>
      <c r="AS688" s="479">
        <v>40757</v>
      </c>
      <c r="AT688" s="453"/>
      <c r="AU688" s="453"/>
      <c r="AV688" s="453"/>
      <c r="AW688" s="453"/>
      <c r="AX688" s="453"/>
      <c r="AY688" s="453"/>
      <c r="AZ688" s="452">
        <v>42111</v>
      </c>
      <c r="BA688" s="393"/>
      <c r="BB688" s="393"/>
      <c r="BC688" s="393" t="b">
        <v>0</v>
      </c>
      <c r="BD688" s="393"/>
      <c r="BE688" s="392"/>
      <c r="BF688" s="394">
        <v>4</v>
      </c>
      <c r="BG688" s="394">
        <v>1</v>
      </c>
      <c r="BH688" s="394">
        <v>8</v>
      </c>
      <c r="BI688" s="394">
        <v>9</v>
      </c>
      <c r="BJ688" s="394">
        <v>6</v>
      </c>
      <c r="BK688" s="394"/>
      <c r="BL688" s="444" t="s">
        <v>6981</v>
      </c>
      <c r="BM688" s="392"/>
      <c r="BN688" s="393"/>
      <c r="BO688" s="393"/>
      <c r="BP688" s="399"/>
      <c r="BQ688" s="400"/>
      <c r="BR688" s="401"/>
      <c r="BS688" s="399"/>
      <c r="BT688" s="394"/>
      <c r="BU688" s="417"/>
      <c r="BV688" s="399"/>
      <c r="BW688" s="393" t="s">
        <v>3117</v>
      </c>
      <c r="BX688" s="392" t="s">
        <v>1449</v>
      </c>
      <c r="BY688" s="393"/>
      <c r="BZ688" s="393"/>
      <c r="CA688" s="441"/>
      <c r="CB688" s="400"/>
      <c r="CC688" s="398"/>
      <c r="CD688" s="398"/>
      <c r="CE688" s="398"/>
      <c r="CF688" s="398"/>
      <c r="CG688" s="398"/>
      <c r="CH688" s="398"/>
      <c r="CI688" s="398"/>
      <c r="CJ688" s="398"/>
      <c r="CK688" s="398">
        <v>44.98</v>
      </c>
      <c r="CL688" s="398">
        <v>44.98</v>
      </c>
      <c r="CM688" s="398">
        <v>44.98</v>
      </c>
      <c r="CN688" s="398">
        <v>44.98</v>
      </c>
      <c r="CO688" s="398">
        <v>44.98</v>
      </c>
      <c r="CP688" s="398">
        <v>44.98</v>
      </c>
      <c r="CQ688" s="398">
        <v>44.98</v>
      </c>
      <c r="CR688" s="398"/>
      <c r="CS688" s="398"/>
      <c r="CT688" s="398"/>
      <c r="CU688" s="398"/>
      <c r="CV688" s="398"/>
      <c r="CW688" s="398"/>
      <c r="CX688" s="398"/>
      <c r="CY688" s="398"/>
      <c r="CZ688" s="398"/>
      <c r="DA688" s="398"/>
      <c r="DB688" s="398"/>
      <c r="DC688" s="398"/>
      <c r="DD688" s="398"/>
      <c r="DE688" s="393"/>
      <c r="DF688" s="393"/>
      <c r="DG688" s="393"/>
      <c r="DH688" s="393"/>
      <c r="DI688" s="393"/>
      <c r="DJ688" s="393"/>
      <c r="DK688" s="897"/>
    </row>
    <row r="689" spans="1:115" ht="38.25" x14ac:dyDescent="0.2">
      <c r="A689" s="295">
        <v>685</v>
      </c>
      <c r="B689" s="390" t="s">
        <v>8847</v>
      </c>
      <c r="C689" s="577"/>
      <c r="D689" s="391" t="s">
        <v>8851</v>
      </c>
      <c r="E689" s="709" t="s">
        <v>8855</v>
      </c>
      <c r="F689" s="393" t="s">
        <v>1375</v>
      </c>
      <c r="G689" s="393" t="s">
        <v>998</v>
      </c>
      <c r="H689" s="393" t="s">
        <v>245</v>
      </c>
      <c r="I689" s="563"/>
      <c r="J689" s="563"/>
      <c r="K689" s="560" t="s">
        <v>245</v>
      </c>
      <c r="L689" s="392" t="s">
        <v>1081</v>
      </c>
      <c r="M689" s="563"/>
      <c r="N689" s="393" t="s">
        <v>44</v>
      </c>
      <c r="O689" s="393" t="s">
        <v>51</v>
      </c>
      <c r="P689" s="393" t="s">
        <v>51</v>
      </c>
      <c r="Q689" s="392" t="s">
        <v>976</v>
      </c>
      <c r="R689" s="428" t="s">
        <v>8859</v>
      </c>
      <c r="S689" s="392" t="s">
        <v>977</v>
      </c>
      <c r="T689" s="564">
        <v>1</v>
      </c>
      <c r="U689" s="565">
        <v>44.98</v>
      </c>
      <c r="V689" s="565"/>
      <c r="W689" s="566"/>
      <c r="X689" s="564"/>
      <c r="Y689" s="564">
        <v>7</v>
      </c>
      <c r="Z689" s="564">
        <v>21</v>
      </c>
      <c r="AA689" s="565">
        <v>0</v>
      </c>
      <c r="AB689" s="567">
        <v>42736</v>
      </c>
      <c r="AC689" s="568"/>
      <c r="AD689" s="568">
        <v>179.91999999999996</v>
      </c>
      <c r="AE689" s="393" t="s">
        <v>54</v>
      </c>
      <c r="AF689" s="569"/>
      <c r="AG689" s="569"/>
      <c r="AH689" s="569"/>
      <c r="AI689" s="564"/>
      <c r="AJ689" s="566"/>
      <c r="AK689" s="566"/>
      <c r="AL689" s="561"/>
      <c r="AM689" s="561"/>
      <c r="AN689" s="569"/>
      <c r="AO689" s="560"/>
      <c r="AP689" s="428" t="s">
        <v>7071</v>
      </c>
      <c r="AQ689" s="563"/>
      <c r="AR689" s="392" t="s">
        <v>1082</v>
      </c>
      <c r="AS689" s="479">
        <v>40757</v>
      </c>
      <c r="AT689" s="566"/>
      <c r="AU689" s="566"/>
      <c r="AV689" s="566"/>
      <c r="AW689" s="566"/>
      <c r="AX689" s="566"/>
      <c r="AY689" s="566"/>
      <c r="AZ689" s="567">
        <v>42702</v>
      </c>
      <c r="BA689" s="561"/>
      <c r="BB689" s="561"/>
      <c r="BC689" s="393" t="b">
        <v>0</v>
      </c>
      <c r="BD689" s="561"/>
      <c r="BE689" s="563"/>
      <c r="BF689" s="394">
        <v>4</v>
      </c>
      <c r="BG689" s="394">
        <v>1</v>
      </c>
      <c r="BH689" s="394">
        <v>8</v>
      </c>
      <c r="BI689" s="394">
        <v>9</v>
      </c>
      <c r="BJ689" s="394">
        <v>6</v>
      </c>
      <c r="BK689" s="394"/>
      <c r="BL689" s="444" t="s">
        <v>6981</v>
      </c>
      <c r="BM689" s="563"/>
      <c r="BN689" s="561"/>
      <c r="BO689" s="561"/>
      <c r="BP689" s="571"/>
      <c r="BQ689" s="572"/>
      <c r="BR689" s="573"/>
      <c r="BS689" s="571"/>
      <c r="BT689" s="564"/>
      <c r="BU689" s="569"/>
      <c r="BV689" s="571"/>
      <c r="BW689" s="393" t="s">
        <v>3117</v>
      </c>
      <c r="BX689" s="392" t="s">
        <v>1449</v>
      </c>
      <c r="BY689" s="561"/>
      <c r="BZ689" s="561"/>
      <c r="CA689" s="574"/>
      <c r="CB689" s="572"/>
      <c r="CC689" s="568"/>
      <c r="CD689" s="568"/>
      <c r="CE689" s="568"/>
      <c r="CF689" s="568"/>
      <c r="CG689" s="568"/>
      <c r="CH689" s="568"/>
      <c r="CI689" s="568"/>
      <c r="CJ689" s="568"/>
      <c r="CK689" s="568"/>
      <c r="CL689" s="568"/>
      <c r="CM689" s="398">
        <v>44.98</v>
      </c>
      <c r="CN689" s="398">
        <v>44.98</v>
      </c>
      <c r="CO689" s="398">
        <v>44.98</v>
      </c>
      <c r="CP689" s="398">
        <v>44.98</v>
      </c>
      <c r="CQ689" s="398">
        <v>44.98</v>
      </c>
      <c r="CR689" s="398">
        <v>44.98</v>
      </c>
      <c r="CS689" s="398">
        <v>44.98</v>
      </c>
      <c r="CT689" s="568"/>
      <c r="CU689" s="568"/>
      <c r="CV689" s="568"/>
      <c r="CW689" s="568"/>
      <c r="CX689" s="568"/>
      <c r="CY689" s="568"/>
      <c r="CZ689" s="568"/>
      <c r="DA689" s="568"/>
      <c r="DB689" s="568"/>
      <c r="DC689" s="568"/>
      <c r="DD689" s="568"/>
      <c r="DE689" s="561"/>
      <c r="DF689" s="561"/>
      <c r="DG689" s="561"/>
      <c r="DH689" s="561"/>
      <c r="DI689" s="561"/>
      <c r="DJ689" s="561"/>
      <c r="DK689" s="897"/>
    </row>
    <row r="690" spans="1:115" ht="38.25" x14ac:dyDescent="0.2">
      <c r="A690" s="295">
        <v>686</v>
      </c>
      <c r="B690" s="390" t="s">
        <v>8848</v>
      </c>
      <c r="C690" s="577"/>
      <c r="D690" s="391" t="s">
        <v>8852</v>
      </c>
      <c r="E690" s="709" t="s">
        <v>8856</v>
      </c>
      <c r="F690" s="393" t="s">
        <v>1375</v>
      </c>
      <c r="G690" s="393" t="s">
        <v>998</v>
      </c>
      <c r="H690" s="393" t="s">
        <v>245</v>
      </c>
      <c r="I690" s="563"/>
      <c r="J690" s="563"/>
      <c r="K690" s="560" t="s">
        <v>245</v>
      </c>
      <c r="L690" s="392" t="s">
        <v>1081</v>
      </c>
      <c r="M690" s="563"/>
      <c r="N690" s="393" t="s">
        <v>44</v>
      </c>
      <c r="O690" s="393" t="s">
        <v>51</v>
      </c>
      <c r="P690" s="393" t="s">
        <v>51</v>
      </c>
      <c r="Q690" s="392" t="s">
        <v>976</v>
      </c>
      <c r="R690" s="428" t="s">
        <v>8860</v>
      </c>
      <c r="S690" s="392" t="s">
        <v>977</v>
      </c>
      <c r="T690" s="564">
        <v>1</v>
      </c>
      <c r="U690" s="565">
        <v>44.98</v>
      </c>
      <c r="V690" s="565"/>
      <c r="W690" s="566"/>
      <c r="X690" s="564"/>
      <c r="Y690" s="564">
        <v>7</v>
      </c>
      <c r="Z690" s="564">
        <v>21</v>
      </c>
      <c r="AA690" s="565">
        <v>0</v>
      </c>
      <c r="AB690" s="567">
        <v>42736</v>
      </c>
      <c r="AC690" s="568"/>
      <c r="AD690" s="568">
        <v>179.91999999999996</v>
      </c>
      <c r="AE690" s="393" t="s">
        <v>54</v>
      </c>
      <c r="AF690" s="569"/>
      <c r="AG690" s="569"/>
      <c r="AH690" s="569"/>
      <c r="AI690" s="564"/>
      <c r="AJ690" s="566"/>
      <c r="AK690" s="566"/>
      <c r="AL690" s="561"/>
      <c r="AM690" s="561"/>
      <c r="AN690" s="569"/>
      <c r="AO690" s="560"/>
      <c r="AP690" s="428" t="s">
        <v>7071</v>
      </c>
      <c r="AQ690" s="563"/>
      <c r="AR690" s="392" t="s">
        <v>1082</v>
      </c>
      <c r="AS690" s="479">
        <v>40757</v>
      </c>
      <c r="AT690" s="566"/>
      <c r="AU690" s="566"/>
      <c r="AV690" s="566"/>
      <c r="AW690" s="566"/>
      <c r="AX690" s="566"/>
      <c r="AY690" s="566"/>
      <c r="AZ690" s="567">
        <v>42702</v>
      </c>
      <c r="BA690" s="561"/>
      <c r="BB690" s="561"/>
      <c r="BC690" s="393" t="b">
        <v>0</v>
      </c>
      <c r="BD690" s="561"/>
      <c r="BE690" s="563"/>
      <c r="BF690" s="394">
        <v>4</v>
      </c>
      <c r="BG690" s="394">
        <v>1</v>
      </c>
      <c r="BH690" s="394">
        <v>8</v>
      </c>
      <c r="BI690" s="394">
        <v>9</v>
      </c>
      <c r="BJ690" s="394">
        <v>6</v>
      </c>
      <c r="BK690" s="394"/>
      <c r="BL690" s="444" t="s">
        <v>6981</v>
      </c>
      <c r="BM690" s="563"/>
      <c r="BN690" s="561"/>
      <c r="BO690" s="561"/>
      <c r="BP690" s="571"/>
      <c r="BQ690" s="572"/>
      <c r="BR690" s="573"/>
      <c r="BS690" s="571"/>
      <c r="BT690" s="564"/>
      <c r="BU690" s="569"/>
      <c r="BV690" s="571"/>
      <c r="BW690" s="393" t="s">
        <v>3117</v>
      </c>
      <c r="BX690" s="392" t="s">
        <v>1449</v>
      </c>
      <c r="BY690" s="561"/>
      <c r="BZ690" s="561"/>
      <c r="CA690" s="574"/>
      <c r="CB690" s="572"/>
      <c r="CC690" s="568"/>
      <c r="CD690" s="568"/>
      <c r="CE690" s="568"/>
      <c r="CF690" s="568"/>
      <c r="CG690" s="568"/>
      <c r="CH690" s="568"/>
      <c r="CI690" s="568"/>
      <c r="CJ690" s="568"/>
      <c r="CK690" s="568"/>
      <c r="CL690" s="568"/>
      <c r="CM690" s="398">
        <v>44.98</v>
      </c>
      <c r="CN690" s="398">
        <v>44.98</v>
      </c>
      <c r="CO690" s="398">
        <v>44.98</v>
      </c>
      <c r="CP690" s="398">
        <v>44.98</v>
      </c>
      <c r="CQ690" s="398">
        <v>44.98</v>
      </c>
      <c r="CR690" s="398">
        <v>44.98</v>
      </c>
      <c r="CS690" s="398">
        <v>44.98</v>
      </c>
      <c r="CT690" s="568"/>
      <c r="CU690" s="568"/>
      <c r="CV690" s="568"/>
      <c r="CW690" s="568"/>
      <c r="CX690" s="568"/>
      <c r="CY690" s="568"/>
      <c r="CZ690" s="568"/>
      <c r="DA690" s="568"/>
      <c r="DB690" s="568"/>
      <c r="DC690" s="568"/>
      <c r="DD690" s="568"/>
      <c r="DE690" s="561"/>
      <c r="DF690" s="561"/>
      <c r="DG690" s="561"/>
      <c r="DH690" s="561"/>
      <c r="DI690" s="561"/>
      <c r="DJ690" s="561"/>
      <c r="DK690" s="897"/>
    </row>
    <row r="691" spans="1:115" ht="38.25" x14ac:dyDescent="0.2">
      <c r="A691" s="295">
        <v>687</v>
      </c>
      <c r="B691" s="390" t="s">
        <v>8849</v>
      </c>
      <c r="C691" s="577"/>
      <c r="D691" s="391" t="s">
        <v>8853</v>
      </c>
      <c r="E691" s="709" t="s">
        <v>8857</v>
      </c>
      <c r="F691" s="393" t="s">
        <v>1375</v>
      </c>
      <c r="G691" s="393" t="s">
        <v>998</v>
      </c>
      <c r="H691" s="393" t="s">
        <v>245</v>
      </c>
      <c r="I691" s="563"/>
      <c r="J691" s="563"/>
      <c r="K691" s="560" t="s">
        <v>245</v>
      </c>
      <c r="L691" s="392" t="s">
        <v>1081</v>
      </c>
      <c r="M691" s="563"/>
      <c r="N691" s="393" t="s">
        <v>44</v>
      </c>
      <c r="O691" s="393" t="s">
        <v>51</v>
      </c>
      <c r="P691" s="393" t="s">
        <v>51</v>
      </c>
      <c r="Q691" s="392" t="s">
        <v>976</v>
      </c>
      <c r="R691" s="428" t="s">
        <v>8859</v>
      </c>
      <c r="S691" s="392" t="s">
        <v>977</v>
      </c>
      <c r="T691" s="564">
        <v>1</v>
      </c>
      <c r="U691" s="565">
        <v>44.98</v>
      </c>
      <c r="V691" s="565"/>
      <c r="W691" s="566"/>
      <c r="X691" s="564"/>
      <c r="Y691" s="564">
        <v>7</v>
      </c>
      <c r="Z691" s="564">
        <v>21</v>
      </c>
      <c r="AA691" s="565">
        <v>0</v>
      </c>
      <c r="AB691" s="567">
        <v>42736</v>
      </c>
      <c r="AC691" s="568"/>
      <c r="AD691" s="568">
        <v>179.91999999999996</v>
      </c>
      <c r="AE691" s="393" t="s">
        <v>54</v>
      </c>
      <c r="AF691" s="569"/>
      <c r="AG691" s="569"/>
      <c r="AH691" s="569"/>
      <c r="AI691" s="564"/>
      <c r="AJ691" s="566"/>
      <c r="AK691" s="566"/>
      <c r="AL691" s="561"/>
      <c r="AM691" s="561"/>
      <c r="AN691" s="569"/>
      <c r="AO691" s="560"/>
      <c r="AP691" s="428" t="s">
        <v>7071</v>
      </c>
      <c r="AQ691" s="563"/>
      <c r="AR691" s="392" t="s">
        <v>1082</v>
      </c>
      <c r="AS691" s="479">
        <v>40757</v>
      </c>
      <c r="AT691" s="566"/>
      <c r="AU691" s="566"/>
      <c r="AV691" s="566"/>
      <c r="AW691" s="566"/>
      <c r="AX691" s="566"/>
      <c r="AY691" s="566"/>
      <c r="AZ691" s="567">
        <v>42702</v>
      </c>
      <c r="BA691" s="561"/>
      <c r="BB691" s="561"/>
      <c r="BC691" s="393" t="b">
        <v>0</v>
      </c>
      <c r="BD691" s="561"/>
      <c r="BE691" s="563"/>
      <c r="BF691" s="394">
        <v>4</v>
      </c>
      <c r="BG691" s="394">
        <v>1</v>
      </c>
      <c r="BH691" s="394">
        <v>8</v>
      </c>
      <c r="BI691" s="394">
        <v>9</v>
      </c>
      <c r="BJ691" s="394">
        <v>6</v>
      </c>
      <c r="BK691" s="394"/>
      <c r="BL691" s="444" t="s">
        <v>6981</v>
      </c>
      <c r="BM691" s="563"/>
      <c r="BN691" s="561"/>
      <c r="BO691" s="561"/>
      <c r="BP691" s="571"/>
      <c r="BQ691" s="572"/>
      <c r="BR691" s="573"/>
      <c r="BS691" s="571"/>
      <c r="BT691" s="564"/>
      <c r="BU691" s="569"/>
      <c r="BV691" s="571"/>
      <c r="BW691" s="393" t="s">
        <v>3117</v>
      </c>
      <c r="BX691" s="392" t="s">
        <v>1449</v>
      </c>
      <c r="BY691" s="561"/>
      <c r="BZ691" s="561"/>
      <c r="CA691" s="574"/>
      <c r="CB691" s="572"/>
      <c r="CC691" s="568"/>
      <c r="CD691" s="568"/>
      <c r="CE691" s="568"/>
      <c r="CF691" s="568"/>
      <c r="CG691" s="568"/>
      <c r="CH691" s="568"/>
      <c r="CI691" s="568"/>
      <c r="CJ691" s="568"/>
      <c r="CK691" s="568"/>
      <c r="CL691" s="568"/>
      <c r="CM691" s="398">
        <v>44.98</v>
      </c>
      <c r="CN691" s="398">
        <v>44.98</v>
      </c>
      <c r="CO691" s="398">
        <v>44.98</v>
      </c>
      <c r="CP691" s="398">
        <v>44.98</v>
      </c>
      <c r="CQ691" s="398">
        <v>44.98</v>
      </c>
      <c r="CR691" s="398">
        <v>44.98</v>
      </c>
      <c r="CS691" s="398">
        <v>44.98</v>
      </c>
      <c r="CT691" s="568"/>
      <c r="CU691" s="568"/>
      <c r="CV691" s="568"/>
      <c r="CW691" s="568"/>
      <c r="CX691" s="568"/>
      <c r="CY691" s="568"/>
      <c r="CZ691" s="568"/>
      <c r="DA691" s="568"/>
      <c r="DB691" s="568"/>
      <c r="DC691" s="568"/>
      <c r="DD691" s="568"/>
      <c r="DE691" s="561"/>
      <c r="DF691" s="561"/>
      <c r="DG691" s="561"/>
      <c r="DH691" s="561"/>
      <c r="DI691" s="561"/>
      <c r="DJ691" s="561"/>
      <c r="DK691" s="897"/>
    </row>
    <row r="692" spans="1:115" ht="38.25" x14ac:dyDescent="0.2">
      <c r="A692" s="295">
        <v>688</v>
      </c>
      <c r="B692" s="390" t="s">
        <v>8850</v>
      </c>
      <c r="C692" s="577"/>
      <c r="D692" s="391" t="s">
        <v>8854</v>
      </c>
      <c r="E692" s="709" t="s">
        <v>8858</v>
      </c>
      <c r="F692" s="393" t="s">
        <v>1375</v>
      </c>
      <c r="G692" s="393" t="s">
        <v>998</v>
      </c>
      <c r="H692" s="393" t="s">
        <v>245</v>
      </c>
      <c r="I692" s="563"/>
      <c r="J692" s="563"/>
      <c r="K692" s="560" t="s">
        <v>245</v>
      </c>
      <c r="L692" s="392" t="s">
        <v>1081</v>
      </c>
      <c r="M692" s="563"/>
      <c r="N692" s="393" t="s">
        <v>44</v>
      </c>
      <c r="O692" s="393" t="s">
        <v>51</v>
      </c>
      <c r="P692" s="393" t="s">
        <v>51</v>
      </c>
      <c r="Q692" s="392" t="s">
        <v>976</v>
      </c>
      <c r="R692" s="428" t="s">
        <v>8859</v>
      </c>
      <c r="S692" s="392" t="s">
        <v>977</v>
      </c>
      <c r="T692" s="564">
        <v>1</v>
      </c>
      <c r="U692" s="565">
        <v>44.98</v>
      </c>
      <c r="V692" s="565"/>
      <c r="W692" s="566"/>
      <c r="X692" s="564"/>
      <c r="Y692" s="564">
        <v>7</v>
      </c>
      <c r="Z692" s="564">
        <v>21</v>
      </c>
      <c r="AA692" s="565">
        <v>0</v>
      </c>
      <c r="AB692" s="567">
        <v>42736</v>
      </c>
      <c r="AC692" s="568"/>
      <c r="AD692" s="568">
        <v>179.91999999999996</v>
      </c>
      <c r="AE692" s="393" t="s">
        <v>54</v>
      </c>
      <c r="AF692" s="569"/>
      <c r="AG692" s="569"/>
      <c r="AH692" s="569"/>
      <c r="AI692" s="564"/>
      <c r="AJ692" s="566"/>
      <c r="AK692" s="566"/>
      <c r="AL692" s="561"/>
      <c r="AM692" s="561"/>
      <c r="AN692" s="569"/>
      <c r="AO692" s="560"/>
      <c r="AP692" s="428" t="s">
        <v>7071</v>
      </c>
      <c r="AQ692" s="563"/>
      <c r="AR692" s="392" t="s">
        <v>1082</v>
      </c>
      <c r="AS692" s="479">
        <v>40757</v>
      </c>
      <c r="AT692" s="566"/>
      <c r="AU692" s="566"/>
      <c r="AV692" s="566"/>
      <c r="AW692" s="566"/>
      <c r="AX692" s="566"/>
      <c r="AY692" s="566"/>
      <c r="AZ692" s="567">
        <v>42702</v>
      </c>
      <c r="BA692" s="561"/>
      <c r="BB692" s="561"/>
      <c r="BC692" s="393" t="b">
        <v>0</v>
      </c>
      <c r="BD692" s="561"/>
      <c r="BE692" s="563"/>
      <c r="BF692" s="394">
        <v>4</v>
      </c>
      <c r="BG692" s="394">
        <v>1</v>
      </c>
      <c r="BH692" s="394">
        <v>8</v>
      </c>
      <c r="BI692" s="394">
        <v>9</v>
      </c>
      <c r="BJ692" s="394">
        <v>6</v>
      </c>
      <c r="BK692" s="394"/>
      <c r="BL692" s="444" t="s">
        <v>6981</v>
      </c>
      <c r="BM692" s="563"/>
      <c r="BN692" s="561"/>
      <c r="BO692" s="561"/>
      <c r="BP692" s="571"/>
      <c r="BQ692" s="572"/>
      <c r="BR692" s="573"/>
      <c r="BS692" s="571"/>
      <c r="BT692" s="564"/>
      <c r="BU692" s="569"/>
      <c r="BV692" s="571"/>
      <c r="BW692" s="393" t="s">
        <v>3117</v>
      </c>
      <c r="BX692" s="392" t="s">
        <v>1449</v>
      </c>
      <c r="BY692" s="561"/>
      <c r="BZ692" s="561"/>
      <c r="CA692" s="574"/>
      <c r="CB692" s="572"/>
      <c r="CC692" s="568"/>
      <c r="CD692" s="568"/>
      <c r="CE692" s="568"/>
      <c r="CF692" s="568"/>
      <c r="CG692" s="568"/>
      <c r="CH692" s="568"/>
      <c r="CI692" s="568"/>
      <c r="CJ692" s="568"/>
      <c r="CK692" s="568"/>
      <c r="CL692" s="568"/>
      <c r="CM692" s="398">
        <v>44.98</v>
      </c>
      <c r="CN692" s="398">
        <v>44.98</v>
      </c>
      <c r="CO692" s="398">
        <v>44.98</v>
      </c>
      <c r="CP692" s="398">
        <v>44.98</v>
      </c>
      <c r="CQ692" s="398">
        <v>44.98</v>
      </c>
      <c r="CR692" s="398">
        <v>44.98</v>
      </c>
      <c r="CS692" s="398">
        <v>44.98</v>
      </c>
      <c r="CT692" s="568"/>
      <c r="CU692" s="568"/>
      <c r="CV692" s="568"/>
      <c r="CW692" s="568"/>
      <c r="CX692" s="568"/>
      <c r="CY692" s="568"/>
      <c r="CZ692" s="568"/>
      <c r="DA692" s="568"/>
      <c r="DB692" s="568"/>
      <c r="DC692" s="568"/>
      <c r="DD692" s="568"/>
      <c r="DE692" s="561"/>
      <c r="DF692" s="561"/>
      <c r="DG692" s="561"/>
      <c r="DH692" s="561"/>
      <c r="DI692" s="561"/>
      <c r="DJ692" s="561"/>
      <c r="DK692" s="897"/>
    </row>
    <row r="693" spans="1:115" ht="38.25" x14ac:dyDescent="0.2">
      <c r="A693" s="295">
        <v>689</v>
      </c>
      <c r="B693" s="390" t="s">
        <v>9106</v>
      </c>
      <c r="C693" s="577"/>
      <c r="D693" s="391" t="s">
        <v>9107</v>
      </c>
      <c r="E693" s="709" t="s">
        <v>9114</v>
      </c>
      <c r="F693" s="393" t="s">
        <v>1375</v>
      </c>
      <c r="G693" s="393" t="s">
        <v>998</v>
      </c>
      <c r="H693" s="393" t="s">
        <v>245</v>
      </c>
      <c r="I693" s="563"/>
      <c r="J693" s="563"/>
      <c r="K693" s="560" t="s">
        <v>245</v>
      </c>
      <c r="L693" s="392" t="s">
        <v>1081</v>
      </c>
      <c r="M693" s="563"/>
      <c r="N693" s="393" t="s">
        <v>44</v>
      </c>
      <c r="O693" s="393" t="s">
        <v>51</v>
      </c>
      <c r="P693" s="393" t="s">
        <v>51</v>
      </c>
      <c r="Q693" s="392" t="s">
        <v>976</v>
      </c>
      <c r="R693" s="428" t="s">
        <v>8859</v>
      </c>
      <c r="S693" s="392" t="s">
        <v>977</v>
      </c>
      <c r="T693" s="564">
        <v>1</v>
      </c>
      <c r="U693" s="565">
        <v>44.98</v>
      </c>
      <c r="V693" s="565"/>
      <c r="W693" s="566"/>
      <c r="X693" s="564"/>
      <c r="Y693" s="564">
        <v>7</v>
      </c>
      <c r="Z693" s="564">
        <v>21</v>
      </c>
      <c r="AA693" s="565">
        <v>0</v>
      </c>
      <c r="AB693" s="567">
        <v>42931</v>
      </c>
      <c r="AC693" s="568"/>
      <c r="AD693" s="568">
        <v>155.88958904109589</v>
      </c>
      <c r="AE693" s="393" t="s">
        <v>54</v>
      </c>
      <c r="AF693" s="569"/>
      <c r="AG693" s="569"/>
      <c r="AH693" s="569"/>
      <c r="AI693" s="564"/>
      <c r="AJ693" s="566"/>
      <c r="AK693" s="566"/>
      <c r="AL693" s="561"/>
      <c r="AM693" s="561"/>
      <c r="AN693" s="569"/>
      <c r="AO693" s="560"/>
      <c r="AP693" s="428" t="s">
        <v>7071</v>
      </c>
      <c r="AQ693" s="563"/>
      <c r="AR693" s="392" t="s">
        <v>1082</v>
      </c>
      <c r="AS693" s="479">
        <v>40757</v>
      </c>
      <c r="AT693" s="566"/>
      <c r="AU693" s="566"/>
      <c r="AV693" s="566"/>
      <c r="AW693" s="566"/>
      <c r="AX693" s="566"/>
      <c r="AY693" s="566"/>
      <c r="AZ693" s="567">
        <v>42886</v>
      </c>
      <c r="BA693" s="561"/>
      <c r="BB693" s="561"/>
      <c r="BC693" s="393" t="b">
        <v>0</v>
      </c>
      <c r="BD693" s="561"/>
      <c r="BE693" s="563"/>
      <c r="BF693" s="394">
        <v>4</v>
      </c>
      <c r="BG693" s="394">
        <v>1</v>
      </c>
      <c r="BH693" s="394">
        <v>8</v>
      </c>
      <c r="BI693" s="394">
        <v>9</v>
      </c>
      <c r="BJ693" s="394">
        <v>6</v>
      </c>
      <c r="BK693" s="394"/>
      <c r="BL693" s="444" t="s">
        <v>6981</v>
      </c>
      <c r="BM693" s="563"/>
      <c r="BN693" s="561"/>
      <c r="BO693" s="561"/>
      <c r="BP693" s="571"/>
      <c r="BQ693" s="572"/>
      <c r="BR693" s="573"/>
      <c r="BS693" s="571"/>
      <c r="BT693" s="564"/>
      <c r="BU693" s="569"/>
      <c r="BV693" s="571"/>
      <c r="BW693" s="393" t="s">
        <v>3117</v>
      </c>
      <c r="BX693" s="392" t="s">
        <v>1449</v>
      </c>
      <c r="BY693" s="561"/>
      <c r="BZ693" s="561"/>
      <c r="CA693" s="574"/>
      <c r="CB693" s="572"/>
      <c r="CC693" s="568"/>
      <c r="CD693" s="568"/>
      <c r="CE693" s="568"/>
      <c r="CF693" s="568"/>
      <c r="CG693" s="568"/>
      <c r="CH693" s="568"/>
      <c r="CI693" s="568"/>
      <c r="CJ693" s="568"/>
      <c r="CK693" s="568"/>
      <c r="CL693" s="568"/>
      <c r="CM693" s="398">
        <v>44.98</v>
      </c>
      <c r="CN693" s="398">
        <v>44.98</v>
      </c>
      <c r="CO693" s="398">
        <v>44.98</v>
      </c>
      <c r="CP693" s="398">
        <v>44.98</v>
      </c>
      <c r="CQ693" s="398">
        <v>44.98</v>
      </c>
      <c r="CR693" s="398">
        <v>44.98</v>
      </c>
      <c r="CS693" s="398">
        <v>44.98</v>
      </c>
      <c r="CT693" s="568"/>
      <c r="CU693" s="568"/>
      <c r="CV693" s="568"/>
      <c r="CW693" s="568"/>
      <c r="CX693" s="568"/>
      <c r="CY693" s="568"/>
      <c r="CZ693" s="568"/>
      <c r="DA693" s="568"/>
      <c r="DB693" s="568"/>
      <c r="DC693" s="568"/>
      <c r="DD693" s="568"/>
      <c r="DE693" s="561"/>
      <c r="DF693" s="561"/>
      <c r="DG693" s="561"/>
      <c r="DH693" s="561"/>
      <c r="DI693" s="561"/>
      <c r="DJ693" s="561"/>
      <c r="DK693" s="897"/>
    </row>
    <row r="694" spans="1:115" ht="38.25" x14ac:dyDescent="0.2">
      <c r="A694" s="295">
        <v>690</v>
      </c>
      <c r="B694" s="390" t="s">
        <v>9108</v>
      </c>
      <c r="C694" s="577"/>
      <c r="D694" s="391" t="s">
        <v>9109</v>
      </c>
      <c r="E694" s="709" t="s">
        <v>9115</v>
      </c>
      <c r="F694" s="393" t="s">
        <v>1375</v>
      </c>
      <c r="G694" s="393" t="s">
        <v>998</v>
      </c>
      <c r="H694" s="393" t="s">
        <v>245</v>
      </c>
      <c r="I694" s="563"/>
      <c r="J694" s="563"/>
      <c r="K694" s="560" t="s">
        <v>245</v>
      </c>
      <c r="L694" s="392" t="s">
        <v>1081</v>
      </c>
      <c r="M694" s="563"/>
      <c r="N694" s="393" t="s">
        <v>44</v>
      </c>
      <c r="O694" s="393" t="s">
        <v>51</v>
      </c>
      <c r="P694" s="393" t="s">
        <v>51</v>
      </c>
      <c r="Q694" s="392" t="s">
        <v>976</v>
      </c>
      <c r="R694" s="428" t="s">
        <v>8859</v>
      </c>
      <c r="S694" s="392" t="s">
        <v>977</v>
      </c>
      <c r="T694" s="564">
        <v>1</v>
      </c>
      <c r="U694" s="565">
        <v>44.98</v>
      </c>
      <c r="V694" s="565"/>
      <c r="W694" s="566"/>
      <c r="X694" s="564"/>
      <c r="Y694" s="564">
        <v>7</v>
      </c>
      <c r="Z694" s="564">
        <v>21</v>
      </c>
      <c r="AA694" s="565">
        <v>0</v>
      </c>
      <c r="AB694" s="567">
        <v>42967</v>
      </c>
      <c r="AC694" s="568"/>
      <c r="AD694" s="568">
        <v>151.45320547945204</v>
      </c>
      <c r="AE694" s="393" t="s">
        <v>54</v>
      </c>
      <c r="AF694" s="569"/>
      <c r="AG694" s="569"/>
      <c r="AH694" s="569"/>
      <c r="AI694" s="564"/>
      <c r="AJ694" s="566"/>
      <c r="AK694" s="566"/>
      <c r="AL694" s="561"/>
      <c r="AM694" s="561"/>
      <c r="AN694" s="569"/>
      <c r="AO694" s="560"/>
      <c r="AP694" s="428" t="s">
        <v>7071</v>
      </c>
      <c r="AQ694" s="563"/>
      <c r="AR694" s="392" t="s">
        <v>1082</v>
      </c>
      <c r="AS694" s="479">
        <v>40757</v>
      </c>
      <c r="AT694" s="566"/>
      <c r="AU694" s="566"/>
      <c r="AV694" s="566"/>
      <c r="AW694" s="566"/>
      <c r="AX694" s="566"/>
      <c r="AY694" s="566"/>
      <c r="AZ694" s="567">
        <v>42886</v>
      </c>
      <c r="BA694" s="561"/>
      <c r="BB694" s="561"/>
      <c r="BC694" s="393" t="b">
        <v>0</v>
      </c>
      <c r="BD694" s="561"/>
      <c r="BE694" s="563"/>
      <c r="BF694" s="394">
        <v>4</v>
      </c>
      <c r="BG694" s="394">
        <v>1</v>
      </c>
      <c r="BH694" s="394">
        <v>8</v>
      </c>
      <c r="BI694" s="394">
        <v>9</v>
      </c>
      <c r="BJ694" s="394">
        <v>6</v>
      </c>
      <c r="BK694" s="394"/>
      <c r="BL694" s="444" t="s">
        <v>6981</v>
      </c>
      <c r="BM694" s="563"/>
      <c r="BN694" s="561"/>
      <c r="BO694" s="561"/>
      <c r="BP694" s="571"/>
      <c r="BQ694" s="572"/>
      <c r="BR694" s="573"/>
      <c r="BS694" s="571"/>
      <c r="BT694" s="564"/>
      <c r="BU694" s="569"/>
      <c r="BV694" s="571"/>
      <c r="BW694" s="393" t="s">
        <v>3117</v>
      </c>
      <c r="BX694" s="392" t="s">
        <v>1449</v>
      </c>
      <c r="BY694" s="561"/>
      <c r="BZ694" s="561"/>
      <c r="CA694" s="574"/>
      <c r="CB694" s="572"/>
      <c r="CC694" s="568"/>
      <c r="CD694" s="568"/>
      <c r="CE694" s="568"/>
      <c r="CF694" s="568"/>
      <c r="CG694" s="568"/>
      <c r="CH694" s="568"/>
      <c r="CI694" s="568"/>
      <c r="CJ694" s="568"/>
      <c r="CK694" s="568"/>
      <c r="CL694" s="568"/>
      <c r="CM694" s="398">
        <v>44.98</v>
      </c>
      <c r="CN694" s="398">
        <v>44.98</v>
      </c>
      <c r="CO694" s="398">
        <v>44.98</v>
      </c>
      <c r="CP694" s="398">
        <v>44.98</v>
      </c>
      <c r="CQ694" s="398">
        <v>44.98</v>
      </c>
      <c r="CR694" s="398">
        <v>44.98</v>
      </c>
      <c r="CS694" s="398">
        <v>44.98</v>
      </c>
      <c r="CT694" s="568"/>
      <c r="CU694" s="568"/>
      <c r="CV694" s="568"/>
      <c r="CW694" s="568"/>
      <c r="CX694" s="568"/>
      <c r="CY694" s="568"/>
      <c r="CZ694" s="568"/>
      <c r="DA694" s="568"/>
      <c r="DB694" s="568"/>
      <c r="DC694" s="568"/>
      <c r="DD694" s="568"/>
      <c r="DE694" s="561"/>
      <c r="DF694" s="561"/>
      <c r="DG694" s="561"/>
      <c r="DH694" s="561"/>
      <c r="DI694" s="561"/>
      <c r="DJ694" s="561"/>
      <c r="DK694" s="897"/>
    </row>
    <row r="695" spans="1:115" ht="38.25" x14ac:dyDescent="0.2">
      <c r="A695" s="295">
        <v>691</v>
      </c>
      <c r="B695" s="390" t="s">
        <v>9110</v>
      </c>
      <c r="C695" s="577"/>
      <c r="D695" s="391" t="s">
        <v>9111</v>
      </c>
      <c r="E695" s="709" t="s">
        <v>9116</v>
      </c>
      <c r="F695" s="393" t="s">
        <v>1375</v>
      </c>
      <c r="G695" s="393" t="s">
        <v>998</v>
      </c>
      <c r="H695" s="393" t="s">
        <v>245</v>
      </c>
      <c r="I695" s="563"/>
      <c r="J695" s="563"/>
      <c r="K695" s="560" t="s">
        <v>245</v>
      </c>
      <c r="L695" s="392" t="s">
        <v>1081</v>
      </c>
      <c r="M695" s="563"/>
      <c r="N695" s="393" t="s">
        <v>44</v>
      </c>
      <c r="O695" s="393" t="s">
        <v>51</v>
      </c>
      <c r="P695" s="393" t="s">
        <v>51</v>
      </c>
      <c r="Q695" s="392" t="s">
        <v>976</v>
      </c>
      <c r="R695" s="428" t="s">
        <v>8859</v>
      </c>
      <c r="S695" s="392" t="s">
        <v>977</v>
      </c>
      <c r="T695" s="564">
        <v>1</v>
      </c>
      <c r="U695" s="565">
        <v>44.98</v>
      </c>
      <c r="V695" s="565"/>
      <c r="W695" s="566"/>
      <c r="X695" s="564"/>
      <c r="Y695" s="564">
        <v>7</v>
      </c>
      <c r="Z695" s="564">
        <v>21</v>
      </c>
      <c r="AA695" s="565">
        <v>0</v>
      </c>
      <c r="AB695" s="567">
        <v>43003</v>
      </c>
      <c r="AC695" s="568"/>
      <c r="AD695" s="568">
        <v>147.01682191780822</v>
      </c>
      <c r="AE695" s="393" t="s">
        <v>54</v>
      </c>
      <c r="AF695" s="569"/>
      <c r="AG695" s="569"/>
      <c r="AH695" s="569"/>
      <c r="AI695" s="564"/>
      <c r="AJ695" s="566"/>
      <c r="AK695" s="566"/>
      <c r="AL695" s="561"/>
      <c r="AM695" s="561"/>
      <c r="AN695" s="569"/>
      <c r="AO695" s="560"/>
      <c r="AP695" s="428" t="s">
        <v>7071</v>
      </c>
      <c r="AQ695" s="563"/>
      <c r="AR695" s="392" t="s">
        <v>1082</v>
      </c>
      <c r="AS695" s="479">
        <v>40757</v>
      </c>
      <c r="AT695" s="566"/>
      <c r="AU695" s="566"/>
      <c r="AV695" s="566"/>
      <c r="AW695" s="566"/>
      <c r="AX695" s="566"/>
      <c r="AY695" s="566"/>
      <c r="AZ695" s="567">
        <v>42886</v>
      </c>
      <c r="BA695" s="561"/>
      <c r="BB695" s="561"/>
      <c r="BC695" s="393" t="b">
        <v>0</v>
      </c>
      <c r="BD695" s="561"/>
      <c r="BE695" s="563"/>
      <c r="BF695" s="394">
        <v>4</v>
      </c>
      <c r="BG695" s="394">
        <v>1</v>
      </c>
      <c r="BH695" s="394">
        <v>8</v>
      </c>
      <c r="BI695" s="394">
        <v>9</v>
      </c>
      <c r="BJ695" s="394">
        <v>6</v>
      </c>
      <c r="BK695" s="394"/>
      <c r="BL695" s="444" t="s">
        <v>6981</v>
      </c>
      <c r="BM695" s="563"/>
      <c r="BN695" s="561"/>
      <c r="BO695" s="561"/>
      <c r="BP695" s="571"/>
      <c r="BQ695" s="572"/>
      <c r="BR695" s="573"/>
      <c r="BS695" s="571"/>
      <c r="BT695" s="564"/>
      <c r="BU695" s="569"/>
      <c r="BV695" s="571"/>
      <c r="BW695" s="393" t="s">
        <v>3117</v>
      </c>
      <c r="BX695" s="392" t="s">
        <v>1449</v>
      </c>
      <c r="BY695" s="561"/>
      <c r="BZ695" s="561"/>
      <c r="CA695" s="574"/>
      <c r="CB695" s="572"/>
      <c r="CC695" s="568"/>
      <c r="CD695" s="568"/>
      <c r="CE695" s="568"/>
      <c r="CF695" s="568"/>
      <c r="CG695" s="568"/>
      <c r="CH695" s="568"/>
      <c r="CI695" s="568"/>
      <c r="CJ695" s="568"/>
      <c r="CK695" s="568"/>
      <c r="CL695" s="568"/>
      <c r="CM695" s="398">
        <v>44.98</v>
      </c>
      <c r="CN695" s="398">
        <v>44.98</v>
      </c>
      <c r="CO695" s="398">
        <v>44.98</v>
      </c>
      <c r="CP695" s="398">
        <v>44.98</v>
      </c>
      <c r="CQ695" s="398">
        <v>44.98</v>
      </c>
      <c r="CR695" s="398">
        <v>44.98</v>
      </c>
      <c r="CS695" s="398">
        <v>44.98</v>
      </c>
      <c r="CT695" s="568"/>
      <c r="CU695" s="568"/>
      <c r="CV695" s="568"/>
      <c r="CW695" s="568"/>
      <c r="CX695" s="568"/>
      <c r="CY695" s="568"/>
      <c r="CZ695" s="568"/>
      <c r="DA695" s="568"/>
      <c r="DB695" s="568"/>
      <c r="DC695" s="568"/>
      <c r="DD695" s="568"/>
      <c r="DE695" s="561"/>
      <c r="DF695" s="561"/>
      <c r="DG695" s="561"/>
      <c r="DH695" s="561"/>
      <c r="DI695" s="561"/>
      <c r="DJ695" s="561"/>
      <c r="DK695" s="897"/>
    </row>
    <row r="696" spans="1:115" ht="38.25" x14ac:dyDescent="0.2">
      <c r="A696" s="295">
        <v>692</v>
      </c>
      <c r="B696" s="390" t="s">
        <v>9112</v>
      </c>
      <c r="C696" s="577"/>
      <c r="D696" s="391" t="s">
        <v>9113</v>
      </c>
      <c r="E696" s="709" t="s">
        <v>9117</v>
      </c>
      <c r="F696" s="393" t="s">
        <v>1375</v>
      </c>
      <c r="G696" s="393" t="s">
        <v>998</v>
      </c>
      <c r="H696" s="393" t="s">
        <v>245</v>
      </c>
      <c r="I696" s="563"/>
      <c r="J696" s="563"/>
      <c r="K696" s="560" t="s">
        <v>245</v>
      </c>
      <c r="L696" s="392" t="s">
        <v>1081</v>
      </c>
      <c r="M696" s="563"/>
      <c r="N696" s="393" t="s">
        <v>44</v>
      </c>
      <c r="O696" s="393" t="s">
        <v>51</v>
      </c>
      <c r="P696" s="393" t="s">
        <v>51</v>
      </c>
      <c r="Q696" s="392" t="s">
        <v>976</v>
      </c>
      <c r="R696" s="428" t="s">
        <v>8859</v>
      </c>
      <c r="S696" s="392" t="s">
        <v>977</v>
      </c>
      <c r="T696" s="564">
        <v>1</v>
      </c>
      <c r="U696" s="565">
        <v>44.98</v>
      </c>
      <c r="V696" s="565"/>
      <c r="W696" s="566"/>
      <c r="X696" s="564"/>
      <c r="Y696" s="564">
        <v>7</v>
      </c>
      <c r="Z696" s="564">
        <v>21</v>
      </c>
      <c r="AA696" s="565">
        <v>0</v>
      </c>
      <c r="AB696" s="567">
        <v>43029</v>
      </c>
      <c r="AC696" s="568"/>
      <c r="AD696" s="568">
        <v>143.81276712328767</v>
      </c>
      <c r="AE696" s="393" t="s">
        <v>54</v>
      </c>
      <c r="AF696" s="569"/>
      <c r="AG696" s="569"/>
      <c r="AH696" s="569"/>
      <c r="AI696" s="564"/>
      <c r="AJ696" s="566"/>
      <c r="AK696" s="566"/>
      <c r="AL696" s="561"/>
      <c r="AM696" s="561"/>
      <c r="AN696" s="569"/>
      <c r="AO696" s="560"/>
      <c r="AP696" s="428" t="s">
        <v>7071</v>
      </c>
      <c r="AQ696" s="563"/>
      <c r="AR696" s="392" t="s">
        <v>1082</v>
      </c>
      <c r="AS696" s="479">
        <v>40757</v>
      </c>
      <c r="AT696" s="566"/>
      <c r="AU696" s="566"/>
      <c r="AV696" s="566"/>
      <c r="AW696" s="566"/>
      <c r="AX696" s="566"/>
      <c r="AY696" s="566"/>
      <c r="AZ696" s="567">
        <v>42886</v>
      </c>
      <c r="BA696" s="561"/>
      <c r="BB696" s="561"/>
      <c r="BC696" s="393" t="b">
        <v>0</v>
      </c>
      <c r="BD696" s="561"/>
      <c r="BE696" s="563"/>
      <c r="BF696" s="394">
        <v>4</v>
      </c>
      <c r="BG696" s="394">
        <v>1</v>
      </c>
      <c r="BH696" s="394">
        <v>8</v>
      </c>
      <c r="BI696" s="394">
        <v>9</v>
      </c>
      <c r="BJ696" s="394">
        <v>6</v>
      </c>
      <c r="BK696" s="394"/>
      <c r="BL696" s="444" t="s">
        <v>6981</v>
      </c>
      <c r="BM696" s="563"/>
      <c r="BN696" s="561"/>
      <c r="BO696" s="561"/>
      <c r="BP696" s="571"/>
      <c r="BQ696" s="572"/>
      <c r="BR696" s="573"/>
      <c r="BS696" s="571"/>
      <c r="BT696" s="564"/>
      <c r="BU696" s="569"/>
      <c r="BV696" s="571"/>
      <c r="BW696" s="393" t="s">
        <v>3117</v>
      </c>
      <c r="BX696" s="392" t="s">
        <v>1449</v>
      </c>
      <c r="BY696" s="561"/>
      <c r="BZ696" s="561"/>
      <c r="CA696" s="574"/>
      <c r="CB696" s="572"/>
      <c r="CC696" s="568"/>
      <c r="CD696" s="568"/>
      <c r="CE696" s="568"/>
      <c r="CF696" s="568"/>
      <c r="CG696" s="568"/>
      <c r="CH696" s="568"/>
      <c r="CI696" s="568"/>
      <c r="CJ696" s="568"/>
      <c r="CK696" s="568"/>
      <c r="CL696" s="568"/>
      <c r="CM696" s="398">
        <v>44.98</v>
      </c>
      <c r="CN696" s="398">
        <v>44.98</v>
      </c>
      <c r="CO696" s="398">
        <v>44.98</v>
      </c>
      <c r="CP696" s="398">
        <v>44.98</v>
      </c>
      <c r="CQ696" s="398">
        <v>44.98</v>
      </c>
      <c r="CR696" s="398">
        <v>44.98</v>
      </c>
      <c r="CS696" s="398">
        <v>44.98</v>
      </c>
      <c r="CT696" s="568"/>
      <c r="CU696" s="568"/>
      <c r="CV696" s="568"/>
      <c r="CW696" s="568"/>
      <c r="CX696" s="568"/>
      <c r="CY696" s="568"/>
      <c r="CZ696" s="568"/>
      <c r="DA696" s="568"/>
      <c r="DB696" s="568"/>
      <c r="DC696" s="568"/>
      <c r="DD696" s="568"/>
      <c r="DE696" s="561"/>
      <c r="DF696" s="561"/>
      <c r="DG696" s="561"/>
      <c r="DH696" s="561"/>
      <c r="DI696" s="561"/>
      <c r="DJ696" s="561"/>
      <c r="DK696" s="897"/>
    </row>
    <row r="697" spans="1:115" ht="102" x14ac:dyDescent="0.2">
      <c r="A697" s="295">
        <v>693</v>
      </c>
      <c r="B697" s="390" t="s">
        <v>868</v>
      </c>
      <c r="C697" s="424" t="s">
        <v>7531</v>
      </c>
      <c r="D697" s="391"/>
      <c r="E697" s="706" t="s">
        <v>869</v>
      </c>
      <c r="F697" s="390" t="s">
        <v>1375</v>
      </c>
      <c r="G697" s="390" t="s">
        <v>1361</v>
      </c>
      <c r="H697" s="390" t="s">
        <v>137</v>
      </c>
      <c r="I697" s="402"/>
      <c r="J697" s="402" t="s">
        <v>870</v>
      </c>
      <c r="K697" s="402"/>
      <c r="L697" s="402" t="s">
        <v>1981</v>
      </c>
      <c r="M697" s="402" t="s">
        <v>3175</v>
      </c>
      <c r="N697" s="390" t="s">
        <v>33</v>
      </c>
      <c r="O697" s="390" t="s">
        <v>827</v>
      </c>
      <c r="P697" s="390" t="s">
        <v>827</v>
      </c>
      <c r="Q697" s="402" t="s">
        <v>836</v>
      </c>
      <c r="R697" s="402"/>
      <c r="S697" s="402" t="s">
        <v>871</v>
      </c>
      <c r="T697" s="411">
        <v>1</v>
      </c>
      <c r="U697" s="412">
        <v>26.823</v>
      </c>
      <c r="V697" s="412"/>
      <c r="W697" s="457">
        <v>40770</v>
      </c>
      <c r="X697" s="411">
        <v>28</v>
      </c>
      <c r="Y697" s="411"/>
      <c r="Z697" s="411"/>
      <c r="AA697" s="412"/>
      <c r="AB697" s="454"/>
      <c r="AC697" s="413">
        <v>26.8234285714286</v>
      </c>
      <c r="AD697" s="413">
        <v>241.55397534246575</v>
      </c>
      <c r="AE697" s="390" t="s">
        <v>72</v>
      </c>
      <c r="AF697" s="419"/>
      <c r="AG697" s="419"/>
      <c r="AH697" s="419">
        <v>0</v>
      </c>
      <c r="AI697" s="411"/>
      <c r="AJ697" s="454"/>
      <c r="AK697" s="454"/>
      <c r="AL697" s="390"/>
      <c r="AM697" s="390"/>
      <c r="AN697" s="419"/>
      <c r="AO697" s="402"/>
      <c r="AP697" s="402" t="s">
        <v>55</v>
      </c>
      <c r="AQ697" s="402"/>
      <c r="AR697" s="402" t="s">
        <v>538</v>
      </c>
      <c r="AS697" s="481">
        <v>40758</v>
      </c>
      <c r="AT697" s="454"/>
      <c r="AU697" s="454"/>
      <c r="AV697" s="454"/>
      <c r="AW697" s="454"/>
      <c r="AX697" s="454"/>
      <c r="AY697" s="454"/>
      <c r="AZ697" s="454"/>
      <c r="BA697" s="390"/>
      <c r="BB697" s="390" t="s">
        <v>3147</v>
      </c>
      <c r="BC697" s="390" t="b">
        <v>0</v>
      </c>
      <c r="BD697" s="390" t="s">
        <v>3147</v>
      </c>
      <c r="BE697" s="402"/>
      <c r="BF697" s="411">
        <v>1</v>
      </c>
      <c r="BG697" s="411">
        <v>10</v>
      </c>
      <c r="BH697" s="411">
        <v>9</v>
      </c>
      <c r="BI697" s="411"/>
      <c r="BJ697" s="411"/>
      <c r="BK697" s="411"/>
      <c r="BL697" s="445"/>
      <c r="BM697" s="402"/>
      <c r="BN697" s="390"/>
      <c r="BO697" s="390"/>
      <c r="BP697" s="414"/>
      <c r="BQ697" s="415"/>
      <c r="BR697" s="416"/>
      <c r="BS697" s="414">
        <v>0</v>
      </c>
      <c r="BT697" s="411"/>
      <c r="BU697" s="419"/>
      <c r="BV697" s="414"/>
      <c r="BW697" s="390"/>
      <c r="BX697" s="402"/>
      <c r="BY697" s="390"/>
      <c r="BZ697" s="390"/>
      <c r="CA697" s="442"/>
      <c r="CB697" s="415"/>
      <c r="CC697" s="413"/>
      <c r="CD697" s="413"/>
      <c r="CE697" s="413"/>
      <c r="CF697" s="413"/>
      <c r="CG697" s="413"/>
      <c r="CH697" s="413"/>
      <c r="CI697" s="413"/>
      <c r="CJ697" s="413"/>
      <c r="CK697" s="413"/>
      <c r="CL697" s="413"/>
      <c r="CM697" s="413"/>
      <c r="CN697" s="413"/>
      <c r="CO697" s="413"/>
      <c r="CP697" s="413"/>
      <c r="CQ697" s="413"/>
      <c r="CR697" s="413"/>
      <c r="CS697" s="413"/>
      <c r="CT697" s="413"/>
      <c r="CU697" s="413"/>
      <c r="CV697" s="413"/>
      <c r="CW697" s="413"/>
      <c r="CX697" s="413"/>
      <c r="CY697" s="413"/>
      <c r="CZ697" s="413"/>
      <c r="DA697" s="413"/>
      <c r="DB697" s="413"/>
      <c r="DC697" s="413"/>
      <c r="DD697" s="413"/>
      <c r="DE697" s="390"/>
      <c r="DF697" s="390"/>
      <c r="DG697" s="390"/>
      <c r="DH697" s="390"/>
      <c r="DI697" s="390"/>
      <c r="DJ697" s="390"/>
      <c r="DK697" s="897"/>
    </row>
    <row r="698" spans="1:115" ht="25.5" x14ac:dyDescent="0.2">
      <c r="A698" s="295">
        <v>694</v>
      </c>
      <c r="B698" s="390" t="s">
        <v>2703</v>
      </c>
      <c r="C698" s="390"/>
      <c r="D698" s="391"/>
      <c r="E698" s="706" t="s">
        <v>872</v>
      </c>
      <c r="F698" s="390" t="s">
        <v>1375</v>
      </c>
      <c r="G698" s="390" t="s">
        <v>1361</v>
      </c>
      <c r="H698" s="390" t="s">
        <v>137</v>
      </c>
      <c r="I698" s="402"/>
      <c r="J698" s="402"/>
      <c r="K698" s="402" t="s">
        <v>642</v>
      </c>
      <c r="L698" s="402" t="s">
        <v>1981</v>
      </c>
      <c r="M698" s="402"/>
      <c r="N698" s="390" t="s">
        <v>33</v>
      </c>
      <c r="O698" s="390" t="s">
        <v>827</v>
      </c>
      <c r="P698" s="390" t="s">
        <v>827</v>
      </c>
      <c r="Q698" s="402" t="s">
        <v>836</v>
      </c>
      <c r="R698" s="402" t="s">
        <v>3176</v>
      </c>
      <c r="S698" s="402" t="s">
        <v>871</v>
      </c>
      <c r="T698" s="411">
        <v>1</v>
      </c>
      <c r="U698" s="412">
        <v>26.823</v>
      </c>
      <c r="V698" s="412"/>
      <c r="W698" s="454"/>
      <c r="X698" s="411"/>
      <c r="Y698" s="411">
        <v>7</v>
      </c>
      <c r="Z698" s="411">
        <v>21</v>
      </c>
      <c r="AA698" s="412">
        <v>0</v>
      </c>
      <c r="AB698" s="457">
        <v>40909</v>
      </c>
      <c r="AC698" s="413">
        <v>26.8234285714286</v>
      </c>
      <c r="AD698" s="413">
        <v>241.55397534246575</v>
      </c>
      <c r="AE698" s="390" t="s">
        <v>72</v>
      </c>
      <c r="AF698" s="419"/>
      <c r="AG698" s="419"/>
      <c r="AH698" s="419"/>
      <c r="AI698" s="411"/>
      <c r="AJ698" s="454"/>
      <c r="AK698" s="454"/>
      <c r="AL698" s="390"/>
      <c r="AM698" s="390"/>
      <c r="AN698" s="419"/>
      <c r="AO698" s="402"/>
      <c r="AP698" s="402" t="s">
        <v>55</v>
      </c>
      <c r="AQ698" s="402"/>
      <c r="AR698" s="402" t="s">
        <v>538</v>
      </c>
      <c r="AS698" s="481">
        <v>40758</v>
      </c>
      <c r="AT698" s="454"/>
      <c r="AU698" s="454"/>
      <c r="AV698" s="454"/>
      <c r="AW698" s="454"/>
      <c r="AX698" s="454"/>
      <c r="AY698" s="454"/>
      <c r="AZ698" s="454"/>
      <c r="BA698" s="390"/>
      <c r="BB698" s="390"/>
      <c r="BC698" s="390" t="b">
        <v>0</v>
      </c>
      <c r="BD698" s="390"/>
      <c r="BE698" s="402"/>
      <c r="BF698" s="411">
        <v>1</v>
      </c>
      <c r="BG698" s="411">
        <v>10</v>
      </c>
      <c r="BH698" s="411">
        <v>9</v>
      </c>
      <c r="BI698" s="411"/>
      <c r="BJ698" s="411"/>
      <c r="BK698" s="411"/>
      <c r="BL698" s="445" t="s">
        <v>6981</v>
      </c>
      <c r="BM698" s="402"/>
      <c r="BN698" s="390"/>
      <c r="BO698" s="390"/>
      <c r="BP698" s="414"/>
      <c r="BQ698" s="415"/>
      <c r="BR698" s="416"/>
      <c r="BS698" s="414"/>
      <c r="BT698" s="411"/>
      <c r="BU698" s="419"/>
      <c r="BV698" s="414"/>
      <c r="BW698" s="390" t="s">
        <v>3117</v>
      </c>
      <c r="BX698" s="402" t="s">
        <v>3177</v>
      </c>
      <c r="BY698" s="390"/>
      <c r="BZ698" s="390"/>
      <c r="CA698" s="442"/>
      <c r="CB698" s="415"/>
      <c r="CC698" s="413"/>
      <c r="CD698" s="413"/>
      <c r="CE698" s="413"/>
      <c r="CF698" s="413"/>
      <c r="CG698" s="413"/>
      <c r="CH698" s="413">
        <v>10.343999999999999</v>
      </c>
      <c r="CI698" s="413">
        <v>20.689</v>
      </c>
      <c r="CJ698" s="413">
        <v>31.346</v>
      </c>
      <c r="CK698" s="413">
        <v>31.346</v>
      </c>
      <c r="CL698" s="413">
        <v>31.346</v>
      </c>
      <c r="CM698" s="413">
        <v>31.346</v>
      </c>
      <c r="CN698" s="413">
        <v>31.346</v>
      </c>
      <c r="CO698" s="413">
        <v>31.346</v>
      </c>
      <c r="CP698" s="413">
        <v>31.346</v>
      </c>
      <c r="CQ698" s="413">
        <v>31.346</v>
      </c>
      <c r="CR698" s="413">
        <v>31.346</v>
      </c>
      <c r="CS698" s="413">
        <v>31.346</v>
      </c>
      <c r="CT698" s="413">
        <v>31.346</v>
      </c>
      <c r="CU698" s="413">
        <v>31.346</v>
      </c>
      <c r="CV698" s="413"/>
      <c r="CW698" s="413"/>
      <c r="CX698" s="413"/>
      <c r="CY698" s="413"/>
      <c r="CZ698" s="413"/>
      <c r="DA698" s="413"/>
      <c r="DB698" s="413"/>
      <c r="DC698" s="413"/>
      <c r="DD698" s="413"/>
      <c r="DE698" s="390"/>
      <c r="DF698" s="390"/>
      <c r="DG698" s="390"/>
      <c r="DH698" s="390"/>
      <c r="DI698" s="390"/>
      <c r="DJ698" s="390"/>
      <c r="DK698" s="897"/>
    </row>
    <row r="699" spans="1:115" ht="102" x14ac:dyDescent="0.2">
      <c r="A699" s="295">
        <v>695</v>
      </c>
      <c r="B699" s="390" t="s">
        <v>949</v>
      </c>
      <c r="C699" s="424" t="s">
        <v>7532</v>
      </c>
      <c r="D699" s="391" t="s">
        <v>5614</v>
      </c>
      <c r="E699" s="704" t="s">
        <v>950</v>
      </c>
      <c r="F699" s="393" t="s">
        <v>1375</v>
      </c>
      <c r="G699" s="393" t="s">
        <v>1361</v>
      </c>
      <c r="H699" s="393" t="s">
        <v>137</v>
      </c>
      <c r="I699" s="392" t="s">
        <v>870</v>
      </c>
      <c r="J699" s="392" t="s">
        <v>870</v>
      </c>
      <c r="K699" s="392"/>
      <c r="L699" s="392" t="s">
        <v>1981</v>
      </c>
      <c r="M699" s="392" t="s">
        <v>3178</v>
      </c>
      <c r="N699" s="393" t="s">
        <v>44</v>
      </c>
      <c r="O699" s="393" t="s">
        <v>827</v>
      </c>
      <c r="P699" s="393" t="s">
        <v>827</v>
      </c>
      <c r="Q699" s="392" t="s">
        <v>923</v>
      </c>
      <c r="R699" s="392"/>
      <c r="S699" s="392" t="s">
        <v>46</v>
      </c>
      <c r="T699" s="394">
        <v>1</v>
      </c>
      <c r="U699" s="395">
        <v>26.44</v>
      </c>
      <c r="V699" s="395"/>
      <c r="W699" s="452">
        <v>40770</v>
      </c>
      <c r="X699" s="394">
        <v>28</v>
      </c>
      <c r="Y699" s="394"/>
      <c r="Z699" s="394"/>
      <c r="AA699" s="395"/>
      <c r="AB699" s="453"/>
      <c r="AC699" s="398">
        <v>77.653714285714301</v>
      </c>
      <c r="AD699" s="398">
        <v>253.46180821917807</v>
      </c>
      <c r="AE699" s="393" t="s">
        <v>72</v>
      </c>
      <c r="AF699" s="417"/>
      <c r="AG699" s="417"/>
      <c r="AH699" s="417">
        <v>0</v>
      </c>
      <c r="AI699" s="394"/>
      <c r="AJ699" s="453"/>
      <c r="AK699" s="453"/>
      <c r="AL699" s="393"/>
      <c r="AM699" s="393"/>
      <c r="AN699" s="417"/>
      <c r="AO699" s="392"/>
      <c r="AP699" s="392" t="s">
        <v>55</v>
      </c>
      <c r="AQ699" s="392"/>
      <c r="AR699" s="392" t="s">
        <v>538</v>
      </c>
      <c r="AS699" s="479">
        <v>40758</v>
      </c>
      <c r="AT699" s="453"/>
      <c r="AU699" s="453"/>
      <c r="AV699" s="452">
        <v>41149</v>
      </c>
      <c r="AW699" s="452">
        <v>41409</v>
      </c>
      <c r="AX699" s="452">
        <v>41550</v>
      </c>
      <c r="AY699" s="452">
        <v>41409</v>
      </c>
      <c r="AZ699" s="453"/>
      <c r="BA699" s="393"/>
      <c r="BB699" s="393" t="s">
        <v>3147</v>
      </c>
      <c r="BC699" s="393" t="b">
        <v>0</v>
      </c>
      <c r="BD699" s="393" t="s">
        <v>3147</v>
      </c>
      <c r="BE699" s="392"/>
      <c r="BF699" s="394">
        <v>9</v>
      </c>
      <c r="BG699" s="394">
        <v>7</v>
      </c>
      <c r="BH699" s="394">
        <v>4</v>
      </c>
      <c r="BI699" s="394"/>
      <c r="BJ699" s="394"/>
      <c r="BK699" s="394"/>
      <c r="BL699" s="444"/>
      <c r="BM699" s="392"/>
      <c r="BN699" s="393"/>
      <c r="BO699" s="393"/>
      <c r="BP699" s="399"/>
      <c r="BQ699" s="400"/>
      <c r="BR699" s="401"/>
      <c r="BS699" s="399">
        <v>0</v>
      </c>
      <c r="BT699" s="394"/>
      <c r="BU699" s="417"/>
      <c r="BV699" s="399"/>
      <c r="BW699" s="393"/>
      <c r="BX699" s="392"/>
      <c r="BY699" s="393"/>
      <c r="BZ699" s="393"/>
      <c r="CA699" s="441"/>
      <c r="CB699" s="400"/>
      <c r="CC699" s="398"/>
      <c r="CD699" s="398"/>
      <c r="CE699" s="398"/>
      <c r="CF699" s="398"/>
      <c r="CG699" s="398"/>
      <c r="CH699" s="398"/>
      <c r="CI699" s="398"/>
      <c r="CJ699" s="398"/>
      <c r="CK699" s="398"/>
      <c r="CL699" s="398"/>
      <c r="CM699" s="398"/>
      <c r="CN699" s="398"/>
      <c r="CO699" s="398"/>
      <c r="CP699" s="398"/>
      <c r="CQ699" s="398"/>
      <c r="CR699" s="398"/>
      <c r="CS699" s="398"/>
      <c r="CT699" s="398"/>
      <c r="CU699" s="398"/>
      <c r="CV699" s="398"/>
      <c r="CW699" s="398"/>
      <c r="CX699" s="398"/>
      <c r="CY699" s="398"/>
      <c r="CZ699" s="398"/>
      <c r="DA699" s="398"/>
      <c r="DB699" s="398"/>
      <c r="DC699" s="398"/>
      <c r="DD699" s="398"/>
      <c r="DE699" s="393"/>
      <c r="DF699" s="393"/>
      <c r="DG699" s="393"/>
      <c r="DH699" s="393"/>
      <c r="DI699" s="393"/>
      <c r="DJ699" s="393"/>
      <c r="DK699" s="896" t="s">
        <v>9700</v>
      </c>
    </row>
    <row r="700" spans="1:115" ht="25.5" x14ac:dyDescent="0.2">
      <c r="A700" s="295">
        <v>696</v>
      </c>
      <c r="B700" s="390" t="s">
        <v>2704</v>
      </c>
      <c r="C700" s="390"/>
      <c r="D700" s="391" t="s">
        <v>5615</v>
      </c>
      <c r="E700" s="704" t="s">
        <v>951</v>
      </c>
      <c r="F700" s="393" t="s">
        <v>1375</v>
      </c>
      <c r="G700" s="393" t="s">
        <v>1361</v>
      </c>
      <c r="H700" s="393" t="s">
        <v>137</v>
      </c>
      <c r="I700" s="392"/>
      <c r="J700" s="392"/>
      <c r="K700" s="392" t="s">
        <v>642</v>
      </c>
      <c r="L700" s="392" t="s">
        <v>1981</v>
      </c>
      <c r="M700" s="392"/>
      <c r="N700" s="393" t="s">
        <v>44</v>
      </c>
      <c r="O700" s="393" t="s">
        <v>827</v>
      </c>
      <c r="P700" s="393" t="s">
        <v>827</v>
      </c>
      <c r="Q700" s="392" t="s">
        <v>923</v>
      </c>
      <c r="R700" s="392" t="s">
        <v>3179</v>
      </c>
      <c r="S700" s="392" t="s">
        <v>46</v>
      </c>
      <c r="T700" s="394">
        <v>1</v>
      </c>
      <c r="U700" s="395">
        <v>26.44</v>
      </c>
      <c r="V700" s="395"/>
      <c r="W700" s="453"/>
      <c r="X700" s="394"/>
      <c r="Y700" s="394">
        <v>7</v>
      </c>
      <c r="Z700" s="394"/>
      <c r="AA700" s="395">
        <v>0</v>
      </c>
      <c r="AB700" s="452">
        <v>40697</v>
      </c>
      <c r="AC700" s="398">
        <v>77.653714285714301</v>
      </c>
      <c r="AD700" s="398">
        <v>253.46180821917807</v>
      </c>
      <c r="AE700" s="393" t="s">
        <v>72</v>
      </c>
      <c r="AF700" s="417"/>
      <c r="AG700" s="417"/>
      <c r="AH700" s="417"/>
      <c r="AI700" s="394"/>
      <c r="AJ700" s="453"/>
      <c r="AK700" s="453"/>
      <c r="AL700" s="393"/>
      <c r="AM700" s="393"/>
      <c r="AN700" s="417"/>
      <c r="AO700" s="392"/>
      <c r="AP700" s="392" t="s">
        <v>55</v>
      </c>
      <c r="AQ700" s="392"/>
      <c r="AR700" s="392" t="s">
        <v>538</v>
      </c>
      <c r="AS700" s="479">
        <v>40758</v>
      </c>
      <c r="AT700" s="453"/>
      <c r="AU700" s="453"/>
      <c r="AV700" s="453"/>
      <c r="AW700" s="453"/>
      <c r="AX700" s="453"/>
      <c r="AY700" s="453"/>
      <c r="AZ700" s="452">
        <v>41409</v>
      </c>
      <c r="BA700" s="393"/>
      <c r="BB700" s="393"/>
      <c r="BC700" s="393" t="b">
        <v>0</v>
      </c>
      <c r="BD700" s="393"/>
      <c r="BE700" s="392"/>
      <c r="BF700" s="394">
        <v>9</v>
      </c>
      <c r="BG700" s="394">
        <v>7</v>
      </c>
      <c r="BH700" s="394">
        <v>4</v>
      </c>
      <c r="BI700" s="394"/>
      <c r="BJ700" s="394"/>
      <c r="BK700" s="394"/>
      <c r="BL700" s="444" t="s">
        <v>6981</v>
      </c>
      <c r="BM700" s="392"/>
      <c r="BN700" s="393"/>
      <c r="BO700" s="393"/>
      <c r="BP700" s="399"/>
      <c r="BQ700" s="400"/>
      <c r="BR700" s="401"/>
      <c r="BS700" s="399"/>
      <c r="BT700" s="394"/>
      <c r="BU700" s="417">
        <v>1.03</v>
      </c>
      <c r="BV700" s="399">
        <v>50.972000000000001</v>
      </c>
      <c r="BW700" s="393" t="s">
        <v>3117</v>
      </c>
      <c r="BX700" s="392" t="s">
        <v>3177</v>
      </c>
      <c r="BY700" s="393"/>
      <c r="BZ700" s="393"/>
      <c r="CA700" s="441" t="s">
        <v>1664</v>
      </c>
      <c r="CB700" s="400"/>
      <c r="CC700" s="398"/>
      <c r="CD700" s="398"/>
      <c r="CE700" s="398"/>
      <c r="CF700" s="398"/>
      <c r="CG700" s="398"/>
      <c r="CH700" s="398">
        <v>51.768999999999998</v>
      </c>
      <c r="CI700" s="398">
        <v>51.768999999999998</v>
      </c>
      <c r="CJ700" s="398">
        <v>51.768999999999998</v>
      </c>
      <c r="CK700" s="398">
        <v>51.768999999999998</v>
      </c>
      <c r="CL700" s="398">
        <v>51.768999999999998</v>
      </c>
      <c r="CM700" s="398">
        <v>51.768999999999998</v>
      </c>
      <c r="CN700" s="398">
        <v>51.768999999999998</v>
      </c>
      <c r="CO700" s="398">
        <v>51.768999999999998</v>
      </c>
      <c r="CP700" s="398">
        <v>51.768999999999998</v>
      </c>
      <c r="CQ700" s="398">
        <v>51.768999999999998</v>
      </c>
      <c r="CR700" s="398">
        <v>51.768999999999998</v>
      </c>
      <c r="CS700" s="398">
        <v>51.768999999999998</v>
      </c>
      <c r="CT700" s="398">
        <v>51.768999999999998</v>
      </c>
      <c r="CU700" s="398">
        <v>51.768999999999998</v>
      </c>
      <c r="CV700" s="398"/>
      <c r="CW700" s="398"/>
      <c r="CX700" s="398"/>
      <c r="CY700" s="398"/>
      <c r="CZ700" s="398"/>
      <c r="DA700" s="398"/>
      <c r="DB700" s="398"/>
      <c r="DC700" s="398"/>
      <c r="DD700" s="398"/>
      <c r="DE700" s="393"/>
      <c r="DF700" s="393"/>
      <c r="DG700" s="393"/>
      <c r="DH700" s="393"/>
      <c r="DI700" s="393"/>
      <c r="DJ700" s="393"/>
      <c r="DK700" s="897"/>
    </row>
    <row r="701" spans="1:115" ht="76.5" x14ac:dyDescent="0.2">
      <c r="A701" s="295">
        <v>697</v>
      </c>
      <c r="B701" s="390" t="s">
        <v>530</v>
      </c>
      <c r="C701" s="424" t="s">
        <v>7533</v>
      </c>
      <c r="D701" s="391" t="s">
        <v>5092</v>
      </c>
      <c r="E701" s="704" t="s">
        <v>4919</v>
      </c>
      <c r="F701" s="393" t="s">
        <v>1375</v>
      </c>
      <c r="G701" s="393" t="s">
        <v>1361</v>
      </c>
      <c r="H701" s="393" t="s">
        <v>137</v>
      </c>
      <c r="I701" s="392"/>
      <c r="J701" s="392" t="s">
        <v>137</v>
      </c>
      <c r="K701" s="392"/>
      <c r="L701" s="392" t="s">
        <v>531</v>
      </c>
      <c r="M701" s="392" t="s">
        <v>3180</v>
      </c>
      <c r="N701" s="393" t="s">
        <v>44</v>
      </c>
      <c r="O701" s="393" t="s">
        <v>51</v>
      </c>
      <c r="P701" s="393" t="s">
        <v>51</v>
      </c>
      <c r="Q701" s="392" t="s">
        <v>426</v>
      </c>
      <c r="R701" s="392"/>
      <c r="S701" s="392" t="s">
        <v>427</v>
      </c>
      <c r="T701" s="394">
        <v>1</v>
      </c>
      <c r="U701" s="395">
        <v>29.518000000000001</v>
      </c>
      <c r="V701" s="395"/>
      <c r="W701" s="452">
        <v>40826</v>
      </c>
      <c r="X701" s="394">
        <v>28</v>
      </c>
      <c r="Y701" s="394"/>
      <c r="Z701" s="394"/>
      <c r="AA701" s="395"/>
      <c r="AB701" s="453"/>
      <c r="AC701" s="398">
        <v>0</v>
      </c>
      <c r="AD701" s="398">
        <v>295.18</v>
      </c>
      <c r="AE701" s="393" t="s">
        <v>54</v>
      </c>
      <c r="AF701" s="417"/>
      <c r="AG701" s="417"/>
      <c r="AH701" s="417">
        <v>0</v>
      </c>
      <c r="AI701" s="394"/>
      <c r="AJ701" s="453"/>
      <c r="AK701" s="453"/>
      <c r="AL701" s="393"/>
      <c r="AM701" s="393"/>
      <c r="AN701" s="417"/>
      <c r="AO701" s="392"/>
      <c r="AP701" s="392" t="s">
        <v>7074</v>
      </c>
      <c r="AQ701" s="392"/>
      <c r="AR701" s="392" t="s">
        <v>532</v>
      </c>
      <c r="AS701" s="479">
        <v>40761</v>
      </c>
      <c r="AT701" s="453"/>
      <c r="AU701" s="453"/>
      <c r="AV701" s="452">
        <v>41023</v>
      </c>
      <c r="AW701" s="452">
        <v>41262</v>
      </c>
      <c r="AX701" s="452">
        <v>41383</v>
      </c>
      <c r="AY701" s="452">
        <v>41262</v>
      </c>
      <c r="AZ701" s="453"/>
      <c r="BA701" s="393"/>
      <c r="BB701" s="393" t="s">
        <v>3116</v>
      </c>
      <c r="BC701" s="393" t="b">
        <v>0</v>
      </c>
      <c r="BD701" s="393" t="s">
        <v>3116</v>
      </c>
      <c r="BE701" s="392" t="s">
        <v>6245</v>
      </c>
      <c r="BF701" s="394">
        <v>9</v>
      </c>
      <c r="BG701" s="394">
        <v>4</v>
      </c>
      <c r="BH701" s="394">
        <v>7</v>
      </c>
      <c r="BI701" s="394">
        <v>8</v>
      </c>
      <c r="BJ701" s="394">
        <v>5</v>
      </c>
      <c r="BK701" s="394">
        <v>4</v>
      </c>
      <c r="BL701" s="444"/>
      <c r="BM701" s="392"/>
      <c r="BN701" s="393"/>
      <c r="BO701" s="393"/>
      <c r="BP701" s="399"/>
      <c r="BQ701" s="400"/>
      <c r="BR701" s="401"/>
      <c r="BS701" s="399">
        <v>0</v>
      </c>
      <c r="BT701" s="394"/>
      <c r="BU701" s="417"/>
      <c r="BV701" s="399"/>
      <c r="BW701" s="393"/>
      <c r="BX701" s="392"/>
      <c r="BY701" s="475" t="s">
        <v>7227</v>
      </c>
      <c r="BZ701" s="393"/>
      <c r="CA701" s="441"/>
      <c r="CB701" s="400"/>
      <c r="CC701" s="398"/>
      <c r="CD701" s="398"/>
      <c r="CE701" s="398"/>
      <c r="CF701" s="398"/>
      <c r="CG701" s="398"/>
      <c r="CH701" s="398"/>
      <c r="CI701" s="398"/>
      <c r="CJ701" s="398"/>
      <c r="CK701" s="398"/>
      <c r="CL701" s="398"/>
      <c r="CM701" s="398"/>
      <c r="CN701" s="398"/>
      <c r="CO701" s="398"/>
      <c r="CP701" s="398"/>
      <c r="CQ701" s="398"/>
      <c r="CR701" s="398"/>
      <c r="CS701" s="398"/>
      <c r="CT701" s="398"/>
      <c r="CU701" s="398"/>
      <c r="CV701" s="398"/>
      <c r="CW701" s="398"/>
      <c r="CX701" s="398"/>
      <c r="CY701" s="398"/>
      <c r="CZ701" s="398"/>
      <c r="DA701" s="398"/>
      <c r="DB701" s="398"/>
      <c r="DC701" s="398"/>
      <c r="DD701" s="398"/>
      <c r="DE701" s="393"/>
      <c r="DF701" s="393"/>
      <c r="DG701" s="393"/>
      <c r="DH701" s="393"/>
      <c r="DI701" s="393"/>
      <c r="DJ701" s="393"/>
      <c r="DK701" s="896" t="s">
        <v>9722</v>
      </c>
    </row>
    <row r="702" spans="1:115" ht="38.25" x14ac:dyDescent="0.2">
      <c r="A702" s="295">
        <v>698</v>
      </c>
      <c r="B702" s="390" t="s">
        <v>2705</v>
      </c>
      <c r="C702" s="390"/>
      <c r="D702" s="391" t="s">
        <v>4920</v>
      </c>
      <c r="E702" s="704" t="s">
        <v>533</v>
      </c>
      <c r="F702" s="393" t="s">
        <v>1375</v>
      </c>
      <c r="G702" s="393" t="s">
        <v>1361</v>
      </c>
      <c r="H702" s="393" t="s">
        <v>137</v>
      </c>
      <c r="I702" s="392"/>
      <c r="J702" s="392"/>
      <c r="K702" s="392" t="s">
        <v>534</v>
      </c>
      <c r="L702" s="392" t="s">
        <v>531</v>
      </c>
      <c r="M702" s="392"/>
      <c r="N702" s="393" t="s">
        <v>44</v>
      </c>
      <c r="O702" s="393" t="s">
        <v>51</v>
      </c>
      <c r="P702" s="393" t="s">
        <v>51</v>
      </c>
      <c r="Q702" s="392" t="s">
        <v>426</v>
      </c>
      <c r="R702" s="392" t="s">
        <v>3181</v>
      </c>
      <c r="S702" s="392" t="s">
        <v>427</v>
      </c>
      <c r="T702" s="394">
        <v>1</v>
      </c>
      <c r="U702" s="395">
        <v>29.518000000000001</v>
      </c>
      <c r="V702" s="395"/>
      <c r="W702" s="453"/>
      <c r="X702" s="394"/>
      <c r="Y702" s="394">
        <v>10</v>
      </c>
      <c r="Z702" s="394">
        <v>8</v>
      </c>
      <c r="AA702" s="395">
        <v>-4</v>
      </c>
      <c r="AB702" s="452">
        <v>41262</v>
      </c>
      <c r="AC702" s="398">
        <v>0</v>
      </c>
      <c r="AD702" s="398">
        <v>295.18</v>
      </c>
      <c r="AE702" s="393" t="s">
        <v>54</v>
      </c>
      <c r="AF702" s="417"/>
      <c r="AG702" s="417"/>
      <c r="AH702" s="417"/>
      <c r="AI702" s="394"/>
      <c r="AJ702" s="453"/>
      <c r="AK702" s="453"/>
      <c r="AL702" s="393"/>
      <c r="AM702" s="393"/>
      <c r="AN702" s="417"/>
      <c r="AO702" s="392"/>
      <c r="AP702" s="392" t="s">
        <v>7074</v>
      </c>
      <c r="AQ702" s="392"/>
      <c r="AR702" s="392" t="s">
        <v>532</v>
      </c>
      <c r="AS702" s="479">
        <v>40761</v>
      </c>
      <c r="AT702" s="453"/>
      <c r="AU702" s="453"/>
      <c r="AV702" s="453"/>
      <c r="AW702" s="453"/>
      <c r="AX702" s="453"/>
      <c r="AY702" s="453"/>
      <c r="AZ702" s="452">
        <v>41262</v>
      </c>
      <c r="BA702" s="393"/>
      <c r="BB702" s="393"/>
      <c r="BC702" s="393" t="b">
        <v>0</v>
      </c>
      <c r="BD702" s="393"/>
      <c r="BE702" s="392"/>
      <c r="BF702" s="394">
        <v>9</v>
      </c>
      <c r="BG702" s="394">
        <v>4</v>
      </c>
      <c r="BH702" s="394">
        <v>7</v>
      </c>
      <c r="BI702" s="394">
        <v>8</v>
      </c>
      <c r="BJ702" s="394">
        <v>5</v>
      </c>
      <c r="BK702" s="394">
        <v>4</v>
      </c>
      <c r="BL702" s="444" t="s">
        <v>1451</v>
      </c>
      <c r="BM702" s="392" t="s">
        <v>117</v>
      </c>
      <c r="BN702" s="393"/>
      <c r="BO702" s="393"/>
      <c r="BP702" s="399"/>
      <c r="BQ702" s="400"/>
      <c r="BR702" s="401"/>
      <c r="BS702" s="399"/>
      <c r="BT702" s="394"/>
      <c r="BU702" s="417"/>
      <c r="BV702" s="399"/>
      <c r="BW702" s="393" t="s">
        <v>3117</v>
      </c>
      <c r="BX702" s="392" t="s">
        <v>3182</v>
      </c>
      <c r="BY702" s="475" t="s">
        <v>7227</v>
      </c>
      <c r="BZ702" s="393"/>
      <c r="CA702" s="441" t="s">
        <v>1664</v>
      </c>
      <c r="CB702" s="400">
        <v>3</v>
      </c>
      <c r="CC702" s="398"/>
      <c r="CD702" s="398"/>
      <c r="CE702" s="398"/>
      <c r="CF702" s="398"/>
      <c r="CG702" s="398"/>
      <c r="CH702" s="398"/>
      <c r="CI702" s="398">
        <v>53.021999999999998</v>
      </c>
      <c r="CJ702" s="398">
        <v>49.404000000000003</v>
      </c>
      <c r="CK702" s="398">
        <v>45.786000000000001</v>
      </c>
      <c r="CL702" s="398">
        <v>42.167999999999999</v>
      </c>
      <c r="CM702" s="398">
        <v>38.549999999999997</v>
      </c>
      <c r="CN702" s="398">
        <v>34.932000000000002</v>
      </c>
      <c r="CO702" s="398">
        <v>31.314</v>
      </c>
      <c r="CP702" s="398">
        <v>0</v>
      </c>
      <c r="CQ702" s="398">
        <v>0</v>
      </c>
      <c r="CR702" s="398">
        <v>0</v>
      </c>
      <c r="CS702" s="398"/>
      <c r="CT702" s="398"/>
      <c r="CU702" s="398"/>
      <c r="CV702" s="398"/>
      <c r="CW702" s="398"/>
      <c r="CX702" s="398"/>
      <c r="CY702" s="398"/>
      <c r="CZ702" s="398"/>
      <c r="DA702" s="398"/>
      <c r="DB702" s="398"/>
      <c r="DC702" s="398"/>
      <c r="DD702" s="398"/>
      <c r="DE702" s="393"/>
      <c r="DF702" s="393"/>
      <c r="DG702" s="393"/>
      <c r="DH702" s="393"/>
      <c r="DI702" s="393"/>
      <c r="DJ702" s="393"/>
      <c r="DK702" s="897"/>
    </row>
    <row r="703" spans="1:115" ht="63.75" x14ac:dyDescent="0.2">
      <c r="A703" s="295">
        <v>699</v>
      </c>
      <c r="B703" s="390" t="s">
        <v>363</v>
      </c>
      <c r="C703" s="424" t="s">
        <v>7534</v>
      </c>
      <c r="D703" s="391" t="s">
        <v>5093</v>
      </c>
      <c r="E703" s="704" t="s">
        <v>364</v>
      </c>
      <c r="F703" s="393" t="s">
        <v>1352</v>
      </c>
      <c r="G703" s="393" t="s">
        <v>1673</v>
      </c>
      <c r="H703" s="393" t="s">
        <v>42</v>
      </c>
      <c r="I703" s="392"/>
      <c r="J703" s="392" t="s">
        <v>42</v>
      </c>
      <c r="K703" s="392"/>
      <c r="L703" s="392" t="s">
        <v>365</v>
      </c>
      <c r="M703" s="392" t="s">
        <v>3183</v>
      </c>
      <c r="N703" s="393" t="s">
        <v>44</v>
      </c>
      <c r="O703" s="393" t="s">
        <v>366</v>
      </c>
      <c r="P703" s="393" t="s">
        <v>366</v>
      </c>
      <c r="Q703" s="392" t="s">
        <v>1982</v>
      </c>
      <c r="R703" s="392"/>
      <c r="S703" s="392" t="s">
        <v>102</v>
      </c>
      <c r="T703" s="394">
        <v>1</v>
      </c>
      <c r="U703" s="395">
        <v>3.0059999999999998</v>
      </c>
      <c r="V703" s="395"/>
      <c r="W703" s="452">
        <v>40744</v>
      </c>
      <c r="X703" s="394">
        <v>28</v>
      </c>
      <c r="Y703" s="394"/>
      <c r="Z703" s="394"/>
      <c r="AA703" s="395"/>
      <c r="AB703" s="453"/>
      <c r="AC703" s="398">
        <v>0</v>
      </c>
      <c r="AD703" s="398">
        <v>30.06</v>
      </c>
      <c r="AE703" s="393" t="s">
        <v>54</v>
      </c>
      <c r="AF703" s="417"/>
      <c r="AG703" s="417"/>
      <c r="AH703" s="417">
        <v>0</v>
      </c>
      <c r="AI703" s="394"/>
      <c r="AJ703" s="453"/>
      <c r="AK703" s="453"/>
      <c r="AL703" s="393"/>
      <c r="AM703" s="393"/>
      <c r="AN703" s="417"/>
      <c r="AO703" s="392"/>
      <c r="AP703" s="392" t="s">
        <v>55</v>
      </c>
      <c r="AQ703" s="392"/>
      <c r="AR703" s="392" t="s">
        <v>368</v>
      </c>
      <c r="AS703" s="479">
        <v>40766</v>
      </c>
      <c r="AT703" s="453"/>
      <c r="AU703" s="453"/>
      <c r="AV703" s="452">
        <v>41002</v>
      </c>
      <c r="AW703" s="452">
        <v>41272</v>
      </c>
      <c r="AX703" s="452">
        <v>41439</v>
      </c>
      <c r="AY703" s="452">
        <v>41272</v>
      </c>
      <c r="AZ703" s="453"/>
      <c r="BA703" s="393"/>
      <c r="BB703" s="393" t="s">
        <v>3147</v>
      </c>
      <c r="BC703" s="393" t="b">
        <v>0</v>
      </c>
      <c r="BD703" s="393" t="s">
        <v>3147</v>
      </c>
      <c r="BE703" s="392"/>
      <c r="BF703" s="394">
        <v>1</v>
      </c>
      <c r="BG703" s="394">
        <v>8</v>
      </c>
      <c r="BH703" s="394">
        <v>6</v>
      </c>
      <c r="BI703" s="394">
        <v>9</v>
      </c>
      <c r="BJ703" s="394"/>
      <c r="BK703" s="394"/>
      <c r="BL703" s="444"/>
      <c r="BM703" s="392"/>
      <c r="BN703" s="393"/>
      <c r="BO703" s="393"/>
      <c r="BP703" s="399"/>
      <c r="BQ703" s="400"/>
      <c r="BR703" s="401"/>
      <c r="BS703" s="399">
        <v>0</v>
      </c>
      <c r="BT703" s="394"/>
      <c r="BU703" s="417"/>
      <c r="BV703" s="399"/>
      <c r="BW703" s="393"/>
      <c r="BX703" s="392"/>
      <c r="BY703" s="393"/>
      <c r="BZ703" s="393"/>
      <c r="CA703" s="441"/>
      <c r="CB703" s="400"/>
      <c r="CC703" s="398"/>
      <c r="CD703" s="398"/>
      <c r="CE703" s="398"/>
      <c r="CF703" s="398"/>
      <c r="CG703" s="398"/>
      <c r="CH703" s="398"/>
      <c r="CI703" s="398"/>
      <c r="CJ703" s="398"/>
      <c r="CK703" s="398"/>
      <c r="CL703" s="398"/>
      <c r="CM703" s="398"/>
      <c r="CN703" s="398"/>
      <c r="CO703" s="398"/>
      <c r="CP703" s="398"/>
      <c r="CQ703" s="398"/>
      <c r="CR703" s="398"/>
      <c r="CS703" s="398"/>
      <c r="CT703" s="398"/>
      <c r="CU703" s="398"/>
      <c r="CV703" s="398"/>
      <c r="CW703" s="398"/>
      <c r="CX703" s="398"/>
      <c r="CY703" s="398"/>
      <c r="CZ703" s="398"/>
      <c r="DA703" s="398"/>
      <c r="DB703" s="398"/>
      <c r="DC703" s="398"/>
      <c r="DD703" s="398"/>
      <c r="DE703" s="393"/>
      <c r="DF703" s="393"/>
      <c r="DG703" s="393"/>
      <c r="DH703" s="393"/>
      <c r="DI703" s="393"/>
      <c r="DJ703" s="393"/>
      <c r="DK703" s="896" t="s">
        <v>9700</v>
      </c>
    </row>
    <row r="704" spans="1:115" ht="38.25" x14ac:dyDescent="0.2">
      <c r="A704" s="295">
        <v>700</v>
      </c>
      <c r="B704" s="390" t="s">
        <v>2706</v>
      </c>
      <c r="C704" s="390"/>
      <c r="D704" s="391" t="s">
        <v>5094</v>
      </c>
      <c r="E704" s="704" t="s">
        <v>369</v>
      </c>
      <c r="F704" s="393" t="s">
        <v>1352</v>
      </c>
      <c r="G704" s="393" t="s">
        <v>1673</v>
      </c>
      <c r="H704" s="393" t="s">
        <v>42</v>
      </c>
      <c r="I704" s="392"/>
      <c r="J704" s="392"/>
      <c r="K704" s="392" t="s">
        <v>370</v>
      </c>
      <c r="L704" s="392" t="s">
        <v>371</v>
      </c>
      <c r="M704" s="392"/>
      <c r="N704" s="393" t="s">
        <v>44</v>
      </c>
      <c r="O704" s="393" t="s">
        <v>366</v>
      </c>
      <c r="P704" s="393" t="s">
        <v>366</v>
      </c>
      <c r="Q704" s="392" t="s">
        <v>1982</v>
      </c>
      <c r="R704" s="392" t="s">
        <v>3184</v>
      </c>
      <c r="S704" s="392" t="s">
        <v>102</v>
      </c>
      <c r="T704" s="394">
        <v>1</v>
      </c>
      <c r="U704" s="395">
        <v>3.0059999999999998</v>
      </c>
      <c r="V704" s="395"/>
      <c r="W704" s="453"/>
      <c r="X704" s="394"/>
      <c r="Y704" s="394">
        <v>10</v>
      </c>
      <c r="Z704" s="394">
        <v>15</v>
      </c>
      <c r="AA704" s="395"/>
      <c r="AB704" s="452">
        <v>41334</v>
      </c>
      <c r="AC704" s="398">
        <v>0</v>
      </c>
      <c r="AD704" s="398">
        <v>30.06</v>
      </c>
      <c r="AE704" s="393" t="s">
        <v>54</v>
      </c>
      <c r="AF704" s="417"/>
      <c r="AG704" s="417"/>
      <c r="AH704" s="417"/>
      <c r="AI704" s="394"/>
      <c r="AJ704" s="453"/>
      <c r="AK704" s="453"/>
      <c r="AL704" s="393"/>
      <c r="AM704" s="393"/>
      <c r="AN704" s="417"/>
      <c r="AO704" s="392"/>
      <c r="AP704" s="392" t="s">
        <v>55</v>
      </c>
      <c r="AQ704" s="392"/>
      <c r="AR704" s="392" t="s">
        <v>368</v>
      </c>
      <c r="AS704" s="479">
        <v>40766</v>
      </c>
      <c r="AT704" s="453"/>
      <c r="AU704" s="453"/>
      <c r="AV704" s="453"/>
      <c r="AW704" s="453"/>
      <c r="AX704" s="453"/>
      <c r="AY704" s="453"/>
      <c r="AZ704" s="452">
        <v>41272</v>
      </c>
      <c r="BA704" s="393"/>
      <c r="BB704" s="393"/>
      <c r="BC704" s="393" t="b">
        <v>0</v>
      </c>
      <c r="BD704" s="393"/>
      <c r="BE704" s="392"/>
      <c r="BF704" s="394">
        <v>1</v>
      </c>
      <c r="BG704" s="394">
        <v>8</v>
      </c>
      <c r="BH704" s="394">
        <v>6</v>
      </c>
      <c r="BI704" s="394">
        <v>9</v>
      </c>
      <c r="BJ704" s="394"/>
      <c r="BK704" s="394"/>
      <c r="BL704" s="444" t="s">
        <v>6981</v>
      </c>
      <c r="BM704" s="392"/>
      <c r="BN704" s="393"/>
      <c r="BO704" s="393"/>
      <c r="BP704" s="399"/>
      <c r="BQ704" s="400"/>
      <c r="BR704" s="401"/>
      <c r="BS704" s="399"/>
      <c r="BT704" s="394"/>
      <c r="BU704" s="417"/>
      <c r="BV704" s="399">
        <v>0.6</v>
      </c>
      <c r="BW704" s="393" t="s">
        <v>3117</v>
      </c>
      <c r="BX704" s="392" t="s">
        <v>4364</v>
      </c>
      <c r="BY704" s="393" t="s">
        <v>7224</v>
      </c>
      <c r="BZ704" s="393"/>
      <c r="CA704" s="441"/>
      <c r="CB704" s="400"/>
      <c r="CC704" s="398"/>
      <c r="CD704" s="398"/>
      <c r="CE704" s="398"/>
      <c r="CF704" s="398"/>
      <c r="CG704" s="398"/>
      <c r="CH704" s="398"/>
      <c r="CI704" s="398">
        <v>2.5049999999999999</v>
      </c>
      <c r="CJ704" s="398">
        <v>3.0059999999999998</v>
      </c>
      <c r="CK704" s="398">
        <v>3.0059999999999998</v>
      </c>
      <c r="CL704" s="398">
        <v>3.0059999999999998</v>
      </c>
      <c r="CM704" s="398">
        <v>3.0059999999999998</v>
      </c>
      <c r="CN704" s="398">
        <v>3.0059999999999998</v>
      </c>
      <c r="CO704" s="398">
        <v>3.0059999999999998</v>
      </c>
      <c r="CP704" s="398">
        <v>3.0059999999999998</v>
      </c>
      <c r="CQ704" s="398">
        <v>3.0059999999999998</v>
      </c>
      <c r="CR704" s="398">
        <v>3.0059999999999998</v>
      </c>
      <c r="CS704" s="398">
        <v>0.501</v>
      </c>
      <c r="CT704" s="398"/>
      <c r="CU704" s="398"/>
      <c r="CV704" s="398"/>
      <c r="CW704" s="398"/>
      <c r="CX704" s="398"/>
      <c r="CY704" s="398"/>
      <c r="CZ704" s="398"/>
      <c r="DA704" s="398"/>
      <c r="DB704" s="398"/>
      <c r="DC704" s="398"/>
      <c r="DD704" s="398"/>
      <c r="DE704" s="393"/>
      <c r="DF704" s="393"/>
      <c r="DG704" s="393"/>
      <c r="DH704" s="393"/>
      <c r="DI704" s="393"/>
      <c r="DJ704" s="393"/>
      <c r="DK704" s="897"/>
    </row>
    <row r="705" spans="1:115" ht="76.5" x14ac:dyDescent="0.2">
      <c r="A705" s="295">
        <v>701</v>
      </c>
      <c r="B705" s="390" t="s">
        <v>1108</v>
      </c>
      <c r="C705" s="424" t="s">
        <v>7535</v>
      </c>
      <c r="D705" s="391" t="s">
        <v>5095</v>
      </c>
      <c r="E705" s="704" t="s">
        <v>1109</v>
      </c>
      <c r="F705" s="393" t="s">
        <v>1352</v>
      </c>
      <c r="G705" s="393" t="s">
        <v>1672</v>
      </c>
      <c r="H705" s="393" t="s">
        <v>78</v>
      </c>
      <c r="I705" s="392"/>
      <c r="J705" s="392" t="s">
        <v>1983</v>
      </c>
      <c r="K705" s="392"/>
      <c r="L705" s="392" t="s">
        <v>1110</v>
      </c>
      <c r="M705" s="392" t="s">
        <v>3186</v>
      </c>
      <c r="N705" s="393" t="s">
        <v>44</v>
      </c>
      <c r="O705" s="393" t="s">
        <v>69</v>
      </c>
      <c r="P705" s="393" t="s">
        <v>69</v>
      </c>
      <c r="Q705" s="392" t="s">
        <v>1111</v>
      </c>
      <c r="R705" s="392"/>
      <c r="S705" s="392" t="s">
        <v>3187</v>
      </c>
      <c r="T705" s="394">
        <v>1</v>
      </c>
      <c r="U705" s="395">
        <v>19.27</v>
      </c>
      <c r="V705" s="395"/>
      <c r="W705" s="452">
        <v>41122</v>
      </c>
      <c r="X705" s="394">
        <v>28</v>
      </c>
      <c r="Y705" s="394"/>
      <c r="Z705" s="394"/>
      <c r="AA705" s="395"/>
      <c r="AB705" s="453"/>
      <c r="AC705" s="398">
        <v>0</v>
      </c>
      <c r="AD705" s="398">
        <v>149.46128767123287</v>
      </c>
      <c r="AE705" s="393" t="s">
        <v>660</v>
      </c>
      <c r="AF705" s="417"/>
      <c r="AG705" s="417"/>
      <c r="AH705" s="417">
        <v>0</v>
      </c>
      <c r="AI705" s="394"/>
      <c r="AJ705" s="453"/>
      <c r="AK705" s="453"/>
      <c r="AL705" s="393"/>
      <c r="AM705" s="393"/>
      <c r="AN705" s="417"/>
      <c r="AO705" s="392"/>
      <c r="AP705" s="392" t="s">
        <v>7075</v>
      </c>
      <c r="AQ705" s="392"/>
      <c r="AR705" s="392" t="s">
        <v>368</v>
      </c>
      <c r="AS705" s="479">
        <v>40766</v>
      </c>
      <c r="AT705" s="453"/>
      <c r="AU705" s="453"/>
      <c r="AV705" s="452">
        <v>40896</v>
      </c>
      <c r="AW705" s="452">
        <v>41115</v>
      </c>
      <c r="AX705" s="452">
        <v>41171</v>
      </c>
      <c r="AY705" s="452">
        <v>41117</v>
      </c>
      <c r="AZ705" s="453"/>
      <c r="BA705" s="393"/>
      <c r="BB705" s="393" t="s">
        <v>3147</v>
      </c>
      <c r="BC705" s="393" t="b">
        <v>0</v>
      </c>
      <c r="BD705" s="393" t="s">
        <v>3147</v>
      </c>
      <c r="BE705" s="392"/>
      <c r="BF705" s="394">
        <v>1</v>
      </c>
      <c r="BG705" s="394">
        <v>9</v>
      </c>
      <c r="BH705" s="394">
        <v>5</v>
      </c>
      <c r="BI705" s="394">
        <v>7</v>
      </c>
      <c r="BJ705" s="394">
        <v>11</v>
      </c>
      <c r="BK705" s="394"/>
      <c r="BL705" s="444"/>
      <c r="BM705" s="392"/>
      <c r="BN705" s="393"/>
      <c r="BO705" s="393"/>
      <c r="BP705" s="399"/>
      <c r="BQ705" s="400"/>
      <c r="BR705" s="401"/>
      <c r="BS705" s="399">
        <v>2.06</v>
      </c>
      <c r="BT705" s="394"/>
      <c r="BU705" s="417"/>
      <c r="BV705" s="399"/>
      <c r="BW705" s="393"/>
      <c r="BX705" s="392"/>
      <c r="BY705" s="393"/>
      <c r="BZ705" s="393"/>
      <c r="CA705" s="441"/>
      <c r="CB705" s="400"/>
      <c r="CC705" s="398"/>
      <c r="CD705" s="398"/>
      <c r="CE705" s="398"/>
      <c r="CF705" s="398"/>
      <c r="CG705" s="398"/>
      <c r="CH705" s="398"/>
      <c r="CI705" s="398"/>
      <c r="CJ705" s="398"/>
      <c r="CK705" s="398"/>
      <c r="CL705" s="398"/>
      <c r="CM705" s="398"/>
      <c r="CN705" s="398"/>
      <c r="CO705" s="398"/>
      <c r="CP705" s="398"/>
      <c r="CQ705" s="398"/>
      <c r="CR705" s="398"/>
      <c r="CS705" s="398"/>
      <c r="CT705" s="398"/>
      <c r="CU705" s="398"/>
      <c r="CV705" s="398"/>
      <c r="CW705" s="398"/>
      <c r="CX705" s="398"/>
      <c r="CY705" s="398"/>
      <c r="CZ705" s="398"/>
      <c r="DA705" s="398"/>
      <c r="DB705" s="398"/>
      <c r="DC705" s="398"/>
      <c r="DD705" s="398"/>
      <c r="DE705" s="393"/>
      <c r="DF705" s="393"/>
      <c r="DG705" s="393"/>
      <c r="DH705" s="393"/>
      <c r="DI705" s="393"/>
      <c r="DJ705" s="393"/>
      <c r="DK705" s="896" t="s">
        <v>9711</v>
      </c>
    </row>
    <row r="706" spans="1:115" ht="25.5" x14ac:dyDescent="0.2">
      <c r="A706" s="295">
        <v>702</v>
      </c>
      <c r="B706" s="390" t="s">
        <v>2707</v>
      </c>
      <c r="C706" s="390"/>
      <c r="D706" s="391" t="s">
        <v>3188</v>
      </c>
      <c r="E706" s="704" t="s">
        <v>1112</v>
      </c>
      <c r="F706" s="393" t="s">
        <v>1352</v>
      </c>
      <c r="G706" s="393" t="s">
        <v>1672</v>
      </c>
      <c r="H706" s="393" t="s">
        <v>78</v>
      </c>
      <c r="I706" s="392"/>
      <c r="J706" s="392"/>
      <c r="K706" s="392" t="s">
        <v>2167</v>
      </c>
      <c r="L706" s="392" t="s">
        <v>1110</v>
      </c>
      <c r="M706" s="392"/>
      <c r="N706" s="393" t="s">
        <v>44</v>
      </c>
      <c r="O706" s="393" t="s">
        <v>69</v>
      </c>
      <c r="P706" s="393" t="s">
        <v>69</v>
      </c>
      <c r="Q706" s="392" t="s">
        <v>1111</v>
      </c>
      <c r="R706" s="392" t="s">
        <v>3189</v>
      </c>
      <c r="S706" s="392" t="s">
        <v>2408</v>
      </c>
      <c r="T706" s="394">
        <v>1</v>
      </c>
      <c r="U706" s="395">
        <v>19.27</v>
      </c>
      <c r="V706" s="395"/>
      <c r="W706" s="453"/>
      <c r="X706" s="394"/>
      <c r="Y706" s="394">
        <v>7</v>
      </c>
      <c r="Z706" s="394">
        <v>20</v>
      </c>
      <c r="AA706" s="395">
        <v>0</v>
      </c>
      <c r="AB706" s="452">
        <v>41365</v>
      </c>
      <c r="AC706" s="398">
        <v>0</v>
      </c>
      <c r="AD706" s="398">
        <v>149.46128767123287</v>
      </c>
      <c r="AE706" s="393" t="s">
        <v>660</v>
      </c>
      <c r="AF706" s="417"/>
      <c r="AG706" s="417"/>
      <c r="AH706" s="417"/>
      <c r="AI706" s="394"/>
      <c r="AJ706" s="453"/>
      <c r="AK706" s="453"/>
      <c r="AL706" s="393"/>
      <c r="AM706" s="393"/>
      <c r="AN706" s="417"/>
      <c r="AO706" s="392"/>
      <c r="AP706" s="392" t="s">
        <v>7075</v>
      </c>
      <c r="AQ706" s="392"/>
      <c r="AR706" s="392" t="s">
        <v>368</v>
      </c>
      <c r="AS706" s="479">
        <v>40766</v>
      </c>
      <c r="AT706" s="453"/>
      <c r="AU706" s="453"/>
      <c r="AV706" s="453"/>
      <c r="AW706" s="453"/>
      <c r="AX706" s="453"/>
      <c r="AY706" s="453"/>
      <c r="AZ706" s="452">
        <v>41117</v>
      </c>
      <c r="BA706" s="393"/>
      <c r="BB706" s="393"/>
      <c r="BC706" s="393" t="b">
        <v>0</v>
      </c>
      <c r="BD706" s="393"/>
      <c r="BE706" s="392"/>
      <c r="BF706" s="394">
        <v>1</v>
      </c>
      <c r="BG706" s="394">
        <v>9</v>
      </c>
      <c r="BH706" s="394">
        <v>5</v>
      </c>
      <c r="BI706" s="394">
        <v>7</v>
      </c>
      <c r="BJ706" s="394">
        <v>11</v>
      </c>
      <c r="BK706" s="394"/>
      <c r="BL706" s="444" t="s">
        <v>6981</v>
      </c>
      <c r="BM706" s="392"/>
      <c r="BN706" s="393"/>
      <c r="BO706" s="393"/>
      <c r="BP706" s="399"/>
      <c r="BQ706" s="400"/>
      <c r="BR706" s="401"/>
      <c r="BS706" s="399">
        <v>2.06</v>
      </c>
      <c r="BT706" s="394">
        <v>7535</v>
      </c>
      <c r="BU706" s="417">
        <v>0.74299999999999999</v>
      </c>
      <c r="BV706" s="399"/>
      <c r="BW706" s="393" t="s">
        <v>3117</v>
      </c>
      <c r="BX706" s="392" t="s">
        <v>1447</v>
      </c>
      <c r="BY706" s="393"/>
      <c r="BZ706" s="393"/>
      <c r="CA706" s="441" t="s">
        <v>1662</v>
      </c>
      <c r="CB706" s="400">
        <v>3</v>
      </c>
      <c r="CC706" s="398"/>
      <c r="CD706" s="398"/>
      <c r="CE706" s="398"/>
      <c r="CF706" s="398"/>
      <c r="CG706" s="398"/>
      <c r="CH706" s="398">
        <v>26.829000000000001</v>
      </c>
      <c r="CI706" s="398">
        <v>26.829000000000001</v>
      </c>
      <c r="CJ706" s="398">
        <v>26.829000000000001</v>
      </c>
      <c r="CK706" s="398">
        <v>26.829000000000001</v>
      </c>
      <c r="CL706" s="398">
        <v>26.829000000000001</v>
      </c>
      <c r="CM706" s="398">
        <v>26.829000000000001</v>
      </c>
      <c r="CN706" s="398">
        <v>26.829000000000001</v>
      </c>
      <c r="CO706" s="398">
        <v>26.829000000000001</v>
      </c>
      <c r="CP706" s="398">
        <v>26.829000000000001</v>
      </c>
      <c r="CQ706" s="398">
        <v>26.829000000000001</v>
      </c>
      <c r="CR706" s="398">
        <v>26.829000000000001</v>
      </c>
      <c r="CS706" s="398">
        <v>26.829000000000001</v>
      </c>
      <c r="CT706" s="398">
        <v>26.829000000000001</v>
      </c>
      <c r="CU706" s="398">
        <v>26.829000000000001</v>
      </c>
      <c r="CV706" s="398"/>
      <c r="CW706" s="398"/>
      <c r="CX706" s="398"/>
      <c r="CY706" s="398"/>
      <c r="CZ706" s="398"/>
      <c r="DA706" s="398"/>
      <c r="DB706" s="398"/>
      <c r="DC706" s="398"/>
      <c r="DD706" s="398"/>
      <c r="DE706" s="393"/>
      <c r="DF706" s="393"/>
      <c r="DG706" s="393"/>
      <c r="DH706" s="393"/>
      <c r="DI706" s="393"/>
      <c r="DJ706" s="393"/>
      <c r="DK706" s="897"/>
    </row>
    <row r="707" spans="1:115" ht="51" x14ac:dyDescent="0.2">
      <c r="A707" s="295">
        <v>703</v>
      </c>
      <c r="B707" s="390" t="s">
        <v>716</v>
      </c>
      <c r="C707" s="424" t="s">
        <v>7536</v>
      </c>
      <c r="D707" s="391"/>
      <c r="E707" s="708" t="s">
        <v>717</v>
      </c>
      <c r="F707" s="404" t="s">
        <v>1340</v>
      </c>
      <c r="G707" s="404" t="s">
        <v>1677</v>
      </c>
      <c r="H707" s="404" t="s">
        <v>718</v>
      </c>
      <c r="I707" s="403"/>
      <c r="J707" s="403" t="s">
        <v>719</v>
      </c>
      <c r="K707" s="403"/>
      <c r="L707" s="403" t="s">
        <v>720</v>
      </c>
      <c r="M707" s="403" t="s">
        <v>3190</v>
      </c>
      <c r="N707" s="404" t="s">
        <v>2412</v>
      </c>
      <c r="O707" s="404" t="s">
        <v>289</v>
      </c>
      <c r="P707" s="404" t="s">
        <v>289</v>
      </c>
      <c r="Q707" s="403" t="s">
        <v>721</v>
      </c>
      <c r="R707" s="403"/>
      <c r="S707" s="403" t="s">
        <v>291</v>
      </c>
      <c r="T707" s="405"/>
      <c r="U707" s="406"/>
      <c r="V707" s="406"/>
      <c r="W707" s="456">
        <v>40680</v>
      </c>
      <c r="X707" s="405">
        <v>28</v>
      </c>
      <c r="Y707" s="405"/>
      <c r="Z707" s="405"/>
      <c r="AA707" s="406"/>
      <c r="AB707" s="455"/>
      <c r="AC707" s="407"/>
      <c r="AD707" s="407"/>
      <c r="AE707" s="404" t="s">
        <v>37</v>
      </c>
      <c r="AF707" s="418"/>
      <c r="AG707" s="418"/>
      <c r="AH707" s="418"/>
      <c r="AI707" s="405"/>
      <c r="AJ707" s="455"/>
      <c r="AK707" s="455"/>
      <c r="AL707" s="404"/>
      <c r="AM707" s="404"/>
      <c r="AN707" s="418"/>
      <c r="AO707" s="403"/>
      <c r="AP707" s="403" t="s">
        <v>7055</v>
      </c>
      <c r="AQ707" s="403"/>
      <c r="AR707" s="403" t="s">
        <v>722</v>
      </c>
      <c r="AS707" s="482">
        <v>40767</v>
      </c>
      <c r="AT707" s="456">
        <v>40892</v>
      </c>
      <c r="AU707" s="455"/>
      <c r="AV707" s="455"/>
      <c r="AW707" s="455"/>
      <c r="AX707" s="455"/>
      <c r="AY707" s="455"/>
      <c r="AZ707" s="455"/>
      <c r="BA707" s="404"/>
      <c r="BB707" s="404" t="s">
        <v>3147</v>
      </c>
      <c r="BC707" s="404" t="b">
        <v>1</v>
      </c>
      <c r="BD707" s="404" t="s">
        <v>3147</v>
      </c>
      <c r="BE707" s="403"/>
      <c r="BF707" s="405">
        <v>9</v>
      </c>
      <c r="BG707" s="405">
        <v>10</v>
      </c>
      <c r="BH707" s="405"/>
      <c r="BI707" s="405"/>
      <c r="BJ707" s="405"/>
      <c r="BK707" s="405"/>
      <c r="BL707" s="446"/>
      <c r="BM707" s="403"/>
      <c r="BN707" s="404"/>
      <c r="BO707" s="404"/>
      <c r="BP707" s="408"/>
      <c r="BQ707" s="409"/>
      <c r="BR707" s="410"/>
      <c r="BS707" s="408"/>
      <c r="BT707" s="405"/>
      <c r="BU707" s="418"/>
      <c r="BV707" s="408"/>
      <c r="BW707" s="404"/>
      <c r="BX707" s="403"/>
      <c r="BY707" s="404"/>
      <c r="BZ707" s="404"/>
      <c r="CA707" s="443"/>
      <c r="CB707" s="409"/>
      <c r="CC707" s="407"/>
      <c r="CD707" s="407"/>
      <c r="CE707" s="407"/>
      <c r="CF707" s="407"/>
      <c r="CG707" s="407"/>
      <c r="CH707" s="407"/>
      <c r="CI707" s="407"/>
      <c r="CJ707" s="407"/>
      <c r="CK707" s="407"/>
      <c r="CL707" s="407"/>
      <c r="CM707" s="407"/>
      <c r="CN707" s="407"/>
      <c r="CO707" s="407"/>
      <c r="CP707" s="407"/>
      <c r="CQ707" s="407"/>
      <c r="CR707" s="407"/>
      <c r="CS707" s="407"/>
      <c r="CT707" s="407"/>
      <c r="CU707" s="407"/>
      <c r="CV707" s="407"/>
      <c r="CW707" s="407"/>
      <c r="CX707" s="407"/>
      <c r="CY707" s="407"/>
      <c r="CZ707" s="407"/>
      <c r="DA707" s="407"/>
      <c r="DB707" s="407"/>
      <c r="DC707" s="407"/>
      <c r="DD707" s="407"/>
      <c r="DE707" s="404"/>
      <c r="DF707" s="404"/>
      <c r="DG707" s="404"/>
      <c r="DH707" s="404"/>
      <c r="DI707" s="404"/>
      <c r="DJ707" s="404"/>
      <c r="DK707" s="897"/>
    </row>
    <row r="708" spans="1:115" ht="38.25" x14ac:dyDescent="0.2">
      <c r="A708" s="295">
        <v>704</v>
      </c>
      <c r="B708" s="390" t="s">
        <v>2708</v>
      </c>
      <c r="C708" s="390"/>
      <c r="D708" s="391"/>
      <c r="E708" s="707" t="s">
        <v>723</v>
      </c>
      <c r="F708" s="404" t="s">
        <v>1340</v>
      </c>
      <c r="G708" s="404" t="s">
        <v>1677</v>
      </c>
      <c r="H708" s="404" t="s">
        <v>718</v>
      </c>
      <c r="I708" s="403"/>
      <c r="J708" s="403"/>
      <c r="K708" s="403" t="s">
        <v>2169</v>
      </c>
      <c r="L708" s="403" t="s">
        <v>720</v>
      </c>
      <c r="M708" s="403"/>
      <c r="N708" s="404" t="s">
        <v>2412</v>
      </c>
      <c r="O708" s="404" t="s">
        <v>289</v>
      </c>
      <c r="P708" s="404" t="s">
        <v>289</v>
      </c>
      <c r="Q708" s="403" t="s">
        <v>721</v>
      </c>
      <c r="R708" s="403" t="s">
        <v>3191</v>
      </c>
      <c r="S708" s="403" t="s">
        <v>291</v>
      </c>
      <c r="T708" s="405">
        <v>1</v>
      </c>
      <c r="U708" s="406">
        <v>8.1069999999999993</v>
      </c>
      <c r="V708" s="406"/>
      <c r="W708" s="455"/>
      <c r="X708" s="405"/>
      <c r="Y708" s="405">
        <v>7</v>
      </c>
      <c r="Z708" s="405">
        <v>20</v>
      </c>
      <c r="AA708" s="406">
        <v>0</v>
      </c>
      <c r="AB708" s="456">
        <v>41275</v>
      </c>
      <c r="AC708" s="407">
        <v>0</v>
      </c>
      <c r="AD708" s="407">
        <v>64.878210958904106</v>
      </c>
      <c r="AE708" s="404" t="s">
        <v>37</v>
      </c>
      <c r="AF708" s="418"/>
      <c r="AG708" s="418"/>
      <c r="AH708" s="418"/>
      <c r="AI708" s="405"/>
      <c r="AJ708" s="455"/>
      <c r="AK708" s="455"/>
      <c r="AL708" s="404"/>
      <c r="AM708" s="404"/>
      <c r="AN708" s="418"/>
      <c r="AO708" s="403"/>
      <c r="AP708" s="403" t="s">
        <v>7055</v>
      </c>
      <c r="AQ708" s="403"/>
      <c r="AR708" s="403" t="s">
        <v>722</v>
      </c>
      <c r="AS708" s="482">
        <v>40767</v>
      </c>
      <c r="AT708" s="456">
        <v>40892</v>
      </c>
      <c r="AU708" s="455"/>
      <c r="AV708" s="455"/>
      <c r="AW708" s="455"/>
      <c r="AX708" s="455"/>
      <c r="AY708" s="455"/>
      <c r="AZ708" s="455"/>
      <c r="BA708" s="404"/>
      <c r="BB708" s="404"/>
      <c r="BC708" s="404" t="b">
        <v>0</v>
      </c>
      <c r="BD708" s="404"/>
      <c r="BE708" s="403"/>
      <c r="BF708" s="405">
        <v>9</v>
      </c>
      <c r="BG708" s="405">
        <v>10</v>
      </c>
      <c r="BH708" s="405"/>
      <c r="BI708" s="405"/>
      <c r="BJ708" s="405"/>
      <c r="BK708" s="405"/>
      <c r="BL708" s="446" t="s">
        <v>6981</v>
      </c>
      <c r="BM708" s="403"/>
      <c r="BN708" s="404"/>
      <c r="BO708" s="404"/>
      <c r="BP708" s="408"/>
      <c r="BQ708" s="409"/>
      <c r="BR708" s="410"/>
      <c r="BS708" s="408">
        <v>1.5</v>
      </c>
      <c r="BT708" s="405">
        <v>12350</v>
      </c>
      <c r="BU708" s="418">
        <v>0.65600000000000003</v>
      </c>
      <c r="BV708" s="408"/>
      <c r="BW708" s="404" t="s">
        <v>3117</v>
      </c>
      <c r="BX708" s="403" t="s">
        <v>1447</v>
      </c>
      <c r="BY708" s="404" t="s">
        <v>7224</v>
      </c>
      <c r="BZ708" s="404"/>
      <c r="CA708" s="443" t="s">
        <v>1662</v>
      </c>
      <c r="CB708" s="409">
        <v>3</v>
      </c>
      <c r="CC708" s="407"/>
      <c r="CD708" s="407"/>
      <c r="CE708" s="407"/>
      <c r="CF708" s="407"/>
      <c r="CG708" s="407"/>
      <c r="CH708" s="407"/>
      <c r="CI708" s="407">
        <v>8.1069999999999993</v>
      </c>
      <c r="CJ708" s="407">
        <v>8.1069999999999993</v>
      </c>
      <c r="CK708" s="407">
        <v>8.1069999999999993</v>
      </c>
      <c r="CL708" s="407">
        <v>8.1069999999999993</v>
      </c>
      <c r="CM708" s="407">
        <v>8.1069999999999993</v>
      </c>
      <c r="CN708" s="407">
        <v>8.1069999999999993</v>
      </c>
      <c r="CO708" s="407">
        <v>8.1069999999999993</v>
      </c>
      <c r="CP708" s="407">
        <v>8.1069999999999993</v>
      </c>
      <c r="CQ708" s="407">
        <v>8.1069999999999993</v>
      </c>
      <c r="CR708" s="407">
        <v>8.1069999999999993</v>
      </c>
      <c r="CS708" s="407">
        <v>8.1069999999999993</v>
      </c>
      <c r="CT708" s="407">
        <v>8.1069999999999993</v>
      </c>
      <c r="CU708" s="407">
        <v>8.1069999999999993</v>
      </c>
      <c r="CV708" s="407">
        <v>8.1069999999999993</v>
      </c>
      <c r="CW708" s="407"/>
      <c r="CX708" s="407"/>
      <c r="CY708" s="407"/>
      <c r="CZ708" s="407"/>
      <c r="DA708" s="407"/>
      <c r="DB708" s="407"/>
      <c r="DC708" s="407"/>
      <c r="DD708" s="407"/>
      <c r="DE708" s="404"/>
      <c r="DF708" s="404"/>
      <c r="DG708" s="404"/>
      <c r="DH708" s="404"/>
      <c r="DI708" s="404"/>
      <c r="DJ708" s="404"/>
      <c r="DK708" s="897"/>
    </row>
    <row r="709" spans="1:115" ht="38.25" x14ac:dyDescent="0.2">
      <c r="A709" s="295">
        <v>705</v>
      </c>
      <c r="B709" s="390" t="s">
        <v>1187</v>
      </c>
      <c r="C709" s="424" t="s">
        <v>7537</v>
      </c>
      <c r="D709" s="391" t="s">
        <v>5096</v>
      </c>
      <c r="E709" s="704" t="s">
        <v>1984</v>
      </c>
      <c r="F709" s="393" t="s">
        <v>1352</v>
      </c>
      <c r="G709" s="393" t="s">
        <v>1673</v>
      </c>
      <c r="H709" s="393" t="s">
        <v>42</v>
      </c>
      <c r="I709" s="392"/>
      <c r="J709" s="392" t="s">
        <v>42</v>
      </c>
      <c r="K709" s="392"/>
      <c r="L709" s="392" t="s">
        <v>848</v>
      </c>
      <c r="M709" s="392" t="s">
        <v>3192</v>
      </c>
      <c r="N709" s="393" t="s">
        <v>44</v>
      </c>
      <c r="O709" s="393" t="s">
        <v>5030</v>
      </c>
      <c r="P709" s="393" t="s">
        <v>5030</v>
      </c>
      <c r="Q709" s="392" t="s">
        <v>1835</v>
      </c>
      <c r="R709" s="392"/>
      <c r="S709" s="392" t="s">
        <v>291</v>
      </c>
      <c r="T709" s="394">
        <v>2</v>
      </c>
      <c r="U709" s="395">
        <v>21.757000000000001</v>
      </c>
      <c r="V709" s="395"/>
      <c r="W709" s="452">
        <v>40632</v>
      </c>
      <c r="X709" s="394">
        <v>28</v>
      </c>
      <c r="Y709" s="394"/>
      <c r="Z709" s="394"/>
      <c r="AA709" s="395"/>
      <c r="AB709" s="453"/>
      <c r="AC709" s="398">
        <v>1.0825</v>
      </c>
      <c r="AD709" s="398">
        <v>96.919328767123275</v>
      </c>
      <c r="AE709" s="393" t="s">
        <v>37</v>
      </c>
      <c r="AF709" s="417"/>
      <c r="AG709" s="417"/>
      <c r="AH709" s="417">
        <v>0</v>
      </c>
      <c r="AI709" s="394"/>
      <c r="AJ709" s="453"/>
      <c r="AK709" s="453"/>
      <c r="AL709" s="393"/>
      <c r="AM709" s="393"/>
      <c r="AN709" s="417"/>
      <c r="AO709" s="392"/>
      <c r="AP709" s="392" t="s">
        <v>7076</v>
      </c>
      <c r="AQ709" s="392"/>
      <c r="AR709" s="392" t="s">
        <v>368</v>
      </c>
      <c r="AS709" s="479">
        <v>40781</v>
      </c>
      <c r="AT709" s="453"/>
      <c r="AU709" s="453"/>
      <c r="AV709" s="452">
        <v>41079</v>
      </c>
      <c r="AW709" s="452">
        <v>41176</v>
      </c>
      <c r="AX709" s="452">
        <v>41236</v>
      </c>
      <c r="AY709" s="452">
        <v>41176</v>
      </c>
      <c r="AZ709" s="453"/>
      <c r="BA709" s="393"/>
      <c r="BB709" s="393" t="s">
        <v>3147</v>
      </c>
      <c r="BC709" s="393" t="b">
        <v>1</v>
      </c>
      <c r="BD709" s="393" t="s">
        <v>3147</v>
      </c>
      <c r="BE709" s="392"/>
      <c r="BF709" s="394">
        <v>2</v>
      </c>
      <c r="BG709" s="394">
        <v>4</v>
      </c>
      <c r="BH709" s="394">
        <v>5</v>
      </c>
      <c r="BI709" s="394">
        <v>9</v>
      </c>
      <c r="BJ709" s="394">
        <v>10</v>
      </c>
      <c r="BK709" s="394">
        <v>8</v>
      </c>
      <c r="BL709" s="444"/>
      <c r="BM709" s="392"/>
      <c r="BN709" s="393"/>
      <c r="BO709" s="393"/>
      <c r="BP709" s="399"/>
      <c r="BQ709" s="400"/>
      <c r="BR709" s="401"/>
      <c r="BS709" s="399">
        <v>16.983000000000001</v>
      </c>
      <c r="BT709" s="394"/>
      <c r="BU709" s="417"/>
      <c r="BV709" s="399"/>
      <c r="BW709" s="393"/>
      <c r="BX709" s="392"/>
      <c r="BY709" s="393"/>
      <c r="BZ709" s="393"/>
      <c r="CA709" s="441"/>
      <c r="CB709" s="400"/>
      <c r="CC709" s="398"/>
      <c r="CD709" s="398"/>
      <c r="CE709" s="398"/>
      <c r="CF709" s="398"/>
      <c r="CG709" s="398"/>
      <c r="CH709" s="398"/>
      <c r="CI709" s="398"/>
      <c r="CJ709" s="398"/>
      <c r="CK709" s="398"/>
      <c r="CL709" s="398"/>
      <c r="CM709" s="398"/>
      <c r="CN709" s="398"/>
      <c r="CO709" s="398"/>
      <c r="CP709" s="398"/>
      <c r="CQ709" s="398"/>
      <c r="CR709" s="398"/>
      <c r="CS709" s="398"/>
      <c r="CT709" s="398"/>
      <c r="CU709" s="398"/>
      <c r="CV709" s="398"/>
      <c r="CW709" s="398"/>
      <c r="CX709" s="398"/>
      <c r="CY709" s="398"/>
      <c r="CZ709" s="398"/>
      <c r="DA709" s="398"/>
      <c r="DB709" s="398"/>
      <c r="DC709" s="398"/>
      <c r="DD709" s="398"/>
      <c r="DE709" s="393"/>
      <c r="DF709" s="393"/>
      <c r="DG709" s="393"/>
      <c r="DH709" s="393"/>
      <c r="DI709" s="393"/>
      <c r="DJ709" s="393"/>
      <c r="DK709" s="896" t="s">
        <v>9723</v>
      </c>
    </row>
    <row r="710" spans="1:115" ht="25.5" x14ac:dyDescent="0.2">
      <c r="A710" s="295">
        <v>706</v>
      </c>
      <c r="B710" s="390" t="s">
        <v>2709</v>
      </c>
      <c r="C710" s="390"/>
      <c r="D710" s="391" t="s">
        <v>4241</v>
      </c>
      <c r="E710" s="704" t="s">
        <v>847</v>
      </c>
      <c r="F710" s="393" t="s">
        <v>1352</v>
      </c>
      <c r="G710" s="393" t="s">
        <v>1673</v>
      </c>
      <c r="H710" s="393" t="s">
        <v>42</v>
      </c>
      <c r="I710" s="392"/>
      <c r="J710" s="392"/>
      <c r="K710" s="392" t="s">
        <v>2168</v>
      </c>
      <c r="L710" s="392" t="s">
        <v>848</v>
      </c>
      <c r="M710" s="392"/>
      <c r="N710" s="393" t="s">
        <v>44</v>
      </c>
      <c r="O710" s="393" t="s">
        <v>827</v>
      </c>
      <c r="P710" s="393" t="s">
        <v>827</v>
      </c>
      <c r="Q710" s="392" t="s">
        <v>836</v>
      </c>
      <c r="R710" s="428" t="s">
        <v>3193</v>
      </c>
      <c r="S710" s="392" t="s">
        <v>291</v>
      </c>
      <c r="T710" s="394">
        <v>1</v>
      </c>
      <c r="U710" s="395">
        <v>3.2509999999999999</v>
      </c>
      <c r="V710" s="395"/>
      <c r="W710" s="453"/>
      <c r="X710" s="394"/>
      <c r="Y710" s="394">
        <v>7</v>
      </c>
      <c r="Z710" s="394">
        <v>25</v>
      </c>
      <c r="AA710" s="395">
        <v>0</v>
      </c>
      <c r="AB710" s="452">
        <v>41153</v>
      </c>
      <c r="AC710" s="398">
        <v>1.0825</v>
      </c>
      <c r="AD710" s="398">
        <v>27.103542465753424</v>
      </c>
      <c r="AE710" s="393" t="s">
        <v>37</v>
      </c>
      <c r="AF710" s="417"/>
      <c r="AG710" s="417"/>
      <c r="AH710" s="417"/>
      <c r="AI710" s="394"/>
      <c r="AJ710" s="453"/>
      <c r="AK710" s="453"/>
      <c r="AL710" s="393"/>
      <c r="AM710" s="393"/>
      <c r="AN710" s="417"/>
      <c r="AO710" s="392"/>
      <c r="AP710" s="392" t="s">
        <v>7076</v>
      </c>
      <c r="AQ710" s="392"/>
      <c r="AR710" s="392" t="s">
        <v>368</v>
      </c>
      <c r="AS710" s="479">
        <v>40781</v>
      </c>
      <c r="AT710" s="453"/>
      <c r="AU710" s="453"/>
      <c r="AV710" s="453"/>
      <c r="AW710" s="453"/>
      <c r="AX710" s="453"/>
      <c r="AY710" s="453"/>
      <c r="AZ710" s="452">
        <v>41176</v>
      </c>
      <c r="BA710" s="393"/>
      <c r="BB710" s="393"/>
      <c r="BC710" s="393" t="b">
        <v>0</v>
      </c>
      <c r="BD710" s="393"/>
      <c r="BE710" s="392"/>
      <c r="BF710" s="394">
        <v>2</v>
      </c>
      <c r="BG710" s="394">
        <v>4</v>
      </c>
      <c r="BH710" s="394">
        <v>5</v>
      </c>
      <c r="BI710" s="394">
        <v>9</v>
      </c>
      <c r="BJ710" s="394">
        <v>10</v>
      </c>
      <c r="BK710" s="394">
        <v>8</v>
      </c>
      <c r="BL710" s="444" t="s">
        <v>1451</v>
      </c>
      <c r="BM710" s="392"/>
      <c r="BN710" s="393"/>
      <c r="BO710" s="393"/>
      <c r="BP710" s="399"/>
      <c r="BQ710" s="400"/>
      <c r="BR710" s="401"/>
      <c r="BS710" s="399">
        <v>2</v>
      </c>
      <c r="BT710" s="394">
        <v>3459</v>
      </c>
      <c r="BU710" s="417">
        <v>0.94</v>
      </c>
      <c r="BV710" s="399"/>
      <c r="BW710" s="393" t="s">
        <v>3117</v>
      </c>
      <c r="BX710" s="392" t="s">
        <v>3194</v>
      </c>
      <c r="BY710" s="393"/>
      <c r="BZ710" s="393"/>
      <c r="CA710" s="441" t="s">
        <v>1662</v>
      </c>
      <c r="CB710" s="400">
        <v>3</v>
      </c>
      <c r="CC710" s="398"/>
      <c r="CD710" s="398"/>
      <c r="CE710" s="398"/>
      <c r="CF710" s="398"/>
      <c r="CG710" s="398"/>
      <c r="CH710" s="398">
        <v>3.2509999999999999</v>
      </c>
      <c r="CI710" s="398">
        <v>3.2509999999999999</v>
      </c>
      <c r="CJ710" s="398">
        <v>3.2509999999999999</v>
      </c>
      <c r="CK710" s="398">
        <v>3.2509999999999999</v>
      </c>
      <c r="CL710" s="398">
        <v>3.2509999999999999</v>
      </c>
      <c r="CM710" s="398">
        <v>3.2509999999999999</v>
      </c>
      <c r="CN710" s="398">
        <v>3.2509999999999999</v>
      </c>
      <c r="CO710" s="398">
        <v>3.2509999999999999</v>
      </c>
      <c r="CP710" s="398">
        <v>3.2509999999999999</v>
      </c>
      <c r="CQ710" s="398">
        <v>3.2509999999999999</v>
      </c>
      <c r="CR710" s="398">
        <v>3.2509999999999999</v>
      </c>
      <c r="CS710" s="398">
        <v>3.2509999999999999</v>
      </c>
      <c r="CT710" s="398">
        <v>3.2509999999999999</v>
      </c>
      <c r="CU710" s="398">
        <v>3.2509999999999999</v>
      </c>
      <c r="CV710" s="398"/>
      <c r="CW710" s="398"/>
      <c r="CX710" s="398"/>
      <c r="CY710" s="398"/>
      <c r="CZ710" s="398"/>
      <c r="DA710" s="398"/>
      <c r="DB710" s="398"/>
      <c r="DC710" s="398"/>
      <c r="DD710" s="398"/>
      <c r="DE710" s="393"/>
      <c r="DF710" s="393"/>
      <c r="DG710" s="393"/>
      <c r="DH710" s="393"/>
      <c r="DI710" s="393"/>
      <c r="DJ710" s="393"/>
      <c r="DK710" s="897"/>
    </row>
    <row r="711" spans="1:115" ht="25.5" x14ac:dyDescent="0.2">
      <c r="A711" s="295">
        <v>707</v>
      </c>
      <c r="B711" s="390" t="s">
        <v>8966</v>
      </c>
      <c r="C711" s="390"/>
      <c r="D711" s="391" t="s">
        <v>8967</v>
      </c>
      <c r="E711" s="709" t="s">
        <v>8968</v>
      </c>
      <c r="F711" s="393" t="s">
        <v>1352</v>
      </c>
      <c r="G711" s="393" t="s">
        <v>1673</v>
      </c>
      <c r="H711" s="393" t="s">
        <v>42</v>
      </c>
      <c r="I711" s="563"/>
      <c r="J711" s="563"/>
      <c r="K711" s="560" t="s">
        <v>8969</v>
      </c>
      <c r="L711" s="560" t="s">
        <v>848</v>
      </c>
      <c r="M711" s="563"/>
      <c r="N711" s="562" t="s">
        <v>44</v>
      </c>
      <c r="O711" s="393" t="s">
        <v>827</v>
      </c>
      <c r="P711" s="393" t="s">
        <v>827</v>
      </c>
      <c r="Q711" s="392" t="s">
        <v>836</v>
      </c>
      <c r="R711" s="560" t="s">
        <v>8970</v>
      </c>
      <c r="S711" s="560" t="s">
        <v>291</v>
      </c>
      <c r="T711" s="564">
        <v>1</v>
      </c>
      <c r="U711" s="565">
        <v>18.506</v>
      </c>
      <c r="V711" s="565"/>
      <c r="W711" s="566"/>
      <c r="X711" s="564"/>
      <c r="Y711" s="564">
        <v>7</v>
      </c>
      <c r="Z711" s="564">
        <v>25</v>
      </c>
      <c r="AA711" s="565">
        <v>0</v>
      </c>
      <c r="AB711" s="567">
        <v>42819</v>
      </c>
      <c r="AC711" s="568">
        <v>0</v>
      </c>
      <c r="AD711" s="568">
        <v>69.815786301369855</v>
      </c>
      <c r="AE711" s="562" t="s">
        <v>37</v>
      </c>
      <c r="AF711" s="569"/>
      <c r="AG711" s="569"/>
      <c r="AH711" s="569"/>
      <c r="AI711" s="564"/>
      <c r="AJ711" s="566"/>
      <c r="AK711" s="566"/>
      <c r="AL711" s="561"/>
      <c r="AM711" s="561"/>
      <c r="AN711" s="569"/>
      <c r="AO711" s="563"/>
      <c r="AP711" s="560" t="s">
        <v>7076</v>
      </c>
      <c r="AQ711" s="563"/>
      <c r="AR711" s="560" t="s">
        <v>368</v>
      </c>
      <c r="AS711" s="578">
        <v>40781</v>
      </c>
      <c r="AT711" s="566"/>
      <c r="AU711" s="566"/>
      <c r="AV711" s="566"/>
      <c r="AW711" s="566"/>
      <c r="AX711" s="566"/>
      <c r="AY711" s="566"/>
      <c r="AZ711" s="567">
        <v>42819</v>
      </c>
      <c r="BA711" s="561"/>
      <c r="BB711" s="561"/>
      <c r="BC711" s="561" t="b">
        <v>0</v>
      </c>
      <c r="BD711" s="561"/>
      <c r="BE711" s="563"/>
      <c r="BF711" s="394">
        <v>2</v>
      </c>
      <c r="BG711" s="394">
        <v>4</v>
      </c>
      <c r="BH711" s="394">
        <v>5</v>
      </c>
      <c r="BI711" s="394">
        <v>9</v>
      </c>
      <c r="BJ711" s="394">
        <v>10</v>
      </c>
      <c r="BK711" s="394">
        <v>8</v>
      </c>
      <c r="BL711" s="444" t="s">
        <v>1451</v>
      </c>
      <c r="BM711" s="563"/>
      <c r="BN711" s="561"/>
      <c r="BO711" s="561"/>
      <c r="BP711" s="571"/>
      <c r="BQ711" s="572"/>
      <c r="BR711" s="573"/>
      <c r="BS711" s="571">
        <v>14.983000000000001</v>
      </c>
      <c r="BT711" s="564">
        <v>19687</v>
      </c>
      <c r="BU711" s="569">
        <v>0.94</v>
      </c>
      <c r="BV711" s="571"/>
      <c r="BW711" s="562" t="s">
        <v>3117</v>
      </c>
      <c r="BX711" s="560"/>
      <c r="BY711" s="561"/>
      <c r="BZ711" s="561"/>
      <c r="CA711" s="575"/>
      <c r="CB711" s="572"/>
      <c r="CC711" s="568"/>
      <c r="CD711" s="568"/>
      <c r="CE711" s="568"/>
      <c r="CF711" s="568"/>
      <c r="CG711" s="568"/>
      <c r="CH711" s="568"/>
      <c r="CI711" s="568"/>
      <c r="CJ711" s="568"/>
      <c r="CK711" s="568"/>
      <c r="CL711" s="568"/>
      <c r="CM711" s="568">
        <v>18.506</v>
      </c>
      <c r="CN711" s="568">
        <v>18.506</v>
      </c>
      <c r="CO711" s="568">
        <v>18.506</v>
      </c>
      <c r="CP711" s="568">
        <v>18.506</v>
      </c>
      <c r="CQ711" s="568">
        <v>18.506</v>
      </c>
      <c r="CR711" s="568">
        <v>18.506</v>
      </c>
      <c r="CS711" s="568">
        <v>18.506</v>
      </c>
      <c r="CT711" s="568"/>
      <c r="CU711" s="568"/>
      <c r="CV711" s="568"/>
      <c r="CW711" s="568"/>
      <c r="CX711" s="568"/>
      <c r="CY711" s="568"/>
      <c r="CZ711" s="568"/>
      <c r="DA711" s="568"/>
      <c r="DB711" s="568"/>
      <c r="DC711" s="568"/>
      <c r="DD711" s="568"/>
      <c r="DE711" s="561"/>
      <c r="DF711" s="561"/>
      <c r="DG711" s="561"/>
      <c r="DH711" s="561"/>
      <c r="DI711" s="561"/>
      <c r="DJ711" s="561"/>
      <c r="DK711" s="897"/>
    </row>
    <row r="712" spans="1:115" ht="38.25" x14ac:dyDescent="0.2">
      <c r="A712" s="295">
        <v>708</v>
      </c>
      <c r="B712" s="390" t="s">
        <v>757</v>
      </c>
      <c r="C712" s="424" t="s">
        <v>7538</v>
      </c>
      <c r="D712" s="391" t="s">
        <v>5097</v>
      </c>
      <c r="E712" s="704" t="s">
        <v>1985</v>
      </c>
      <c r="F712" s="393" t="s">
        <v>1375</v>
      </c>
      <c r="G712" s="393" t="s">
        <v>998</v>
      </c>
      <c r="H712" s="393" t="s">
        <v>218</v>
      </c>
      <c r="I712" s="392"/>
      <c r="J712" s="392" t="s">
        <v>218</v>
      </c>
      <c r="K712" s="392"/>
      <c r="L712" s="392" t="s">
        <v>758</v>
      </c>
      <c r="M712" s="392" t="s">
        <v>3195</v>
      </c>
      <c r="N712" s="393" t="s">
        <v>44</v>
      </c>
      <c r="O712" s="393" t="s">
        <v>289</v>
      </c>
      <c r="P712" s="393" t="s">
        <v>289</v>
      </c>
      <c r="Q712" s="392" t="s">
        <v>721</v>
      </c>
      <c r="R712" s="392"/>
      <c r="S712" s="392" t="s">
        <v>291</v>
      </c>
      <c r="T712" s="394">
        <v>1</v>
      </c>
      <c r="U712" s="395">
        <v>24.305</v>
      </c>
      <c r="V712" s="395"/>
      <c r="W712" s="452">
        <v>40782</v>
      </c>
      <c r="X712" s="394">
        <v>28</v>
      </c>
      <c r="Y712" s="394"/>
      <c r="Z712" s="394"/>
      <c r="AA712" s="395"/>
      <c r="AB712" s="453"/>
      <c r="AC712" s="398">
        <v>0</v>
      </c>
      <c r="AD712" s="398">
        <v>180.45630136986301</v>
      </c>
      <c r="AE712" s="393" t="s">
        <v>225</v>
      </c>
      <c r="AF712" s="417"/>
      <c r="AG712" s="417"/>
      <c r="AH712" s="417">
        <v>0</v>
      </c>
      <c r="AI712" s="394"/>
      <c r="AJ712" s="453"/>
      <c r="AK712" s="453"/>
      <c r="AL712" s="393"/>
      <c r="AM712" s="393"/>
      <c r="AN712" s="417"/>
      <c r="AO712" s="392"/>
      <c r="AP712" s="392" t="s">
        <v>55</v>
      </c>
      <c r="AQ712" s="392"/>
      <c r="AR712" s="392" t="s">
        <v>758</v>
      </c>
      <c r="AS712" s="479">
        <v>40782</v>
      </c>
      <c r="AT712" s="453"/>
      <c r="AU712" s="453"/>
      <c r="AV712" s="452">
        <v>41155</v>
      </c>
      <c r="AW712" s="452">
        <v>41165</v>
      </c>
      <c r="AX712" s="452">
        <v>41229</v>
      </c>
      <c r="AY712" s="452">
        <v>41166</v>
      </c>
      <c r="AZ712" s="453"/>
      <c r="BA712" s="393"/>
      <c r="BB712" s="393" t="s">
        <v>3147</v>
      </c>
      <c r="BC712" s="393" t="b">
        <v>1</v>
      </c>
      <c r="BD712" s="393" t="s">
        <v>3147</v>
      </c>
      <c r="BE712" s="392"/>
      <c r="BF712" s="394">
        <v>5</v>
      </c>
      <c r="BG712" s="394">
        <v>9</v>
      </c>
      <c r="BH712" s="394">
        <v>8</v>
      </c>
      <c r="BI712" s="394">
        <v>10</v>
      </c>
      <c r="BJ712" s="394">
        <v>11</v>
      </c>
      <c r="BK712" s="394"/>
      <c r="BL712" s="444"/>
      <c r="BM712" s="392"/>
      <c r="BN712" s="393"/>
      <c r="BO712" s="393"/>
      <c r="BP712" s="399"/>
      <c r="BQ712" s="400"/>
      <c r="BR712" s="401"/>
      <c r="BS712" s="399">
        <v>5</v>
      </c>
      <c r="BT712" s="394"/>
      <c r="BU712" s="417"/>
      <c r="BV712" s="399"/>
      <c r="BW712" s="393"/>
      <c r="BX712" s="392"/>
      <c r="BY712" s="475" t="s">
        <v>8235</v>
      </c>
      <c r="BZ712" s="393"/>
      <c r="CA712" s="441"/>
      <c r="CB712" s="400"/>
      <c r="CC712" s="398"/>
      <c r="CD712" s="398"/>
      <c r="CE712" s="398"/>
      <c r="CF712" s="398"/>
      <c r="CG712" s="398"/>
      <c r="CH712" s="398"/>
      <c r="CI712" s="398"/>
      <c r="CJ712" s="398"/>
      <c r="CK712" s="398"/>
      <c r="CL712" s="398"/>
      <c r="CM712" s="398"/>
      <c r="CN712" s="398"/>
      <c r="CO712" s="398"/>
      <c r="CP712" s="398"/>
      <c r="CQ712" s="398"/>
      <c r="CR712" s="398"/>
      <c r="CS712" s="398"/>
      <c r="CT712" s="398"/>
      <c r="CU712" s="398"/>
      <c r="CV712" s="398"/>
      <c r="CW712" s="398"/>
      <c r="CX712" s="398"/>
      <c r="CY712" s="398"/>
      <c r="CZ712" s="398"/>
      <c r="DA712" s="398"/>
      <c r="DB712" s="398"/>
      <c r="DC712" s="398"/>
      <c r="DD712" s="398"/>
      <c r="DE712" s="393"/>
      <c r="DF712" s="393"/>
      <c r="DG712" s="393"/>
      <c r="DH712" s="393"/>
      <c r="DI712" s="393"/>
      <c r="DJ712" s="393"/>
      <c r="DK712" s="896" t="s">
        <v>9700</v>
      </c>
    </row>
    <row r="713" spans="1:115" ht="25.5" x14ac:dyDescent="0.2">
      <c r="A713" s="295">
        <v>709</v>
      </c>
      <c r="B713" s="390" t="s">
        <v>2710</v>
      </c>
      <c r="C713" s="390"/>
      <c r="D713" s="391" t="s">
        <v>4242</v>
      </c>
      <c r="E713" s="704" t="s">
        <v>759</v>
      </c>
      <c r="F713" s="393" t="s">
        <v>1375</v>
      </c>
      <c r="G713" s="393" t="s">
        <v>998</v>
      </c>
      <c r="H713" s="393" t="s">
        <v>218</v>
      </c>
      <c r="I713" s="392"/>
      <c r="J713" s="392"/>
      <c r="K713" s="392" t="s">
        <v>2166</v>
      </c>
      <c r="L713" s="392" t="s">
        <v>758</v>
      </c>
      <c r="M713" s="392"/>
      <c r="N713" s="393" t="s">
        <v>44</v>
      </c>
      <c r="O713" s="393" t="s">
        <v>289</v>
      </c>
      <c r="P713" s="393" t="s">
        <v>289</v>
      </c>
      <c r="Q713" s="392" t="s">
        <v>721</v>
      </c>
      <c r="R713" s="392" t="s">
        <v>3196</v>
      </c>
      <c r="S713" s="392" t="s">
        <v>291</v>
      </c>
      <c r="T713" s="394">
        <v>1</v>
      </c>
      <c r="U713" s="395">
        <v>24.305</v>
      </c>
      <c r="V713" s="395"/>
      <c r="W713" s="453"/>
      <c r="X713" s="394"/>
      <c r="Y713" s="394">
        <v>7</v>
      </c>
      <c r="Z713" s="394">
        <v>25</v>
      </c>
      <c r="AA713" s="395">
        <v>0</v>
      </c>
      <c r="AB713" s="452">
        <v>41486</v>
      </c>
      <c r="AC713" s="398">
        <v>0</v>
      </c>
      <c r="AD713" s="398">
        <v>180.45630136986301</v>
      </c>
      <c r="AE713" s="393" t="s">
        <v>225</v>
      </c>
      <c r="AF713" s="417"/>
      <c r="AG713" s="417"/>
      <c r="AH713" s="417"/>
      <c r="AI713" s="394"/>
      <c r="AJ713" s="453"/>
      <c r="AK713" s="453"/>
      <c r="AL713" s="393"/>
      <c r="AM713" s="393"/>
      <c r="AN713" s="417"/>
      <c r="AO713" s="392"/>
      <c r="AP713" s="392" t="s">
        <v>55</v>
      </c>
      <c r="AQ713" s="392"/>
      <c r="AR713" s="392" t="s">
        <v>758</v>
      </c>
      <c r="AS713" s="479">
        <v>40782</v>
      </c>
      <c r="AT713" s="453"/>
      <c r="AU713" s="453"/>
      <c r="AV713" s="453"/>
      <c r="AW713" s="453"/>
      <c r="AX713" s="453"/>
      <c r="AY713" s="453"/>
      <c r="AZ713" s="452">
        <v>41166</v>
      </c>
      <c r="BA713" s="393"/>
      <c r="BB713" s="393"/>
      <c r="BC713" s="393" t="b">
        <v>0</v>
      </c>
      <c r="BD713" s="393"/>
      <c r="BE713" s="392"/>
      <c r="BF713" s="394">
        <v>5</v>
      </c>
      <c r="BG713" s="394">
        <v>9</v>
      </c>
      <c r="BH713" s="394">
        <v>8</v>
      </c>
      <c r="BI713" s="394">
        <v>10</v>
      </c>
      <c r="BJ713" s="394">
        <v>11</v>
      </c>
      <c r="BK713" s="394"/>
      <c r="BL713" s="444" t="s">
        <v>6981</v>
      </c>
      <c r="BM713" s="392"/>
      <c r="BN713" s="393"/>
      <c r="BO713" s="393"/>
      <c r="BP713" s="399"/>
      <c r="BQ713" s="400"/>
      <c r="BR713" s="401"/>
      <c r="BS713" s="399">
        <v>5</v>
      </c>
      <c r="BT713" s="394">
        <v>38427</v>
      </c>
      <c r="BU713" s="417">
        <v>0.63249999999999995</v>
      </c>
      <c r="BV713" s="399"/>
      <c r="BW713" s="393" t="s">
        <v>3117</v>
      </c>
      <c r="BX713" s="392" t="s">
        <v>1449</v>
      </c>
      <c r="BY713" s="475" t="s">
        <v>8235</v>
      </c>
      <c r="BZ713" s="393"/>
      <c r="CA713" s="441"/>
      <c r="CB713" s="400"/>
      <c r="CC713" s="398"/>
      <c r="CD713" s="398"/>
      <c r="CE713" s="398"/>
      <c r="CF713" s="398"/>
      <c r="CG713" s="398"/>
      <c r="CH713" s="398"/>
      <c r="CI713" s="398">
        <v>24.306000000000001</v>
      </c>
      <c r="CJ713" s="398">
        <v>24.306000000000001</v>
      </c>
      <c r="CK713" s="398">
        <v>24.306000000000001</v>
      </c>
      <c r="CL713" s="398">
        <v>24.306000000000001</v>
      </c>
      <c r="CM713" s="398">
        <v>24.306000000000001</v>
      </c>
      <c r="CN713" s="398">
        <v>24.306000000000001</v>
      </c>
      <c r="CO713" s="398">
        <v>24.306000000000001</v>
      </c>
      <c r="CP713" s="398">
        <v>24.306000000000001</v>
      </c>
      <c r="CQ713" s="398">
        <v>24.306000000000001</v>
      </c>
      <c r="CR713" s="398">
        <v>24.306000000000001</v>
      </c>
      <c r="CS713" s="398">
        <v>24.306000000000001</v>
      </c>
      <c r="CT713" s="398">
        <v>24.306000000000001</v>
      </c>
      <c r="CU713" s="398">
        <v>24.306000000000001</v>
      </c>
      <c r="CV713" s="398">
        <v>24.306000000000001</v>
      </c>
      <c r="CW713" s="398"/>
      <c r="CX713" s="398"/>
      <c r="CY713" s="398"/>
      <c r="CZ713" s="398"/>
      <c r="DA713" s="398"/>
      <c r="DB713" s="398"/>
      <c r="DC713" s="398"/>
      <c r="DD713" s="398"/>
      <c r="DE713" s="393"/>
      <c r="DF713" s="393"/>
      <c r="DG713" s="393"/>
      <c r="DH713" s="393"/>
      <c r="DI713" s="393"/>
      <c r="DJ713" s="393"/>
      <c r="DK713" s="897"/>
    </row>
    <row r="714" spans="1:115" ht="51" x14ac:dyDescent="0.2">
      <c r="A714" s="295">
        <v>710</v>
      </c>
      <c r="B714" s="390" t="s">
        <v>1113</v>
      </c>
      <c r="C714" s="424" t="s">
        <v>7539</v>
      </c>
      <c r="D714" s="391" t="s">
        <v>5098</v>
      </c>
      <c r="E714" s="704" t="s">
        <v>1114</v>
      </c>
      <c r="F714" s="393" t="s">
        <v>1352</v>
      </c>
      <c r="G714" s="393" t="s">
        <v>1672</v>
      </c>
      <c r="H714" s="393" t="s">
        <v>78</v>
      </c>
      <c r="I714" s="392"/>
      <c r="J714" s="392" t="s">
        <v>78</v>
      </c>
      <c r="K714" s="392"/>
      <c r="L714" s="392" t="s">
        <v>254</v>
      </c>
      <c r="M714" s="392" t="s">
        <v>3197</v>
      </c>
      <c r="N714" s="393" t="s">
        <v>44</v>
      </c>
      <c r="O714" s="393" t="s">
        <v>69</v>
      </c>
      <c r="P714" s="393" t="s">
        <v>69</v>
      </c>
      <c r="Q714" s="392" t="s">
        <v>1111</v>
      </c>
      <c r="R714" s="392"/>
      <c r="S714" s="392" t="s">
        <v>691</v>
      </c>
      <c r="T714" s="394">
        <v>1</v>
      </c>
      <c r="U714" s="395">
        <v>51.947000000000003</v>
      </c>
      <c r="V714" s="395"/>
      <c r="W714" s="452">
        <v>40269</v>
      </c>
      <c r="X714" s="394">
        <v>28</v>
      </c>
      <c r="Y714" s="394"/>
      <c r="Z714" s="394"/>
      <c r="AA714" s="395"/>
      <c r="AB714" s="453"/>
      <c r="AC714" s="398">
        <v>15.261100000000001</v>
      </c>
      <c r="AD714" s="398">
        <v>519.47</v>
      </c>
      <c r="AE714" s="393" t="s">
        <v>72</v>
      </c>
      <c r="AF714" s="417"/>
      <c r="AG714" s="417"/>
      <c r="AH714" s="417">
        <v>0</v>
      </c>
      <c r="AI714" s="394"/>
      <c r="AJ714" s="453"/>
      <c r="AK714" s="453"/>
      <c r="AL714" s="393"/>
      <c r="AM714" s="393"/>
      <c r="AN714" s="417"/>
      <c r="AO714" s="392"/>
      <c r="AP714" s="392" t="s">
        <v>7061</v>
      </c>
      <c r="AQ714" s="392"/>
      <c r="AR714" s="392" t="s">
        <v>254</v>
      </c>
      <c r="AS714" s="479">
        <v>40783</v>
      </c>
      <c r="AT714" s="453"/>
      <c r="AU714" s="453"/>
      <c r="AV714" s="452">
        <v>40974</v>
      </c>
      <c r="AW714" s="452">
        <v>41157</v>
      </c>
      <c r="AX714" s="452">
        <v>41222</v>
      </c>
      <c r="AY714" s="452">
        <v>41157</v>
      </c>
      <c r="AZ714" s="453"/>
      <c r="BA714" s="393"/>
      <c r="BB714" s="393" t="s">
        <v>3147</v>
      </c>
      <c r="BC714" s="393" t="b">
        <v>0</v>
      </c>
      <c r="BD714" s="393" t="s">
        <v>3147</v>
      </c>
      <c r="BE714" s="392"/>
      <c r="BF714" s="394">
        <v>3</v>
      </c>
      <c r="BG714" s="394">
        <v>1</v>
      </c>
      <c r="BH714" s="394">
        <v>6</v>
      </c>
      <c r="BI714" s="394">
        <v>5</v>
      </c>
      <c r="BJ714" s="394">
        <v>9</v>
      </c>
      <c r="BK714" s="394">
        <v>7</v>
      </c>
      <c r="BL714" s="444"/>
      <c r="BM714" s="392"/>
      <c r="BN714" s="393"/>
      <c r="BO714" s="393"/>
      <c r="BP714" s="399"/>
      <c r="BQ714" s="400"/>
      <c r="BR714" s="401"/>
      <c r="BS714" s="399">
        <v>1</v>
      </c>
      <c r="BT714" s="394"/>
      <c r="BU714" s="417"/>
      <c r="BV714" s="399"/>
      <c r="BW714" s="393"/>
      <c r="BX714" s="392"/>
      <c r="BY714" s="393"/>
      <c r="BZ714" s="393"/>
      <c r="CA714" s="441"/>
      <c r="CB714" s="400"/>
      <c r="CC714" s="398"/>
      <c r="CD714" s="398"/>
      <c r="CE714" s="398"/>
      <c r="CF714" s="398"/>
      <c r="CG714" s="398"/>
      <c r="CH714" s="398"/>
      <c r="CI714" s="398"/>
      <c r="CJ714" s="398"/>
      <c r="CK714" s="398"/>
      <c r="CL714" s="398"/>
      <c r="CM714" s="398"/>
      <c r="CN714" s="398"/>
      <c r="CO714" s="398"/>
      <c r="CP714" s="398"/>
      <c r="CQ714" s="398"/>
      <c r="CR714" s="398"/>
      <c r="CS714" s="398"/>
      <c r="CT714" s="398"/>
      <c r="CU714" s="398"/>
      <c r="CV714" s="398"/>
      <c r="CW714" s="398"/>
      <c r="CX714" s="398"/>
      <c r="CY714" s="398"/>
      <c r="CZ714" s="398"/>
      <c r="DA714" s="398"/>
      <c r="DB714" s="398"/>
      <c r="DC714" s="398"/>
      <c r="DD714" s="398"/>
      <c r="DE714" s="393"/>
      <c r="DF714" s="393"/>
      <c r="DG714" s="393"/>
      <c r="DH714" s="393"/>
      <c r="DI714" s="393"/>
      <c r="DJ714" s="393"/>
      <c r="DK714" s="896" t="s">
        <v>9710</v>
      </c>
    </row>
    <row r="715" spans="1:115" ht="38.25" x14ac:dyDescent="0.2">
      <c r="A715" s="295">
        <v>711</v>
      </c>
      <c r="B715" s="390" t="s">
        <v>2711</v>
      </c>
      <c r="C715" s="390"/>
      <c r="D715" s="391" t="s">
        <v>4243</v>
      </c>
      <c r="E715" s="704" t="s">
        <v>1115</v>
      </c>
      <c r="F715" s="393" t="s">
        <v>1352</v>
      </c>
      <c r="G715" s="393" t="s">
        <v>1672</v>
      </c>
      <c r="H715" s="393" t="s">
        <v>78</v>
      </c>
      <c r="I715" s="392"/>
      <c r="J715" s="392"/>
      <c r="K715" s="392" t="s">
        <v>2131</v>
      </c>
      <c r="L715" s="392" t="s">
        <v>254</v>
      </c>
      <c r="M715" s="392"/>
      <c r="N715" s="393" t="s">
        <v>44</v>
      </c>
      <c r="O715" s="393" t="s">
        <v>69</v>
      </c>
      <c r="P715" s="393" t="s">
        <v>69</v>
      </c>
      <c r="Q715" s="392" t="s">
        <v>1111</v>
      </c>
      <c r="R715" s="392" t="s">
        <v>3198</v>
      </c>
      <c r="S715" s="392" t="s">
        <v>691</v>
      </c>
      <c r="T715" s="394">
        <v>1</v>
      </c>
      <c r="U715" s="395">
        <v>51.947000000000003</v>
      </c>
      <c r="V715" s="395"/>
      <c r="W715" s="453"/>
      <c r="X715" s="394"/>
      <c r="Y715" s="394">
        <v>10</v>
      </c>
      <c r="Z715" s="394">
        <v>25</v>
      </c>
      <c r="AA715" s="395">
        <v>0</v>
      </c>
      <c r="AB715" s="452">
        <v>41167</v>
      </c>
      <c r="AC715" s="398">
        <v>15.261100000000001</v>
      </c>
      <c r="AD715" s="398">
        <v>519.47</v>
      </c>
      <c r="AE715" s="393" t="s">
        <v>72</v>
      </c>
      <c r="AF715" s="417"/>
      <c r="AG715" s="417"/>
      <c r="AH715" s="417"/>
      <c r="AI715" s="394"/>
      <c r="AJ715" s="453"/>
      <c r="AK715" s="453"/>
      <c r="AL715" s="393"/>
      <c r="AM715" s="393"/>
      <c r="AN715" s="417"/>
      <c r="AO715" s="392"/>
      <c r="AP715" s="392" t="s">
        <v>7061</v>
      </c>
      <c r="AQ715" s="392"/>
      <c r="AR715" s="392" t="s">
        <v>254</v>
      </c>
      <c r="AS715" s="479">
        <v>40783</v>
      </c>
      <c r="AT715" s="453"/>
      <c r="AU715" s="453"/>
      <c r="AV715" s="453"/>
      <c r="AW715" s="453"/>
      <c r="AX715" s="453"/>
      <c r="AY715" s="453"/>
      <c r="AZ715" s="452">
        <v>41157</v>
      </c>
      <c r="BA715" s="393"/>
      <c r="BB715" s="393"/>
      <c r="BC715" s="393" t="b">
        <v>0</v>
      </c>
      <c r="BD715" s="393"/>
      <c r="BE715" s="392"/>
      <c r="BF715" s="394">
        <v>3</v>
      </c>
      <c r="BG715" s="394">
        <v>1</v>
      </c>
      <c r="BH715" s="394">
        <v>6</v>
      </c>
      <c r="BI715" s="394">
        <v>5</v>
      </c>
      <c r="BJ715" s="394">
        <v>9</v>
      </c>
      <c r="BK715" s="394">
        <v>7</v>
      </c>
      <c r="BL715" s="444" t="s">
        <v>6985</v>
      </c>
      <c r="BM715" s="392"/>
      <c r="BN715" s="393"/>
      <c r="BO715" s="393"/>
      <c r="BP715" s="399"/>
      <c r="BQ715" s="400"/>
      <c r="BR715" s="401"/>
      <c r="BS715" s="399">
        <v>1</v>
      </c>
      <c r="BT715" s="394">
        <v>5209</v>
      </c>
      <c r="BU715" s="417"/>
      <c r="BV715" s="399"/>
      <c r="BW715" s="393" t="s">
        <v>3117</v>
      </c>
      <c r="BX715" s="392" t="s">
        <v>3199</v>
      </c>
      <c r="BY715" s="393"/>
      <c r="BZ715" s="393"/>
      <c r="CA715" s="441" t="s">
        <v>1662</v>
      </c>
      <c r="CB715" s="400">
        <v>3</v>
      </c>
      <c r="CC715" s="398"/>
      <c r="CD715" s="398"/>
      <c r="CE715" s="398"/>
      <c r="CF715" s="398"/>
      <c r="CG715" s="398"/>
      <c r="CH715" s="398">
        <v>48.392000000000003</v>
      </c>
      <c r="CI715" s="398">
        <v>52.262</v>
      </c>
      <c r="CJ715" s="398">
        <v>52.262</v>
      </c>
      <c r="CK715" s="398">
        <v>52.262</v>
      </c>
      <c r="CL715" s="398">
        <v>52.262</v>
      </c>
      <c r="CM715" s="398">
        <v>52.262</v>
      </c>
      <c r="CN715" s="398">
        <v>52.262</v>
      </c>
      <c r="CO715" s="398">
        <v>52.262</v>
      </c>
      <c r="CP715" s="398">
        <v>52.262</v>
      </c>
      <c r="CQ715" s="398">
        <v>52.262</v>
      </c>
      <c r="CR715" s="398"/>
      <c r="CS715" s="398"/>
      <c r="CT715" s="398"/>
      <c r="CU715" s="398"/>
      <c r="CV715" s="398"/>
      <c r="CW715" s="398"/>
      <c r="CX715" s="398"/>
      <c r="CY715" s="398"/>
      <c r="CZ715" s="398"/>
      <c r="DA715" s="398"/>
      <c r="DB715" s="398"/>
      <c r="DC715" s="398"/>
      <c r="DD715" s="398"/>
      <c r="DE715" s="393"/>
      <c r="DF715" s="393"/>
      <c r="DG715" s="393"/>
      <c r="DH715" s="393"/>
      <c r="DI715" s="393"/>
      <c r="DJ715" s="393"/>
      <c r="DK715" s="897"/>
    </row>
    <row r="716" spans="1:115" ht="51" x14ac:dyDescent="0.2">
      <c r="A716" s="295">
        <v>712</v>
      </c>
      <c r="B716" s="390" t="s">
        <v>626</v>
      </c>
      <c r="C716" s="424" t="s">
        <v>7540</v>
      </c>
      <c r="D716" s="391" t="s">
        <v>5099</v>
      </c>
      <c r="E716" s="704" t="s">
        <v>627</v>
      </c>
      <c r="F716" s="393" t="s">
        <v>1340</v>
      </c>
      <c r="G716" s="393" t="s">
        <v>1676</v>
      </c>
      <c r="H716" s="393" t="s">
        <v>58</v>
      </c>
      <c r="I716" s="392"/>
      <c r="J716" s="392" t="s">
        <v>58</v>
      </c>
      <c r="K716" s="392"/>
      <c r="L716" s="392" t="s">
        <v>628</v>
      </c>
      <c r="M716" s="392" t="s">
        <v>3200</v>
      </c>
      <c r="N716" s="393" t="s">
        <v>44</v>
      </c>
      <c r="O716" s="393" t="s">
        <v>69</v>
      </c>
      <c r="P716" s="393" t="s">
        <v>69</v>
      </c>
      <c r="Q716" s="392" t="s">
        <v>572</v>
      </c>
      <c r="R716" s="392"/>
      <c r="S716" s="392" t="s">
        <v>629</v>
      </c>
      <c r="T716" s="394">
        <v>1</v>
      </c>
      <c r="U716" s="395">
        <v>1.581</v>
      </c>
      <c r="V716" s="395"/>
      <c r="W716" s="452">
        <v>40787</v>
      </c>
      <c r="X716" s="394">
        <v>28</v>
      </c>
      <c r="Y716" s="394"/>
      <c r="Z716" s="394"/>
      <c r="AA716" s="395"/>
      <c r="AB716" s="453"/>
      <c r="AC716" s="398">
        <v>0</v>
      </c>
      <c r="AD716" s="398">
        <v>12.652331506849315</v>
      </c>
      <c r="AE716" s="393" t="s">
        <v>54</v>
      </c>
      <c r="AF716" s="417"/>
      <c r="AG716" s="417"/>
      <c r="AH716" s="417">
        <v>0</v>
      </c>
      <c r="AI716" s="394"/>
      <c r="AJ716" s="453"/>
      <c r="AK716" s="453"/>
      <c r="AL716" s="393"/>
      <c r="AM716" s="393"/>
      <c r="AN716" s="417"/>
      <c r="AO716" s="392"/>
      <c r="AP716" s="392" t="s">
        <v>55</v>
      </c>
      <c r="AQ716" s="392"/>
      <c r="AR716" s="392" t="s">
        <v>628</v>
      </c>
      <c r="AS716" s="479">
        <v>40785</v>
      </c>
      <c r="AT716" s="453"/>
      <c r="AU716" s="453"/>
      <c r="AV716" s="452">
        <v>40828</v>
      </c>
      <c r="AW716" s="452">
        <v>41272</v>
      </c>
      <c r="AX716" s="452">
        <v>41433</v>
      </c>
      <c r="AY716" s="452">
        <v>41271</v>
      </c>
      <c r="AZ716" s="453"/>
      <c r="BA716" s="393"/>
      <c r="BB716" s="393" t="s">
        <v>3147</v>
      </c>
      <c r="BC716" s="393" t="b">
        <v>0</v>
      </c>
      <c r="BD716" s="393" t="s">
        <v>3116</v>
      </c>
      <c r="BE716" s="392"/>
      <c r="BF716" s="394">
        <v>1</v>
      </c>
      <c r="BG716" s="394">
        <v>6</v>
      </c>
      <c r="BH716" s="394">
        <v>3</v>
      </c>
      <c r="BI716" s="394">
        <v>5</v>
      </c>
      <c r="BJ716" s="394">
        <v>9</v>
      </c>
      <c r="BK716" s="394">
        <v>7</v>
      </c>
      <c r="BL716" s="444"/>
      <c r="BM716" s="392"/>
      <c r="BN716" s="393"/>
      <c r="BO716" s="393"/>
      <c r="BP716" s="399"/>
      <c r="BQ716" s="400"/>
      <c r="BR716" s="401"/>
      <c r="BS716" s="399">
        <v>0.06</v>
      </c>
      <c r="BT716" s="394"/>
      <c r="BU716" s="417"/>
      <c r="BV716" s="399"/>
      <c r="BW716" s="393"/>
      <c r="BX716" s="392"/>
      <c r="BY716" s="393"/>
      <c r="BZ716" s="393"/>
      <c r="CA716" s="441"/>
      <c r="CB716" s="400"/>
      <c r="CC716" s="398"/>
      <c r="CD716" s="398"/>
      <c r="CE716" s="398"/>
      <c r="CF716" s="398"/>
      <c r="CG716" s="398"/>
      <c r="CH716" s="398"/>
      <c r="CI716" s="398"/>
      <c r="CJ716" s="398"/>
      <c r="CK716" s="398"/>
      <c r="CL716" s="398"/>
      <c r="CM716" s="398"/>
      <c r="CN716" s="398"/>
      <c r="CO716" s="398"/>
      <c r="CP716" s="398"/>
      <c r="CQ716" s="398"/>
      <c r="CR716" s="398"/>
      <c r="CS716" s="398"/>
      <c r="CT716" s="398"/>
      <c r="CU716" s="398"/>
      <c r="CV716" s="398"/>
      <c r="CW716" s="398"/>
      <c r="CX716" s="398"/>
      <c r="CY716" s="398"/>
      <c r="CZ716" s="398"/>
      <c r="DA716" s="398"/>
      <c r="DB716" s="398"/>
      <c r="DC716" s="398"/>
      <c r="DD716" s="398"/>
      <c r="DE716" s="393"/>
      <c r="DF716" s="393"/>
      <c r="DG716" s="393"/>
      <c r="DH716" s="393"/>
      <c r="DI716" s="393"/>
      <c r="DJ716" s="393"/>
      <c r="DK716" s="896" t="s">
        <v>9710</v>
      </c>
    </row>
    <row r="717" spans="1:115" ht="25.5" x14ac:dyDescent="0.2">
      <c r="A717" s="295">
        <v>713</v>
      </c>
      <c r="B717" s="390" t="s">
        <v>2712</v>
      </c>
      <c r="C717" s="390"/>
      <c r="D717" s="391" t="s">
        <v>5100</v>
      </c>
      <c r="E717" s="704" t="s">
        <v>630</v>
      </c>
      <c r="F717" s="393" t="s">
        <v>1340</v>
      </c>
      <c r="G717" s="393" t="s">
        <v>1676</v>
      </c>
      <c r="H717" s="393" t="s">
        <v>58</v>
      </c>
      <c r="I717" s="392"/>
      <c r="J717" s="392"/>
      <c r="K717" s="392" t="s">
        <v>2170</v>
      </c>
      <c r="L717" s="392" t="s">
        <v>628</v>
      </c>
      <c r="M717" s="392"/>
      <c r="N717" s="393" t="s">
        <v>44</v>
      </c>
      <c r="O717" s="393" t="s">
        <v>69</v>
      </c>
      <c r="P717" s="393" t="s">
        <v>69</v>
      </c>
      <c r="Q717" s="392" t="s">
        <v>572</v>
      </c>
      <c r="R717" s="392" t="s">
        <v>3201</v>
      </c>
      <c r="S717" s="392" t="s">
        <v>629</v>
      </c>
      <c r="T717" s="394">
        <v>1</v>
      </c>
      <c r="U717" s="395">
        <v>1.581</v>
      </c>
      <c r="V717" s="395"/>
      <c r="W717" s="453"/>
      <c r="X717" s="394"/>
      <c r="Y717" s="394">
        <v>7</v>
      </c>
      <c r="Z717" s="394">
        <v>10</v>
      </c>
      <c r="AA717" s="395">
        <v>0</v>
      </c>
      <c r="AB717" s="452">
        <v>41275</v>
      </c>
      <c r="AC717" s="398">
        <v>0</v>
      </c>
      <c r="AD717" s="398">
        <v>12.652331506849315</v>
      </c>
      <c r="AE717" s="393" t="s">
        <v>54</v>
      </c>
      <c r="AF717" s="417"/>
      <c r="AG717" s="417"/>
      <c r="AH717" s="417"/>
      <c r="AI717" s="394"/>
      <c r="AJ717" s="453"/>
      <c r="AK717" s="453"/>
      <c r="AL717" s="393"/>
      <c r="AM717" s="393"/>
      <c r="AN717" s="417"/>
      <c r="AO717" s="392"/>
      <c r="AP717" s="392" t="s">
        <v>55</v>
      </c>
      <c r="AQ717" s="392"/>
      <c r="AR717" s="392" t="s">
        <v>628</v>
      </c>
      <c r="AS717" s="479">
        <v>40785</v>
      </c>
      <c r="AT717" s="453"/>
      <c r="AU717" s="453"/>
      <c r="AV717" s="453"/>
      <c r="AW717" s="453"/>
      <c r="AX717" s="453"/>
      <c r="AY717" s="453"/>
      <c r="AZ717" s="452">
        <v>41271</v>
      </c>
      <c r="BA717" s="393"/>
      <c r="BB717" s="393"/>
      <c r="BC717" s="393" t="b">
        <v>0</v>
      </c>
      <c r="BD717" s="393"/>
      <c r="BE717" s="392"/>
      <c r="BF717" s="394">
        <v>1</v>
      </c>
      <c r="BG717" s="394">
        <v>6</v>
      </c>
      <c r="BH717" s="394">
        <v>3</v>
      </c>
      <c r="BI717" s="394">
        <v>5</v>
      </c>
      <c r="BJ717" s="394">
        <v>9</v>
      </c>
      <c r="BK717" s="394">
        <v>7</v>
      </c>
      <c r="BL717" s="444" t="s">
        <v>6981</v>
      </c>
      <c r="BM717" s="392"/>
      <c r="BN717" s="393"/>
      <c r="BO717" s="393"/>
      <c r="BP717" s="399"/>
      <c r="BQ717" s="400"/>
      <c r="BR717" s="401"/>
      <c r="BS717" s="399">
        <v>0.06</v>
      </c>
      <c r="BT717" s="394">
        <v>185</v>
      </c>
      <c r="BU717" s="417">
        <v>0.48409999999999997</v>
      </c>
      <c r="BV717" s="399"/>
      <c r="BW717" s="393" t="s">
        <v>3117</v>
      </c>
      <c r="BX717" s="392" t="s">
        <v>3202</v>
      </c>
      <c r="BY717" s="393"/>
      <c r="BZ717" s="393"/>
      <c r="CA717" s="441" t="s">
        <v>1662</v>
      </c>
      <c r="CB717" s="400">
        <v>4</v>
      </c>
      <c r="CC717" s="398"/>
      <c r="CD717" s="398"/>
      <c r="CE717" s="398"/>
      <c r="CF717" s="398"/>
      <c r="CG717" s="398"/>
      <c r="CH717" s="398"/>
      <c r="CI717" s="398">
        <v>1.581</v>
      </c>
      <c r="CJ717" s="398">
        <v>1.581</v>
      </c>
      <c r="CK717" s="398">
        <v>1.581</v>
      </c>
      <c r="CL717" s="398">
        <v>1.581</v>
      </c>
      <c r="CM717" s="398">
        <v>1.581</v>
      </c>
      <c r="CN717" s="398">
        <v>1.581</v>
      </c>
      <c r="CO717" s="398">
        <v>1.581</v>
      </c>
      <c r="CP717" s="398"/>
      <c r="CQ717" s="398"/>
      <c r="CR717" s="398"/>
      <c r="CS717" s="398"/>
      <c r="CT717" s="398"/>
      <c r="CU717" s="398"/>
      <c r="CV717" s="398"/>
      <c r="CW717" s="398"/>
      <c r="CX717" s="398"/>
      <c r="CY717" s="398"/>
      <c r="CZ717" s="398"/>
      <c r="DA717" s="398"/>
      <c r="DB717" s="398"/>
      <c r="DC717" s="398"/>
      <c r="DD717" s="398"/>
      <c r="DE717" s="393"/>
      <c r="DF717" s="393"/>
      <c r="DG717" s="393"/>
      <c r="DH717" s="393"/>
      <c r="DI717" s="393"/>
      <c r="DJ717" s="393"/>
      <c r="DK717" s="897"/>
    </row>
    <row r="718" spans="1:115" ht="51" x14ac:dyDescent="0.2">
      <c r="A718" s="295">
        <v>714</v>
      </c>
      <c r="B718" s="390" t="s">
        <v>1017</v>
      </c>
      <c r="C718" s="424" t="s">
        <v>7541</v>
      </c>
      <c r="D718" s="391"/>
      <c r="E718" s="706" t="s">
        <v>1018</v>
      </c>
      <c r="F718" s="390" t="s">
        <v>1352</v>
      </c>
      <c r="G718" s="390" t="s">
        <v>1673</v>
      </c>
      <c r="H718" s="390" t="s">
        <v>42</v>
      </c>
      <c r="I718" s="402"/>
      <c r="J718" s="402" t="s">
        <v>42</v>
      </c>
      <c r="K718" s="402"/>
      <c r="L718" s="402" t="s">
        <v>292</v>
      </c>
      <c r="M718" s="402" t="s">
        <v>3203</v>
      </c>
      <c r="N718" s="390" t="s">
        <v>33</v>
      </c>
      <c r="O718" s="390" t="s">
        <v>51</v>
      </c>
      <c r="P718" s="390" t="s">
        <v>51</v>
      </c>
      <c r="Q718" s="402" t="s">
        <v>976</v>
      </c>
      <c r="R718" s="402"/>
      <c r="S718" s="402" t="s">
        <v>977</v>
      </c>
      <c r="T718" s="411">
        <v>1</v>
      </c>
      <c r="U718" s="412">
        <v>66.986000000000004</v>
      </c>
      <c r="V718" s="412"/>
      <c r="W718" s="457">
        <v>40787</v>
      </c>
      <c r="X718" s="411">
        <v>28</v>
      </c>
      <c r="Y718" s="411"/>
      <c r="Z718" s="411"/>
      <c r="AA718" s="412"/>
      <c r="AB718" s="454"/>
      <c r="AC718" s="413">
        <v>66.986000000000004</v>
      </c>
      <c r="AD718" s="413">
        <v>669.86</v>
      </c>
      <c r="AE718" s="390" t="s">
        <v>82</v>
      </c>
      <c r="AF718" s="419"/>
      <c r="AG718" s="419"/>
      <c r="AH718" s="419">
        <v>0</v>
      </c>
      <c r="AI718" s="411"/>
      <c r="AJ718" s="454"/>
      <c r="AK718" s="454"/>
      <c r="AL718" s="390"/>
      <c r="AM718" s="390"/>
      <c r="AN718" s="419"/>
      <c r="AO718" s="402"/>
      <c r="AP718" s="402" t="s">
        <v>7077</v>
      </c>
      <c r="AQ718" s="402"/>
      <c r="AR718" s="402" t="s">
        <v>55</v>
      </c>
      <c r="AS718" s="481">
        <v>40785</v>
      </c>
      <c r="AT718" s="454"/>
      <c r="AU718" s="454"/>
      <c r="AV718" s="454"/>
      <c r="AW718" s="454"/>
      <c r="AX718" s="454"/>
      <c r="AY718" s="454"/>
      <c r="AZ718" s="454"/>
      <c r="BA718" s="390"/>
      <c r="BB718" s="390" t="s">
        <v>3116</v>
      </c>
      <c r="BC718" s="390" t="b">
        <v>0</v>
      </c>
      <c r="BD718" s="390" t="s">
        <v>3147</v>
      </c>
      <c r="BE718" s="402"/>
      <c r="BF718" s="411">
        <v>4</v>
      </c>
      <c r="BG718" s="411">
        <v>6</v>
      </c>
      <c r="BH718" s="411">
        <v>8</v>
      </c>
      <c r="BI718" s="411">
        <v>5</v>
      </c>
      <c r="BJ718" s="411">
        <v>9</v>
      </c>
      <c r="BK718" s="411">
        <v>11</v>
      </c>
      <c r="BL718" s="445"/>
      <c r="BM718" s="402"/>
      <c r="BN718" s="390"/>
      <c r="BO718" s="390"/>
      <c r="BP718" s="414"/>
      <c r="BQ718" s="415"/>
      <c r="BR718" s="416"/>
      <c r="BS718" s="414">
        <v>0</v>
      </c>
      <c r="BT718" s="411"/>
      <c r="BU718" s="419"/>
      <c r="BV718" s="414"/>
      <c r="BW718" s="390"/>
      <c r="BX718" s="402"/>
      <c r="BY718" s="390"/>
      <c r="BZ718" s="390"/>
      <c r="CA718" s="442"/>
      <c r="CB718" s="415"/>
      <c r="CC718" s="413"/>
      <c r="CD718" s="413"/>
      <c r="CE718" s="413"/>
      <c r="CF718" s="413"/>
      <c r="CG718" s="413"/>
      <c r="CH718" s="413"/>
      <c r="CI718" s="413"/>
      <c r="CJ718" s="413"/>
      <c r="CK718" s="413"/>
      <c r="CL718" s="413"/>
      <c r="CM718" s="413"/>
      <c r="CN718" s="413"/>
      <c r="CO718" s="413"/>
      <c r="CP718" s="413"/>
      <c r="CQ718" s="413"/>
      <c r="CR718" s="413"/>
      <c r="CS718" s="413"/>
      <c r="CT718" s="413"/>
      <c r="CU718" s="413"/>
      <c r="CV718" s="413"/>
      <c r="CW718" s="413"/>
      <c r="CX718" s="413"/>
      <c r="CY718" s="413"/>
      <c r="CZ718" s="413"/>
      <c r="DA718" s="413"/>
      <c r="DB718" s="413"/>
      <c r="DC718" s="413"/>
      <c r="DD718" s="413"/>
      <c r="DE718" s="390"/>
      <c r="DF718" s="390"/>
      <c r="DG718" s="390"/>
      <c r="DH718" s="390"/>
      <c r="DI718" s="390"/>
      <c r="DJ718" s="390"/>
      <c r="DK718" s="897"/>
    </row>
    <row r="719" spans="1:115" ht="25.5" x14ac:dyDescent="0.2">
      <c r="A719" s="295">
        <v>715</v>
      </c>
      <c r="B719" s="390" t="s">
        <v>2713</v>
      </c>
      <c r="C719" s="390"/>
      <c r="D719" s="391"/>
      <c r="E719" s="706" t="s">
        <v>1019</v>
      </c>
      <c r="F719" s="390" t="s">
        <v>1352</v>
      </c>
      <c r="G719" s="390" t="s">
        <v>1673</v>
      </c>
      <c r="H719" s="390" t="s">
        <v>42</v>
      </c>
      <c r="I719" s="402"/>
      <c r="J719" s="402"/>
      <c r="K719" s="402" t="s">
        <v>370</v>
      </c>
      <c r="L719" s="402" t="s">
        <v>292</v>
      </c>
      <c r="M719" s="402"/>
      <c r="N719" s="390" t="s">
        <v>33</v>
      </c>
      <c r="O719" s="390" t="s">
        <v>51</v>
      </c>
      <c r="P719" s="390" t="s">
        <v>51</v>
      </c>
      <c r="Q719" s="402" t="s">
        <v>976</v>
      </c>
      <c r="R719" s="402" t="s">
        <v>3204</v>
      </c>
      <c r="S719" s="402" t="s">
        <v>977</v>
      </c>
      <c r="T719" s="411">
        <v>1</v>
      </c>
      <c r="U719" s="412">
        <v>66.986000000000004</v>
      </c>
      <c r="V719" s="412"/>
      <c r="W719" s="454"/>
      <c r="X719" s="411"/>
      <c r="Y719" s="411">
        <v>10</v>
      </c>
      <c r="Z719" s="411">
        <v>10</v>
      </c>
      <c r="AA719" s="412">
        <v>0</v>
      </c>
      <c r="AB719" s="457">
        <v>40909</v>
      </c>
      <c r="AC719" s="413">
        <v>66.986000000000004</v>
      </c>
      <c r="AD719" s="413">
        <v>669.86</v>
      </c>
      <c r="AE719" s="390" t="s">
        <v>82</v>
      </c>
      <c r="AF719" s="419"/>
      <c r="AG719" s="419"/>
      <c r="AH719" s="419"/>
      <c r="AI719" s="411"/>
      <c r="AJ719" s="454"/>
      <c r="AK719" s="454"/>
      <c r="AL719" s="390"/>
      <c r="AM719" s="390"/>
      <c r="AN719" s="419"/>
      <c r="AO719" s="402"/>
      <c r="AP719" s="402" t="s">
        <v>7077</v>
      </c>
      <c r="AQ719" s="402"/>
      <c r="AR719" s="402" t="s">
        <v>55</v>
      </c>
      <c r="AS719" s="481">
        <v>40785</v>
      </c>
      <c r="AT719" s="454"/>
      <c r="AU719" s="454"/>
      <c r="AV719" s="454"/>
      <c r="AW719" s="454"/>
      <c r="AX719" s="454"/>
      <c r="AY719" s="454"/>
      <c r="AZ719" s="454"/>
      <c r="BA719" s="390"/>
      <c r="BB719" s="390"/>
      <c r="BC719" s="390" t="b">
        <v>0</v>
      </c>
      <c r="BD719" s="390"/>
      <c r="BE719" s="402"/>
      <c r="BF719" s="411">
        <v>4</v>
      </c>
      <c r="BG719" s="411">
        <v>6</v>
      </c>
      <c r="BH719" s="411">
        <v>8</v>
      </c>
      <c r="BI719" s="411">
        <v>5</v>
      </c>
      <c r="BJ719" s="411">
        <v>9</v>
      </c>
      <c r="BK719" s="411">
        <v>11</v>
      </c>
      <c r="BL719" s="445" t="s">
        <v>6981</v>
      </c>
      <c r="BM719" s="402"/>
      <c r="BN719" s="390"/>
      <c r="BO719" s="390"/>
      <c r="BP719" s="414"/>
      <c r="BQ719" s="415"/>
      <c r="BR719" s="416"/>
      <c r="BS719" s="414"/>
      <c r="BT719" s="411"/>
      <c r="BU719" s="419"/>
      <c r="BV719" s="414"/>
      <c r="BW719" s="390" t="s">
        <v>3117</v>
      </c>
      <c r="BX719" s="402" t="s">
        <v>3205</v>
      </c>
      <c r="BY719" s="390"/>
      <c r="BZ719" s="390"/>
      <c r="CA719" s="442" t="s">
        <v>1664</v>
      </c>
      <c r="CB719" s="415">
        <v>4</v>
      </c>
      <c r="CC719" s="413"/>
      <c r="CD719" s="413"/>
      <c r="CE719" s="413"/>
      <c r="CF719" s="413"/>
      <c r="CG719" s="413"/>
      <c r="CH719" s="413">
        <v>66.986000000000004</v>
      </c>
      <c r="CI719" s="413">
        <v>66.986000000000004</v>
      </c>
      <c r="CJ719" s="413">
        <v>66.986000000000004</v>
      </c>
      <c r="CK719" s="413">
        <v>66.986000000000004</v>
      </c>
      <c r="CL719" s="413">
        <v>66.986000000000004</v>
      </c>
      <c r="CM719" s="413">
        <v>66.986000000000004</v>
      </c>
      <c r="CN719" s="413">
        <v>66.986000000000004</v>
      </c>
      <c r="CO719" s="413">
        <v>66.986000000000004</v>
      </c>
      <c r="CP719" s="413">
        <v>66.986000000000004</v>
      </c>
      <c r="CQ719" s="413">
        <v>66.986000000000004</v>
      </c>
      <c r="CR719" s="413"/>
      <c r="CS719" s="413"/>
      <c r="CT719" s="413"/>
      <c r="CU719" s="413"/>
      <c r="CV719" s="413"/>
      <c r="CW719" s="413"/>
      <c r="CX719" s="413"/>
      <c r="CY719" s="413"/>
      <c r="CZ719" s="413"/>
      <c r="DA719" s="413"/>
      <c r="DB719" s="413"/>
      <c r="DC719" s="413"/>
      <c r="DD719" s="413"/>
      <c r="DE719" s="390"/>
      <c r="DF719" s="390"/>
      <c r="DG719" s="390"/>
      <c r="DH719" s="390"/>
      <c r="DI719" s="390"/>
      <c r="DJ719" s="390"/>
      <c r="DK719" s="897"/>
    </row>
    <row r="720" spans="1:115" ht="38.25" x14ac:dyDescent="0.2">
      <c r="A720" s="295">
        <v>716</v>
      </c>
      <c r="B720" s="390" t="s">
        <v>919</v>
      </c>
      <c r="C720" s="424" t="s">
        <v>7542</v>
      </c>
      <c r="D720" s="391"/>
      <c r="E720" s="707" t="s">
        <v>920</v>
      </c>
      <c r="F720" s="404" t="s">
        <v>1352</v>
      </c>
      <c r="G720" s="404" t="s">
        <v>1671</v>
      </c>
      <c r="H720" s="404" t="s">
        <v>107</v>
      </c>
      <c r="I720" s="403"/>
      <c r="J720" s="403" t="s">
        <v>107</v>
      </c>
      <c r="K720" s="403"/>
      <c r="L720" s="403" t="s">
        <v>896</v>
      </c>
      <c r="M720" s="403" t="s">
        <v>3206</v>
      </c>
      <c r="N720" s="404" t="s">
        <v>2412</v>
      </c>
      <c r="O720" s="404" t="s">
        <v>827</v>
      </c>
      <c r="P720" s="404" t="s">
        <v>827</v>
      </c>
      <c r="Q720" s="403" t="s">
        <v>836</v>
      </c>
      <c r="R720" s="403"/>
      <c r="S720" s="486" t="s">
        <v>955</v>
      </c>
      <c r="T720" s="405"/>
      <c r="U720" s="406"/>
      <c r="V720" s="406"/>
      <c r="W720" s="456">
        <v>40787</v>
      </c>
      <c r="X720" s="405">
        <v>28</v>
      </c>
      <c r="Y720" s="405"/>
      <c r="Z720" s="405"/>
      <c r="AA720" s="406"/>
      <c r="AB720" s="455"/>
      <c r="AC720" s="407"/>
      <c r="AD720" s="407"/>
      <c r="AE720" s="404" t="s">
        <v>111</v>
      </c>
      <c r="AF720" s="418"/>
      <c r="AG720" s="418"/>
      <c r="AH720" s="418"/>
      <c r="AI720" s="405"/>
      <c r="AJ720" s="455"/>
      <c r="AK720" s="455"/>
      <c r="AL720" s="404"/>
      <c r="AM720" s="404"/>
      <c r="AN720" s="418"/>
      <c r="AO720" s="403"/>
      <c r="AP720" s="403" t="s">
        <v>55</v>
      </c>
      <c r="AQ720" s="403"/>
      <c r="AR720" s="403" t="s">
        <v>112</v>
      </c>
      <c r="AS720" s="482">
        <v>40787</v>
      </c>
      <c r="AT720" s="456">
        <v>40954</v>
      </c>
      <c r="AU720" s="455"/>
      <c r="AV720" s="455"/>
      <c r="AW720" s="455"/>
      <c r="AX720" s="455"/>
      <c r="AY720" s="455"/>
      <c r="AZ720" s="455"/>
      <c r="BA720" s="404"/>
      <c r="BB720" s="404" t="s">
        <v>3147</v>
      </c>
      <c r="BC720" s="404" t="b">
        <v>1</v>
      </c>
      <c r="BD720" s="404" t="s">
        <v>3147</v>
      </c>
      <c r="BE720" s="403"/>
      <c r="BF720" s="405">
        <v>4</v>
      </c>
      <c r="BG720" s="405"/>
      <c r="BH720" s="405"/>
      <c r="BI720" s="405"/>
      <c r="BJ720" s="405"/>
      <c r="BK720" s="405"/>
      <c r="BL720" s="446"/>
      <c r="BM720" s="403"/>
      <c r="BN720" s="404"/>
      <c r="BO720" s="404"/>
      <c r="BP720" s="408"/>
      <c r="BQ720" s="409"/>
      <c r="BR720" s="410"/>
      <c r="BS720" s="408"/>
      <c r="BT720" s="405"/>
      <c r="BU720" s="418"/>
      <c r="BV720" s="408"/>
      <c r="BW720" s="404"/>
      <c r="BX720" s="403"/>
      <c r="BY720" s="404"/>
      <c r="BZ720" s="404"/>
      <c r="CA720" s="443"/>
      <c r="CB720" s="409"/>
      <c r="CC720" s="407"/>
      <c r="CD720" s="407"/>
      <c r="CE720" s="407"/>
      <c r="CF720" s="407"/>
      <c r="CG720" s="407"/>
      <c r="CH720" s="407"/>
      <c r="CI720" s="407"/>
      <c r="CJ720" s="407"/>
      <c r="CK720" s="407"/>
      <c r="CL720" s="407"/>
      <c r="CM720" s="407"/>
      <c r="CN720" s="407"/>
      <c r="CO720" s="407"/>
      <c r="CP720" s="407"/>
      <c r="CQ720" s="407"/>
      <c r="CR720" s="407"/>
      <c r="CS720" s="407"/>
      <c r="CT720" s="407"/>
      <c r="CU720" s="407"/>
      <c r="CV720" s="407"/>
      <c r="CW720" s="407"/>
      <c r="CX720" s="407"/>
      <c r="CY720" s="407"/>
      <c r="CZ720" s="407"/>
      <c r="DA720" s="407"/>
      <c r="DB720" s="407"/>
      <c r="DC720" s="407"/>
      <c r="DD720" s="407"/>
      <c r="DE720" s="404"/>
      <c r="DF720" s="404"/>
      <c r="DG720" s="404"/>
      <c r="DH720" s="404"/>
      <c r="DI720" s="404"/>
      <c r="DJ720" s="404"/>
      <c r="DK720" s="897"/>
    </row>
    <row r="721" spans="1:115" ht="25.5" x14ac:dyDescent="0.2">
      <c r="A721" s="295">
        <v>717</v>
      </c>
      <c r="B721" s="390" t="s">
        <v>2714</v>
      </c>
      <c r="C721" s="390"/>
      <c r="D721" s="391"/>
      <c r="E721" s="707" t="s">
        <v>895</v>
      </c>
      <c r="F721" s="404" t="s">
        <v>1352</v>
      </c>
      <c r="G721" s="404" t="s">
        <v>1671</v>
      </c>
      <c r="H721" s="404" t="s">
        <v>107</v>
      </c>
      <c r="I721" s="403"/>
      <c r="J721" s="403"/>
      <c r="K721" s="403" t="s">
        <v>107</v>
      </c>
      <c r="L721" s="403" t="s">
        <v>896</v>
      </c>
      <c r="M721" s="403"/>
      <c r="N721" s="404" t="s">
        <v>2412</v>
      </c>
      <c r="O721" s="404" t="s">
        <v>827</v>
      </c>
      <c r="P721" s="404" t="s">
        <v>827</v>
      </c>
      <c r="Q721" s="403" t="s">
        <v>836</v>
      </c>
      <c r="R721" s="403" t="s">
        <v>3207</v>
      </c>
      <c r="S721" s="486" t="s">
        <v>955</v>
      </c>
      <c r="T721" s="405">
        <v>1</v>
      </c>
      <c r="U721" s="406">
        <v>1.3260000000000001</v>
      </c>
      <c r="V721" s="406"/>
      <c r="W721" s="455"/>
      <c r="X721" s="405"/>
      <c r="Y721" s="405">
        <v>7</v>
      </c>
      <c r="Z721" s="405">
        <v>20</v>
      </c>
      <c r="AA721" s="406">
        <v>0</v>
      </c>
      <c r="AB721" s="456">
        <v>41306</v>
      </c>
      <c r="AC721" s="407">
        <v>0</v>
      </c>
      <c r="AD721" s="407">
        <v>10.499013698630138</v>
      </c>
      <c r="AE721" s="404" t="s">
        <v>111</v>
      </c>
      <c r="AF721" s="418"/>
      <c r="AG721" s="418"/>
      <c r="AH721" s="418"/>
      <c r="AI721" s="405"/>
      <c r="AJ721" s="455"/>
      <c r="AK721" s="455"/>
      <c r="AL721" s="404"/>
      <c r="AM721" s="404"/>
      <c r="AN721" s="418"/>
      <c r="AO721" s="403"/>
      <c r="AP721" s="403" t="s">
        <v>55</v>
      </c>
      <c r="AQ721" s="403"/>
      <c r="AR721" s="403" t="s">
        <v>112</v>
      </c>
      <c r="AS721" s="482">
        <v>40787</v>
      </c>
      <c r="AT721" s="456">
        <v>40954</v>
      </c>
      <c r="AU721" s="455"/>
      <c r="AV721" s="455"/>
      <c r="AW721" s="455"/>
      <c r="AX721" s="455"/>
      <c r="AY721" s="455"/>
      <c r="AZ721" s="455"/>
      <c r="BA721" s="404"/>
      <c r="BB721" s="404"/>
      <c r="BC721" s="404" t="b">
        <v>0</v>
      </c>
      <c r="BD721" s="404"/>
      <c r="BE721" s="403"/>
      <c r="BF721" s="405">
        <v>4</v>
      </c>
      <c r="BG721" s="405"/>
      <c r="BH721" s="405"/>
      <c r="BI721" s="405"/>
      <c r="BJ721" s="405"/>
      <c r="BK721" s="405"/>
      <c r="BL721" s="446" t="s">
        <v>6981</v>
      </c>
      <c r="BM721" s="403"/>
      <c r="BN721" s="404"/>
      <c r="BO721" s="404"/>
      <c r="BP721" s="408"/>
      <c r="BQ721" s="409"/>
      <c r="BR721" s="410"/>
      <c r="BS721" s="408">
        <v>1.4572799999999999</v>
      </c>
      <c r="BT721" s="405">
        <v>1953</v>
      </c>
      <c r="BU721" s="418">
        <v>0.68320000000000003</v>
      </c>
      <c r="BV721" s="408"/>
      <c r="BW721" s="404" t="s">
        <v>3117</v>
      </c>
      <c r="BX721" s="403"/>
      <c r="BY721" s="404"/>
      <c r="BZ721" s="404"/>
      <c r="CA721" s="443"/>
      <c r="CB721" s="409"/>
      <c r="CC721" s="407"/>
      <c r="CD721" s="407"/>
      <c r="CE721" s="407"/>
      <c r="CF721" s="407"/>
      <c r="CG721" s="407"/>
      <c r="CH721" s="407">
        <v>1.724</v>
      </c>
      <c r="CI721" s="407">
        <v>1.724</v>
      </c>
      <c r="CJ721" s="407">
        <v>1.724</v>
      </c>
      <c r="CK721" s="407">
        <v>1.724</v>
      </c>
      <c r="CL721" s="407">
        <v>1.724</v>
      </c>
      <c r="CM721" s="407">
        <v>1.724</v>
      </c>
      <c r="CN721" s="407">
        <v>1.724</v>
      </c>
      <c r="CO721" s="407"/>
      <c r="CP721" s="407"/>
      <c r="CQ721" s="407"/>
      <c r="CR721" s="407"/>
      <c r="CS721" s="407"/>
      <c r="CT721" s="407"/>
      <c r="CU721" s="407"/>
      <c r="CV721" s="407"/>
      <c r="CW721" s="407"/>
      <c r="CX721" s="407"/>
      <c r="CY721" s="407"/>
      <c r="CZ721" s="407"/>
      <c r="DA721" s="407"/>
      <c r="DB721" s="407"/>
      <c r="DC721" s="407"/>
      <c r="DD721" s="407"/>
      <c r="DE721" s="404"/>
      <c r="DF721" s="404"/>
      <c r="DG721" s="404"/>
      <c r="DH721" s="404"/>
      <c r="DI721" s="404"/>
      <c r="DJ721" s="404"/>
      <c r="DK721" s="897"/>
    </row>
    <row r="722" spans="1:115" ht="63.75" x14ac:dyDescent="0.2">
      <c r="A722" s="295">
        <v>718</v>
      </c>
      <c r="B722" s="390" t="s">
        <v>592</v>
      </c>
      <c r="C722" s="424" t="s">
        <v>7543</v>
      </c>
      <c r="D722" s="391"/>
      <c r="E722" s="706" t="s">
        <v>593</v>
      </c>
      <c r="F722" s="390" t="s">
        <v>1352</v>
      </c>
      <c r="G722" s="390" t="s">
        <v>1671</v>
      </c>
      <c r="H722" s="390" t="s">
        <v>117</v>
      </c>
      <c r="I722" s="402"/>
      <c r="J722" s="402" t="s">
        <v>2171</v>
      </c>
      <c r="K722" s="402"/>
      <c r="L722" s="402" t="s">
        <v>210</v>
      </c>
      <c r="M722" s="402" t="s">
        <v>3208</v>
      </c>
      <c r="N722" s="390" t="s">
        <v>33</v>
      </c>
      <c r="O722" s="390" t="s">
        <v>69</v>
      </c>
      <c r="P722" s="390" t="s">
        <v>69</v>
      </c>
      <c r="Q722" s="402" t="s">
        <v>572</v>
      </c>
      <c r="R722" s="402"/>
      <c r="S722" s="402" t="s">
        <v>594</v>
      </c>
      <c r="T722" s="411">
        <v>1</v>
      </c>
      <c r="U722" s="412">
        <v>3.9460000000000002</v>
      </c>
      <c r="V722" s="412"/>
      <c r="W722" s="457">
        <v>41000</v>
      </c>
      <c r="X722" s="411">
        <v>28</v>
      </c>
      <c r="Y722" s="411"/>
      <c r="Z722" s="411"/>
      <c r="AA722" s="412"/>
      <c r="AB722" s="454"/>
      <c r="AC722" s="413">
        <v>6.917338</v>
      </c>
      <c r="AD722" s="413">
        <v>38.508635616438355</v>
      </c>
      <c r="AE722" s="390" t="s">
        <v>47</v>
      </c>
      <c r="AF722" s="419"/>
      <c r="AG722" s="419"/>
      <c r="AH722" s="419">
        <v>0</v>
      </c>
      <c r="AI722" s="411"/>
      <c r="AJ722" s="454"/>
      <c r="AK722" s="454"/>
      <c r="AL722" s="390"/>
      <c r="AM722" s="390"/>
      <c r="AN722" s="419"/>
      <c r="AO722" s="402"/>
      <c r="AP722" s="402" t="s">
        <v>7078</v>
      </c>
      <c r="AQ722" s="402"/>
      <c r="AR722" s="402" t="s">
        <v>206</v>
      </c>
      <c r="AS722" s="481">
        <v>40788</v>
      </c>
      <c r="AT722" s="454"/>
      <c r="AU722" s="454"/>
      <c r="AV722" s="454"/>
      <c r="AW722" s="454"/>
      <c r="AX722" s="454"/>
      <c r="AY722" s="454"/>
      <c r="AZ722" s="454"/>
      <c r="BA722" s="390"/>
      <c r="BB722" s="390" t="s">
        <v>3147</v>
      </c>
      <c r="BC722" s="390" t="b">
        <v>1</v>
      </c>
      <c r="BD722" s="390" t="s">
        <v>3116</v>
      </c>
      <c r="BE722" s="402"/>
      <c r="BF722" s="411">
        <v>5</v>
      </c>
      <c r="BG722" s="411">
        <v>6</v>
      </c>
      <c r="BH722" s="411">
        <v>1</v>
      </c>
      <c r="BI722" s="411">
        <v>8</v>
      </c>
      <c r="BJ722" s="411">
        <v>9</v>
      </c>
      <c r="BK722" s="411">
        <v>11</v>
      </c>
      <c r="BL722" s="445"/>
      <c r="BM722" s="402"/>
      <c r="BN722" s="390"/>
      <c r="BO722" s="390"/>
      <c r="BP722" s="414"/>
      <c r="BQ722" s="415"/>
      <c r="BR722" s="416"/>
      <c r="BS722" s="414">
        <v>0</v>
      </c>
      <c r="BT722" s="411"/>
      <c r="BU722" s="419"/>
      <c r="BV722" s="414"/>
      <c r="BW722" s="390"/>
      <c r="BX722" s="402"/>
      <c r="BY722" s="390"/>
      <c r="BZ722" s="390"/>
      <c r="CA722" s="442"/>
      <c r="CB722" s="415"/>
      <c r="CC722" s="413"/>
      <c r="CD722" s="413"/>
      <c r="CE722" s="413"/>
      <c r="CF722" s="413"/>
      <c r="CG722" s="413"/>
      <c r="CH722" s="413"/>
      <c r="CI722" s="413"/>
      <c r="CJ722" s="413"/>
      <c r="CK722" s="413"/>
      <c r="CL722" s="413"/>
      <c r="CM722" s="413"/>
      <c r="CN722" s="413"/>
      <c r="CO722" s="413"/>
      <c r="CP722" s="413"/>
      <c r="CQ722" s="413"/>
      <c r="CR722" s="413"/>
      <c r="CS722" s="413"/>
      <c r="CT722" s="413"/>
      <c r="CU722" s="413"/>
      <c r="CV722" s="413"/>
      <c r="CW722" s="413"/>
      <c r="CX722" s="413"/>
      <c r="CY722" s="413"/>
      <c r="CZ722" s="413"/>
      <c r="DA722" s="413"/>
      <c r="DB722" s="413"/>
      <c r="DC722" s="413"/>
      <c r="DD722" s="413"/>
      <c r="DE722" s="390"/>
      <c r="DF722" s="390"/>
      <c r="DG722" s="390"/>
      <c r="DH722" s="390"/>
      <c r="DI722" s="390"/>
      <c r="DJ722" s="390"/>
      <c r="DK722" s="897"/>
    </row>
    <row r="723" spans="1:115" ht="25.5" x14ac:dyDescent="0.2">
      <c r="A723" s="295">
        <v>719</v>
      </c>
      <c r="B723" s="390" t="s">
        <v>2715</v>
      </c>
      <c r="C723" s="390"/>
      <c r="D723" s="391"/>
      <c r="E723" s="706" t="s">
        <v>595</v>
      </c>
      <c r="F723" s="390" t="s">
        <v>1352</v>
      </c>
      <c r="G723" s="390" t="s">
        <v>1671</v>
      </c>
      <c r="H723" s="390" t="s">
        <v>117</v>
      </c>
      <c r="I723" s="402"/>
      <c r="J723" s="402"/>
      <c r="K723" s="402" t="s">
        <v>2171</v>
      </c>
      <c r="L723" s="402" t="s">
        <v>210</v>
      </c>
      <c r="M723" s="402"/>
      <c r="N723" s="390" t="s">
        <v>33</v>
      </c>
      <c r="O723" s="390" t="s">
        <v>69</v>
      </c>
      <c r="P723" s="390" t="s">
        <v>69</v>
      </c>
      <c r="Q723" s="402" t="s">
        <v>572</v>
      </c>
      <c r="R723" s="402" t="s">
        <v>3209</v>
      </c>
      <c r="S723" s="402" t="s">
        <v>594</v>
      </c>
      <c r="T723" s="411">
        <v>1</v>
      </c>
      <c r="U723" s="412">
        <v>3.9460000000000002</v>
      </c>
      <c r="V723" s="412"/>
      <c r="W723" s="454"/>
      <c r="X723" s="411"/>
      <c r="Y723" s="411">
        <v>7</v>
      </c>
      <c r="Z723" s="411">
        <v>15</v>
      </c>
      <c r="AA723" s="412">
        <v>0</v>
      </c>
      <c r="AB723" s="457">
        <v>40634</v>
      </c>
      <c r="AC723" s="413">
        <v>6.917338</v>
      </c>
      <c r="AD723" s="413">
        <v>38.508635616438355</v>
      </c>
      <c r="AE723" s="390" t="s">
        <v>47</v>
      </c>
      <c r="AF723" s="419"/>
      <c r="AG723" s="419"/>
      <c r="AH723" s="419"/>
      <c r="AI723" s="411"/>
      <c r="AJ723" s="454"/>
      <c r="AK723" s="454"/>
      <c r="AL723" s="390"/>
      <c r="AM723" s="390"/>
      <c r="AN723" s="419"/>
      <c r="AO723" s="402"/>
      <c r="AP723" s="402" t="s">
        <v>7078</v>
      </c>
      <c r="AQ723" s="402"/>
      <c r="AR723" s="402" t="s">
        <v>206</v>
      </c>
      <c r="AS723" s="481">
        <v>40788</v>
      </c>
      <c r="AT723" s="454"/>
      <c r="AU723" s="454"/>
      <c r="AV723" s="454"/>
      <c r="AW723" s="454"/>
      <c r="AX723" s="454"/>
      <c r="AY723" s="454"/>
      <c r="AZ723" s="454"/>
      <c r="BA723" s="390"/>
      <c r="BB723" s="390"/>
      <c r="BC723" s="390" t="b">
        <v>0</v>
      </c>
      <c r="BD723" s="390"/>
      <c r="BE723" s="402"/>
      <c r="BF723" s="411">
        <v>5</v>
      </c>
      <c r="BG723" s="411">
        <v>6</v>
      </c>
      <c r="BH723" s="411">
        <v>1</v>
      </c>
      <c r="BI723" s="411">
        <v>8</v>
      </c>
      <c r="BJ723" s="411">
        <v>9</v>
      </c>
      <c r="BK723" s="411">
        <v>11</v>
      </c>
      <c r="BL723" s="445" t="s">
        <v>6983</v>
      </c>
      <c r="BM723" s="402"/>
      <c r="BN723" s="390"/>
      <c r="BO723" s="390"/>
      <c r="BP723" s="414"/>
      <c r="BQ723" s="415"/>
      <c r="BR723" s="416"/>
      <c r="BS723" s="414"/>
      <c r="BT723" s="411"/>
      <c r="BU723" s="419">
        <v>0.77070000000000005</v>
      </c>
      <c r="BV723" s="414"/>
      <c r="BW723" s="390" t="s">
        <v>3117</v>
      </c>
      <c r="BX723" s="402" t="s">
        <v>4364</v>
      </c>
      <c r="BY723" s="390" t="s">
        <v>7224</v>
      </c>
      <c r="BZ723" s="390"/>
      <c r="CA723" s="442" t="s">
        <v>1662</v>
      </c>
      <c r="CB723" s="415">
        <v>3</v>
      </c>
      <c r="CC723" s="413"/>
      <c r="CD723" s="413"/>
      <c r="CE723" s="413"/>
      <c r="CF723" s="413"/>
      <c r="CG723" s="413">
        <v>2.97</v>
      </c>
      <c r="CH723" s="413">
        <v>3.9460000000000002</v>
      </c>
      <c r="CI723" s="413">
        <v>3.9460000000000002</v>
      </c>
      <c r="CJ723" s="413">
        <v>3.9460000000000002</v>
      </c>
      <c r="CK723" s="413">
        <v>3.9460000000000002</v>
      </c>
      <c r="CL723" s="413">
        <v>3.9460000000000002</v>
      </c>
      <c r="CM723" s="413">
        <v>3.9460000000000002</v>
      </c>
      <c r="CN723" s="413">
        <v>0.97599999999999998</v>
      </c>
      <c r="CO723" s="413"/>
      <c r="CP723" s="413"/>
      <c r="CQ723" s="413"/>
      <c r="CR723" s="413"/>
      <c r="CS723" s="413"/>
      <c r="CT723" s="413"/>
      <c r="CU723" s="413"/>
      <c r="CV723" s="413"/>
      <c r="CW723" s="413"/>
      <c r="CX723" s="413"/>
      <c r="CY723" s="413"/>
      <c r="CZ723" s="413"/>
      <c r="DA723" s="413"/>
      <c r="DB723" s="413"/>
      <c r="DC723" s="413"/>
      <c r="DD723" s="413"/>
      <c r="DE723" s="390"/>
      <c r="DF723" s="390"/>
      <c r="DG723" s="390"/>
      <c r="DH723" s="390"/>
      <c r="DI723" s="390"/>
      <c r="DJ723" s="390"/>
      <c r="DK723" s="897"/>
    </row>
    <row r="724" spans="1:115" ht="51" x14ac:dyDescent="0.2">
      <c r="A724" s="295">
        <v>720</v>
      </c>
      <c r="B724" s="390" t="s">
        <v>914</v>
      </c>
      <c r="C724" s="424" t="s">
        <v>7544</v>
      </c>
      <c r="D724" s="391" t="s">
        <v>4591</v>
      </c>
      <c r="E724" s="704" t="s">
        <v>915</v>
      </c>
      <c r="F724" s="393" t="s">
        <v>1352</v>
      </c>
      <c r="G724" s="393" t="s">
        <v>1673</v>
      </c>
      <c r="H724" s="393" t="s">
        <v>42</v>
      </c>
      <c r="I724" s="392"/>
      <c r="J724" s="392" t="s">
        <v>42</v>
      </c>
      <c r="K724" s="392"/>
      <c r="L724" s="392" t="s">
        <v>3779</v>
      </c>
      <c r="M724" s="392" t="s">
        <v>3210</v>
      </c>
      <c r="N724" s="393" t="s">
        <v>44</v>
      </c>
      <c r="O724" s="393" t="s">
        <v>827</v>
      </c>
      <c r="P724" s="393" t="s">
        <v>827</v>
      </c>
      <c r="Q724" s="392" t="s">
        <v>836</v>
      </c>
      <c r="R724" s="392"/>
      <c r="S724" s="392" t="s">
        <v>291</v>
      </c>
      <c r="T724" s="394">
        <v>10</v>
      </c>
      <c r="U724" s="395">
        <v>118.499</v>
      </c>
      <c r="V724" s="395"/>
      <c r="W724" s="452">
        <v>40472</v>
      </c>
      <c r="X724" s="394">
        <v>28</v>
      </c>
      <c r="Y724" s="394"/>
      <c r="Z724" s="394"/>
      <c r="AA724" s="395"/>
      <c r="AB724" s="453"/>
      <c r="AC724" s="398">
        <v>3.113</v>
      </c>
      <c r="AD724" s="398">
        <v>738.04039178082189</v>
      </c>
      <c r="AE724" s="393" t="s">
        <v>72</v>
      </c>
      <c r="AF724" s="417"/>
      <c r="AG724" s="417"/>
      <c r="AH724" s="417">
        <v>0</v>
      </c>
      <c r="AI724" s="394"/>
      <c r="AJ724" s="453"/>
      <c r="AK724" s="453"/>
      <c r="AL724" s="393"/>
      <c r="AM724" s="393"/>
      <c r="AN724" s="417"/>
      <c r="AO724" s="392"/>
      <c r="AP724" s="392" t="s">
        <v>55</v>
      </c>
      <c r="AQ724" s="392"/>
      <c r="AR724" s="392" t="s">
        <v>3779</v>
      </c>
      <c r="AS724" s="479">
        <v>40792</v>
      </c>
      <c r="AT724" s="397"/>
      <c r="AU724" s="397"/>
      <c r="AV724" s="452">
        <v>41002</v>
      </c>
      <c r="AW724" s="452">
        <v>41066</v>
      </c>
      <c r="AX724" s="452">
        <v>41117</v>
      </c>
      <c r="AY724" s="452">
        <v>41066</v>
      </c>
      <c r="AZ724" s="453"/>
      <c r="BA724" s="393"/>
      <c r="BB724" s="393" t="s">
        <v>3116</v>
      </c>
      <c r="BC724" s="393" t="b">
        <v>0</v>
      </c>
      <c r="BD724" s="393" t="s">
        <v>3147</v>
      </c>
      <c r="BE724" s="392"/>
      <c r="BF724" s="394">
        <v>10</v>
      </c>
      <c r="BG724" s="394">
        <v>7</v>
      </c>
      <c r="BH724" s="394">
        <v>5</v>
      </c>
      <c r="BI724" s="394">
        <v>9</v>
      </c>
      <c r="BJ724" s="394">
        <v>4</v>
      </c>
      <c r="BK724" s="394"/>
      <c r="BL724" s="444"/>
      <c r="BM724" s="392"/>
      <c r="BN724" s="393"/>
      <c r="BO724" s="393"/>
      <c r="BP724" s="399"/>
      <c r="BQ724" s="400"/>
      <c r="BR724" s="401"/>
      <c r="BS724" s="399">
        <v>72.871000000000009</v>
      </c>
      <c r="BT724" s="394"/>
      <c r="BU724" s="417"/>
      <c r="BV724" s="399"/>
      <c r="BW724" s="393"/>
      <c r="BX724" s="392"/>
      <c r="BY724" s="393"/>
      <c r="BZ724" s="393"/>
      <c r="CA724" s="441"/>
      <c r="CB724" s="400"/>
      <c r="CC724" s="398"/>
      <c r="CD724" s="398"/>
      <c r="CE724" s="398"/>
      <c r="CF724" s="398"/>
      <c r="CG724" s="398"/>
      <c r="CH724" s="398"/>
      <c r="CI724" s="398"/>
      <c r="CJ724" s="398"/>
      <c r="CK724" s="398"/>
      <c r="CL724" s="398"/>
      <c r="CM724" s="398"/>
      <c r="CN724" s="398"/>
      <c r="CO724" s="398"/>
      <c r="CP724" s="398"/>
      <c r="CQ724" s="398"/>
      <c r="CR724" s="398"/>
      <c r="CS724" s="398"/>
      <c r="CT724" s="398"/>
      <c r="CU724" s="398"/>
      <c r="CV724" s="398"/>
      <c r="CW724" s="398"/>
      <c r="CX724" s="398"/>
      <c r="CY724" s="398"/>
      <c r="CZ724" s="398"/>
      <c r="DA724" s="398"/>
      <c r="DB724" s="398"/>
      <c r="DC724" s="398"/>
      <c r="DD724" s="398"/>
      <c r="DE724" s="393"/>
      <c r="DF724" s="393"/>
      <c r="DG724" s="393"/>
      <c r="DH724" s="393"/>
      <c r="DI724" s="393"/>
      <c r="DJ724" s="393"/>
      <c r="DK724" s="896" t="s">
        <v>9719</v>
      </c>
    </row>
    <row r="725" spans="1:115" ht="15" x14ac:dyDescent="0.2">
      <c r="A725" s="295">
        <v>721</v>
      </c>
      <c r="B725" s="390" t="s">
        <v>2716</v>
      </c>
      <c r="C725" s="390"/>
      <c r="D725" s="391" t="s">
        <v>2413</v>
      </c>
      <c r="E725" s="704" t="s">
        <v>849</v>
      </c>
      <c r="F725" s="393" t="s">
        <v>1352</v>
      </c>
      <c r="G725" s="393" t="s">
        <v>1673</v>
      </c>
      <c r="H725" s="393" t="s">
        <v>42</v>
      </c>
      <c r="I725" s="392"/>
      <c r="J725" s="392"/>
      <c r="K725" s="392" t="s">
        <v>2172</v>
      </c>
      <c r="L725" s="392" t="s">
        <v>3779</v>
      </c>
      <c r="M725" s="392"/>
      <c r="N725" s="393" t="s">
        <v>44</v>
      </c>
      <c r="O725" s="393" t="s">
        <v>827</v>
      </c>
      <c r="P725" s="393" t="s">
        <v>827</v>
      </c>
      <c r="Q725" s="392" t="s">
        <v>836</v>
      </c>
      <c r="R725" s="392" t="s">
        <v>3211</v>
      </c>
      <c r="S725" s="392" t="s">
        <v>291</v>
      </c>
      <c r="T725" s="394">
        <v>1</v>
      </c>
      <c r="U725" s="395">
        <v>6.6829999999999998</v>
      </c>
      <c r="V725" s="395"/>
      <c r="W725" s="453"/>
      <c r="X725" s="394"/>
      <c r="Y725" s="394">
        <v>7</v>
      </c>
      <c r="Z725" s="394">
        <v>25</v>
      </c>
      <c r="AA725" s="395">
        <v>-6.4799999999999996E-2</v>
      </c>
      <c r="AB725" s="452">
        <v>41105</v>
      </c>
      <c r="AC725" s="398">
        <v>3.113</v>
      </c>
      <c r="AD725" s="398">
        <v>56.594939726027391</v>
      </c>
      <c r="AE725" s="393" t="s">
        <v>72</v>
      </c>
      <c r="AF725" s="417"/>
      <c r="AG725" s="417"/>
      <c r="AH725" s="417"/>
      <c r="AI725" s="394"/>
      <c r="AJ725" s="453"/>
      <c r="AK725" s="453"/>
      <c r="AL725" s="393"/>
      <c r="AM725" s="393"/>
      <c r="AN725" s="417"/>
      <c r="AO725" s="392"/>
      <c r="AP725" s="392" t="s">
        <v>55</v>
      </c>
      <c r="AQ725" s="392"/>
      <c r="AR725" s="392" t="s">
        <v>3779</v>
      </c>
      <c r="AS725" s="479">
        <v>40792</v>
      </c>
      <c r="AT725" s="453"/>
      <c r="AU725" s="453"/>
      <c r="AV725" s="453"/>
      <c r="AW725" s="453"/>
      <c r="AX725" s="453"/>
      <c r="AY725" s="453"/>
      <c r="AZ725" s="452">
        <v>41066</v>
      </c>
      <c r="BA725" s="393"/>
      <c r="BB725" s="393"/>
      <c r="BC725" s="393" t="b">
        <v>0</v>
      </c>
      <c r="BD725" s="393"/>
      <c r="BE725" s="392"/>
      <c r="BF725" s="394">
        <v>10</v>
      </c>
      <c r="BG725" s="394">
        <v>7</v>
      </c>
      <c r="BH725" s="394">
        <v>5</v>
      </c>
      <c r="BI725" s="394">
        <v>9</v>
      </c>
      <c r="BJ725" s="394">
        <v>4</v>
      </c>
      <c r="BK725" s="394"/>
      <c r="BL725" s="444" t="s">
        <v>6981</v>
      </c>
      <c r="BM725" s="392"/>
      <c r="BN725" s="393"/>
      <c r="BO725" s="393"/>
      <c r="BP725" s="399"/>
      <c r="BQ725" s="400"/>
      <c r="BR725" s="401"/>
      <c r="BS725" s="399">
        <v>5</v>
      </c>
      <c r="BT725" s="394">
        <v>7008</v>
      </c>
      <c r="BU725" s="417">
        <v>0.94850000000000001</v>
      </c>
      <c r="BV725" s="399"/>
      <c r="BW725" s="393" t="s">
        <v>3117</v>
      </c>
      <c r="BX725" s="392" t="s">
        <v>4364</v>
      </c>
      <c r="BY725" s="393" t="s">
        <v>7227</v>
      </c>
      <c r="BZ725" s="393"/>
      <c r="CA725" s="441"/>
      <c r="CB725" s="400"/>
      <c r="CC725" s="398"/>
      <c r="CD725" s="398"/>
      <c r="CE725" s="398"/>
      <c r="CF725" s="398"/>
      <c r="CG725" s="398"/>
      <c r="CH725" s="398"/>
      <c r="CI725" s="398">
        <v>6.6479999999999997</v>
      </c>
      <c r="CJ725" s="398">
        <v>6.5819999999999999</v>
      </c>
      <c r="CK725" s="398">
        <v>6.516</v>
      </c>
      <c r="CL725" s="398">
        <v>6.4509999999999996</v>
      </c>
      <c r="CM725" s="398">
        <v>6.3860000000000001</v>
      </c>
      <c r="CN725" s="398">
        <v>6.3230000000000004</v>
      </c>
      <c r="CO725" s="398">
        <v>6.2590000000000003</v>
      </c>
      <c r="CP725" s="398"/>
      <c r="CQ725" s="398"/>
      <c r="CR725" s="398"/>
      <c r="CS725" s="398"/>
      <c r="CT725" s="398"/>
      <c r="CU725" s="398"/>
      <c r="CV725" s="398"/>
      <c r="CW725" s="398"/>
      <c r="CX725" s="398"/>
      <c r="CY725" s="398"/>
      <c r="CZ725" s="398"/>
      <c r="DA725" s="398"/>
      <c r="DB725" s="398"/>
      <c r="DC725" s="398"/>
      <c r="DD725" s="398"/>
      <c r="DE725" s="393"/>
      <c r="DF725" s="393"/>
      <c r="DG725" s="393"/>
      <c r="DH725" s="393"/>
      <c r="DI725" s="393"/>
      <c r="DJ725" s="393"/>
      <c r="DK725" s="897"/>
    </row>
    <row r="726" spans="1:115" ht="25.5" x14ac:dyDescent="0.2">
      <c r="A726" s="295">
        <v>722</v>
      </c>
      <c r="B726" s="390" t="s">
        <v>4514</v>
      </c>
      <c r="C726" s="390"/>
      <c r="D726" s="391" t="s">
        <v>4515</v>
      </c>
      <c r="E726" s="704" t="s">
        <v>4516</v>
      </c>
      <c r="F726" s="393" t="s">
        <v>1352</v>
      </c>
      <c r="G726" s="393" t="s">
        <v>1673</v>
      </c>
      <c r="H726" s="393" t="s">
        <v>42</v>
      </c>
      <c r="I726" s="392"/>
      <c r="J726" s="392"/>
      <c r="K726" s="392" t="s">
        <v>2172</v>
      </c>
      <c r="L726" s="392" t="s">
        <v>3779</v>
      </c>
      <c r="M726" s="392"/>
      <c r="N726" s="393" t="s">
        <v>44</v>
      </c>
      <c r="O726" s="393" t="s">
        <v>827</v>
      </c>
      <c r="P726" s="393" t="s">
        <v>827</v>
      </c>
      <c r="Q726" s="392" t="s">
        <v>836</v>
      </c>
      <c r="R726" s="392" t="s">
        <v>3211</v>
      </c>
      <c r="S726" s="392" t="s">
        <v>291</v>
      </c>
      <c r="T726" s="394">
        <v>1</v>
      </c>
      <c r="U726" s="395">
        <v>7.7210000000000001</v>
      </c>
      <c r="V726" s="395"/>
      <c r="W726" s="453"/>
      <c r="X726" s="394"/>
      <c r="Y726" s="394">
        <v>7</v>
      </c>
      <c r="Z726" s="394">
        <v>25</v>
      </c>
      <c r="AA726" s="395">
        <v>0</v>
      </c>
      <c r="AB726" s="452">
        <v>41305</v>
      </c>
      <c r="AC726" s="398">
        <v>0</v>
      </c>
      <c r="AD726" s="398">
        <v>61.154550684931507</v>
      </c>
      <c r="AE726" s="393" t="s">
        <v>72</v>
      </c>
      <c r="AF726" s="417"/>
      <c r="AG726" s="417"/>
      <c r="AH726" s="417"/>
      <c r="AI726" s="394"/>
      <c r="AJ726" s="453"/>
      <c r="AK726" s="453"/>
      <c r="AL726" s="393"/>
      <c r="AM726" s="393"/>
      <c r="AN726" s="417"/>
      <c r="AO726" s="392"/>
      <c r="AP726" s="392"/>
      <c r="AQ726" s="392"/>
      <c r="AR726" s="392" t="s">
        <v>3779</v>
      </c>
      <c r="AS726" s="479">
        <v>40792</v>
      </c>
      <c r="AT726" s="453"/>
      <c r="AU726" s="453"/>
      <c r="AV726" s="453"/>
      <c r="AW726" s="453"/>
      <c r="AX726" s="453"/>
      <c r="AY726" s="453"/>
      <c r="AZ726" s="452">
        <v>41305</v>
      </c>
      <c r="BA726" s="393"/>
      <c r="BB726" s="393"/>
      <c r="BC726" s="393" t="b">
        <v>0</v>
      </c>
      <c r="BD726" s="393"/>
      <c r="BE726" s="392"/>
      <c r="BF726" s="394">
        <v>10</v>
      </c>
      <c r="BG726" s="394">
        <v>7</v>
      </c>
      <c r="BH726" s="394">
        <v>5</v>
      </c>
      <c r="BI726" s="394">
        <v>9</v>
      </c>
      <c r="BJ726" s="394">
        <v>4</v>
      </c>
      <c r="BK726" s="394"/>
      <c r="BL726" s="444" t="s">
        <v>6981</v>
      </c>
      <c r="BM726" s="392"/>
      <c r="BN726" s="393"/>
      <c r="BO726" s="393"/>
      <c r="BP726" s="399"/>
      <c r="BQ726" s="400"/>
      <c r="BR726" s="401"/>
      <c r="BS726" s="399">
        <v>5</v>
      </c>
      <c r="BT726" s="394">
        <v>8103</v>
      </c>
      <c r="BU726" s="417">
        <v>0.95279999999999998</v>
      </c>
      <c r="BV726" s="399"/>
      <c r="BW726" s="393" t="s">
        <v>3117</v>
      </c>
      <c r="BX726" s="392" t="s">
        <v>4364</v>
      </c>
      <c r="BY726" s="393" t="s">
        <v>7227</v>
      </c>
      <c r="BZ726" s="393"/>
      <c r="CA726" s="441"/>
      <c r="CB726" s="400"/>
      <c r="CC726" s="398"/>
      <c r="CD726" s="398"/>
      <c r="CE726" s="398"/>
      <c r="CF726" s="398"/>
      <c r="CG726" s="398"/>
      <c r="CH726" s="398"/>
      <c r="CI726" s="398">
        <v>7.7210000000000001</v>
      </c>
      <c r="CJ726" s="398">
        <v>7.7210000000000001</v>
      </c>
      <c r="CK726" s="398">
        <v>7.7210000000000001</v>
      </c>
      <c r="CL726" s="398">
        <v>7.7210000000000001</v>
      </c>
      <c r="CM726" s="398">
        <v>7.7210000000000001</v>
      </c>
      <c r="CN726" s="398">
        <v>7.7210000000000001</v>
      </c>
      <c r="CO726" s="398">
        <v>7.7210000000000001</v>
      </c>
      <c r="CP726" s="398"/>
      <c r="CQ726" s="398"/>
      <c r="CR726" s="398"/>
      <c r="CS726" s="398"/>
      <c r="CT726" s="398"/>
      <c r="CU726" s="398"/>
      <c r="CV726" s="398"/>
      <c r="CW726" s="398"/>
      <c r="CX726" s="398"/>
      <c r="CY726" s="398"/>
      <c r="CZ726" s="398"/>
      <c r="DA726" s="398"/>
      <c r="DB726" s="398"/>
      <c r="DC726" s="398"/>
      <c r="DD726" s="398"/>
      <c r="DE726" s="393"/>
      <c r="DF726" s="393"/>
      <c r="DG726" s="393"/>
      <c r="DH726" s="393"/>
      <c r="DI726" s="393"/>
      <c r="DJ726" s="393"/>
      <c r="DK726" s="897"/>
    </row>
    <row r="727" spans="1:115" ht="25.5" x14ac:dyDescent="0.2">
      <c r="A727" s="295">
        <v>723</v>
      </c>
      <c r="B727" s="390" t="s">
        <v>4921</v>
      </c>
      <c r="C727" s="390"/>
      <c r="D727" s="391" t="s">
        <v>4922</v>
      </c>
      <c r="E727" s="704" t="s">
        <v>4923</v>
      </c>
      <c r="F727" s="393" t="s">
        <v>1352</v>
      </c>
      <c r="G727" s="393" t="s">
        <v>1673</v>
      </c>
      <c r="H727" s="393" t="s">
        <v>42</v>
      </c>
      <c r="I727" s="392"/>
      <c r="J727" s="392"/>
      <c r="K727" s="392" t="s">
        <v>370</v>
      </c>
      <c r="L727" s="392" t="s">
        <v>3779</v>
      </c>
      <c r="M727" s="392"/>
      <c r="N727" s="393" t="s">
        <v>44</v>
      </c>
      <c r="O727" s="393" t="s">
        <v>827</v>
      </c>
      <c r="P727" s="393" t="s">
        <v>827</v>
      </c>
      <c r="Q727" s="392" t="s">
        <v>836</v>
      </c>
      <c r="R727" s="392" t="s">
        <v>3211</v>
      </c>
      <c r="S727" s="392" t="s">
        <v>291</v>
      </c>
      <c r="T727" s="394">
        <v>1</v>
      </c>
      <c r="U727" s="395">
        <v>9.6039999999999992</v>
      </c>
      <c r="V727" s="395"/>
      <c r="W727" s="453"/>
      <c r="X727" s="394"/>
      <c r="Y727" s="394">
        <v>7</v>
      </c>
      <c r="Z727" s="394">
        <v>25</v>
      </c>
      <c r="AA727" s="395">
        <v>-2.3E-2</v>
      </c>
      <c r="AB727" s="452">
        <v>41395</v>
      </c>
      <c r="AC727" s="398">
        <v>0</v>
      </c>
      <c r="AD727" s="398">
        <v>73.700832876712326</v>
      </c>
      <c r="AE727" s="393" t="s">
        <v>72</v>
      </c>
      <c r="AF727" s="417"/>
      <c r="AG727" s="417"/>
      <c r="AH727" s="417"/>
      <c r="AI727" s="394"/>
      <c r="AJ727" s="453"/>
      <c r="AK727" s="453"/>
      <c r="AL727" s="393"/>
      <c r="AM727" s="393"/>
      <c r="AN727" s="417"/>
      <c r="AO727" s="392"/>
      <c r="AP727" s="392"/>
      <c r="AQ727" s="392"/>
      <c r="AR727" s="392" t="s">
        <v>3779</v>
      </c>
      <c r="AS727" s="479">
        <v>40792</v>
      </c>
      <c r="AT727" s="397"/>
      <c r="AU727" s="397"/>
      <c r="AV727" s="453"/>
      <c r="AW727" s="453"/>
      <c r="AX727" s="397"/>
      <c r="AY727" s="453"/>
      <c r="AZ727" s="452">
        <v>41395</v>
      </c>
      <c r="BA727" s="393"/>
      <c r="BB727" s="393"/>
      <c r="BC727" s="393" t="b">
        <v>0</v>
      </c>
      <c r="BD727" s="393"/>
      <c r="BE727" s="392"/>
      <c r="BF727" s="394">
        <v>10</v>
      </c>
      <c r="BG727" s="394">
        <v>7</v>
      </c>
      <c r="BH727" s="394">
        <v>5</v>
      </c>
      <c r="BI727" s="394">
        <v>9</v>
      </c>
      <c r="BJ727" s="394">
        <v>4</v>
      </c>
      <c r="BK727" s="394"/>
      <c r="BL727" s="444" t="s">
        <v>6981</v>
      </c>
      <c r="BM727" s="392"/>
      <c r="BN727" s="393"/>
      <c r="BO727" s="393"/>
      <c r="BP727" s="399"/>
      <c r="BQ727" s="400"/>
      <c r="BR727" s="401"/>
      <c r="BS727" s="399">
        <v>5</v>
      </c>
      <c r="BT727" s="394">
        <v>9374</v>
      </c>
      <c r="BU727" s="417">
        <v>0.95279999999999998</v>
      </c>
      <c r="BV727" s="399"/>
      <c r="BW727" s="393" t="s">
        <v>3117</v>
      </c>
      <c r="BX727" s="392" t="s">
        <v>4364</v>
      </c>
      <c r="BY727" s="393" t="s">
        <v>7227</v>
      </c>
      <c r="BZ727" s="393"/>
      <c r="CA727" s="441"/>
      <c r="CB727" s="400"/>
      <c r="CC727" s="398"/>
      <c r="CD727" s="398"/>
      <c r="CE727" s="398"/>
      <c r="CF727" s="398"/>
      <c r="CG727" s="398"/>
      <c r="CH727" s="398"/>
      <c r="CI727" s="398">
        <v>9.1189999999999998</v>
      </c>
      <c r="CJ727" s="398">
        <v>9.0739999999999998</v>
      </c>
      <c r="CK727" s="398">
        <v>9.0280000000000005</v>
      </c>
      <c r="CL727" s="398">
        <v>8.9830000000000005</v>
      </c>
      <c r="CM727" s="398">
        <v>8.9830000000000005</v>
      </c>
      <c r="CN727" s="398">
        <v>8.9830000000000005</v>
      </c>
      <c r="CO727" s="398">
        <v>8.9830000000000005</v>
      </c>
      <c r="CP727" s="398"/>
      <c r="CQ727" s="398"/>
      <c r="CR727" s="398"/>
      <c r="CS727" s="398"/>
      <c r="CT727" s="398"/>
      <c r="CU727" s="398"/>
      <c r="CV727" s="398"/>
      <c r="CW727" s="398"/>
      <c r="CX727" s="398"/>
      <c r="CY727" s="398"/>
      <c r="CZ727" s="398"/>
      <c r="DA727" s="398"/>
      <c r="DB727" s="398"/>
      <c r="DC727" s="398"/>
      <c r="DD727" s="398"/>
      <c r="DE727" s="393"/>
      <c r="DF727" s="393"/>
      <c r="DG727" s="393"/>
      <c r="DH727" s="393"/>
      <c r="DI727" s="393"/>
      <c r="DJ727" s="393"/>
      <c r="DK727" s="897"/>
    </row>
    <row r="728" spans="1:115" ht="25.5" x14ac:dyDescent="0.2">
      <c r="A728" s="295">
        <v>724</v>
      </c>
      <c r="B728" s="390" t="s">
        <v>4924</v>
      </c>
      <c r="C728" s="390"/>
      <c r="D728" s="391" t="s">
        <v>4925</v>
      </c>
      <c r="E728" s="704" t="s">
        <v>4926</v>
      </c>
      <c r="F728" s="393" t="s">
        <v>1352</v>
      </c>
      <c r="G728" s="393" t="s">
        <v>1673</v>
      </c>
      <c r="H728" s="393" t="s">
        <v>42</v>
      </c>
      <c r="I728" s="392"/>
      <c r="J728" s="392"/>
      <c r="K728" s="392" t="s">
        <v>2172</v>
      </c>
      <c r="L728" s="392" t="s">
        <v>3779</v>
      </c>
      <c r="M728" s="392"/>
      <c r="N728" s="393" t="s">
        <v>44</v>
      </c>
      <c r="O728" s="393" t="s">
        <v>827</v>
      </c>
      <c r="P728" s="393" t="s">
        <v>827</v>
      </c>
      <c r="Q728" s="392" t="s">
        <v>836</v>
      </c>
      <c r="R728" s="392" t="s">
        <v>3211</v>
      </c>
      <c r="S728" s="392" t="s">
        <v>291</v>
      </c>
      <c r="T728" s="394">
        <v>1</v>
      </c>
      <c r="U728" s="395">
        <v>8.9830000000000005</v>
      </c>
      <c r="V728" s="395"/>
      <c r="W728" s="453"/>
      <c r="X728" s="394"/>
      <c r="Y728" s="394">
        <v>7</v>
      </c>
      <c r="Z728" s="394">
        <v>25</v>
      </c>
      <c r="AA728" s="395">
        <v>-0.20200000000000001</v>
      </c>
      <c r="AB728" s="452">
        <v>41395</v>
      </c>
      <c r="AC728" s="398">
        <v>0</v>
      </c>
      <c r="AD728" s="398">
        <v>68.93529589041097</v>
      </c>
      <c r="AE728" s="393" t="s">
        <v>72</v>
      </c>
      <c r="AF728" s="417"/>
      <c r="AG728" s="417"/>
      <c r="AH728" s="417"/>
      <c r="AI728" s="394"/>
      <c r="AJ728" s="453"/>
      <c r="AK728" s="453"/>
      <c r="AL728" s="393"/>
      <c r="AM728" s="393"/>
      <c r="AN728" s="417"/>
      <c r="AO728" s="392"/>
      <c r="AP728" s="392"/>
      <c r="AQ728" s="392"/>
      <c r="AR728" s="392" t="s">
        <v>3779</v>
      </c>
      <c r="AS728" s="479">
        <v>40792</v>
      </c>
      <c r="AT728" s="453"/>
      <c r="AU728" s="453"/>
      <c r="AV728" s="453"/>
      <c r="AW728" s="453"/>
      <c r="AX728" s="453"/>
      <c r="AY728" s="453"/>
      <c r="AZ728" s="452">
        <v>41395</v>
      </c>
      <c r="BA728" s="393"/>
      <c r="BB728" s="393"/>
      <c r="BC728" s="393" t="b">
        <v>0</v>
      </c>
      <c r="BD728" s="393"/>
      <c r="BE728" s="392"/>
      <c r="BF728" s="394">
        <v>10</v>
      </c>
      <c r="BG728" s="394">
        <v>7</v>
      </c>
      <c r="BH728" s="394">
        <v>5</v>
      </c>
      <c r="BI728" s="394">
        <v>9</v>
      </c>
      <c r="BJ728" s="394">
        <v>4</v>
      </c>
      <c r="BK728" s="394"/>
      <c r="BL728" s="444" t="s">
        <v>6981</v>
      </c>
      <c r="BM728" s="392"/>
      <c r="BN728" s="393"/>
      <c r="BO728" s="393"/>
      <c r="BP728" s="399"/>
      <c r="BQ728" s="400"/>
      <c r="BR728" s="401"/>
      <c r="BS728" s="399">
        <v>6</v>
      </c>
      <c r="BT728" s="394">
        <v>10022</v>
      </c>
      <c r="BU728" s="417">
        <v>0.95279999999999998</v>
      </c>
      <c r="BV728" s="399"/>
      <c r="BW728" s="393" t="s">
        <v>3117</v>
      </c>
      <c r="BX728" s="392" t="s">
        <v>4364</v>
      </c>
      <c r="BY728" s="393" t="s">
        <v>7227</v>
      </c>
      <c r="BZ728" s="393"/>
      <c r="CA728" s="441"/>
      <c r="CB728" s="400"/>
      <c r="CC728" s="398"/>
      <c r="CD728" s="398"/>
      <c r="CE728" s="398"/>
      <c r="CF728" s="398"/>
      <c r="CG728" s="398"/>
      <c r="CH728" s="398"/>
      <c r="CI728" s="398">
        <v>9.6039999999999992</v>
      </c>
      <c r="CJ728" s="398">
        <v>7.7210000000000001</v>
      </c>
      <c r="CK728" s="398">
        <v>7.7210000000000001</v>
      </c>
      <c r="CL728" s="398">
        <v>7.7210000000000001</v>
      </c>
      <c r="CM728" s="398">
        <v>7.7210000000000001</v>
      </c>
      <c r="CN728" s="398">
        <v>7.7210000000000001</v>
      </c>
      <c r="CO728" s="398">
        <v>7.7210000000000001</v>
      </c>
      <c r="CP728" s="398"/>
      <c r="CQ728" s="398"/>
      <c r="CR728" s="398"/>
      <c r="CS728" s="398"/>
      <c r="CT728" s="398"/>
      <c r="CU728" s="398"/>
      <c r="CV728" s="398"/>
      <c r="CW728" s="398"/>
      <c r="CX728" s="398"/>
      <c r="CY728" s="398"/>
      <c r="CZ728" s="398"/>
      <c r="DA728" s="398"/>
      <c r="DB728" s="398"/>
      <c r="DC728" s="398"/>
      <c r="DD728" s="398"/>
      <c r="DE728" s="393"/>
      <c r="DF728" s="393"/>
      <c r="DG728" s="393"/>
      <c r="DH728" s="393"/>
      <c r="DI728" s="393"/>
      <c r="DJ728" s="393"/>
      <c r="DK728" s="897"/>
    </row>
    <row r="729" spans="1:115" ht="15" x14ac:dyDescent="0.2">
      <c r="A729" s="295">
        <v>725</v>
      </c>
      <c r="B729" s="390" t="s">
        <v>5101</v>
      </c>
      <c r="C729" s="390"/>
      <c r="D729" s="391" t="s">
        <v>5102</v>
      </c>
      <c r="E729" s="704" t="s">
        <v>5103</v>
      </c>
      <c r="F729" s="393" t="s">
        <v>1352</v>
      </c>
      <c r="G729" s="393" t="s">
        <v>1673</v>
      </c>
      <c r="H729" s="393" t="s">
        <v>42</v>
      </c>
      <c r="I729" s="392"/>
      <c r="J729" s="392"/>
      <c r="K729" s="392" t="s">
        <v>2172</v>
      </c>
      <c r="L729" s="392" t="s">
        <v>3779</v>
      </c>
      <c r="M729" s="392"/>
      <c r="N729" s="393" t="s">
        <v>44</v>
      </c>
      <c r="O729" s="393" t="s">
        <v>827</v>
      </c>
      <c r="P729" s="393" t="s">
        <v>827</v>
      </c>
      <c r="Q729" s="392" t="s">
        <v>836</v>
      </c>
      <c r="R729" s="392" t="s">
        <v>3211</v>
      </c>
      <c r="S729" s="392" t="s">
        <v>291</v>
      </c>
      <c r="T729" s="394">
        <v>1</v>
      </c>
      <c r="U729" s="395">
        <v>8.0429999999999993</v>
      </c>
      <c r="V729" s="395"/>
      <c r="W729" s="453"/>
      <c r="X729" s="394"/>
      <c r="Y729" s="394">
        <v>7</v>
      </c>
      <c r="Z729" s="394">
        <v>25</v>
      </c>
      <c r="AA729" s="395">
        <v>0</v>
      </c>
      <c r="AB729" s="452">
        <v>41440</v>
      </c>
      <c r="AC729" s="398">
        <v>0</v>
      </c>
      <c r="AD729" s="398">
        <v>60.730158904109587</v>
      </c>
      <c r="AE729" s="393" t="s">
        <v>72</v>
      </c>
      <c r="AF729" s="417"/>
      <c r="AG729" s="417"/>
      <c r="AH729" s="417"/>
      <c r="AI729" s="394"/>
      <c r="AJ729" s="453"/>
      <c r="AK729" s="453"/>
      <c r="AL729" s="393"/>
      <c r="AM729" s="393"/>
      <c r="AN729" s="417"/>
      <c r="AO729" s="392"/>
      <c r="AP729" s="392"/>
      <c r="AQ729" s="392"/>
      <c r="AR729" s="392" t="s">
        <v>3779</v>
      </c>
      <c r="AS729" s="479">
        <v>40792</v>
      </c>
      <c r="AT729" s="453"/>
      <c r="AU729" s="453"/>
      <c r="AV729" s="453"/>
      <c r="AW729" s="453"/>
      <c r="AX729" s="453"/>
      <c r="AY729" s="453"/>
      <c r="AZ729" s="452">
        <v>41452</v>
      </c>
      <c r="BA729" s="393"/>
      <c r="BB729" s="393"/>
      <c r="BC729" s="393" t="b">
        <v>0</v>
      </c>
      <c r="BD729" s="393"/>
      <c r="BE729" s="392"/>
      <c r="BF729" s="394">
        <v>10</v>
      </c>
      <c r="BG729" s="394">
        <v>7</v>
      </c>
      <c r="BH729" s="394">
        <v>5</v>
      </c>
      <c r="BI729" s="394">
        <v>9</v>
      </c>
      <c r="BJ729" s="394">
        <v>4</v>
      </c>
      <c r="BK729" s="394"/>
      <c r="BL729" s="444" t="s">
        <v>6981</v>
      </c>
      <c r="BM729" s="392"/>
      <c r="BN729" s="393"/>
      <c r="BO729" s="393"/>
      <c r="BP729" s="399"/>
      <c r="BQ729" s="400"/>
      <c r="BR729" s="401"/>
      <c r="BS729" s="399">
        <v>5</v>
      </c>
      <c r="BT729" s="394">
        <v>8393</v>
      </c>
      <c r="BU729" s="417">
        <v>0.95279999999999998</v>
      </c>
      <c r="BV729" s="399"/>
      <c r="BW729" s="393" t="s">
        <v>3117</v>
      </c>
      <c r="BX729" s="392" t="s">
        <v>4364</v>
      </c>
      <c r="BY729" s="393" t="s">
        <v>7227</v>
      </c>
      <c r="BZ729" s="393"/>
      <c r="CA729" s="441"/>
      <c r="CB729" s="400"/>
      <c r="CC729" s="398"/>
      <c r="CD729" s="398"/>
      <c r="CE729" s="398"/>
      <c r="CF729" s="398"/>
      <c r="CG729" s="398"/>
      <c r="CH729" s="398"/>
      <c r="CI729" s="398">
        <v>8.0429999999999993</v>
      </c>
      <c r="CJ729" s="398">
        <v>8.0429999999999993</v>
      </c>
      <c r="CK729" s="398">
        <v>8.0429999999999993</v>
      </c>
      <c r="CL729" s="398">
        <v>8.0429999999999993</v>
      </c>
      <c r="CM729" s="398">
        <v>8.0429999999999993</v>
      </c>
      <c r="CN729" s="398">
        <v>8.0429999999999993</v>
      </c>
      <c r="CO729" s="398">
        <v>8.0429999999999993</v>
      </c>
      <c r="CP729" s="398"/>
      <c r="CQ729" s="398"/>
      <c r="CR729" s="398"/>
      <c r="CS729" s="398"/>
      <c r="CT729" s="398"/>
      <c r="CU729" s="398"/>
      <c r="CV729" s="398"/>
      <c r="CW729" s="398"/>
      <c r="CX729" s="398"/>
      <c r="CY729" s="398"/>
      <c r="CZ729" s="398"/>
      <c r="DA729" s="398"/>
      <c r="DB729" s="398"/>
      <c r="DC729" s="398"/>
      <c r="DD729" s="398"/>
      <c r="DE729" s="393"/>
      <c r="DF729" s="393"/>
      <c r="DG729" s="393"/>
      <c r="DH729" s="393"/>
      <c r="DI729" s="393"/>
      <c r="DJ729" s="393"/>
      <c r="DK729" s="897"/>
    </row>
    <row r="730" spans="1:115" ht="25.5" x14ac:dyDescent="0.2">
      <c r="A730" s="295">
        <v>726</v>
      </c>
      <c r="B730" s="390" t="s">
        <v>5261</v>
      </c>
      <c r="C730" s="390"/>
      <c r="D730" s="391" t="s">
        <v>5262</v>
      </c>
      <c r="E730" s="704" t="s">
        <v>5263</v>
      </c>
      <c r="F730" s="393" t="s">
        <v>1352</v>
      </c>
      <c r="G730" s="393" t="s">
        <v>1673</v>
      </c>
      <c r="H730" s="393" t="s">
        <v>42</v>
      </c>
      <c r="I730" s="392"/>
      <c r="J730" s="392"/>
      <c r="K730" s="392" t="s">
        <v>2172</v>
      </c>
      <c r="L730" s="392" t="s">
        <v>3779</v>
      </c>
      <c r="M730" s="392"/>
      <c r="N730" s="393" t="s">
        <v>44</v>
      </c>
      <c r="O730" s="393" t="s">
        <v>827</v>
      </c>
      <c r="P730" s="393" t="s">
        <v>827</v>
      </c>
      <c r="Q730" s="392" t="s">
        <v>836</v>
      </c>
      <c r="R730" s="392" t="s">
        <v>3211</v>
      </c>
      <c r="S730" s="392" t="s">
        <v>291</v>
      </c>
      <c r="T730" s="394">
        <v>1</v>
      </c>
      <c r="U730" s="395">
        <v>7.97</v>
      </c>
      <c r="V730" s="395"/>
      <c r="W730" s="453"/>
      <c r="X730" s="394"/>
      <c r="Y730" s="394">
        <v>7</v>
      </c>
      <c r="Z730" s="394">
        <v>25</v>
      </c>
      <c r="AA730" s="395">
        <v>5.5E-2</v>
      </c>
      <c r="AB730" s="452">
        <v>41464</v>
      </c>
      <c r="AC730" s="398">
        <v>0</v>
      </c>
      <c r="AD730" s="398">
        <v>59.65490410958904</v>
      </c>
      <c r="AE730" s="393" t="s">
        <v>72</v>
      </c>
      <c r="AF730" s="417"/>
      <c r="AG730" s="417"/>
      <c r="AH730" s="417"/>
      <c r="AI730" s="394"/>
      <c r="AJ730" s="453"/>
      <c r="AK730" s="453"/>
      <c r="AL730" s="393"/>
      <c r="AM730" s="393"/>
      <c r="AN730" s="417"/>
      <c r="AO730" s="392"/>
      <c r="AP730" s="392"/>
      <c r="AQ730" s="392"/>
      <c r="AR730" s="392" t="s">
        <v>3779</v>
      </c>
      <c r="AS730" s="479">
        <v>40792</v>
      </c>
      <c r="AT730" s="453"/>
      <c r="AU730" s="453"/>
      <c r="AV730" s="453"/>
      <c r="AW730" s="453"/>
      <c r="AX730" s="453"/>
      <c r="AY730" s="453"/>
      <c r="AZ730" s="452">
        <v>41464</v>
      </c>
      <c r="BA730" s="393"/>
      <c r="BB730" s="393"/>
      <c r="BC730" s="393" t="b">
        <v>0</v>
      </c>
      <c r="BD730" s="393"/>
      <c r="BE730" s="392"/>
      <c r="BF730" s="394">
        <v>10</v>
      </c>
      <c r="BG730" s="394">
        <v>7</v>
      </c>
      <c r="BH730" s="394">
        <v>5</v>
      </c>
      <c r="BI730" s="394">
        <v>9</v>
      </c>
      <c r="BJ730" s="394">
        <v>4</v>
      </c>
      <c r="BK730" s="394"/>
      <c r="BL730" s="444" t="s">
        <v>6981</v>
      </c>
      <c r="BM730" s="392"/>
      <c r="BN730" s="393"/>
      <c r="BO730" s="393"/>
      <c r="BP730" s="399"/>
      <c r="BQ730" s="400"/>
      <c r="BR730" s="401"/>
      <c r="BS730" s="399">
        <v>5.1210000000000004</v>
      </c>
      <c r="BT730" s="394">
        <v>8317</v>
      </c>
      <c r="BU730" s="417">
        <v>0.95279999999999998</v>
      </c>
      <c r="BV730" s="399"/>
      <c r="BW730" s="393" t="s">
        <v>3117</v>
      </c>
      <c r="BX730" s="392" t="s">
        <v>4364</v>
      </c>
      <c r="BY730" s="393" t="s">
        <v>7227</v>
      </c>
      <c r="BZ730" s="393"/>
      <c r="CA730" s="441"/>
      <c r="CB730" s="400"/>
      <c r="CC730" s="398"/>
      <c r="CD730" s="398"/>
      <c r="CE730" s="398"/>
      <c r="CF730" s="398"/>
      <c r="CG730" s="398"/>
      <c r="CH730" s="398"/>
      <c r="CI730" s="398">
        <v>3.653</v>
      </c>
      <c r="CJ730" s="398">
        <v>7.97</v>
      </c>
      <c r="CK730" s="398">
        <v>7.97</v>
      </c>
      <c r="CL730" s="398">
        <v>7.97</v>
      </c>
      <c r="CM730" s="398">
        <v>7.97</v>
      </c>
      <c r="CN730" s="398">
        <v>7.97</v>
      </c>
      <c r="CO730" s="398">
        <v>7.97</v>
      </c>
      <c r="CP730" s="398">
        <v>4.3170000000000002</v>
      </c>
      <c r="CQ730" s="398"/>
      <c r="CR730" s="398"/>
      <c r="CS730" s="398"/>
      <c r="CT730" s="398"/>
      <c r="CU730" s="398"/>
      <c r="CV730" s="398"/>
      <c r="CW730" s="398"/>
      <c r="CX730" s="398"/>
      <c r="CY730" s="398"/>
      <c r="CZ730" s="398"/>
      <c r="DA730" s="398"/>
      <c r="DB730" s="398"/>
      <c r="DC730" s="398"/>
      <c r="DD730" s="398"/>
      <c r="DE730" s="393"/>
      <c r="DF730" s="393"/>
      <c r="DG730" s="393"/>
      <c r="DH730" s="393"/>
      <c r="DI730" s="393"/>
      <c r="DJ730" s="393"/>
      <c r="DK730" s="897"/>
    </row>
    <row r="731" spans="1:115" ht="15" x14ac:dyDescent="0.2">
      <c r="A731" s="295">
        <v>727</v>
      </c>
      <c r="B731" s="390" t="s">
        <v>5903</v>
      </c>
      <c r="C731" s="390"/>
      <c r="D731" s="391" t="s">
        <v>5904</v>
      </c>
      <c r="E731" s="704" t="s">
        <v>5905</v>
      </c>
      <c r="F731" s="393" t="s">
        <v>1352</v>
      </c>
      <c r="G731" s="393" t="s">
        <v>1673</v>
      </c>
      <c r="H731" s="393" t="s">
        <v>42</v>
      </c>
      <c r="I731" s="392"/>
      <c r="J731" s="392"/>
      <c r="K731" s="392" t="s">
        <v>370</v>
      </c>
      <c r="L731" s="392" t="s">
        <v>3779</v>
      </c>
      <c r="M731" s="392"/>
      <c r="N731" s="393" t="s">
        <v>44</v>
      </c>
      <c r="O731" s="393" t="s">
        <v>827</v>
      </c>
      <c r="P731" s="393" t="s">
        <v>827</v>
      </c>
      <c r="Q731" s="392" t="s">
        <v>836</v>
      </c>
      <c r="R731" s="392" t="s">
        <v>3211</v>
      </c>
      <c r="S731" s="392" t="s">
        <v>291</v>
      </c>
      <c r="T731" s="394">
        <v>1</v>
      </c>
      <c r="U731" s="395">
        <v>8.7129999999999992</v>
      </c>
      <c r="V731" s="395"/>
      <c r="W731" s="453"/>
      <c r="X731" s="394"/>
      <c r="Y731" s="394">
        <v>7</v>
      </c>
      <c r="Z731" s="394">
        <v>25</v>
      </c>
      <c r="AA731" s="395">
        <v>-7.0000000000000007E-2</v>
      </c>
      <c r="AB731" s="452">
        <v>41703</v>
      </c>
      <c r="AC731" s="398">
        <v>0</v>
      </c>
      <c r="AD731" s="398">
        <v>59.510983561643833</v>
      </c>
      <c r="AE731" s="393" t="s">
        <v>72</v>
      </c>
      <c r="AF731" s="417"/>
      <c r="AG731" s="417"/>
      <c r="AH731" s="417"/>
      <c r="AI731" s="394"/>
      <c r="AJ731" s="453"/>
      <c r="AK731" s="453"/>
      <c r="AL731" s="393"/>
      <c r="AM731" s="393"/>
      <c r="AN731" s="417"/>
      <c r="AO731" s="392"/>
      <c r="AP731" s="392"/>
      <c r="AQ731" s="392"/>
      <c r="AR731" s="392" t="s">
        <v>3779</v>
      </c>
      <c r="AS731" s="479">
        <v>40792</v>
      </c>
      <c r="AT731" s="453"/>
      <c r="AU731" s="453"/>
      <c r="AV731" s="453"/>
      <c r="AW731" s="453"/>
      <c r="AX731" s="453"/>
      <c r="AY731" s="453"/>
      <c r="AZ731" s="452">
        <v>41698</v>
      </c>
      <c r="BA731" s="393"/>
      <c r="BB731" s="393"/>
      <c r="BC731" s="393" t="b">
        <v>0</v>
      </c>
      <c r="BD731" s="393"/>
      <c r="BE731" s="392"/>
      <c r="BF731" s="394">
        <v>10</v>
      </c>
      <c r="BG731" s="394">
        <v>7</v>
      </c>
      <c r="BH731" s="394">
        <v>5</v>
      </c>
      <c r="BI731" s="394">
        <v>9</v>
      </c>
      <c r="BJ731" s="394">
        <v>4</v>
      </c>
      <c r="BK731" s="394"/>
      <c r="BL731" s="444" t="s">
        <v>6981</v>
      </c>
      <c r="BM731" s="392"/>
      <c r="BN731" s="393"/>
      <c r="BO731" s="393"/>
      <c r="BP731" s="399"/>
      <c r="BQ731" s="400"/>
      <c r="BR731" s="401"/>
      <c r="BS731" s="399">
        <v>5</v>
      </c>
      <c r="BT731" s="394">
        <v>9093</v>
      </c>
      <c r="BU731" s="417">
        <v>0.95279999999999998</v>
      </c>
      <c r="BV731" s="399"/>
      <c r="BW731" s="393" t="s">
        <v>3117</v>
      </c>
      <c r="BX731" s="392" t="s">
        <v>4364</v>
      </c>
      <c r="BY731" s="393" t="s">
        <v>7227</v>
      </c>
      <c r="BZ731" s="393"/>
      <c r="CA731" s="441"/>
      <c r="CB731" s="400"/>
      <c r="CC731" s="398"/>
      <c r="CD731" s="398"/>
      <c r="CE731" s="398"/>
      <c r="CF731" s="398"/>
      <c r="CG731" s="398"/>
      <c r="CH731" s="398"/>
      <c r="CI731" s="398"/>
      <c r="CJ731" s="398">
        <v>8.9250000000000007</v>
      </c>
      <c r="CK731" s="398">
        <v>8.8529999999999998</v>
      </c>
      <c r="CL731" s="398">
        <v>8.7829999999999995</v>
      </c>
      <c r="CM731" s="398">
        <v>8.7119999999999997</v>
      </c>
      <c r="CN731" s="398">
        <v>8.6430000000000007</v>
      </c>
      <c r="CO731" s="398">
        <v>8.5730000000000004</v>
      </c>
      <c r="CP731" s="398">
        <v>8.5050000000000008</v>
      </c>
      <c r="CQ731" s="398"/>
      <c r="CR731" s="398"/>
      <c r="CS731" s="398"/>
      <c r="CT731" s="398"/>
      <c r="CU731" s="398"/>
      <c r="CV731" s="398"/>
      <c r="CW731" s="398"/>
      <c r="CX731" s="398"/>
      <c r="CY731" s="398"/>
      <c r="CZ731" s="398"/>
      <c r="DA731" s="398"/>
      <c r="DB731" s="398"/>
      <c r="DC731" s="398"/>
      <c r="DD731" s="398"/>
      <c r="DE731" s="393"/>
      <c r="DF731" s="393"/>
      <c r="DG731" s="393"/>
      <c r="DH731" s="393"/>
      <c r="DI731" s="393"/>
      <c r="DJ731" s="393"/>
      <c r="DK731" s="897"/>
    </row>
    <row r="732" spans="1:115" ht="38.25" x14ac:dyDescent="0.2">
      <c r="A732" s="295">
        <v>728</v>
      </c>
      <c r="B732" s="390" t="s">
        <v>6953</v>
      </c>
      <c r="C732" s="390"/>
      <c r="D732" s="391" t="s">
        <v>6954</v>
      </c>
      <c r="E732" s="704" t="s">
        <v>6955</v>
      </c>
      <c r="F732" s="393" t="s">
        <v>1352</v>
      </c>
      <c r="G732" s="393" t="s">
        <v>1673</v>
      </c>
      <c r="H732" s="393" t="s">
        <v>42</v>
      </c>
      <c r="I732" s="392"/>
      <c r="J732" s="392"/>
      <c r="K732" s="392" t="s">
        <v>2252</v>
      </c>
      <c r="L732" s="392" t="s">
        <v>3779</v>
      </c>
      <c r="M732" s="392"/>
      <c r="N732" s="393" t="s">
        <v>44</v>
      </c>
      <c r="O732" s="393" t="s">
        <v>827</v>
      </c>
      <c r="P732" s="393" t="s">
        <v>827</v>
      </c>
      <c r="Q732" s="392" t="s">
        <v>836</v>
      </c>
      <c r="R732" s="392" t="s">
        <v>6956</v>
      </c>
      <c r="S732" s="392" t="s">
        <v>291</v>
      </c>
      <c r="T732" s="394">
        <v>1</v>
      </c>
      <c r="U732" s="395">
        <v>19.513999999999999</v>
      </c>
      <c r="V732" s="395"/>
      <c r="W732" s="453"/>
      <c r="X732" s="394"/>
      <c r="Y732" s="394">
        <v>7</v>
      </c>
      <c r="Z732" s="394">
        <v>25</v>
      </c>
      <c r="AA732" s="395">
        <v>0</v>
      </c>
      <c r="AB732" s="452">
        <v>42095</v>
      </c>
      <c r="AC732" s="398"/>
      <c r="AD732" s="398">
        <v>112.32579178082192</v>
      </c>
      <c r="AE732" s="393" t="s">
        <v>72</v>
      </c>
      <c r="AF732" s="417"/>
      <c r="AG732" s="417"/>
      <c r="AH732" s="417"/>
      <c r="AI732" s="394"/>
      <c r="AJ732" s="453"/>
      <c r="AK732" s="453"/>
      <c r="AL732" s="393"/>
      <c r="AM732" s="393"/>
      <c r="AN732" s="417"/>
      <c r="AO732" s="392"/>
      <c r="AP732" s="392"/>
      <c r="AQ732" s="392"/>
      <c r="AR732" s="392" t="s">
        <v>3779</v>
      </c>
      <c r="AS732" s="479">
        <v>40792</v>
      </c>
      <c r="AT732" s="453"/>
      <c r="AU732" s="453"/>
      <c r="AV732" s="453"/>
      <c r="AW732" s="453"/>
      <c r="AX732" s="453"/>
      <c r="AY732" s="453"/>
      <c r="AZ732" s="452">
        <v>42086</v>
      </c>
      <c r="BA732" s="393"/>
      <c r="BB732" s="393"/>
      <c r="BC732" s="393" t="b">
        <v>0</v>
      </c>
      <c r="BD732" s="393"/>
      <c r="BE732" s="392"/>
      <c r="BF732" s="394">
        <v>10</v>
      </c>
      <c r="BG732" s="394">
        <v>7</v>
      </c>
      <c r="BH732" s="394">
        <v>5</v>
      </c>
      <c r="BI732" s="394">
        <v>9</v>
      </c>
      <c r="BJ732" s="394">
        <v>4</v>
      </c>
      <c r="BK732" s="394"/>
      <c r="BL732" s="444" t="s">
        <v>6981</v>
      </c>
      <c r="BM732" s="392"/>
      <c r="BN732" s="393"/>
      <c r="BO732" s="393"/>
      <c r="BP732" s="399"/>
      <c r="BQ732" s="400"/>
      <c r="BR732" s="401"/>
      <c r="BS732" s="399">
        <v>11.25</v>
      </c>
      <c r="BT732" s="394">
        <v>15490</v>
      </c>
      <c r="BU732" s="417">
        <v>0.97699999999999998</v>
      </c>
      <c r="BV732" s="399"/>
      <c r="BW732" s="393" t="s">
        <v>3117</v>
      </c>
      <c r="BX732" s="392" t="s">
        <v>4364</v>
      </c>
      <c r="BY732" s="393" t="s">
        <v>7227</v>
      </c>
      <c r="BZ732" s="393"/>
      <c r="CA732" s="441"/>
      <c r="CB732" s="400"/>
      <c r="CC732" s="398"/>
      <c r="CD732" s="398"/>
      <c r="CE732" s="398"/>
      <c r="CF732" s="398"/>
      <c r="CG732" s="398"/>
      <c r="CH732" s="398"/>
      <c r="CI732" s="398"/>
      <c r="CJ732" s="398"/>
      <c r="CK732" s="398">
        <v>19.513999999999999</v>
      </c>
      <c r="CL732" s="398">
        <v>19.513999999999999</v>
      </c>
      <c r="CM732" s="398">
        <v>19.513999999999999</v>
      </c>
      <c r="CN732" s="398">
        <v>19.513999999999999</v>
      </c>
      <c r="CO732" s="398">
        <v>19.513999999999999</v>
      </c>
      <c r="CP732" s="398">
        <v>19.513999999999999</v>
      </c>
      <c r="CQ732" s="398">
        <v>19.513999999999999</v>
      </c>
      <c r="CR732" s="398"/>
      <c r="CS732" s="398"/>
      <c r="CT732" s="398"/>
      <c r="CU732" s="398"/>
      <c r="CV732" s="398"/>
      <c r="CW732" s="398"/>
      <c r="CX732" s="398"/>
      <c r="CY732" s="398"/>
      <c r="CZ732" s="398"/>
      <c r="DA732" s="398"/>
      <c r="DB732" s="398"/>
      <c r="DC732" s="398"/>
      <c r="DD732" s="398"/>
      <c r="DE732" s="393"/>
      <c r="DF732" s="393"/>
      <c r="DG732" s="393"/>
      <c r="DH732" s="393"/>
      <c r="DI732" s="393"/>
      <c r="DJ732" s="393"/>
      <c r="DK732" s="897"/>
    </row>
    <row r="733" spans="1:115" ht="38.25" x14ac:dyDescent="0.2">
      <c r="A733" s="295">
        <v>729</v>
      </c>
      <c r="B733" s="390" t="s">
        <v>6997</v>
      </c>
      <c r="C733" s="390"/>
      <c r="D733" s="391" t="s">
        <v>6998</v>
      </c>
      <c r="E733" s="704" t="s">
        <v>6999</v>
      </c>
      <c r="F733" s="393" t="s">
        <v>1352</v>
      </c>
      <c r="G733" s="393" t="s">
        <v>1673</v>
      </c>
      <c r="H733" s="393" t="s">
        <v>42</v>
      </c>
      <c r="I733" s="392"/>
      <c r="J733" s="392"/>
      <c r="K733" s="392" t="s">
        <v>2252</v>
      </c>
      <c r="L733" s="392" t="s">
        <v>3779</v>
      </c>
      <c r="M733" s="392"/>
      <c r="N733" s="393" t="s">
        <v>44</v>
      </c>
      <c r="O733" s="393" t="s">
        <v>827</v>
      </c>
      <c r="P733" s="393" t="s">
        <v>827</v>
      </c>
      <c r="Q733" s="392" t="s">
        <v>836</v>
      </c>
      <c r="R733" s="392" t="s">
        <v>7000</v>
      </c>
      <c r="S733" s="392" t="s">
        <v>291</v>
      </c>
      <c r="T733" s="394">
        <v>1</v>
      </c>
      <c r="U733" s="395">
        <v>18.969000000000001</v>
      </c>
      <c r="V733" s="395"/>
      <c r="W733" s="453"/>
      <c r="X733" s="394"/>
      <c r="Y733" s="394">
        <v>7</v>
      </c>
      <c r="Z733" s="394">
        <v>25</v>
      </c>
      <c r="AA733" s="395">
        <v>0</v>
      </c>
      <c r="AB733" s="452">
        <v>42095</v>
      </c>
      <c r="AC733" s="398"/>
      <c r="AD733" s="398">
        <v>109.18868219178084</v>
      </c>
      <c r="AE733" s="393" t="s">
        <v>72</v>
      </c>
      <c r="AF733" s="417"/>
      <c r="AG733" s="417"/>
      <c r="AH733" s="417"/>
      <c r="AI733" s="394"/>
      <c r="AJ733" s="453"/>
      <c r="AK733" s="453"/>
      <c r="AL733" s="393"/>
      <c r="AM733" s="393"/>
      <c r="AN733" s="417"/>
      <c r="AO733" s="392"/>
      <c r="AP733" s="392"/>
      <c r="AQ733" s="392"/>
      <c r="AR733" s="392" t="s">
        <v>3779</v>
      </c>
      <c r="AS733" s="479">
        <v>40792</v>
      </c>
      <c r="AT733" s="453"/>
      <c r="AU733" s="453"/>
      <c r="AV733" s="453"/>
      <c r="AW733" s="453"/>
      <c r="AX733" s="453"/>
      <c r="AY733" s="453"/>
      <c r="AZ733" s="452">
        <v>42095</v>
      </c>
      <c r="BA733" s="393"/>
      <c r="BB733" s="393"/>
      <c r="BC733" s="393" t="b">
        <v>0</v>
      </c>
      <c r="BD733" s="393"/>
      <c r="BE733" s="392"/>
      <c r="BF733" s="394">
        <v>10</v>
      </c>
      <c r="BG733" s="394">
        <v>7</v>
      </c>
      <c r="BH733" s="394">
        <v>5</v>
      </c>
      <c r="BI733" s="394">
        <v>9</v>
      </c>
      <c r="BJ733" s="394">
        <v>4</v>
      </c>
      <c r="BK733" s="394"/>
      <c r="BL733" s="444" t="s">
        <v>6981</v>
      </c>
      <c r="BM733" s="392"/>
      <c r="BN733" s="393"/>
      <c r="BO733" s="393"/>
      <c r="BP733" s="399"/>
      <c r="BQ733" s="400"/>
      <c r="BR733" s="401"/>
      <c r="BS733" s="399">
        <v>10.5</v>
      </c>
      <c r="BT733" s="394">
        <v>19416</v>
      </c>
      <c r="BU733" s="417">
        <v>0.97699999999999998</v>
      </c>
      <c r="BV733" s="399"/>
      <c r="BW733" s="393" t="s">
        <v>3117</v>
      </c>
      <c r="BX733" s="392" t="s">
        <v>4364</v>
      </c>
      <c r="BY733" s="393" t="s">
        <v>7227</v>
      </c>
      <c r="BZ733" s="393"/>
      <c r="CA733" s="441"/>
      <c r="CB733" s="400"/>
      <c r="CC733" s="398"/>
      <c r="CD733" s="398"/>
      <c r="CE733" s="398"/>
      <c r="CF733" s="398"/>
      <c r="CG733" s="398"/>
      <c r="CH733" s="398"/>
      <c r="CI733" s="398"/>
      <c r="CJ733" s="398"/>
      <c r="CK733" s="398">
        <v>18.969000000000001</v>
      </c>
      <c r="CL733" s="398">
        <v>18.969000000000001</v>
      </c>
      <c r="CM733" s="398">
        <v>18.969000000000001</v>
      </c>
      <c r="CN733" s="398">
        <v>18.969000000000001</v>
      </c>
      <c r="CO733" s="398">
        <v>18.969000000000001</v>
      </c>
      <c r="CP733" s="398">
        <v>18.969000000000001</v>
      </c>
      <c r="CQ733" s="398">
        <v>18.969000000000001</v>
      </c>
      <c r="CR733" s="398"/>
      <c r="CS733" s="398"/>
      <c r="CT733" s="398"/>
      <c r="CU733" s="398"/>
      <c r="CV733" s="398"/>
      <c r="CW733" s="398"/>
      <c r="CX733" s="398"/>
      <c r="CY733" s="398"/>
      <c r="CZ733" s="398"/>
      <c r="DA733" s="398"/>
      <c r="DB733" s="398"/>
      <c r="DC733" s="398"/>
      <c r="DD733" s="398"/>
      <c r="DE733" s="393"/>
      <c r="DF733" s="393"/>
      <c r="DG733" s="393"/>
      <c r="DH733" s="393"/>
      <c r="DI733" s="393"/>
      <c r="DJ733" s="393"/>
      <c r="DK733" s="897"/>
    </row>
    <row r="734" spans="1:115" ht="25.5" x14ac:dyDescent="0.2">
      <c r="A734" s="295">
        <v>730</v>
      </c>
      <c r="B734" s="390" t="s">
        <v>9070</v>
      </c>
      <c r="C734" s="390"/>
      <c r="D734" s="391" t="s">
        <v>9071</v>
      </c>
      <c r="E734" s="709" t="s">
        <v>9072</v>
      </c>
      <c r="F734" s="393" t="s">
        <v>1352</v>
      </c>
      <c r="G734" s="393" t="s">
        <v>1673</v>
      </c>
      <c r="H734" s="393" t="s">
        <v>42</v>
      </c>
      <c r="I734" s="563"/>
      <c r="J734" s="563"/>
      <c r="K734" s="560" t="s">
        <v>2252</v>
      </c>
      <c r="L734" s="560" t="s">
        <v>3779</v>
      </c>
      <c r="M734" s="563"/>
      <c r="N734" s="393" t="s">
        <v>44</v>
      </c>
      <c r="O734" s="393" t="s">
        <v>827</v>
      </c>
      <c r="P734" s="393" t="s">
        <v>827</v>
      </c>
      <c r="Q734" s="392" t="s">
        <v>836</v>
      </c>
      <c r="R734" s="560" t="s">
        <v>9073</v>
      </c>
      <c r="S734" s="560" t="s">
        <v>291</v>
      </c>
      <c r="T734" s="564">
        <v>1</v>
      </c>
      <c r="U734" s="565">
        <v>22.298999999999999</v>
      </c>
      <c r="V734" s="565"/>
      <c r="W734" s="566"/>
      <c r="X734" s="564"/>
      <c r="Y734" s="564">
        <v>7</v>
      </c>
      <c r="Z734" s="564">
        <v>25</v>
      </c>
      <c r="AA734" s="565">
        <v>0</v>
      </c>
      <c r="AB734" s="567">
        <v>42948</v>
      </c>
      <c r="AC734" s="568"/>
      <c r="AD734" s="568">
        <v>76.244252054794515</v>
      </c>
      <c r="AE734" s="562" t="s">
        <v>72</v>
      </c>
      <c r="AF734" s="569"/>
      <c r="AG734" s="569"/>
      <c r="AH734" s="569"/>
      <c r="AI734" s="564"/>
      <c r="AJ734" s="566"/>
      <c r="AK734" s="566"/>
      <c r="AL734" s="561"/>
      <c r="AM734" s="561"/>
      <c r="AN734" s="569"/>
      <c r="AO734" s="563"/>
      <c r="AP734" s="563"/>
      <c r="AQ734" s="563"/>
      <c r="AR734" s="560" t="s">
        <v>3779</v>
      </c>
      <c r="AS734" s="578">
        <v>40792</v>
      </c>
      <c r="AT734" s="566"/>
      <c r="AU734" s="566"/>
      <c r="AV734" s="566"/>
      <c r="AW734" s="566"/>
      <c r="AX734" s="566"/>
      <c r="AY734" s="566"/>
      <c r="AZ734" s="567">
        <v>42947</v>
      </c>
      <c r="BA734" s="561"/>
      <c r="BB734" s="561"/>
      <c r="BC734" s="561" t="b">
        <v>0</v>
      </c>
      <c r="BD734" s="561"/>
      <c r="BE734" s="563"/>
      <c r="BF734" s="394">
        <v>10</v>
      </c>
      <c r="BG734" s="394">
        <v>7</v>
      </c>
      <c r="BH734" s="394">
        <v>5</v>
      </c>
      <c r="BI734" s="394">
        <v>9</v>
      </c>
      <c r="BJ734" s="394">
        <v>4</v>
      </c>
      <c r="BK734" s="394"/>
      <c r="BL734" s="444" t="s">
        <v>6981</v>
      </c>
      <c r="BM734" s="563"/>
      <c r="BN734" s="561"/>
      <c r="BO734" s="561"/>
      <c r="BP734" s="571"/>
      <c r="BQ734" s="572"/>
      <c r="BR734" s="573"/>
      <c r="BS734" s="571">
        <v>15</v>
      </c>
      <c r="BT734" s="564">
        <v>23103</v>
      </c>
      <c r="BU734" s="569">
        <v>0.97699999999999998</v>
      </c>
      <c r="BV734" s="571"/>
      <c r="BW734" s="562" t="s">
        <v>3117</v>
      </c>
      <c r="BX734" s="560" t="s">
        <v>4364</v>
      </c>
      <c r="BY734" s="562" t="s">
        <v>7227</v>
      </c>
      <c r="BZ734" s="561"/>
      <c r="CA734" s="574"/>
      <c r="CB734" s="572"/>
      <c r="CC734" s="568"/>
      <c r="CD734" s="568"/>
      <c r="CE734" s="568"/>
      <c r="CF734" s="568"/>
      <c r="CG734" s="568"/>
      <c r="CH734" s="568"/>
      <c r="CI734" s="568"/>
      <c r="CJ734" s="568"/>
      <c r="CK734" s="568"/>
      <c r="CL734" s="568"/>
      <c r="CM734" s="568">
        <v>22.298999999999999</v>
      </c>
      <c r="CN734" s="568">
        <v>22.298999999999999</v>
      </c>
      <c r="CO734" s="568">
        <v>22.298999999999999</v>
      </c>
      <c r="CP734" s="568">
        <v>22.298999999999999</v>
      </c>
      <c r="CQ734" s="568">
        <v>22.298999999999999</v>
      </c>
      <c r="CR734" s="568">
        <v>22.298999999999999</v>
      </c>
      <c r="CS734" s="568">
        <v>22.298999999999999</v>
      </c>
      <c r="CT734" s="568"/>
      <c r="CU734" s="568"/>
      <c r="CV734" s="568"/>
      <c r="CW734" s="568"/>
      <c r="CX734" s="568"/>
      <c r="CY734" s="568"/>
      <c r="CZ734" s="568"/>
      <c r="DA734" s="568"/>
      <c r="DB734" s="568"/>
      <c r="DC734" s="568"/>
      <c r="DD734" s="568"/>
      <c r="DE734" s="561"/>
      <c r="DF734" s="561"/>
      <c r="DG734" s="561"/>
      <c r="DH734" s="561"/>
      <c r="DI734" s="561"/>
      <c r="DJ734" s="561"/>
      <c r="DK734" s="897"/>
    </row>
    <row r="735" spans="1:115" ht="38.25" x14ac:dyDescent="0.2">
      <c r="A735" s="295">
        <v>731</v>
      </c>
      <c r="B735" s="390" t="s">
        <v>1142</v>
      </c>
      <c r="C735" s="424" t="s">
        <v>7545</v>
      </c>
      <c r="D735" s="391" t="s">
        <v>5264</v>
      </c>
      <c r="E735" s="704" t="s">
        <v>1143</v>
      </c>
      <c r="F735" s="393" t="s">
        <v>1352</v>
      </c>
      <c r="G735" s="393" t="s">
        <v>1672</v>
      </c>
      <c r="H735" s="393" t="s">
        <v>78</v>
      </c>
      <c r="I735" s="392"/>
      <c r="J735" s="392" t="s">
        <v>78</v>
      </c>
      <c r="K735" s="392"/>
      <c r="L735" s="392" t="s">
        <v>1144</v>
      </c>
      <c r="M735" s="392" t="s">
        <v>3212</v>
      </c>
      <c r="N735" s="393" t="s">
        <v>44</v>
      </c>
      <c r="O735" s="393" t="s">
        <v>34</v>
      </c>
      <c r="P735" s="393" t="s">
        <v>34</v>
      </c>
      <c r="Q735" s="392" t="s">
        <v>1145</v>
      </c>
      <c r="R735" s="392"/>
      <c r="S735" s="392" t="s">
        <v>912</v>
      </c>
      <c r="T735" s="394">
        <v>1</v>
      </c>
      <c r="U735" s="395">
        <v>52.673999999999999</v>
      </c>
      <c r="V735" s="395"/>
      <c r="W735" s="452">
        <v>40792</v>
      </c>
      <c r="X735" s="394">
        <v>28</v>
      </c>
      <c r="Y735" s="394"/>
      <c r="Z735" s="394"/>
      <c r="AA735" s="395"/>
      <c r="AB735" s="453"/>
      <c r="AC735" s="398">
        <v>0</v>
      </c>
      <c r="AD735" s="398">
        <v>526.74</v>
      </c>
      <c r="AE735" s="393" t="s">
        <v>54</v>
      </c>
      <c r="AF735" s="417"/>
      <c r="AG735" s="417"/>
      <c r="AH735" s="417">
        <v>0</v>
      </c>
      <c r="AI735" s="394"/>
      <c r="AJ735" s="453"/>
      <c r="AK735" s="453"/>
      <c r="AL735" s="393"/>
      <c r="AM735" s="393"/>
      <c r="AN735" s="417"/>
      <c r="AO735" s="392"/>
      <c r="AP735" s="392" t="s">
        <v>7079</v>
      </c>
      <c r="AQ735" s="392"/>
      <c r="AR735" s="392" t="s">
        <v>1144</v>
      </c>
      <c r="AS735" s="479">
        <v>40792</v>
      </c>
      <c r="AT735" s="453"/>
      <c r="AU735" s="453"/>
      <c r="AV735" s="452">
        <v>40974</v>
      </c>
      <c r="AW735" s="452">
        <v>41273</v>
      </c>
      <c r="AX735" s="452">
        <v>41458</v>
      </c>
      <c r="AY735" s="452">
        <v>41273</v>
      </c>
      <c r="AZ735" s="453"/>
      <c r="BA735" s="393"/>
      <c r="BB735" s="393" t="s">
        <v>3116</v>
      </c>
      <c r="BC735" s="393" t="b">
        <v>0</v>
      </c>
      <c r="BD735" s="393" t="s">
        <v>3116</v>
      </c>
      <c r="BE735" s="392"/>
      <c r="BF735" s="394">
        <v>3</v>
      </c>
      <c r="BG735" s="394">
        <v>6</v>
      </c>
      <c r="BH735" s="394">
        <v>8</v>
      </c>
      <c r="BI735" s="394">
        <v>9</v>
      </c>
      <c r="BJ735" s="394">
        <v>5</v>
      </c>
      <c r="BK735" s="394"/>
      <c r="BL735" s="444"/>
      <c r="BM735" s="392"/>
      <c r="BN735" s="393"/>
      <c r="BO735" s="393"/>
      <c r="BP735" s="399"/>
      <c r="BQ735" s="400"/>
      <c r="BR735" s="401"/>
      <c r="BS735" s="399">
        <v>0</v>
      </c>
      <c r="BT735" s="394"/>
      <c r="BU735" s="417"/>
      <c r="BV735" s="399"/>
      <c r="BW735" s="393"/>
      <c r="BX735" s="392"/>
      <c r="BY735" s="393"/>
      <c r="BZ735" s="393"/>
      <c r="CA735" s="441"/>
      <c r="CB735" s="400"/>
      <c r="CC735" s="398"/>
      <c r="CD735" s="398"/>
      <c r="CE735" s="398"/>
      <c r="CF735" s="398"/>
      <c r="CG735" s="398"/>
      <c r="CH735" s="398"/>
      <c r="CI735" s="398"/>
      <c r="CJ735" s="398"/>
      <c r="CK735" s="398"/>
      <c r="CL735" s="398"/>
      <c r="CM735" s="398"/>
      <c r="CN735" s="398"/>
      <c r="CO735" s="398"/>
      <c r="CP735" s="398"/>
      <c r="CQ735" s="398"/>
      <c r="CR735" s="398"/>
      <c r="CS735" s="398"/>
      <c r="CT735" s="398"/>
      <c r="CU735" s="398"/>
      <c r="CV735" s="398"/>
      <c r="CW735" s="398"/>
      <c r="CX735" s="398"/>
      <c r="CY735" s="398"/>
      <c r="CZ735" s="398"/>
      <c r="DA735" s="398"/>
      <c r="DB735" s="398"/>
      <c r="DC735" s="398"/>
      <c r="DD735" s="398"/>
      <c r="DE735" s="393"/>
      <c r="DF735" s="393"/>
      <c r="DG735" s="393"/>
      <c r="DH735" s="393"/>
      <c r="DI735" s="393"/>
      <c r="DJ735" s="393"/>
      <c r="DK735" s="896" t="s">
        <v>9700</v>
      </c>
    </row>
    <row r="736" spans="1:115" ht="51" x14ac:dyDescent="0.2">
      <c r="A736" s="295">
        <v>732</v>
      </c>
      <c r="B736" s="390" t="s">
        <v>2717</v>
      </c>
      <c r="C736" s="390"/>
      <c r="D736" s="391" t="s">
        <v>5265</v>
      </c>
      <c r="E736" s="704" t="s">
        <v>1146</v>
      </c>
      <c r="F736" s="393" t="s">
        <v>1352</v>
      </c>
      <c r="G736" s="393" t="s">
        <v>1672</v>
      </c>
      <c r="H736" s="393" t="s">
        <v>78</v>
      </c>
      <c r="I736" s="392"/>
      <c r="J736" s="392"/>
      <c r="K736" s="392" t="s">
        <v>2173</v>
      </c>
      <c r="L736" s="392" t="s">
        <v>1144</v>
      </c>
      <c r="M736" s="392"/>
      <c r="N736" s="393" t="s">
        <v>44</v>
      </c>
      <c r="O736" s="393" t="s">
        <v>34</v>
      </c>
      <c r="P736" s="393" t="s">
        <v>34</v>
      </c>
      <c r="Q736" s="392" t="s">
        <v>1145</v>
      </c>
      <c r="R736" s="392" t="s">
        <v>3213</v>
      </c>
      <c r="S736" s="392" t="s">
        <v>912</v>
      </c>
      <c r="T736" s="394">
        <v>1</v>
      </c>
      <c r="U736" s="395">
        <v>52.673999999999999</v>
      </c>
      <c r="V736" s="395"/>
      <c r="W736" s="453"/>
      <c r="X736" s="394"/>
      <c r="Y736" s="394">
        <v>10</v>
      </c>
      <c r="Z736" s="394">
        <v>7</v>
      </c>
      <c r="AA736" s="395">
        <v>0</v>
      </c>
      <c r="AB736" s="452">
        <v>41305</v>
      </c>
      <c r="AC736" s="398">
        <v>0</v>
      </c>
      <c r="AD736" s="398">
        <v>526.74</v>
      </c>
      <c r="AE736" s="393" t="s">
        <v>54</v>
      </c>
      <c r="AF736" s="417"/>
      <c r="AG736" s="417"/>
      <c r="AH736" s="417"/>
      <c r="AI736" s="394"/>
      <c r="AJ736" s="453"/>
      <c r="AK736" s="453"/>
      <c r="AL736" s="393"/>
      <c r="AM736" s="393"/>
      <c r="AN736" s="417"/>
      <c r="AO736" s="392"/>
      <c r="AP736" s="392" t="s">
        <v>7079</v>
      </c>
      <c r="AQ736" s="392"/>
      <c r="AR736" s="392" t="s">
        <v>1144</v>
      </c>
      <c r="AS736" s="479">
        <v>40792</v>
      </c>
      <c r="AT736" s="397"/>
      <c r="AU736" s="397"/>
      <c r="AV736" s="453"/>
      <c r="AW736" s="453"/>
      <c r="AX736" s="453"/>
      <c r="AY736" s="453"/>
      <c r="AZ736" s="452">
        <v>41273</v>
      </c>
      <c r="BA736" s="393"/>
      <c r="BB736" s="393"/>
      <c r="BC736" s="393" t="b">
        <v>0</v>
      </c>
      <c r="BD736" s="393"/>
      <c r="BE736" s="392"/>
      <c r="BF736" s="394">
        <v>3</v>
      </c>
      <c r="BG736" s="394">
        <v>6</v>
      </c>
      <c r="BH736" s="394">
        <v>8</v>
      </c>
      <c r="BI736" s="394">
        <v>9</v>
      </c>
      <c r="BJ736" s="394">
        <v>5</v>
      </c>
      <c r="BK736" s="394"/>
      <c r="BL736" s="444" t="s">
        <v>1451</v>
      </c>
      <c r="BM736" s="392" t="s">
        <v>1144</v>
      </c>
      <c r="BN736" s="393" t="s">
        <v>3214</v>
      </c>
      <c r="BO736" s="393"/>
      <c r="BP736" s="399"/>
      <c r="BQ736" s="400"/>
      <c r="BR736" s="401"/>
      <c r="BS736" s="399"/>
      <c r="BT736" s="394"/>
      <c r="BU736" s="417"/>
      <c r="BV736" s="399"/>
      <c r="BW736" s="393" t="s">
        <v>3117</v>
      </c>
      <c r="BX736" s="392"/>
      <c r="BY736" s="393"/>
      <c r="BZ736" s="393"/>
      <c r="CA736" s="441"/>
      <c r="CB736" s="400"/>
      <c r="CC736" s="398"/>
      <c r="CD736" s="398"/>
      <c r="CE736" s="398"/>
      <c r="CF736" s="398"/>
      <c r="CG736" s="398"/>
      <c r="CH736" s="398"/>
      <c r="CI736" s="398">
        <v>52.673999999999999</v>
      </c>
      <c r="CJ736" s="398">
        <v>52.673999999999999</v>
      </c>
      <c r="CK736" s="398">
        <v>52.673999999999999</v>
      </c>
      <c r="CL736" s="398">
        <v>52.673999999999999</v>
      </c>
      <c r="CM736" s="398">
        <v>52.673999999999999</v>
      </c>
      <c r="CN736" s="398">
        <v>52.673999999999999</v>
      </c>
      <c r="CO736" s="398">
        <v>52.673999999999999</v>
      </c>
      <c r="CP736" s="398"/>
      <c r="CQ736" s="398"/>
      <c r="CR736" s="398"/>
      <c r="CS736" s="398"/>
      <c r="CT736" s="398"/>
      <c r="CU736" s="398"/>
      <c r="CV736" s="398"/>
      <c r="CW736" s="398"/>
      <c r="CX736" s="398"/>
      <c r="CY736" s="398"/>
      <c r="CZ736" s="398"/>
      <c r="DA736" s="398"/>
      <c r="DB736" s="398"/>
      <c r="DC736" s="398"/>
      <c r="DD736" s="398"/>
      <c r="DE736" s="393"/>
      <c r="DF736" s="393"/>
      <c r="DG736" s="393"/>
      <c r="DH736" s="393"/>
      <c r="DI736" s="393"/>
      <c r="DJ736" s="393"/>
      <c r="DK736" s="897"/>
    </row>
    <row r="737" spans="1:115" ht="63.75" x14ac:dyDescent="0.2">
      <c r="A737" s="295">
        <v>733</v>
      </c>
      <c r="B737" s="390" t="s">
        <v>859</v>
      </c>
      <c r="C737" s="424" t="s">
        <v>7546</v>
      </c>
      <c r="D737" s="391" t="s">
        <v>5104</v>
      </c>
      <c r="E737" s="704" t="s">
        <v>860</v>
      </c>
      <c r="F737" s="393" t="s">
        <v>1375</v>
      </c>
      <c r="G737" s="393" t="s">
        <v>998</v>
      </c>
      <c r="H737" s="393" t="s">
        <v>218</v>
      </c>
      <c r="I737" s="392" t="s">
        <v>245</v>
      </c>
      <c r="J737" s="392" t="s">
        <v>861</v>
      </c>
      <c r="K737" s="392"/>
      <c r="L737" s="392" t="s">
        <v>862</v>
      </c>
      <c r="M737" s="392" t="s">
        <v>3215</v>
      </c>
      <c r="N737" s="393" t="s">
        <v>44</v>
      </c>
      <c r="O737" s="393" t="s">
        <v>827</v>
      </c>
      <c r="P737" s="393" t="s">
        <v>51</v>
      </c>
      <c r="Q737" s="392" t="s">
        <v>828</v>
      </c>
      <c r="R737" s="392"/>
      <c r="S737" s="392" t="s">
        <v>483</v>
      </c>
      <c r="T737" s="394">
        <v>2</v>
      </c>
      <c r="U737" s="395">
        <v>17.713999999999999</v>
      </c>
      <c r="V737" s="395"/>
      <c r="W737" s="452">
        <v>40886</v>
      </c>
      <c r="X737" s="394">
        <v>28</v>
      </c>
      <c r="Y737" s="394"/>
      <c r="Z737" s="394"/>
      <c r="AA737" s="395"/>
      <c r="AB737" s="453"/>
      <c r="AC737" s="398">
        <v>4.8745000000000003</v>
      </c>
      <c r="AD737" s="398">
        <v>177.14000000000001</v>
      </c>
      <c r="AE737" s="393" t="s">
        <v>355</v>
      </c>
      <c r="AF737" s="417"/>
      <c r="AG737" s="417"/>
      <c r="AH737" s="417">
        <v>0</v>
      </c>
      <c r="AI737" s="394"/>
      <c r="AJ737" s="453"/>
      <c r="AK737" s="453"/>
      <c r="AL737" s="393"/>
      <c r="AM737" s="393"/>
      <c r="AN737" s="417"/>
      <c r="AO737" s="392"/>
      <c r="AP737" s="392" t="s">
        <v>55</v>
      </c>
      <c r="AQ737" s="392"/>
      <c r="AR737" s="392" t="s">
        <v>356</v>
      </c>
      <c r="AS737" s="479">
        <v>40793</v>
      </c>
      <c r="AT737" s="453"/>
      <c r="AU737" s="453"/>
      <c r="AV737" s="452">
        <v>41022</v>
      </c>
      <c r="AW737" s="452">
        <v>41025</v>
      </c>
      <c r="AX737" s="452">
        <v>41174</v>
      </c>
      <c r="AY737" s="452">
        <v>41115</v>
      </c>
      <c r="AZ737" s="453"/>
      <c r="BA737" s="393"/>
      <c r="BB737" s="393" t="s">
        <v>3147</v>
      </c>
      <c r="BC737" s="393" t="b">
        <v>0</v>
      </c>
      <c r="BD737" s="393" t="s">
        <v>3147</v>
      </c>
      <c r="BE737" s="392"/>
      <c r="BF737" s="394">
        <v>9</v>
      </c>
      <c r="BG737" s="394">
        <v>8</v>
      </c>
      <c r="BH737" s="394">
        <v>7</v>
      </c>
      <c r="BI737" s="394">
        <v>6</v>
      </c>
      <c r="BJ737" s="394"/>
      <c r="BK737" s="394"/>
      <c r="BL737" s="444"/>
      <c r="BM737" s="392"/>
      <c r="BN737" s="393"/>
      <c r="BO737" s="393"/>
      <c r="BP737" s="399"/>
      <c r="BQ737" s="400"/>
      <c r="BR737" s="401"/>
      <c r="BS737" s="399">
        <v>0</v>
      </c>
      <c r="BT737" s="394"/>
      <c r="BU737" s="417"/>
      <c r="BV737" s="399"/>
      <c r="BW737" s="393"/>
      <c r="BX737" s="392"/>
      <c r="BY737" s="393"/>
      <c r="BZ737" s="393"/>
      <c r="CA737" s="441"/>
      <c r="CB737" s="400"/>
      <c r="CC737" s="398"/>
      <c r="CD737" s="398"/>
      <c r="CE737" s="398"/>
      <c r="CF737" s="398"/>
      <c r="CG737" s="398"/>
      <c r="CH737" s="398"/>
      <c r="CI737" s="398"/>
      <c r="CJ737" s="398"/>
      <c r="CK737" s="398"/>
      <c r="CL737" s="398"/>
      <c r="CM737" s="398"/>
      <c r="CN737" s="398"/>
      <c r="CO737" s="398"/>
      <c r="CP737" s="398"/>
      <c r="CQ737" s="398"/>
      <c r="CR737" s="398"/>
      <c r="CS737" s="398"/>
      <c r="CT737" s="398"/>
      <c r="CU737" s="398"/>
      <c r="CV737" s="398"/>
      <c r="CW737" s="398"/>
      <c r="CX737" s="398"/>
      <c r="CY737" s="398"/>
      <c r="CZ737" s="398"/>
      <c r="DA737" s="398"/>
      <c r="DB737" s="398"/>
      <c r="DC737" s="398"/>
      <c r="DD737" s="398"/>
      <c r="DE737" s="393"/>
      <c r="DF737" s="393"/>
      <c r="DG737" s="393"/>
      <c r="DH737" s="393"/>
      <c r="DI737" s="393"/>
      <c r="DJ737" s="393"/>
      <c r="DK737" s="896" t="s">
        <v>9701</v>
      </c>
    </row>
    <row r="738" spans="1:115" ht="25.5" x14ac:dyDescent="0.2">
      <c r="A738" s="295">
        <v>734</v>
      </c>
      <c r="B738" s="390" t="s">
        <v>2718</v>
      </c>
      <c r="C738" s="390"/>
      <c r="D738" s="391" t="s">
        <v>3216</v>
      </c>
      <c r="E738" s="704" t="s">
        <v>863</v>
      </c>
      <c r="F738" s="393" t="s">
        <v>1375</v>
      </c>
      <c r="G738" s="393" t="s">
        <v>998</v>
      </c>
      <c r="H738" s="393" t="s">
        <v>218</v>
      </c>
      <c r="I738" s="392"/>
      <c r="J738" s="392"/>
      <c r="K738" s="392" t="s">
        <v>218</v>
      </c>
      <c r="L738" s="392" t="s">
        <v>862</v>
      </c>
      <c r="M738" s="392"/>
      <c r="N738" s="393" t="s">
        <v>44</v>
      </c>
      <c r="O738" s="393" t="s">
        <v>827</v>
      </c>
      <c r="P738" s="393" t="s">
        <v>51</v>
      </c>
      <c r="Q738" s="392" t="s">
        <v>828</v>
      </c>
      <c r="R738" s="392" t="s">
        <v>3217</v>
      </c>
      <c r="S738" s="392" t="s">
        <v>483</v>
      </c>
      <c r="T738" s="394">
        <v>1</v>
      </c>
      <c r="U738" s="395">
        <v>9.7490000000000006</v>
      </c>
      <c r="V738" s="395"/>
      <c r="W738" s="453"/>
      <c r="X738" s="394"/>
      <c r="Y738" s="394">
        <v>10</v>
      </c>
      <c r="Z738" s="394">
        <v>10</v>
      </c>
      <c r="AA738" s="395">
        <v>0.28499999999999998</v>
      </c>
      <c r="AB738" s="452">
        <v>41091</v>
      </c>
      <c r="AC738" s="398">
        <v>4.8745000000000003</v>
      </c>
      <c r="AD738" s="398">
        <v>97.490000000000009</v>
      </c>
      <c r="AE738" s="393" t="s">
        <v>355</v>
      </c>
      <c r="AF738" s="417"/>
      <c r="AG738" s="417"/>
      <c r="AH738" s="417"/>
      <c r="AI738" s="394"/>
      <c r="AJ738" s="453"/>
      <c r="AK738" s="453"/>
      <c r="AL738" s="393"/>
      <c r="AM738" s="393"/>
      <c r="AN738" s="417"/>
      <c r="AO738" s="392"/>
      <c r="AP738" s="392" t="s">
        <v>55</v>
      </c>
      <c r="AQ738" s="392"/>
      <c r="AR738" s="392" t="s">
        <v>356</v>
      </c>
      <c r="AS738" s="479">
        <v>40793</v>
      </c>
      <c r="AT738" s="453"/>
      <c r="AU738" s="453"/>
      <c r="AV738" s="453"/>
      <c r="AW738" s="453"/>
      <c r="AX738" s="453"/>
      <c r="AY738" s="453"/>
      <c r="AZ738" s="452">
        <v>41115</v>
      </c>
      <c r="BA738" s="393"/>
      <c r="BB738" s="393"/>
      <c r="BC738" s="393" t="b">
        <v>0</v>
      </c>
      <c r="BD738" s="393"/>
      <c r="BE738" s="392"/>
      <c r="BF738" s="394">
        <v>9</v>
      </c>
      <c r="BG738" s="394">
        <v>8</v>
      </c>
      <c r="BH738" s="394">
        <v>7</v>
      </c>
      <c r="BI738" s="394">
        <v>6</v>
      </c>
      <c r="BJ738" s="394"/>
      <c r="BK738" s="394"/>
      <c r="BL738" s="444" t="s">
        <v>6981</v>
      </c>
      <c r="BM738" s="392"/>
      <c r="BN738" s="393"/>
      <c r="BO738" s="393"/>
      <c r="BP738" s="399"/>
      <c r="BQ738" s="400"/>
      <c r="BR738" s="401"/>
      <c r="BS738" s="399"/>
      <c r="BT738" s="394"/>
      <c r="BU738" s="417"/>
      <c r="BV738" s="399"/>
      <c r="BW738" s="393" t="s">
        <v>3117</v>
      </c>
      <c r="BX738" s="392" t="s">
        <v>1450</v>
      </c>
      <c r="BY738" s="475" t="s">
        <v>7226</v>
      </c>
      <c r="BZ738" s="393"/>
      <c r="CA738" s="441"/>
      <c r="CB738" s="400"/>
      <c r="CC738" s="398"/>
      <c r="CD738" s="398"/>
      <c r="CE738" s="398"/>
      <c r="CF738" s="398"/>
      <c r="CG738" s="398"/>
      <c r="CH738" s="398">
        <v>9.27</v>
      </c>
      <c r="CI738" s="398">
        <v>19.908000000000001</v>
      </c>
      <c r="CJ738" s="398">
        <v>35.341000000000001</v>
      </c>
      <c r="CK738" s="398">
        <v>54.103000000000002</v>
      </c>
      <c r="CL738" s="398">
        <v>58.883000000000003</v>
      </c>
      <c r="CM738" s="398">
        <v>56.551000000000002</v>
      </c>
      <c r="CN738" s="398">
        <v>53.326000000000001</v>
      </c>
      <c r="CO738" s="398">
        <v>47.125999999999998</v>
      </c>
      <c r="CP738" s="398">
        <v>35.68</v>
      </c>
      <c r="CQ738" s="398">
        <v>22.497</v>
      </c>
      <c r="CR738" s="398">
        <v>10.557</v>
      </c>
      <c r="CS738" s="398"/>
      <c r="CT738" s="398"/>
      <c r="CU738" s="398"/>
      <c r="CV738" s="398"/>
      <c r="CW738" s="398"/>
      <c r="CX738" s="398"/>
      <c r="CY738" s="398"/>
      <c r="CZ738" s="398"/>
      <c r="DA738" s="398"/>
      <c r="DB738" s="398"/>
      <c r="DC738" s="398"/>
      <c r="DD738" s="398"/>
      <c r="DE738" s="393"/>
      <c r="DF738" s="393"/>
      <c r="DG738" s="393"/>
      <c r="DH738" s="393"/>
      <c r="DI738" s="393"/>
      <c r="DJ738" s="393"/>
      <c r="DK738" s="897"/>
    </row>
    <row r="739" spans="1:115" ht="38.25" x14ac:dyDescent="0.2">
      <c r="A739" s="295">
        <v>735</v>
      </c>
      <c r="B739" s="390" t="s">
        <v>5711</v>
      </c>
      <c r="C739" s="390"/>
      <c r="D739" s="391" t="s">
        <v>5712</v>
      </c>
      <c r="E739" s="704" t="s">
        <v>5713</v>
      </c>
      <c r="F739" s="393" t="s">
        <v>1375</v>
      </c>
      <c r="G739" s="393" t="s">
        <v>998</v>
      </c>
      <c r="H739" s="393" t="s">
        <v>245</v>
      </c>
      <c r="I739" s="392"/>
      <c r="J739" s="392"/>
      <c r="K739" s="392" t="s">
        <v>245</v>
      </c>
      <c r="L739" s="392" t="s">
        <v>862</v>
      </c>
      <c r="M739" s="392"/>
      <c r="N739" s="393" t="s">
        <v>44</v>
      </c>
      <c r="O739" s="393" t="s">
        <v>827</v>
      </c>
      <c r="P739" s="393" t="s">
        <v>51</v>
      </c>
      <c r="Q739" s="392" t="s">
        <v>828</v>
      </c>
      <c r="R739" s="392" t="s">
        <v>5714</v>
      </c>
      <c r="S739" s="392" t="s">
        <v>483</v>
      </c>
      <c r="T739" s="394">
        <v>1</v>
      </c>
      <c r="U739" s="395">
        <v>7.9649999999999999</v>
      </c>
      <c r="V739" s="395"/>
      <c r="W739" s="453"/>
      <c r="X739" s="394"/>
      <c r="Y739" s="394">
        <v>10</v>
      </c>
      <c r="Z739" s="394">
        <v>10</v>
      </c>
      <c r="AA739" s="395">
        <v>-2.9710000000000001</v>
      </c>
      <c r="AB739" s="452">
        <v>41640</v>
      </c>
      <c r="AC739" s="398"/>
      <c r="AD739" s="398">
        <v>79.650000000000006</v>
      </c>
      <c r="AE739" s="393" t="s">
        <v>355</v>
      </c>
      <c r="AF739" s="417"/>
      <c r="AG739" s="417"/>
      <c r="AH739" s="417"/>
      <c r="AI739" s="394"/>
      <c r="AJ739" s="453"/>
      <c r="AK739" s="453"/>
      <c r="AL739" s="393"/>
      <c r="AM739" s="393"/>
      <c r="AN739" s="417"/>
      <c r="AO739" s="392"/>
      <c r="AP739" s="392"/>
      <c r="AQ739" s="392"/>
      <c r="AR739" s="392" t="s">
        <v>356</v>
      </c>
      <c r="AS739" s="479">
        <v>40793</v>
      </c>
      <c r="AT739" s="453"/>
      <c r="AU739" s="453"/>
      <c r="AV739" s="453"/>
      <c r="AW739" s="453"/>
      <c r="AX739" s="453"/>
      <c r="AY739" s="453"/>
      <c r="AZ739" s="452">
        <v>41593</v>
      </c>
      <c r="BA739" s="393"/>
      <c r="BB739" s="393"/>
      <c r="BC739" s="393" t="b">
        <v>0</v>
      </c>
      <c r="BD739" s="393"/>
      <c r="BE739" s="392"/>
      <c r="BF739" s="394">
        <v>9</v>
      </c>
      <c r="BG739" s="394">
        <v>8</v>
      </c>
      <c r="BH739" s="394">
        <v>7</v>
      </c>
      <c r="BI739" s="394">
        <v>6</v>
      </c>
      <c r="BJ739" s="394"/>
      <c r="BK739" s="394"/>
      <c r="BL739" s="444" t="s">
        <v>6981</v>
      </c>
      <c r="BM739" s="392"/>
      <c r="BN739" s="393"/>
      <c r="BO739" s="393"/>
      <c r="BP739" s="399"/>
      <c r="BQ739" s="400"/>
      <c r="BR739" s="401"/>
      <c r="BS739" s="399"/>
      <c r="BT739" s="394"/>
      <c r="BU739" s="417"/>
      <c r="BV739" s="399"/>
      <c r="BW739" s="393" t="s">
        <v>3117</v>
      </c>
      <c r="BX739" s="392" t="s">
        <v>1449</v>
      </c>
      <c r="BY739" s="393"/>
      <c r="BZ739" s="393"/>
      <c r="CA739" s="441"/>
      <c r="CB739" s="400"/>
      <c r="CC739" s="398"/>
      <c r="CD739" s="398"/>
      <c r="CE739" s="398"/>
      <c r="CF739" s="398"/>
      <c r="CG739" s="398"/>
      <c r="CH739" s="398"/>
      <c r="CI739" s="398"/>
      <c r="CJ739" s="398">
        <v>27.183</v>
      </c>
      <c r="CK739" s="398">
        <v>34.451999999999998</v>
      </c>
      <c r="CL739" s="398">
        <v>17.126999999999999</v>
      </c>
      <c r="CM739" s="398">
        <v>0.88300000000000001</v>
      </c>
      <c r="CN739" s="398">
        <v>0</v>
      </c>
      <c r="CO739" s="398">
        <v>0</v>
      </c>
      <c r="CP739" s="398">
        <v>0</v>
      </c>
      <c r="CQ739" s="398">
        <v>0</v>
      </c>
      <c r="CR739" s="398">
        <v>0</v>
      </c>
      <c r="CS739" s="398">
        <v>0</v>
      </c>
      <c r="CT739" s="398"/>
      <c r="CU739" s="398"/>
      <c r="CV739" s="398"/>
      <c r="CW739" s="398"/>
      <c r="CX739" s="398"/>
      <c r="CY739" s="398"/>
      <c r="CZ739" s="398"/>
      <c r="DA739" s="398"/>
      <c r="DB739" s="398"/>
      <c r="DC739" s="398"/>
      <c r="DD739" s="398"/>
      <c r="DE739" s="393"/>
      <c r="DF739" s="393"/>
      <c r="DG739" s="393"/>
      <c r="DH739" s="393"/>
      <c r="DI739" s="393"/>
      <c r="DJ739" s="393"/>
      <c r="DK739" s="897"/>
    </row>
    <row r="740" spans="1:115" ht="63.75" x14ac:dyDescent="0.2">
      <c r="A740" s="295">
        <v>736</v>
      </c>
      <c r="B740" s="390" t="s">
        <v>346</v>
      </c>
      <c r="C740" s="424" t="s">
        <v>7547</v>
      </c>
      <c r="D740" s="391" t="s">
        <v>5105</v>
      </c>
      <c r="E740" s="704" t="s">
        <v>347</v>
      </c>
      <c r="F740" s="393" t="s">
        <v>1340</v>
      </c>
      <c r="G740" s="393" t="s">
        <v>1676</v>
      </c>
      <c r="H740" s="393" t="s">
        <v>58</v>
      </c>
      <c r="I740" s="392"/>
      <c r="J740" s="392" t="s">
        <v>58</v>
      </c>
      <c r="K740" s="392"/>
      <c r="L740" s="392" t="s">
        <v>288</v>
      </c>
      <c r="M740" s="392" t="s">
        <v>3218</v>
      </c>
      <c r="N740" s="393" t="s">
        <v>44</v>
      </c>
      <c r="O740" s="393" t="s">
        <v>289</v>
      </c>
      <c r="P740" s="393" t="s">
        <v>289</v>
      </c>
      <c r="Q740" s="392" t="s">
        <v>290</v>
      </c>
      <c r="R740" s="392"/>
      <c r="S740" s="392" t="s">
        <v>291</v>
      </c>
      <c r="T740" s="394">
        <v>1</v>
      </c>
      <c r="U740" s="395">
        <v>4.8109999999999999</v>
      </c>
      <c r="V740" s="395"/>
      <c r="W740" s="452">
        <v>41030</v>
      </c>
      <c r="X740" s="394">
        <v>28</v>
      </c>
      <c r="Y740" s="394"/>
      <c r="Z740" s="394"/>
      <c r="AA740" s="395"/>
      <c r="AB740" s="453"/>
      <c r="AC740" s="398">
        <v>0</v>
      </c>
      <c r="AD740" s="398">
        <v>38.501180821917806</v>
      </c>
      <c r="AE740" s="393" t="s">
        <v>225</v>
      </c>
      <c r="AF740" s="417"/>
      <c r="AG740" s="417"/>
      <c r="AH740" s="417">
        <v>0</v>
      </c>
      <c r="AI740" s="394"/>
      <c r="AJ740" s="453"/>
      <c r="AK740" s="453"/>
      <c r="AL740" s="393"/>
      <c r="AM740" s="393"/>
      <c r="AN740" s="417"/>
      <c r="AO740" s="392"/>
      <c r="AP740" s="392" t="s">
        <v>7077</v>
      </c>
      <c r="AQ740" s="392"/>
      <c r="AR740" s="392" t="s">
        <v>292</v>
      </c>
      <c r="AS740" s="479">
        <v>40793</v>
      </c>
      <c r="AT740" s="453"/>
      <c r="AU740" s="453"/>
      <c r="AV740" s="452">
        <v>40828</v>
      </c>
      <c r="AW740" s="452">
        <v>41026</v>
      </c>
      <c r="AX740" s="452">
        <v>41088</v>
      </c>
      <c r="AY740" s="452">
        <v>41026</v>
      </c>
      <c r="AZ740" s="453"/>
      <c r="BA740" s="393"/>
      <c r="BB740" s="393" t="s">
        <v>3147</v>
      </c>
      <c r="BC740" s="393" t="b">
        <v>1</v>
      </c>
      <c r="BD740" s="393" t="s">
        <v>3147</v>
      </c>
      <c r="BE740" s="392"/>
      <c r="BF740" s="394">
        <v>5</v>
      </c>
      <c r="BG740" s="394">
        <v>7</v>
      </c>
      <c r="BH740" s="394">
        <v>9</v>
      </c>
      <c r="BI740" s="394">
        <v>10</v>
      </c>
      <c r="BJ740" s="394"/>
      <c r="BK740" s="394"/>
      <c r="BL740" s="444"/>
      <c r="BM740" s="392"/>
      <c r="BN740" s="393"/>
      <c r="BO740" s="393"/>
      <c r="BP740" s="399"/>
      <c r="BQ740" s="400"/>
      <c r="BR740" s="401"/>
      <c r="BS740" s="399">
        <v>31</v>
      </c>
      <c r="BT740" s="394"/>
      <c r="BU740" s="417"/>
      <c r="BV740" s="399"/>
      <c r="BW740" s="393"/>
      <c r="BX740" s="392"/>
      <c r="BY740" s="393"/>
      <c r="BZ740" s="393"/>
      <c r="CA740" s="441"/>
      <c r="CB740" s="400"/>
      <c r="CC740" s="398"/>
      <c r="CD740" s="398"/>
      <c r="CE740" s="398"/>
      <c r="CF740" s="398"/>
      <c r="CG740" s="398"/>
      <c r="CH740" s="398"/>
      <c r="CI740" s="398"/>
      <c r="CJ740" s="398"/>
      <c r="CK740" s="398"/>
      <c r="CL740" s="398"/>
      <c r="CM740" s="398"/>
      <c r="CN740" s="398"/>
      <c r="CO740" s="398"/>
      <c r="CP740" s="398"/>
      <c r="CQ740" s="398"/>
      <c r="CR740" s="398"/>
      <c r="CS740" s="398"/>
      <c r="CT740" s="398"/>
      <c r="CU740" s="398"/>
      <c r="CV740" s="398"/>
      <c r="CW740" s="398"/>
      <c r="CX740" s="398"/>
      <c r="CY740" s="398"/>
      <c r="CZ740" s="398"/>
      <c r="DA740" s="398"/>
      <c r="DB740" s="398"/>
      <c r="DC740" s="398"/>
      <c r="DD740" s="398"/>
      <c r="DE740" s="393"/>
      <c r="DF740" s="393"/>
      <c r="DG740" s="393"/>
      <c r="DH740" s="393"/>
      <c r="DI740" s="393"/>
      <c r="DJ740" s="393"/>
      <c r="DK740" s="896" t="s">
        <v>9720</v>
      </c>
    </row>
    <row r="741" spans="1:115" ht="25.5" x14ac:dyDescent="0.2">
      <c r="A741" s="295">
        <v>737</v>
      </c>
      <c r="B741" s="390" t="s">
        <v>2719</v>
      </c>
      <c r="C741" s="390"/>
      <c r="D741" s="391" t="s">
        <v>2414</v>
      </c>
      <c r="E741" s="704" t="s">
        <v>286</v>
      </c>
      <c r="F741" s="393" t="s">
        <v>1340</v>
      </c>
      <c r="G741" s="393" t="s">
        <v>1676</v>
      </c>
      <c r="H741" s="393" t="s">
        <v>58</v>
      </c>
      <c r="I741" s="392"/>
      <c r="J741" s="392"/>
      <c r="K741" s="392" t="s">
        <v>287</v>
      </c>
      <c r="L741" s="392" t="s">
        <v>288</v>
      </c>
      <c r="M741" s="392"/>
      <c r="N741" s="393" t="s">
        <v>44</v>
      </c>
      <c r="O741" s="393" t="s">
        <v>289</v>
      </c>
      <c r="P741" s="393" t="s">
        <v>289</v>
      </c>
      <c r="Q741" s="392" t="s">
        <v>290</v>
      </c>
      <c r="R741" s="392" t="s">
        <v>3219</v>
      </c>
      <c r="S741" s="392" t="s">
        <v>291</v>
      </c>
      <c r="T741" s="394">
        <v>1</v>
      </c>
      <c r="U741" s="395">
        <v>4.8109999999999999</v>
      </c>
      <c r="V741" s="395"/>
      <c r="W741" s="453"/>
      <c r="X741" s="394"/>
      <c r="Y741" s="394">
        <v>7</v>
      </c>
      <c r="Z741" s="394">
        <v>30</v>
      </c>
      <c r="AA741" s="395">
        <v>0</v>
      </c>
      <c r="AB741" s="452">
        <v>41275</v>
      </c>
      <c r="AC741" s="398">
        <v>0</v>
      </c>
      <c r="AD741" s="398">
        <v>38.501180821917806</v>
      </c>
      <c r="AE741" s="393" t="s">
        <v>225</v>
      </c>
      <c r="AF741" s="417"/>
      <c r="AG741" s="417"/>
      <c r="AH741" s="417"/>
      <c r="AI741" s="394"/>
      <c r="AJ741" s="453"/>
      <c r="AK741" s="453"/>
      <c r="AL741" s="393"/>
      <c r="AM741" s="393"/>
      <c r="AN741" s="417"/>
      <c r="AO741" s="392"/>
      <c r="AP741" s="392" t="s">
        <v>7077</v>
      </c>
      <c r="AQ741" s="392"/>
      <c r="AR741" s="392" t="s">
        <v>292</v>
      </c>
      <c r="AS741" s="479">
        <v>40793</v>
      </c>
      <c r="AT741" s="453"/>
      <c r="AU741" s="453"/>
      <c r="AV741" s="453"/>
      <c r="AW741" s="453"/>
      <c r="AX741" s="453"/>
      <c r="AY741" s="453"/>
      <c r="AZ741" s="452">
        <v>41026</v>
      </c>
      <c r="BA741" s="393"/>
      <c r="BB741" s="393"/>
      <c r="BC741" s="393" t="b">
        <v>0</v>
      </c>
      <c r="BD741" s="393"/>
      <c r="BE741" s="392"/>
      <c r="BF741" s="394">
        <v>5</v>
      </c>
      <c r="BG741" s="394">
        <v>7</v>
      </c>
      <c r="BH741" s="394">
        <v>9</v>
      </c>
      <c r="BI741" s="394">
        <v>10</v>
      </c>
      <c r="BJ741" s="394"/>
      <c r="BK741" s="394"/>
      <c r="BL741" s="444" t="s">
        <v>6981</v>
      </c>
      <c r="BM741" s="392"/>
      <c r="BN741" s="393"/>
      <c r="BO741" s="393"/>
      <c r="BP741" s="399"/>
      <c r="BQ741" s="400"/>
      <c r="BR741" s="401"/>
      <c r="BS741" s="399">
        <v>31</v>
      </c>
      <c r="BT741" s="394">
        <v>986</v>
      </c>
      <c r="BU741" s="417">
        <v>0.57299999999999995</v>
      </c>
      <c r="BV741" s="399"/>
      <c r="BW741" s="393" t="s">
        <v>3117</v>
      </c>
      <c r="BX741" s="392" t="s">
        <v>3149</v>
      </c>
      <c r="BY741" s="393"/>
      <c r="BZ741" s="393"/>
      <c r="CA741" s="441" t="s">
        <v>1662</v>
      </c>
      <c r="CB741" s="400">
        <v>3</v>
      </c>
      <c r="CC741" s="398"/>
      <c r="CD741" s="398"/>
      <c r="CE741" s="398"/>
      <c r="CF741" s="398"/>
      <c r="CG741" s="398"/>
      <c r="CH741" s="398"/>
      <c r="CI741" s="398">
        <v>10.038</v>
      </c>
      <c r="CJ741" s="398">
        <v>10.038</v>
      </c>
      <c r="CK741" s="398">
        <v>10.038</v>
      </c>
      <c r="CL741" s="398">
        <v>10.038</v>
      </c>
      <c r="CM741" s="398">
        <v>10.038</v>
      </c>
      <c r="CN741" s="398">
        <v>10.038</v>
      </c>
      <c r="CO741" s="398">
        <v>10.038</v>
      </c>
      <c r="CP741" s="398"/>
      <c r="CQ741" s="398"/>
      <c r="CR741" s="398"/>
      <c r="CS741" s="398"/>
      <c r="CT741" s="398"/>
      <c r="CU741" s="398"/>
      <c r="CV741" s="398"/>
      <c r="CW741" s="398"/>
      <c r="CX741" s="398"/>
      <c r="CY741" s="398"/>
      <c r="CZ741" s="398"/>
      <c r="DA741" s="398"/>
      <c r="DB741" s="398"/>
      <c r="DC741" s="398"/>
      <c r="DD741" s="398"/>
      <c r="DE741" s="393"/>
      <c r="DF741" s="393"/>
      <c r="DG741" s="393"/>
      <c r="DH741" s="393"/>
      <c r="DI741" s="393"/>
      <c r="DJ741" s="393"/>
      <c r="DK741" s="897"/>
    </row>
    <row r="742" spans="1:115" ht="51" x14ac:dyDescent="0.2">
      <c r="A742" s="295">
        <v>738</v>
      </c>
      <c r="B742" s="390" t="s">
        <v>596</v>
      </c>
      <c r="C742" s="424" t="s">
        <v>7548</v>
      </c>
      <c r="D742" s="391" t="s">
        <v>5106</v>
      </c>
      <c r="E742" s="704" t="s">
        <v>597</v>
      </c>
      <c r="F742" s="393" t="s">
        <v>1352</v>
      </c>
      <c r="G742" s="393" t="s">
        <v>1671</v>
      </c>
      <c r="H742" s="393" t="s">
        <v>117</v>
      </c>
      <c r="I742" s="392"/>
      <c r="J742" s="392" t="s">
        <v>196</v>
      </c>
      <c r="K742" s="392"/>
      <c r="L742" s="392" t="s">
        <v>598</v>
      </c>
      <c r="M742" s="392" t="s">
        <v>3220</v>
      </c>
      <c r="N742" s="393" t="s">
        <v>44</v>
      </c>
      <c r="O742" s="393" t="s">
        <v>69</v>
      </c>
      <c r="P742" s="393" t="s">
        <v>69</v>
      </c>
      <c r="Q742" s="392" t="s">
        <v>572</v>
      </c>
      <c r="R742" s="392"/>
      <c r="S742" s="392" t="s">
        <v>599</v>
      </c>
      <c r="T742" s="394">
        <v>1</v>
      </c>
      <c r="U742" s="395">
        <v>6.8</v>
      </c>
      <c r="V742" s="395"/>
      <c r="W742" s="452">
        <v>41306</v>
      </c>
      <c r="X742" s="394">
        <v>28</v>
      </c>
      <c r="Y742" s="394"/>
      <c r="Z742" s="394"/>
      <c r="AA742" s="395"/>
      <c r="AB742" s="453"/>
      <c r="AC742" s="398">
        <v>0</v>
      </c>
      <c r="AD742" s="398">
        <v>54.549041095890402</v>
      </c>
      <c r="AE742" s="393" t="s">
        <v>72</v>
      </c>
      <c r="AF742" s="417"/>
      <c r="AG742" s="417"/>
      <c r="AH742" s="417">
        <v>0</v>
      </c>
      <c r="AI742" s="394"/>
      <c r="AJ742" s="453"/>
      <c r="AK742" s="453"/>
      <c r="AL742" s="393"/>
      <c r="AM742" s="393"/>
      <c r="AN742" s="417"/>
      <c r="AO742" s="392"/>
      <c r="AP742" s="392" t="s">
        <v>7080</v>
      </c>
      <c r="AQ742" s="392"/>
      <c r="AR742" s="392" t="s">
        <v>600</v>
      </c>
      <c r="AS742" s="479">
        <v>40793</v>
      </c>
      <c r="AT742" s="453"/>
      <c r="AU742" s="453"/>
      <c r="AV742" s="452">
        <v>40969</v>
      </c>
      <c r="AW742" s="452">
        <v>41268</v>
      </c>
      <c r="AX742" s="452">
        <v>41362</v>
      </c>
      <c r="AY742" s="452">
        <v>41268</v>
      </c>
      <c r="AZ742" s="453"/>
      <c r="BA742" s="393"/>
      <c r="BB742" s="393" t="s">
        <v>3116</v>
      </c>
      <c r="BC742" s="393" t="b">
        <v>0</v>
      </c>
      <c r="BD742" s="393" t="s">
        <v>3116</v>
      </c>
      <c r="BE742" s="392"/>
      <c r="BF742" s="394">
        <v>4</v>
      </c>
      <c r="BG742" s="394">
        <v>2</v>
      </c>
      <c r="BH742" s="394">
        <v>1</v>
      </c>
      <c r="BI742" s="394">
        <v>3</v>
      </c>
      <c r="BJ742" s="394">
        <v>6</v>
      </c>
      <c r="BK742" s="394"/>
      <c r="BL742" s="444"/>
      <c r="BM742" s="392"/>
      <c r="BN742" s="393"/>
      <c r="BO742" s="393"/>
      <c r="BP742" s="399"/>
      <c r="BQ742" s="400"/>
      <c r="BR742" s="401"/>
      <c r="BS742" s="399">
        <v>0</v>
      </c>
      <c r="BT742" s="394"/>
      <c r="BU742" s="417"/>
      <c r="BV742" s="399"/>
      <c r="BW742" s="393"/>
      <c r="BX742" s="392"/>
      <c r="BY742" s="475" t="s">
        <v>7227</v>
      </c>
      <c r="BZ742" s="393"/>
      <c r="CA742" s="441"/>
      <c r="CB742" s="400"/>
      <c r="CC742" s="398"/>
      <c r="CD742" s="398"/>
      <c r="CE742" s="398"/>
      <c r="CF742" s="398"/>
      <c r="CG742" s="398"/>
      <c r="CH742" s="398"/>
      <c r="CI742" s="398"/>
      <c r="CJ742" s="398"/>
      <c r="CK742" s="398"/>
      <c r="CL742" s="398"/>
      <c r="CM742" s="398"/>
      <c r="CN742" s="398"/>
      <c r="CO742" s="398"/>
      <c r="CP742" s="398"/>
      <c r="CQ742" s="398"/>
      <c r="CR742" s="398"/>
      <c r="CS742" s="398"/>
      <c r="CT742" s="398"/>
      <c r="CU742" s="398"/>
      <c r="CV742" s="398"/>
      <c r="CW742" s="398"/>
      <c r="CX742" s="398"/>
      <c r="CY742" s="398"/>
      <c r="CZ742" s="398"/>
      <c r="DA742" s="398"/>
      <c r="DB742" s="398"/>
      <c r="DC742" s="398"/>
      <c r="DD742" s="398"/>
      <c r="DE742" s="393"/>
      <c r="DF742" s="393"/>
      <c r="DG742" s="393"/>
      <c r="DH742" s="393"/>
      <c r="DI742" s="393"/>
      <c r="DJ742" s="393"/>
      <c r="DK742" s="896" t="s">
        <v>9711</v>
      </c>
    </row>
    <row r="743" spans="1:115" ht="38.25" x14ac:dyDescent="0.2">
      <c r="A743" s="295">
        <v>739</v>
      </c>
      <c r="B743" s="390" t="s">
        <v>2720</v>
      </c>
      <c r="C743" s="390"/>
      <c r="D743" s="391" t="s">
        <v>4599</v>
      </c>
      <c r="E743" s="704" t="s">
        <v>601</v>
      </c>
      <c r="F743" s="393" t="s">
        <v>1352</v>
      </c>
      <c r="G743" s="393" t="s">
        <v>1671</v>
      </c>
      <c r="H743" s="393" t="s">
        <v>117</v>
      </c>
      <c r="I743" s="392"/>
      <c r="J743" s="392"/>
      <c r="K743" s="392" t="s">
        <v>602</v>
      </c>
      <c r="L743" s="392" t="s">
        <v>598</v>
      </c>
      <c r="M743" s="392"/>
      <c r="N743" s="393" t="s">
        <v>44</v>
      </c>
      <c r="O743" s="393" t="s">
        <v>69</v>
      </c>
      <c r="P743" s="393" t="s">
        <v>69</v>
      </c>
      <c r="Q743" s="392" t="s">
        <v>572</v>
      </c>
      <c r="R743" s="392" t="s">
        <v>4600</v>
      </c>
      <c r="S743" s="392" t="s">
        <v>599</v>
      </c>
      <c r="T743" s="394">
        <v>1</v>
      </c>
      <c r="U743" s="395">
        <v>6.8</v>
      </c>
      <c r="V743" s="395"/>
      <c r="W743" s="453"/>
      <c r="X743" s="394"/>
      <c r="Y743" s="394">
        <v>7</v>
      </c>
      <c r="Z743" s="394">
        <v>20</v>
      </c>
      <c r="AA743" s="395">
        <v>0</v>
      </c>
      <c r="AB743" s="452">
        <v>41268</v>
      </c>
      <c r="AC743" s="398">
        <v>0</v>
      </c>
      <c r="AD743" s="398">
        <v>54.549041095890402</v>
      </c>
      <c r="AE743" s="393" t="s">
        <v>72</v>
      </c>
      <c r="AF743" s="417"/>
      <c r="AG743" s="417"/>
      <c r="AH743" s="417"/>
      <c r="AI743" s="394"/>
      <c r="AJ743" s="453"/>
      <c r="AK743" s="453"/>
      <c r="AL743" s="393"/>
      <c r="AM743" s="393"/>
      <c r="AN743" s="417"/>
      <c r="AO743" s="392"/>
      <c r="AP743" s="392" t="s">
        <v>7080</v>
      </c>
      <c r="AQ743" s="392"/>
      <c r="AR743" s="392" t="s">
        <v>600</v>
      </c>
      <c r="AS743" s="479">
        <v>40793</v>
      </c>
      <c r="AT743" s="453"/>
      <c r="AU743" s="453"/>
      <c r="AV743" s="453"/>
      <c r="AW743" s="453"/>
      <c r="AX743" s="453"/>
      <c r="AY743" s="453"/>
      <c r="AZ743" s="452">
        <v>41268</v>
      </c>
      <c r="BA743" s="393"/>
      <c r="BB743" s="393"/>
      <c r="BC743" s="393" t="b">
        <v>0</v>
      </c>
      <c r="BD743" s="393"/>
      <c r="BE743" s="392"/>
      <c r="BF743" s="394">
        <v>4</v>
      </c>
      <c r="BG743" s="394">
        <v>2</v>
      </c>
      <c r="BH743" s="394">
        <v>1</v>
      </c>
      <c r="BI743" s="394">
        <v>3</v>
      </c>
      <c r="BJ743" s="394">
        <v>6</v>
      </c>
      <c r="BK743" s="394"/>
      <c r="BL743" s="444" t="s">
        <v>6981</v>
      </c>
      <c r="BM743" s="392"/>
      <c r="BN743" s="393"/>
      <c r="BO743" s="393"/>
      <c r="BP743" s="399"/>
      <c r="BQ743" s="400"/>
      <c r="BR743" s="401"/>
      <c r="BS743" s="399"/>
      <c r="BT743" s="394"/>
      <c r="BU743" s="417"/>
      <c r="BV743" s="399"/>
      <c r="BW743" s="393" t="s">
        <v>3117</v>
      </c>
      <c r="BX743" s="392" t="s">
        <v>1448</v>
      </c>
      <c r="BY743" s="475" t="s">
        <v>7227</v>
      </c>
      <c r="BZ743" s="393"/>
      <c r="CA743" s="441"/>
      <c r="CB743" s="400"/>
      <c r="CC743" s="398"/>
      <c r="CD743" s="398"/>
      <c r="CE743" s="398"/>
      <c r="CF743" s="398"/>
      <c r="CG743" s="398"/>
      <c r="CH743" s="398"/>
      <c r="CI743" s="398">
        <v>6.8</v>
      </c>
      <c r="CJ743" s="398">
        <v>6.8</v>
      </c>
      <c r="CK743" s="398">
        <v>6.8</v>
      </c>
      <c r="CL743" s="398">
        <v>6.8</v>
      </c>
      <c r="CM743" s="398">
        <v>6.8</v>
      </c>
      <c r="CN743" s="398">
        <v>6.8</v>
      </c>
      <c r="CO743" s="398">
        <v>6.8</v>
      </c>
      <c r="CP743" s="398"/>
      <c r="CQ743" s="398"/>
      <c r="CR743" s="398"/>
      <c r="CS743" s="398"/>
      <c r="CT743" s="398"/>
      <c r="CU743" s="398"/>
      <c r="CV743" s="398"/>
      <c r="CW743" s="398"/>
      <c r="CX743" s="398"/>
      <c r="CY743" s="398"/>
      <c r="CZ743" s="398"/>
      <c r="DA743" s="398"/>
      <c r="DB743" s="398"/>
      <c r="DC743" s="398"/>
      <c r="DD743" s="398"/>
      <c r="DE743" s="393"/>
      <c r="DF743" s="393"/>
      <c r="DG743" s="393"/>
      <c r="DH743" s="393"/>
      <c r="DI743" s="393"/>
      <c r="DJ743" s="393"/>
      <c r="DK743" s="897"/>
    </row>
    <row r="744" spans="1:115" ht="38.25" x14ac:dyDescent="0.2">
      <c r="A744" s="295">
        <v>740</v>
      </c>
      <c r="B744" s="390" t="s">
        <v>1140</v>
      </c>
      <c r="C744" s="424" t="s">
        <v>7549</v>
      </c>
      <c r="D744" s="391" t="s">
        <v>5616</v>
      </c>
      <c r="E744" s="704" t="s">
        <v>1141</v>
      </c>
      <c r="F744" s="393" t="s">
        <v>1375</v>
      </c>
      <c r="G744" s="393" t="s">
        <v>1361</v>
      </c>
      <c r="H744" s="393" t="s">
        <v>137</v>
      </c>
      <c r="I744" s="392"/>
      <c r="J744" s="392" t="s">
        <v>137</v>
      </c>
      <c r="K744" s="392"/>
      <c r="L744" s="392" t="s">
        <v>306</v>
      </c>
      <c r="M744" s="392" t="s">
        <v>3221</v>
      </c>
      <c r="N744" s="393" t="s">
        <v>44</v>
      </c>
      <c r="O744" s="393" t="s">
        <v>69</v>
      </c>
      <c r="P744" s="393" t="s">
        <v>69</v>
      </c>
      <c r="Q744" s="392" t="s">
        <v>572</v>
      </c>
      <c r="R744" s="392"/>
      <c r="S744" s="392" t="s">
        <v>643</v>
      </c>
      <c r="T744" s="394">
        <v>1</v>
      </c>
      <c r="U744" s="395">
        <v>3.0830000000000002</v>
      </c>
      <c r="V744" s="395"/>
      <c r="W744" s="452">
        <v>41122</v>
      </c>
      <c r="X744" s="394">
        <v>28</v>
      </c>
      <c r="Y744" s="394"/>
      <c r="Z744" s="394"/>
      <c r="AA744" s="395"/>
      <c r="AB744" s="453"/>
      <c r="AC744" s="398">
        <v>1.6346970000000001</v>
      </c>
      <c r="AD744" s="398">
        <v>25.702928767123293</v>
      </c>
      <c r="AE744" s="393" t="s">
        <v>54</v>
      </c>
      <c r="AF744" s="417"/>
      <c r="AG744" s="417"/>
      <c r="AH744" s="417">
        <v>0</v>
      </c>
      <c r="AI744" s="394"/>
      <c r="AJ744" s="453"/>
      <c r="AK744" s="453"/>
      <c r="AL744" s="393"/>
      <c r="AM744" s="393"/>
      <c r="AN744" s="417"/>
      <c r="AO744" s="392"/>
      <c r="AP744" s="392" t="s">
        <v>55</v>
      </c>
      <c r="AQ744" s="392"/>
      <c r="AR744" s="392" t="s">
        <v>306</v>
      </c>
      <c r="AS744" s="479">
        <v>40795</v>
      </c>
      <c r="AT744" s="453"/>
      <c r="AU744" s="453"/>
      <c r="AV744" s="452">
        <v>40947</v>
      </c>
      <c r="AW744" s="452">
        <v>41508</v>
      </c>
      <c r="AX744" s="452">
        <v>41572</v>
      </c>
      <c r="AY744" s="452">
        <v>41508</v>
      </c>
      <c r="AZ744" s="453"/>
      <c r="BA744" s="393"/>
      <c r="BB744" s="393" t="s">
        <v>3147</v>
      </c>
      <c r="BC744" s="393" t="b">
        <v>1</v>
      </c>
      <c r="BD744" s="393" t="s">
        <v>3147</v>
      </c>
      <c r="BE744" s="392"/>
      <c r="BF744" s="394">
        <v>9</v>
      </c>
      <c r="BG744" s="394">
        <v>5</v>
      </c>
      <c r="BH744" s="394">
        <v>7</v>
      </c>
      <c r="BI744" s="394">
        <v>1</v>
      </c>
      <c r="BJ744" s="394">
        <v>2</v>
      </c>
      <c r="BK744" s="394">
        <v>11</v>
      </c>
      <c r="BL744" s="444"/>
      <c r="BM744" s="392"/>
      <c r="BN744" s="393"/>
      <c r="BO744" s="393"/>
      <c r="BP744" s="399"/>
      <c r="BQ744" s="400"/>
      <c r="BR744" s="401"/>
      <c r="BS744" s="399">
        <v>0</v>
      </c>
      <c r="BT744" s="394"/>
      <c r="BU744" s="417"/>
      <c r="BV744" s="399"/>
      <c r="BW744" s="393"/>
      <c r="BX744" s="392"/>
      <c r="BY744" s="393"/>
      <c r="BZ744" s="393"/>
      <c r="CA744" s="441"/>
      <c r="CB744" s="400"/>
      <c r="CC744" s="398"/>
      <c r="CD744" s="398"/>
      <c r="CE744" s="398"/>
      <c r="CF744" s="398"/>
      <c r="CG744" s="398"/>
      <c r="CH744" s="398"/>
      <c r="CI744" s="398"/>
      <c r="CJ744" s="398"/>
      <c r="CK744" s="398"/>
      <c r="CL744" s="398"/>
      <c r="CM744" s="398"/>
      <c r="CN744" s="398"/>
      <c r="CO744" s="398"/>
      <c r="CP744" s="398"/>
      <c r="CQ744" s="398"/>
      <c r="CR744" s="398"/>
      <c r="CS744" s="398"/>
      <c r="CT744" s="398"/>
      <c r="CU744" s="398"/>
      <c r="CV744" s="398"/>
      <c r="CW744" s="398"/>
      <c r="CX744" s="398"/>
      <c r="CY744" s="398"/>
      <c r="CZ744" s="398"/>
      <c r="DA744" s="398"/>
      <c r="DB744" s="398"/>
      <c r="DC744" s="398"/>
      <c r="DD744" s="398"/>
      <c r="DE744" s="393"/>
      <c r="DF744" s="393"/>
      <c r="DG744" s="393"/>
      <c r="DH744" s="393"/>
      <c r="DI744" s="393"/>
      <c r="DJ744" s="393"/>
      <c r="DK744" s="896" t="s">
        <v>9700</v>
      </c>
    </row>
    <row r="745" spans="1:115" ht="25.5" x14ac:dyDescent="0.2">
      <c r="A745" s="295">
        <v>741</v>
      </c>
      <c r="B745" s="390" t="s">
        <v>2721</v>
      </c>
      <c r="C745" s="390"/>
      <c r="D745" s="391" t="s">
        <v>5617</v>
      </c>
      <c r="E745" s="704" t="s">
        <v>641</v>
      </c>
      <c r="F745" s="393" t="s">
        <v>1375</v>
      </c>
      <c r="G745" s="393" t="s">
        <v>1361</v>
      </c>
      <c r="H745" s="393" t="s">
        <v>137</v>
      </c>
      <c r="I745" s="392"/>
      <c r="J745" s="392"/>
      <c r="K745" s="392" t="s">
        <v>642</v>
      </c>
      <c r="L745" s="392" t="s">
        <v>306</v>
      </c>
      <c r="M745" s="392"/>
      <c r="N745" s="393" t="s">
        <v>44</v>
      </c>
      <c r="O745" s="393" t="s">
        <v>69</v>
      </c>
      <c r="P745" s="393" t="s">
        <v>69</v>
      </c>
      <c r="Q745" s="392" t="s">
        <v>572</v>
      </c>
      <c r="R745" s="392" t="s">
        <v>3222</v>
      </c>
      <c r="S745" s="392" t="s">
        <v>643</v>
      </c>
      <c r="T745" s="394">
        <v>1</v>
      </c>
      <c r="U745" s="395">
        <v>3.0830000000000002</v>
      </c>
      <c r="V745" s="395"/>
      <c r="W745" s="453"/>
      <c r="X745" s="394"/>
      <c r="Y745" s="394">
        <v>7</v>
      </c>
      <c r="Z745" s="394">
        <v>21</v>
      </c>
      <c r="AA745" s="395">
        <v>0</v>
      </c>
      <c r="AB745" s="452">
        <v>41153</v>
      </c>
      <c r="AC745" s="398">
        <v>1.6346970000000001</v>
      </c>
      <c r="AD745" s="398">
        <v>25.702928767123293</v>
      </c>
      <c r="AE745" s="393" t="s">
        <v>54</v>
      </c>
      <c r="AF745" s="417"/>
      <c r="AG745" s="417"/>
      <c r="AH745" s="417"/>
      <c r="AI745" s="394"/>
      <c r="AJ745" s="453"/>
      <c r="AK745" s="453"/>
      <c r="AL745" s="393"/>
      <c r="AM745" s="393"/>
      <c r="AN745" s="417"/>
      <c r="AO745" s="392"/>
      <c r="AP745" s="392" t="s">
        <v>55</v>
      </c>
      <c r="AQ745" s="392"/>
      <c r="AR745" s="392" t="s">
        <v>306</v>
      </c>
      <c r="AS745" s="479">
        <v>40795</v>
      </c>
      <c r="AT745" s="453"/>
      <c r="AU745" s="453"/>
      <c r="AV745" s="453"/>
      <c r="AW745" s="453"/>
      <c r="AX745" s="453"/>
      <c r="AY745" s="453"/>
      <c r="AZ745" s="452">
        <v>41508</v>
      </c>
      <c r="BA745" s="393"/>
      <c r="BB745" s="393"/>
      <c r="BC745" s="393" t="b">
        <v>0</v>
      </c>
      <c r="BD745" s="393"/>
      <c r="BE745" s="392"/>
      <c r="BF745" s="394">
        <v>9</v>
      </c>
      <c r="BG745" s="394">
        <v>5</v>
      </c>
      <c r="BH745" s="394">
        <v>7</v>
      </c>
      <c r="BI745" s="394">
        <v>1</v>
      </c>
      <c r="BJ745" s="394">
        <v>2</v>
      </c>
      <c r="BK745" s="394">
        <v>11</v>
      </c>
      <c r="BL745" s="444" t="s">
        <v>6985</v>
      </c>
      <c r="BM745" s="392"/>
      <c r="BN745" s="393"/>
      <c r="BO745" s="393"/>
      <c r="BP745" s="399"/>
      <c r="BQ745" s="400"/>
      <c r="BR745" s="401"/>
      <c r="BS745" s="399"/>
      <c r="BT745" s="394">
        <v>5671</v>
      </c>
      <c r="BU745" s="417">
        <v>1.0349999999999999</v>
      </c>
      <c r="BV745" s="399"/>
      <c r="BW745" s="393" t="s">
        <v>3117</v>
      </c>
      <c r="BX745" s="392" t="s">
        <v>3223</v>
      </c>
      <c r="BY745" s="393"/>
      <c r="BZ745" s="393"/>
      <c r="CA745" s="441" t="s">
        <v>1662</v>
      </c>
      <c r="CB745" s="400">
        <v>3</v>
      </c>
      <c r="CC745" s="398"/>
      <c r="CD745" s="398"/>
      <c r="CE745" s="398"/>
      <c r="CF745" s="398"/>
      <c r="CG745" s="398"/>
      <c r="CH745" s="398">
        <v>4.9089999999999998</v>
      </c>
      <c r="CI745" s="398">
        <v>4.9089999999999998</v>
      </c>
      <c r="CJ745" s="398">
        <v>4.9089999999999998</v>
      </c>
      <c r="CK745" s="398">
        <v>4.9089999999999998</v>
      </c>
      <c r="CL745" s="398">
        <v>4.9089999999999998</v>
      </c>
      <c r="CM745" s="398">
        <v>4.9089999999999998</v>
      </c>
      <c r="CN745" s="398">
        <v>4.9089999999999998</v>
      </c>
      <c r="CO745" s="398"/>
      <c r="CP745" s="398"/>
      <c r="CQ745" s="398"/>
      <c r="CR745" s="398"/>
      <c r="CS745" s="398"/>
      <c r="CT745" s="398"/>
      <c r="CU745" s="398"/>
      <c r="CV745" s="398"/>
      <c r="CW745" s="398"/>
      <c r="CX745" s="398"/>
      <c r="CY745" s="398"/>
      <c r="CZ745" s="398"/>
      <c r="DA745" s="398"/>
      <c r="DB745" s="398"/>
      <c r="DC745" s="398"/>
      <c r="DD745" s="398"/>
      <c r="DE745" s="393"/>
      <c r="DF745" s="393"/>
      <c r="DG745" s="393"/>
      <c r="DH745" s="393"/>
      <c r="DI745" s="393"/>
      <c r="DJ745" s="393"/>
      <c r="DK745" s="897"/>
    </row>
    <row r="746" spans="1:115" ht="38.25" x14ac:dyDescent="0.2">
      <c r="A746" s="295">
        <v>742</v>
      </c>
      <c r="B746" s="390" t="s">
        <v>799</v>
      </c>
      <c r="C746" s="424" t="s">
        <v>7550</v>
      </c>
      <c r="D746" s="391" t="s">
        <v>5107</v>
      </c>
      <c r="E746" s="704" t="s">
        <v>800</v>
      </c>
      <c r="F746" s="393" t="s">
        <v>1352</v>
      </c>
      <c r="G746" s="393" t="s">
        <v>1672</v>
      </c>
      <c r="H746" s="393" t="s">
        <v>89</v>
      </c>
      <c r="I746" s="392"/>
      <c r="J746" s="392" t="s">
        <v>89</v>
      </c>
      <c r="K746" s="392"/>
      <c r="L746" s="392" t="s">
        <v>664</v>
      </c>
      <c r="M746" s="392" t="s">
        <v>3224</v>
      </c>
      <c r="N746" s="393" t="s">
        <v>44</v>
      </c>
      <c r="O746" s="393" t="s">
        <v>289</v>
      </c>
      <c r="P746" s="393" t="s">
        <v>289</v>
      </c>
      <c r="Q746" s="392" t="s">
        <v>721</v>
      </c>
      <c r="R746" s="392"/>
      <c r="S746" s="392" t="s">
        <v>650</v>
      </c>
      <c r="T746" s="394">
        <v>7</v>
      </c>
      <c r="U746" s="395">
        <v>197.18299999999999</v>
      </c>
      <c r="V746" s="395"/>
      <c r="W746" s="452">
        <v>40170</v>
      </c>
      <c r="X746" s="394">
        <v>28</v>
      </c>
      <c r="Y746" s="394"/>
      <c r="Z746" s="394"/>
      <c r="AA746" s="395"/>
      <c r="AB746" s="453"/>
      <c r="AC746" s="398">
        <v>0</v>
      </c>
      <c r="AD746" s="398">
        <v>1153.3625260273973</v>
      </c>
      <c r="AE746" s="393" t="s">
        <v>72</v>
      </c>
      <c r="AF746" s="417"/>
      <c r="AG746" s="417"/>
      <c r="AH746" s="417">
        <v>0</v>
      </c>
      <c r="AI746" s="394"/>
      <c r="AJ746" s="453"/>
      <c r="AK746" s="453"/>
      <c r="AL746" s="393"/>
      <c r="AM746" s="393"/>
      <c r="AN746" s="417"/>
      <c r="AO746" s="392"/>
      <c r="AP746" s="392" t="s">
        <v>7048</v>
      </c>
      <c r="AQ746" s="392"/>
      <c r="AR746" s="392" t="s">
        <v>801</v>
      </c>
      <c r="AS746" s="479">
        <v>40799</v>
      </c>
      <c r="AT746" s="397"/>
      <c r="AU746" s="397" t="s">
        <v>1099</v>
      </c>
      <c r="AV746" s="452">
        <v>40373</v>
      </c>
      <c r="AW746" s="452">
        <v>41142</v>
      </c>
      <c r="AX746" s="452">
        <v>41201</v>
      </c>
      <c r="AY746" s="452">
        <v>41141</v>
      </c>
      <c r="AZ746" s="453"/>
      <c r="BA746" s="393"/>
      <c r="BB746" s="393" t="s">
        <v>3147</v>
      </c>
      <c r="BC746" s="393" t="b">
        <v>1</v>
      </c>
      <c r="BD746" s="393" t="s">
        <v>3147</v>
      </c>
      <c r="BE746" s="392" t="s">
        <v>6245</v>
      </c>
      <c r="BF746" s="394">
        <v>2</v>
      </c>
      <c r="BG746" s="394">
        <v>4</v>
      </c>
      <c r="BH746" s="394">
        <v>10</v>
      </c>
      <c r="BI746" s="394">
        <v>5</v>
      </c>
      <c r="BJ746" s="394">
        <v>9</v>
      </c>
      <c r="BK746" s="394">
        <v>11</v>
      </c>
      <c r="BL746" s="444"/>
      <c r="BM746" s="392"/>
      <c r="BN746" s="393"/>
      <c r="BO746" s="393"/>
      <c r="BP746" s="399"/>
      <c r="BQ746" s="400"/>
      <c r="BR746" s="401"/>
      <c r="BS746" s="399">
        <v>95.9</v>
      </c>
      <c r="BT746" s="394"/>
      <c r="BU746" s="417"/>
      <c r="BV746" s="399"/>
      <c r="BW746" s="393"/>
      <c r="BX746" s="392"/>
      <c r="BY746" s="393"/>
      <c r="BZ746" s="393"/>
      <c r="CA746" s="441"/>
      <c r="CB746" s="400"/>
      <c r="CC746" s="398"/>
      <c r="CD746" s="398"/>
      <c r="CE746" s="398"/>
      <c r="CF746" s="398"/>
      <c r="CG746" s="398"/>
      <c r="CH746" s="398"/>
      <c r="CI746" s="398"/>
      <c r="CJ746" s="398"/>
      <c r="CK746" s="398"/>
      <c r="CL746" s="398"/>
      <c r="CM746" s="398"/>
      <c r="CN746" s="398"/>
      <c r="CO746" s="398"/>
      <c r="CP746" s="398"/>
      <c r="CQ746" s="398"/>
      <c r="CR746" s="398"/>
      <c r="CS746" s="398"/>
      <c r="CT746" s="398"/>
      <c r="CU746" s="398"/>
      <c r="CV746" s="398"/>
      <c r="CW746" s="398"/>
      <c r="CX746" s="398"/>
      <c r="CY746" s="398"/>
      <c r="CZ746" s="398"/>
      <c r="DA746" s="398"/>
      <c r="DB746" s="398"/>
      <c r="DC746" s="398"/>
      <c r="DD746" s="398"/>
      <c r="DE746" s="393"/>
      <c r="DF746" s="393"/>
      <c r="DG746" s="393"/>
      <c r="DH746" s="393"/>
      <c r="DI746" s="393"/>
      <c r="DJ746" s="393"/>
      <c r="DK746" s="896" t="s">
        <v>9711</v>
      </c>
    </row>
    <row r="747" spans="1:115" ht="25.5" x14ac:dyDescent="0.2">
      <c r="A747" s="295">
        <v>743</v>
      </c>
      <c r="B747" s="390" t="s">
        <v>2722</v>
      </c>
      <c r="C747" s="390"/>
      <c r="D747" s="391" t="s">
        <v>4083</v>
      </c>
      <c r="E747" s="704" t="s">
        <v>802</v>
      </c>
      <c r="F747" s="393" t="s">
        <v>1352</v>
      </c>
      <c r="G747" s="393" t="s">
        <v>1672</v>
      </c>
      <c r="H747" s="393" t="s">
        <v>89</v>
      </c>
      <c r="I747" s="392"/>
      <c r="J747" s="392"/>
      <c r="K747" s="392" t="s">
        <v>803</v>
      </c>
      <c r="L747" s="392" t="s">
        <v>664</v>
      </c>
      <c r="M747" s="392"/>
      <c r="N747" s="393" t="s">
        <v>44</v>
      </c>
      <c r="O747" s="393" t="s">
        <v>289</v>
      </c>
      <c r="P747" s="393" t="s">
        <v>289</v>
      </c>
      <c r="Q747" s="392" t="s">
        <v>721</v>
      </c>
      <c r="R747" s="392" t="s">
        <v>3225</v>
      </c>
      <c r="S747" s="392" t="s">
        <v>650</v>
      </c>
      <c r="T747" s="394">
        <v>1</v>
      </c>
      <c r="U747" s="395">
        <v>8.0120000000000005</v>
      </c>
      <c r="V747" s="395"/>
      <c r="W747" s="453"/>
      <c r="X747" s="394"/>
      <c r="Y747" s="394">
        <v>7</v>
      </c>
      <c r="Z747" s="394">
        <v>36</v>
      </c>
      <c r="AA747" s="395">
        <v>0</v>
      </c>
      <c r="AB747" s="452">
        <v>41275</v>
      </c>
      <c r="AC747" s="398">
        <v>0</v>
      </c>
      <c r="AD747" s="398">
        <v>64.1179506849315</v>
      </c>
      <c r="AE747" s="393" t="s">
        <v>72</v>
      </c>
      <c r="AF747" s="417"/>
      <c r="AG747" s="417"/>
      <c r="AH747" s="417"/>
      <c r="AI747" s="394"/>
      <c r="AJ747" s="453"/>
      <c r="AK747" s="453"/>
      <c r="AL747" s="393"/>
      <c r="AM747" s="393"/>
      <c r="AN747" s="417"/>
      <c r="AO747" s="392"/>
      <c r="AP747" s="392" t="s">
        <v>7048</v>
      </c>
      <c r="AQ747" s="392"/>
      <c r="AR747" s="392" t="s">
        <v>801</v>
      </c>
      <c r="AS747" s="479">
        <v>40799</v>
      </c>
      <c r="AT747" s="453"/>
      <c r="AU747" s="453" t="s">
        <v>2645</v>
      </c>
      <c r="AV747" s="453"/>
      <c r="AW747" s="453"/>
      <c r="AX747" s="453"/>
      <c r="AY747" s="453"/>
      <c r="AZ747" s="452">
        <v>41141</v>
      </c>
      <c r="BA747" s="393"/>
      <c r="BB747" s="393"/>
      <c r="BC747" s="393" t="b">
        <v>0</v>
      </c>
      <c r="BD747" s="393"/>
      <c r="BE747" s="392"/>
      <c r="BF747" s="394">
        <v>2</v>
      </c>
      <c r="BG747" s="394">
        <v>4</v>
      </c>
      <c r="BH747" s="394">
        <v>10</v>
      </c>
      <c r="BI747" s="394">
        <v>5</v>
      </c>
      <c r="BJ747" s="394">
        <v>9</v>
      </c>
      <c r="BK747" s="394">
        <v>11</v>
      </c>
      <c r="BL747" s="444" t="s">
        <v>6985</v>
      </c>
      <c r="BM747" s="392"/>
      <c r="BN747" s="393"/>
      <c r="BO747" s="393"/>
      <c r="BP747" s="399"/>
      <c r="BQ747" s="400"/>
      <c r="BR747" s="401"/>
      <c r="BS747" s="399">
        <v>3.5</v>
      </c>
      <c r="BT747" s="394">
        <v>14710</v>
      </c>
      <c r="BU747" s="417">
        <v>0.57645000000000002</v>
      </c>
      <c r="BV747" s="399"/>
      <c r="BW747" s="393" t="s">
        <v>3117</v>
      </c>
      <c r="BX747" s="392"/>
      <c r="BY747" s="393"/>
      <c r="BZ747" s="393"/>
      <c r="CA747" s="441" t="s">
        <v>1662</v>
      </c>
      <c r="CB747" s="400">
        <v>3</v>
      </c>
      <c r="CC747" s="398"/>
      <c r="CD747" s="398"/>
      <c r="CE747" s="398"/>
      <c r="CF747" s="398"/>
      <c r="CG747" s="398"/>
      <c r="CH747" s="398">
        <v>4.1539999999999999</v>
      </c>
      <c r="CI747" s="398">
        <v>8.3089999999999993</v>
      </c>
      <c r="CJ747" s="398">
        <v>8.3089999999999993</v>
      </c>
      <c r="CK747" s="398">
        <v>8.3089999999999993</v>
      </c>
      <c r="CL747" s="398">
        <v>8.3089999999999993</v>
      </c>
      <c r="CM747" s="398">
        <v>8.3089999999999993</v>
      </c>
      <c r="CN747" s="398">
        <v>8.3089999999999993</v>
      </c>
      <c r="CO747" s="398">
        <v>4.1550000000000002</v>
      </c>
      <c r="CP747" s="398"/>
      <c r="CQ747" s="398"/>
      <c r="CR747" s="398"/>
      <c r="CS747" s="398"/>
      <c r="CT747" s="398"/>
      <c r="CU747" s="398"/>
      <c r="CV747" s="398"/>
      <c r="CW747" s="398"/>
      <c r="CX747" s="398"/>
      <c r="CY747" s="398"/>
      <c r="CZ747" s="398"/>
      <c r="DA747" s="398"/>
      <c r="DB747" s="398"/>
      <c r="DC747" s="398"/>
      <c r="DD747" s="398"/>
      <c r="DE747" s="393"/>
      <c r="DF747" s="393"/>
      <c r="DG747" s="393"/>
      <c r="DH747" s="393"/>
      <c r="DI747" s="393"/>
      <c r="DJ747" s="393"/>
      <c r="DK747" s="897"/>
    </row>
    <row r="748" spans="1:115" ht="25.5" x14ac:dyDescent="0.2">
      <c r="A748" s="295">
        <v>744</v>
      </c>
      <c r="B748" s="390" t="s">
        <v>5788</v>
      </c>
      <c r="C748" s="390"/>
      <c r="D748" s="391" t="s">
        <v>5618</v>
      </c>
      <c r="E748" s="704" t="s">
        <v>5619</v>
      </c>
      <c r="F748" s="393" t="s">
        <v>1352</v>
      </c>
      <c r="G748" s="393" t="s">
        <v>1672</v>
      </c>
      <c r="H748" s="393" t="s">
        <v>89</v>
      </c>
      <c r="I748" s="392"/>
      <c r="J748" s="392"/>
      <c r="K748" s="392" t="s">
        <v>5062</v>
      </c>
      <c r="L748" s="392" t="s">
        <v>664</v>
      </c>
      <c r="M748" s="392"/>
      <c r="N748" s="393" t="s">
        <v>44</v>
      </c>
      <c r="O748" s="393" t="s">
        <v>289</v>
      </c>
      <c r="P748" s="393" t="s">
        <v>289</v>
      </c>
      <c r="Q748" s="392" t="s">
        <v>721</v>
      </c>
      <c r="R748" s="392" t="s">
        <v>5620</v>
      </c>
      <c r="S748" s="392" t="s">
        <v>650</v>
      </c>
      <c r="T748" s="394">
        <v>1</v>
      </c>
      <c r="U748" s="395">
        <v>13.502000000000001</v>
      </c>
      <c r="V748" s="395"/>
      <c r="W748" s="453"/>
      <c r="X748" s="394"/>
      <c r="Y748" s="394">
        <v>7</v>
      </c>
      <c r="Z748" s="394">
        <v>40</v>
      </c>
      <c r="AA748" s="395">
        <v>0</v>
      </c>
      <c r="AB748" s="452">
        <v>41275</v>
      </c>
      <c r="AC748" s="398">
        <v>0</v>
      </c>
      <c r="AD748" s="398">
        <v>108.05299178082193</v>
      </c>
      <c r="AE748" s="393" t="s">
        <v>72</v>
      </c>
      <c r="AF748" s="417"/>
      <c r="AG748" s="417"/>
      <c r="AH748" s="417"/>
      <c r="AI748" s="394"/>
      <c r="AJ748" s="453"/>
      <c r="AK748" s="453"/>
      <c r="AL748" s="393"/>
      <c r="AM748" s="393"/>
      <c r="AN748" s="417"/>
      <c r="AO748" s="392"/>
      <c r="AP748" s="392"/>
      <c r="AQ748" s="392"/>
      <c r="AR748" s="392" t="s">
        <v>801</v>
      </c>
      <c r="AS748" s="479">
        <v>40799</v>
      </c>
      <c r="AT748" s="453"/>
      <c r="AU748" s="453"/>
      <c r="AV748" s="453"/>
      <c r="AW748" s="453"/>
      <c r="AX748" s="453"/>
      <c r="AY748" s="453"/>
      <c r="AZ748" s="452">
        <v>41577</v>
      </c>
      <c r="BA748" s="393"/>
      <c r="BB748" s="393"/>
      <c r="BC748" s="393" t="b">
        <v>0</v>
      </c>
      <c r="BD748" s="393"/>
      <c r="BE748" s="392"/>
      <c r="BF748" s="394">
        <v>2</v>
      </c>
      <c r="BG748" s="394">
        <v>4</v>
      </c>
      <c r="BH748" s="394">
        <v>10</v>
      </c>
      <c r="BI748" s="394">
        <v>5</v>
      </c>
      <c r="BJ748" s="394">
        <v>9</v>
      </c>
      <c r="BK748" s="394">
        <v>11</v>
      </c>
      <c r="BL748" s="444" t="s">
        <v>6985</v>
      </c>
      <c r="BM748" s="392"/>
      <c r="BN748" s="393"/>
      <c r="BO748" s="393"/>
      <c r="BP748" s="399"/>
      <c r="BQ748" s="400"/>
      <c r="BR748" s="401"/>
      <c r="BS748" s="399">
        <v>6.4</v>
      </c>
      <c r="BT748" s="394">
        <v>24295</v>
      </c>
      <c r="BU748" s="417">
        <v>0.55579999999999996</v>
      </c>
      <c r="BV748" s="399"/>
      <c r="BW748" s="393" t="s">
        <v>3117</v>
      </c>
      <c r="BX748" s="392"/>
      <c r="BY748" s="393"/>
      <c r="BZ748" s="393"/>
      <c r="CA748" s="441" t="s">
        <v>1662</v>
      </c>
      <c r="CB748" s="400">
        <v>3</v>
      </c>
      <c r="CC748" s="398"/>
      <c r="CD748" s="398"/>
      <c r="CE748" s="398"/>
      <c r="CF748" s="398"/>
      <c r="CG748" s="398"/>
      <c r="CH748" s="398"/>
      <c r="CI748" s="398">
        <v>2.2559999999999998</v>
      </c>
      <c r="CJ748" s="398">
        <v>13.502000000000001</v>
      </c>
      <c r="CK748" s="398">
        <v>13.502000000000001</v>
      </c>
      <c r="CL748" s="398">
        <v>13.502000000000001</v>
      </c>
      <c r="CM748" s="398">
        <v>13.502000000000001</v>
      </c>
      <c r="CN748" s="398">
        <v>13.502000000000001</v>
      </c>
      <c r="CO748" s="398">
        <v>13.502000000000001</v>
      </c>
      <c r="CP748" s="398">
        <v>13.502000000000001</v>
      </c>
      <c r="CQ748" s="398"/>
      <c r="CR748" s="398"/>
      <c r="CS748" s="398"/>
      <c r="CT748" s="398"/>
      <c r="CU748" s="398"/>
      <c r="CV748" s="398"/>
      <c r="CW748" s="398"/>
      <c r="CX748" s="398"/>
      <c r="CY748" s="398"/>
      <c r="CZ748" s="398"/>
      <c r="DA748" s="398"/>
      <c r="DB748" s="398"/>
      <c r="DC748" s="398"/>
      <c r="DD748" s="398"/>
      <c r="DE748" s="393"/>
      <c r="DF748" s="393"/>
      <c r="DG748" s="393"/>
      <c r="DH748" s="393"/>
      <c r="DI748" s="393"/>
      <c r="DJ748" s="393"/>
      <c r="DK748" s="897"/>
    </row>
    <row r="749" spans="1:115" ht="25.5" x14ac:dyDescent="0.2">
      <c r="A749" s="295">
        <v>745</v>
      </c>
      <c r="B749" s="390" t="s">
        <v>6054</v>
      </c>
      <c r="C749" s="390"/>
      <c r="D749" s="391" t="s">
        <v>6055</v>
      </c>
      <c r="E749" s="704" t="s">
        <v>6056</v>
      </c>
      <c r="F749" s="393" t="s">
        <v>1352</v>
      </c>
      <c r="G749" s="393" t="s">
        <v>1672</v>
      </c>
      <c r="H749" s="393" t="s">
        <v>89</v>
      </c>
      <c r="I749" s="392"/>
      <c r="J749" s="392"/>
      <c r="K749" s="392" t="s">
        <v>663</v>
      </c>
      <c r="L749" s="392" t="s">
        <v>664</v>
      </c>
      <c r="M749" s="392"/>
      <c r="N749" s="393" t="s">
        <v>44</v>
      </c>
      <c r="O749" s="393" t="s">
        <v>289</v>
      </c>
      <c r="P749" s="393" t="s">
        <v>289</v>
      </c>
      <c r="Q749" s="392" t="s">
        <v>721</v>
      </c>
      <c r="R749" s="392" t="s">
        <v>6057</v>
      </c>
      <c r="S749" s="392" t="s">
        <v>650</v>
      </c>
      <c r="T749" s="394">
        <v>1</v>
      </c>
      <c r="U749" s="395">
        <v>16.795999999999999</v>
      </c>
      <c r="V749" s="395"/>
      <c r="W749" s="453"/>
      <c r="X749" s="394"/>
      <c r="Y749" s="394">
        <v>7</v>
      </c>
      <c r="Z749" s="394">
        <v>30</v>
      </c>
      <c r="AA749" s="395">
        <v>0</v>
      </c>
      <c r="AB749" s="452">
        <v>41944</v>
      </c>
      <c r="AC749" s="398">
        <v>0</v>
      </c>
      <c r="AD749" s="398">
        <v>103.62901917808219</v>
      </c>
      <c r="AE749" s="393" t="s">
        <v>72</v>
      </c>
      <c r="AF749" s="417"/>
      <c r="AG749" s="417"/>
      <c r="AH749" s="417"/>
      <c r="AI749" s="394"/>
      <c r="AJ749" s="453"/>
      <c r="AK749" s="453"/>
      <c r="AL749" s="393"/>
      <c r="AM749" s="393"/>
      <c r="AN749" s="417"/>
      <c r="AO749" s="392"/>
      <c r="AP749" s="392"/>
      <c r="AQ749" s="392"/>
      <c r="AR749" s="392" t="s">
        <v>801</v>
      </c>
      <c r="AS749" s="479">
        <v>40799</v>
      </c>
      <c r="AT749" s="453"/>
      <c r="AU749" s="453"/>
      <c r="AV749" s="453"/>
      <c r="AW749" s="453"/>
      <c r="AX749" s="453"/>
      <c r="AY749" s="453"/>
      <c r="AZ749" s="452">
        <v>41740</v>
      </c>
      <c r="BA749" s="393"/>
      <c r="BB749" s="393"/>
      <c r="BC749" s="393" t="b">
        <v>0</v>
      </c>
      <c r="BD749" s="393"/>
      <c r="BE749" s="392"/>
      <c r="BF749" s="394">
        <v>2</v>
      </c>
      <c r="BG749" s="394">
        <v>4</v>
      </c>
      <c r="BH749" s="394">
        <v>10</v>
      </c>
      <c r="BI749" s="394">
        <v>5</v>
      </c>
      <c r="BJ749" s="394">
        <v>9</v>
      </c>
      <c r="BK749" s="394">
        <v>11</v>
      </c>
      <c r="BL749" s="444" t="s">
        <v>6985</v>
      </c>
      <c r="BM749" s="392"/>
      <c r="BN749" s="393"/>
      <c r="BO749" s="393"/>
      <c r="BP749" s="399"/>
      <c r="BQ749" s="400"/>
      <c r="BR749" s="401"/>
      <c r="BS749" s="399">
        <v>9</v>
      </c>
      <c r="BT749" s="394">
        <v>30680</v>
      </c>
      <c r="BU749" s="417">
        <v>0.55579999999999996</v>
      </c>
      <c r="BV749" s="399"/>
      <c r="BW749" s="393" t="s">
        <v>3117</v>
      </c>
      <c r="BX749" s="392"/>
      <c r="BY749" s="393"/>
      <c r="BZ749" s="393"/>
      <c r="CA749" s="441" t="s">
        <v>1662</v>
      </c>
      <c r="CB749" s="400">
        <v>3</v>
      </c>
      <c r="CC749" s="398"/>
      <c r="CD749" s="398"/>
      <c r="CE749" s="398"/>
      <c r="CF749" s="398"/>
      <c r="CG749" s="398"/>
      <c r="CH749" s="398"/>
      <c r="CI749" s="398"/>
      <c r="CJ749" s="398">
        <v>2.7989999999999999</v>
      </c>
      <c r="CK749" s="398">
        <v>16.795999999999999</v>
      </c>
      <c r="CL749" s="398">
        <v>16.795999999999999</v>
      </c>
      <c r="CM749" s="398">
        <v>16.795999999999999</v>
      </c>
      <c r="CN749" s="398">
        <v>16.795999999999999</v>
      </c>
      <c r="CO749" s="398">
        <v>16.795999999999999</v>
      </c>
      <c r="CP749" s="398">
        <v>16.795999999999999</v>
      </c>
      <c r="CQ749" s="398">
        <v>13.996</v>
      </c>
      <c r="CR749" s="398"/>
      <c r="CS749" s="398"/>
      <c r="CT749" s="398"/>
      <c r="CU749" s="398"/>
      <c r="CV749" s="398"/>
      <c r="CW749" s="398"/>
      <c r="CX749" s="398"/>
      <c r="CY749" s="398"/>
      <c r="CZ749" s="398"/>
      <c r="DA749" s="398"/>
      <c r="DB749" s="398"/>
      <c r="DC749" s="398"/>
      <c r="DD749" s="398"/>
      <c r="DE749" s="393"/>
      <c r="DF749" s="393"/>
      <c r="DG749" s="393"/>
      <c r="DH749" s="393"/>
      <c r="DI749" s="393"/>
      <c r="DJ749" s="393"/>
      <c r="DK749" s="897"/>
    </row>
    <row r="750" spans="1:115" ht="25.5" x14ac:dyDescent="0.2">
      <c r="A750" s="295">
        <v>746</v>
      </c>
      <c r="B750" s="390" t="s">
        <v>6058</v>
      </c>
      <c r="C750" s="390"/>
      <c r="D750" s="391" t="s">
        <v>6059</v>
      </c>
      <c r="E750" s="704" t="s">
        <v>6060</v>
      </c>
      <c r="F750" s="393" t="s">
        <v>1352</v>
      </c>
      <c r="G750" s="393" t="s">
        <v>1672</v>
      </c>
      <c r="H750" s="393" t="s">
        <v>89</v>
      </c>
      <c r="I750" s="392"/>
      <c r="J750" s="392"/>
      <c r="K750" s="392" t="s">
        <v>1575</v>
      </c>
      <c r="L750" s="392" t="s">
        <v>664</v>
      </c>
      <c r="M750" s="392"/>
      <c r="N750" s="393" t="s">
        <v>44</v>
      </c>
      <c r="O750" s="393" t="s">
        <v>289</v>
      </c>
      <c r="P750" s="393" t="s">
        <v>289</v>
      </c>
      <c r="Q750" s="392" t="s">
        <v>721</v>
      </c>
      <c r="R750" s="392" t="s">
        <v>6061</v>
      </c>
      <c r="S750" s="392" t="s">
        <v>650</v>
      </c>
      <c r="T750" s="394">
        <v>1</v>
      </c>
      <c r="U750" s="395">
        <v>19.417999999999999</v>
      </c>
      <c r="V750" s="395"/>
      <c r="W750" s="453"/>
      <c r="X750" s="394"/>
      <c r="Y750" s="394">
        <v>7</v>
      </c>
      <c r="Z750" s="394">
        <v>40</v>
      </c>
      <c r="AA750" s="395">
        <v>0</v>
      </c>
      <c r="AB750" s="452">
        <v>42156</v>
      </c>
      <c r="AC750" s="398">
        <v>0</v>
      </c>
      <c r="AD750" s="398">
        <v>108.52800000000001</v>
      </c>
      <c r="AE750" s="393" t="s">
        <v>72</v>
      </c>
      <c r="AF750" s="417"/>
      <c r="AG750" s="417"/>
      <c r="AH750" s="417"/>
      <c r="AI750" s="394"/>
      <c r="AJ750" s="453"/>
      <c r="AK750" s="453"/>
      <c r="AL750" s="393"/>
      <c r="AM750" s="393"/>
      <c r="AN750" s="417"/>
      <c r="AO750" s="392"/>
      <c r="AP750" s="392"/>
      <c r="AQ750" s="392"/>
      <c r="AR750" s="392" t="s">
        <v>801</v>
      </c>
      <c r="AS750" s="479">
        <v>40799</v>
      </c>
      <c r="AT750" s="453"/>
      <c r="AU750" s="453"/>
      <c r="AV750" s="453"/>
      <c r="AW750" s="453"/>
      <c r="AX750" s="453"/>
      <c r="AY750" s="453"/>
      <c r="AZ750" s="452">
        <v>41740</v>
      </c>
      <c r="BA750" s="393"/>
      <c r="BB750" s="393"/>
      <c r="BC750" s="393" t="b">
        <v>0</v>
      </c>
      <c r="BD750" s="393"/>
      <c r="BE750" s="392"/>
      <c r="BF750" s="394">
        <v>2</v>
      </c>
      <c r="BG750" s="394">
        <v>4</v>
      </c>
      <c r="BH750" s="394">
        <v>10</v>
      </c>
      <c r="BI750" s="394">
        <v>5</v>
      </c>
      <c r="BJ750" s="394">
        <v>9</v>
      </c>
      <c r="BK750" s="394">
        <v>11</v>
      </c>
      <c r="BL750" s="444" t="s">
        <v>6985</v>
      </c>
      <c r="BM750" s="392"/>
      <c r="BN750" s="393"/>
      <c r="BO750" s="393"/>
      <c r="BP750" s="399"/>
      <c r="BQ750" s="400"/>
      <c r="BR750" s="401"/>
      <c r="BS750" s="399">
        <v>10</v>
      </c>
      <c r="BT750" s="394">
        <v>35290</v>
      </c>
      <c r="BU750" s="417">
        <v>0.55579999999999996</v>
      </c>
      <c r="BV750" s="399"/>
      <c r="BW750" s="393" t="s">
        <v>3117</v>
      </c>
      <c r="BX750" s="392"/>
      <c r="BY750" s="393"/>
      <c r="BZ750" s="393"/>
      <c r="CA750" s="441" t="s">
        <v>1662</v>
      </c>
      <c r="CB750" s="400">
        <v>3</v>
      </c>
      <c r="CC750" s="398"/>
      <c r="CD750" s="398"/>
      <c r="CE750" s="398"/>
      <c r="CF750" s="398"/>
      <c r="CG750" s="398"/>
      <c r="CH750" s="398"/>
      <c r="CI750" s="398"/>
      <c r="CJ750" s="398"/>
      <c r="CK750" s="398">
        <v>11.327</v>
      </c>
      <c r="CL750" s="398">
        <v>19.417999999999999</v>
      </c>
      <c r="CM750" s="398">
        <v>19.417999999999999</v>
      </c>
      <c r="CN750" s="398">
        <v>19.417999999999999</v>
      </c>
      <c r="CO750" s="398">
        <v>19.417999999999999</v>
      </c>
      <c r="CP750" s="398">
        <v>19.417999999999999</v>
      </c>
      <c r="CQ750" s="398">
        <v>19.417999999999999</v>
      </c>
      <c r="CR750" s="398">
        <v>8.0909999999999993</v>
      </c>
      <c r="CS750" s="398"/>
      <c r="CT750" s="398"/>
      <c r="CU750" s="398"/>
      <c r="CV750" s="398"/>
      <c r="CW750" s="398"/>
      <c r="CX750" s="398"/>
      <c r="CY750" s="398"/>
      <c r="CZ750" s="398"/>
      <c r="DA750" s="398"/>
      <c r="DB750" s="398"/>
      <c r="DC750" s="398"/>
      <c r="DD750" s="398"/>
      <c r="DE750" s="393"/>
      <c r="DF750" s="393"/>
      <c r="DG750" s="393"/>
      <c r="DH750" s="393"/>
      <c r="DI750" s="393"/>
      <c r="DJ750" s="393"/>
      <c r="DK750" s="897"/>
    </row>
    <row r="751" spans="1:115" ht="25.5" x14ac:dyDescent="0.2">
      <c r="A751" s="295">
        <v>747</v>
      </c>
      <c r="B751" s="390" t="s">
        <v>6062</v>
      </c>
      <c r="C751" s="390"/>
      <c r="D751" s="391" t="s">
        <v>6063</v>
      </c>
      <c r="E751" s="704" t="s">
        <v>6064</v>
      </c>
      <c r="F751" s="393" t="s">
        <v>1352</v>
      </c>
      <c r="G751" s="393" t="s">
        <v>1672</v>
      </c>
      <c r="H751" s="393" t="s">
        <v>89</v>
      </c>
      <c r="I751" s="392"/>
      <c r="J751" s="392"/>
      <c r="K751" s="392" t="s">
        <v>6065</v>
      </c>
      <c r="L751" s="392" t="s">
        <v>664</v>
      </c>
      <c r="M751" s="392"/>
      <c r="N751" s="393" t="s">
        <v>44</v>
      </c>
      <c r="O751" s="393" t="s">
        <v>289</v>
      </c>
      <c r="P751" s="393" t="s">
        <v>289</v>
      </c>
      <c r="Q751" s="392" t="s">
        <v>721</v>
      </c>
      <c r="R751" s="392" t="s">
        <v>6066</v>
      </c>
      <c r="S751" s="392" t="s">
        <v>650</v>
      </c>
      <c r="T751" s="394">
        <v>1</v>
      </c>
      <c r="U751" s="395">
        <v>32.732999999999997</v>
      </c>
      <c r="V751" s="395"/>
      <c r="W751" s="453"/>
      <c r="X751" s="394"/>
      <c r="Y751" s="394">
        <v>7</v>
      </c>
      <c r="Z751" s="394">
        <v>40</v>
      </c>
      <c r="AA751" s="395">
        <v>0</v>
      </c>
      <c r="AB751" s="452">
        <v>42156</v>
      </c>
      <c r="AC751" s="398">
        <v>0</v>
      </c>
      <c r="AD751" s="398">
        <v>182.94608219178079</v>
      </c>
      <c r="AE751" s="393" t="s">
        <v>72</v>
      </c>
      <c r="AF751" s="417"/>
      <c r="AG751" s="417"/>
      <c r="AH751" s="417"/>
      <c r="AI751" s="394"/>
      <c r="AJ751" s="453"/>
      <c r="AK751" s="453"/>
      <c r="AL751" s="393"/>
      <c r="AM751" s="393"/>
      <c r="AN751" s="417"/>
      <c r="AO751" s="392"/>
      <c r="AP751" s="392"/>
      <c r="AQ751" s="392"/>
      <c r="AR751" s="392" t="s">
        <v>801</v>
      </c>
      <c r="AS751" s="479">
        <v>40799</v>
      </c>
      <c r="AT751" s="453"/>
      <c r="AU751" s="453"/>
      <c r="AV751" s="453"/>
      <c r="AW751" s="453"/>
      <c r="AX751" s="453"/>
      <c r="AY751" s="453"/>
      <c r="AZ751" s="452">
        <v>41740</v>
      </c>
      <c r="BA751" s="393"/>
      <c r="BB751" s="393"/>
      <c r="BC751" s="393" t="b">
        <v>0</v>
      </c>
      <c r="BD751" s="393"/>
      <c r="BE751" s="392"/>
      <c r="BF751" s="394">
        <v>2</v>
      </c>
      <c r="BG751" s="394">
        <v>4</v>
      </c>
      <c r="BH751" s="394">
        <v>10</v>
      </c>
      <c r="BI751" s="394">
        <v>5</v>
      </c>
      <c r="BJ751" s="394">
        <v>9</v>
      </c>
      <c r="BK751" s="394">
        <v>11</v>
      </c>
      <c r="BL751" s="444" t="s">
        <v>6985</v>
      </c>
      <c r="BM751" s="392"/>
      <c r="BN751" s="393"/>
      <c r="BO751" s="393"/>
      <c r="BP751" s="399"/>
      <c r="BQ751" s="400"/>
      <c r="BR751" s="401"/>
      <c r="BS751" s="399">
        <v>16</v>
      </c>
      <c r="BT751" s="394">
        <v>59490</v>
      </c>
      <c r="BU751" s="417">
        <v>0.55579999999999996</v>
      </c>
      <c r="BV751" s="399"/>
      <c r="BW751" s="393" t="s">
        <v>3117</v>
      </c>
      <c r="BX751" s="392"/>
      <c r="BY751" s="393"/>
      <c r="BZ751" s="393"/>
      <c r="CA751" s="441" t="s">
        <v>1662</v>
      </c>
      <c r="CB751" s="400">
        <v>3</v>
      </c>
      <c r="CC751" s="398"/>
      <c r="CD751" s="398"/>
      <c r="CE751" s="398"/>
      <c r="CF751" s="398"/>
      <c r="CG751" s="398"/>
      <c r="CH751" s="398"/>
      <c r="CI751" s="398"/>
      <c r="CJ751" s="398"/>
      <c r="CK751" s="398">
        <v>19.094000000000001</v>
      </c>
      <c r="CL751" s="398">
        <v>32.732999999999997</v>
      </c>
      <c r="CM751" s="398">
        <v>32.732999999999997</v>
      </c>
      <c r="CN751" s="398">
        <v>32.732999999999997</v>
      </c>
      <c r="CO751" s="398">
        <v>32.732999999999997</v>
      </c>
      <c r="CP751" s="398">
        <v>32.732999999999997</v>
      </c>
      <c r="CQ751" s="398">
        <v>32.732999999999997</v>
      </c>
      <c r="CR751" s="398">
        <v>13.638999999999999</v>
      </c>
      <c r="CS751" s="398"/>
      <c r="CT751" s="398"/>
      <c r="CU751" s="398"/>
      <c r="CV751" s="398"/>
      <c r="CW751" s="398"/>
      <c r="CX751" s="398"/>
      <c r="CY751" s="398"/>
      <c r="CZ751" s="398"/>
      <c r="DA751" s="398"/>
      <c r="DB751" s="398"/>
      <c r="DC751" s="398"/>
      <c r="DD751" s="398"/>
      <c r="DE751" s="393"/>
      <c r="DF751" s="393"/>
      <c r="DG751" s="393"/>
      <c r="DH751" s="393"/>
      <c r="DI751" s="393"/>
      <c r="DJ751" s="393"/>
      <c r="DK751" s="897"/>
    </row>
    <row r="752" spans="1:115" ht="25.5" x14ac:dyDescent="0.2">
      <c r="A752" s="295">
        <v>748</v>
      </c>
      <c r="B752" s="390" t="s">
        <v>6092</v>
      </c>
      <c r="C752" s="390"/>
      <c r="D752" s="391" t="s">
        <v>6093</v>
      </c>
      <c r="E752" s="704" t="s">
        <v>6094</v>
      </c>
      <c r="F752" s="393" t="s">
        <v>1352</v>
      </c>
      <c r="G752" s="393" t="s">
        <v>1672</v>
      </c>
      <c r="H752" s="393" t="s">
        <v>89</v>
      </c>
      <c r="I752" s="392"/>
      <c r="J752" s="392"/>
      <c r="K752" s="392" t="s">
        <v>5062</v>
      </c>
      <c r="L752" s="392" t="s">
        <v>664</v>
      </c>
      <c r="M752" s="392"/>
      <c r="N752" s="393" t="s">
        <v>44</v>
      </c>
      <c r="O752" s="393" t="s">
        <v>289</v>
      </c>
      <c r="P752" s="393" t="s">
        <v>289</v>
      </c>
      <c r="Q752" s="392" t="s">
        <v>721</v>
      </c>
      <c r="R752" s="392" t="s">
        <v>6095</v>
      </c>
      <c r="S752" s="392" t="s">
        <v>650</v>
      </c>
      <c r="T752" s="394">
        <v>1</v>
      </c>
      <c r="U752" s="395">
        <v>60.069000000000003</v>
      </c>
      <c r="V752" s="395"/>
      <c r="W752" s="453"/>
      <c r="X752" s="394"/>
      <c r="Y752" s="394">
        <v>7</v>
      </c>
      <c r="Z752" s="394">
        <v>40</v>
      </c>
      <c r="AA752" s="395">
        <v>0</v>
      </c>
      <c r="AB752" s="452">
        <v>42522</v>
      </c>
      <c r="AC752" s="398">
        <v>0</v>
      </c>
      <c r="AD752" s="398">
        <v>275.4945369863014</v>
      </c>
      <c r="AE752" s="393" t="s">
        <v>72</v>
      </c>
      <c r="AF752" s="417"/>
      <c r="AG752" s="417"/>
      <c r="AH752" s="417"/>
      <c r="AI752" s="394"/>
      <c r="AJ752" s="453"/>
      <c r="AK752" s="453"/>
      <c r="AL752" s="393"/>
      <c r="AM752" s="393"/>
      <c r="AN752" s="417"/>
      <c r="AO752" s="392"/>
      <c r="AP752" s="392"/>
      <c r="AQ752" s="392"/>
      <c r="AR752" s="392" t="s">
        <v>801</v>
      </c>
      <c r="AS752" s="479">
        <v>40799</v>
      </c>
      <c r="AT752" s="453"/>
      <c r="AU752" s="453"/>
      <c r="AV752" s="453"/>
      <c r="AW752" s="453"/>
      <c r="AX752" s="453"/>
      <c r="AY752" s="453"/>
      <c r="AZ752" s="452">
        <v>41766</v>
      </c>
      <c r="BA752" s="393"/>
      <c r="BB752" s="393"/>
      <c r="BC752" s="393" t="b">
        <v>0</v>
      </c>
      <c r="BD752" s="393"/>
      <c r="BE752" s="392"/>
      <c r="BF752" s="394">
        <v>2</v>
      </c>
      <c r="BG752" s="394">
        <v>4</v>
      </c>
      <c r="BH752" s="394">
        <v>10</v>
      </c>
      <c r="BI752" s="394">
        <v>5</v>
      </c>
      <c r="BJ752" s="394">
        <v>9</v>
      </c>
      <c r="BK752" s="394">
        <v>11</v>
      </c>
      <c r="BL752" s="444" t="s">
        <v>6985</v>
      </c>
      <c r="BM752" s="392"/>
      <c r="BN752" s="393"/>
      <c r="BO752" s="393"/>
      <c r="BP752" s="399"/>
      <c r="BQ752" s="400"/>
      <c r="BR752" s="401"/>
      <c r="BS752" s="399">
        <v>30</v>
      </c>
      <c r="BT752" s="394">
        <v>108078</v>
      </c>
      <c r="BU752" s="417">
        <v>0.55579999999999996</v>
      </c>
      <c r="BV752" s="399"/>
      <c r="BW752" s="393" t="s">
        <v>3117</v>
      </c>
      <c r="BX752" s="392"/>
      <c r="BY752" s="393"/>
      <c r="BZ752" s="393"/>
      <c r="CA752" s="441" t="s">
        <v>1662</v>
      </c>
      <c r="CB752" s="400">
        <v>3</v>
      </c>
      <c r="CC752" s="398"/>
      <c r="CD752" s="398"/>
      <c r="CE752" s="398"/>
      <c r="CF752" s="398"/>
      <c r="CG752" s="398"/>
      <c r="CH752" s="398"/>
      <c r="CI752" s="398"/>
      <c r="CJ752" s="398"/>
      <c r="CK752" s="398"/>
      <c r="CL752" s="398">
        <v>35.04</v>
      </c>
      <c r="CM752" s="398">
        <v>60.069000000000003</v>
      </c>
      <c r="CN752" s="398">
        <v>60.069000000000003</v>
      </c>
      <c r="CO752" s="398">
        <v>60.069000000000003</v>
      </c>
      <c r="CP752" s="398">
        <v>60.069000000000003</v>
      </c>
      <c r="CQ752" s="398">
        <v>60.069000000000003</v>
      </c>
      <c r="CR752" s="398">
        <v>60.069000000000003</v>
      </c>
      <c r="CS752" s="398">
        <v>60.069000000000003</v>
      </c>
      <c r="CT752" s="398">
        <v>60.069000000000003</v>
      </c>
      <c r="CU752" s="398">
        <v>60.069000000000003</v>
      </c>
      <c r="CV752" s="398">
        <v>60.069000000000003</v>
      </c>
      <c r="CW752" s="398">
        <v>60.069000000000003</v>
      </c>
      <c r="CX752" s="398">
        <v>60.069000000000003</v>
      </c>
      <c r="CY752" s="398">
        <v>60.069000000000003</v>
      </c>
      <c r="CZ752" s="398">
        <v>60.069000000000003</v>
      </c>
      <c r="DA752" s="398">
        <v>60.069000000000003</v>
      </c>
      <c r="DB752" s="398">
        <v>60.069000000000003</v>
      </c>
      <c r="DC752" s="398">
        <v>60.069000000000003</v>
      </c>
      <c r="DD752" s="398">
        <v>60.069000000000003</v>
      </c>
      <c r="DE752" s="393">
        <v>60.069000000000003</v>
      </c>
      <c r="DF752" s="393">
        <v>25.029</v>
      </c>
      <c r="DG752" s="393"/>
      <c r="DH752" s="393"/>
      <c r="DI752" s="393"/>
      <c r="DJ752" s="393"/>
      <c r="DK752" s="897"/>
    </row>
    <row r="753" spans="1:115" ht="25.5" x14ac:dyDescent="0.2">
      <c r="A753" s="295">
        <v>749</v>
      </c>
      <c r="B753" s="390" t="s">
        <v>6096</v>
      </c>
      <c r="C753" s="390"/>
      <c r="D753" s="391" t="s">
        <v>6097</v>
      </c>
      <c r="E753" s="704" t="s">
        <v>6098</v>
      </c>
      <c r="F753" s="393" t="s">
        <v>1352</v>
      </c>
      <c r="G753" s="393" t="s">
        <v>1672</v>
      </c>
      <c r="H753" s="393" t="s">
        <v>89</v>
      </c>
      <c r="I753" s="392"/>
      <c r="J753" s="392"/>
      <c r="K753" s="392" t="s">
        <v>6099</v>
      </c>
      <c r="L753" s="392" t="s">
        <v>664</v>
      </c>
      <c r="M753" s="392"/>
      <c r="N753" s="393" t="s">
        <v>44</v>
      </c>
      <c r="O753" s="393" t="s">
        <v>289</v>
      </c>
      <c r="P753" s="393" t="s">
        <v>289</v>
      </c>
      <c r="Q753" s="392" t="s">
        <v>721</v>
      </c>
      <c r="R753" s="392" t="s">
        <v>6100</v>
      </c>
      <c r="S753" s="392" t="s">
        <v>650</v>
      </c>
      <c r="T753" s="394">
        <v>1</v>
      </c>
      <c r="U753" s="395">
        <v>46.652999999999999</v>
      </c>
      <c r="V753" s="395"/>
      <c r="W753" s="453"/>
      <c r="X753" s="394"/>
      <c r="Y753" s="394">
        <v>7</v>
      </c>
      <c r="Z753" s="394">
        <v>40</v>
      </c>
      <c r="AA753" s="395">
        <v>0</v>
      </c>
      <c r="AB753" s="452">
        <v>41766</v>
      </c>
      <c r="AC753" s="398">
        <v>0</v>
      </c>
      <c r="AD753" s="398">
        <v>310.59394520547943</v>
      </c>
      <c r="AE753" s="393" t="s">
        <v>72</v>
      </c>
      <c r="AF753" s="417"/>
      <c r="AG753" s="417"/>
      <c r="AH753" s="417"/>
      <c r="AI753" s="394"/>
      <c r="AJ753" s="453"/>
      <c r="AK753" s="453"/>
      <c r="AL753" s="393"/>
      <c r="AM753" s="393"/>
      <c r="AN753" s="417"/>
      <c r="AO753" s="392"/>
      <c r="AP753" s="392"/>
      <c r="AQ753" s="392"/>
      <c r="AR753" s="392" t="s">
        <v>801</v>
      </c>
      <c r="AS753" s="479">
        <v>40799</v>
      </c>
      <c r="AT753" s="453"/>
      <c r="AU753" s="453"/>
      <c r="AV753" s="453"/>
      <c r="AW753" s="453"/>
      <c r="AX753" s="453"/>
      <c r="AY753" s="453"/>
      <c r="AZ753" s="452">
        <v>41766</v>
      </c>
      <c r="BA753" s="393"/>
      <c r="BB753" s="393"/>
      <c r="BC753" s="393" t="b">
        <v>0</v>
      </c>
      <c r="BD753" s="393"/>
      <c r="BE753" s="392"/>
      <c r="BF753" s="394">
        <v>2</v>
      </c>
      <c r="BG753" s="394">
        <v>4</v>
      </c>
      <c r="BH753" s="394">
        <v>10</v>
      </c>
      <c r="BI753" s="394">
        <v>5</v>
      </c>
      <c r="BJ753" s="394">
        <v>9</v>
      </c>
      <c r="BK753" s="394">
        <v>11</v>
      </c>
      <c r="BL753" s="444" t="s">
        <v>6985</v>
      </c>
      <c r="BM753" s="392"/>
      <c r="BN753" s="393"/>
      <c r="BO753" s="393"/>
      <c r="BP753" s="399"/>
      <c r="BQ753" s="400"/>
      <c r="BR753" s="401"/>
      <c r="BS753" s="399">
        <v>21</v>
      </c>
      <c r="BT753" s="394">
        <v>83940</v>
      </c>
      <c r="BU753" s="417">
        <v>0.55579999999999996</v>
      </c>
      <c r="BV753" s="399"/>
      <c r="BW753" s="393" t="s">
        <v>3117</v>
      </c>
      <c r="BX753" s="392"/>
      <c r="BY753" s="393"/>
      <c r="BZ753" s="393"/>
      <c r="CA753" s="441" t="s">
        <v>1662</v>
      </c>
      <c r="CB753" s="400">
        <v>3</v>
      </c>
      <c r="CC753" s="398"/>
      <c r="CD753" s="398"/>
      <c r="CE753" s="398"/>
      <c r="CF753" s="398"/>
      <c r="CG753" s="398"/>
      <c r="CH753" s="398"/>
      <c r="CI753" s="398"/>
      <c r="CJ753" s="398">
        <v>31.102</v>
      </c>
      <c r="CK753" s="398">
        <v>46.652999999999999</v>
      </c>
      <c r="CL753" s="398">
        <v>46.652999999999999</v>
      </c>
      <c r="CM753" s="398">
        <v>46.652999999999999</v>
      </c>
      <c r="CN753" s="398">
        <v>46.652999999999999</v>
      </c>
      <c r="CO753" s="398">
        <v>46.652999999999999</v>
      </c>
      <c r="CP753" s="398">
        <v>46.652999999999999</v>
      </c>
      <c r="CQ753" s="398">
        <v>46.652999999999999</v>
      </c>
      <c r="CR753" s="398">
        <v>46.652999999999999</v>
      </c>
      <c r="CS753" s="398">
        <v>46.652999999999999</v>
      </c>
      <c r="CT753" s="398">
        <v>46.652999999999999</v>
      </c>
      <c r="CU753" s="398">
        <v>46.652999999999999</v>
      </c>
      <c r="CV753" s="398">
        <v>46.652999999999999</v>
      </c>
      <c r="CW753" s="398">
        <v>46.652999999999999</v>
      </c>
      <c r="CX753" s="398">
        <v>46.652999999999999</v>
      </c>
      <c r="CY753" s="398">
        <v>46.652999999999999</v>
      </c>
      <c r="CZ753" s="398">
        <v>46.652999999999999</v>
      </c>
      <c r="DA753" s="398">
        <v>46.652999999999999</v>
      </c>
      <c r="DB753" s="398">
        <v>46.652999999999999</v>
      </c>
      <c r="DC753" s="398">
        <v>46.652999999999999</v>
      </c>
      <c r="DD753" s="398">
        <v>14.551</v>
      </c>
      <c r="DE753" s="393"/>
      <c r="DF753" s="393"/>
      <c r="DG753" s="393"/>
      <c r="DH753" s="393"/>
      <c r="DI753" s="393"/>
      <c r="DJ753" s="393"/>
      <c r="DK753" s="897"/>
    </row>
    <row r="754" spans="1:115" ht="63.75" x14ac:dyDescent="0.2">
      <c r="A754" s="295">
        <v>750</v>
      </c>
      <c r="B754" s="390" t="s">
        <v>202</v>
      </c>
      <c r="C754" s="424" t="s">
        <v>7551</v>
      </c>
      <c r="D754" s="391" t="s">
        <v>5108</v>
      </c>
      <c r="E754" s="704" t="s">
        <v>203</v>
      </c>
      <c r="F754" s="393" t="s">
        <v>1352</v>
      </c>
      <c r="G754" s="393" t="s">
        <v>1671</v>
      </c>
      <c r="H754" s="393" t="s">
        <v>117</v>
      </c>
      <c r="I754" s="392"/>
      <c r="J754" s="392" t="s">
        <v>2174</v>
      </c>
      <c r="K754" s="392"/>
      <c r="L754" s="392" t="s">
        <v>204</v>
      </c>
      <c r="M754" s="392" t="s">
        <v>3226</v>
      </c>
      <c r="N754" s="393" t="s">
        <v>44</v>
      </c>
      <c r="O754" s="393" t="s">
        <v>69</v>
      </c>
      <c r="P754" s="393" t="s">
        <v>69</v>
      </c>
      <c r="Q754" s="392" t="s">
        <v>172</v>
      </c>
      <c r="R754" s="392"/>
      <c r="S754" s="392" t="s">
        <v>205</v>
      </c>
      <c r="T754" s="394">
        <v>1</v>
      </c>
      <c r="U754" s="395">
        <v>8.0820000000000007</v>
      </c>
      <c r="V754" s="395"/>
      <c r="W754" s="452">
        <v>40920</v>
      </c>
      <c r="X754" s="394">
        <v>28</v>
      </c>
      <c r="Y754" s="394"/>
      <c r="Z754" s="394"/>
      <c r="AA754" s="395"/>
      <c r="AB754" s="453"/>
      <c r="AC754" s="398">
        <v>0</v>
      </c>
      <c r="AD754" s="398">
        <v>64.678142465753425</v>
      </c>
      <c r="AE754" s="393" t="s">
        <v>47</v>
      </c>
      <c r="AF754" s="417"/>
      <c r="AG754" s="417"/>
      <c r="AH754" s="417">
        <v>0</v>
      </c>
      <c r="AI754" s="394"/>
      <c r="AJ754" s="453"/>
      <c r="AK754" s="453"/>
      <c r="AL754" s="393"/>
      <c r="AM754" s="393"/>
      <c r="AN754" s="417"/>
      <c r="AO754" s="392"/>
      <c r="AP754" s="428" t="s">
        <v>8093</v>
      </c>
      <c r="AQ754" s="392"/>
      <c r="AR754" s="392" t="s">
        <v>206</v>
      </c>
      <c r="AS754" s="479">
        <v>40800</v>
      </c>
      <c r="AT754" s="453"/>
      <c r="AU754" s="453"/>
      <c r="AV754" s="452">
        <v>40940</v>
      </c>
      <c r="AW754" s="452">
        <v>41233</v>
      </c>
      <c r="AX754" s="452">
        <v>41286</v>
      </c>
      <c r="AY754" s="452">
        <v>41233</v>
      </c>
      <c r="AZ754" s="453"/>
      <c r="BA754" s="393"/>
      <c r="BB754" s="393" t="s">
        <v>3116</v>
      </c>
      <c r="BC754" s="393" t="b">
        <v>0</v>
      </c>
      <c r="BD754" s="393" t="s">
        <v>3116</v>
      </c>
      <c r="BE754" s="392"/>
      <c r="BF754" s="394">
        <v>5</v>
      </c>
      <c r="BG754" s="394">
        <v>6</v>
      </c>
      <c r="BH754" s="394">
        <v>1</v>
      </c>
      <c r="BI754" s="394">
        <v>8</v>
      </c>
      <c r="BJ754" s="394">
        <v>9</v>
      </c>
      <c r="BK754" s="394"/>
      <c r="BL754" s="444"/>
      <c r="BM754" s="392"/>
      <c r="BN754" s="393"/>
      <c r="BO754" s="393"/>
      <c r="BP754" s="399"/>
      <c r="BQ754" s="400"/>
      <c r="BR754" s="401"/>
      <c r="BS754" s="399">
        <v>0</v>
      </c>
      <c r="BT754" s="394"/>
      <c r="BU754" s="417"/>
      <c r="BV754" s="399"/>
      <c r="BW754" s="393"/>
      <c r="BX754" s="392"/>
      <c r="BY754" s="393"/>
      <c r="BZ754" s="393"/>
      <c r="CA754" s="441"/>
      <c r="CB754" s="400"/>
      <c r="CC754" s="398"/>
      <c r="CD754" s="398"/>
      <c r="CE754" s="398"/>
      <c r="CF754" s="398"/>
      <c r="CG754" s="398"/>
      <c r="CH754" s="398"/>
      <c r="CI754" s="398"/>
      <c r="CJ754" s="398"/>
      <c r="CK754" s="398"/>
      <c r="CL754" s="398"/>
      <c r="CM754" s="398"/>
      <c r="CN754" s="398"/>
      <c r="CO754" s="398"/>
      <c r="CP754" s="398"/>
      <c r="CQ754" s="398"/>
      <c r="CR754" s="398"/>
      <c r="CS754" s="398"/>
      <c r="CT754" s="398"/>
      <c r="CU754" s="398"/>
      <c r="CV754" s="398"/>
      <c r="CW754" s="398"/>
      <c r="CX754" s="398"/>
      <c r="CY754" s="398"/>
      <c r="CZ754" s="398"/>
      <c r="DA754" s="398"/>
      <c r="DB754" s="398"/>
      <c r="DC754" s="398"/>
      <c r="DD754" s="398"/>
      <c r="DE754" s="393"/>
      <c r="DF754" s="393"/>
      <c r="DG754" s="393"/>
      <c r="DH754" s="393"/>
      <c r="DI754" s="393"/>
      <c r="DJ754" s="393"/>
      <c r="DK754" s="896" t="s">
        <v>9700</v>
      </c>
    </row>
    <row r="755" spans="1:115" ht="25.5" x14ac:dyDescent="0.2">
      <c r="A755" s="295">
        <v>751</v>
      </c>
      <c r="B755" s="390" t="s">
        <v>2723</v>
      </c>
      <c r="C755" s="390"/>
      <c r="D755" s="391" t="s">
        <v>4465</v>
      </c>
      <c r="E755" s="704" t="s">
        <v>207</v>
      </c>
      <c r="F755" s="393" t="s">
        <v>1352</v>
      </c>
      <c r="G755" s="393" t="s">
        <v>1671</v>
      </c>
      <c r="H755" s="393" t="s">
        <v>117</v>
      </c>
      <c r="I755" s="392"/>
      <c r="J755" s="392"/>
      <c r="K755" s="392" t="s">
        <v>2174</v>
      </c>
      <c r="L755" s="392" t="s">
        <v>204</v>
      </c>
      <c r="M755" s="392"/>
      <c r="N755" s="393" t="s">
        <v>44</v>
      </c>
      <c r="O755" s="393" t="s">
        <v>69</v>
      </c>
      <c r="P755" s="393" t="s">
        <v>69</v>
      </c>
      <c r="Q755" s="392" t="s">
        <v>172</v>
      </c>
      <c r="R755" s="392" t="s">
        <v>3227</v>
      </c>
      <c r="S755" s="392" t="s">
        <v>205</v>
      </c>
      <c r="T755" s="394">
        <v>1</v>
      </c>
      <c r="U755" s="395">
        <v>8.0820000000000007</v>
      </c>
      <c r="V755" s="395"/>
      <c r="W755" s="453"/>
      <c r="X755" s="394"/>
      <c r="Y755" s="394">
        <v>7</v>
      </c>
      <c r="Z755" s="394">
        <v>15</v>
      </c>
      <c r="AA755" s="395">
        <v>0</v>
      </c>
      <c r="AB755" s="452">
        <v>41275</v>
      </c>
      <c r="AC755" s="398">
        <v>0</v>
      </c>
      <c r="AD755" s="398">
        <v>64.678142465753425</v>
      </c>
      <c r="AE755" s="393" t="s">
        <v>47</v>
      </c>
      <c r="AF755" s="417"/>
      <c r="AG755" s="417"/>
      <c r="AH755" s="417"/>
      <c r="AI755" s="394"/>
      <c r="AJ755" s="453"/>
      <c r="AK755" s="453"/>
      <c r="AL755" s="393"/>
      <c r="AM755" s="393"/>
      <c r="AN755" s="417"/>
      <c r="AO755" s="392"/>
      <c r="AP755" s="428" t="s">
        <v>8093</v>
      </c>
      <c r="AQ755" s="392"/>
      <c r="AR755" s="392" t="s">
        <v>206</v>
      </c>
      <c r="AS755" s="479">
        <v>40800</v>
      </c>
      <c r="AT755" s="453"/>
      <c r="AU755" s="453"/>
      <c r="AV755" s="453"/>
      <c r="AW755" s="453"/>
      <c r="AX755" s="453"/>
      <c r="AY755" s="453"/>
      <c r="AZ755" s="452">
        <v>41233</v>
      </c>
      <c r="BA755" s="393"/>
      <c r="BB755" s="393"/>
      <c r="BC755" s="393" t="b">
        <v>0</v>
      </c>
      <c r="BD755" s="393"/>
      <c r="BE755" s="392"/>
      <c r="BF755" s="394">
        <v>5</v>
      </c>
      <c r="BG755" s="394">
        <v>6</v>
      </c>
      <c r="BH755" s="394">
        <v>1</v>
      </c>
      <c r="BI755" s="394">
        <v>8</v>
      </c>
      <c r="BJ755" s="394">
        <v>9</v>
      </c>
      <c r="BK755" s="394"/>
      <c r="BL755" s="444" t="s">
        <v>6981</v>
      </c>
      <c r="BM755" s="392"/>
      <c r="BN755" s="393"/>
      <c r="BO755" s="393"/>
      <c r="BP755" s="399"/>
      <c r="BQ755" s="400"/>
      <c r="BR755" s="401"/>
      <c r="BS755" s="399"/>
      <c r="BT755" s="394"/>
      <c r="BU755" s="417"/>
      <c r="BV755" s="399"/>
      <c r="BW755" s="393" t="s">
        <v>3117</v>
      </c>
      <c r="BX755" s="392" t="s">
        <v>4364</v>
      </c>
      <c r="BY755" s="393" t="s">
        <v>7224</v>
      </c>
      <c r="BZ755" s="393"/>
      <c r="CA755" s="441"/>
      <c r="CB755" s="400"/>
      <c r="CC755" s="398"/>
      <c r="CD755" s="398"/>
      <c r="CE755" s="398"/>
      <c r="CF755" s="398"/>
      <c r="CG755" s="398"/>
      <c r="CH755" s="398">
        <v>8.0820000000000007</v>
      </c>
      <c r="CI755" s="398">
        <v>8.0820000000000007</v>
      </c>
      <c r="CJ755" s="398">
        <v>8.0820000000000007</v>
      </c>
      <c r="CK755" s="398">
        <v>8.0820000000000007</v>
      </c>
      <c r="CL755" s="398">
        <v>8.0820000000000007</v>
      </c>
      <c r="CM755" s="398">
        <v>8.0820000000000007</v>
      </c>
      <c r="CN755" s="398">
        <v>8.0820000000000007</v>
      </c>
      <c r="CO755" s="398"/>
      <c r="CP755" s="398"/>
      <c r="CQ755" s="398"/>
      <c r="CR755" s="398"/>
      <c r="CS755" s="398"/>
      <c r="CT755" s="398"/>
      <c r="CU755" s="398"/>
      <c r="CV755" s="398"/>
      <c r="CW755" s="398"/>
      <c r="CX755" s="398"/>
      <c r="CY755" s="398"/>
      <c r="CZ755" s="398"/>
      <c r="DA755" s="398"/>
      <c r="DB755" s="398"/>
      <c r="DC755" s="398"/>
      <c r="DD755" s="398"/>
      <c r="DE755" s="393"/>
      <c r="DF755" s="393"/>
      <c r="DG755" s="393"/>
      <c r="DH755" s="393"/>
      <c r="DI755" s="393"/>
      <c r="DJ755" s="393"/>
      <c r="DK755" s="897"/>
    </row>
    <row r="756" spans="1:115" ht="63.75" x14ac:dyDescent="0.2">
      <c r="A756" s="295">
        <v>752</v>
      </c>
      <c r="B756" s="390" t="s">
        <v>603</v>
      </c>
      <c r="C756" s="424" t="s">
        <v>7552</v>
      </c>
      <c r="D756" s="391" t="s">
        <v>5109</v>
      </c>
      <c r="E756" s="704" t="s">
        <v>604</v>
      </c>
      <c r="F756" s="393" t="s">
        <v>1352</v>
      </c>
      <c r="G756" s="393" t="s">
        <v>1671</v>
      </c>
      <c r="H756" s="393" t="s">
        <v>117</v>
      </c>
      <c r="I756" s="392"/>
      <c r="J756" s="392" t="s">
        <v>2174</v>
      </c>
      <c r="K756" s="392"/>
      <c r="L756" s="392" t="s">
        <v>204</v>
      </c>
      <c r="M756" s="392" t="s">
        <v>3208</v>
      </c>
      <c r="N756" s="393" t="s">
        <v>44</v>
      </c>
      <c r="O756" s="393" t="s">
        <v>69</v>
      </c>
      <c r="P756" s="393" t="s">
        <v>69</v>
      </c>
      <c r="Q756" s="392" t="s">
        <v>572</v>
      </c>
      <c r="R756" s="392"/>
      <c r="S756" s="428" t="s">
        <v>573</v>
      </c>
      <c r="T756" s="394">
        <v>1</v>
      </c>
      <c r="U756" s="395">
        <v>3.5390000000000001</v>
      </c>
      <c r="V756" s="395"/>
      <c r="W756" s="452">
        <v>40800</v>
      </c>
      <c r="X756" s="394">
        <v>28</v>
      </c>
      <c r="Y756" s="394"/>
      <c r="Z756" s="394"/>
      <c r="AA756" s="395"/>
      <c r="AB756" s="453"/>
      <c r="AC756" s="398">
        <v>0</v>
      </c>
      <c r="AD756" s="398">
        <v>28.370175342465753</v>
      </c>
      <c r="AE756" s="393" t="s">
        <v>47</v>
      </c>
      <c r="AF756" s="417"/>
      <c r="AG756" s="417"/>
      <c r="AH756" s="417">
        <v>0</v>
      </c>
      <c r="AI756" s="394"/>
      <c r="AJ756" s="453"/>
      <c r="AK756" s="453"/>
      <c r="AL756" s="393"/>
      <c r="AM756" s="393"/>
      <c r="AN756" s="417"/>
      <c r="AO756" s="392"/>
      <c r="AP756" s="428" t="s">
        <v>8093</v>
      </c>
      <c r="AQ756" s="392"/>
      <c r="AR756" s="392" t="s">
        <v>206</v>
      </c>
      <c r="AS756" s="479">
        <v>40800</v>
      </c>
      <c r="AT756" s="453"/>
      <c r="AU756" s="453"/>
      <c r="AV756" s="452">
        <v>40940</v>
      </c>
      <c r="AW756" s="452">
        <v>41270</v>
      </c>
      <c r="AX756" s="452">
        <v>41383</v>
      </c>
      <c r="AY756" s="452">
        <v>41270</v>
      </c>
      <c r="AZ756" s="453"/>
      <c r="BA756" s="393"/>
      <c r="BB756" s="393" t="s">
        <v>3147</v>
      </c>
      <c r="BC756" s="393" t="b">
        <v>1</v>
      </c>
      <c r="BD756" s="393" t="s">
        <v>3116</v>
      </c>
      <c r="BE756" s="392"/>
      <c r="BF756" s="394">
        <v>5</v>
      </c>
      <c r="BG756" s="394">
        <v>6</v>
      </c>
      <c r="BH756" s="394">
        <v>1</v>
      </c>
      <c r="BI756" s="394">
        <v>8</v>
      </c>
      <c r="BJ756" s="394">
        <v>9</v>
      </c>
      <c r="BK756" s="394">
        <v>11</v>
      </c>
      <c r="BL756" s="444"/>
      <c r="BM756" s="392"/>
      <c r="BN756" s="393"/>
      <c r="BO756" s="393"/>
      <c r="BP756" s="399"/>
      <c r="BQ756" s="400"/>
      <c r="BR756" s="401"/>
      <c r="BS756" s="399">
        <v>0.1</v>
      </c>
      <c r="BT756" s="394"/>
      <c r="BU756" s="417"/>
      <c r="BV756" s="399"/>
      <c r="BW756" s="393"/>
      <c r="BX756" s="392"/>
      <c r="BY756" s="393"/>
      <c r="BZ756" s="393"/>
      <c r="CA756" s="441"/>
      <c r="CB756" s="400"/>
      <c r="CC756" s="398"/>
      <c r="CD756" s="398"/>
      <c r="CE756" s="398"/>
      <c r="CF756" s="398"/>
      <c r="CG756" s="398"/>
      <c r="CH756" s="398"/>
      <c r="CI756" s="398"/>
      <c r="CJ756" s="398"/>
      <c r="CK756" s="398"/>
      <c r="CL756" s="398"/>
      <c r="CM756" s="398"/>
      <c r="CN756" s="398"/>
      <c r="CO756" s="398"/>
      <c r="CP756" s="398"/>
      <c r="CQ756" s="398"/>
      <c r="CR756" s="398"/>
      <c r="CS756" s="398"/>
      <c r="CT756" s="398"/>
      <c r="CU756" s="398"/>
      <c r="CV756" s="398"/>
      <c r="CW756" s="398"/>
      <c r="CX756" s="398"/>
      <c r="CY756" s="398"/>
      <c r="CZ756" s="398"/>
      <c r="DA756" s="398"/>
      <c r="DB756" s="398"/>
      <c r="DC756" s="398"/>
      <c r="DD756" s="398"/>
      <c r="DE756" s="393"/>
      <c r="DF756" s="393"/>
      <c r="DG756" s="393"/>
      <c r="DH756" s="393"/>
      <c r="DI756" s="393"/>
      <c r="DJ756" s="393"/>
      <c r="DK756" s="896" t="s">
        <v>9722</v>
      </c>
    </row>
    <row r="757" spans="1:115" ht="25.5" x14ac:dyDescent="0.2">
      <c r="A757" s="295">
        <v>753</v>
      </c>
      <c r="B757" s="390" t="s">
        <v>2724</v>
      </c>
      <c r="C757" s="390"/>
      <c r="D757" s="391" t="s">
        <v>4927</v>
      </c>
      <c r="E757" s="704" t="s">
        <v>605</v>
      </c>
      <c r="F757" s="393" t="s">
        <v>1352</v>
      </c>
      <c r="G757" s="393" t="s">
        <v>1671</v>
      </c>
      <c r="H757" s="393" t="s">
        <v>117</v>
      </c>
      <c r="I757" s="392"/>
      <c r="J757" s="392"/>
      <c r="K757" s="392" t="s">
        <v>2174</v>
      </c>
      <c r="L757" s="392" t="s">
        <v>204</v>
      </c>
      <c r="M757" s="392"/>
      <c r="N757" s="393" t="s">
        <v>44</v>
      </c>
      <c r="O757" s="393" t="s">
        <v>69</v>
      </c>
      <c r="P757" s="393" t="s">
        <v>69</v>
      </c>
      <c r="Q757" s="392" t="s">
        <v>572</v>
      </c>
      <c r="R757" s="392" t="s">
        <v>3228</v>
      </c>
      <c r="S757" s="428" t="s">
        <v>573</v>
      </c>
      <c r="T757" s="394">
        <v>1</v>
      </c>
      <c r="U757" s="395">
        <v>3.5390000000000001</v>
      </c>
      <c r="V757" s="395"/>
      <c r="W757" s="453"/>
      <c r="X757" s="394"/>
      <c r="Y757" s="394">
        <v>7</v>
      </c>
      <c r="Z757" s="394">
        <v>15</v>
      </c>
      <c r="AA757" s="395">
        <v>0</v>
      </c>
      <c r="AB757" s="452">
        <v>41270</v>
      </c>
      <c r="AC757" s="398">
        <v>0</v>
      </c>
      <c r="AD757" s="398">
        <v>28.370175342465753</v>
      </c>
      <c r="AE757" s="393" t="s">
        <v>47</v>
      </c>
      <c r="AF757" s="417"/>
      <c r="AG757" s="417"/>
      <c r="AH757" s="417"/>
      <c r="AI757" s="394"/>
      <c r="AJ757" s="453"/>
      <c r="AK757" s="453"/>
      <c r="AL757" s="393"/>
      <c r="AM757" s="393"/>
      <c r="AN757" s="417"/>
      <c r="AO757" s="392"/>
      <c r="AP757" s="428" t="s">
        <v>8093</v>
      </c>
      <c r="AQ757" s="392"/>
      <c r="AR757" s="392" t="s">
        <v>206</v>
      </c>
      <c r="AS757" s="479">
        <v>40800</v>
      </c>
      <c r="AT757" s="453"/>
      <c r="AU757" s="453"/>
      <c r="AV757" s="453"/>
      <c r="AW757" s="453"/>
      <c r="AX757" s="453"/>
      <c r="AY757" s="453"/>
      <c r="AZ757" s="452">
        <v>41270</v>
      </c>
      <c r="BA757" s="393"/>
      <c r="BB757" s="393"/>
      <c r="BC757" s="393" t="b">
        <v>0</v>
      </c>
      <c r="BD757" s="393"/>
      <c r="BE757" s="392"/>
      <c r="BF757" s="394">
        <v>5</v>
      </c>
      <c r="BG757" s="394">
        <v>6</v>
      </c>
      <c r="BH757" s="394">
        <v>1</v>
      </c>
      <c r="BI757" s="394">
        <v>8</v>
      </c>
      <c r="BJ757" s="394">
        <v>9</v>
      </c>
      <c r="BK757" s="394">
        <v>11</v>
      </c>
      <c r="BL757" s="444" t="s">
        <v>6983</v>
      </c>
      <c r="BM757" s="392"/>
      <c r="BN757" s="393"/>
      <c r="BO757" s="393"/>
      <c r="BP757" s="399"/>
      <c r="BQ757" s="400"/>
      <c r="BR757" s="401"/>
      <c r="BS757" s="399">
        <v>0.1</v>
      </c>
      <c r="BT757" s="394">
        <v>613</v>
      </c>
      <c r="BU757" s="417">
        <v>0.84125000000000005</v>
      </c>
      <c r="BV757" s="399"/>
      <c r="BW757" s="393" t="s">
        <v>3117</v>
      </c>
      <c r="BX757" s="392" t="s">
        <v>1447</v>
      </c>
      <c r="BY757" s="393"/>
      <c r="BZ757" s="393"/>
      <c r="CA757" s="441" t="s">
        <v>1662</v>
      </c>
      <c r="CB757" s="400">
        <v>3</v>
      </c>
      <c r="CC757" s="398"/>
      <c r="CD757" s="398"/>
      <c r="CE757" s="398"/>
      <c r="CF757" s="398"/>
      <c r="CG757" s="398"/>
      <c r="CH757" s="398"/>
      <c r="CI757" s="398">
        <v>2.7709999999999999</v>
      </c>
      <c r="CJ757" s="398">
        <v>3.0230000000000001</v>
      </c>
      <c r="CK757" s="398">
        <v>3.0230000000000001</v>
      </c>
      <c r="CL757" s="398">
        <v>3.0230000000000001</v>
      </c>
      <c r="CM757" s="398">
        <v>3.0230000000000001</v>
      </c>
      <c r="CN757" s="398">
        <v>3.0230000000000001</v>
      </c>
      <c r="CO757" s="398">
        <v>3.0230000000000001</v>
      </c>
      <c r="CP757" s="398">
        <v>0.252</v>
      </c>
      <c r="CQ757" s="398"/>
      <c r="CR757" s="398"/>
      <c r="CS757" s="398"/>
      <c r="CT757" s="398"/>
      <c r="CU757" s="398"/>
      <c r="CV757" s="398"/>
      <c r="CW757" s="398"/>
      <c r="CX757" s="398"/>
      <c r="CY757" s="398"/>
      <c r="CZ757" s="398"/>
      <c r="DA757" s="398"/>
      <c r="DB757" s="398"/>
      <c r="DC757" s="398"/>
      <c r="DD757" s="398"/>
      <c r="DE757" s="393"/>
      <c r="DF757" s="393"/>
      <c r="DG757" s="393"/>
      <c r="DH757" s="393"/>
      <c r="DI757" s="393"/>
      <c r="DJ757" s="393"/>
      <c r="DK757" s="897"/>
    </row>
    <row r="758" spans="1:115" ht="51" x14ac:dyDescent="0.2">
      <c r="A758" s="295">
        <v>754</v>
      </c>
      <c r="B758" s="390" t="s">
        <v>897</v>
      </c>
      <c r="C758" s="424" t="s">
        <v>7553</v>
      </c>
      <c r="D758" s="391" t="s">
        <v>5110</v>
      </c>
      <c r="E758" s="704" t="s">
        <v>898</v>
      </c>
      <c r="F758" s="393" t="s">
        <v>1352</v>
      </c>
      <c r="G758" s="393" t="s">
        <v>1672</v>
      </c>
      <c r="H758" s="393" t="s">
        <v>301</v>
      </c>
      <c r="I758" s="392"/>
      <c r="J758" s="392" t="s">
        <v>301</v>
      </c>
      <c r="K758" s="392"/>
      <c r="L758" s="392" t="s">
        <v>899</v>
      </c>
      <c r="M758" s="392" t="s">
        <v>3229</v>
      </c>
      <c r="N758" s="393" t="s">
        <v>44</v>
      </c>
      <c r="O758" s="393" t="s">
        <v>5030</v>
      </c>
      <c r="P758" s="393" t="s">
        <v>5030</v>
      </c>
      <c r="Q758" s="392" t="s">
        <v>836</v>
      </c>
      <c r="R758" s="392"/>
      <c r="S758" s="392" t="s">
        <v>291</v>
      </c>
      <c r="T758" s="394">
        <v>3</v>
      </c>
      <c r="U758" s="395">
        <v>54.444000000000003</v>
      </c>
      <c r="V758" s="395"/>
      <c r="W758" s="452">
        <v>40800</v>
      </c>
      <c r="X758" s="394">
        <v>28</v>
      </c>
      <c r="Y758" s="394"/>
      <c r="Z758" s="394"/>
      <c r="AA758" s="395"/>
      <c r="AB758" s="453"/>
      <c r="AC758" s="398">
        <v>3.9590000000000001</v>
      </c>
      <c r="AD758" s="398">
        <v>360.91129315068497</v>
      </c>
      <c r="AE758" s="393" t="s">
        <v>72</v>
      </c>
      <c r="AF758" s="417">
        <f>SUM(AF759:AF761)</f>
        <v>2.0720000000000001</v>
      </c>
      <c r="AG758" s="417">
        <f>SUM(AG759:AG761)</f>
        <v>155.81900000000002</v>
      </c>
      <c r="AH758" s="417">
        <v>157.89100000000002</v>
      </c>
      <c r="AI758" s="394">
        <v>1</v>
      </c>
      <c r="AJ758" s="452">
        <v>41866</v>
      </c>
      <c r="AK758" s="453">
        <v>43131</v>
      </c>
      <c r="AL758" s="393"/>
      <c r="AM758" s="393"/>
      <c r="AN758" s="417"/>
      <c r="AO758" s="392"/>
      <c r="AP758" s="428" t="s">
        <v>8088</v>
      </c>
      <c r="AQ758" s="392"/>
      <c r="AR758" s="392" t="s">
        <v>368</v>
      </c>
      <c r="AS758" s="479">
        <v>40800</v>
      </c>
      <c r="AT758" s="453"/>
      <c r="AU758" s="453"/>
      <c r="AV758" s="452">
        <v>40959</v>
      </c>
      <c r="AW758" s="452">
        <v>41044</v>
      </c>
      <c r="AX758" s="452">
        <v>41101</v>
      </c>
      <c r="AY758" s="452">
        <v>41044</v>
      </c>
      <c r="AZ758" s="453"/>
      <c r="BA758" s="393"/>
      <c r="BB758" s="393" t="s">
        <v>3147</v>
      </c>
      <c r="BC758" s="393" t="b">
        <v>0</v>
      </c>
      <c r="BD758" s="393" t="s">
        <v>3147</v>
      </c>
      <c r="BE758" s="392"/>
      <c r="BF758" s="394">
        <v>5</v>
      </c>
      <c r="BG758" s="394">
        <v>2</v>
      </c>
      <c r="BH758" s="394">
        <v>9</v>
      </c>
      <c r="BI758" s="394">
        <v>12</v>
      </c>
      <c r="BJ758" s="394">
        <v>11</v>
      </c>
      <c r="BK758" s="394">
        <v>1</v>
      </c>
      <c r="BL758" s="444"/>
      <c r="BM758" s="392"/>
      <c r="BN758" s="393"/>
      <c r="BO758" s="393"/>
      <c r="BP758" s="399"/>
      <c r="BQ758" s="400"/>
      <c r="BR758" s="401"/>
      <c r="BS758" s="399">
        <v>30.58</v>
      </c>
      <c r="BT758" s="394"/>
      <c r="BU758" s="417"/>
      <c r="BV758" s="399"/>
      <c r="BW758" s="393"/>
      <c r="BX758" s="392"/>
      <c r="BY758" s="393"/>
      <c r="BZ758" s="393"/>
      <c r="CA758" s="441"/>
      <c r="CB758" s="400"/>
      <c r="CC758" s="398"/>
      <c r="CD758" s="398"/>
      <c r="CE758" s="398"/>
      <c r="CF758" s="398"/>
      <c r="CG758" s="398"/>
      <c r="CH758" s="398"/>
      <c r="CI758" s="398"/>
      <c r="CJ758" s="398"/>
      <c r="CK758" s="398"/>
      <c r="CL758" s="398"/>
      <c r="CM758" s="398"/>
      <c r="CN758" s="398"/>
      <c r="CO758" s="398"/>
      <c r="CP758" s="398"/>
      <c r="CQ758" s="398"/>
      <c r="CR758" s="398"/>
      <c r="CS758" s="398"/>
      <c r="CT758" s="398"/>
      <c r="CU758" s="398"/>
      <c r="CV758" s="398"/>
      <c r="CW758" s="398"/>
      <c r="CX758" s="398"/>
      <c r="CY758" s="398"/>
      <c r="CZ758" s="398"/>
      <c r="DA758" s="398"/>
      <c r="DB758" s="398"/>
      <c r="DC758" s="398"/>
      <c r="DD758" s="398"/>
      <c r="DE758" s="393"/>
      <c r="DF758" s="393"/>
      <c r="DG758" s="393"/>
      <c r="DH758" s="393"/>
      <c r="DI758" s="393"/>
      <c r="DJ758" s="393"/>
      <c r="DK758" s="896" t="s">
        <v>9725</v>
      </c>
    </row>
    <row r="759" spans="1:115" ht="25.5" x14ac:dyDescent="0.2">
      <c r="A759" s="295">
        <v>755</v>
      </c>
      <c r="B759" s="390" t="s">
        <v>2725</v>
      </c>
      <c r="C759" s="390"/>
      <c r="D759" s="391" t="s">
        <v>2415</v>
      </c>
      <c r="E759" s="704" t="s">
        <v>900</v>
      </c>
      <c r="F759" s="393" t="s">
        <v>1352</v>
      </c>
      <c r="G759" s="393" t="s">
        <v>1672</v>
      </c>
      <c r="H759" s="393" t="s">
        <v>301</v>
      </c>
      <c r="I759" s="392"/>
      <c r="J759" s="392"/>
      <c r="K759" s="392" t="s">
        <v>901</v>
      </c>
      <c r="L759" s="392" t="s">
        <v>899</v>
      </c>
      <c r="M759" s="392"/>
      <c r="N759" s="393" t="s">
        <v>44</v>
      </c>
      <c r="O759" s="393" t="s">
        <v>827</v>
      </c>
      <c r="P759" s="393" t="s">
        <v>827</v>
      </c>
      <c r="Q759" s="392" t="s">
        <v>836</v>
      </c>
      <c r="R759" s="392" t="s">
        <v>3230</v>
      </c>
      <c r="S759" s="392" t="s">
        <v>291</v>
      </c>
      <c r="T759" s="394">
        <v>1</v>
      </c>
      <c r="U759" s="395">
        <v>7.9180000000000001</v>
      </c>
      <c r="V759" s="395"/>
      <c r="W759" s="453"/>
      <c r="X759" s="394"/>
      <c r="Y759" s="394">
        <v>7</v>
      </c>
      <c r="Z759" s="394">
        <v>25</v>
      </c>
      <c r="AA759" s="395">
        <v>-0.11899999999999999</v>
      </c>
      <c r="AB759" s="452">
        <v>41091</v>
      </c>
      <c r="AC759" s="398">
        <v>3.9590000000000001</v>
      </c>
      <c r="AD759" s="398">
        <v>67.357232876712331</v>
      </c>
      <c r="AE759" s="393" t="s">
        <v>72</v>
      </c>
      <c r="AF759" s="417">
        <v>2.0720000000000001</v>
      </c>
      <c r="AG759" s="417">
        <f>10.711+15.717+10.723+6.675+8.231</f>
        <v>52.057000000000002</v>
      </c>
      <c r="AH759" s="417">
        <v>54.129000000000005</v>
      </c>
      <c r="AI759" s="394">
        <v>1</v>
      </c>
      <c r="AJ759" s="452">
        <v>41866</v>
      </c>
      <c r="AK759" s="453">
        <v>43131</v>
      </c>
      <c r="AL759" s="393"/>
      <c r="AM759" s="393"/>
      <c r="AN759" s="417"/>
      <c r="AO759" s="392"/>
      <c r="AP759" s="428" t="s">
        <v>8088</v>
      </c>
      <c r="AQ759" s="392"/>
      <c r="AR759" s="392" t="s">
        <v>368</v>
      </c>
      <c r="AS759" s="479">
        <v>40800</v>
      </c>
      <c r="AT759" s="397"/>
      <c r="AU759" s="397"/>
      <c r="AV759" s="453"/>
      <c r="AW759" s="453"/>
      <c r="AX759" s="453"/>
      <c r="AY759" s="453"/>
      <c r="AZ759" s="452">
        <v>41044</v>
      </c>
      <c r="BA759" s="393"/>
      <c r="BB759" s="393"/>
      <c r="BC759" s="393" t="b">
        <v>0</v>
      </c>
      <c r="BD759" s="393"/>
      <c r="BE759" s="392"/>
      <c r="BF759" s="394">
        <v>5</v>
      </c>
      <c r="BG759" s="394">
        <v>2</v>
      </c>
      <c r="BH759" s="394">
        <v>9</v>
      </c>
      <c r="BI759" s="394">
        <v>12</v>
      </c>
      <c r="BJ759" s="394">
        <v>11</v>
      </c>
      <c r="BK759" s="394">
        <v>1</v>
      </c>
      <c r="BL759" s="444" t="s">
        <v>1451</v>
      </c>
      <c r="BM759" s="392" t="s">
        <v>3231</v>
      </c>
      <c r="BN759" s="393" t="s">
        <v>117</v>
      </c>
      <c r="BO759" s="393"/>
      <c r="BP759" s="399"/>
      <c r="BQ759" s="400"/>
      <c r="BR759" s="401"/>
      <c r="BS759" s="399">
        <v>11.02</v>
      </c>
      <c r="BT759" s="394">
        <v>13833</v>
      </c>
      <c r="BU759" s="417">
        <v>0.59799999999999998</v>
      </c>
      <c r="BV759" s="399"/>
      <c r="BW759" s="393" t="s">
        <v>3117</v>
      </c>
      <c r="BX759" s="392" t="s">
        <v>1447</v>
      </c>
      <c r="BY759" s="393"/>
      <c r="BZ759" s="393"/>
      <c r="CA759" s="441" t="s">
        <v>1662</v>
      </c>
      <c r="CB759" s="400">
        <v>3</v>
      </c>
      <c r="CC759" s="398"/>
      <c r="CD759" s="398"/>
      <c r="CE759" s="398"/>
      <c r="CF759" s="398"/>
      <c r="CG759" s="398"/>
      <c r="CH759" s="398">
        <v>8.7029999999999994</v>
      </c>
      <c r="CI759" s="398">
        <v>8.4879999999999995</v>
      </c>
      <c r="CJ759" s="398">
        <v>8.3260000000000005</v>
      </c>
      <c r="CK759" s="398">
        <v>8.2189999999999994</v>
      </c>
      <c r="CL759" s="398">
        <v>8.1289999999999996</v>
      </c>
      <c r="CM759" s="398">
        <v>8.0570000000000004</v>
      </c>
      <c r="CN759" s="398">
        <v>7.9850000000000003</v>
      </c>
      <c r="CO759" s="398"/>
      <c r="CP759" s="398"/>
      <c r="CQ759" s="398"/>
      <c r="CR759" s="398"/>
      <c r="CS759" s="398"/>
      <c r="CT759" s="398"/>
      <c r="CU759" s="398"/>
      <c r="CV759" s="398"/>
      <c r="CW759" s="398"/>
      <c r="CX759" s="398"/>
      <c r="CY759" s="398"/>
      <c r="CZ759" s="398"/>
      <c r="DA759" s="398"/>
      <c r="DB759" s="398"/>
      <c r="DC759" s="398"/>
      <c r="DD759" s="398"/>
      <c r="DE759" s="393"/>
      <c r="DF759" s="393"/>
      <c r="DG759" s="393"/>
      <c r="DH759" s="393"/>
      <c r="DI759" s="393"/>
      <c r="DJ759" s="393"/>
      <c r="DK759" s="897"/>
    </row>
    <row r="760" spans="1:115" ht="51" x14ac:dyDescent="0.2">
      <c r="A760" s="295">
        <v>756</v>
      </c>
      <c r="B760" s="390" t="s">
        <v>6014</v>
      </c>
      <c r="C760" s="390"/>
      <c r="D760" s="391" t="s">
        <v>6015</v>
      </c>
      <c r="E760" s="704" t="s">
        <v>6016</v>
      </c>
      <c r="F760" s="393" t="s">
        <v>1352</v>
      </c>
      <c r="G760" s="393" t="s">
        <v>1672</v>
      </c>
      <c r="H760" s="393" t="s">
        <v>301</v>
      </c>
      <c r="I760" s="392"/>
      <c r="J760" s="392"/>
      <c r="K760" s="392" t="s">
        <v>6017</v>
      </c>
      <c r="L760" s="392" t="s">
        <v>899</v>
      </c>
      <c r="M760" s="392"/>
      <c r="N760" s="393" t="s">
        <v>44</v>
      </c>
      <c r="O760" s="393" t="s">
        <v>827</v>
      </c>
      <c r="P760" s="393" t="s">
        <v>827</v>
      </c>
      <c r="Q760" s="392" t="s">
        <v>836</v>
      </c>
      <c r="R760" s="392" t="s">
        <v>6018</v>
      </c>
      <c r="S760" s="392" t="s">
        <v>291</v>
      </c>
      <c r="T760" s="394">
        <v>1</v>
      </c>
      <c r="U760" s="395">
        <v>9.1180000000000003</v>
      </c>
      <c r="V760" s="395"/>
      <c r="W760" s="453"/>
      <c r="X760" s="394"/>
      <c r="Y760" s="394">
        <v>7</v>
      </c>
      <c r="Z760" s="394">
        <v>25</v>
      </c>
      <c r="AA760" s="395">
        <v>0</v>
      </c>
      <c r="AB760" s="452">
        <v>41684</v>
      </c>
      <c r="AC760" s="398">
        <v>0</v>
      </c>
      <c r="AD760" s="398">
        <v>62.75182465753425</v>
      </c>
      <c r="AE760" s="393" t="s">
        <v>72</v>
      </c>
      <c r="AF760" s="417"/>
      <c r="AG760" s="417">
        <f>12.005+8.465+5.474+3.994</f>
        <v>29.937999999999999</v>
      </c>
      <c r="AH760" s="417">
        <v>29.937999999999999</v>
      </c>
      <c r="AI760" s="394">
        <v>2</v>
      </c>
      <c r="AJ760" s="453">
        <v>42452</v>
      </c>
      <c r="AK760" s="453">
        <v>43131</v>
      </c>
      <c r="AL760" s="393"/>
      <c r="AM760" s="393"/>
      <c r="AN760" s="417"/>
      <c r="AO760" s="392"/>
      <c r="AP760" s="392"/>
      <c r="AQ760" s="392"/>
      <c r="AR760" s="392" t="s">
        <v>368</v>
      </c>
      <c r="AS760" s="479">
        <v>40800</v>
      </c>
      <c r="AT760" s="453"/>
      <c r="AU760" s="453"/>
      <c r="AV760" s="453"/>
      <c r="AW760" s="453"/>
      <c r="AX760" s="453"/>
      <c r="AY760" s="453"/>
      <c r="AZ760" s="452">
        <v>41702</v>
      </c>
      <c r="BA760" s="393"/>
      <c r="BB760" s="393"/>
      <c r="BC760" s="393" t="b">
        <v>0</v>
      </c>
      <c r="BD760" s="393"/>
      <c r="BE760" s="392"/>
      <c r="BF760" s="394">
        <v>5</v>
      </c>
      <c r="BG760" s="394">
        <v>2</v>
      </c>
      <c r="BH760" s="394">
        <v>9</v>
      </c>
      <c r="BI760" s="394">
        <v>12</v>
      </c>
      <c r="BJ760" s="394">
        <v>11</v>
      </c>
      <c r="BK760" s="394">
        <v>1</v>
      </c>
      <c r="BL760" s="444" t="s">
        <v>1451</v>
      </c>
      <c r="BM760" s="392" t="s">
        <v>6019</v>
      </c>
      <c r="BN760" s="393"/>
      <c r="BO760" s="393"/>
      <c r="BP760" s="399"/>
      <c r="BQ760" s="400"/>
      <c r="BR760" s="401"/>
      <c r="BS760" s="399">
        <v>9.66</v>
      </c>
      <c r="BT760" s="394">
        <v>16416</v>
      </c>
      <c r="BU760" s="417">
        <v>0.5554</v>
      </c>
      <c r="BV760" s="399"/>
      <c r="BW760" s="393" t="s">
        <v>3117</v>
      </c>
      <c r="BX760" s="392"/>
      <c r="BY760" s="393"/>
      <c r="BZ760" s="393"/>
      <c r="CA760" s="441"/>
      <c r="CB760" s="400"/>
      <c r="CC760" s="398"/>
      <c r="CD760" s="398"/>
      <c r="CE760" s="398"/>
      <c r="CF760" s="398"/>
      <c r="CG760" s="398"/>
      <c r="CH760" s="398"/>
      <c r="CI760" s="398"/>
      <c r="CJ760" s="398">
        <v>9.1180000000000003</v>
      </c>
      <c r="CK760" s="398">
        <v>9.1180000000000003</v>
      </c>
      <c r="CL760" s="398">
        <v>9.1180000000000003</v>
      </c>
      <c r="CM760" s="398">
        <v>9.1180000000000003</v>
      </c>
      <c r="CN760" s="398">
        <v>9.1180000000000003</v>
      </c>
      <c r="CO760" s="398">
        <v>9.1180000000000003</v>
      </c>
      <c r="CP760" s="398">
        <v>9.1180000000000003</v>
      </c>
      <c r="CQ760" s="398"/>
      <c r="CR760" s="398"/>
      <c r="CS760" s="398"/>
      <c r="CT760" s="398"/>
      <c r="CU760" s="398"/>
      <c r="CV760" s="398"/>
      <c r="CW760" s="398"/>
      <c r="CX760" s="398"/>
      <c r="CY760" s="398"/>
      <c r="CZ760" s="398"/>
      <c r="DA760" s="398"/>
      <c r="DB760" s="398"/>
      <c r="DC760" s="398"/>
      <c r="DD760" s="398"/>
      <c r="DE760" s="393"/>
      <c r="DF760" s="393"/>
      <c r="DG760" s="393"/>
      <c r="DH760" s="393"/>
      <c r="DI760" s="393"/>
      <c r="DJ760" s="393"/>
      <c r="DK760" s="897"/>
    </row>
    <row r="761" spans="1:115" ht="25.5" x14ac:dyDescent="0.2">
      <c r="A761" s="295">
        <v>757</v>
      </c>
      <c r="B761" s="390" t="s">
        <v>6147</v>
      </c>
      <c r="C761" s="390"/>
      <c r="D761" s="391" t="s">
        <v>6148</v>
      </c>
      <c r="E761" s="704" t="s">
        <v>6149</v>
      </c>
      <c r="F761" s="393" t="s">
        <v>1352</v>
      </c>
      <c r="G761" s="393" t="s">
        <v>1672</v>
      </c>
      <c r="H761" s="393" t="s">
        <v>301</v>
      </c>
      <c r="I761" s="392"/>
      <c r="J761" s="392"/>
      <c r="K761" s="392" t="s">
        <v>6150</v>
      </c>
      <c r="L761" s="392" t="s">
        <v>899</v>
      </c>
      <c r="M761" s="392"/>
      <c r="N761" s="393" t="s">
        <v>44</v>
      </c>
      <c r="O761" s="393" t="s">
        <v>827</v>
      </c>
      <c r="P761" s="393" t="s">
        <v>45</v>
      </c>
      <c r="Q761" s="392" t="s">
        <v>836</v>
      </c>
      <c r="R761" s="392" t="s">
        <v>6151</v>
      </c>
      <c r="S761" s="392" t="s">
        <v>291</v>
      </c>
      <c r="T761" s="394">
        <v>1</v>
      </c>
      <c r="U761" s="395">
        <v>37.408000000000001</v>
      </c>
      <c r="V761" s="395"/>
      <c r="W761" s="453"/>
      <c r="X761" s="394"/>
      <c r="Y761" s="394">
        <v>7</v>
      </c>
      <c r="Z761" s="394">
        <v>20</v>
      </c>
      <c r="AA761" s="395">
        <v>0</v>
      </c>
      <c r="AB761" s="452">
        <v>41944</v>
      </c>
      <c r="AC761" s="398">
        <v>0</v>
      </c>
      <c r="AD761" s="398">
        <v>230.80223561643837</v>
      </c>
      <c r="AE761" s="393" t="s">
        <v>72</v>
      </c>
      <c r="AF761" s="417"/>
      <c r="AG761" s="417">
        <f>21.471+22.458+29.895</f>
        <v>73.823999999999998</v>
      </c>
      <c r="AH761" s="417">
        <v>73.823999999999998</v>
      </c>
      <c r="AI761" s="394">
        <v>1</v>
      </c>
      <c r="AJ761" s="453">
        <v>42957</v>
      </c>
      <c r="AK761" s="453">
        <v>43131</v>
      </c>
      <c r="AL761" s="393"/>
      <c r="AM761" s="393"/>
      <c r="AN761" s="417"/>
      <c r="AO761" s="392"/>
      <c r="AP761" s="392"/>
      <c r="AQ761" s="392"/>
      <c r="AR761" s="392" t="s">
        <v>368</v>
      </c>
      <c r="AS761" s="479">
        <v>40800</v>
      </c>
      <c r="AT761" s="453"/>
      <c r="AU761" s="453"/>
      <c r="AV761" s="453"/>
      <c r="AW761" s="453"/>
      <c r="AX761" s="453"/>
      <c r="AY761" s="453"/>
      <c r="AZ761" s="452">
        <v>41837</v>
      </c>
      <c r="BA761" s="393"/>
      <c r="BB761" s="393"/>
      <c r="BC761" s="393" t="b">
        <v>0</v>
      </c>
      <c r="BD761" s="393"/>
      <c r="BE761" s="392"/>
      <c r="BF761" s="394">
        <v>5</v>
      </c>
      <c r="BG761" s="394">
        <v>2</v>
      </c>
      <c r="BH761" s="394">
        <v>9</v>
      </c>
      <c r="BI761" s="394">
        <v>12</v>
      </c>
      <c r="BJ761" s="394">
        <v>11</v>
      </c>
      <c r="BK761" s="394">
        <v>1</v>
      </c>
      <c r="BL761" s="444" t="s">
        <v>1451</v>
      </c>
      <c r="BM761" s="392"/>
      <c r="BN761" s="393"/>
      <c r="BO761" s="393"/>
      <c r="BP761" s="399"/>
      <c r="BQ761" s="400"/>
      <c r="BR761" s="401"/>
      <c r="BS761" s="399">
        <v>9.9</v>
      </c>
      <c r="BT761" s="394">
        <v>73164</v>
      </c>
      <c r="BU761" s="417">
        <v>0.51129999999999998</v>
      </c>
      <c r="BV761" s="399"/>
      <c r="BW761" s="393" t="s">
        <v>3117</v>
      </c>
      <c r="BX761" s="392"/>
      <c r="BY761" s="393"/>
      <c r="BZ761" s="393"/>
      <c r="CA761" s="441"/>
      <c r="CB761" s="400">
        <v>3</v>
      </c>
      <c r="CC761" s="398"/>
      <c r="CD761" s="398"/>
      <c r="CE761" s="398"/>
      <c r="CF761" s="398"/>
      <c r="CG761" s="398"/>
      <c r="CH761" s="398"/>
      <c r="CI761" s="398"/>
      <c r="CJ761" s="398">
        <v>9.3520000000000003</v>
      </c>
      <c r="CK761" s="398">
        <v>37.408000000000001</v>
      </c>
      <c r="CL761" s="398">
        <v>37.408000000000001</v>
      </c>
      <c r="CM761" s="398">
        <v>37.408000000000001</v>
      </c>
      <c r="CN761" s="398">
        <v>37.408000000000001</v>
      </c>
      <c r="CO761" s="398">
        <v>37.408000000000001</v>
      </c>
      <c r="CP761" s="398">
        <v>37.408000000000001</v>
      </c>
      <c r="CQ761" s="398">
        <v>28.056000000000001</v>
      </c>
      <c r="CR761" s="398"/>
      <c r="CS761" s="398"/>
      <c r="CT761" s="398"/>
      <c r="CU761" s="398"/>
      <c r="CV761" s="398"/>
      <c r="CW761" s="398"/>
      <c r="CX761" s="398"/>
      <c r="CY761" s="398"/>
      <c r="CZ761" s="398"/>
      <c r="DA761" s="398"/>
      <c r="DB761" s="398"/>
      <c r="DC761" s="398"/>
      <c r="DD761" s="398"/>
      <c r="DE761" s="393"/>
      <c r="DF761" s="393"/>
      <c r="DG761" s="393"/>
      <c r="DH761" s="393"/>
      <c r="DI761" s="393"/>
      <c r="DJ761" s="393"/>
      <c r="DK761" s="897"/>
    </row>
    <row r="762" spans="1:115" ht="102" x14ac:dyDescent="0.2">
      <c r="A762" s="295">
        <v>758</v>
      </c>
      <c r="B762" s="390" t="s">
        <v>873</v>
      </c>
      <c r="C762" s="424" t="s">
        <v>7554</v>
      </c>
      <c r="D762" s="391" t="s">
        <v>5578</v>
      </c>
      <c r="E762" s="704" t="s">
        <v>874</v>
      </c>
      <c r="F762" s="393" t="s">
        <v>1375</v>
      </c>
      <c r="G762" s="393" t="s">
        <v>1361</v>
      </c>
      <c r="H762" s="393" t="s">
        <v>137</v>
      </c>
      <c r="I762" s="392" t="s">
        <v>4084</v>
      </c>
      <c r="J762" s="392" t="s">
        <v>875</v>
      </c>
      <c r="K762" s="392"/>
      <c r="L762" s="392" t="s">
        <v>538</v>
      </c>
      <c r="M762" s="392" t="s">
        <v>3232</v>
      </c>
      <c r="N762" s="393" t="s">
        <v>44</v>
      </c>
      <c r="O762" s="393" t="s">
        <v>5030</v>
      </c>
      <c r="P762" s="393" t="s">
        <v>5030</v>
      </c>
      <c r="Q762" s="392" t="s">
        <v>1834</v>
      </c>
      <c r="R762" s="392"/>
      <c r="S762" s="392" t="s">
        <v>650</v>
      </c>
      <c r="T762" s="394">
        <v>1</v>
      </c>
      <c r="U762" s="395">
        <v>51.774999999999999</v>
      </c>
      <c r="V762" s="395"/>
      <c r="W762" s="452">
        <v>40969</v>
      </c>
      <c r="X762" s="394">
        <v>28</v>
      </c>
      <c r="Y762" s="394"/>
      <c r="Z762" s="394"/>
      <c r="AA762" s="395"/>
      <c r="AB762" s="453"/>
      <c r="AC762" s="398">
        <v>43.007184000000002</v>
      </c>
      <c r="AD762" s="398">
        <v>457.74773972602736</v>
      </c>
      <c r="AE762" s="393" t="s">
        <v>72</v>
      </c>
      <c r="AF762" s="417"/>
      <c r="AG762" s="417"/>
      <c r="AH762" s="417">
        <v>0</v>
      </c>
      <c r="AI762" s="394"/>
      <c r="AJ762" s="453"/>
      <c r="AK762" s="453"/>
      <c r="AL762" s="393"/>
      <c r="AM762" s="393"/>
      <c r="AN762" s="417"/>
      <c r="AO762" s="392"/>
      <c r="AP762" s="392" t="s">
        <v>55</v>
      </c>
      <c r="AQ762" s="392"/>
      <c r="AR762" s="392" t="s">
        <v>538</v>
      </c>
      <c r="AS762" s="479">
        <v>40802</v>
      </c>
      <c r="AT762" s="397"/>
      <c r="AU762" s="397"/>
      <c r="AV762" s="397"/>
      <c r="AW762" s="452">
        <v>41299</v>
      </c>
      <c r="AX762" s="452">
        <v>41522</v>
      </c>
      <c r="AY762" s="452">
        <v>41299</v>
      </c>
      <c r="AZ762" s="453"/>
      <c r="BA762" s="393"/>
      <c r="BB762" s="393" t="s">
        <v>3147</v>
      </c>
      <c r="BC762" s="393" t="b">
        <v>1</v>
      </c>
      <c r="BD762" s="393" t="s">
        <v>3147</v>
      </c>
      <c r="BE762" s="392"/>
      <c r="BF762" s="394">
        <v>9</v>
      </c>
      <c r="BG762" s="394">
        <v>10</v>
      </c>
      <c r="BH762" s="394">
        <v>5</v>
      </c>
      <c r="BI762" s="394"/>
      <c r="BJ762" s="394"/>
      <c r="BK762" s="394"/>
      <c r="BL762" s="444"/>
      <c r="BM762" s="392"/>
      <c r="BN762" s="393"/>
      <c r="BO762" s="393"/>
      <c r="BP762" s="399"/>
      <c r="BQ762" s="400"/>
      <c r="BR762" s="401"/>
      <c r="BS762" s="399">
        <v>25</v>
      </c>
      <c r="BT762" s="394"/>
      <c r="BU762" s="417"/>
      <c r="BV762" s="399"/>
      <c r="BW762" s="393"/>
      <c r="BX762" s="392"/>
      <c r="BY762" s="393"/>
      <c r="BZ762" s="393"/>
      <c r="CA762" s="441"/>
      <c r="CB762" s="400"/>
      <c r="CC762" s="398"/>
      <c r="CD762" s="398"/>
      <c r="CE762" s="398"/>
      <c r="CF762" s="398"/>
      <c r="CG762" s="398"/>
      <c r="CH762" s="398"/>
      <c r="CI762" s="398"/>
      <c r="CJ762" s="398"/>
      <c r="CK762" s="398"/>
      <c r="CL762" s="398"/>
      <c r="CM762" s="398"/>
      <c r="CN762" s="398"/>
      <c r="CO762" s="398"/>
      <c r="CP762" s="398"/>
      <c r="CQ762" s="398"/>
      <c r="CR762" s="398"/>
      <c r="CS762" s="398"/>
      <c r="CT762" s="398"/>
      <c r="CU762" s="398"/>
      <c r="CV762" s="398"/>
      <c r="CW762" s="398"/>
      <c r="CX762" s="398"/>
      <c r="CY762" s="398"/>
      <c r="CZ762" s="398"/>
      <c r="DA762" s="398"/>
      <c r="DB762" s="398"/>
      <c r="DC762" s="398"/>
      <c r="DD762" s="398"/>
      <c r="DE762" s="393"/>
      <c r="DF762" s="393"/>
      <c r="DG762" s="393"/>
      <c r="DH762" s="393"/>
      <c r="DI762" s="393"/>
      <c r="DJ762" s="393"/>
      <c r="DK762" s="896" t="s">
        <v>9701</v>
      </c>
    </row>
    <row r="763" spans="1:115" ht="25.5" x14ac:dyDescent="0.2">
      <c r="A763" s="295">
        <v>759</v>
      </c>
      <c r="B763" s="390" t="s">
        <v>2726</v>
      </c>
      <c r="C763" s="390"/>
      <c r="D763" s="391" t="s">
        <v>5579</v>
      </c>
      <c r="E763" s="704" t="s">
        <v>876</v>
      </c>
      <c r="F763" s="393" t="s">
        <v>1375</v>
      </c>
      <c r="G763" s="393" t="s">
        <v>1361</v>
      </c>
      <c r="H763" s="393" t="s">
        <v>137</v>
      </c>
      <c r="I763" s="392"/>
      <c r="J763" s="392"/>
      <c r="K763" s="392" t="s">
        <v>137</v>
      </c>
      <c r="L763" s="392" t="s">
        <v>538</v>
      </c>
      <c r="M763" s="392"/>
      <c r="N763" s="393" t="s">
        <v>44</v>
      </c>
      <c r="O763" s="393" t="s">
        <v>827</v>
      </c>
      <c r="P763" s="393" t="s">
        <v>827</v>
      </c>
      <c r="Q763" s="392" t="s">
        <v>836</v>
      </c>
      <c r="R763" s="392" t="s">
        <v>3233</v>
      </c>
      <c r="S763" s="392" t="s">
        <v>650</v>
      </c>
      <c r="T763" s="394">
        <v>1</v>
      </c>
      <c r="U763" s="395">
        <v>51.774999999999999</v>
      </c>
      <c r="V763" s="395"/>
      <c r="W763" s="453"/>
      <c r="X763" s="394"/>
      <c r="Y763" s="394">
        <v>7</v>
      </c>
      <c r="Z763" s="394">
        <v>21</v>
      </c>
      <c r="AA763" s="395">
        <v>1.833</v>
      </c>
      <c r="AB763" s="452">
        <v>40969</v>
      </c>
      <c r="AC763" s="398">
        <v>43.007184000000002</v>
      </c>
      <c r="AD763" s="398">
        <v>457.74773972602736</v>
      </c>
      <c r="AE763" s="393" t="s">
        <v>72</v>
      </c>
      <c r="AF763" s="417"/>
      <c r="AG763" s="417"/>
      <c r="AH763" s="417"/>
      <c r="AI763" s="394"/>
      <c r="AJ763" s="453"/>
      <c r="AK763" s="453"/>
      <c r="AL763" s="393"/>
      <c r="AM763" s="393"/>
      <c r="AN763" s="417"/>
      <c r="AO763" s="392"/>
      <c r="AP763" s="392" t="s">
        <v>55</v>
      </c>
      <c r="AQ763" s="392"/>
      <c r="AR763" s="392" t="s">
        <v>538</v>
      </c>
      <c r="AS763" s="479">
        <v>40802</v>
      </c>
      <c r="AT763" s="453"/>
      <c r="AU763" s="453"/>
      <c r="AV763" s="452">
        <v>41157</v>
      </c>
      <c r="AW763" s="453"/>
      <c r="AX763" s="453"/>
      <c r="AY763" s="453"/>
      <c r="AZ763" s="452">
        <v>41299</v>
      </c>
      <c r="BA763" s="393"/>
      <c r="BB763" s="393"/>
      <c r="BC763" s="393" t="b">
        <v>0</v>
      </c>
      <c r="BD763" s="393"/>
      <c r="BE763" s="392"/>
      <c r="BF763" s="394">
        <v>9</v>
      </c>
      <c r="BG763" s="394">
        <v>10</v>
      </c>
      <c r="BH763" s="394">
        <v>5</v>
      </c>
      <c r="BI763" s="394"/>
      <c r="BJ763" s="394"/>
      <c r="BK763" s="394"/>
      <c r="BL763" s="444" t="s">
        <v>6981</v>
      </c>
      <c r="BM763" s="392"/>
      <c r="BN763" s="393"/>
      <c r="BO763" s="393"/>
      <c r="BP763" s="399"/>
      <c r="BQ763" s="400"/>
      <c r="BR763" s="401"/>
      <c r="BS763" s="399">
        <v>25</v>
      </c>
      <c r="BT763" s="394">
        <v>47071</v>
      </c>
      <c r="BU763" s="417">
        <v>1.03</v>
      </c>
      <c r="BV763" s="399"/>
      <c r="BW763" s="393" t="s">
        <v>3117</v>
      </c>
      <c r="BX763" s="392"/>
      <c r="BY763" s="393"/>
      <c r="BZ763" s="393"/>
      <c r="CA763" s="441" t="s">
        <v>1662</v>
      </c>
      <c r="CB763" s="400">
        <v>3</v>
      </c>
      <c r="CC763" s="398"/>
      <c r="CD763" s="398"/>
      <c r="CE763" s="398"/>
      <c r="CF763" s="398"/>
      <c r="CG763" s="398"/>
      <c r="CH763" s="398">
        <v>41.043999999999997</v>
      </c>
      <c r="CI763" s="398">
        <v>54.283000000000001</v>
      </c>
      <c r="CJ763" s="398">
        <v>53.84</v>
      </c>
      <c r="CK763" s="398">
        <v>53.398000000000003</v>
      </c>
      <c r="CL763" s="398">
        <v>52.956000000000003</v>
      </c>
      <c r="CM763" s="398">
        <v>52.514000000000003</v>
      </c>
      <c r="CN763" s="398">
        <v>52.072000000000003</v>
      </c>
      <c r="CO763" s="398"/>
      <c r="CP763" s="398"/>
      <c r="CQ763" s="398"/>
      <c r="CR763" s="398"/>
      <c r="CS763" s="398"/>
      <c r="CT763" s="398"/>
      <c r="CU763" s="398"/>
      <c r="CV763" s="398"/>
      <c r="CW763" s="398"/>
      <c r="CX763" s="398"/>
      <c r="CY763" s="398"/>
      <c r="CZ763" s="398"/>
      <c r="DA763" s="398"/>
      <c r="DB763" s="398"/>
      <c r="DC763" s="398"/>
      <c r="DD763" s="398"/>
      <c r="DE763" s="393"/>
      <c r="DF763" s="393"/>
      <c r="DG763" s="393"/>
      <c r="DH763" s="393"/>
      <c r="DI763" s="393"/>
      <c r="DJ763" s="393"/>
      <c r="DK763" s="897"/>
    </row>
    <row r="764" spans="1:115" ht="89.25" x14ac:dyDescent="0.2">
      <c r="A764" s="295">
        <v>760</v>
      </c>
      <c r="B764" s="390" t="s">
        <v>606</v>
      </c>
      <c r="C764" s="424" t="s">
        <v>7555</v>
      </c>
      <c r="D764" s="391"/>
      <c r="E764" s="706" t="s">
        <v>607</v>
      </c>
      <c r="F764" s="390" t="s">
        <v>1352</v>
      </c>
      <c r="G764" s="390" t="s">
        <v>1671</v>
      </c>
      <c r="H764" s="390" t="s">
        <v>117</v>
      </c>
      <c r="I764" s="402"/>
      <c r="J764" s="402" t="s">
        <v>2175</v>
      </c>
      <c r="K764" s="402"/>
      <c r="L764" s="402" t="s">
        <v>608</v>
      </c>
      <c r="M764" s="402" t="s">
        <v>3234</v>
      </c>
      <c r="N764" s="390" t="s">
        <v>33</v>
      </c>
      <c r="O764" s="390" t="s">
        <v>69</v>
      </c>
      <c r="P764" s="390" t="s">
        <v>69</v>
      </c>
      <c r="Q764" s="402" t="s">
        <v>572</v>
      </c>
      <c r="R764" s="402"/>
      <c r="S764" s="402" t="s">
        <v>594</v>
      </c>
      <c r="T764" s="411">
        <v>1</v>
      </c>
      <c r="U764" s="412">
        <v>4.7729999999999997</v>
      </c>
      <c r="V764" s="412"/>
      <c r="W764" s="457">
        <v>41000</v>
      </c>
      <c r="X764" s="411">
        <v>28</v>
      </c>
      <c r="Y764" s="411"/>
      <c r="Z764" s="411"/>
      <c r="AA764" s="412"/>
      <c r="AB764" s="454"/>
      <c r="AC764" s="413">
        <v>3.5845229999999999</v>
      </c>
      <c r="AD764" s="413">
        <v>41.793172602739723</v>
      </c>
      <c r="AE764" s="390" t="s">
        <v>446</v>
      </c>
      <c r="AF764" s="419"/>
      <c r="AG764" s="419"/>
      <c r="AH764" s="419">
        <v>0</v>
      </c>
      <c r="AI764" s="411"/>
      <c r="AJ764" s="454"/>
      <c r="AK764" s="454"/>
      <c r="AL764" s="390"/>
      <c r="AM764" s="390"/>
      <c r="AN764" s="419"/>
      <c r="AO764" s="402"/>
      <c r="AP764" s="402" t="s">
        <v>7078</v>
      </c>
      <c r="AQ764" s="402"/>
      <c r="AR764" s="402" t="s">
        <v>206</v>
      </c>
      <c r="AS764" s="481">
        <v>40807</v>
      </c>
      <c r="AT764" s="454"/>
      <c r="AU764" s="454"/>
      <c r="AV764" s="454"/>
      <c r="AW764" s="454"/>
      <c r="AX764" s="454"/>
      <c r="AY764" s="454"/>
      <c r="AZ764" s="454"/>
      <c r="BA764" s="390"/>
      <c r="BB764" s="390" t="s">
        <v>3147</v>
      </c>
      <c r="BC764" s="390" t="b">
        <v>1</v>
      </c>
      <c r="BD764" s="390" t="s">
        <v>3116</v>
      </c>
      <c r="BE764" s="402"/>
      <c r="BF764" s="411">
        <v>5</v>
      </c>
      <c r="BG764" s="411">
        <v>6</v>
      </c>
      <c r="BH764" s="411">
        <v>1</v>
      </c>
      <c r="BI764" s="411">
        <v>9</v>
      </c>
      <c r="BJ764" s="411">
        <v>8</v>
      </c>
      <c r="BK764" s="411">
        <v>11</v>
      </c>
      <c r="BL764" s="445"/>
      <c r="BM764" s="402"/>
      <c r="BN764" s="390"/>
      <c r="BO764" s="390"/>
      <c r="BP764" s="414"/>
      <c r="BQ764" s="415"/>
      <c r="BR764" s="416"/>
      <c r="BS764" s="414">
        <v>0</v>
      </c>
      <c r="BT764" s="411"/>
      <c r="BU764" s="419"/>
      <c r="BV764" s="414"/>
      <c r="BW764" s="390"/>
      <c r="BX764" s="402"/>
      <c r="BY764" s="390"/>
      <c r="BZ764" s="390"/>
      <c r="CA764" s="442"/>
      <c r="CB764" s="415"/>
      <c r="CC764" s="413"/>
      <c r="CD764" s="413"/>
      <c r="CE764" s="413"/>
      <c r="CF764" s="413"/>
      <c r="CG764" s="413"/>
      <c r="CH764" s="413"/>
      <c r="CI764" s="413"/>
      <c r="CJ764" s="413"/>
      <c r="CK764" s="413"/>
      <c r="CL764" s="413"/>
      <c r="CM764" s="413"/>
      <c r="CN764" s="413"/>
      <c r="CO764" s="413"/>
      <c r="CP764" s="413"/>
      <c r="CQ764" s="413"/>
      <c r="CR764" s="413"/>
      <c r="CS764" s="413"/>
      <c r="CT764" s="413"/>
      <c r="CU764" s="413"/>
      <c r="CV764" s="413"/>
      <c r="CW764" s="413"/>
      <c r="CX764" s="413"/>
      <c r="CY764" s="413"/>
      <c r="CZ764" s="413"/>
      <c r="DA764" s="413"/>
      <c r="DB764" s="413"/>
      <c r="DC764" s="413"/>
      <c r="DD764" s="413"/>
      <c r="DE764" s="390"/>
      <c r="DF764" s="390"/>
      <c r="DG764" s="390"/>
      <c r="DH764" s="390"/>
      <c r="DI764" s="390"/>
      <c r="DJ764" s="390"/>
      <c r="DK764" s="897"/>
    </row>
    <row r="765" spans="1:115" ht="51" x14ac:dyDescent="0.2">
      <c r="A765" s="295">
        <v>761</v>
      </c>
      <c r="B765" s="390" t="s">
        <v>2727</v>
      </c>
      <c r="C765" s="390"/>
      <c r="D765" s="391"/>
      <c r="E765" s="706" t="s">
        <v>609</v>
      </c>
      <c r="F765" s="390" t="s">
        <v>1352</v>
      </c>
      <c r="G765" s="390" t="s">
        <v>1671</v>
      </c>
      <c r="H765" s="390" t="s">
        <v>117</v>
      </c>
      <c r="I765" s="402"/>
      <c r="J765" s="402"/>
      <c r="K765" s="402" t="s">
        <v>2175</v>
      </c>
      <c r="L765" s="402" t="s">
        <v>608</v>
      </c>
      <c r="M765" s="402"/>
      <c r="N765" s="390" t="s">
        <v>33</v>
      </c>
      <c r="O765" s="390" t="s">
        <v>69</v>
      </c>
      <c r="P765" s="390" t="s">
        <v>69</v>
      </c>
      <c r="Q765" s="402" t="s">
        <v>572</v>
      </c>
      <c r="R765" s="402" t="s">
        <v>3235</v>
      </c>
      <c r="S765" s="402" t="s">
        <v>594</v>
      </c>
      <c r="T765" s="411">
        <v>1</v>
      </c>
      <c r="U765" s="412">
        <v>4.7729999999999997</v>
      </c>
      <c r="V765" s="412"/>
      <c r="W765" s="454"/>
      <c r="X765" s="411"/>
      <c r="Y765" s="411">
        <v>7</v>
      </c>
      <c r="Z765" s="411">
        <v>15</v>
      </c>
      <c r="AA765" s="412">
        <v>0</v>
      </c>
      <c r="AB765" s="457">
        <v>41000</v>
      </c>
      <c r="AC765" s="413">
        <v>3.5845229999999999</v>
      </c>
      <c r="AD765" s="413">
        <v>41.793172602739723</v>
      </c>
      <c r="AE765" s="390" t="s">
        <v>446</v>
      </c>
      <c r="AF765" s="419"/>
      <c r="AG765" s="419"/>
      <c r="AH765" s="419"/>
      <c r="AI765" s="411"/>
      <c r="AJ765" s="454"/>
      <c r="AK765" s="454"/>
      <c r="AL765" s="390"/>
      <c r="AM765" s="390"/>
      <c r="AN765" s="419"/>
      <c r="AO765" s="402"/>
      <c r="AP765" s="402" t="s">
        <v>7078</v>
      </c>
      <c r="AQ765" s="402"/>
      <c r="AR765" s="402" t="s">
        <v>206</v>
      </c>
      <c r="AS765" s="481">
        <v>40807</v>
      </c>
      <c r="AT765" s="454"/>
      <c r="AU765" s="454"/>
      <c r="AV765" s="454"/>
      <c r="AW765" s="454"/>
      <c r="AX765" s="454"/>
      <c r="AY765" s="454"/>
      <c r="AZ765" s="454"/>
      <c r="BA765" s="390"/>
      <c r="BB765" s="390"/>
      <c r="BC765" s="390" t="b">
        <v>0</v>
      </c>
      <c r="BD765" s="390"/>
      <c r="BE765" s="402"/>
      <c r="BF765" s="411">
        <v>5</v>
      </c>
      <c r="BG765" s="411">
        <v>6</v>
      </c>
      <c r="BH765" s="411">
        <v>1</v>
      </c>
      <c r="BI765" s="411">
        <v>9</v>
      </c>
      <c r="BJ765" s="411">
        <v>8</v>
      </c>
      <c r="BK765" s="411">
        <v>11</v>
      </c>
      <c r="BL765" s="445" t="s">
        <v>6981</v>
      </c>
      <c r="BM765" s="402"/>
      <c r="BN765" s="390"/>
      <c r="BO765" s="390"/>
      <c r="BP765" s="414"/>
      <c r="BQ765" s="415"/>
      <c r="BR765" s="416"/>
      <c r="BS765" s="414"/>
      <c r="BT765" s="411"/>
      <c r="BU765" s="419">
        <v>0.87044999999999995</v>
      </c>
      <c r="BV765" s="414"/>
      <c r="BW765" s="390" t="s">
        <v>3117</v>
      </c>
      <c r="BX765" s="402" t="s">
        <v>3160</v>
      </c>
      <c r="BY765" s="390"/>
      <c r="BZ765" s="390"/>
      <c r="CA765" s="442" t="s">
        <v>1662</v>
      </c>
      <c r="CB765" s="415">
        <v>3</v>
      </c>
      <c r="CC765" s="413"/>
      <c r="CD765" s="413"/>
      <c r="CE765" s="413"/>
      <c r="CF765" s="413"/>
      <c r="CG765" s="413"/>
      <c r="CH765" s="413">
        <v>3.5830000000000002</v>
      </c>
      <c r="CI765" s="413">
        <v>4.7729999999999997</v>
      </c>
      <c r="CJ765" s="413">
        <v>4.7729999999999997</v>
      </c>
      <c r="CK765" s="413">
        <v>4.7729999999999997</v>
      </c>
      <c r="CL765" s="413">
        <v>4.7729999999999997</v>
      </c>
      <c r="CM765" s="413">
        <v>4.7729999999999997</v>
      </c>
      <c r="CN765" s="413">
        <v>4.7729999999999997</v>
      </c>
      <c r="CO765" s="413">
        <v>1.19</v>
      </c>
      <c r="CP765" s="413"/>
      <c r="CQ765" s="413"/>
      <c r="CR765" s="413"/>
      <c r="CS765" s="413"/>
      <c r="CT765" s="413"/>
      <c r="CU765" s="413"/>
      <c r="CV765" s="413"/>
      <c r="CW765" s="413"/>
      <c r="CX765" s="413"/>
      <c r="CY765" s="413"/>
      <c r="CZ765" s="413"/>
      <c r="DA765" s="413"/>
      <c r="DB765" s="413"/>
      <c r="DC765" s="413"/>
      <c r="DD765" s="413"/>
      <c r="DE765" s="390"/>
      <c r="DF765" s="390"/>
      <c r="DG765" s="390"/>
      <c r="DH765" s="390"/>
      <c r="DI765" s="390"/>
      <c r="DJ765" s="390"/>
      <c r="DK765" s="897"/>
    </row>
    <row r="766" spans="1:115" ht="51" x14ac:dyDescent="0.2">
      <c r="A766" s="295">
        <v>762</v>
      </c>
      <c r="B766" s="390" t="s">
        <v>864</v>
      </c>
      <c r="C766" s="424" t="s">
        <v>7556</v>
      </c>
      <c r="D766" s="391" t="s">
        <v>5111</v>
      </c>
      <c r="E766" s="704" t="s">
        <v>865</v>
      </c>
      <c r="F766" s="393" t="s">
        <v>1340</v>
      </c>
      <c r="G766" s="393" t="s">
        <v>1676</v>
      </c>
      <c r="H766" s="393" t="s">
        <v>58</v>
      </c>
      <c r="I766" s="392"/>
      <c r="J766" s="392" t="s">
        <v>58</v>
      </c>
      <c r="K766" s="392"/>
      <c r="L766" s="392" t="s">
        <v>866</v>
      </c>
      <c r="M766" s="392" t="s">
        <v>3236</v>
      </c>
      <c r="N766" s="393" t="s">
        <v>44</v>
      </c>
      <c r="O766" s="393" t="s">
        <v>5030</v>
      </c>
      <c r="P766" s="393" t="s">
        <v>5030</v>
      </c>
      <c r="Q766" s="392" t="s">
        <v>1834</v>
      </c>
      <c r="R766" s="392"/>
      <c r="S766" s="392" t="s">
        <v>650</v>
      </c>
      <c r="T766" s="394">
        <v>2</v>
      </c>
      <c r="U766" s="395">
        <v>55.097000000000001</v>
      </c>
      <c r="V766" s="395"/>
      <c r="W766" s="452">
        <v>40807</v>
      </c>
      <c r="X766" s="394">
        <v>28</v>
      </c>
      <c r="Y766" s="394"/>
      <c r="Z766" s="394"/>
      <c r="AA766" s="395"/>
      <c r="AB766" s="453"/>
      <c r="AC766" s="398">
        <v>0</v>
      </c>
      <c r="AD766" s="398">
        <v>353.79204383561648</v>
      </c>
      <c r="AE766" s="393" t="s">
        <v>72</v>
      </c>
      <c r="AF766" s="417"/>
      <c r="AG766" s="417"/>
      <c r="AH766" s="417">
        <v>0</v>
      </c>
      <c r="AI766" s="394"/>
      <c r="AJ766" s="453"/>
      <c r="AK766" s="453"/>
      <c r="AL766" s="393"/>
      <c r="AM766" s="393"/>
      <c r="AN766" s="417"/>
      <c r="AO766" s="392"/>
      <c r="AP766" s="392" t="s">
        <v>7073</v>
      </c>
      <c r="AQ766" s="392"/>
      <c r="AR766" s="392" t="s">
        <v>368</v>
      </c>
      <c r="AS766" s="479">
        <v>40807</v>
      </c>
      <c r="AT766" s="453"/>
      <c r="AU766" s="453"/>
      <c r="AV766" s="452">
        <v>40828</v>
      </c>
      <c r="AW766" s="452">
        <v>41075</v>
      </c>
      <c r="AX766" s="452">
        <v>41135</v>
      </c>
      <c r="AY766" s="452">
        <v>41081</v>
      </c>
      <c r="AZ766" s="453"/>
      <c r="BA766" s="393"/>
      <c r="BB766" s="393" t="s">
        <v>3147</v>
      </c>
      <c r="BC766" s="393" t="b">
        <v>1</v>
      </c>
      <c r="BD766" s="393" t="s">
        <v>3147</v>
      </c>
      <c r="BE766" s="392"/>
      <c r="BF766" s="394">
        <v>2</v>
      </c>
      <c r="BG766" s="394">
        <v>4</v>
      </c>
      <c r="BH766" s="394">
        <v>5</v>
      </c>
      <c r="BI766" s="394">
        <v>9</v>
      </c>
      <c r="BJ766" s="394">
        <v>10</v>
      </c>
      <c r="BK766" s="394">
        <v>11</v>
      </c>
      <c r="BL766" s="444"/>
      <c r="BM766" s="392"/>
      <c r="BN766" s="393"/>
      <c r="BO766" s="393"/>
      <c r="BP766" s="399"/>
      <c r="BQ766" s="400"/>
      <c r="BR766" s="401"/>
      <c r="BS766" s="399">
        <v>58.76</v>
      </c>
      <c r="BT766" s="394"/>
      <c r="BU766" s="417"/>
      <c r="BV766" s="399"/>
      <c r="BW766" s="393"/>
      <c r="BX766" s="392"/>
      <c r="BY766" s="393"/>
      <c r="BZ766" s="393"/>
      <c r="CA766" s="441"/>
      <c r="CB766" s="400"/>
      <c r="CC766" s="398"/>
      <c r="CD766" s="398"/>
      <c r="CE766" s="398"/>
      <c r="CF766" s="398"/>
      <c r="CG766" s="398"/>
      <c r="CH766" s="398"/>
      <c r="CI766" s="398"/>
      <c r="CJ766" s="398"/>
      <c r="CK766" s="398"/>
      <c r="CL766" s="398"/>
      <c r="CM766" s="398"/>
      <c r="CN766" s="398"/>
      <c r="CO766" s="398"/>
      <c r="CP766" s="398"/>
      <c r="CQ766" s="398"/>
      <c r="CR766" s="398"/>
      <c r="CS766" s="398"/>
      <c r="CT766" s="398"/>
      <c r="CU766" s="398"/>
      <c r="CV766" s="398"/>
      <c r="CW766" s="398"/>
      <c r="CX766" s="398"/>
      <c r="CY766" s="398"/>
      <c r="CZ766" s="398"/>
      <c r="DA766" s="398"/>
      <c r="DB766" s="398"/>
      <c r="DC766" s="398"/>
      <c r="DD766" s="398"/>
      <c r="DE766" s="393"/>
      <c r="DF766" s="393"/>
      <c r="DG766" s="393"/>
      <c r="DH766" s="393"/>
      <c r="DI766" s="393"/>
      <c r="DJ766" s="393"/>
      <c r="DK766" s="896" t="s">
        <v>9721</v>
      </c>
    </row>
    <row r="767" spans="1:115" ht="51" x14ac:dyDescent="0.2">
      <c r="A767" s="295">
        <v>763</v>
      </c>
      <c r="B767" s="390" t="s">
        <v>2728</v>
      </c>
      <c r="C767" s="390"/>
      <c r="D767" s="391" t="s">
        <v>2986</v>
      </c>
      <c r="E767" s="704" t="s">
        <v>867</v>
      </c>
      <c r="F767" s="393" t="s">
        <v>1340</v>
      </c>
      <c r="G767" s="393" t="s">
        <v>1676</v>
      </c>
      <c r="H767" s="393" t="s">
        <v>58</v>
      </c>
      <c r="I767" s="392"/>
      <c r="J767" s="392"/>
      <c r="K767" s="392" t="s">
        <v>2176</v>
      </c>
      <c r="L767" s="392" t="s">
        <v>866</v>
      </c>
      <c r="M767" s="392"/>
      <c r="N767" s="393" t="s">
        <v>44</v>
      </c>
      <c r="O767" s="393" t="s">
        <v>827</v>
      </c>
      <c r="P767" s="393" t="s">
        <v>827</v>
      </c>
      <c r="Q767" s="392" t="s">
        <v>836</v>
      </c>
      <c r="R767" s="392" t="s">
        <v>3237</v>
      </c>
      <c r="S767" s="392" t="s">
        <v>650</v>
      </c>
      <c r="T767" s="394">
        <v>1</v>
      </c>
      <c r="U767" s="395">
        <v>18.417000000000002</v>
      </c>
      <c r="V767" s="395"/>
      <c r="W767" s="453"/>
      <c r="X767" s="394"/>
      <c r="Y767" s="394">
        <v>7</v>
      </c>
      <c r="Z767" s="394">
        <v>25</v>
      </c>
      <c r="AA767" s="395">
        <v>0</v>
      </c>
      <c r="AB767" s="452">
        <v>41548</v>
      </c>
      <c r="AC767" s="398">
        <v>0</v>
      </c>
      <c r="AD767" s="398">
        <v>133.61155068493153</v>
      </c>
      <c r="AE767" s="393" t="s">
        <v>72</v>
      </c>
      <c r="AF767" s="417"/>
      <c r="AG767" s="417"/>
      <c r="AH767" s="417"/>
      <c r="AI767" s="394"/>
      <c r="AJ767" s="453"/>
      <c r="AK767" s="453"/>
      <c r="AL767" s="393"/>
      <c r="AM767" s="393"/>
      <c r="AN767" s="417"/>
      <c r="AO767" s="392"/>
      <c r="AP767" s="392" t="s">
        <v>7073</v>
      </c>
      <c r="AQ767" s="392"/>
      <c r="AR767" s="392" t="s">
        <v>368</v>
      </c>
      <c r="AS767" s="479">
        <v>40807</v>
      </c>
      <c r="AT767" s="453"/>
      <c r="AU767" s="453"/>
      <c r="AV767" s="453"/>
      <c r="AW767" s="453"/>
      <c r="AX767" s="453"/>
      <c r="AY767" s="453"/>
      <c r="AZ767" s="452">
        <v>41081</v>
      </c>
      <c r="BA767" s="393"/>
      <c r="BB767" s="393"/>
      <c r="BC767" s="393" t="b">
        <v>0</v>
      </c>
      <c r="BD767" s="393"/>
      <c r="BE767" s="392"/>
      <c r="BF767" s="394">
        <v>2</v>
      </c>
      <c r="BG767" s="394">
        <v>4</v>
      </c>
      <c r="BH767" s="394">
        <v>5</v>
      </c>
      <c r="BI767" s="394">
        <v>9</v>
      </c>
      <c r="BJ767" s="394">
        <v>10</v>
      </c>
      <c r="BK767" s="394">
        <v>11</v>
      </c>
      <c r="BL767" s="444" t="s">
        <v>1451</v>
      </c>
      <c r="BM767" s="392"/>
      <c r="BN767" s="393"/>
      <c r="BO767" s="393"/>
      <c r="BP767" s="399"/>
      <c r="BQ767" s="400"/>
      <c r="BR767" s="401"/>
      <c r="BS767" s="399">
        <v>20</v>
      </c>
      <c r="BT767" s="394">
        <v>65287</v>
      </c>
      <c r="BU767" s="417">
        <v>0.49264999999999998</v>
      </c>
      <c r="BV767" s="399"/>
      <c r="BW767" s="393" t="s">
        <v>3117</v>
      </c>
      <c r="BX767" s="392" t="s">
        <v>3160</v>
      </c>
      <c r="BY767" s="393"/>
      <c r="BZ767" s="393"/>
      <c r="CA767" s="441" t="s">
        <v>1662</v>
      </c>
      <c r="CB767" s="400">
        <v>3</v>
      </c>
      <c r="CC767" s="398"/>
      <c r="CD767" s="398"/>
      <c r="CE767" s="398"/>
      <c r="CF767" s="398"/>
      <c r="CG767" s="398"/>
      <c r="CH767" s="398"/>
      <c r="CI767" s="398">
        <v>27.94</v>
      </c>
      <c r="CJ767" s="398">
        <v>32.165999999999997</v>
      </c>
      <c r="CK767" s="398">
        <v>32.165999999999997</v>
      </c>
      <c r="CL767" s="398">
        <v>32.165999999999997</v>
      </c>
      <c r="CM767" s="398">
        <v>32.165999999999997</v>
      </c>
      <c r="CN767" s="398">
        <v>32.165999999999997</v>
      </c>
      <c r="CO767" s="398">
        <v>32.165999999999997</v>
      </c>
      <c r="CP767" s="398">
        <v>4.226</v>
      </c>
      <c r="CQ767" s="398"/>
      <c r="CR767" s="398"/>
      <c r="CS767" s="398"/>
      <c r="CT767" s="398"/>
      <c r="CU767" s="398"/>
      <c r="CV767" s="398"/>
      <c r="CW767" s="398"/>
      <c r="CX767" s="398"/>
      <c r="CY767" s="398"/>
      <c r="CZ767" s="398"/>
      <c r="DA767" s="398"/>
      <c r="DB767" s="398"/>
      <c r="DC767" s="398"/>
      <c r="DD767" s="398"/>
      <c r="DE767" s="393"/>
      <c r="DF767" s="393"/>
      <c r="DG767" s="393"/>
      <c r="DH767" s="393"/>
      <c r="DI767" s="393"/>
      <c r="DJ767" s="393"/>
      <c r="DK767" s="897"/>
    </row>
    <row r="768" spans="1:115" ht="38.25" x14ac:dyDescent="0.2">
      <c r="A768" s="295">
        <v>764</v>
      </c>
      <c r="B768" s="390" t="s">
        <v>6860</v>
      </c>
      <c r="C768" s="390"/>
      <c r="D768" s="391" t="s">
        <v>6861</v>
      </c>
      <c r="E768" s="704" t="s">
        <v>6862</v>
      </c>
      <c r="F768" s="393" t="s">
        <v>1340</v>
      </c>
      <c r="G768" s="393" t="s">
        <v>1676</v>
      </c>
      <c r="H768" s="393" t="s">
        <v>58</v>
      </c>
      <c r="I768" s="392"/>
      <c r="J768" s="392"/>
      <c r="K768" s="392" t="s">
        <v>6863</v>
      </c>
      <c r="L768" s="392" t="s">
        <v>866</v>
      </c>
      <c r="M768" s="392"/>
      <c r="N768" s="393" t="s">
        <v>44</v>
      </c>
      <c r="O768" s="393" t="s">
        <v>827</v>
      </c>
      <c r="P768" s="393" t="s">
        <v>827</v>
      </c>
      <c r="Q768" s="392" t="s">
        <v>836</v>
      </c>
      <c r="R768" s="392" t="s">
        <v>6864</v>
      </c>
      <c r="S768" s="392" t="s">
        <v>650</v>
      </c>
      <c r="T768" s="394">
        <v>1</v>
      </c>
      <c r="U768" s="395">
        <v>36.68</v>
      </c>
      <c r="V768" s="395"/>
      <c r="W768" s="453"/>
      <c r="X768" s="394"/>
      <c r="Y768" s="394">
        <v>7</v>
      </c>
      <c r="Z768" s="394">
        <v>25</v>
      </c>
      <c r="AA768" s="395">
        <v>0</v>
      </c>
      <c r="AB768" s="452">
        <v>42005</v>
      </c>
      <c r="AC768" s="398"/>
      <c r="AD768" s="398">
        <v>220.18049315068495</v>
      </c>
      <c r="AE768" s="393" t="s">
        <v>72</v>
      </c>
      <c r="AF768" s="417"/>
      <c r="AG768" s="417"/>
      <c r="AH768" s="417"/>
      <c r="AI768" s="394"/>
      <c r="AJ768" s="453"/>
      <c r="AK768" s="453"/>
      <c r="AL768" s="393"/>
      <c r="AM768" s="393"/>
      <c r="AN768" s="417"/>
      <c r="AO768" s="392"/>
      <c r="AP768" s="392"/>
      <c r="AQ768" s="392"/>
      <c r="AR768" s="392" t="s">
        <v>368</v>
      </c>
      <c r="AS768" s="479">
        <v>40807</v>
      </c>
      <c r="AT768" s="453"/>
      <c r="AU768" s="453"/>
      <c r="AV768" s="453"/>
      <c r="AW768" s="453"/>
      <c r="AX768" s="453"/>
      <c r="AY768" s="453"/>
      <c r="AZ768" s="452">
        <v>42020</v>
      </c>
      <c r="BA768" s="393"/>
      <c r="BB768" s="393"/>
      <c r="BC768" s="393" t="b">
        <v>0</v>
      </c>
      <c r="BD768" s="393"/>
      <c r="BE768" s="392"/>
      <c r="BF768" s="394">
        <v>2</v>
      </c>
      <c r="BG768" s="394">
        <v>4</v>
      </c>
      <c r="BH768" s="394">
        <v>5</v>
      </c>
      <c r="BI768" s="394">
        <v>9</v>
      </c>
      <c r="BJ768" s="394">
        <v>10</v>
      </c>
      <c r="BK768" s="394">
        <v>11</v>
      </c>
      <c r="BL768" s="444" t="s">
        <v>1451</v>
      </c>
      <c r="BM768" s="392"/>
      <c r="BN768" s="393"/>
      <c r="BO768" s="393"/>
      <c r="BP768" s="399"/>
      <c r="BQ768" s="400"/>
      <c r="BR768" s="401"/>
      <c r="BS768" s="399">
        <v>38.76</v>
      </c>
      <c r="BT768" s="394">
        <v>65700</v>
      </c>
      <c r="BU768" s="417">
        <v>0.55830000000000002</v>
      </c>
      <c r="BV768" s="399"/>
      <c r="BW768" s="393" t="s">
        <v>3117</v>
      </c>
      <c r="BX768" s="392"/>
      <c r="BY768" s="393"/>
      <c r="BZ768" s="393"/>
      <c r="CA768" s="441" t="s">
        <v>1662</v>
      </c>
      <c r="CB768" s="400">
        <v>3</v>
      </c>
      <c r="CC768" s="398"/>
      <c r="CD768" s="398"/>
      <c r="CE768" s="398"/>
      <c r="CF768" s="398"/>
      <c r="CG768" s="398"/>
      <c r="CH768" s="398"/>
      <c r="CI768" s="398"/>
      <c r="CJ768" s="398"/>
      <c r="CK768" s="398">
        <v>36.68</v>
      </c>
      <c r="CL768" s="398">
        <v>36.68</v>
      </c>
      <c r="CM768" s="398">
        <v>36.68</v>
      </c>
      <c r="CN768" s="398">
        <v>36.68</v>
      </c>
      <c r="CO768" s="398">
        <v>36.68</v>
      </c>
      <c r="CP768" s="398">
        <v>36.68</v>
      </c>
      <c r="CQ768" s="398">
        <v>36.68</v>
      </c>
      <c r="CR768" s="398"/>
      <c r="CS768" s="398"/>
      <c r="CT768" s="398"/>
      <c r="CU768" s="398"/>
      <c r="CV768" s="398"/>
      <c r="CW768" s="398"/>
      <c r="CX768" s="398"/>
      <c r="CY768" s="398"/>
      <c r="CZ768" s="398"/>
      <c r="DA768" s="398"/>
      <c r="DB768" s="398"/>
      <c r="DC768" s="398"/>
      <c r="DD768" s="398"/>
      <c r="DE768" s="393"/>
      <c r="DF768" s="393"/>
      <c r="DG768" s="393"/>
      <c r="DH768" s="393"/>
      <c r="DI768" s="393"/>
      <c r="DJ768" s="393"/>
      <c r="DK768" s="897"/>
    </row>
    <row r="769" spans="1:126" ht="25.5" x14ac:dyDescent="0.2">
      <c r="A769" s="295">
        <v>765</v>
      </c>
      <c r="B769" s="390" t="s">
        <v>877</v>
      </c>
      <c r="C769" s="424" t="s">
        <v>7557</v>
      </c>
      <c r="D769" s="391"/>
      <c r="E769" s="707" t="s">
        <v>878</v>
      </c>
      <c r="F769" s="404" t="s">
        <v>1375</v>
      </c>
      <c r="G769" s="404" t="s">
        <v>1361</v>
      </c>
      <c r="H769" s="404" t="s">
        <v>137</v>
      </c>
      <c r="I769" s="403"/>
      <c r="J769" s="403" t="s">
        <v>137</v>
      </c>
      <c r="K769" s="403"/>
      <c r="L769" s="403" t="s">
        <v>3787</v>
      </c>
      <c r="M769" s="403" t="s">
        <v>3238</v>
      </c>
      <c r="N769" s="404" t="s">
        <v>3142</v>
      </c>
      <c r="O769" s="404" t="s">
        <v>827</v>
      </c>
      <c r="P769" s="404" t="s">
        <v>827</v>
      </c>
      <c r="Q769" s="403" t="s">
        <v>836</v>
      </c>
      <c r="R769" s="403"/>
      <c r="S769" s="403" t="s">
        <v>871</v>
      </c>
      <c r="T769" s="405">
        <v>1</v>
      </c>
      <c r="U769" s="406">
        <v>5.7619999999999996</v>
      </c>
      <c r="V769" s="406"/>
      <c r="W769" s="456">
        <v>40809</v>
      </c>
      <c r="X769" s="405">
        <v>28</v>
      </c>
      <c r="Y769" s="405"/>
      <c r="Z769" s="405"/>
      <c r="AA769" s="406"/>
      <c r="AB769" s="455"/>
      <c r="AC769" s="407">
        <v>7.2140240000000002</v>
      </c>
      <c r="AD769" s="407">
        <v>53.341912328767123</v>
      </c>
      <c r="AE769" s="404" t="s">
        <v>133</v>
      </c>
      <c r="AF769" s="418"/>
      <c r="AG769" s="418"/>
      <c r="AH769" s="418">
        <v>0</v>
      </c>
      <c r="AI769" s="405"/>
      <c r="AJ769" s="455"/>
      <c r="AK769" s="455"/>
      <c r="AL769" s="404"/>
      <c r="AM769" s="404"/>
      <c r="AN769" s="418"/>
      <c r="AO769" s="403"/>
      <c r="AP769" s="403" t="s">
        <v>55</v>
      </c>
      <c r="AQ769" s="403"/>
      <c r="AR769" s="403" t="s">
        <v>3787</v>
      </c>
      <c r="AS769" s="482">
        <v>40809</v>
      </c>
      <c r="AT769" s="455"/>
      <c r="AU769" s="455"/>
      <c r="AV769" s="455"/>
      <c r="AW769" s="455"/>
      <c r="AX769" s="455"/>
      <c r="AY769" s="455"/>
      <c r="AZ769" s="455"/>
      <c r="BA769" s="404"/>
      <c r="BB769" s="404" t="s">
        <v>3116</v>
      </c>
      <c r="BC769" s="404" t="b">
        <v>0</v>
      </c>
      <c r="BD769" s="404" t="s">
        <v>3116</v>
      </c>
      <c r="BE769" s="403"/>
      <c r="BF769" s="405">
        <v>9</v>
      </c>
      <c r="BG769" s="405">
        <v>5</v>
      </c>
      <c r="BH769" s="405">
        <v>1</v>
      </c>
      <c r="BI769" s="405"/>
      <c r="BJ769" s="405"/>
      <c r="BK769" s="405"/>
      <c r="BL769" s="446"/>
      <c r="BM769" s="403"/>
      <c r="BN769" s="404"/>
      <c r="BO769" s="404"/>
      <c r="BP769" s="408"/>
      <c r="BQ769" s="409"/>
      <c r="BR769" s="410"/>
      <c r="BS769" s="408">
        <v>5</v>
      </c>
      <c r="BT769" s="405"/>
      <c r="BU769" s="418"/>
      <c r="BV769" s="408"/>
      <c r="BW769" s="404"/>
      <c r="BX769" s="403"/>
      <c r="BY769" s="404"/>
      <c r="BZ769" s="404"/>
      <c r="CA769" s="443"/>
      <c r="CB769" s="409"/>
      <c r="CC769" s="407"/>
      <c r="CD769" s="407"/>
      <c r="CE769" s="407"/>
      <c r="CF769" s="407"/>
      <c r="CG769" s="407"/>
      <c r="CH769" s="407"/>
      <c r="CI769" s="407"/>
      <c r="CJ769" s="407"/>
      <c r="CK769" s="407"/>
      <c r="CL769" s="407"/>
      <c r="CM769" s="407"/>
      <c r="CN769" s="407"/>
      <c r="CO769" s="407"/>
      <c r="CP769" s="407"/>
      <c r="CQ769" s="407"/>
      <c r="CR769" s="407"/>
      <c r="CS769" s="407"/>
      <c r="CT769" s="407"/>
      <c r="CU769" s="407"/>
      <c r="CV769" s="407"/>
      <c r="CW769" s="407"/>
      <c r="CX769" s="407"/>
      <c r="CY769" s="407"/>
      <c r="CZ769" s="407"/>
      <c r="DA769" s="407"/>
      <c r="DB769" s="407"/>
      <c r="DC769" s="407"/>
      <c r="DD769" s="407"/>
      <c r="DE769" s="404"/>
      <c r="DF769" s="404"/>
      <c r="DG769" s="404"/>
      <c r="DH769" s="404"/>
      <c r="DI769" s="404"/>
      <c r="DJ769" s="404"/>
      <c r="DK769" s="897"/>
    </row>
    <row r="770" spans="1:126" ht="15" x14ac:dyDescent="0.2">
      <c r="A770" s="295">
        <v>766</v>
      </c>
      <c r="B770" s="390" t="s">
        <v>2729</v>
      </c>
      <c r="C770" s="390"/>
      <c r="D770" s="391"/>
      <c r="E770" s="707" t="s">
        <v>880</v>
      </c>
      <c r="F770" s="404" t="s">
        <v>1375</v>
      </c>
      <c r="G770" s="404" t="s">
        <v>1361</v>
      </c>
      <c r="H770" s="404" t="s">
        <v>137</v>
      </c>
      <c r="I770" s="403"/>
      <c r="J770" s="403"/>
      <c r="K770" s="403" t="s">
        <v>2147</v>
      </c>
      <c r="L770" s="403" t="s">
        <v>3787</v>
      </c>
      <c r="M770" s="403"/>
      <c r="N770" s="404" t="s">
        <v>3142</v>
      </c>
      <c r="O770" s="404" t="s">
        <v>827</v>
      </c>
      <c r="P770" s="404" t="s">
        <v>827</v>
      </c>
      <c r="Q770" s="403" t="s">
        <v>836</v>
      </c>
      <c r="R770" s="403" t="s">
        <v>3239</v>
      </c>
      <c r="S770" s="403" t="s">
        <v>871</v>
      </c>
      <c r="T770" s="405">
        <v>1</v>
      </c>
      <c r="U770" s="406">
        <v>5.7619999999999996</v>
      </c>
      <c r="V770" s="406"/>
      <c r="W770" s="455"/>
      <c r="X770" s="405"/>
      <c r="Y770" s="405">
        <v>7</v>
      </c>
      <c r="Z770" s="405">
        <v>25</v>
      </c>
      <c r="AA770" s="406">
        <v>1.5569999999999999</v>
      </c>
      <c r="AB770" s="456">
        <v>40817</v>
      </c>
      <c r="AC770" s="407">
        <v>7.2140240000000002</v>
      </c>
      <c r="AD770" s="407">
        <v>53.341912328767123</v>
      </c>
      <c r="AE770" s="404" t="s">
        <v>133</v>
      </c>
      <c r="AF770" s="418"/>
      <c r="AG770" s="418"/>
      <c r="AH770" s="418"/>
      <c r="AI770" s="405"/>
      <c r="AJ770" s="455"/>
      <c r="AK770" s="455"/>
      <c r="AL770" s="404"/>
      <c r="AM770" s="404"/>
      <c r="AN770" s="418"/>
      <c r="AO770" s="403"/>
      <c r="AP770" s="403" t="s">
        <v>55</v>
      </c>
      <c r="AQ770" s="403"/>
      <c r="AR770" s="403" t="s">
        <v>3787</v>
      </c>
      <c r="AS770" s="482">
        <v>40809</v>
      </c>
      <c r="AT770" s="455"/>
      <c r="AU770" s="455"/>
      <c r="AV770" s="455"/>
      <c r="AW770" s="455"/>
      <c r="AX770" s="455"/>
      <c r="AY770" s="455"/>
      <c r="AZ770" s="455"/>
      <c r="BA770" s="404"/>
      <c r="BB770" s="404"/>
      <c r="BC770" s="404" t="b">
        <v>0</v>
      </c>
      <c r="BD770" s="404"/>
      <c r="BE770" s="403"/>
      <c r="BF770" s="405">
        <v>9</v>
      </c>
      <c r="BG770" s="405">
        <v>5</v>
      </c>
      <c r="BH770" s="405">
        <v>1</v>
      </c>
      <c r="BI770" s="405"/>
      <c r="BJ770" s="405"/>
      <c r="BK770" s="405"/>
      <c r="BL770" s="446" t="s">
        <v>6981</v>
      </c>
      <c r="BM770" s="403"/>
      <c r="BN770" s="404"/>
      <c r="BO770" s="404"/>
      <c r="BP770" s="408"/>
      <c r="BQ770" s="409"/>
      <c r="BR770" s="410"/>
      <c r="BS770" s="408">
        <v>5</v>
      </c>
      <c r="BT770" s="405">
        <v>7884</v>
      </c>
      <c r="BU770" s="418">
        <v>0.98824999999999996</v>
      </c>
      <c r="BV770" s="408"/>
      <c r="BW770" s="404" t="s">
        <v>3117</v>
      </c>
      <c r="BX770" s="403" t="s">
        <v>4364</v>
      </c>
      <c r="BY770" s="404" t="s">
        <v>7224</v>
      </c>
      <c r="BZ770" s="404"/>
      <c r="CA770" s="443"/>
      <c r="CB770" s="409"/>
      <c r="CC770" s="407"/>
      <c r="CD770" s="407"/>
      <c r="CE770" s="407"/>
      <c r="CF770" s="407"/>
      <c r="CG770" s="407">
        <v>9.6000000000000002E-2</v>
      </c>
      <c r="CH770" s="407">
        <v>1.5580000000000001</v>
      </c>
      <c r="CI770" s="407">
        <v>3.5049999999999999</v>
      </c>
      <c r="CJ770" s="407">
        <v>6.2320000000000002</v>
      </c>
      <c r="CK770" s="407">
        <v>7.7889999999999997</v>
      </c>
      <c r="CL770" s="407">
        <v>7.7889999999999997</v>
      </c>
      <c r="CM770" s="407">
        <v>5.7619999999999996</v>
      </c>
      <c r="CN770" s="407"/>
      <c r="CO770" s="407"/>
      <c r="CP770" s="407"/>
      <c r="CQ770" s="407"/>
      <c r="CR770" s="407"/>
      <c r="CS770" s="407"/>
      <c r="CT770" s="407"/>
      <c r="CU770" s="407"/>
      <c r="CV770" s="407"/>
      <c r="CW770" s="407"/>
      <c r="CX770" s="407"/>
      <c r="CY770" s="407"/>
      <c r="CZ770" s="407"/>
      <c r="DA770" s="407"/>
      <c r="DB770" s="407"/>
      <c r="DC770" s="407"/>
      <c r="DD770" s="407"/>
      <c r="DE770" s="404"/>
      <c r="DF770" s="404"/>
      <c r="DG770" s="404"/>
      <c r="DH770" s="404"/>
      <c r="DI770" s="404"/>
      <c r="DJ770" s="404"/>
      <c r="DK770" s="897"/>
    </row>
    <row r="771" spans="1:126" ht="51" x14ac:dyDescent="0.2">
      <c r="A771" s="295">
        <v>767</v>
      </c>
      <c r="B771" s="390" t="s">
        <v>777</v>
      </c>
      <c r="C771" s="424" t="s">
        <v>7558</v>
      </c>
      <c r="D771" s="391" t="s">
        <v>5112</v>
      </c>
      <c r="E771" s="704" t="s">
        <v>778</v>
      </c>
      <c r="F771" s="393" t="s">
        <v>1352</v>
      </c>
      <c r="G771" s="393" t="s">
        <v>1672</v>
      </c>
      <c r="H771" s="393" t="s">
        <v>632</v>
      </c>
      <c r="I771" s="392"/>
      <c r="J771" s="392" t="s">
        <v>632</v>
      </c>
      <c r="K771" s="392"/>
      <c r="L771" s="392" t="s">
        <v>418</v>
      </c>
      <c r="M771" s="392" t="s">
        <v>3240</v>
      </c>
      <c r="N771" s="393" t="s">
        <v>44</v>
      </c>
      <c r="O771" s="393" t="s">
        <v>289</v>
      </c>
      <c r="P771" s="393" t="s">
        <v>289</v>
      </c>
      <c r="Q771" s="392" t="s">
        <v>721</v>
      </c>
      <c r="R771" s="392"/>
      <c r="S771" s="392" t="s">
        <v>291</v>
      </c>
      <c r="T771" s="394">
        <v>1</v>
      </c>
      <c r="U771" s="395">
        <v>2</v>
      </c>
      <c r="V771" s="395"/>
      <c r="W771" s="452">
        <v>40817</v>
      </c>
      <c r="X771" s="394">
        <v>28</v>
      </c>
      <c r="Y771" s="394"/>
      <c r="Z771" s="394"/>
      <c r="AA771" s="395"/>
      <c r="AB771" s="453"/>
      <c r="AC771" s="398">
        <v>0</v>
      </c>
      <c r="AD771" s="398">
        <v>20</v>
      </c>
      <c r="AE771" s="393" t="s">
        <v>96</v>
      </c>
      <c r="AF771" s="417"/>
      <c r="AG771" s="417"/>
      <c r="AH771" s="417">
        <v>0</v>
      </c>
      <c r="AI771" s="394"/>
      <c r="AJ771" s="453"/>
      <c r="AK771" s="453"/>
      <c r="AL771" s="393"/>
      <c r="AM771" s="393"/>
      <c r="AN771" s="417"/>
      <c r="AO771" s="392"/>
      <c r="AP771" s="392" t="s">
        <v>7055</v>
      </c>
      <c r="AQ771" s="392"/>
      <c r="AR771" s="392" t="s">
        <v>236</v>
      </c>
      <c r="AS771" s="479">
        <v>40817</v>
      </c>
      <c r="AT771" s="453"/>
      <c r="AU771" s="453"/>
      <c r="AV771" s="452">
        <v>41113</v>
      </c>
      <c r="AW771" s="452">
        <v>41254</v>
      </c>
      <c r="AX771" s="452">
        <v>41300</v>
      </c>
      <c r="AY771" s="452">
        <v>41254</v>
      </c>
      <c r="AZ771" s="453"/>
      <c r="BA771" s="393"/>
      <c r="BB771" s="393" t="s">
        <v>3147</v>
      </c>
      <c r="BC771" s="393" t="b">
        <v>0</v>
      </c>
      <c r="BD771" s="393" t="s">
        <v>3147</v>
      </c>
      <c r="BE771" s="392"/>
      <c r="BF771" s="394">
        <v>5</v>
      </c>
      <c r="BG771" s="394">
        <v>9</v>
      </c>
      <c r="BH771" s="394">
        <v>10</v>
      </c>
      <c r="BI771" s="394">
        <v>2</v>
      </c>
      <c r="BJ771" s="394"/>
      <c r="BK771" s="394"/>
      <c r="BL771" s="444"/>
      <c r="BM771" s="392"/>
      <c r="BN771" s="393"/>
      <c r="BO771" s="393"/>
      <c r="BP771" s="399"/>
      <c r="BQ771" s="400"/>
      <c r="BR771" s="401"/>
      <c r="BS771" s="399">
        <v>0.84</v>
      </c>
      <c r="BT771" s="394"/>
      <c r="BU771" s="417"/>
      <c r="BV771" s="399"/>
      <c r="BW771" s="393"/>
      <c r="BX771" s="392"/>
      <c r="BY771" s="475" t="s">
        <v>7224</v>
      </c>
      <c r="BZ771" s="393"/>
      <c r="CA771" s="441"/>
      <c r="CB771" s="400"/>
      <c r="CC771" s="398"/>
      <c r="CD771" s="398"/>
      <c r="CE771" s="398"/>
      <c r="CF771" s="398"/>
      <c r="CG771" s="398"/>
      <c r="CH771" s="398"/>
      <c r="CI771" s="398"/>
      <c r="CJ771" s="398"/>
      <c r="CK771" s="398"/>
      <c r="CL771" s="398"/>
      <c r="CM771" s="398"/>
      <c r="CN771" s="398"/>
      <c r="CO771" s="398"/>
      <c r="CP771" s="398"/>
      <c r="CQ771" s="398"/>
      <c r="CR771" s="398"/>
      <c r="CS771" s="398"/>
      <c r="CT771" s="398"/>
      <c r="CU771" s="398"/>
      <c r="CV771" s="398"/>
      <c r="CW771" s="398"/>
      <c r="CX771" s="398"/>
      <c r="CY771" s="398"/>
      <c r="CZ771" s="398"/>
      <c r="DA771" s="398"/>
      <c r="DB771" s="398"/>
      <c r="DC771" s="398"/>
      <c r="DD771" s="398"/>
      <c r="DE771" s="393"/>
      <c r="DF771" s="393"/>
      <c r="DG771" s="393"/>
      <c r="DH771" s="393"/>
      <c r="DI771" s="393"/>
      <c r="DJ771" s="393"/>
      <c r="DK771" s="896" t="s">
        <v>9748</v>
      </c>
    </row>
    <row r="772" spans="1:126" ht="25.5" x14ac:dyDescent="0.2">
      <c r="A772" s="295">
        <v>768</v>
      </c>
      <c r="B772" s="390" t="s">
        <v>2730</v>
      </c>
      <c r="C772" s="390"/>
      <c r="D772" s="391" t="s">
        <v>4466</v>
      </c>
      <c r="E772" s="704" t="s">
        <v>779</v>
      </c>
      <c r="F772" s="393" t="s">
        <v>1352</v>
      </c>
      <c r="G772" s="393" t="s">
        <v>1672</v>
      </c>
      <c r="H772" s="393" t="s">
        <v>632</v>
      </c>
      <c r="I772" s="392"/>
      <c r="J772" s="392"/>
      <c r="K772" s="392" t="s">
        <v>2177</v>
      </c>
      <c r="L772" s="392" t="s">
        <v>418</v>
      </c>
      <c r="M772" s="392"/>
      <c r="N772" s="393" t="s">
        <v>44</v>
      </c>
      <c r="O772" s="393" t="s">
        <v>289</v>
      </c>
      <c r="P772" s="393" t="s">
        <v>289</v>
      </c>
      <c r="Q772" s="392" t="s">
        <v>721</v>
      </c>
      <c r="R772" s="392" t="s">
        <v>3241</v>
      </c>
      <c r="S772" s="392" t="s">
        <v>291</v>
      </c>
      <c r="T772" s="394">
        <v>1</v>
      </c>
      <c r="U772" s="395">
        <v>2</v>
      </c>
      <c r="V772" s="395"/>
      <c r="W772" s="453"/>
      <c r="X772" s="394"/>
      <c r="Y772" s="394">
        <v>10</v>
      </c>
      <c r="Z772" s="394">
        <v>30</v>
      </c>
      <c r="AA772" s="395">
        <v>0</v>
      </c>
      <c r="AB772" s="452">
        <v>41284</v>
      </c>
      <c r="AC772" s="398">
        <v>0</v>
      </c>
      <c r="AD772" s="398">
        <v>20</v>
      </c>
      <c r="AE772" s="393" t="s">
        <v>96</v>
      </c>
      <c r="AF772" s="417"/>
      <c r="AG772" s="417"/>
      <c r="AH772" s="417"/>
      <c r="AI772" s="394"/>
      <c r="AJ772" s="453"/>
      <c r="AK772" s="453"/>
      <c r="AL772" s="393"/>
      <c r="AM772" s="393"/>
      <c r="AN772" s="417"/>
      <c r="AO772" s="392"/>
      <c r="AP772" s="392" t="s">
        <v>7055</v>
      </c>
      <c r="AQ772" s="392"/>
      <c r="AR772" s="392" t="s">
        <v>236</v>
      </c>
      <c r="AS772" s="479">
        <v>40817</v>
      </c>
      <c r="AT772" s="453"/>
      <c r="AU772" s="453"/>
      <c r="AV772" s="453"/>
      <c r="AW772" s="453"/>
      <c r="AX772" s="453"/>
      <c r="AY772" s="453"/>
      <c r="AZ772" s="452">
        <v>41254</v>
      </c>
      <c r="BA772" s="393"/>
      <c r="BB772" s="393"/>
      <c r="BC772" s="393" t="b">
        <v>0</v>
      </c>
      <c r="BD772" s="393"/>
      <c r="BE772" s="392"/>
      <c r="BF772" s="394">
        <v>5</v>
      </c>
      <c r="BG772" s="394">
        <v>9</v>
      </c>
      <c r="BH772" s="394">
        <v>10</v>
      </c>
      <c r="BI772" s="394">
        <v>2</v>
      </c>
      <c r="BJ772" s="394"/>
      <c r="BK772" s="394"/>
      <c r="BL772" s="444" t="s">
        <v>6981</v>
      </c>
      <c r="BM772" s="392"/>
      <c r="BN772" s="393"/>
      <c r="BO772" s="393"/>
      <c r="BP772" s="399"/>
      <c r="BQ772" s="400"/>
      <c r="BR772" s="401"/>
      <c r="BS772" s="399">
        <v>0.84</v>
      </c>
      <c r="BT772" s="394">
        <v>4301</v>
      </c>
      <c r="BU772" s="417">
        <v>0.48749999999999999</v>
      </c>
      <c r="BV772" s="399"/>
      <c r="BW772" s="393" t="s">
        <v>3117</v>
      </c>
      <c r="BX772" s="392" t="s">
        <v>1447</v>
      </c>
      <c r="BY772" s="475" t="s">
        <v>7224</v>
      </c>
      <c r="BZ772" s="393"/>
      <c r="CA772" s="441" t="s">
        <v>1662</v>
      </c>
      <c r="CB772" s="400">
        <v>3</v>
      </c>
      <c r="CC772" s="398"/>
      <c r="CD772" s="398"/>
      <c r="CE772" s="398"/>
      <c r="CF772" s="398"/>
      <c r="CG772" s="398"/>
      <c r="CH772" s="398"/>
      <c r="CI772" s="398"/>
      <c r="CJ772" s="398">
        <v>2</v>
      </c>
      <c r="CK772" s="398">
        <v>2</v>
      </c>
      <c r="CL772" s="398">
        <v>2</v>
      </c>
      <c r="CM772" s="398">
        <v>2</v>
      </c>
      <c r="CN772" s="398">
        <v>2</v>
      </c>
      <c r="CO772" s="398">
        <v>2</v>
      </c>
      <c r="CP772" s="398">
        <v>2</v>
      </c>
      <c r="CQ772" s="398">
        <v>2</v>
      </c>
      <c r="CR772" s="398">
        <v>2</v>
      </c>
      <c r="CS772" s="398">
        <v>2</v>
      </c>
      <c r="CT772" s="398"/>
      <c r="CU772" s="398"/>
      <c r="CV772" s="398"/>
      <c r="CW772" s="398"/>
      <c r="CX772" s="398"/>
      <c r="CY772" s="398"/>
      <c r="CZ772" s="398"/>
      <c r="DA772" s="398"/>
      <c r="DB772" s="398"/>
      <c r="DC772" s="398"/>
      <c r="DD772" s="398"/>
      <c r="DE772" s="393"/>
      <c r="DF772" s="393"/>
      <c r="DG772" s="393"/>
      <c r="DH772" s="393"/>
      <c r="DI772" s="393"/>
      <c r="DJ772" s="393"/>
      <c r="DK772" s="897"/>
    </row>
    <row r="773" spans="1:126" ht="25.5" x14ac:dyDescent="0.2">
      <c r="A773" s="295">
        <v>769</v>
      </c>
      <c r="B773" s="390" t="s">
        <v>780</v>
      </c>
      <c r="C773" s="424" t="s">
        <v>7559</v>
      </c>
      <c r="D773" s="391"/>
      <c r="E773" s="707" t="s">
        <v>781</v>
      </c>
      <c r="F773" s="404" t="s">
        <v>1352</v>
      </c>
      <c r="G773" s="404" t="s">
        <v>1672</v>
      </c>
      <c r="H773" s="404" t="s">
        <v>632</v>
      </c>
      <c r="I773" s="403"/>
      <c r="J773" s="403" t="s">
        <v>632</v>
      </c>
      <c r="K773" s="403"/>
      <c r="L773" s="403" t="s">
        <v>1986</v>
      </c>
      <c r="M773" s="403" t="s">
        <v>3242</v>
      </c>
      <c r="N773" s="404" t="s">
        <v>3142</v>
      </c>
      <c r="O773" s="404" t="s">
        <v>289</v>
      </c>
      <c r="P773" s="404" t="s">
        <v>289</v>
      </c>
      <c r="Q773" s="403" t="s">
        <v>721</v>
      </c>
      <c r="R773" s="403"/>
      <c r="S773" s="403" t="s">
        <v>291</v>
      </c>
      <c r="T773" s="405">
        <v>1</v>
      </c>
      <c r="U773" s="406">
        <v>4.76</v>
      </c>
      <c r="V773" s="406"/>
      <c r="W773" s="456">
        <v>40909</v>
      </c>
      <c r="X773" s="405">
        <v>28</v>
      </c>
      <c r="Y773" s="405"/>
      <c r="Z773" s="405"/>
      <c r="AA773" s="406"/>
      <c r="AB773" s="455"/>
      <c r="AC773" s="407">
        <v>0</v>
      </c>
      <c r="AD773" s="407">
        <v>28.977315068493148</v>
      </c>
      <c r="AE773" s="404" t="s">
        <v>309</v>
      </c>
      <c r="AF773" s="418"/>
      <c r="AG773" s="418"/>
      <c r="AH773" s="418">
        <v>0</v>
      </c>
      <c r="AI773" s="405"/>
      <c r="AJ773" s="455"/>
      <c r="AK773" s="455"/>
      <c r="AL773" s="404"/>
      <c r="AM773" s="404"/>
      <c r="AN773" s="418"/>
      <c r="AO773" s="403"/>
      <c r="AP773" s="403" t="s">
        <v>55</v>
      </c>
      <c r="AQ773" s="403"/>
      <c r="AR773" s="403" t="s">
        <v>782</v>
      </c>
      <c r="AS773" s="482">
        <v>40817</v>
      </c>
      <c r="AT773" s="455"/>
      <c r="AU773" s="455"/>
      <c r="AV773" s="455"/>
      <c r="AW773" s="455"/>
      <c r="AX773" s="455"/>
      <c r="AY773" s="455"/>
      <c r="AZ773" s="455"/>
      <c r="BA773" s="404"/>
      <c r="BB773" s="404" t="s">
        <v>3147</v>
      </c>
      <c r="BC773" s="404" t="b">
        <v>1</v>
      </c>
      <c r="BD773" s="404" t="s">
        <v>3147</v>
      </c>
      <c r="BE773" s="403"/>
      <c r="BF773" s="405">
        <v>10</v>
      </c>
      <c r="BG773" s="405">
        <v>5</v>
      </c>
      <c r="BH773" s="405">
        <v>9</v>
      </c>
      <c r="BI773" s="405"/>
      <c r="BJ773" s="405"/>
      <c r="BK773" s="405"/>
      <c r="BL773" s="446"/>
      <c r="BM773" s="403"/>
      <c r="BN773" s="404"/>
      <c r="BO773" s="404"/>
      <c r="BP773" s="408"/>
      <c r="BQ773" s="409"/>
      <c r="BR773" s="410"/>
      <c r="BS773" s="408">
        <v>2.75</v>
      </c>
      <c r="BT773" s="405"/>
      <c r="BU773" s="418"/>
      <c r="BV773" s="408"/>
      <c r="BW773" s="404"/>
      <c r="BX773" s="403"/>
      <c r="BY773" s="404"/>
      <c r="BZ773" s="404"/>
      <c r="CA773" s="443"/>
      <c r="CB773" s="409"/>
      <c r="CC773" s="407"/>
      <c r="CD773" s="407"/>
      <c r="CE773" s="407"/>
      <c r="CF773" s="407"/>
      <c r="CG773" s="407"/>
      <c r="CH773" s="407"/>
      <c r="CI773" s="407"/>
      <c r="CJ773" s="407"/>
      <c r="CK773" s="407"/>
      <c r="CL773" s="407"/>
      <c r="CM773" s="407"/>
      <c r="CN773" s="407"/>
      <c r="CO773" s="407"/>
      <c r="CP773" s="407"/>
      <c r="CQ773" s="407"/>
      <c r="CR773" s="407"/>
      <c r="CS773" s="407"/>
      <c r="CT773" s="407"/>
      <c r="CU773" s="407"/>
      <c r="CV773" s="407"/>
      <c r="CW773" s="407"/>
      <c r="CX773" s="407"/>
      <c r="CY773" s="407"/>
      <c r="CZ773" s="407"/>
      <c r="DA773" s="407"/>
      <c r="DB773" s="407"/>
      <c r="DC773" s="407"/>
      <c r="DD773" s="407"/>
      <c r="DE773" s="404"/>
      <c r="DF773" s="404"/>
      <c r="DG773" s="404"/>
      <c r="DH773" s="404"/>
      <c r="DI773" s="404"/>
      <c r="DJ773" s="404"/>
      <c r="DK773" s="897"/>
    </row>
    <row r="774" spans="1:126" ht="25.5" x14ac:dyDescent="0.2">
      <c r="A774" s="295">
        <v>770</v>
      </c>
      <c r="B774" s="390" t="s">
        <v>2731</v>
      </c>
      <c r="C774" s="390"/>
      <c r="D774" s="391"/>
      <c r="E774" s="707" t="s">
        <v>783</v>
      </c>
      <c r="F774" s="404" t="s">
        <v>1352</v>
      </c>
      <c r="G774" s="404" t="s">
        <v>1672</v>
      </c>
      <c r="H774" s="404" t="s">
        <v>632</v>
      </c>
      <c r="I774" s="403"/>
      <c r="J774" s="403"/>
      <c r="K774" s="403" t="s">
        <v>632</v>
      </c>
      <c r="L774" s="403" t="s">
        <v>1986</v>
      </c>
      <c r="M774" s="403"/>
      <c r="N774" s="404" t="s">
        <v>3142</v>
      </c>
      <c r="O774" s="404" t="s">
        <v>289</v>
      </c>
      <c r="P774" s="404" t="s">
        <v>289</v>
      </c>
      <c r="Q774" s="403" t="s">
        <v>721</v>
      </c>
      <c r="R774" s="403" t="s">
        <v>3243</v>
      </c>
      <c r="S774" s="403" t="s">
        <v>291</v>
      </c>
      <c r="T774" s="405">
        <v>1</v>
      </c>
      <c r="U774" s="406">
        <v>4.76</v>
      </c>
      <c r="V774" s="406"/>
      <c r="W774" s="455"/>
      <c r="X774" s="405"/>
      <c r="Y774" s="405">
        <v>7</v>
      </c>
      <c r="Z774" s="405">
        <v>30</v>
      </c>
      <c r="AA774" s="406">
        <v>0</v>
      </c>
      <c r="AB774" s="456">
        <v>41974</v>
      </c>
      <c r="AC774" s="407">
        <v>0</v>
      </c>
      <c r="AD774" s="407">
        <v>28.977315068493148</v>
      </c>
      <c r="AE774" s="404" t="s">
        <v>309</v>
      </c>
      <c r="AF774" s="418"/>
      <c r="AG774" s="418"/>
      <c r="AH774" s="418"/>
      <c r="AI774" s="405"/>
      <c r="AJ774" s="455"/>
      <c r="AK774" s="455"/>
      <c r="AL774" s="404"/>
      <c r="AM774" s="404"/>
      <c r="AN774" s="418"/>
      <c r="AO774" s="403"/>
      <c r="AP774" s="403" t="s">
        <v>55</v>
      </c>
      <c r="AQ774" s="403"/>
      <c r="AR774" s="403" t="s">
        <v>782</v>
      </c>
      <c r="AS774" s="482">
        <v>40817</v>
      </c>
      <c r="AT774" s="455"/>
      <c r="AU774" s="455"/>
      <c r="AV774" s="455"/>
      <c r="AW774" s="455"/>
      <c r="AX774" s="455"/>
      <c r="AY774" s="455"/>
      <c r="AZ774" s="455"/>
      <c r="BA774" s="404"/>
      <c r="BB774" s="404"/>
      <c r="BC774" s="404" t="b">
        <v>0</v>
      </c>
      <c r="BD774" s="404"/>
      <c r="BE774" s="403"/>
      <c r="BF774" s="405">
        <v>10</v>
      </c>
      <c r="BG774" s="405">
        <v>5</v>
      </c>
      <c r="BH774" s="405">
        <v>9</v>
      </c>
      <c r="BI774" s="405"/>
      <c r="BJ774" s="405"/>
      <c r="BK774" s="405"/>
      <c r="BL774" s="446" t="s">
        <v>6981</v>
      </c>
      <c r="BM774" s="403"/>
      <c r="BN774" s="404"/>
      <c r="BO774" s="404"/>
      <c r="BP774" s="408"/>
      <c r="BQ774" s="409"/>
      <c r="BR774" s="410"/>
      <c r="BS774" s="408">
        <v>2.75</v>
      </c>
      <c r="BT774" s="405">
        <v>9630</v>
      </c>
      <c r="BU774" s="418">
        <v>0.47649999999999998</v>
      </c>
      <c r="BV774" s="408"/>
      <c r="BW774" s="404" t="s">
        <v>3117</v>
      </c>
      <c r="BX774" s="403" t="s">
        <v>3202</v>
      </c>
      <c r="BY774" s="404"/>
      <c r="BZ774" s="404"/>
      <c r="CA774" s="443"/>
      <c r="CB774" s="409"/>
      <c r="CC774" s="407"/>
      <c r="CD774" s="407"/>
      <c r="CE774" s="407"/>
      <c r="CF774" s="407"/>
      <c r="CG774" s="407"/>
      <c r="CH774" s="407"/>
      <c r="CI774" s="407"/>
      <c r="CJ774" s="407">
        <v>4.76</v>
      </c>
      <c r="CK774" s="407">
        <v>4.76</v>
      </c>
      <c r="CL774" s="407">
        <v>4.76</v>
      </c>
      <c r="CM774" s="407">
        <v>4.76</v>
      </c>
      <c r="CN774" s="407">
        <v>4.76</v>
      </c>
      <c r="CO774" s="407">
        <v>4.76</v>
      </c>
      <c r="CP774" s="407">
        <v>4.76</v>
      </c>
      <c r="CQ774" s="407"/>
      <c r="CR774" s="407"/>
      <c r="CS774" s="407"/>
      <c r="CT774" s="407"/>
      <c r="CU774" s="407"/>
      <c r="CV774" s="407"/>
      <c r="CW774" s="407"/>
      <c r="CX774" s="407"/>
      <c r="CY774" s="407"/>
      <c r="CZ774" s="407"/>
      <c r="DA774" s="407"/>
      <c r="DB774" s="407"/>
      <c r="DC774" s="407"/>
      <c r="DD774" s="407"/>
      <c r="DE774" s="404"/>
      <c r="DF774" s="404"/>
      <c r="DG774" s="404"/>
      <c r="DH774" s="404"/>
      <c r="DI774" s="404"/>
      <c r="DJ774" s="404"/>
      <c r="DK774" s="897"/>
    </row>
    <row r="775" spans="1:126" ht="51" x14ac:dyDescent="0.2">
      <c r="A775" s="295">
        <v>771</v>
      </c>
      <c r="B775" s="390" t="s">
        <v>1116</v>
      </c>
      <c r="C775" s="424" t="s">
        <v>7560</v>
      </c>
      <c r="D775" s="391"/>
      <c r="E775" s="706" t="s">
        <v>1114</v>
      </c>
      <c r="F775" s="390" t="s">
        <v>1352</v>
      </c>
      <c r="G775" s="390" t="s">
        <v>1672</v>
      </c>
      <c r="H775" s="390" t="s">
        <v>78</v>
      </c>
      <c r="I775" s="402"/>
      <c r="J775" s="402" t="s">
        <v>78</v>
      </c>
      <c r="K775" s="402"/>
      <c r="L775" s="402" t="s">
        <v>1117</v>
      </c>
      <c r="M775" s="402" t="s">
        <v>3197</v>
      </c>
      <c r="N775" s="390" t="s">
        <v>33</v>
      </c>
      <c r="O775" s="390" t="s">
        <v>69</v>
      </c>
      <c r="P775" s="390" t="s">
        <v>69</v>
      </c>
      <c r="Q775" s="402" t="s">
        <v>1111</v>
      </c>
      <c r="R775" s="402"/>
      <c r="S775" s="402" t="s">
        <v>691</v>
      </c>
      <c r="T775" s="411">
        <v>1</v>
      </c>
      <c r="U775" s="412">
        <v>51.875</v>
      </c>
      <c r="V775" s="412"/>
      <c r="W775" s="457">
        <v>40821</v>
      </c>
      <c r="X775" s="411">
        <v>28</v>
      </c>
      <c r="Y775" s="411"/>
      <c r="Z775" s="411"/>
      <c r="AA775" s="412"/>
      <c r="AB775" s="454"/>
      <c r="AC775" s="413">
        <v>38.958125000000003</v>
      </c>
      <c r="AD775" s="413">
        <v>518.75</v>
      </c>
      <c r="AE775" s="390" t="s">
        <v>72</v>
      </c>
      <c r="AF775" s="419"/>
      <c r="AG775" s="419"/>
      <c r="AH775" s="419">
        <v>0</v>
      </c>
      <c r="AI775" s="411"/>
      <c r="AJ775" s="454"/>
      <c r="AK775" s="454"/>
      <c r="AL775" s="390"/>
      <c r="AM775" s="390"/>
      <c r="AN775" s="419"/>
      <c r="AO775" s="402"/>
      <c r="AP775" s="402" t="s">
        <v>7061</v>
      </c>
      <c r="AQ775" s="402"/>
      <c r="AR775" s="402" t="s">
        <v>254</v>
      </c>
      <c r="AS775" s="481">
        <v>40821</v>
      </c>
      <c r="AT775" s="454"/>
      <c r="AU775" s="454"/>
      <c r="AV775" s="454"/>
      <c r="AW775" s="454"/>
      <c r="AX775" s="454"/>
      <c r="AY775" s="454"/>
      <c r="AZ775" s="454"/>
      <c r="BA775" s="390"/>
      <c r="BB775" s="390" t="s">
        <v>3147</v>
      </c>
      <c r="BC775" s="390" t="b">
        <v>0</v>
      </c>
      <c r="BD775" s="390" t="s">
        <v>3147</v>
      </c>
      <c r="BE775" s="402"/>
      <c r="BF775" s="411">
        <v>3</v>
      </c>
      <c r="BG775" s="411">
        <v>6</v>
      </c>
      <c r="BH775" s="411">
        <v>1</v>
      </c>
      <c r="BI775" s="411">
        <v>5</v>
      </c>
      <c r="BJ775" s="411">
        <v>9</v>
      </c>
      <c r="BK775" s="411">
        <v>7</v>
      </c>
      <c r="BL775" s="445"/>
      <c r="BM775" s="402"/>
      <c r="BN775" s="390"/>
      <c r="BO775" s="390"/>
      <c r="BP775" s="414"/>
      <c r="BQ775" s="415"/>
      <c r="BR775" s="416"/>
      <c r="BS775" s="414">
        <v>1</v>
      </c>
      <c r="BT775" s="411"/>
      <c r="BU775" s="419"/>
      <c r="BV775" s="414"/>
      <c r="BW775" s="390"/>
      <c r="BX775" s="402"/>
      <c r="BY775" s="390"/>
      <c r="BZ775" s="390"/>
      <c r="CA775" s="442"/>
      <c r="CB775" s="415"/>
      <c r="CC775" s="413"/>
      <c r="CD775" s="413"/>
      <c r="CE775" s="413"/>
      <c r="CF775" s="413"/>
      <c r="CG775" s="413"/>
      <c r="CH775" s="413"/>
      <c r="CI775" s="413"/>
      <c r="CJ775" s="413"/>
      <c r="CK775" s="413"/>
      <c r="CL775" s="413"/>
      <c r="CM775" s="413"/>
      <c r="CN775" s="413"/>
      <c r="CO775" s="413"/>
      <c r="CP775" s="413"/>
      <c r="CQ775" s="413"/>
      <c r="CR775" s="413"/>
      <c r="CS775" s="413"/>
      <c r="CT775" s="413"/>
      <c r="CU775" s="413"/>
      <c r="CV775" s="413"/>
      <c r="CW775" s="413"/>
      <c r="CX775" s="413"/>
      <c r="CY775" s="413"/>
      <c r="CZ775" s="413"/>
      <c r="DA775" s="413"/>
      <c r="DB775" s="413"/>
      <c r="DC775" s="413"/>
      <c r="DD775" s="413"/>
      <c r="DE775" s="390"/>
      <c r="DF775" s="390"/>
      <c r="DG775" s="390"/>
      <c r="DH775" s="390"/>
      <c r="DI775" s="390"/>
      <c r="DJ775" s="390"/>
      <c r="DK775" s="897"/>
    </row>
    <row r="776" spans="1:126" ht="38.25" x14ac:dyDescent="0.2">
      <c r="A776" s="295">
        <v>772</v>
      </c>
      <c r="B776" s="390" t="s">
        <v>2732</v>
      </c>
      <c r="C776" s="390"/>
      <c r="D776" s="391"/>
      <c r="E776" s="706" t="s">
        <v>1118</v>
      </c>
      <c r="F776" s="390" t="s">
        <v>1352</v>
      </c>
      <c r="G776" s="390" t="s">
        <v>1672</v>
      </c>
      <c r="H776" s="390" t="s">
        <v>78</v>
      </c>
      <c r="I776" s="402"/>
      <c r="J776" s="402"/>
      <c r="K776" s="402" t="s">
        <v>2131</v>
      </c>
      <c r="L776" s="402" t="s">
        <v>1117</v>
      </c>
      <c r="M776" s="402"/>
      <c r="N776" s="390" t="s">
        <v>33</v>
      </c>
      <c r="O776" s="390" t="s">
        <v>69</v>
      </c>
      <c r="P776" s="390" t="s">
        <v>69</v>
      </c>
      <c r="Q776" s="402" t="s">
        <v>1111</v>
      </c>
      <c r="R776" s="402" t="s">
        <v>3244</v>
      </c>
      <c r="S776" s="402" t="s">
        <v>1119</v>
      </c>
      <c r="T776" s="411">
        <v>1</v>
      </c>
      <c r="U776" s="412">
        <v>51.875</v>
      </c>
      <c r="V776" s="412"/>
      <c r="W776" s="454"/>
      <c r="X776" s="411"/>
      <c r="Y776" s="411">
        <v>10</v>
      </c>
      <c r="Z776" s="411">
        <v>25</v>
      </c>
      <c r="AA776" s="412">
        <v>0</v>
      </c>
      <c r="AB776" s="457">
        <v>41000</v>
      </c>
      <c r="AC776" s="413">
        <v>38.958125000000003</v>
      </c>
      <c r="AD776" s="413">
        <v>518.75</v>
      </c>
      <c r="AE776" s="390" t="s">
        <v>72</v>
      </c>
      <c r="AF776" s="419"/>
      <c r="AG776" s="419"/>
      <c r="AH776" s="419"/>
      <c r="AI776" s="411"/>
      <c r="AJ776" s="454"/>
      <c r="AK776" s="454"/>
      <c r="AL776" s="390"/>
      <c r="AM776" s="390"/>
      <c r="AN776" s="419"/>
      <c r="AO776" s="402"/>
      <c r="AP776" s="402" t="s">
        <v>7061</v>
      </c>
      <c r="AQ776" s="402"/>
      <c r="AR776" s="402" t="s">
        <v>254</v>
      </c>
      <c r="AS776" s="481">
        <v>40821</v>
      </c>
      <c r="AT776" s="454"/>
      <c r="AU776" s="454"/>
      <c r="AV776" s="454"/>
      <c r="AW776" s="454"/>
      <c r="AX776" s="454"/>
      <c r="AY776" s="454"/>
      <c r="AZ776" s="454"/>
      <c r="BA776" s="390"/>
      <c r="BB776" s="390"/>
      <c r="BC776" s="390" t="b">
        <v>0</v>
      </c>
      <c r="BD776" s="390"/>
      <c r="BE776" s="402"/>
      <c r="BF776" s="411">
        <v>3</v>
      </c>
      <c r="BG776" s="411">
        <v>6</v>
      </c>
      <c r="BH776" s="411">
        <v>1</v>
      </c>
      <c r="BI776" s="411">
        <v>5</v>
      </c>
      <c r="BJ776" s="411">
        <v>9</v>
      </c>
      <c r="BK776" s="411">
        <v>7</v>
      </c>
      <c r="BL776" s="445" t="s">
        <v>6982</v>
      </c>
      <c r="BM776" s="402"/>
      <c r="BN776" s="390"/>
      <c r="BO776" s="390"/>
      <c r="BP776" s="414"/>
      <c r="BQ776" s="415"/>
      <c r="BR776" s="416"/>
      <c r="BS776" s="414">
        <v>1</v>
      </c>
      <c r="BT776" s="411">
        <v>5209</v>
      </c>
      <c r="BU776" s="419">
        <v>0.74299999999999999</v>
      </c>
      <c r="BV776" s="414"/>
      <c r="BW776" s="390" t="s">
        <v>3117</v>
      </c>
      <c r="BX776" s="402" t="s">
        <v>3199</v>
      </c>
      <c r="BY776" s="390"/>
      <c r="BZ776" s="390"/>
      <c r="CA776" s="442" t="s">
        <v>1662</v>
      </c>
      <c r="CB776" s="415">
        <v>3</v>
      </c>
      <c r="CC776" s="413"/>
      <c r="CD776" s="413"/>
      <c r="CE776" s="413"/>
      <c r="CF776" s="413"/>
      <c r="CG776" s="413"/>
      <c r="CH776" s="413">
        <v>48.392000000000003</v>
      </c>
      <c r="CI776" s="413">
        <v>52.262</v>
      </c>
      <c r="CJ776" s="413">
        <v>52.262</v>
      </c>
      <c r="CK776" s="413">
        <v>52.262</v>
      </c>
      <c r="CL776" s="413">
        <v>52.262</v>
      </c>
      <c r="CM776" s="413">
        <v>52.262</v>
      </c>
      <c r="CN776" s="413">
        <v>52.262</v>
      </c>
      <c r="CO776" s="413">
        <v>52.262</v>
      </c>
      <c r="CP776" s="413">
        <v>52.262</v>
      </c>
      <c r="CQ776" s="413">
        <v>52.262</v>
      </c>
      <c r="CR776" s="413"/>
      <c r="CS776" s="413"/>
      <c r="CT776" s="413"/>
      <c r="CU776" s="413"/>
      <c r="CV776" s="413"/>
      <c r="CW776" s="413"/>
      <c r="CX776" s="413"/>
      <c r="CY776" s="413"/>
      <c r="CZ776" s="413"/>
      <c r="DA776" s="413"/>
      <c r="DB776" s="413"/>
      <c r="DC776" s="413"/>
      <c r="DD776" s="413"/>
      <c r="DE776" s="390"/>
      <c r="DF776" s="390"/>
      <c r="DG776" s="390"/>
      <c r="DH776" s="390"/>
      <c r="DI776" s="390"/>
      <c r="DJ776" s="390"/>
      <c r="DK776" s="897"/>
    </row>
    <row r="777" spans="1:126" ht="51" x14ac:dyDescent="0.2">
      <c r="A777" s="295">
        <v>773</v>
      </c>
      <c r="B777" s="390" t="s">
        <v>1043</v>
      </c>
      <c r="C777" s="424" t="s">
        <v>7561</v>
      </c>
      <c r="D777" s="391" t="s">
        <v>7149</v>
      </c>
      <c r="E777" s="705" t="s">
        <v>1044</v>
      </c>
      <c r="F777" s="393" t="s">
        <v>1352</v>
      </c>
      <c r="G777" s="393" t="s">
        <v>1673</v>
      </c>
      <c r="H777" s="393" t="s">
        <v>228</v>
      </c>
      <c r="I777" s="392"/>
      <c r="J777" s="392" t="s">
        <v>228</v>
      </c>
      <c r="K777" s="392"/>
      <c r="L777" s="392" t="s">
        <v>3780</v>
      </c>
      <c r="M777" s="392" t="s">
        <v>3245</v>
      </c>
      <c r="N777" s="393" t="s">
        <v>44</v>
      </c>
      <c r="O777" s="393" t="s">
        <v>51</v>
      </c>
      <c r="P777" s="393" t="s">
        <v>51</v>
      </c>
      <c r="Q777" s="392" t="s">
        <v>976</v>
      </c>
      <c r="R777" s="392"/>
      <c r="S777" s="392" t="s">
        <v>977</v>
      </c>
      <c r="T777" s="394">
        <v>15</v>
      </c>
      <c r="U777" s="395">
        <v>506.5499999999999</v>
      </c>
      <c r="V777" s="395"/>
      <c r="W777" s="452">
        <v>40821</v>
      </c>
      <c r="X777" s="394">
        <v>28</v>
      </c>
      <c r="Y777" s="394"/>
      <c r="Z777" s="394"/>
      <c r="AA777" s="395"/>
      <c r="AB777" s="453"/>
      <c r="AC777" s="398">
        <v>1426.3862139999997</v>
      </c>
      <c r="AD777" s="398">
        <v>1399.7433698630139</v>
      </c>
      <c r="AE777" s="393" t="s">
        <v>37</v>
      </c>
      <c r="AF777" s="417"/>
      <c r="AG777" s="417"/>
      <c r="AH777" s="417">
        <v>0</v>
      </c>
      <c r="AI777" s="394"/>
      <c r="AJ777" s="453"/>
      <c r="AK777" s="453"/>
      <c r="AL777" s="393"/>
      <c r="AM777" s="393"/>
      <c r="AN777" s="417"/>
      <c r="AO777" s="392"/>
      <c r="AP777" s="428" t="s">
        <v>7071</v>
      </c>
      <c r="AQ777" s="392"/>
      <c r="AR777" s="392" t="s">
        <v>3780</v>
      </c>
      <c r="AS777" s="479">
        <v>40821</v>
      </c>
      <c r="AT777" s="453"/>
      <c r="AU777" s="453"/>
      <c r="AV777" s="453">
        <v>41283</v>
      </c>
      <c r="AW777" s="453">
        <v>42090</v>
      </c>
      <c r="AX777" s="453"/>
      <c r="AY777" s="453">
        <v>42090</v>
      </c>
      <c r="AZ777" s="453"/>
      <c r="BA777" s="393"/>
      <c r="BB777" s="393" t="s">
        <v>3116</v>
      </c>
      <c r="BC777" s="393" t="b">
        <v>0</v>
      </c>
      <c r="BD777" s="393" t="s">
        <v>3116</v>
      </c>
      <c r="BE777" s="392"/>
      <c r="BF777" s="394">
        <v>6</v>
      </c>
      <c r="BG777" s="394">
        <v>4</v>
      </c>
      <c r="BH777" s="394">
        <v>8</v>
      </c>
      <c r="BI777" s="394">
        <v>3</v>
      </c>
      <c r="BJ777" s="394">
        <v>5</v>
      </c>
      <c r="BK777" s="394">
        <v>9</v>
      </c>
      <c r="BL777" s="444"/>
      <c r="BM777" s="392"/>
      <c r="BN777" s="393"/>
      <c r="BO777" s="393"/>
      <c r="BP777" s="399"/>
      <c r="BQ777" s="400"/>
      <c r="BR777" s="401"/>
      <c r="BS777" s="399">
        <v>0</v>
      </c>
      <c r="BT777" s="394"/>
      <c r="BU777" s="417"/>
      <c r="BV777" s="399"/>
      <c r="BW777" s="393"/>
      <c r="BX777" s="392"/>
      <c r="BY777" s="475" t="s">
        <v>7227</v>
      </c>
      <c r="BZ777" s="475"/>
      <c r="CA777" s="441"/>
      <c r="CB777" s="400"/>
      <c r="CC777" s="398"/>
      <c r="CD777" s="398"/>
      <c r="CE777" s="398"/>
      <c r="CF777" s="398"/>
      <c r="CG777" s="398"/>
      <c r="CH777" s="398"/>
      <c r="CI777" s="398"/>
      <c r="CJ777" s="398"/>
      <c r="CK777" s="398"/>
      <c r="CL777" s="398"/>
      <c r="CM777" s="398"/>
      <c r="CN777" s="398"/>
      <c r="CO777" s="398"/>
      <c r="CP777" s="398"/>
      <c r="CQ777" s="398"/>
      <c r="CR777" s="398"/>
      <c r="CS777" s="398"/>
      <c r="CT777" s="398"/>
      <c r="CU777" s="398"/>
      <c r="CV777" s="398"/>
      <c r="CW777" s="398"/>
      <c r="CX777" s="398"/>
      <c r="CY777" s="398"/>
      <c r="CZ777" s="398"/>
      <c r="DA777" s="398"/>
      <c r="DB777" s="398"/>
      <c r="DC777" s="398"/>
      <c r="DD777" s="398"/>
      <c r="DE777" s="393"/>
      <c r="DF777" s="393"/>
      <c r="DG777" s="393"/>
      <c r="DH777" s="393"/>
      <c r="DI777" s="393"/>
      <c r="DJ777" s="393"/>
      <c r="DK777" s="896" t="s">
        <v>9703</v>
      </c>
    </row>
    <row r="778" spans="1:126" ht="25.5" x14ac:dyDescent="0.2">
      <c r="A778" s="295">
        <v>774</v>
      </c>
      <c r="B778" s="390" t="s">
        <v>2733</v>
      </c>
      <c r="C778" s="390"/>
      <c r="D778" s="391" t="s">
        <v>7150</v>
      </c>
      <c r="E778" s="704" t="s">
        <v>1045</v>
      </c>
      <c r="F778" s="393" t="s">
        <v>1352</v>
      </c>
      <c r="G778" s="393" t="s">
        <v>1673</v>
      </c>
      <c r="H778" s="393" t="s">
        <v>228</v>
      </c>
      <c r="I778" s="392"/>
      <c r="J778" s="392"/>
      <c r="K778" s="392" t="s">
        <v>228</v>
      </c>
      <c r="L778" s="392" t="s">
        <v>3780</v>
      </c>
      <c r="M778" s="392"/>
      <c r="N778" s="393" t="s">
        <v>44</v>
      </c>
      <c r="O778" s="393" t="s">
        <v>51</v>
      </c>
      <c r="P778" s="393" t="s">
        <v>51</v>
      </c>
      <c r="Q778" s="392" t="s">
        <v>976</v>
      </c>
      <c r="R778" s="392" t="s">
        <v>3246</v>
      </c>
      <c r="S778" s="392" t="s">
        <v>977</v>
      </c>
      <c r="T778" s="394">
        <v>1</v>
      </c>
      <c r="U778" s="395">
        <v>33.770000000000003</v>
      </c>
      <c r="V778" s="395"/>
      <c r="W778" s="453"/>
      <c r="X778" s="394"/>
      <c r="Y778" s="394">
        <v>7</v>
      </c>
      <c r="Z778" s="394">
        <v>3</v>
      </c>
      <c r="AA778" s="395">
        <v>0</v>
      </c>
      <c r="AB778" s="452">
        <v>41000</v>
      </c>
      <c r="AC778" s="398">
        <v>8.0462140000000009</v>
      </c>
      <c r="AD778" s="398">
        <v>295.69567123287675</v>
      </c>
      <c r="AE778" s="393" t="s">
        <v>37</v>
      </c>
      <c r="AF778" s="417"/>
      <c r="AG778" s="417"/>
      <c r="AH778" s="417"/>
      <c r="AI778" s="394"/>
      <c r="AJ778" s="453"/>
      <c r="AK778" s="453"/>
      <c r="AL778" s="393"/>
      <c r="AM778" s="393"/>
      <c r="AN778" s="417"/>
      <c r="AO778" s="392"/>
      <c r="AP778" s="428" t="s">
        <v>7071</v>
      </c>
      <c r="AQ778" s="392"/>
      <c r="AR778" s="392" t="s">
        <v>3780</v>
      </c>
      <c r="AS778" s="479">
        <v>40821</v>
      </c>
      <c r="AT778" s="453"/>
      <c r="AU778" s="453"/>
      <c r="AV778" s="453"/>
      <c r="AW778" s="453"/>
      <c r="AX778" s="453"/>
      <c r="AY778" s="453"/>
      <c r="AZ778" s="453">
        <v>42090</v>
      </c>
      <c r="BA778" s="393"/>
      <c r="BB778" s="393"/>
      <c r="BC778" s="393" t="b">
        <v>0</v>
      </c>
      <c r="BD778" s="393"/>
      <c r="BE778" s="392"/>
      <c r="BF778" s="394">
        <v>6</v>
      </c>
      <c r="BG778" s="394">
        <v>4</v>
      </c>
      <c r="BH778" s="394">
        <v>8</v>
      </c>
      <c r="BI778" s="394">
        <v>3</v>
      </c>
      <c r="BJ778" s="394">
        <v>5</v>
      </c>
      <c r="BK778" s="394">
        <v>9</v>
      </c>
      <c r="BL778" s="444" t="s">
        <v>6981</v>
      </c>
      <c r="BM778" s="392"/>
      <c r="BN778" s="393"/>
      <c r="BO778" s="393"/>
      <c r="BP778" s="399"/>
      <c r="BQ778" s="400"/>
      <c r="BR778" s="401"/>
      <c r="BS778" s="399"/>
      <c r="BT778" s="394"/>
      <c r="BU778" s="417"/>
      <c r="BV778" s="399">
        <v>20</v>
      </c>
      <c r="BW778" s="393" t="s">
        <v>3165</v>
      </c>
      <c r="BX778" s="392" t="s">
        <v>1520</v>
      </c>
      <c r="BY778" s="475" t="s">
        <v>7227</v>
      </c>
      <c r="BZ778" s="475"/>
      <c r="CA778" s="441"/>
      <c r="CB778" s="400"/>
      <c r="CC778" s="398"/>
      <c r="CD778" s="398"/>
      <c r="CE778" s="398"/>
      <c r="CF778" s="398"/>
      <c r="CG778" s="398"/>
      <c r="CH778" s="398">
        <v>7.1429999999999998</v>
      </c>
      <c r="CI778" s="398">
        <v>10.714</v>
      </c>
      <c r="CJ778" s="398">
        <v>10.714</v>
      </c>
      <c r="CK778" s="398">
        <v>10.714</v>
      </c>
      <c r="CL778" s="398">
        <v>10.714</v>
      </c>
      <c r="CM778" s="398">
        <v>10.714</v>
      </c>
      <c r="CN778" s="398">
        <v>10.714</v>
      </c>
      <c r="CO778" s="398">
        <v>3.5710000000000002</v>
      </c>
      <c r="CP778" s="398"/>
      <c r="CQ778" s="398"/>
      <c r="CR778" s="398"/>
      <c r="CS778" s="398"/>
      <c r="CT778" s="398"/>
      <c r="CU778" s="398"/>
      <c r="CV778" s="398"/>
      <c r="CW778" s="398"/>
      <c r="CX778" s="398"/>
      <c r="CY778" s="398"/>
      <c r="CZ778" s="398"/>
      <c r="DA778" s="398"/>
      <c r="DB778" s="398"/>
      <c r="DC778" s="398"/>
      <c r="DD778" s="398"/>
      <c r="DE778" s="393"/>
      <c r="DF778" s="393"/>
      <c r="DG778" s="393"/>
      <c r="DH778" s="393"/>
      <c r="DI778" s="393"/>
      <c r="DJ778" s="393"/>
      <c r="DK778" s="897"/>
    </row>
    <row r="779" spans="1:126" ht="25.5" x14ac:dyDescent="0.2">
      <c r="A779" s="295">
        <v>775</v>
      </c>
      <c r="B779" s="390" t="s">
        <v>9685</v>
      </c>
      <c r="C779" s="577"/>
      <c r="D779" s="842" t="s">
        <v>9686</v>
      </c>
      <c r="E779" s="709" t="s">
        <v>9683</v>
      </c>
      <c r="F779" s="561" t="s">
        <v>1352</v>
      </c>
      <c r="G779" s="561" t="s">
        <v>1673</v>
      </c>
      <c r="H779" s="561" t="s">
        <v>228</v>
      </c>
      <c r="I779" s="563"/>
      <c r="J779" s="563"/>
      <c r="K779" s="563" t="s">
        <v>228</v>
      </c>
      <c r="L779" s="560" t="s">
        <v>3780</v>
      </c>
      <c r="M779" s="563"/>
      <c r="N779" s="562" t="s">
        <v>44</v>
      </c>
      <c r="O779" s="561" t="s">
        <v>51</v>
      </c>
      <c r="P779" s="561" t="s">
        <v>51</v>
      </c>
      <c r="Q779" s="563" t="s">
        <v>976</v>
      </c>
      <c r="R779" s="560" t="s">
        <v>9684</v>
      </c>
      <c r="S779" s="560" t="s">
        <v>977</v>
      </c>
      <c r="T779" s="564">
        <v>1</v>
      </c>
      <c r="U779" s="565">
        <v>33.770000000000003</v>
      </c>
      <c r="V779" s="565"/>
      <c r="W779" s="566"/>
      <c r="X779" s="564"/>
      <c r="Y779" s="564">
        <v>7</v>
      </c>
      <c r="Z779" s="564">
        <v>3</v>
      </c>
      <c r="AA779" s="565">
        <v>0</v>
      </c>
      <c r="AB779" s="567">
        <v>43326</v>
      </c>
      <c r="AC779" s="568">
        <f>3*33.77</f>
        <v>101.31</v>
      </c>
      <c r="AD779" s="568">
        <v>80.492876712328766</v>
      </c>
      <c r="AE779" s="562" t="s">
        <v>37</v>
      </c>
      <c r="AF779" s="569"/>
      <c r="AG779" s="569"/>
      <c r="AH779" s="569"/>
      <c r="AI779" s="564"/>
      <c r="AJ779" s="566"/>
      <c r="AK779" s="566"/>
      <c r="AL779" s="561"/>
      <c r="AM779" s="561"/>
      <c r="AN779" s="569"/>
      <c r="AO779" s="563"/>
      <c r="AP779" s="560" t="s">
        <v>7071</v>
      </c>
      <c r="AQ779" s="563"/>
      <c r="AR779" s="560" t="s">
        <v>3780</v>
      </c>
      <c r="AS779" s="578">
        <v>40821</v>
      </c>
      <c r="AT779" s="566"/>
      <c r="AU779" s="566"/>
      <c r="AV779" s="566"/>
      <c r="AW779" s="566"/>
      <c r="AX779" s="566"/>
      <c r="AY779" s="566"/>
      <c r="AZ779" s="566">
        <v>43326</v>
      </c>
      <c r="BA779" s="561"/>
      <c r="BB779" s="561"/>
      <c r="BC779" s="561" t="b">
        <v>0</v>
      </c>
      <c r="BD779" s="561"/>
      <c r="BE779" s="563"/>
      <c r="BF779" s="564">
        <v>6</v>
      </c>
      <c r="BG779" s="564">
        <v>4</v>
      </c>
      <c r="BH779" s="564">
        <v>8</v>
      </c>
      <c r="BI779" s="564">
        <v>3</v>
      </c>
      <c r="BJ779" s="564">
        <v>5</v>
      </c>
      <c r="BK779" s="564">
        <v>9</v>
      </c>
      <c r="BL779" s="873" t="s">
        <v>6981</v>
      </c>
      <c r="BM779" s="563"/>
      <c r="BN779" s="561"/>
      <c r="BO779" s="561"/>
      <c r="BP779" s="571"/>
      <c r="BQ779" s="572"/>
      <c r="BR779" s="573"/>
      <c r="BS779" s="571"/>
      <c r="BT779" s="564"/>
      <c r="BU779" s="569"/>
      <c r="BV779" s="571">
        <v>8.0500000000000007</v>
      </c>
      <c r="BW779" s="561"/>
      <c r="BX779" s="560" t="s">
        <v>1520</v>
      </c>
      <c r="BY779" s="562" t="s">
        <v>7227</v>
      </c>
      <c r="BZ779" s="562"/>
      <c r="CA779" s="574"/>
      <c r="CB779" s="572"/>
      <c r="CC779" s="568"/>
      <c r="CD779" s="568"/>
      <c r="CE779" s="568"/>
      <c r="CF779" s="568"/>
      <c r="CG779" s="568"/>
      <c r="CH779" s="568"/>
      <c r="CI779" s="568"/>
      <c r="CJ779" s="568"/>
      <c r="CK779" s="568"/>
      <c r="CL779" s="568"/>
      <c r="CM779" s="568"/>
      <c r="CN779" s="568">
        <v>33.770000000000003</v>
      </c>
      <c r="CO779" s="568">
        <v>33.770000000000003</v>
      </c>
      <c r="CP779" s="568">
        <v>33.770000000000003</v>
      </c>
      <c r="CQ779" s="568">
        <v>33.770000000000003</v>
      </c>
      <c r="CR779" s="568">
        <v>33.770000000000003</v>
      </c>
      <c r="CS779" s="568">
        <v>33.770000000000003</v>
      </c>
      <c r="CT779" s="568">
        <v>33.770000000000003</v>
      </c>
      <c r="CU779" s="568"/>
      <c r="CV779" s="568"/>
      <c r="CW779" s="568"/>
      <c r="CX779" s="568"/>
      <c r="CY779" s="568"/>
      <c r="CZ779" s="568"/>
      <c r="DA779" s="568"/>
      <c r="DB779" s="568"/>
      <c r="DC779" s="568"/>
      <c r="DD779" s="568"/>
      <c r="DE779" s="561"/>
      <c r="DF779" s="561"/>
      <c r="DG779" s="561"/>
      <c r="DH779" s="561"/>
      <c r="DI779" s="561"/>
      <c r="DJ779" s="561"/>
      <c r="DK779" s="897"/>
      <c r="DL779" s="814"/>
      <c r="DM779" s="814"/>
      <c r="DN779" s="814"/>
      <c r="DO779" s="814"/>
      <c r="DP779" s="814"/>
      <c r="DQ779" s="814"/>
      <c r="DR779" s="814"/>
      <c r="DS779" s="814"/>
      <c r="DT779" s="814"/>
      <c r="DU779" s="814"/>
      <c r="DV779" s="814"/>
    </row>
    <row r="780" spans="1:126" ht="51" x14ac:dyDescent="0.2">
      <c r="A780" s="295">
        <v>776</v>
      </c>
      <c r="B780" s="390" t="s">
        <v>9780</v>
      </c>
      <c r="C780" s="577"/>
      <c r="D780" s="391" t="s">
        <v>9767</v>
      </c>
      <c r="E780" s="709" t="s">
        <v>9793</v>
      </c>
      <c r="F780" s="393" t="s">
        <v>1352</v>
      </c>
      <c r="G780" s="393" t="s">
        <v>1673</v>
      </c>
      <c r="H780" s="393" t="s">
        <v>228</v>
      </c>
      <c r="I780" s="563"/>
      <c r="J780" s="563"/>
      <c r="K780" s="392" t="s">
        <v>228</v>
      </c>
      <c r="L780" s="392" t="s">
        <v>3780</v>
      </c>
      <c r="M780" s="563"/>
      <c r="N780" s="562" t="s">
        <v>44</v>
      </c>
      <c r="O780" s="393" t="s">
        <v>51</v>
      </c>
      <c r="P780" s="393" t="s">
        <v>51</v>
      </c>
      <c r="Q780" s="392" t="s">
        <v>976</v>
      </c>
      <c r="R780" s="560" t="s">
        <v>9796</v>
      </c>
      <c r="S780" s="560" t="s">
        <v>977</v>
      </c>
      <c r="T780" s="564">
        <v>1</v>
      </c>
      <c r="U780" s="565">
        <v>33.770000000000003</v>
      </c>
      <c r="V780" s="565"/>
      <c r="W780" s="566"/>
      <c r="X780" s="564"/>
      <c r="Y780" s="564">
        <v>7</v>
      </c>
      <c r="Z780" s="394">
        <v>3</v>
      </c>
      <c r="AA780" s="565">
        <v>0</v>
      </c>
      <c r="AB780" s="567">
        <v>43345</v>
      </c>
      <c r="AC780" s="568">
        <f>3*33.77</f>
        <v>101.31</v>
      </c>
      <c r="AD780" s="568">
        <v>78.734986301369872</v>
      </c>
      <c r="AE780" s="562" t="s">
        <v>37</v>
      </c>
      <c r="AF780" s="569"/>
      <c r="AG780" s="569"/>
      <c r="AH780" s="569"/>
      <c r="AI780" s="564"/>
      <c r="AJ780" s="566"/>
      <c r="AK780" s="566"/>
      <c r="AL780" s="561"/>
      <c r="AM780" s="561"/>
      <c r="AN780" s="569"/>
      <c r="AO780" s="563"/>
      <c r="AP780" s="560" t="s">
        <v>7071</v>
      </c>
      <c r="AQ780" s="563"/>
      <c r="AR780" s="560" t="s">
        <v>3780</v>
      </c>
      <c r="AS780" s="578">
        <v>40821</v>
      </c>
      <c r="AT780" s="566"/>
      <c r="AU780" s="566"/>
      <c r="AV780" s="566"/>
      <c r="AW780" s="566"/>
      <c r="AX780" s="566"/>
      <c r="AY780" s="566"/>
      <c r="AZ780" s="566">
        <v>43345</v>
      </c>
      <c r="BA780" s="561"/>
      <c r="BB780" s="561"/>
      <c r="BC780" s="561" t="b">
        <v>0</v>
      </c>
      <c r="BD780" s="561"/>
      <c r="BE780" s="563"/>
      <c r="BF780" s="564">
        <v>6</v>
      </c>
      <c r="BG780" s="564">
        <v>4</v>
      </c>
      <c r="BH780" s="564">
        <v>8</v>
      </c>
      <c r="BI780" s="564">
        <v>3</v>
      </c>
      <c r="BJ780" s="564">
        <v>5</v>
      </c>
      <c r="BK780" s="564">
        <v>9</v>
      </c>
      <c r="BL780" s="873" t="s">
        <v>6981</v>
      </c>
      <c r="BM780" s="563"/>
      <c r="BN780" s="561"/>
      <c r="BO780" s="561"/>
      <c r="BP780" s="571"/>
      <c r="BQ780" s="572"/>
      <c r="BR780" s="573"/>
      <c r="BS780" s="571"/>
      <c r="BT780" s="564"/>
      <c r="BU780" s="569"/>
      <c r="BV780" s="571">
        <v>8.0500000000000007</v>
      </c>
      <c r="BW780" s="561"/>
      <c r="BX780" s="560" t="s">
        <v>1520</v>
      </c>
      <c r="BY780" s="562" t="s">
        <v>7227</v>
      </c>
      <c r="BZ780" s="562"/>
      <c r="CA780" s="574"/>
      <c r="CB780" s="572"/>
      <c r="CC780" s="568"/>
      <c r="CD780" s="568"/>
      <c r="CE780" s="568"/>
      <c r="CF780" s="568"/>
      <c r="CG780" s="568"/>
      <c r="CH780" s="568"/>
      <c r="CI780" s="568"/>
      <c r="CJ780" s="568"/>
      <c r="CK780" s="568"/>
      <c r="CL780" s="568"/>
      <c r="CM780" s="568"/>
      <c r="CN780" s="568">
        <v>33.770000000000003</v>
      </c>
      <c r="CO780" s="568">
        <v>33.770000000000003</v>
      </c>
      <c r="CP780" s="568">
        <v>33.770000000000003</v>
      </c>
      <c r="CQ780" s="568">
        <v>33.770000000000003</v>
      </c>
      <c r="CR780" s="568">
        <v>33.770000000000003</v>
      </c>
      <c r="CS780" s="568">
        <v>33.770000000000003</v>
      </c>
      <c r="CT780" s="568">
        <v>33.770000000000003</v>
      </c>
      <c r="CU780" s="568"/>
      <c r="CV780" s="568"/>
      <c r="CW780" s="568"/>
      <c r="CX780" s="568"/>
      <c r="CY780" s="568"/>
      <c r="CZ780" s="568"/>
      <c r="DA780" s="568"/>
      <c r="DB780" s="568"/>
      <c r="DC780" s="568"/>
      <c r="DD780" s="568"/>
      <c r="DE780" s="561"/>
      <c r="DF780" s="561"/>
      <c r="DG780" s="561"/>
      <c r="DH780" s="561"/>
      <c r="DI780" s="561"/>
      <c r="DJ780" s="561"/>
      <c r="DK780" s="897"/>
      <c r="DL780" s="814"/>
      <c r="DM780" s="814"/>
      <c r="DN780" s="814"/>
      <c r="DO780" s="814"/>
      <c r="DP780" s="814"/>
      <c r="DQ780" s="814"/>
      <c r="DR780" s="814"/>
      <c r="DS780" s="814"/>
      <c r="DT780" s="814"/>
      <c r="DU780" s="814"/>
      <c r="DV780" s="814"/>
    </row>
    <row r="781" spans="1:126" ht="51" x14ac:dyDescent="0.2">
      <c r="A781" s="295">
        <v>777</v>
      </c>
      <c r="B781" s="390" t="s">
        <v>9781</v>
      </c>
      <c r="C781" s="577"/>
      <c r="D781" s="842" t="s">
        <v>9768</v>
      </c>
      <c r="E781" s="709" t="s">
        <v>9794</v>
      </c>
      <c r="F781" s="561" t="s">
        <v>1352</v>
      </c>
      <c r="G781" s="561" t="s">
        <v>1673</v>
      </c>
      <c r="H781" s="561" t="s">
        <v>228</v>
      </c>
      <c r="I781" s="563"/>
      <c r="J781" s="563"/>
      <c r="K781" s="563" t="s">
        <v>228</v>
      </c>
      <c r="L781" s="560" t="s">
        <v>3780</v>
      </c>
      <c r="M781" s="563"/>
      <c r="N781" s="562" t="s">
        <v>44</v>
      </c>
      <c r="O781" s="561" t="s">
        <v>51</v>
      </c>
      <c r="P781" s="561" t="s">
        <v>51</v>
      </c>
      <c r="Q781" s="563" t="s">
        <v>976</v>
      </c>
      <c r="R781" s="560" t="s">
        <v>9796</v>
      </c>
      <c r="S781" s="560" t="s">
        <v>977</v>
      </c>
      <c r="T781" s="564">
        <v>1</v>
      </c>
      <c r="U781" s="565">
        <v>33.770000000000003</v>
      </c>
      <c r="V781" s="565"/>
      <c r="W781" s="566"/>
      <c r="X781" s="564"/>
      <c r="Y781" s="564">
        <v>7</v>
      </c>
      <c r="Z781" s="564">
        <v>3</v>
      </c>
      <c r="AA781" s="565">
        <v>0</v>
      </c>
      <c r="AB781" s="567">
        <v>43345</v>
      </c>
      <c r="AC781" s="568">
        <f>3*33.77</f>
        <v>101.31</v>
      </c>
      <c r="AD781" s="568">
        <v>78.734986301369872</v>
      </c>
      <c r="AE781" s="562" t="s">
        <v>37</v>
      </c>
      <c r="AF781" s="569"/>
      <c r="AG781" s="569"/>
      <c r="AH781" s="569"/>
      <c r="AI781" s="564"/>
      <c r="AJ781" s="566"/>
      <c r="AK781" s="566"/>
      <c r="AL781" s="561"/>
      <c r="AM781" s="561"/>
      <c r="AN781" s="569"/>
      <c r="AO781" s="563"/>
      <c r="AP781" s="560" t="s">
        <v>7071</v>
      </c>
      <c r="AQ781" s="563"/>
      <c r="AR781" s="560" t="s">
        <v>3780</v>
      </c>
      <c r="AS781" s="578">
        <v>40821</v>
      </c>
      <c r="AT781" s="566"/>
      <c r="AU781" s="566"/>
      <c r="AV781" s="566"/>
      <c r="AW781" s="566"/>
      <c r="AX781" s="566"/>
      <c r="AY781" s="566"/>
      <c r="AZ781" s="566">
        <v>43345</v>
      </c>
      <c r="BA781" s="561"/>
      <c r="BB781" s="561"/>
      <c r="BC781" s="561" t="b">
        <v>0</v>
      </c>
      <c r="BD781" s="561"/>
      <c r="BE781" s="563"/>
      <c r="BF781" s="564">
        <v>6</v>
      </c>
      <c r="BG781" s="564">
        <v>4</v>
      </c>
      <c r="BH781" s="564">
        <v>8</v>
      </c>
      <c r="BI781" s="564">
        <v>3</v>
      </c>
      <c r="BJ781" s="564">
        <v>5</v>
      </c>
      <c r="BK781" s="564">
        <v>9</v>
      </c>
      <c r="BL781" s="873" t="s">
        <v>6981</v>
      </c>
      <c r="BM781" s="563"/>
      <c r="BN781" s="561"/>
      <c r="BO781" s="561"/>
      <c r="BP781" s="571"/>
      <c r="BQ781" s="572"/>
      <c r="BR781" s="573"/>
      <c r="BS781" s="571"/>
      <c r="BT781" s="564"/>
      <c r="BU781" s="569"/>
      <c r="BV781" s="571">
        <v>8.0500000000000007</v>
      </c>
      <c r="BW781" s="561"/>
      <c r="BX781" s="560" t="s">
        <v>1520</v>
      </c>
      <c r="BY781" s="562" t="s">
        <v>7227</v>
      </c>
      <c r="BZ781" s="562"/>
      <c r="CA781" s="574"/>
      <c r="CB781" s="572"/>
      <c r="CC781" s="568"/>
      <c r="CD781" s="568"/>
      <c r="CE781" s="568"/>
      <c r="CF781" s="568"/>
      <c r="CG781" s="568"/>
      <c r="CH781" s="568"/>
      <c r="CI781" s="568"/>
      <c r="CJ781" s="568"/>
      <c r="CK781" s="568"/>
      <c r="CL781" s="568"/>
      <c r="CM781" s="568"/>
      <c r="CN781" s="568">
        <v>33.770000000000003</v>
      </c>
      <c r="CO781" s="568">
        <v>33.770000000000003</v>
      </c>
      <c r="CP781" s="568">
        <v>33.770000000000003</v>
      </c>
      <c r="CQ781" s="568">
        <v>33.770000000000003</v>
      </c>
      <c r="CR781" s="568">
        <v>33.770000000000003</v>
      </c>
      <c r="CS781" s="568">
        <v>33.770000000000003</v>
      </c>
      <c r="CT781" s="568">
        <v>33.770000000000003</v>
      </c>
      <c r="CU781" s="568"/>
      <c r="CV781" s="568"/>
      <c r="CW781" s="568"/>
      <c r="CX781" s="568"/>
      <c r="CY781" s="568"/>
      <c r="CZ781" s="568"/>
      <c r="DA781" s="568"/>
      <c r="DB781" s="568"/>
      <c r="DC781" s="568"/>
      <c r="DD781" s="568"/>
      <c r="DE781" s="561"/>
      <c r="DF781" s="561"/>
      <c r="DG781" s="561"/>
      <c r="DH781" s="561"/>
      <c r="DI781" s="561"/>
      <c r="DJ781" s="561"/>
      <c r="DK781" s="897"/>
      <c r="DL781" s="814"/>
      <c r="DM781" s="814"/>
      <c r="DN781" s="814"/>
      <c r="DO781" s="814"/>
      <c r="DP781" s="814"/>
      <c r="DQ781" s="814"/>
      <c r="DR781" s="814"/>
      <c r="DS781" s="814"/>
      <c r="DT781" s="814"/>
      <c r="DU781" s="814"/>
      <c r="DV781" s="814"/>
    </row>
    <row r="782" spans="1:126" ht="51" x14ac:dyDescent="0.2">
      <c r="A782" s="295">
        <v>778</v>
      </c>
      <c r="B782" s="390" t="s">
        <v>9782</v>
      </c>
      <c r="C782" s="577"/>
      <c r="D782" s="391" t="s">
        <v>9769</v>
      </c>
      <c r="E782" s="709" t="s">
        <v>9795</v>
      </c>
      <c r="F782" s="393" t="s">
        <v>1352</v>
      </c>
      <c r="G782" s="393" t="s">
        <v>1673</v>
      </c>
      <c r="H782" s="393" t="s">
        <v>228</v>
      </c>
      <c r="I782" s="563"/>
      <c r="J782" s="563"/>
      <c r="K782" s="392" t="s">
        <v>228</v>
      </c>
      <c r="L782" s="392" t="s">
        <v>3780</v>
      </c>
      <c r="M782" s="563"/>
      <c r="N782" s="562" t="s">
        <v>44</v>
      </c>
      <c r="O782" s="393" t="s">
        <v>51</v>
      </c>
      <c r="P782" s="393" t="s">
        <v>51</v>
      </c>
      <c r="Q782" s="392" t="s">
        <v>976</v>
      </c>
      <c r="R782" s="560" t="s">
        <v>9796</v>
      </c>
      <c r="S782" s="560" t="s">
        <v>977</v>
      </c>
      <c r="T782" s="564">
        <v>1</v>
      </c>
      <c r="U782" s="565">
        <v>33.770000000000003</v>
      </c>
      <c r="V782" s="565"/>
      <c r="W782" s="566"/>
      <c r="X782" s="564"/>
      <c r="Y782" s="564">
        <v>7</v>
      </c>
      <c r="Z782" s="394">
        <v>3</v>
      </c>
      <c r="AA782" s="565">
        <v>0</v>
      </c>
      <c r="AB782" s="567">
        <v>43345</v>
      </c>
      <c r="AC782" s="568">
        <f t="shared" ref="AC782:AC792" si="4">3*33.77</f>
        <v>101.31</v>
      </c>
      <c r="AD782" s="568">
        <v>78.734986301369872</v>
      </c>
      <c r="AE782" s="562" t="s">
        <v>37</v>
      </c>
      <c r="AF782" s="569"/>
      <c r="AG782" s="569"/>
      <c r="AH782" s="569"/>
      <c r="AI782" s="564"/>
      <c r="AJ782" s="566"/>
      <c r="AK782" s="566"/>
      <c r="AL782" s="561"/>
      <c r="AM782" s="561"/>
      <c r="AN782" s="569"/>
      <c r="AO782" s="563"/>
      <c r="AP782" s="560" t="s">
        <v>7071</v>
      </c>
      <c r="AQ782" s="563"/>
      <c r="AR782" s="560" t="s">
        <v>3780</v>
      </c>
      <c r="AS782" s="578">
        <v>40821</v>
      </c>
      <c r="AT782" s="566"/>
      <c r="AU782" s="566"/>
      <c r="AV782" s="566"/>
      <c r="AW782" s="566"/>
      <c r="AX782" s="566"/>
      <c r="AY782" s="566"/>
      <c r="AZ782" s="566">
        <v>43345</v>
      </c>
      <c r="BA782" s="561"/>
      <c r="BB782" s="561"/>
      <c r="BC782" s="561" t="b">
        <v>0</v>
      </c>
      <c r="BD782" s="561"/>
      <c r="BE782" s="563"/>
      <c r="BF782" s="564">
        <v>6</v>
      </c>
      <c r="BG782" s="564">
        <v>4</v>
      </c>
      <c r="BH782" s="564">
        <v>8</v>
      </c>
      <c r="BI782" s="564">
        <v>3</v>
      </c>
      <c r="BJ782" s="564">
        <v>5</v>
      </c>
      <c r="BK782" s="564">
        <v>9</v>
      </c>
      <c r="BL782" s="873" t="s">
        <v>6981</v>
      </c>
      <c r="BM782" s="563"/>
      <c r="BN782" s="561"/>
      <c r="BO782" s="561"/>
      <c r="BP782" s="571"/>
      <c r="BQ782" s="572"/>
      <c r="BR782" s="573"/>
      <c r="BS782" s="571"/>
      <c r="BT782" s="564"/>
      <c r="BU782" s="569"/>
      <c r="BV782" s="571">
        <v>8.0500000000000007</v>
      </c>
      <c r="BW782" s="561"/>
      <c r="BX782" s="560" t="s">
        <v>1520</v>
      </c>
      <c r="BY782" s="562" t="s">
        <v>7227</v>
      </c>
      <c r="BZ782" s="562"/>
      <c r="CA782" s="574"/>
      <c r="CB782" s="572"/>
      <c r="CC782" s="568"/>
      <c r="CD782" s="568"/>
      <c r="CE782" s="568"/>
      <c r="CF782" s="568"/>
      <c r="CG782" s="568"/>
      <c r="CH782" s="568"/>
      <c r="CI782" s="568"/>
      <c r="CJ782" s="568"/>
      <c r="CK782" s="568"/>
      <c r="CL782" s="568"/>
      <c r="CM782" s="568"/>
      <c r="CN782" s="568">
        <v>33.770000000000003</v>
      </c>
      <c r="CO782" s="568">
        <v>33.770000000000003</v>
      </c>
      <c r="CP782" s="568">
        <v>33.770000000000003</v>
      </c>
      <c r="CQ782" s="568">
        <v>33.770000000000003</v>
      </c>
      <c r="CR782" s="568">
        <v>33.770000000000003</v>
      </c>
      <c r="CS782" s="568">
        <v>33.770000000000003</v>
      </c>
      <c r="CT782" s="568">
        <v>33.770000000000003</v>
      </c>
      <c r="CU782" s="568"/>
      <c r="CV782" s="568"/>
      <c r="CW782" s="568"/>
      <c r="CX782" s="568"/>
      <c r="CY782" s="568"/>
      <c r="CZ782" s="568"/>
      <c r="DA782" s="568"/>
      <c r="DB782" s="568"/>
      <c r="DC782" s="568"/>
      <c r="DD782" s="568"/>
      <c r="DE782" s="561"/>
      <c r="DF782" s="561"/>
      <c r="DG782" s="561"/>
      <c r="DH782" s="561"/>
      <c r="DI782" s="561"/>
      <c r="DJ782" s="561"/>
      <c r="DK782" s="897"/>
      <c r="DL782" s="814"/>
      <c r="DM782" s="814"/>
      <c r="DN782" s="814"/>
      <c r="DO782" s="814"/>
      <c r="DP782" s="814"/>
      <c r="DQ782" s="814"/>
      <c r="DR782" s="814"/>
      <c r="DS782" s="814"/>
      <c r="DT782" s="814"/>
      <c r="DU782" s="814"/>
      <c r="DV782" s="814"/>
    </row>
    <row r="783" spans="1:126" ht="51" x14ac:dyDescent="0.2">
      <c r="A783" s="295">
        <v>779</v>
      </c>
      <c r="B783" s="390" t="s">
        <v>9783</v>
      </c>
      <c r="C783" s="577"/>
      <c r="D783" s="842" t="s">
        <v>9770</v>
      </c>
      <c r="E783" s="709" t="s">
        <v>9797</v>
      </c>
      <c r="F783" s="561" t="s">
        <v>1352</v>
      </c>
      <c r="G783" s="561" t="s">
        <v>1673</v>
      </c>
      <c r="H783" s="561" t="s">
        <v>228</v>
      </c>
      <c r="I783" s="563"/>
      <c r="J783" s="563"/>
      <c r="K783" s="563" t="s">
        <v>228</v>
      </c>
      <c r="L783" s="560" t="s">
        <v>3780</v>
      </c>
      <c r="M783" s="563"/>
      <c r="N783" s="562" t="s">
        <v>44</v>
      </c>
      <c r="O783" s="561" t="s">
        <v>51</v>
      </c>
      <c r="P783" s="561" t="s">
        <v>51</v>
      </c>
      <c r="Q783" s="563" t="s">
        <v>976</v>
      </c>
      <c r="R783" s="560" t="s">
        <v>9796</v>
      </c>
      <c r="S783" s="560" t="s">
        <v>977</v>
      </c>
      <c r="T783" s="564">
        <v>1</v>
      </c>
      <c r="U783" s="565">
        <v>33.770000000000003</v>
      </c>
      <c r="V783" s="565"/>
      <c r="W783" s="566"/>
      <c r="X783" s="564"/>
      <c r="Y783" s="564">
        <v>7</v>
      </c>
      <c r="Z783" s="564">
        <v>3</v>
      </c>
      <c r="AA783" s="565">
        <v>0</v>
      </c>
      <c r="AB783" s="567">
        <v>43345</v>
      </c>
      <c r="AC783" s="568">
        <f t="shared" si="4"/>
        <v>101.31</v>
      </c>
      <c r="AD783" s="568">
        <v>78.734986301369872</v>
      </c>
      <c r="AE783" s="562" t="s">
        <v>37</v>
      </c>
      <c r="AF783" s="569"/>
      <c r="AG783" s="569"/>
      <c r="AH783" s="569"/>
      <c r="AI783" s="564"/>
      <c r="AJ783" s="566"/>
      <c r="AK783" s="566"/>
      <c r="AL783" s="561"/>
      <c r="AM783" s="561"/>
      <c r="AN783" s="569"/>
      <c r="AO783" s="563"/>
      <c r="AP783" s="560" t="s">
        <v>7071</v>
      </c>
      <c r="AQ783" s="563"/>
      <c r="AR783" s="560" t="s">
        <v>3780</v>
      </c>
      <c r="AS783" s="578">
        <v>40821</v>
      </c>
      <c r="AT783" s="566"/>
      <c r="AU783" s="566"/>
      <c r="AV783" s="566"/>
      <c r="AW783" s="566"/>
      <c r="AX783" s="566"/>
      <c r="AY783" s="566"/>
      <c r="AZ783" s="566">
        <v>43345</v>
      </c>
      <c r="BA783" s="561"/>
      <c r="BB783" s="561"/>
      <c r="BC783" s="561" t="b">
        <v>0</v>
      </c>
      <c r="BD783" s="561"/>
      <c r="BE783" s="563"/>
      <c r="BF783" s="564">
        <v>6</v>
      </c>
      <c r="BG783" s="564">
        <v>4</v>
      </c>
      <c r="BH783" s="564">
        <v>8</v>
      </c>
      <c r="BI783" s="564">
        <v>3</v>
      </c>
      <c r="BJ783" s="564">
        <v>5</v>
      </c>
      <c r="BK783" s="564">
        <v>9</v>
      </c>
      <c r="BL783" s="873" t="s">
        <v>6981</v>
      </c>
      <c r="BM783" s="563"/>
      <c r="BN783" s="561"/>
      <c r="BO783" s="561"/>
      <c r="BP783" s="571"/>
      <c r="BQ783" s="572"/>
      <c r="BR783" s="573"/>
      <c r="BS783" s="571"/>
      <c r="BT783" s="564"/>
      <c r="BU783" s="569"/>
      <c r="BV783" s="571">
        <v>8.0500000000000007</v>
      </c>
      <c r="BW783" s="561"/>
      <c r="BX783" s="560" t="s">
        <v>1520</v>
      </c>
      <c r="BY783" s="562" t="s">
        <v>7227</v>
      </c>
      <c r="BZ783" s="562"/>
      <c r="CA783" s="574"/>
      <c r="CB783" s="572"/>
      <c r="CC783" s="568"/>
      <c r="CD783" s="568"/>
      <c r="CE783" s="568"/>
      <c r="CF783" s="568"/>
      <c r="CG783" s="568"/>
      <c r="CH783" s="568"/>
      <c r="CI783" s="568"/>
      <c r="CJ783" s="568"/>
      <c r="CK783" s="568"/>
      <c r="CL783" s="568"/>
      <c r="CM783" s="568"/>
      <c r="CN783" s="568">
        <v>33.770000000000003</v>
      </c>
      <c r="CO783" s="568">
        <v>33.770000000000003</v>
      </c>
      <c r="CP783" s="568">
        <v>33.770000000000003</v>
      </c>
      <c r="CQ783" s="568">
        <v>33.770000000000003</v>
      </c>
      <c r="CR783" s="568">
        <v>33.770000000000003</v>
      </c>
      <c r="CS783" s="568">
        <v>33.770000000000003</v>
      </c>
      <c r="CT783" s="568">
        <v>33.770000000000003</v>
      </c>
      <c r="CU783" s="568"/>
      <c r="CV783" s="568"/>
      <c r="CW783" s="568"/>
      <c r="CX783" s="568"/>
      <c r="CY783" s="568"/>
      <c r="CZ783" s="568"/>
      <c r="DA783" s="568"/>
      <c r="DB783" s="568"/>
      <c r="DC783" s="568"/>
      <c r="DD783" s="568"/>
      <c r="DE783" s="561"/>
      <c r="DF783" s="561"/>
      <c r="DG783" s="561"/>
      <c r="DH783" s="561"/>
      <c r="DI783" s="561"/>
      <c r="DJ783" s="561"/>
      <c r="DK783" s="897"/>
      <c r="DL783" s="814"/>
      <c r="DM783" s="814"/>
      <c r="DN783" s="814"/>
      <c r="DO783" s="814"/>
      <c r="DP783" s="814"/>
      <c r="DQ783" s="814"/>
      <c r="DR783" s="814"/>
      <c r="DS783" s="814"/>
      <c r="DT783" s="814"/>
      <c r="DU783" s="814"/>
      <c r="DV783" s="814"/>
    </row>
    <row r="784" spans="1:126" ht="51" x14ac:dyDescent="0.2">
      <c r="A784" s="295">
        <v>780</v>
      </c>
      <c r="B784" s="390" t="s">
        <v>9784</v>
      </c>
      <c r="C784" s="577"/>
      <c r="D784" s="391" t="s">
        <v>9771</v>
      </c>
      <c r="E784" s="709" t="s">
        <v>9798</v>
      </c>
      <c r="F784" s="393" t="s">
        <v>1352</v>
      </c>
      <c r="G784" s="393" t="s">
        <v>1673</v>
      </c>
      <c r="H784" s="393" t="s">
        <v>228</v>
      </c>
      <c r="I784" s="563"/>
      <c r="J784" s="563"/>
      <c r="K784" s="392" t="s">
        <v>228</v>
      </c>
      <c r="L784" s="392" t="s">
        <v>3780</v>
      </c>
      <c r="M784" s="563"/>
      <c r="N784" s="562" t="s">
        <v>44</v>
      </c>
      <c r="O784" s="393" t="s">
        <v>51</v>
      </c>
      <c r="P784" s="393" t="s">
        <v>51</v>
      </c>
      <c r="Q784" s="392" t="s">
        <v>976</v>
      </c>
      <c r="R784" s="560" t="s">
        <v>9796</v>
      </c>
      <c r="S784" s="560" t="s">
        <v>977</v>
      </c>
      <c r="T784" s="564">
        <v>1</v>
      </c>
      <c r="U784" s="565">
        <v>33.770000000000003</v>
      </c>
      <c r="V784" s="565"/>
      <c r="W784" s="566"/>
      <c r="X784" s="564"/>
      <c r="Y784" s="564">
        <v>7</v>
      </c>
      <c r="Z784" s="394">
        <v>3</v>
      </c>
      <c r="AA784" s="565">
        <v>0</v>
      </c>
      <c r="AB784" s="567">
        <v>43345</v>
      </c>
      <c r="AC784" s="568">
        <f t="shared" si="4"/>
        <v>101.31</v>
      </c>
      <c r="AD784" s="568">
        <v>78.734986301369872</v>
      </c>
      <c r="AE784" s="562" t="s">
        <v>37</v>
      </c>
      <c r="AF784" s="569"/>
      <c r="AG784" s="569"/>
      <c r="AH784" s="569"/>
      <c r="AI784" s="564"/>
      <c r="AJ784" s="566"/>
      <c r="AK784" s="566"/>
      <c r="AL784" s="561"/>
      <c r="AM784" s="561"/>
      <c r="AN784" s="569"/>
      <c r="AO784" s="563"/>
      <c r="AP784" s="560" t="s">
        <v>7071</v>
      </c>
      <c r="AQ784" s="563"/>
      <c r="AR784" s="560" t="s">
        <v>3780</v>
      </c>
      <c r="AS784" s="578">
        <v>40821</v>
      </c>
      <c r="AT784" s="566"/>
      <c r="AU784" s="566"/>
      <c r="AV784" s="566"/>
      <c r="AW784" s="566"/>
      <c r="AX784" s="566"/>
      <c r="AY784" s="566"/>
      <c r="AZ784" s="566">
        <v>43345</v>
      </c>
      <c r="BA784" s="561"/>
      <c r="BB784" s="561"/>
      <c r="BC784" s="561" t="b">
        <v>0</v>
      </c>
      <c r="BD784" s="561"/>
      <c r="BE784" s="563"/>
      <c r="BF784" s="564">
        <v>6</v>
      </c>
      <c r="BG784" s="564">
        <v>4</v>
      </c>
      <c r="BH784" s="564">
        <v>8</v>
      </c>
      <c r="BI784" s="564">
        <v>3</v>
      </c>
      <c r="BJ784" s="564">
        <v>5</v>
      </c>
      <c r="BK784" s="564">
        <v>9</v>
      </c>
      <c r="BL784" s="873" t="s">
        <v>6981</v>
      </c>
      <c r="BM784" s="563"/>
      <c r="BN784" s="561"/>
      <c r="BO784" s="561"/>
      <c r="BP784" s="571"/>
      <c r="BQ784" s="572"/>
      <c r="BR784" s="573"/>
      <c r="BS784" s="571"/>
      <c r="BT784" s="564"/>
      <c r="BU784" s="569"/>
      <c r="BV784" s="571">
        <v>8.0500000000000007</v>
      </c>
      <c r="BW784" s="561"/>
      <c r="BX784" s="560" t="s">
        <v>1520</v>
      </c>
      <c r="BY784" s="562" t="s">
        <v>7227</v>
      </c>
      <c r="BZ784" s="562"/>
      <c r="CA784" s="574"/>
      <c r="CB784" s="572"/>
      <c r="CC784" s="568"/>
      <c r="CD784" s="568"/>
      <c r="CE784" s="568"/>
      <c r="CF784" s="568"/>
      <c r="CG784" s="568"/>
      <c r="CH784" s="568"/>
      <c r="CI784" s="568"/>
      <c r="CJ784" s="568"/>
      <c r="CK784" s="568"/>
      <c r="CL784" s="568"/>
      <c r="CM784" s="568"/>
      <c r="CN784" s="568">
        <v>33.770000000000003</v>
      </c>
      <c r="CO784" s="568">
        <v>33.770000000000003</v>
      </c>
      <c r="CP784" s="568">
        <v>33.770000000000003</v>
      </c>
      <c r="CQ784" s="568">
        <v>33.770000000000003</v>
      </c>
      <c r="CR784" s="568">
        <v>33.770000000000003</v>
      </c>
      <c r="CS784" s="568">
        <v>33.770000000000003</v>
      </c>
      <c r="CT784" s="568">
        <v>33.770000000000003</v>
      </c>
      <c r="CU784" s="568"/>
      <c r="CV784" s="568"/>
      <c r="CW784" s="568"/>
      <c r="CX784" s="568"/>
      <c r="CY784" s="568"/>
      <c r="CZ784" s="568"/>
      <c r="DA784" s="568"/>
      <c r="DB784" s="568"/>
      <c r="DC784" s="568"/>
      <c r="DD784" s="568"/>
      <c r="DE784" s="561"/>
      <c r="DF784" s="561"/>
      <c r="DG784" s="561"/>
      <c r="DH784" s="561"/>
      <c r="DI784" s="561"/>
      <c r="DJ784" s="561"/>
      <c r="DK784" s="897"/>
      <c r="DL784" s="814"/>
      <c r="DM784" s="814"/>
      <c r="DN784" s="814"/>
      <c r="DO784" s="814"/>
      <c r="DP784" s="814"/>
      <c r="DQ784" s="814"/>
      <c r="DR784" s="814"/>
      <c r="DS784" s="814"/>
      <c r="DT784" s="814"/>
      <c r="DU784" s="814"/>
      <c r="DV784" s="814"/>
    </row>
    <row r="785" spans="1:126" ht="51" x14ac:dyDescent="0.2">
      <c r="A785" s="295">
        <v>781</v>
      </c>
      <c r="B785" s="390" t="s">
        <v>9785</v>
      </c>
      <c r="C785" s="577"/>
      <c r="D785" s="842" t="s">
        <v>9772</v>
      </c>
      <c r="E785" s="709" t="s">
        <v>9799</v>
      </c>
      <c r="F785" s="561" t="s">
        <v>1352</v>
      </c>
      <c r="G785" s="561" t="s">
        <v>1673</v>
      </c>
      <c r="H785" s="561" t="s">
        <v>228</v>
      </c>
      <c r="I785" s="563"/>
      <c r="J785" s="563"/>
      <c r="K785" s="563" t="s">
        <v>228</v>
      </c>
      <c r="L785" s="560" t="s">
        <v>3780</v>
      </c>
      <c r="M785" s="563"/>
      <c r="N785" s="562" t="s">
        <v>44</v>
      </c>
      <c r="O785" s="561" t="s">
        <v>51</v>
      </c>
      <c r="P785" s="561" t="s">
        <v>51</v>
      </c>
      <c r="Q785" s="563" t="s">
        <v>976</v>
      </c>
      <c r="R785" s="560" t="s">
        <v>9796</v>
      </c>
      <c r="S785" s="560" t="s">
        <v>977</v>
      </c>
      <c r="T785" s="564">
        <v>1</v>
      </c>
      <c r="U785" s="565">
        <v>33.770000000000003</v>
      </c>
      <c r="V785" s="565"/>
      <c r="W785" s="566"/>
      <c r="X785" s="564"/>
      <c r="Y785" s="564">
        <v>7</v>
      </c>
      <c r="Z785" s="564">
        <v>3</v>
      </c>
      <c r="AA785" s="565">
        <v>0</v>
      </c>
      <c r="AB785" s="567">
        <v>43345</v>
      </c>
      <c r="AC785" s="568">
        <f t="shared" si="4"/>
        <v>101.31</v>
      </c>
      <c r="AD785" s="568">
        <v>78.734986301369872</v>
      </c>
      <c r="AE785" s="562" t="s">
        <v>37</v>
      </c>
      <c r="AF785" s="569"/>
      <c r="AG785" s="569"/>
      <c r="AH785" s="569"/>
      <c r="AI785" s="564"/>
      <c r="AJ785" s="566"/>
      <c r="AK785" s="566"/>
      <c r="AL785" s="561"/>
      <c r="AM785" s="561"/>
      <c r="AN785" s="569"/>
      <c r="AO785" s="563"/>
      <c r="AP785" s="560" t="s">
        <v>7071</v>
      </c>
      <c r="AQ785" s="563"/>
      <c r="AR785" s="560" t="s">
        <v>3780</v>
      </c>
      <c r="AS785" s="578">
        <v>40821</v>
      </c>
      <c r="AT785" s="566"/>
      <c r="AU785" s="566"/>
      <c r="AV785" s="566"/>
      <c r="AW785" s="566"/>
      <c r="AX785" s="566"/>
      <c r="AY785" s="566"/>
      <c r="AZ785" s="566">
        <v>43345</v>
      </c>
      <c r="BA785" s="561"/>
      <c r="BB785" s="561"/>
      <c r="BC785" s="561" t="b">
        <v>0</v>
      </c>
      <c r="BD785" s="561"/>
      <c r="BE785" s="563"/>
      <c r="BF785" s="564">
        <v>6</v>
      </c>
      <c r="BG785" s="564">
        <v>4</v>
      </c>
      <c r="BH785" s="564">
        <v>8</v>
      </c>
      <c r="BI785" s="564">
        <v>3</v>
      </c>
      <c r="BJ785" s="564">
        <v>5</v>
      </c>
      <c r="BK785" s="564">
        <v>9</v>
      </c>
      <c r="BL785" s="873" t="s">
        <v>6981</v>
      </c>
      <c r="BM785" s="563"/>
      <c r="BN785" s="561"/>
      <c r="BO785" s="561"/>
      <c r="BP785" s="571"/>
      <c r="BQ785" s="572"/>
      <c r="BR785" s="573"/>
      <c r="BS785" s="571"/>
      <c r="BT785" s="564"/>
      <c r="BU785" s="569"/>
      <c r="BV785" s="571">
        <v>8.0500000000000007</v>
      </c>
      <c r="BW785" s="561"/>
      <c r="BX785" s="560" t="s">
        <v>1520</v>
      </c>
      <c r="BY785" s="562" t="s">
        <v>7227</v>
      </c>
      <c r="BZ785" s="562"/>
      <c r="CA785" s="574"/>
      <c r="CB785" s="572"/>
      <c r="CC785" s="568"/>
      <c r="CD785" s="568"/>
      <c r="CE785" s="568"/>
      <c r="CF785" s="568"/>
      <c r="CG785" s="568"/>
      <c r="CH785" s="568"/>
      <c r="CI785" s="568"/>
      <c r="CJ785" s="568"/>
      <c r="CK785" s="568"/>
      <c r="CL785" s="568"/>
      <c r="CM785" s="568"/>
      <c r="CN785" s="568">
        <v>33.770000000000003</v>
      </c>
      <c r="CO785" s="568">
        <v>33.770000000000003</v>
      </c>
      <c r="CP785" s="568">
        <v>33.770000000000003</v>
      </c>
      <c r="CQ785" s="568">
        <v>33.770000000000003</v>
      </c>
      <c r="CR785" s="568">
        <v>33.770000000000003</v>
      </c>
      <c r="CS785" s="568">
        <v>33.770000000000003</v>
      </c>
      <c r="CT785" s="568">
        <v>33.770000000000003</v>
      </c>
      <c r="CU785" s="568"/>
      <c r="CV785" s="568"/>
      <c r="CW785" s="568"/>
      <c r="CX785" s="568"/>
      <c r="CY785" s="568"/>
      <c r="CZ785" s="568"/>
      <c r="DA785" s="568"/>
      <c r="DB785" s="568"/>
      <c r="DC785" s="568"/>
      <c r="DD785" s="568"/>
      <c r="DE785" s="561"/>
      <c r="DF785" s="561"/>
      <c r="DG785" s="561"/>
      <c r="DH785" s="561"/>
      <c r="DI785" s="561"/>
      <c r="DJ785" s="561"/>
      <c r="DK785" s="897"/>
      <c r="DL785" s="814"/>
      <c r="DM785" s="814"/>
      <c r="DN785" s="814"/>
      <c r="DO785" s="814"/>
      <c r="DP785" s="814"/>
      <c r="DQ785" s="814"/>
      <c r="DR785" s="814"/>
      <c r="DS785" s="814"/>
      <c r="DT785" s="814"/>
      <c r="DU785" s="814"/>
      <c r="DV785" s="814"/>
    </row>
    <row r="786" spans="1:126" ht="51" x14ac:dyDescent="0.2">
      <c r="A786" s="295">
        <v>782</v>
      </c>
      <c r="B786" s="390" t="s">
        <v>9786</v>
      </c>
      <c r="C786" s="577"/>
      <c r="D786" s="391" t="s">
        <v>9773</v>
      </c>
      <c r="E786" s="709" t="s">
        <v>9800</v>
      </c>
      <c r="F786" s="393" t="s">
        <v>1352</v>
      </c>
      <c r="G786" s="393" t="s">
        <v>1673</v>
      </c>
      <c r="H786" s="393" t="s">
        <v>228</v>
      </c>
      <c r="I786" s="563"/>
      <c r="J786" s="563"/>
      <c r="K786" s="392" t="s">
        <v>228</v>
      </c>
      <c r="L786" s="392" t="s">
        <v>3780</v>
      </c>
      <c r="M786" s="563"/>
      <c r="N786" s="562" t="s">
        <v>44</v>
      </c>
      <c r="O786" s="393" t="s">
        <v>51</v>
      </c>
      <c r="P786" s="393" t="s">
        <v>51</v>
      </c>
      <c r="Q786" s="392" t="s">
        <v>976</v>
      </c>
      <c r="R786" s="560" t="s">
        <v>9796</v>
      </c>
      <c r="S786" s="560" t="s">
        <v>977</v>
      </c>
      <c r="T786" s="564">
        <v>1</v>
      </c>
      <c r="U786" s="565">
        <v>33.770000000000003</v>
      </c>
      <c r="V786" s="565"/>
      <c r="W786" s="566"/>
      <c r="X786" s="564"/>
      <c r="Y786" s="564">
        <v>7</v>
      </c>
      <c r="Z786" s="394">
        <v>3</v>
      </c>
      <c r="AA786" s="565">
        <v>0</v>
      </c>
      <c r="AB786" s="567">
        <v>43345</v>
      </c>
      <c r="AC786" s="568">
        <f t="shared" si="4"/>
        <v>101.31</v>
      </c>
      <c r="AD786" s="568">
        <v>78.734986301369872</v>
      </c>
      <c r="AE786" s="562" t="s">
        <v>37</v>
      </c>
      <c r="AF786" s="569"/>
      <c r="AG786" s="569"/>
      <c r="AH786" s="569"/>
      <c r="AI786" s="564"/>
      <c r="AJ786" s="566"/>
      <c r="AK786" s="566"/>
      <c r="AL786" s="561"/>
      <c r="AM786" s="561"/>
      <c r="AN786" s="569"/>
      <c r="AO786" s="563"/>
      <c r="AP786" s="560" t="s">
        <v>7071</v>
      </c>
      <c r="AQ786" s="563"/>
      <c r="AR786" s="560" t="s">
        <v>3780</v>
      </c>
      <c r="AS786" s="578">
        <v>40821</v>
      </c>
      <c r="AT786" s="566"/>
      <c r="AU786" s="566"/>
      <c r="AV786" s="566"/>
      <c r="AW786" s="566"/>
      <c r="AX786" s="566"/>
      <c r="AY786" s="566"/>
      <c r="AZ786" s="566">
        <v>43345</v>
      </c>
      <c r="BA786" s="561"/>
      <c r="BB786" s="561"/>
      <c r="BC786" s="561" t="b">
        <v>0</v>
      </c>
      <c r="BD786" s="561"/>
      <c r="BE786" s="563"/>
      <c r="BF786" s="564">
        <v>6</v>
      </c>
      <c r="BG786" s="564">
        <v>4</v>
      </c>
      <c r="BH786" s="564">
        <v>8</v>
      </c>
      <c r="BI786" s="564">
        <v>3</v>
      </c>
      <c r="BJ786" s="564">
        <v>5</v>
      </c>
      <c r="BK786" s="564">
        <v>9</v>
      </c>
      <c r="BL786" s="873" t="s">
        <v>6981</v>
      </c>
      <c r="BM786" s="563"/>
      <c r="BN786" s="561"/>
      <c r="BO786" s="561"/>
      <c r="BP786" s="571"/>
      <c r="BQ786" s="572"/>
      <c r="BR786" s="573"/>
      <c r="BS786" s="571"/>
      <c r="BT786" s="564"/>
      <c r="BU786" s="569"/>
      <c r="BV786" s="571">
        <v>8.0500000000000007</v>
      </c>
      <c r="BW786" s="561"/>
      <c r="BX786" s="560" t="s">
        <v>1520</v>
      </c>
      <c r="BY786" s="562" t="s">
        <v>7227</v>
      </c>
      <c r="BZ786" s="562"/>
      <c r="CA786" s="574"/>
      <c r="CB786" s="572"/>
      <c r="CC786" s="568"/>
      <c r="CD786" s="568"/>
      <c r="CE786" s="568"/>
      <c r="CF786" s="568"/>
      <c r="CG786" s="568"/>
      <c r="CH786" s="568"/>
      <c r="CI786" s="568"/>
      <c r="CJ786" s="568"/>
      <c r="CK786" s="568"/>
      <c r="CL786" s="568"/>
      <c r="CM786" s="568"/>
      <c r="CN786" s="568">
        <v>33.770000000000003</v>
      </c>
      <c r="CO786" s="568">
        <v>33.770000000000003</v>
      </c>
      <c r="CP786" s="568">
        <v>33.770000000000003</v>
      </c>
      <c r="CQ786" s="568">
        <v>33.770000000000003</v>
      </c>
      <c r="CR786" s="568">
        <v>33.770000000000003</v>
      </c>
      <c r="CS786" s="568">
        <v>33.770000000000003</v>
      </c>
      <c r="CT786" s="568">
        <v>33.770000000000003</v>
      </c>
      <c r="CU786" s="568"/>
      <c r="CV786" s="568"/>
      <c r="CW786" s="568"/>
      <c r="CX786" s="568"/>
      <c r="CY786" s="568"/>
      <c r="CZ786" s="568"/>
      <c r="DA786" s="568"/>
      <c r="DB786" s="568"/>
      <c r="DC786" s="568"/>
      <c r="DD786" s="568"/>
      <c r="DE786" s="561"/>
      <c r="DF786" s="561"/>
      <c r="DG786" s="561"/>
      <c r="DH786" s="561"/>
      <c r="DI786" s="561"/>
      <c r="DJ786" s="561"/>
      <c r="DK786" s="897"/>
      <c r="DL786" s="814"/>
      <c r="DM786" s="814"/>
      <c r="DN786" s="814"/>
      <c r="DO786" s="814"/>
      <c r="DP786" s="814"/>
      <c r="DQ786" s="814"/>
      <c r="DR786" s="814"/>
      <c r="DS786" s="814"/>
      <c r="DT786" s="814"/>
      <c r="DU786" s="814"/>
      <c r="DV786" s="814"/>
    </row>
    <row r="787" spans="1:126" ht="51" x14ac:dyDescent="0.2">
      <c r="A787" s="295">
        <v>783</v>
      </c>
      <c r="B787" s="390" t="s">
        <v>9787</v>
      </c>
      <c r="C787" s="577"/>
      <c r="D787" s="842" t="s">
        <v>9774</v>
      </c>
      <c r="E787" s="709" t="s">
        <v>9801</v>
      </c>
      <c r="F787" s="561" t="s">
        <v>1352</v>
      </c>
      <c r="G787" s="561" t="s">
        <v>1673</v>
      </c>
      <c r="H787" s="561" t="s">
        <v>228</v>
      </c>
      <c r="I787" s="563"/>
      <c r="J787" s="563"/>
      <c r="K787" s="563" t="s">
        <v>228</v>
      </c>
      <c r="L787" s="560" t="s">
        <v>3780</v>
      </c>
      <c r="M787" s="563"/>
      <c r="N787" s="562" t="s">
        <v>44</v>
      </c>
      <c r="O787" s="561" t="s">
        <v>51</v>
      </c>
      <c r="P787" s="561" t="s">
        <v>51</v>
      </c>
      <c r="Q787" s="563" t="s">
        <v>976</v>
      </c>
      <c r="R787" s="560" t="s">
        <v>9796</v>
      </c>
      <c r="S787" s="560" t="s">
        <v>977</v>
      </c>
      <c r="T787" s="564">
        <v>1</v>
      </c>
      <c r="U787" s="565">
        <v>33.770000000000003</v>
      </c>
      <c r="V787" s="565"/>
      <c r="W787" s="566"/>
      <c r="X787" s="564"/>
      <c r="Y787" s="564">
        <v>7</v>
      </c>
      <c r="Z787" s="564">
        <v>3</v>
      </c>
      <c r="AA787" s="565">
        <v>0</v>
      </c>
      <c r="AB787" s="567">
        <v>43345</v>
      </c>
      <c r="AC787" s="568">
        <f t="shared" si="4"/>
        <v>101.31</v>
      </c>
      <c r="AD787" s="568">
        <v>78.734986301369872</v>
      </c>
      <c r="AE787" s="562" t="s">
        <v>37</v>
      </c>
      <c r="AF787" s="569"/>
      <c r="AG787" s="569"/>
      <c r="AH787" s="569"/>
      <c r="AI787" s="564"/>
      <c r="AJ787" s="566"/>
      <c r="AK787" s="566"/>
      <c r="AL787" s="561"/>
      <c r="AM787" s="561"/>
      <c r="AN787" s="569"/>
      <c r="AO787" s="563"/>
      <c r="AP787" s="560" t="s">
        <v>7071</v>
      </c>
      <c r="AQ787" s="563"/>
      <c r="AR787" s="560" t="s">
        <v>3780</v>
      </c>
      <c r="AS787" s="578">
        <v>40821</v>
      </c>
      <c r="AT787" s="566"/>
      <c r="AU787" s="566"/>
      <c r="AV787" s="566"/>
      <c r="AW787" s="566"/>
      <c r="AX787" s="566"/>
      <c r="AY787" s="566"/>
      <c r="AZ787" s="566">
        <v>43345</v>
      </c>
      <c r="BA787" s="561"/>
      <c r="BB787" s="561"/>
      <c r="BC787" s="561" t="b">
        <v>0</v>
      </c>
      <c r="BD787" s="561"/>
      <c r="BE787" s="563"/>
      <c r="BF787" s="564">
        <v>6</v>
      </c>
      <c r="BG787" s="564">
        <v>4</v>
      </c>
      <c r="BH787" s="564">
        <v>8</v>
      </c>
      <c r="BI787" s="564">
        <v>3</v>
      </c>
      <c r="BJ787" s="564">
        <v>5</v>
      </c>
      <c r="BK787" s="564">
        <v>9</v>
      </c>
      <c r="BL787" s="873" t="s">
        <v>6981</v>
      </c>
      <c r="BM787" s="563"/>
      <c r="BN787" s="561"/>
      <c r="BO787" s="561"/>
      <c r="BP787" s="571"/>
      <c r="BQ787" s="572"/>
      <c r="BR787" s="573"/>
      <c r="BS787" s="571"/>
      <c r="BT787" s="564"/>
      <c r="BU787" s="569"/>
      <c r="BV787" s="571">
        <v>8.0500000000000007</v>
      </c>
      <c r="BW787" s="561"/>
      <c r="BX787" s="560" t="s">
        <v>1520</v>
      </c>
      <c r="BY787" s="562" t="s">
        <v>7227</v>
      </c>
      <c r="BZ787" s="562"/>
      <c r="CA787" s="574"/>
      <c r="CB787" s="572"/>
      <c r="CC787" s="568"/>
      <c r="CD787" s="568"/>
      <c r="CE787" s="568"/>
      <c r="CF787" s="568"/>
      <c r="CG787" s="568"/>
      <c r="CH787" s="568"/>
      <c r="CI787" s="568"/>
      <c r="CJ787" s="568"/>
      <c r="CK787" s="568"/>
      <c r="CL787" s="568"/>
      <c r="CM787" s="568"/>
      <c r="CN787" s="568">
        <v>33.770000000000003</v>
      </c>
      <c r="CO787" s="568">
        <v>33.770000000000003</v>
      </c>
      <c r="CP787" s="568">
        <v>33.770000000000003</v>
      </c>
      <c r="CQ787" s="568">
        <v>33.770000000000003</v>
      </c>
      <c r="CR787" s="568">
        <v>33.770000000000003</v>
      </c>
      <c r="CS787" s="568">
        <v>33.770000000000003</v>
      </c>
      <c r="CT787" s="568">
        <v>33.770000000000003</v>
      </c>
      <c r="CU787" s="568"/>
      <c r="CV787" s="568"/>
      <c r="CW787" s="568"/>
      <c r="CX787" s="568"/>
      <c r="CY787" s="568"/>
      <c r="CZ787" s="568"/>
      <c r="DA787" s="568"/>
      <c r="DB787" s="568"/>
      <c r="DC787" s="568"/>
      <c r="DD787" s="568"/>
      <c r="DE787" s="561"/>
      <c r="DF787" s="561"/>
      <c r="DG787" s="561"/>
      <c r="DH787" s="561"/>
      <c r="DI787" s="561"/>
      <c r="DJ787" s="561"/>
      <c r="DK787" s="897"/>
      <c r="DL787" s="814"/>
      <c r="DM787" s="814"/>
      <c r="DN787" s="814"/>
      <c r="DO787" s="814"/>
      <c r="DP787" s="814"/>
      <c r="DQ787" s="814"/>
      <c r="DR787" s="814"/>
      <c r="DS787" s="814"/>
      <c r="DT787" s="814"/>
      <c r="DU787" s="814"/>
      <c r="DV787" s="814"/>
    </row>
    <row r="788" spans="1:126" ht="51" x14ac:dyDescent="0.2">
      <c r="A788" s="295">
        <v>784</v>
      </c>
      <c r="B788" s="390" t="s">
        <v>9788</v>
      </c>
      <c r="C788" s="577"/>
      <c r="D788" s="391" t="s">
        <v>9775</v>
      </c>
      <c r="E788" s="709" t="s">
        <v>9802</v>
      </c>
      <c r="F788" s="393" t="s">
        <v>1352</v>
      </c>
      <c r="G788" s="393" t="s">
        <v>1673</v>
      </c>
      <c r="H788" s="393" t="s">
        <v>228</v>
      </c>
      <c r="I788" s="563"/>
      <c r="J788" s="563"/>
      <c r="K788" s="392" t="s">
        <v>228</v>
      </c>
      <c r="L788" s="392" t="s">
        <v>3780</v>
      </c>
      <c r="M788" s="563"/>
      <c r="N788" s="562" t="s">
        <v>44</v>
      </c>
      <c r="O788" s="393" t="s">
        <v>51</v>
      </c>
      <c r="P788" s="393" t="s">
        <v>51</v>
      </c>
      <c r="Q788" s="392" t="s">
        <v>976</v>
      </c>
      <c r="R788" s="560" t="s">
        <v>9796</v>
      </c>
      <c r="S788" s="560" t="s">
        <v>977</v>
      </c>
      <c r="T788" s="564">
        <v>1</v>
      </c>
      <c r="U788" s="565">
        <v>33.770000000000003</v>
      </c>
      <c r="V788" s="565"/>
      <c r="W788" s="566"/>
      <c r="X788" s="564"/>
      <c r="Y788" s="564">
        <v>7</v>
      </c>
      <c r="Z788" s="394">
        <v>3</v>
      </c>
      <c r="AA788" s="565">
        <v>0</v>
      </c>
      <c r="AB788" s="567">
        <v>43345</v>
      </c>
      <c r="AC788" s="568">
        <f t="shared" si="4"/>
        <v>101.31</v>
      </c>
      <c r="AD788" s="568">
        <v>78.734986301369872</v>
      </c>
      <c r="AE788" s="562" t="s">
        <v>37</v>
      </c>
      <c r="AF788" s="569"/>
      <c r="AG788" s="569"/>
      <c r="AH788" s="569"/>
      <c r="AI788" s="564"/>
      <c r="AJ788" s="566"/>
      <c r="AK788" s="566"/>
      <c r="AL788" s="561"/>
      <c r="AM788" s="561"/>
      <c r="AN788" s="569"/>
      <c r="AO788" s="563"/>
      <c r="AP788" s="560" t="s">
        <v>7071</v>
      </c>
      <c r="AQ788" s="563"/>
      <c r="AR788" s="560" t="s">
        <v>3780</v>
      </c>
      <c r="AS788" s="578">
        <v>40821</v>
      </c>
      <c r="AT788" s="566"/>
      <c r="AU788" s="566"/>
      <c r="AV788" s="566"/>
      <c r="AW788" s="566"/>
      <c r="AX788" s="566"/>
      <c r="AY788" s="566"/>
      <c r="AZ788" s="566">
        <v>43345</v>
      </c>
      <c r="BA788" s="561"/>
      <c r="BB788" s="561"/>
      <c r="BC788" s="561" t="b">
        <v>0</v>
      </c>
      <c r="BD788" s="561"/>
      <c r="BE788" s="563"/>
      <c r="BF788" s="564">
        <v>6</v>
      </c>
      <c r="BG788" s="564">
        <v>4</v>
      </c>
      <c r="BH788" s="564">
        <v>8</v>
      </c>
      <c r="BI788" s="564">
        <v>3</v>
      </c>
      <c r="BJ788" s="564">
        <v>5</v>
      </c>
      <c r="BK788" s="564">
        <v>9</v>
      </c>
      <c r="BL788" s="873" t="s">
        <v>6981</v>
      </c>
      <c r="BM788" s="563"/>
      <c r="BN788" s="561"/>
      <c r="BO788" s="561"/>
      <c r="BP788" s="571"/>
      <c r="BQ788" s="572"/>
      <c r="BR788" s="573"/>
      <c r="BS788" s="571"/>
      <c r="BT788" s="564"/>
      <c r="BU788" s="569"/>
      <c r="BV788" s="571">
        <v>8.0500000000000007</v>
      </c>
      <c r="BW788" s="561"/>
      <c r="BX788" s="560" t="s">
        <v>1520</v>
      </c>
      <c r="BY788" s="562" t="s">
        <v>7227</v>
      </c>
      <c r="BZ788" s="562"/>
      <c r="CA788" s="574"/>
      <c r="CB788" s="572"/>
      <c r="CC788" s="568"/>
      <c r="CD788" s="568"/>
      <c r="CE788" s="568"/>
      <c r="CF788" s="568"/>
      <c r="CG788" s="568"/>
      <c r="CH788" s="568"/>
      <c r="CI788" s="568"/>
      <c r="CJ788" s="568"/>
      <c r="CK788" s="568"/>
      <c r="CL788" s="568"/>
      <c r="CM788" s="568"/>
      <c r="CN788" s="568">
        <v>33.770000000000003</v>
      </c>
      <c r="CO788" s="568">
        <v>33.770000000000003</v>
      </c>
      <c r="CP788" s="568">
        <v>33.770000000000003</v>
      </c>
      <c r="CQ788" s="568">
        <v>33.770000000000003</v>
      </c>
      <c r="CR788" s="568">
        <v>33.770000000000003</v>
      </c>
      <c r="CS788" s="568">
        <v>33.770000000000003</v>
      </c>
      <c r="CT788" s="568">
        <v>33.770000000000003</v>
      </c>
      <c r="CU788" s="568"/>
      <c r="CV788" s="568"/>
      <c r="CW788" s="568"/>
      <c r="CX788" s="568"/>
      <c r="CY788" s="568"/>
      <c r="CZ788" s="568"/>
      <c r="DA788" s="568"/>
      <c r="DB788" s="568"/>
      <c r="DC788" s="568"/>
      <c r="DD788" s="568"/>
      <c r="DE788" s="561"/>
      <c r="DF788" s="561"/>
      <c r="DG788" s="561"/>
      <c r="DH788" s="561"/>
      <c r="DI788" s="561"/>
      <c r="DJ788" s="561"/>
      <c r="DK788" s="897"/>
      <c r="DL788" s="814"/>
      <c r="DM788" s="814"/>
      <c r="DN788" s="814"/>
      <c r="DO788" s="814"/>
      <c r="DP788" s="814"/>
      <c r="DQ788" s="814"/>
      <c r="DR788" s="814"/>
      <c r="DS788" s="814"/>
      <c r="DT788" s="814"/>
      <c r="DU788" s="814"/>
      <c r="DV788" s="814"/>
    </row>
    <row r="789" spans="1:126" ht="51" x14ac:dyDescent="0.2">
      <c r="A789" s="295">
        <v>785</v>
      </c>
      <c r="B789" s="390" t="s">
        <v>9789</v>
      </c>
      <c r="C789" s="577"/>
      <c r="D789" s="842" t="s">
        <v>9776</v>
      </c>
      <c r="E789" s="709" t="s">
        <v>9803</v>
      </c>
      <c r="F789" s="561" t="s">
        <v>1352</v>
      </c>
      <c r="G789" s="561" t="s">
        <v>1673</v>
      </c>
      <c r="H789" s="561" t="s">
        <v>228</v>
      </c>
      <c r="I789" s="563"/>
      <c r="J789" s="563"/>
      <c r="K789" s="563" t="s">
        <v>228</v>
      </c>
      <c r="L789" s="560" t="s">
        <v>3780</v>
      </c>
      <c r="M789" s="563"/>
      <c r="N789" s="562" t="s">
        <v>44</v>
      </c>
      <c r="O789" s="561" t="s">
        <v>51</v>
      </c>
      <c r="P789" s="561" t="s">
        <v>51</v>
      </c>
      <c r="Q789" s="563" t="s">
        <v>976</v>
      </c>
      <c r="R789" s="560" t="s">
        <v>9796</v>
      </c>
      <c r="S789" s="560" t="s">
        <v>977</v>
      </c>
      <c r="T789" s="564">
        <v>1</v>
      </c>
      <c r="U789" s="565">
        <v>33.770000000000003</v>
      </c>
      <c r="V789" s="565"/>
      <c r="W789" s="566"/>
      <c r="X789" s="564"/>
      <c r="Y789" s="564">
        <v>7</v>
      </c>
      <c r="Z789" s="564">
        <v>3</v>
      </c>
      <c r="AA789" s="565">
        <v>0</v>
      </c>
      <c r="AB789" s="567">
        <v>43345</v>
      </c>
      <c r="AC789" s="568">
        <f t="shared" si="4"/>
        <v>101.31</v>
      </c>
      <c r="AD789" s="568">
        <v>78.734986301369872</v>
      </c>
      <c r="AE789" s="562" t="s">
        <v>37</v>
      </c>
      <c r="AF789" s="569"/>
      <c r="AG789" s="569"/>
      <c r="AH789" s="569"/>
      <c r="AI789" s="564"/>
      <c r="AJ789" s="566"/>
      <c r="AK789" s="566"/>
      <c r="AL789" s="561"/>
      <c r="AM789" s="561"/>
      <c r="AN789" s="569"/>
      <c r="AO789" s="563"/>
      <c r="AP789" s="560" t="s">
        <v>7071</v>
      </c>
      <c r="AQ789" s="563"/>
      <c r="AR789" s="560" t="s">
        <v>3780</v>
      </c>
      <c r="AS789" s="578">
        <v>40821</v>
      </c>
      <c r="AT789" s="566"/>
      <c r="AU789" s="566"/>
      <c r="AV789" s="566"/>
      <c r="AW789" s="566"/>
      <c r="AX789" s="566"/>
      <c r="AY789" s="566"/>
      <c r="AZ789" s="566">
        <v>43345</v>
      </c>
      <c r="BA789" s="561"/>
      <c r="BB789" s="561"/>
      <c r="BC789" s="561" t="b">
        <v>0</v>
      </c>
      <c r="BD789" s="561"/>
      <c r="BE789" s="563"/>
      <c r="BF789" s="564">
        <v>6</v>
      </c>
      <c r="BG789" s="564">
        <v>4</v>
      </c>
      <c r="BH789" s="564">
        <v>8</v>
      </c>
      <c r="BI789" s="564">
        <v>3</v>
      </c>
      <c r="BJ789" s="564">
        <v>5</v>
      </c>
      <c r="BK789" s="564">
        <v>9</v>
      </c>
      <c r="BL789" s="873" t="s">
        <v>6981</v>
      </c>
      <c r="BM789" s="563"/>
      <c r="BN789" s="561"/>
      <c r="BO789" s="561"/>
      <c r="BP789" s="571"/>
      <c r="BQ789" s="572"/>
      <c r="BR789" s="573"/>
      <c r="BS789" s="571"/>
      <c r="BT789" s="564"/>
      <c r="BU789" s="569"/>
      <c r="BV789" s="571">
        <v>8.0500000000000007</v>
      </c>
      <c r="BW789" s="561"/>
      <c r="BX789" s="560" t="s">
        <v>1520</v>
      </c>
      <c r="BY789" s="562" t="s">
        <v>7227</v>
      </c>
      <c r="BZ789" s="562"/>
      <c r="CA789" s="574"/>
      <c r="CB789" s="572"/>
      <c r="CC789" s="568"/>
      <c r="CD789" s="568"/>
      <c r="CE789" s="568"/>
      <c r="CF789" s="568"/>
      <c r="CG789" s="568"/>
      <c r="CH789" s="568"/>
      <c r="CI789" s="568"/>
      <c r="CJ789" s="568"/>
      <c r="CK789" s="568"/>
      <c r="CL789" s="568"/>
      <c r="CM789" s="568"/>
      <c r="CN789" s="568">
        <v>33.770000000000003</v>
      </c>
      <c r="CO789" s="568">
        <v>33.770000000000003</v>
      </c>
      <c r="CP789" s="568">
        <v>33.770000000000003</v>
      </c>
      <c r="CQ789" s="568">
        <v>33.770000000000003</v>
      </c>
      <c r="CR789" s="568">
        <v>33.770000000000003</v>
      </c>
      <c r="CS789" s="568">
        <v>33.770000000000003</v>
      </c>
      <c r="CT789" s="568">
        <v>33.770000000000003</v>
      </c>
      <c r="CU789" s="568"/>
      <c r="CV789" s="568"/>
      <c r="CW789" s="568"/>
      <c r="CX789" s="568"/>
      <c r="CY789" s="568"/>
      <c r="CZ789" s="568"/>
      <c r="DA789" s="568"/>
      <c r="DB789" s="568"/>
      <c r="DC789" s="568"/>
      <c r="DD789" s="568"/>
      <c r="DE789" s="561"/>
      <c r="DF789" s="561"/>
      <c r="DG789" s="561"/>
      <c r="DH789" s="561"/>
      <c r="DI789" s="561"/>
      <c r="DJ789" s="561"/>
      <c r="DK789" s="897"/>
      <c r="DL789" s="814"/>
      <c r="DM789" s="814"/>
      <c r="DN789" s="814"/>
      <c r="DO789" s="814"/>
      <c r="DP789" s="814"/>
      <c r="DQ789" s="814"/>
      <c r="DR789" s="814"/>
      <c r="DS789" s="814"/>
      <c r="DT789" s="814"/>
      <c r="DU789" s="814"/>
      <c r="DV789" s="814"/>
    </row>
    <row r="790" spans="1:126" ht="51" x14ac:dyDescent="0.2">
      <c r="A790" s="295">
        <v>786</v>
      </c>
      <c r="B790" s="390" t="s">
        <v>9790</v>
      </c>
      <c r="C790" s="577"/>
      <c r="D790" s="391" t="s">
        <v>9777</v>
      </c>
      <c r="E790" s="709" t="s">
        <v>9804</v>
      </c>
      <c r="F790" s="393" t="s">
        <v>1352</v>
      </c>
      <c r="G790" s="393" t="s">
        <v>1673</v>
      </c>
      <c r="H790" s="393" t="s">
        <v>228</v>
      </c>
      <c r="I790" s="563"/>
      <c r="J790" s="563"/>
      <c r="K790" s="392" t="s">
        <v>228</v>
      </c>
      <c r="L790" s="392" t="s">
        <v>3780</v>
      </c>
      <c r="M790" s="563"/>
      <c r="N790" s="562" t="s">
        <v>44</v>
      </c>
      <c r="O790" s="393" t="s">
        <v>51</v>
      </c>
      <c r="P790" s="393" t="s">
        <v>51</v>
      </c>
      <c r="Q790" s="392" t="s">
        <v>976</v>
      </c>
      <c r="R790" s="560" t="s">
        <v>9796</v>
      </c>
      <c r="S790" s="560" t="s">
        <v>977</v>
      </c>
      <c r="T790" s="564">
        <v>1</v>
      </c>
      <c r="U790" s="565">
        <v>33.770000000000003</v>
      </c>
      <c r="V790" s="565"/>
      <c r="W790" s="566"/>
      <c r="X790" s="564"/>
      <c r="Y790" s="564">
        <v>7</v>
      </c>
      <c r="Z790" s="394">
        <v>3</v>
      </c>
      <c r="AA790" s="565">
        <v>0</v>
      </c>
      <c r="AB790" s="567">
        <v>43345</v>
      </c>
      <c r="AC790" s="568">
        <f t="shared" si="4"/>
        <v>101.31</v>
      </c>
      <c r="AD790" s="568">
        <v>78.734986301369872</v>
      </c>
      <c r="AE790" s="562" t="s">
        <v>37</v>
      </c>
      <c r="AF790" s="569"/>
      <c r="AG790" s="569"/>
      <c r="AH790" s="569"/>
      <c r="AI790" s="564"/>
      <c r="AJ790" s="566"/>
      <c r="AK790" s="566"/>
      <c r="AL790" s="561"/>
      <c r="AM790" s="561"/>
      <c r="AN790" s="569"/>
      <c r="AO790" s="563"/>
      <c r="AP790" s="560" t="s">
        <v>7071</v>
      </c>
      <c r="AQ790" s="563"/>
      <c r="AR790" s="560" t="s">
        <v>3780</v>
      </c>
      <c r="AS790" s="578">
        <v>40821</v>
      </c>
      <c r="AT790" s="566"/>
      <c r="AU790" s="566"/>
      <c r="AV790" s="566"/>
      <c r="AW790" s="566"/>
      <c r="AX790" s="566"/>
      <c r="AY790" s="566"/>
      <c r="AZ790" s="566">
        <v>43345</v>
      </c>
      <c r="BA790" s="561"/>
      <c r="BB790" s="561"/>
      <c r="BC790" s="561" t="b">
        <v>0</v>
      </c>
      <c r="BD790" s="561"/>
      <c r="BE790" s="563"/>
      <c r="BF790" s="564">
        <v>6</v>
      </c>
      <c r="BG790" s="564">
        <v>4</v>
      </c>
      <c r="BH790" s="564">
        <v>8</v>
      </c>
      <c r="BI790" s="564">
        <v>3</v>
      </c>
      <c r="BJ790" s="564">
        <v>5</v>
      </c>
      <c r="BK790" s="564">
        <v>9</v>
      </c>
      <c r="BL790" s="873" t="s">
        <v>6981</v>
      </c>
      <c r="BM790" s="563"/>
      <c r="BN790" s="561"/>
      <c r="BO790" s="561"/>
      <c r="BP790" s="571"/>
      <c r="BQ790" s="572"/>
      <c r="BR790" s="573"/>
      <c r="BS790" s="571"/>
      <c r="BT790" s="564"/>
      <c r="BU790" s="569"/>
      <c r="BV790" s="571">
        <v>8.0500000000000007</v>
      </c>
      <c r="BW790" s="561"/>
      <c r="BX790" s="560" t="s">
        <v>1520</v>
      </c>
      <c r="BY790" s="562" t="s">
        <v>7227</v>
      </c>
      <c r="BZ790" s="562"/>
      <c r="CA790" s="574"/>
      <c r="CB790" s="572"/>
      <c r="CC790" s="568"/>
      <c r="CD790" s="568"/>
      <c r="CE790" s="568"/>
      <c r="CF790" s="568"/>
      <c r="CG790" s="568"/>
      <c r="CH790" s="568"/>
      <c r="CI790" s="568"/>
      <c r="CJ790" s="568"/>
      <c r="CK790" s="568"/>
      <c r="CL790" s="568"/>
      <c r="CM790" s="568"/>
      <c r="CN790" s="568">
        <v>33.770000000000003</v>
      </c>
      <c r="CO790" s="568">
        <v>33.770000000000003</v>
      </c>
      <c r="CP790" s="568">
        <v>33.770000000000003</v>
      </c>
      <c r="CQ790" s="568">
        <v>33.770000000000003</v>
      </c>
      <c r="CR790" s="568">
        <v>33.770000000000003</v>
      </c>
      <c r="CS790" s="568">
        <v>33.770000000000003</v>
      </c>
      <c r="CT790" s="568">
        <v>33.770000000000003</v>
      </c>
      <c r="CU790" s="568"/>
      <c r="CV790" s="568"/>
      <c r="CW790" s="568"/>
      <c r="CX790" s="568"/>
      <c r="CY790" s="568"/>
      <c r="CZ790" s="568"/>
      <c r="DA790" s="568"/>
      <c r="DB790" s="568"/>
      <c r="DC790" s="568"/>
      <c r="DD790" s="568"/>
      <c r="DE790" s="561"/>
      <c r="DF790" s="561"/>
      <c r="DG790" s="561"/>
      <c r="DH790" s="561"/>
      <c r="DI790" s="561"/>
      <c r="DJ790" s="561"/>
      <c r="DK790" s="897"/>
      <c r="DL790" s="814"/>
      <c r="DM790" s="814"/>
      <c r="DN790" s="814"/>
      <c r="DO790" s="814"/>
      <c r="DP790" s="814"/>
      <c r="DQ790" s="814"/>
      <c r="DR790" s="814"/>
      <c r="DS790" s="814"/>
      <c r="DT790" s="814"/>
      <c r="DU790" s="814"/>
      <c r="DV790" s="814"/>
    </row>
    <row r="791" spans="1:126" ht="51" x14ac:dyDescent="0.2">
      <c r="A791" s="295">
        <v>787</v>
      </c>
      <c r="B791" s="390" t="s">
        <v>9791</v>
      </c>
      <c r="C791" s="577"/>
      <c r="D791" s="842" t="s">
        <v>9778</v>
      </c>
      <c r="E791" s="709" t="s">
        <v>9805</v>
      </c>
      <c r="F791" s="561" t="s">
        <v>1352</v>
      </c>
      <c r="G791" s="561" t="s">
        <v>1673</v>
      </c>
      <c r="H791" s="561" t="s">
        <v>228</v>
      </c>
      <c r="I791" s="563"/>
      <c r="J791" s="563"/>
      <c r="K791" s="563" t="s">
        <v>228</v>
      </c>
      <c r="L791" s="560" t="s">
        <v>3780</v>
      </c>
      <c r="M791" s="563"/>
      <c r="N791" s="562" t="s">
        <v>44</v>
      </c>
      <c r="O791" s="561" t="s">
        <v>51</v>
      </c>
      <c r="P791" s="561" t="s">
        <v>51</v>
      </c>
      <c r="Q791" s="563" t="s">
        <v>976</v>
      </c>
      <c r="R791" s="560" t="s">
        <v>9796</v>
      </c>
      <c r="S791" s="560" t="s">
        <v>977</v>
      </c>
      <c r="T791" s="564">
        <v>1</v>
      </c>
      <c r="U791" s="565">
        <v>33.770000000000003</v>
      </c>
      <c r="V791" s="565"/>
      <c r="W791" s="566"/>
      <c r="X791" s="564"/>
      <c r="Y791" s="564">
        <v>7</v>
      </c>
      <c r="Z791" s="564">
        <v>3</v>
      </c>
      <c r="AA791" s="565">
        <v>0</v>
      </c>
      <c r="AB791" s="567">
        <v>43345</v>
      </c>
      <c r="AC791" s="568">
        <f t="shared" si="4"/>
        <v>101.31</v>
      </c>
      <c r="AD791" s="568">
        <v>78.734986301369872</v>
      </c>
      <c r="AE791" s="562" t="s">
        <v>37</v>
      </c>
      <c r="AF791" s="569"/>
      <c r="AG791" s="569"/>
      <c r="AH791" s="569"/>
      <c r="AI791" s="564"/>
      <c r="AJ791" s="566"/>
      <c r="AK791" s="566"/>
      <c r="AL791" s="561"/>
      <c r="AM791" s="561"/>
      <c r="AN791" s="569"/>
      <c r="AO791" s="563"/>
      <c r="AP791" s="560" t="s">
        <v>7071</v>
      </c>
      <c r="AQ791" s="563"/>
      <c r="AR791" s="560" t="s">
        <v>3780</v>
      </c>
      <c r="AS791" s="578">
        <v>40821</v>
      </c>
      <c r="AT791" s="566"/>
      <c r="AU791" s="566"/>
      <c r="AV791" s="566"/>
      <c r="AW791" s="566"/>
      <c r="AX791" s="566"/>
      <c r="AY791" s="566"/>
      <c r="AZ791" s="566">
        <v>43345</v>
      </c>
      <c r="BA791" s="561"/>
      <c r="BB791" s="561"/>
      <c r="BC791" s="561" t="b">
        <v>0</v>
      </c>
      <c r="BD791" s="561"/>
      <c r="BE791" s="563"/>
      <c r="BF791" s="564">
        <v>6</v>
      </c>
      <c r="BG791" s="564">
        <v>4</v>
      </c>
      <c r="BH791" s="564">
        <v>8</v>
      </c>
      <c r="BI791" s="564">
        <v>3</v>
      </c>
      <c r="BJ791" s="564">
        <v>5</v>
      </c>
      <c r="BK791" s="564">
        <v>9</v>
      </c>
      <c r="BL791" s="873" t="s">
        <v>6981</v>
      </c>
      <c r="BM791" s="563"/>
      <c r="BN791" s="561"/>
      <c r="BO791" s="561"/>
      <c r="BP791" s="571"/>
      <c r="BQ791" s="572"/>
      <c r="BR791" s="573"/>
      <c r="BS791" s="571"/>
      <c r="BT791" s="564"/>
      <c r="BU791" s="569"/>
      <c r="BV791" s="571">
        <v>8.0500000000000007</v>
      </c>
      <c r="BW791" s="561"/>
      <c r="BX791" s="560" t="s">
        <v>1520</v>
      </c>
      <c r="BY791" s="562" t="s">
        <v>7227</v>
      </c>
      <c r="BZ791" s="562"/>
      <c r="CA791" s="574"/>
      <c r="CB791" s="572"/>
      <c r="CC791" s="568"/>
      <c r="CD791" s="568"/>
      <c r="CE791" s="568"/>
      <c r="CF791" s="568"/>
      <c r="CG791" s="568"/>
      <c r="CH791" s="568"/>
      <c r="CI791" s="568"/>
      <c r="CJ791" s="568"/>
      <c r="CK791" s="568"/>
      <c r="CL791" s="568"/>
      <c r="CM791" s="568"/>
      <c r="CN791" s="568">
        <v>33.770000000000003</v>
      </c>
      <c r="CO791" s="568">
        <v>33.770000000000003</v>
      </c>
      <c r="CP791" s="568">
        <v>33.770000000000003</v>
      </c>
      <c r="CQ791" s="568">
        <v>33.770000000000003</v>
      </c>
      <c r="CR791" s="568">
        <v>33.770000000000003</v>
      </c>
      <c r="CS791" s="568">
        <v>33.770000000000003</v>
      </c>
      <c r="CT791" s="568">
        <v>33.770000000000003</v>
      </c>
      <c r="CU791" s="568"/>
      <c r="CV791" s="568"/>
      <c r="CW791" s="568"/>
      <c r="CX791" s="568"/>
      <c r="CY791" s="568"/>
      <c r="CZ791" s="568"/>
      <c r="DA791" s="568"/>
      <c r="DB791" s="568"/>
      <c r="DC791" s="568"/>
      <c r="DD791" s="568"/>
      <c r="DE791" s="561"/>
      <c r="DF791" s="561"/>
      <c r="DG791" s="561"/>
      <c r="DH791" s="561"/>
      <c r="DI791" s="561"/>
      <c r="DJ791" s="561"/>
      <c r="DK791" s="897"/>
      <c r="DL791" s="814"/>
      <c r="DM791" s="814"/>
      <c r="DN791" s="814"/>
      <c r="DO791" s="814"/>
      <c r="DP791" s="814"/>
      <c r="DQ791" s="814"/>
      <c r="DR791" s="814"/>
      <c r="DS791" s="814"/>
      <c r="DT791" s="814"/>
      <c r="DU791" s="814"/>
      <c r="DV791" s="814"/>
    </row>
    <row r="792" spans="1:126" ht="51" x14ac:dyDescent="0.2">
      <c r="A792" s="295">
        <v>788</v>
      </c>
      <c r="B792" s="390" t="s">
        <v>9792</v>
      </c>
      <c r="C792" s="577"/>
      <c r="D792" s="391" t="s">
        <v>9779</v>
      </c>
      <c r="E792" s="709" t="s">
        <v>9806</v>
      </c>
      <c r="F792" s="393" t="s">
        <v>1352</v>
      </c>
      <c r="G792" s="393" t="s">
        <v>1673</v>
      </c>
      <c r="H792" s="393" t="s">
        <v>228</v>
      </c>
      <c r="I792" s="563"/>
      <c r="J792" s="563"/>
      <c r="K792" s="392" t="s">
        <v>228</v>
      </c>
      <c r="L792" s="392" t="s">
        <v>3780</v>
      </c>
      <c r="M792" s="563"/>
      <c r="N792" s="562" t="s">
        <v>44</v>
      </c>
      <c r="O792" s="393" t="s">
        <v>51</v>
      </c>
      <c r="P792" s="393" t="s">
        <v>51</v>
      </c>
      <c r="Q792" s="392" t="s">
        <v>976</v>
      </c>
      <c r="R792" s="560" t="s">
        <v>9796</v>
      </c>
      <c r="S792" s="560" t="s">
        <v>977</v>
      </c>
      <c r="T792" s="564">
        <v>1</v>
      </c>
      <c r="U792" s="565">
        <v>33.770000000000003</v>
      </c>
      <c r="V792" s="565"/>
      <c r="W792" s="566"/>
      <c r="X792" s="564"/>
      <c r="Y792" s="564">
        <v>7</v>
      </c>
      <c r="Z792" s="394">
        <v>3</v>
      </c>
      <c r="AA792" s="565">
        <v>0</v>
      </c>
      <c r="AB792" s="567">
        <v>43345</v>
      </c>
      <c r="AC792" s="568">
        <f t="shared" si="4"/>
        <v>101.31</v>
      </c>
      <c r="AD792" s="568">
        <v>78.734986301369872</v>
      </c>
      <c r="AE792" s="562" t="s">
        <v>37</v>
      </c>
      <c r="AF792" s="569"/>
      <c r="AG792" s="569"/>
      <c r="AH792" s="569"/>
      <c r="AI792" s="564"/>
      <c r="AJ792" s="566"/>
      <c r="AK792" s="566"/>
      <c r="AL792" s="561"/>
      <c r="AM792" s="561"/>
      <c r="AN792" s="569"/>
      <c r="AO792" s="563"/>
      <c r="AP792" s="560" t="s">
        <v>7071</v>
      </c>
      <c r="AQ792" s="563"/>
      <c r="AR792" s="560" t="s">
        <v>3780</v>
      </c>
      <c r="AS792" s="578">
        <v>40821</v>
      </c>
      <c r="AT792" s="566"/>
      <c r="AU792" s="566"/>
      <c r="AV792" s="566"/>
      <c r="AW792" s="566"/>
      <c r="AX792" s="566"/>
      <c r="AY792" s="566"/>
      <c r="AZ792" s="566">
        <v>43345</v>
      </c>
      <c r="BA792" s="561"/>
      <c r="BB792" s="561"/>
      <c r="BC792" s="561" t="b">
        <v>0</v>
      </c>
      <c r="BD792" s="561"/>
      <c r="BE792" s="563"/>
      <c r="BF792" s="564">
        <v>6</v>
      </c>
      <c r="BG792" s="564">
        <v>4</v>
      </c>
      <c r="BH792" s="564">
        <v>8</v>
      </c>
      <c r="BI792" s="564">
        <v>3</v>
      </c>
      <c r="BJ792" s="564">
        <v>5</v>
      </c>
      <c r="BK792" s="564">
        <v>9</v>
      </c>
      <c r="BL792" s="873" t="s">
        <v>6981</v>
      </c>
      <c r="BM792" s="563"/>
      <c r="BN792" s="561"/>
      <c r="BO792" s="561"/>
      <c r="BP792" s="571"/>
      <c r="BQ792" s="572"/>
      <c r="BR792" s="573"/>
      <c r="BS792" s="571"/>
      <c r="BT792" s="564"/>
      <c r="BU792" s="569"/>
      <c r="BV792" s="571">
        <v>8.0500000000000007</v>
      </c>
      <c r="BW792" s="561"/>
      <c r="BX792" s="560" t="s">
        <v>1520</v>
      </c>
      <c r="BY792" s="562" t="s">
        <v>7227</v>
      </c>
      <c r="BZ792" s="562"/>
      <c r="CA792" s="574"/>
      <c r="CB792" s="572"/>
      <c r="CC792" s="568"/>
      <c r="CD792" s="568"/>
      <c r="CE792" s="568"/>
      <c r="CF792" s="568"/>
      <c r="CG792" s="568"/>
      <c r="CH792" s="568"/>
      <c r="CI792" s="568"/>
      <c r="CJ792" s="568"/>
      <c r="CK792" s="568"/>
      <c r="CL792" s="568"/>
      <c r="CM792" s="568"/>
      <c r="CN792" s="568">
        <v>33.770000000000003</v>
      </c>
      <c r="CO792" s="568">
        <v>33.770000000000003</v>
      </c>
      <c r="CP792" s="568">
        <v>33.770000000000003</v>
      </c>
      <c r="CQ792" s="568">
        <v>33.770000000000003</v>
      </c>
      <c r="CR792" s="568">
        <v>33.770000000000003</v>
      </c>
      <c r="CS792" s="568">
        <v>33.770000000000003</v>
      </c>
      <c r="CT792" s="568">
        <v>33.770000000000003</v>
      </c>
      <c r="CU792" s="568"/>
      <c r="CV792" s="568"/>
      <c r="CW792" s="568"/>
      <c r="CX792" s="568"/>
      <c r="CY792" s="568"/>
      <c r="CZ792" s="568"/>
      <c r="DA792" s="568"/>
      <c r="DB792" s="568"/>
      <c r="DC792" s="568"/>
      <c r="DD792" s="568"/>
      <c r="DE792" s="561"/>
      <c r="DF792" s="561"/>
      <c r="DG792" s="561"/>
      <c r="DH792" s="561"/>
      <c r="DI792" s="561"/>
      <c r="DJ792" s="561"/>
      <c r="DK792" s="897"/>
      <c r="DL792" s="814"/>
      <c r="DM792" s="814"/>
      <c r="DN792" s="814"/>
      <c r="DO792" s="814"/>
      <c r="DP792" s="814"/>
      <c r="DQ792" s="814"/>
      <c r="DR792" s="814"/>
      <c r="DS792" s="814"/>
      <c r="DT792" s="814"/>
      <c r="DU792" s="814"/>
      <c r="DV792" s="814"/>
    </row>
    <row r="793" spans="1:126" ht="51" x14ac:dyDescent="0.2">
      <c r="A793" s="295">
        <v>789</v>
      </c>
      <c r="B793" s="390" t="s">
        <v>761</v>
      </c>
      <c r="C793" s="424" t="s">
        <v>7562</v>
      </c>
      <c r="D793" s="391" t="s">
        <v>7265</v>
      </c>
      <c r="E793" s="843" t="s">
        <v>762</v>
      </c>
      <c r="F793" s="393" t="s">
        <v>1352</v>
      </c>
      <c r="G793" s="393" t="s">
        <v>1673</v>
      </c>
      <c r="H793" s="393" t="s">
        <v>228</v>
      </c>
      <c r="I793" s="392"/>
      <c r="J793" s="392" t="s">
        <v>228</v>
      </c>
      <c r="K793" s="392"/>
      <c r="L793" s="563" t="s">
        <v>3780</v>
      </c>
      <c r="M793" s="563" t="s">
        <v>3247</v>
      </c>
      <c r="N793" s="562" t="s">
        <v>44</v>
      </c>
      <c r="O793" s="393" t="s">
        <v>289</v>
      </c>
      <c r="P793" s="393" t="s">
        <v>289</v>
      </c>
      <c r="Q793" s="392" t="s">
        <v>721</v>
      </c>
      <c r="R793" s="560" t="s">
        <v>9796</v>
      </c>
      <c r="S793" s="563" t="s">
        <v>376</v>
      </c>
      <c r="T793" s="564">
        <v>2</v>
      </c>
      <c r="U793" s="565">
        <v>22.295000000000002</v>
      </c>
      <c r="V793" s="565"/>
      <c r="W793" s="567">
        <v>40821</v>
      </c>
      <c r="X793" s="564">
        <v>28</v>
      </c>
      <c r="Y793" s="564"/>
      <c r="Z793" s="564"/>
      <c r="AA793" s="565"/>
      <c r="AB793" s="566"/>
      <c r="AC793" s="568">
        <v>12.915189</v>
      </c>
      <c r="AD793" s="568">
        <v>102.71725205479453</v>
      </c>
      <c r="AE793" s="561" t="s">
        <v>37</v>
      </c>
      <c r="AF793" s="569"/>
      <c r="AG793" s="569"/>
      <c r="AH793" s="569">
        <v>0</v>
      </c>
      <c r="AI793" s="564"/>
      <c r="AJ793" s="566"/>
      <c r="AK793" s="566"/>
      <c r="AL793" s="561"/>
      <c r="AM793" s="561"/>
      <c r="AN793" s="569"/>
      <c r="AO793" s="563"/>
      <c r="AP793" s="560" t="s">
        <v>7071</v>
      </c>
      <c r="AQ793" s="563"/>
      <c r="AR793" s="563" t="s">
        <v>249</v>
      </c>
      <c r="AS793" s="578">
        <v>40821</v>
      </c>
      <c r="AT793" s="566"/>
      <c r="AU793" s="566"/>
      <c r="AV793" s="566">
        <v>41413</v>
      </c>
      <c r="AW793" s="566">
        <v>42256</v>
      </c>
      <c r="AX793" s="715">
        <v>42304</v>
      </c>
      <c r="AY793" s="566">
        <v>42256</v>
      </c>
      <c r="AZ793" s="566"/>
      <c r="BA793" s="561"/>
      <c r="BB793" s="561" t="s">
        <v>3116</v>
      </c>
      <c r="BC793" s="561" t="b">
        <v>0</v>
      </c>
      <c r="BD793" s="561" t="s">
        <v>3116</v>
      </c>
      <c r="BE793" s="563"/>
      <c r="BF793" s="394">
        <v>4</v>
      </c>
      <c r="BG793" s="394">
        <v>10</v>
      </c>
      <c r="BH793" s="394">
        <v>1</v>
      </c>
      <c r="BI793" s="394">
        <v>8</v>
      </c>
      <c r="BJ793" s="394"/>
      <c r="BK793" s="394"/>
      <c r="BL793" s="444"/>
      <c r="BM793" s="563"/>
      <c r="BN793" s="561"/>
      <c r="BO793" s="561"/>
      <c r="BP793" s="571"/>
      <c r="BQ793" s="572"/>
      <c r="BR793" s="573"/>
      <c r="BS793" s="571">
        <v>0</v>
      </c>
      <c r="BT793" s="564"/>
      <c r="BU793" s="569"/>
      <c r="BV793" s="571"/>
      <c r="BW793" s="561"/>
      <c r="BX793" s="563"/>
      <c r="BY793" s="562" t="s">
        <v>7224</v>
      </c>
      <c r="BZ793" s="561"/>
      <c r="CA793" s="574"/>
      <c r="CB793" s="572"/>
      <c r="CC793" s="568"/>
      <c r="CD793" s="568"/>
      <c r="CE793" s="568"/>
      <c r="CF793" s="568"/>
      <c r="CG793" s="568"/>
      <c r="CH793" s="568"/>
      <c r="CI793" s="568"/>
      <c r="CJ793" s="568"/>
      <c r="CK793" s="568"/>
      <c r="CL793" s="568"/>
      <c r="CM793" s="568"/>
      <c r="CN793" s="568"/>
      <c r="CO793" s="568"/>
      <c r="CP793" s="568"/>
      <c r="CQ793" s="568"/>
      <c r="CR793" s="568"/>
      <c r="CS793" s="568"/>
      <c r="CT793" s="568"/>
      <c r="CU793" s="568"/>
      <c r="CV793" s="568"/>
      <c r="CW793" s="568"/>
      <c r="CX793" s="568"/>
      <c r="CY793" s="568"/>
      <c r="CZ793" s="568"/>
      <c r="DA793" s="568"/>
      <c r="DB793" s="568"/>
      <c r="DC793" s="568"/>
      <c r="DD793" s="568"/>
      <c r="DE793" s="561"/>
      <c r="DF793" s="561"/>
      <c r="DG793" s="561"/>
      <c r="DH793" s="561"/>
      <c r="DI793" s="561"/>
      <c r="DJ793" s="561"/>
      <c r="DK793" s="896" t="s">
        <v>9738</v>
      </c>
    </row>
    <row r="794" spans="1:126" ht="25.5" x14ac:dyDescent="0.2">
      <c r="A794" s="295">
        <v>790</v>
      </c>
      <c r="B794" s="390" t="s">
        <v>2734</v>
      </c>
      <c r="C794" s="390"/>
      <c r="D794" s="391" t="s">
        <v>7266</v>
      </c>
      <c r="E794" s="704" t="s">
        <v>763</v>
      </c>
      <c r="F794" s="393" t="s">
        <v>1352</v>
      </c>
      <c r="G794" s="393" t="s">
        <v>1673</v>
      </c>
      <c r="H794" s="393" t="s">
        <v>228</v>
      </c>
      <c r="I794" s="392"/>
      <c r="J794" s="392"/>
      <c r="K794" s="392" t="s">
        <v>228</v>
      </c>
      <c r="L794" s="392" t="s">
        <v>3780</v>
      </c>
      <c r="M794" s="392"/>
      <c r="N794" s="475" t="s">
        <v>44</v>
      </c>
      <c r="O794" s="393" t="s">
        <v>289</v>
      </c>
      <c r="P794" s="393" t="s">
        <v>289</v>
      </c>
      <c r="Q794" s="392" t="s">
        <v>721</v>
      </c>
      <c r="R794" s="392" t="s">
        <v>7267</v>
      </c>
      <c r="S794" s="392" t="s">
        <v>376</v>
      </c>
      <c r="T794" s="394">
        <v>1</v>
      </c>
      <c r="U794" s="395">
        <v>11.022</v>
      </c>
      <c r="V794" s="395"/>
      <c r="W794" s="453"/>
      <c r="X794" s="394"/>
      <c r="Y794" s="394">
        <v>7</v>
      </c>
      <c r="Z794" s="394">
        <v>20</v>
      </c>
      <c r="AA794" s="395">
        <v>1</v>
      </c>
      <c r="AB794" s="452">
        <v>42256</v>
      </c>
      <c r="AC794" s="398">
        <v>12.915189</v>
      </c>
      <c r="AD794" s="398">
        <v>58.582684931506847</v>
      </c>
      <c r="AE794" s="393" t="s">
        <v>37</v>
      </c>
      <c r="AF794" s="417"/>
      <c r="AG794" s="417"/>
      <c r="AH794" s="417"/>
      <c r="AI794" s="394"/>
      <c r="AJ794" s="453"/>
      <c r="AK794" s="453"/>
      <c r="AL794" s="393"/>
      <c r="AM794" s="393"/>
      <c r="AN794" s="417"/>
      <c r="AO794" s="392"/>
      <c r="AP794" s="428" t="s">
        <v>7071</v>
      </c>
      <c r="AQ794" s="392"/>
      <c r="AR794" s="392" t="s">
        <v>249</v>
      </c>
      <c r="AS794" s="479">
        <v>40821</v>
      </c>
      <c r="AT794" s="453"/>
      <c r="AU794" s="453"/>
      <c r="AV794" s="453"/>
      <c r="AW794" s="453"/>
      <c r="AX794" s="478"/>
      <c r="AY794" s="453"/>
      <c r="AZ794" s="453">
        <v>42256</v>
      </c>
      <c r="BA794" s="393"/>
      <c r="BB794" s="393"/>
      <c r="BC794" s="393" t="b">
        <v>0</v>
      </c>
      <c r="BD794" s="393"/>
      <c r="BE794" s="392"/>
      <c r="BF794" s="394">
        <v>4</v>
      </c>
      <c r="BG794" s="394">
        <v>10</v>
      </c>
      <c r="BH794" s="394">
        <v>1</v>
      </c>
      <c r="BI794" s="394">
        <v>8</v>
      </c>
      <c r="BJ794" s="394"/>
      <c r="BK794" s="394"/>
      <c r="BL794" s="444" t="s">
        <v>6981</v>
      </c>
      <c r="BM794" s="392"/>
      <c r="BN794" s="393"/>
      <c r="BO794" s="393"/>
      <c r="BP794" s="399"/>
      <c r="BQ794" s="400"/>
      <c r="BR794" s="401"/>
      <c r="BS794" s="399"/>
      <c r="BT794" s="394"/>
      <c r="BU794" s="417"/>
      <c r="BV794" s="399"/>
      <c r="BW794" s="393" t="s">
        <v>3165</v>
      </c>
      <c r="BX794" s="392" t="s">
        <v>1450</v>
      </c>
      <c r="BY794" s="475" t="s">
        <v>7224</v>
      </c>
      <c r="BZ794" s="393"/>
      <c r="CA794" s="441"/>
      <c r="CB794" s="400"/>
      <c r="CC794" s="398"/>
      <c r="CD794" s="398"/>
      <c r="CE794" s="398"/>
      <c r="CF794" s="398"/>
      <c r="CG794" s="398"/>
      <c r="CH794" s="398">
        <v>1.353</v>
      </c>
      <c r="CI794" s="398">
        <v>7.8529999999999998</v>
      </c>
      <c r="CJ794" s="398">
        <v>13.362</v>
      </c>
      <c r="CK794" s="398">
        <v>13.362</v>
      </c>
      <c r="CL794" s="398">
        <v>13.362</v>
      </c>
      <c r="CM794" s="398">
        <v>13.362</v>
      </c>
      <c r="CN794" s="398">
        <v>13.362</v>
      </c>
      <c r="CO794" s="398"/>
      <c r="CP794" s="398"/>
      <c r="CQ794" s="398"/>
      <c r="CR794" s="398"/>
      <c r="CS794" s="398"/>
      <c r="CT794" s="398"/>
      <c r="CU794" s="398"/>
      <c r="CV794" s="398"/>
      <c r="CW794" s="398"/>
      <c r="CX794" s="398"/>
      <c r="CY794" s="398"/>
      <c r="CZ794" s="398"/>
      <c r="DA794" s="398"/>
      <c r="DB794" s="398"/>
      <c r="DC794" s="398"/>
      <c r="DD794" s="398"/>
      <c r="DE794" s="393"/>
      <c r="DF794" s="393"/>
      <c r="DG794" s="393"/>
      <c r="DH794" s="393"/>
      <c r="DI794" s="393"/>
      <c r="DJ794" s="393"/>
      <c r="DK794" s="897"/>
    </row>
    <row r="795" spans="1:126" ht="25.5" x14ac:dyDescent="0.2">
      <c r="A795" s="295">
        <v>791</v>
      </c>
      <c r="B795" s="390" t="s">
        <v>8928</v>
      </c>
      <c r="C795" s="390"/>
      <c r="D795" s="391" t="s">
        <v>8929</v>
      </c>
      <c r="E795" s="705" t="s">
        <v>8927</v>
      </c>
      <c r="F795" s="393" t="s">
        <v>1352</v>
      </c>
      <c r="G795" s="393" t="s">
        <v>1673</v>
      </c>
      <c r="H795" s="393" t="s">
        <v>228</v>
      </c>
      <c r="I795" s="392"/>
      <c r="J795" s="392"/>
      <c r="K795" s="428" t="s">
        <v>228</v>
      </c>
      <c r="L795" s="428" t="s">
        <v>3780</v>
      </c>
      <c r="M795" s="392"/>
      <c r="N795" s="475" t="s">
        <v>44</v>
      </c>
      <c r="O795" s="393" t="s">
        <v>289</v>
      </c>
      <c r="P795" s="393" t="s">
        <v>289</v>
      </c>
      <c r="Q795" s="392" t="s">
        <v>721</v>
      </c>
      <c r="R795" s="428" t="s">
        <v>7267</v>
      </c>
      <c r="S795" s="428" t="s">
        <v>376</v>
      </c>
      <c r="T795" s="394">
        <v>1</v>
      </c>
      <c r="U795" s="395">
        <v>11.273</v>
      </c>
      <c r="V795" s="395"/>
      <c r="W795" s="453"/>
      <c r="X795" s="394"/>
      <c r="Y795" s="394">
        <v>7</v>
      </c>
      <c r="Z795" s="394">
        <v>10</v>
      </c>
      <c r="AA795" s="395">
        <v>1</v>
      </c>
      <c r="AB795" s="452">
        <v>42767</v>
      </c>
      <c r="AC795" s="398"/>
      <c r="AD795" s="398">
        <v>44.134567123287674</v>
      </c>
      <c r="AE795" s="475" t="s">
        <v>37</v>
      </c>
      <c r="AF795" s="417"/>
      <c r="AG795" s="417"/>
      <c r="AH795" s="417"/>
      <c r="AI795" s="394"/>
      <c r="AJ795" s="453"/>
      <c r="AK795" s="453"/>
      <c r="AL795" s="393"/>
      <c r="AM795" s="393"/>
      <c r="AN795" s="417"/>
      <c r="AO795" s="392"/>
      <c r="AP795" s="428" t="s">
        <v>7071</v>
      </c>
      <c r="AQ795" s="392"/>
      <c r="AR795" s="392"/>
      <c r="AS795" s="479">
        <v>40821</v>
      </c>
      <c r="AT795" s="453"/>
      <c r="AU795" s="453"/>
      <c r="AV795" s="453"/>
      <c r="AW795" s="453"/>
      <c r="AX795" s="478"/>
      <c r="AY795" s="453"/>
      <c r="AZ795" s="453">
        <v>42767</v>
      </c>
      <c r="BA795" s="393"/>
      <c r="BB795" s="393"/>
      <c r="BC795" s="393" t="b">
        <v>0</v>
      </c>
      <c r="BD795" s="393"/>
      <c r="BE795" s="392"/>
      <c r="BF795" s="394">
        <v>4</v>
      </c>
      <c r="BG795" s="394">
        <v>10</v>
      </c>
      <c r="BH795" s="394">
        <v>1</v>
      </c>
      <c r="BI795" s="394">
        <v>8</v>
      </c>
      <c r="BJ795" s="394"/>
      <c r="BK795" s="394"/>
      <c r="BL795" s="444" t="s">
        <v>6981</v>
      </c>
      <c r="BM795" s="392"/>
      <c r="BN795" s="393"/>
      <c r="BO795" s="393"/>
      <c r="BP795" s="399"/>
      <c r="BQ795" s="400"/>
      <c r="BR795" s="401"/>
      <c r="BS795" s="399"/>
      <c r="BT795" s="394"/>
      <c r="BU795" s="417"/>
      <c r="BV795" s="399"/>
      <c r="BW795" s="475" t="s">
        <v>3165</v>
      </c>
      <c r="BX795" s="428"/>
      <c r="BY795" s="475" t="s">
        <v>7224</v>
      </c>
      <c r="BZ795" s="393"/>
      <c r="CA795" s="441"/>
      <c r="CB795" s="400"/>
      <c r="CC795" s="398"/>
      <c r="CD795" s="398"/>
      <c r="CE795" s="398"/>
      <c r="CF795" s="398"/>
      <c r="CG795" s="398"/>
      <c r="CH795" s="398"/>
      <c r="CI795" s="398"/>
      <c r="CJ795" s="398"/>
      <c r="CK795" s="398"/>
      <c r="CL795" s="398"/>
      <c r="CM795" s="398">
        <v>11.273</v>
      </c>
      <c r="CN795" s="398">
        <v>11.273</v>
      </c>
      <c r="CO795" s="398">
        <v>11.273</v>
      </c>
      <c r="CP795" s="398">
        <v>11.273</v>
      </c>
      <c r="CQ795" s="398">
        <v>11.273</v>
      </c>
      <c r="CR795" s="398">
        <v>11.273</v>
      </c>
      <c r="CS795" s="398">
        <v>11.273</v>
      </c>
      <c r="CT795" s="398"/>
      <c r="CU795" s="398"/>
      <c r="CV795" s="398"/>
      <c r="CW795" s="398"/>
      <c r="CX795" s="398"/>
      <c r="CY795" s="398"/>
      <c r="CZ795" s="398"/>
      <c r="DA795" s="398"/>
      <c r="DB795" s="398"/>
      <c r="DC795" s="398"/>
      <c r="DD795" s="398"/>
      <c r="DE795" s="393"/>
      <c r="DF795" s="393"/>
      <c r="DG795" s="393"/>
      <c r="DH795" s="393"/>
      <c r="DI795" s="393"/>
      <c r="DJ795" s="393"/>
      <c r="DK795" s="897"/>
    </row>
    <row r="796" spans="1:126" ht="51" x14ac:dyDescent="0.2">
      <c r="A796" s="295">
        <v>792</v>
      </c>
      <c r="B796" s="390" t="s">
        <v>87</v>
      </c>
      <c r="C796" s="424" t="s">
        <v>7563</v>
      </c>
      <c r="D796" s="391" t="s">
        <v>5113</v>
      </c>
      <c r="E796" s="843" t="s">
        <v>88</v>
      </c>
      <c r="F796" s="393" t="s">
        <v>1352</v>
      </c>
      <c r="G796" s="393" t="s">
        <v>1672</v>
      </c>
      <c r="H796" s="393" t="s">
        <v>89</v>
      </c>
      <c r="I796" s="563"/>
      <c r="J796" s="563" t="s">
        <v>89</v>
      </c>
      <c r="K796" s="563"/>
      <c r="L796" s="563" t="s">
        <v>90</v>
      </c>
      <c r="M796" s="563" t="s">
        <v>3248</v>
      </c>
      <c r="N796" s="561" t="s">
        <v>44</v>
      </c>
      <c r="O796" s="393" t="s">
        <v>45</v>
      </c>
      <c r="P796" s="393" t="s">
        <v>45</v>
      </c>
      <c r="Q796" s="392" t="s">
        <v>86</v>
      </c>
      <c r="R796" s="563"/>
      <c r="S796" s="563" t="s">
        <v>46</v>
      </c>
      <c r="T796" s="564">
        <v>1</v>
      </c>
      <c r="U796" s="565">
        <v>23.754000000000001</v>
      </c>
      <c r="V796" s="565"/>
      <c r="W796" s="567">
        <v>40827</v>
      </c>
      <c r="X796" s="564">
        <v>28</v>
      </c>
      <c r="Y796" s="564"/>
      <c r="Z796" s="564"/>
      <c r="AA796" s="565"/>
      <c r="AB796" s="566"/>
      <c r="AC796" s="568">
        <v>0</v>
      </c>
      <c r="AD796" s="568">
        <v>237.54000000000002</v>
      </c>
      <c r="AE796" s="561" t="s">
        <v>72</v>
      </c>
      <c r="AF796" s="569"/>
      <c r="AG796" s="569"/>
      <c r="AH796" s="569">
        <v>0</v>
      </c>
      <c r="AI796" s="564"/>
      <c r="AJ796" s="566"/>
      <c r="AK796" s="566"/>
      <c r="AL796" s="561"/>
      <c r="AM796" s="561"/>
      <c r="AN796" s="569"/>
      <c r="AO796" s="563"/>
      <c r="AP796" s="563" t="s">
        <v>55</v>
      </c>
      <c r="AQ796" s="563"/>
      <c r="AR796" s="563" t="s">
        <v>97</v>
      </c>
      <c r="AS796" s="578">
        <v>40827</v>
      </c>
      <c r="AT796" s="566"/>
      <c r="AU796" s="566"/>
      <c r="AV796" s="567">
        <v>40807</v>
      </c>
      <c r="AW796" s="567">
        <v>41109</v>
      </c>
      <c r="AX796" s="567">
        <v>41166</v>
      </c>
      <c r="AY796" s="567">
        <v>41113</v>
      </c>
      <c r="AZ796" s="566"/>
      <c r="BA796" s="561"/>
      <c r="BB796" s="561" t="s">
        <v>3147</v>
      </c>
      <c r="BC796" s="561" t="b">
        <v>1</v>
      </c>
      <c r="BD796" s="561" t="s">
        <v>3147</v>
      </c>
      <c r="BE796" s="563"/>
      <c r="BF796" s="394">
        <v>12</v>
      </c>
      <c r="BG796" s="394">
        <v>9</v>
      </c>
      <c r="BH796" s="394">
        <v>4</v>
      </c>
      <c r="BI796" s="394">
        <v>1</v>
      </c>
      <c r="BJ796" s="394">
        <v>8</v>
      </c>
      <c r="BK796" s="394">
        <v>7</v>
      </c>
      <c r="BL796" s="444"/>
      <c r="BM796" s="563"/>
      <c r="BN796" s="561"/>
      <c r="BO796" s="561"/>
      <c r="BP796" s="571"/>
      <c r="BQ796" s="572"/>
      <c r="BR796" s="573"/>
      <c r="BS796" s="571">
        <v>0</v>
      </c>
      <c r="BT796" s="564"/>
      <c r="BU796" s="569"/>
      <c r="BV796" s="571"/>
      <c r="BW796" s="561"/>
      <c r="BX796" s="563"/>
      <c r="BY796" s="562" t="s">
        <v>7224</v>
      </c>
      <c r="BZ796" s="561"/>
      <c r="CA796" s="574"/>
      <c r="CB796" s="572"/>
      <c r="CC796" s="568"/>
      <c r="CD796" s="568"/>
      <c r="CE796" s="568"/>
      <c r="CF796" s="568"/>
      <c r="CG796" s="568"/>
      <c r="CH796" s="568"/>
      <c r="CI796" s="568"/>
      <c r="CJ796" s="568"/>
      <c r="CK796" s="568"/>
      <c r="CL796" s="568"/>
      <c r="CM796" s="568"/>
      <c r="CN796" s="568"/>
      <c r="CO796" s="568"/>
      <c r="CP796" s="568"/>
      <c r="CQ796" s="568"/>
      <c r="CR796" s="568"/>
      <c r="CS796" s="568"/>
      <c r="CT796" s="568"/>
      <c r="CU796" s="568"/>
      <c r="CV796" s="568"/>
      <c r="CW796" s="568"/>
      <c r="CX796" s="568"/>
      <c r="CY796" s="568"/>
      <c r="CZ796" s="568"/>
      <c r="DA796" s="568"/>
      <c r="DB796" s="568"/>
      <c r="DC796" s="568"/>
      <c r="DD796" s="568"/>
      <c r="DE796" s="561"/>
      <c r="DF796" s="561"/>
      <c r="DG796" s="561"/>
      <c r="DH796" s="561"/>
      <c r="DI796" s="561"/>
      <c r="DJ796" s="561"/>
      <c r="DK796" s="896" t="s">
        <v>9701</v>
      </c>
    </row>
    <row r="797" spans="1:126" ht="38.25" x14ac:dyDescent="0.2">
      <c r="A797" s="295">
        <v>793</v>
      </c>
      <c r="B797" s="390" t="s">
        <v>2735</v>
      </c>
      <c r="C797" s="390"/>
      <c r="D797" s="391" t="s">
        <v>3249</v>
      </c>
      <c r="E797" s="704" t="s">
        <v>91</v>
      </c>
      <c r="F797" s="393" t="s">
        <v>1352</v>
      </c>
      <c r="G797" s="393" t="s">
        <v>1672</v>
      </c>
      <c r="H797" s="393" t="s">
        <v>89</v>
      </c>
      <c r="I797" s="392"/>
      <c r="J797" s="392"/>
      <c r="K797" s="392" t="s">
        <v>89</v>
      </c>
      <c r="L797" s="392" t="s">
        <v>90</v>
      </c>
      <c r="M797" s="392"/>
      <c r="N797" s="393" t="s">
        <v>44</v>
      </c>
      <c r="O797" s="393" t="s">
        <v>45</v>
      </c>
      <c r="P797" s="393" t="s">
        <v>45</v>
      </c>
      <c r="Q797" s="392" t="s">
        <v>86</v>
      </c>
      <c r="R797" s="392" t="s">
        <v>3250</v>
      </c>
      <c r="S797" s="392" t="s">
        <v>46</v>
      </c>
      <c r="T797" s="394">
        <v>1</v>
      </c>
      <c r="U797" s="395">
        <v>23.754000000000001</v>
      </c>
      <c r="V797" s="395"/>
      <c r="W797" s="453"/>
      <c r="X797" s="394"/>
      <c r="Y797" s="394">
        <v>10</v>
      </c>
      <c r="Z797" s="394">
        <v>25</v>
      </c>
      <c r="AA797" s="395">
        <v>0</v>
      </c>
      <c r="AB797" s="452">
        <v>41275</v>
      </c>
      <c r="AC797" s="398">
        <v>0</v>
      </c>
      <c r="AD797" s="398">
        <v>237.54000000000002</v>
      </c>
      <c r="AE797" s="393" t="s">
        <v>72</v>
      </c>
      <c r="AF797" s="417"/>
      <c r="AG797" s="417"/>
      <c r="AH797" s="417"/>
      <c r="AI797" s="394"/>
      <c r="AJ797" s="453"/>
      <c r="AK797" s="453"/>
      <c r="AL797" s="393"/>
      <c r="AM797" s="393"/>
      <c r="AN797" s="417"/>
      <c r="AO797" s="392"/>
      <c r="AP797" s="392" t="s">
        <v>55</v>
      </c>
      <c r="AQ797" s="392"/>
      <c r="AR797" s="392" t="s">
        <v>97</v>
      </c>
      <c r="AS797" s="479">
        <v>40827</v>
      </c>
      <c r="AT797" s="453"/>
      <c r="AU797" s="453"/>
      <c r="AV797" s="453"/>
      <c r="AW797" s="453"/>
      <c r="AX797" s="453"/>
      <c r="AY797" s="453"/>
      <c r="AZ797" s="452">
        <v>41113</v>
      </c>
      <c r="BA797" s="393"/>
      <c r="BB797" s="393"/>
      <c r="BC797" s="393" t="b">
        <v>0</v>
      </c>
      <c r="BD797" s="393"/>
      <c r="BE797" s="392"/>
      <c r="BF797" s="394">
        <v>12</v>
      </c>
      <c r="BG797" s="394">
        <v>9</v>
      </c>
      <c r="BH797" s="394">
        <v>4</v>
      </c>
      <c r="BI797" s="394">
        <v>1</v>
      </c>
      <c r="BJ797" s="394">
        <v>8</v>
      </c>
      <c r="BK797" s="394">
        <v>7</v>
      </c>
      <c r="BL797" s="444" t="s">
        <v>6981</v>
      </c>
      <c r="BM797" s="392"/>
      <c r="BN797" s="393"/>
      <c r="BO797" s="393"/>
      <c r="BP797" s="399"/>
      <c r="BQ797" s="400"/>
      <c r="BR797" s="401"/>
      <c r="BS797" s="399"/>
      <c r="BT797" s="394"/>
      <c r="BU797" s="417">
        <v>0.57640000000000002</v>
      </c>
      <c r="BV797" s="399"/>
      <c r="BW797" s="393" t="s">
        <v>3117</v>
      </c>
      <c r="BX797" s="392" t="s">
        <v>1447</v>
      </c>
      <c r="BY797" s="475" t="s">
        <v>7224</v>
      </c>
      <c r="BZ797" s="393"/>
      <c r="CA797" s="441" t="s">
        <v>1664</v>
      </c>
      <c r="CB797" s="400"/>
      <c r="CC797" s="398"/>
      <c r="CD797" s="398"/>
      <c r="CE797" s="398"/>
      <c r="CF797" s="398"/>
      <c r="CG797" s="398"/>
      <c r="CH797" s="398"/>
      <c r="CI797" s="398">
        <v>24.314</v>
      </c>
      <c r="CJ797" s="398">
        <v>24.314</v>
      </c>
      <c r="CK797" s="398">
        <v>24.314</v>
      </c>
      <c r="CL797" s="398">
        <v>24.314</v>
      </c>
      <c r="CM797" s="398">
        <v>24.314</v>
      </c>
      <c r="CN797" s="398">
        <v>24.314</v>
      </c>
      <c r="CO797" s="398">
        <v>24.314</v>
      </c>
      <c r="CP797" s="398">
        <v>24.314</v>
      </c>
      <c r="CQ797" s="398">
        <v>24.314</v>
      </c>
      <c r="CR797" s="398">
        <v>24.314</v>
      </c>
      <c r="CS797" s="398"/>
      <c r="CT797" s="398"/>
      <c r="CU797" s="398"/>
      <c r="CV797" s="398"/>
      <c r="CW797" s="398"/>
      <c r="CX797" s="398"/>
      <c r="CY797" s="398"/>
      <c r="CZ797" s="398"/>
      <c r="DA797" s="398"/>
      <c r="DB797" s="398"/>
      <c r="DC797" s="398"/>
      <c r="DD797" s="398"/>
      <c r="DE797" s="393"/>
      <c r="DF797" s="393"/>
      <c r="DG797" s="393"/>
      <c r="DH797" s="393"/>
      <c r="DI797" s="393"/>
      <c r="DJ797" s="393"/>
      <c r="DK797" s="897"/>
    </row>
    <row r="798" spans="1:126" ht="63.75" x14ac:dyDescent="0.2">
      <c r="A798" s="295">
        <v>794</v>
      </c>
      <c r="B798" s="390" t="s">
        <v>636</v>
      </c>
      <c r="C798" s="424" t="s">
        <v>7564</v>
      </c>
      <c r="D798" s="391"/>
      <c r="E798" s="707" t="s">
        <v>637</v>
      </c>
      <c r="F798" s="404" t="s">
        <v>1352</v>
      </c>
      <c r="G798" s="404" t="s">
        <v>1672</v>
      </c>
      <c r="H798" s="404" t="s">
        <v>632</v>
      </c>
      <c r="I798" s="403"/>
      <c r="J798" s="403" t="s">
        <v>632</v>
      </c>
      <c r="K798" s="403"/>
      <c r="L798" s="403" t="s">
        <v>638</v>
      </c>
      <c r="M798" s="403" t="s">
        <v>3251</v>
      </c>
      <c r="N798" s="404" t="s">
        <v>3142</v>
      </c>
      <c r="O798" s="404" t="s">
        <v>69</v>
      </c>
      <c r="P798" s="404" t="s">
        <v>69</v>
      </c>
      <c r="Q798" s="403" t="s">
        <v>572</v>
      </c>
      <c r="R798" s="403"/>
      <c r="S798" s="403" t="s">
        <v>205</v>
      </c>
      <c r="T798" s="405">
        <v>1</v>
      </c>
      <c r="U798" s="406">
        <v>15.51</v>
      </c>
      <c r="V798" s="406"/>
      <c r="W798" s="456">
        <v>40909</v>
      </c>
      <c r="X798" s="405">
        <v>28</v>
      </c>
      <c r="Y798" s="405"/>
      <c r="Z798" s="405"/>
      <c r="AA798" s="406"/>
      <c r="AB798" s="455"/>
      <c r="AC798" s="407">
        <v>12.96636</v>
      </c>
      <c r="AD798" s="407">
        <v>137.12539726027396</v>
      </c>
      <c r="AE798" s="404" t="s">
        <v>54</v>
      </c>
      <c r="AF798" s="418"/>
      <c r="AG798" s="418"/>
      <c r="AH798" s="418">
        <v>0</v>
      </c>
      <c r="AI798" s="405"/>
      <c r="AJ798" s="455"/>
      <c r="AK798" s="455"/>
      <c r="AL798" s="404"/>
      <c r="AM798" s="404"/>
      <c r="AN798" s="418"/>
      <c r="AO798" s="403"/>
      <c r="AP798" s="403" t="s">
        <v>55</v>
      </c>
      <c r="AQ798" s="403"/>
      <c r="AR798" s="403" t="s">
        <v>639</v>
      </c>
      <c r="AS798" s="482">
        <v>40827</v>
      </c>
      <c r="AT798" s="455"/>
      <c r="AU798" s="455"/>
      <c r="AV798" s="455"/>
      <c r="AW798" s="455"/>
      <c r="AX798" s="455"/>
      <c r="AY798" s="455"/>
      <c r="AZ798" s="455"/>
      <c r="BA798" s="404"/>
      <c r="BB798" s="404" t="s">
        <v>3147</v>
      </c>
      <c r="BC798" s="404" t="b">
        <v>0</v>
      </c>
      <c r="BD798" s="404" t="s">
        <v>3147</v>
      </c>
      <c r="BE798" s="403"/>
      <c r="BF798" s="405">
        <v>1</v>
      </c>
      <c r="BG798" s="405">
        <v>4</v>
      </c>
      <c r="BH798" s="405">
        <v>8</v>
      </c>
      <c r="BI798" s="405">
        <v>6</v>
      </c>
      <c r="BJ798" s="405">
        <v>9</v>
      </c>
      <c r="BK798" s="405"/>
      <c r="BL798" s="446"/>
      <c r="BM798" s="403"/>
      <c r="BN798" s="404"/>
      <c r="BO798" s="404"/>
      <c r="BP798" s="408"/>
      <c r="BQ798" s="409"/>
      <c r="BR798" s="410"/>
      <c r="BS798" s="408">
        <v>0</v>
      </c>
      <c r="BT798" s="405"/>
      <c r="BU798" s="418"/>
      <c r="BV798" s="408"/>
      <c r="BW798" s="404"/>
      <c r="BX798" s="403"/>
      <c r="BY798" s="404"/>
      <c r="BZ798" s="404"/>
      <c r="CA798" s="443"/>
      <c r="CB798" s="409"/>
      <c r="CC798" s="407"/>
      <c r="CD798" s="407"/>
      <c r="CE798" s="407"/>
      <c r="CF798" s="407"/>
      <c r="CG798" s="407"/>
      <c r="CH798" s="407"/>
      <c r="CI798" s="407"/>
      <c r="CJ798" s="407"/>
      <c r="CK798" s="407"/>
      <c r="CL798" s="407"/>
      <c r="CM798" s="407"/>
      <c r="CN798" s="407"/>
      <c r="CO798" s="407"/>
      <c r="CP798" s="407"/>
      <c r="CQ798" s="407"/>
      <c r="CR798" s="407"/>
      <c r="CS798" s="407"/>
      <c r="CT798" s="407"/>
      <c r="CU798" s="407"/>
      <c r="CV798" s="407"/>
      <c r="CW798" s="407"/>
      <c r="CX798" s="407"/>
      <c r="CY798" s="407"/>
      <c r="CZ798" s="407"/>
      <c r="DA798" s="407"/>
      <c r="DB798" s="407"/>
      <c r="DC798" s="407"/>
      <c r="DD798" s="407"/>
      <c r="DE798" s="404"/>
      <c r="DF798" s="404"/>
      <c r="DG798" s="404"/>
      <c r="DH798" s="404"/>
      <c r="DI798" s="404"/>
      <c r="DJ798" s="404"/>
      <c r="DK798" s="897"/>
    </row>
    <row r="799" spans="1:126" ht="38.25" x14ac:dyDescent="0.2">
      <c r="A799" s="295">
        <v>795</v>
      </c>
      <c r="B799" s="390" t="s">
        <v>2736</v>
      </c>
      <c r="C799" s="390"/>
      <c r="D799" s="391"/>
      <c r="E799" s="707" t="s">
        <v>640</v>
      </c>
      <c r="F799" s="404" t="s">
        <v>1352</v>
      </c>
      <c r="G799" s="404" t="s">
        <v>1672</v>
      </c>
      <c r="H799" s="404" t="s">
        <v>632</v>
      </c>
      <c r="I799" s="403"/>
      <c r="J799" s="403"/>
      <c r="K799" s="403" t="s">
        <v>2177</v>
      </c>
      <c r="L799" s="403" t="s">
        <v>638</v>
      </c>
      <c r="M799" s="403"/>
      <c r="N799" s="404" t="s">
        <v>3142</v>
      </c>
      <c r="O799" s="404" t="s">
        <v>69</v>
      </c>
      <c r="P799" s="404" t="s">
        <v>69</v>
      </c>
      <c r="Q799" s="403" t="s">
        <v>572</v>
      </c>
      <c r="R799" s="403" t="s">
        <v>3252</v>
      </c>
      <c r="S799" s="403" t="s">
        <v>205</v>
      </c>
      <c r="T799" s="405">
        <v>1</v>
      </c>
      <c r="U799" s="406">
        <v>15.51</v>
      </c>
      <c r="V799" s="406"/>
      <c r="W799" s="455"/>
      <c r="X799" s="405"/>
      <c r="Y799" s="405">
        <v>7</v>
      </c>
      <c r="Z799" s="405">
        <v>7</v>
      </c>
      <c r="AA799" s="406">
        <v>0</v>
      </c>
      <c r="AB799" s="456">
        <v>40969</v>
      </c>
      <c r="AC799" s="407">
        <v>12.96636</v>
      </c>
      <c r="AD799" s="407">
        <v>137.12539726027396</v>
      </c>
      <c r="AE799" s="404" t="s">
        <v>54</v>
      </c>
      <c r="AF799" s="418"/>
      <c r="AG799" s="418"/>
      <c r="AH799" s="418"/>
      <c r="AI799" s="405"/>
      <c r="AJ799" s="455"/>
      <c r="AK799" s="455"/>
      <c r="AL799" s="404"/>
      <c r="AM799" s="404"/>
      <c r="AN799" s="418"/>
      <c r="AO799" s="403"/>
      <c r="AP799" s="403" t="s">
        <v>55</v>
      </c>
      <c r="AQ799" s="403"/>
      <c r="AR799" s="403" t="s">
        <v>639</v>
      </c>
      <c r="AS799" s="482">
        <v>40827</v>
      </c>
      <c r="AT799" s="455"/>
      <c r="AU799" s="455"/>
      <c r="AV799" s="455"/>
      <c r="AW799" s="455"/>
      <c r="AX799" s="455"/>
      <c r="AY799" s="455"/>
      <c r="AZ799" s="455"/>
      <c r="BA799" s="404"/>
      <c r="BB799" s="404"/>
      <c r="BC799" s="404" t="b">
        <v>0</v>
      </c>
      <c r="BD799" s="404"/>
      <c r="BE799" s="403"/>
      <c r="BF799" s="405">
        <v>1</v>
      </c>
      <c r="BG799" s="405">
        <v>4</v>
      </c>
      <c r="BH799" s="405">
        <v>8</v>
      </c>
      <c r="BI799" s="405">
        <v>6</v>
      </c>
      <c r="BJ799" s="405">
        <v>9</v>
      </c>
      <c r="BK799" s="405"/>
      <c r="BL799" s="446" t="s">
        <v>6981</v>
      </c>
      <c r="BM799" s="403"/>
      <c r="BN799" s="404"/>
      <c r="BO799" s="404"/>
      <c r="BP799" s="408"/>
      <c r="BQ799" s="409"/>
      <c r="BR799" s="410"/>
      <c r="BS799" s="408"/>
      <c r="BT799" s="405"/>
      <c r="BU799" s="418"/>
      <c r="BV799" s="408"/>
      <c r="BW799" s="404" t="s">
        <v>3117</v>
      </c>
      <c r="BX799" s="403" t="s">
        <v>3253</v>
      </c>
      <c r="BY799" s="404"/>
      <c r="BZ799" s="404"/>
      <c r="CA799" s="443"/>
      <c r="CB799" s="409"/>
      <c r="CC799" s="407"/>
      <c r="CD799" s="407"/>
      <c r="CE799" s="407"/>
      <c r="CF799" s="407"/>
      <c r="CG799" s="407"/>
      <c r="CH799" s="407">
        <v>15.51</v>
      </c>
      <c r="CI799" s="407">
        <v>15.51</v>
      </c>
      <c r="CJ799" s="407">
        <v>15.51</v>
      </c>
      <c r="CK799" s="407">
        <v>15.51</v>
      </c>
      <c r="CL799" s="407">
        <v>15.51</v>
      </c>
      <c r="CM799" s="407">
        <v>15.51</v>
      </c>
      <c r="CN799" s="407">
        <v>15.51</v>
      </c>
      <c r="CO799" s="407"/>
      <c r="CP799" s="407"/>
      <c r="CQ799" s="407"/>
      <c r="CR799" s="407"/>
      <c r="CS799" s="407"/>
      <c r="CT799" s="407"/>
      <c r="CU799" s="407"/>
      <c r="CV799" s="407"/>
      <c r="CW799" s="407"/>
      <c r="CX799" s="407"/>
      <c r="CY799" s="407"/>
      <c r="CZ799" s="407"/>
      <c r="DA799" s="407"/>
      <c r="DB799" s="407"/>
      <c r="DC799" s="407"/>
      <c r="DD799" s="407"/>
      <c r="DE799" s="404"/>
      <c r="DF799" s="404"/>
      <c r="DG799" s="404"/>
      <c r="DH799" s="404"/>
      <c r="DI799" s="404"/>
      <c r="DJ799" s="404"/>
      <c r="DK799" s="897"/>
    </row>
    <row r="800" spans="1:126" ht="89.25" x14ac:dyDescent="0.2">
      <c r="A800" s="295">
        <v>796</v>
      </c>
      <c r="B800" s="390" t="s">
        <v>503</v>
      </c>
      <c r="C800" s="424" t="s">
        <v>7565</v>
      </c>
      <c r="D800" s="391" t="s">
        <v>5527</v>
      </c>
      <c r="E800" s="704" t="s">
        <v>5528</v>
      </c>
      <c r="F800" s="393" t="s">
        <v>1375</v>
      </c>
      <c r="G800" s="393" t="s">
        <v>998</v>
      </c>
      <c r="H800" s="393" t="s">
        <v>504</v>
      </c>
      <c r="I800" s="392" t="s">
        <v>4085</v>
      </c>
      <c r="J800" s="392" t="s">
        <v>505</v>
      </c>
      <c r="K800" s="392"/>
      <c r="L800" s="428" t="s">
        <v>8128</v>
      </c>
      <c r="M800" s="392" t="s">
        <v>3254</v>
      </c>
      <c r="N800" s="393" t="s">
        <v>44</v>
      </c>
      <c r="O800" s="393" t="s">
        <v>827</v>
      </c>
      <c r="P800" s="393" t="s">
        <v>51</v>
      </c>
      <c r="Q800" s="392" t="s">
        <v>828</v>
      </c>
      <c r="R800" s="392"/>
      <c r="S800" s="392" t="s">
        <v>483</v>
      </c>
      <c r="T800" s="394">
        <v>1</v>
      </c>
      <c r="U800" s="395">
        <v>41.85</v>
      </c>
      <c r="V800" s="395"/>
      <c r="W800" s="452">
        <v>40826</v>
      </c>
      <c r="X800" s="394">
        <v>28</v>
      </c>
      <c r="Y800" s="394"/>
      <c r="Z800" s="394"/>
      <c r="AA800" s="395"/>
      <c r="AB800" s="453"/>
      <c r="AC800" s="398">
        <v>45.006104999999998</v>
      </c>
      <c r="AD800" s="398">
        <v>373.32493150684934</v>
      </c>
      <c r="AE800" s="393" t="s">
        <v>133</v>
      </c>
      <c r="AF800" s="417"/>
      <c r="AG800" s="417"/>
      <c r="AH800" s="417">
        <v>0</v>
      </c>
      <c r="AI800" s="394"/>
      <c r="AJ800" s="453"/>
      <c r="AK800" s="453"/>
      <c r="AL800" s="393"/>
      <c r="AM800" s="393"/>
      <c r="AN800" s="417"/>
      <c r="AO800" s="392"/>
      <c r="AP800" s="428" t="s">
        <v>8127</v>
      </c>
      <c r="AQ800" s="392"/>
      <c r="AR800" s="392" t="s">
        <v>3781</v>
      </c>
      <c r="AS800" s="479">
        <v>40828</v>
      </c>
      <c r="AT800" s="453"/>
      <c r="AU800" s="453"/>
      <c r="AV800" s="452">
        <v>41050</v>
      </c>
      <c r="AW800" s="452">
        <v>41292</v>
      </c>
      <c r="AX800" s="453"/>
      <c r="AY800" s="452">
        <v>41548</v>
      </c>
      <c r="AZ800" s="453"/>
      <c r="BA800" s="393"/>
      <c r="BB800" s="393" t="s">
        <v>3147</v>
      </c>
      <c r="BC800" s="393" t="b">
        <v>0</v>
      </c>
      <c r="BD800" s="393" t="s">
        <v>3147</v>
      </c>
      <c r="BE800" s="392"/>
      <c r="BF800" s="394">
        <v>9</v>
      </c>
      <c r="BG800" s="394">
        <v>5</v>
      </c>
      <c r="BH800" s="394">
        <v>7</v>
      </c>
      <c r="BI800" s="394">
        <v>6</v>
      </c>
      <c r="BJ800" s="394">
        <v>8</v>
      </c>
      <c r="BK800" s="394"/>
      <c r="BL800" s="444"/>
      <c r="BM800" s="392"/>
      <c r="BN800" s="393"/>
      <c r="BO800" s="393"/>
      <c r="BP800" s="399"/>
      <c r="BQ800" s="400"/>
      <c r="BR800" s="401"/>
      <c r="BS800" s="399">
        <v>0</v>
      </c>
      <c r="BT800" s="394"/>
      <c r="BU800" s="417"/>
      <c r="BV800" s="399"/>
      <c r="BW800" s="393"/>
      <c r="BX800" s="392"/>
      <c r="BY800" s="475" t="s">
        <v>7227</v>
      </c>
      <c r="BZ800" s="393"/>
      <c r="CA800" s="441"/>
      <c r="CB800" s="400"/>
      <c r="CC800" s="398"/>
      <c r="CD800" s="398"/>
      <c r="CE800" s="398"/>
      <c r="CF800" s="398"/>
      <c r="CG800" s="398"/>
      <c r="CH800" s="398"/>
      <c r="CI800" s="398"/>
      <c r="CJ800" s="398"/>
      <c r="CK800" s="398"/>
      <c r="CL800" s="398"/>
      <c r="CM800" s="398"/>
      <c r="CN800" s="398"/>
      <c r="CO800" s="398"/>
      <c r="CP800" s="398"/>
      <c r="CQ800" s="398"/>
      <c r="CR800" s="398"/>
      <c r="CS800" s="398"/>
      <c r="CT800" s="398"/>
      <c r="CU800" s="398"/>
      <c r="CV800" s="398"/>
      <c r="CW800" s="398"/>
      <c r="CX800" s="398"/>
      <c r="CY800" s="398"/>
      <c r="CZ800" s="398"/>
      <c r="DA800" s="398"/>
      <c r="DB800" s="398"/>
      <c r="DC800" s="398"/>
      <c r="DD800" s="398"/>
      <c r="DE800" s="393"/>
      <c r="DF800" s="393"/>
      <c r="DG800" s="393"/>
      <c r="DH800" s="393"/>
      <c r="DI800" s="393"/>
      <c r="DJ800" s="393"/>
      <c r="DK800" s="896" t="s">
        <v>9743</v>
      </c>
    </row>
    <row r="801" spans="1:115" ht="63.75" x14ac:dyDescent="0.2">
      <c r="A801" s="295">
        <v>797</v>
      </c>
      <c r="B801" s="390" t="s">
        <v>2737</v>
      </c>
      <c r="C801" s="390"/>
      <c r="D801" s="391" t="s">
        <v>5529</v>
      </c>
      <c r="E801" s="704" t="s">
        <v>506</v>
      </c>
      <c r="F801" s="393" t="s">
        <v>1375</v>
      </c>
      <c r="G801" s="393" t="s">
        <v>998</v>
      </c>
      <c r="H801" s="393" t="s">
        <v>504</v>
      </c>
      <c r="I801" s="392"/>
      <c r="J801" s="392"/>
      <c r="K801" s="392" t="s">
        <v>2178</v>
      </c>
      <c r="L801" s="428" t="s">
        <v>8128</v>
      </c>
      <c r="M801" s="392"/>
      <c r="N801" s="393" t="s">
        <v>44</v>
      </c>
      <c r="O801" s="393" t="s">
        <v>827</v>
      </c>
      <c r="P801" s="393" t="s">
        <v>51</v>
      </c>
      <c r="Q801" s="392" t="s">
        <v>828</v>
      </c>
      <c r="R801" s="392" t="s">
        <v>3255</v>
      </c>
      <c r="S801" s="392" t="s">
        <v>483</v>
      </c>
      <c r="T801" s="394">
        <v>1</v>
      </c>
      <c r="U801" s="395">
        <v>41.85</v>
      </c>
      <c r="V801" s="395"/>
      <c r="W801" s="453"/>
      <c r="X801" s="394"/>
      <c r="Y801" s="394">
        <v>7</v>
      </c>
      <c r="Z801" s="394">
        <v>28</v>
      </c>
      <c r="AA801" s="395">
        <v>5.6660000000000004</v>
      </c>
      <c r="AB801" s="452">
        <v>40940</v>
      </c>
      <c r="AC801" s="398">
        <v>45.006104999999998</v>
      </c>
      <c r="AD801" s="398">
        <v>373.32493150684934</v>
      </c>
      <c r="AE801" s="393" t="s">
        <v>133</v>
      </c>
      <c r="AF801" s="417"/>
      <c r="AG801" s="417"/>
      <c r="AH801" s="417"/>
      <c r="AI801" s="394"/>
      <c r="AJ801" s="453"/>
      <c r="AK801" s="453"/>
      <c r="AL801" s="393"/>
      <c r="AM801" s="393"/>
      <c r="AN801" s="417"/>
      <c r="AO801" s="392"/>
      <c r="AP801" s="428" t="s">
        <v>8127</v>
      </c>
      <c r="AQ801" s="392"/>
      <c r="AR801" s="392" t="s">
        <v>3781</v>
      </c>
      <c r="AS801" s="479">
        <v>40828</v>
      </c>
      <c r="AT801" s="453"/>
      <c r="AU801" s="453"/>
      <c r="AV801" s="453"/>
      <c r="AW801" s="453"/>
      <c r="AX801" s="453"/>
      <c r="AY801" s="453"/>
      <c r="AZ801" s="452">
        <v>41548</v>
      </c>
      <c r="BA801" s="393"/>
      <c r="BB801" s="393"/>
      <c r="BC801" s="393" t="b">
        <v>0</v>
      </c>
      <c r="BD801" s="393"/>
      <c r="BE801" s="392"/>
      <c r="BF801" s="394">
        <v>9</v>
      </c>
      <c r="BG801" s="394">
        <v>5</v>
      </c>
      <c r="BH801" s="394">
        <v>7</v>
      </c>
      <c r="BI801" s="394">
        <v>6</v>
      </c>
      <c r="BJ801" s="394">
        <v>8</v>
      </c>
      <c r="BK801" s="394"/>
      <c r="BL801" s="444" t="s">
        <v>6981</v>
      </c>
      <c r="BM801" s="392"/>
      <c r="BN801" s="393"/>
      <c r="BO801" s="393"/>
      <c r="BP801" s="399"/>
      <c r="BQ801" s="400"/>
      <c r="BR801" s="401"/>
      <c r="BS801" s="399"/>
      <c r="BT801" s="394"/>
      <c r="BU801" s="417"/>
      <c r="BV801" s="399"/>
      <c r="BW801" s="393" t="s">
        <v>3117</v>
      </c>
      <c r="BX801" s="392" t="s">
        <v>3199</v>
      </c>
      <c r="BY801" s="475" t="s">
        <v>7227</v>
      </c>
      <c r="BZ801" s="393"/>
      <c r="CA801" s="441" t="s">
        <v>1664</v>
      </c>
      <c r="CB801" s="400"/>
      <c r="CC801" s="398"/>
      <c r="CD801" s="398"/>
      <c r="CE801" s="398"/>
      <c r="CF801" s="398"/>
      <c r="CG801" s="398"/>
      <c r="CH801" s="398">
        <v>25.707000000000001</v>
      </c>
      <c r="CI801" s="398">
        <v>46.841000000000001</v>
      </c>
      <c r="CJ801" s="398">
        <v>49.183</v>
      </c>
      <c r="CK801" s="398">
        <v>51.642000000000003</v>
      </c>
      <c r="CL801" s="398">
        <v>54.223999999999997</v>
      </c>
      <c r="CM801" s="398">
        <v>56.935000000000002</v>
      </c>
      <c r="CN801" s="398">
        <v>59.781999999999996</v>
      </c>
      <c r="CO801" s="398"/>
      <c r="CP801" s="398"/>
      <c r="CQ801" s="398"/>
      <c r="CR801" s="398"/>
      <c r="CS801" s="398"/>
      <c r="CT801" s="398"/>
      <c r="CU801" s="398"/>
      <c r="CV801" s="398"/>
      <c r="CW801" s="398"/>
      <c r="CX801" s="398"/>
      <c r="CY801" s="398"/>
      <c r="CZ801" s="398"/>
      <c r="DA801" s="398"/>
      <c r="DB801" s="398"/>
      <c r="DC801" s="398"/>
      <c r="DD801" s="398"/>
      <c r="DE801" s="393"/>
      <c r="DF801" s="393"/>
      <c r="DG801" s="393"/>
      <c r="DH801" s="393"/>
      <c r="DI801" s="393"/>
      <c r="DJ801" s="393"/>
      <c r="DK801" s="897"/>
    </row>
    <row r="802" spans="1:115" ht="38.25" x14ac:dyDescent="0.2">
      <c r="A802" s="295">
        <v>798</v>
      </c>
      <c r="B802" s="390" t="s">
        <v>1060</v>
      </c>
      <c r="C802" s="424" t="s">
        <v>7566</v>
      </c>
      <c r="D802" s="391" t="s">
        <v>5266</v>
      </c>
      <c r="E802" s="704" t="s">
        <v>1061</v>
      </c>
      <c r="F802" s="393" t="s">
        <v>1375</v>
      </c>
      <c r="G802" s="393" t="s">
        <v>998</v>
      </c>
      <c r="H802" s="393" t="s">
        <v>1059</v>
      </c>
      <c r="I802" s="392"/>
      <c r="J802" s="392" t="s">
        <v>1059</v>
      </c>
      <c r="K802" s="392"/>
      <c r="L802" s="392" t="s">
        <v>1078</v>
      </c>
      <c r="M802" s="392" t="s">
        <v>3256</v>
      </c>
      <c r="N802" s="393" t="s">
        <v>44</v>
      </c>
      <c r="O802" s="393" t="s">
        <v>51</v>
      </c>
      <c r="P802" s="393" t="s">
        <v>51</v>
      </c>
      <c r="Q802" s="392" t="s">
        <v>976</v>
      </c>
      <c r="R802" s="392"/>
      <c r="S802" s="392" t="s">
        <v>977</v>
      </c>
      <c r="T802" s="394">
        <v>1</v>
      </c>
      <c r="U802" s="395">
        <v>51.819000000000003</v>
      </c>
      <c r="V802" s="395"/>
      <c r="W802" s="452">
        <v>40878</v>
      </c>
      <c r="X802" s="394">
        <v>28</v>
      </c>
      <c r="Y802" s="394"/>
      <c r="Z802" s="394"/>
      <c r="AA802" s="395"/>
      <c r="AB802" s="453"/>
      <c r="AC802" s="398">
        <v>0</v>
      </c>
      <c r="AD802" s="398">
        <v>410.71881369863013</v>
      </c>
      <c r="AE802" s="393" t="s">
        <v>54</v>
      </c>
      <c r="AF802" s="417"/>
      <c r="AG802" s="417"/>
      <c r="AH802" s="417">
        <v>0</v>
      </c>
      <c r="AI802" s="394"/>
      <c r="AJ802" s="453"/>
      <c r="AK802" s="453"/>
      <c r="AL802" s="393"/>
      <c r="AM802" s="393"/>
      <c r="AN802" s="417"/>
      <c r="AO802" s="392"/>
      <c r="AP802" s="392" t="s">
        <v>7064</v>
      </c>
      <c r="AQ802" s="392"/>
      <c r="AR802" s="392" t="s">
        <v>1078</v>
      </c>
      <c r="AS802" s="479">
        <v>40835</v>
      </c>
      <c r="AT802" s="453"/>
      <c r="AU802" s="453" t="s">
        <v>1075</v>
      </c>
      <c r="AV802" s="452">
        <v>41038</v>
      </c>
      <c r="AW802" s="452">
        <v>41303</v>
      </c>
      <c r="AX802" s="452">
        <v>41438</v>
      </c>
      <c r="AY802" s="452">
        <v>41303</v>
      </c>
      <c r="AZ802" s="453"/>
      <c r="BA802" s="393"/>
      <c r="BB802" s="393" t="s">
        <v>3116</v>
      </c>
      <c r="BC802" s="393" t="b">
        <v>0</v>
      </c>
      <c r="BD802" s="393" t="s">
        <v>3147</v>
      </c>
      <c r="BE802" s="392"/>
      <c r="BF802" s="394">
        <v>4</v>
      </c>
      <c r="BG802" s="394">
        <v>3</v>
      </c>
      <c r="BH802" s="394">
        <v>1</v>
      </c>
      <c r="BI802" s="394">
        <v>6</v>
      </c>
      <c r="BJ802" s="394">
        <v>8</v>
      </c>
      <c r="BK802" s="394">
        <v>7</v>
      </c>
      <c r="BL802" s="444"/>
      <c r="BM802" s="392"/>
      <c r="BN802" s="393"/>
      <c r="BO802" s="393"/>
      <c r="BP802" s="399"/>
      <c r="BQ802" s="400"/>
      <c r="BR802" s="401"/>
      <c r="BS802" s="399">
        <v>0</v>
      </c>
      <c r="BT802" s="394"/>
      <c r="BU802" s="417"/>
      <c r="BV802" s="399"/>
      <c r="BW802" s="393"/>
      <c r="BX802" s="392"/>
      <c r="BY802" s="393"/>
      <c r="BZ802" s="393"/>
      <c r="CA802" s="441"/>
      <c r="CB802" s="400"/>
      <c r="CC802" s="398"/>
      <c r="CD802" s="398"/>
      <c r="CE802" s="398"/>
      <c r="CF802" s="398"/>
      <c r="CG802" s="398"/>
      <c r="CH802" s="398"/>
      <c r="CI802" s="398"/>
      <c r="CJ802" s="398"/>
      <c r="CK802" s="398"/>
      <c r="CL802" s="398"/>
      <c r="CM802" s="398"/>
      <c r="CN802" s="398"/>
      <c r="CO802" s="398"/>
      <c r="CP802" s="398"/>
      <c r="CQ802" s="398"/>
      <c r="CR802" s="398"/>
      <c r="CS802" s="398"/>
      <c r="CT802" s="398"/>
      <c r="CU802" s="398"/>
      <c r="CV802" s="398"/>
      <c r="CW802" s="398"/>
      <c r="CX802" s="398"/>
      <c r="CY802" s="398"/>
      <c r="CZ802" s="398"/>
      <c r="DA802" s="398"/>
      <c r="DB802" s="398"/>
      <c r="DC802" s="398"/>
      <c r="DD802" s="398"/>
      <c r="DE802" s="393"/>
      <c r="DF802" s="393"/>
      <c r="DG802" s="393"/>
      <c r="DH802" s="393"/>
      <c r="DI802" s="393"/>
      <c r="DJ802" s="393"/>
      <c r="DK802" s="896" t="s">
        <v>9701</v>
      </c>
    </row>
    <row r="803" spans="1:115" ht="51" x14ac:dyDescent="0.2">
      <c r="A803" s="295">
        <v>799</v>
      </c>
      <c r="B803" s="390" t="s">
        <v>2738</v>
      </c>
      <c r="C803" s="390"/>
      <c r="D803" s="391" t="s">
        <v>5253</v>
      </c>
      <c r="E803" s="704" t="s">
        <v>1062</v>
      </c>
      <c r="F803" s="393" t="s">
        <v>1375</v>
      </c>
      <c r="G803" s="393" t="s">
        <v>998</v>
      </c>
      <c r="H803" s="393" t="s">
        <v>1059</v>
      </c>
      <c r="I803" s="392"/>
      <c r="J803" s="392"/>
      <c r="K803" s="392" t="s">
        <v>1059</v>
      </c>
      <c r="L803" s="392" t="s">
        <v>1078</v>
      </c>
      <c r="M803" s="392"/>
      <c r="N803" s="393" t="s">
        <v>44</v>
      </c>
      <c r="O803" s="393" t="s">
        <v>51</v>
      </c>
      <c r="P803" s="393" t="s">
        <v>51</v>
      </c>
      <c r="Q803" s="392" t="s">
        <v>976</v>
      </c>
      <c r="R803" s="392" t="s">
        <v>3257</v>
      </c>
      <c r="S803" s="392" t="s">
        <v>977</v>
      </c>
      <c r="T803" s="394">
        <v>1</v>
      </c>
      <c r="U803" s="395">
        <v>51.819000000000003</v>
      </c>
      <c r="V803" s="395"/>
      <c r="W803" s="453"/>
      <c r="X803" s="394"/>
      <c r="Y803" s="394">
        <v>7</v>
      </c>
      <c r="Z803" s="394">
        <v>7</v>
      </c>
      <c r="AA803" s="395">
        <v>0</v>
      </c>
      <c r="AB803" s="452">
        <v>41303</v>
      </c>
      <c r="AC803" s="398">
        <v>0</v>
      </c>
      <c r="AD803" s="398">
        <v>410.71881369863013</v>
      </c>
      <c r="AE803" s="393" t="s">
        <v>54</v>
      </c>
      <c r="AF803" s="417"/>
      <c r="AG803" s="417"/>
      <c r="AH803" s="417"/>
      <c r="AI803" s="394"/>
      <c r="AJ803" s="453"/>
      <c r="AK803" s="453"/>
      <c r="AL803" s="393"/>
      <c r="AM803" s="393"/>
      <c r="AN803" s="417"/>
      <c r="AO803" s="392"/>
      <c r="AP803" s="392" t="s">
        <v>7064</v>
      </c>
      <c r="AQ803" s="392"/>
      <c r="AR803" s="392" t="s">
        <v>1078</v>
      </c>
      <c r="AS803" s="479">
        <v>40835</v>
      </c>
      <c r="AT803" s="453"/>
      <c r="AU803" s="453" t="s">
        <v>2688</v>
      </c>
      <c r="AV803" s="453"/>
      <c r="AW803" s="453"/>
      <c r="AX803" s="453"/>
      <c r="AY803" s="453"/>
      <c r="AZ803" s="452">
        <v>41303</v>
      </c>
      <c r="BA803" s="393"/>
      <c r="BB803" s="393"/>
      <c r="BC803" s="393" t="b">
        <v>0</v>
      </c>
      <c r="BD803" s="393"/>
      <c r="BE803" s="392"/>
      <c r="BF803" s="394">
        <v>4</v>
      </c>
      <c r="BG803" s="394">
        <v>3</v>
      </c>
      <c r="BH803" s="394">
        <v>1</v>
      </c>
      <c r="BI803" s="394">
        <v>6</v>
      </c>
      <c r="BJ803" s="394">
        <v>8</v>
      </c>
      <c r="BK803" s="394">
        <v>7</v>
      </c>
      <c r="BL803" s="444" t="s">
        <v>7001</v>
      </c>
      <c r="BM803" s="392"/>
      <c r="BN803" s="393" t="s">
        <v>3258</v>
      </c>
      <c r="BO803" s="393"/>
      <c r="BP803" s="399"/>
      <c r="BQ803" s="400"/>
      <c r="BR803" s="401"/>
      <c r="BS803" s="399"/>
      <c r="BT803" s="394"/>
      <c r="BU803" s="417"/>
      <c r="BV803" s="399"/>
      <c r="BW803" s="393" t="s">
        <v>3117</v>
      </c>
      <c r="BX803" s="392" t="s">
        <v>3259</v>
      </c>
      <c r="BY803" s="393"/>
      <c r="BZ803" s="393"/>
      <c r="CA803" s="441"/>
      <c r="CB803" s="400"/>
      <c r="CC803" s="398"/>
      <c r="CD803" s="398"/>
      <c r="CE803" s="398"/>
      <c r="CF803" s="398"/>
      <c r="CG803" s="398"/>
      <c r="CH803" s="398"/>
      <c r="CI803" s="398">
        <v>47.500999999999998</v>
      </c>
      <c r="CJ803" s="398">
        <v>51.819000000000003</v>
      </c>
      <c r="CK803" s="398">
        <v>51.819000000000003</v>
      </c>
      <c r="CL803" s="398">
        <v>51.819000000000003</v>
      </c>
      <c r="CM803" s="398">
        <v>51.819000000000003</v>
      </c>
      <c r="CN803" s="398">
        <v>51.819000000000003</v>
      </c>
      <c r="CO803" s="398">
        <v>51.819000000000003</v>
      </c>
      <c r="CP803" s="398">
        <v>4.3179999999999996</v>
      </c>
      <c r="CQ803" s="398"/>
      <c r="CR803" s="398"/>
      <c r="CS803" s="398"/>
      <c r="CT803" s="398"/>
      <c r="CU803" s="398"/>
      <c r="CV803" s="398"/>
      <c r="CW803" s="398"/>
      <c r="CX803" s="398"/>
      <c r="CY803" s="398"/>
      <c r="CZ803" s="398"/>
      <c r="DA803" s="398"/>
      <c r="DB803" s="398"/>
      <c r="DC803" s="398"/>
      <c r="DD803" s="398"/>
      <c r="DE803" s="393"/>
      <c r="DF803" s="393"/>
      <c r="DG803" s="393"/>
      <c r="DH803" s="393"/>
      <c r="DI803" s="393"/>
      <c r="DJ803" s="393"/>
      <c r="DK803" s="897"/>
    </row>
    <row r="804" spans="1:115" ht="25.5" x14ac:dyDescent="0.2">
      <c r="A804" s="295">
        <v>800</v>
      </c>
      <c r="B804" s="390" t="s">
        <v>850</v>
      </c>
      <c r="C804" s="424" t="s">
        <v>7567</v>
      </c>
      <c r="D804" s="391" t="s">
        <v>5267</v>
      </c>
      <c r="E804" s="704" t="s">
        <v>851</v>
      </c>
      <c r="F804" s="393" t="s">
        <v>1352</v>
      </c>
      <c r="G804" s="393" t="s">
        <v>1673</v>
      </c>
      <c r="H804" s="393" t="s">
        <v>42</v>
      </c>
      <c r="I804" s="392"/>
      <c r="J804" s="392" t="s">
        <v>42</v>
      </c>
      <c r="K804" s="392"/>
      <c r="L804" s="392" t="s">
        <v>852</v>
      </c>
      <c r="M804" s="392" t="s">
        <v>3260</v>
      </c>
      <c r="N804" s="393" t="s">
        <v>44</v>
      </c>
      <c r="O804" s="393" t="s">
        <v>827</v>
      </c>
      <c r="P804" s="393" t="s">
        <v>51</v>
      </c>
      <c r="Q804" s="392" t="s">
        <v>828</v>
      </c>
      <c r="R804" s="392"/>
      <c r="S804" s="392" t="s">
        <v>483</v>
      </c>
      <c r="T804" s="394">
        <v>1</v>
      </c>
      <c r="U804" s="395">
        <v>56.396999999999998</v>
      </c>
      <c r="V804" s="395"/>
      <c r="W804" s="452">
        <v>40861</v>
      </c>
      <c r="X804" s="394">
        <v>28</v>
      </c>
      <c r="Y804" s="394"/>
      <c r="Z804" s="394"/>
      <c r="AA804" s="395"/>
      <c r="AB804" s="453"/>
      <c r="AC804" s="398">
        <v>0</v>
      </c>
      <c r="AD804" s="398">
        <v>447.00416712328769</v>
      </c>
      <c r="AE804" s="393" t="s">
        <v>103</v>
      </c>
      <c r="AF804" s="417"/>
      <c r="AG804" s="417"/>
      <c r="AH804" s="417">
        <v>0</v>
      </c>
      <c r="AI804" s="394"/>
      <c r="AJ804" s="453"/>
      <c r="AK804" s="453"/>
      <c r="AL804" s="393"/>
      <c r="AM804" s="393"/>
      <c r="AN804" s="417"/>
      <c r="AO804" s="392"/>
      <c r="AP804" s="392" t="s">
        <v>7043</v>
      </c>
      <c r="AQ804" s="392"/>
      <c r="AR804" s="392" t="s">
        <v>853</v>
      </c>
      <c r="AS804" s="479">
        <v>40830</v>
      </c>
      <c r="AT804" s="453"/>
      <c r="AU804" s="453"/>
      <c r="AV804" s="452">
        <v>41235</v>
      </c>
      <c r="AW804" s="452">
        <v>41274</v>
      </c>
      <c r="AX804" s="452">
        <v>41481</v>
      </c>
      <c r="AY804" s="452">
        <v>41274</v>
      </c>
      <c r="AZ804" s="453"/>
      <c r="BA804" s="393"/>
      <c r="BB804" s="393" t="s">
        <v>3116</v>
      </c>
      <c r="BC804" s="393" t="b">
        <v>0</v>
      </c>
      <c r="BD804" s="393" t="s">
        <v>3116</v>
      </c>
      <c r="BE804" s="392"/>
      <c r="BF804" s="394">
        <v>6</v>
      </c>
      <c r="BG804" s="394">
        <v>8</v>
      </c>
      <c r="BH804" s="394">
        <v>9</v>
      </c>
      <c r="BI804" s="394">
        <v>1</v>
      </c>
      <c r="BJ804" s="394"/>
      <c r="BK804" s="394"/>
      <c r="BL804" s="444"/>
      <c r="BM804" s="392"/>
      <c r="BN804" s="393"/>
      <c r="BO804" s="393"/>
      <c r="BP804" s="399"/>
      <c r="BQ804" s="400"/>
      <c r="BR804" s="401"/>
      <c r="BS804" s="399">
        <v>0</v>
      </c>
      <c r="BT804" s="394"/>
      <c r="BU804" s="417"/>
      <c r="BV804" s="399"/>
      <c r="BW804" s="393"/>
      <c r="BX804" s="392"/>
      <c r="BY804" s="393"/>
      <c r="BZ804" s="393"/>
      <c r="CA804" s="441"/>
      <c r="CB804" s="400"/>
      <c r="CC804" s="398"/>
      <c r="CD804" s="398"/>
      <c r="CE804" s="398"/>
      <c r="CF804" s="398"/>
      <c r="CG804" s="398"/>
      <c r="CH804" s="398"/>
      <c r="CI804" s="398"/>
      <c r="CJ804" s="398"/>
      <c r="CK804" s="398"/>
      <c r="CL804" s="398"/>
      <c r="CM804" s="398"/>
      <c r="CN804" s="398"/>
      <c r="CO804" s="398"/>
      <c r="CP804" s="398"/>
      <c r="CQ804" s="398"/>
      <c r="CR804" s="398"/>
      <c r="CS804" s="398"/>
      <c r="CT804" s="398"/>
      <c r="CU804" s="398"/>
      <c r="CV804" s="398"/>
      <c r="CW804" s="398"/>
      <c r="CX804" s="398"/>
      <c r="CY804" s="398"/>
      <c r="CZ804" s="398"/>
      <c r="DA804" s="398"/>
      <c r="DB804" s="398"/>
      <c r="DC804" s="398"/>
      <c r="DD804" s="398"/>
      <c r="DE804" s="393"/>
      <c r="DF804" s="393"/>
      <c r="DG804" s="393"/>
      <c r="DH804" s="393"/>
      <c r="DI804" s="393"/>
      <c r="DJ804" s="393"/>
      <c r="DK804" s="896" t="s">
        <v>9700</v>
      </c>
    </row>
    <row r="805" spans="1:115" ht="15" x14ac:dyDescent="0.2">
      <c r="A805" s="295">
        <v>801</v>
      </c>
      <c r="B805" s="390" t="s">
        <v>2739</v>
      </c>
      <c r="C805" s="390"/>
      <c r="D805" s="391" t="s">
        <v>5268</v>
      </c>
      <c r="E805" s="704" t="s">
        <v>854</v>
      </c>
      <c r="F805" s="393" t="s">
        <v>1352</v>
      </c>
      <c r="G805" s="393" t="s">
        <v>1673</v>
      </c>
      <c r="H805" s="393" t="s">
        <v>42</v>
      </c>
      <c r="I805" s="392"/>
      <c r="J805" s="392"/>
      <c r="K805" s="392" t="s">
        <v>42</v>
      </c>
      <c r="L805" s="392" t="s">
        <v>852</v>
      </c>
      <c r="M805" s="392"/>
      <c r="N805" s="393" t="s">
        <v>44</v>
      </c>
      <c r="O805" s="393" t="s">
        <v>827</v>
      </c>
      <c r="P805" s="393" t="s">
        <v>51</v>
      </c>
      <c r="Q805" s="392" t="s">
        <v>828</v>
      </c>
      <c r="R805" s="392" t="s">
        <v>3261</v>
      </c>
      <c r="S805" s="392" t="s">
        <v>483</v>
      </c>
      <c r="T805" s="394">
        <v>1</v>
      </c>
      <c r="U805" s="395">
        <v>56.396999999999998</v>
      </c>
      <c r="V805" s="395"/>
      <c r="W805" s="453"/>
      <c r="X805" s="394"/>
      <c r="Y805" s="394">
        <v>7</v>
      </c>
      <c r="Z805" s="394">
        <v>21</v>
      </c>
      <c r="AA805" s="395">
        <v>0</v>
      </c>
      <c r="AB805" s="452">
        <v>41303</v>
      </c>
      <c r="AC805" s="398">
        <v>0</v>
      </c>
      <c r="AD805" s="398">
        <v>447.00416712328769</v>
      </c>
      <c r="AE805" s="393" t="s">
        <v>103</v>
      </c>
      <c r="AF805" s="417"/>
      <c r="AG805" s="417"/>
      <c r="AH805" s="417"/>
      <c r="AI805" s="394"/>
      <c r="AJ805" s="453"/>
      <c r="AK805" s="453"/>
      <c r="AL805" s="393"/>
      <c r="AM805" s="393"/>
      <c r="AN805" s="417"/>
      <c r="AO805" s="392"/>
      <c r="AP805" s="392" t="s">
        <v>7043</v>
      </c>
      <c r="AQ805" s="392"/>
      <c r="AR805" s="392" t="s">
        <v>853</v>
      </c>
      <c r="AS805" s="479">
        <v>40830</v>
      </c>
      <c r="AT805" s="453"/>
      <c r="AU805" s="453"/>
      <c r="AV805" s="453"/>
      <c r="AW805" s="453"/>
      <c r="AX805" s="453"/>
      <c r="AY805" s="453"/>
      <c r="AZ805" s="452">
        <v>41274</v>
      </c>
      <c r="BA805" s="393"/>
      <c r="BB805" s="393"/>
      <c r="BC805" s="393" t="b">
        <v>0</v>
      </c>
      <c r="BD805" s="393"/>
      <c r="BE805" s="392"/>
      <c r="BF805" s="394">
        <v>6</v>
      </c>
      <c r="BG805" s="394">
        <v>8</v>
      </c>
      <c r="BH805" s="394">
        <v>9</v>
      </c>
      <c r="BI805" s="394">
        <v>1</v>
      </c>
      <c r="BJ805" s="394"/>
      <c r="BK805" s="394"/>
      <c r="BL805" s="444" t="s">
        <v>6981</v>
      </c>
      <c r="BM805" s="392"/>
      <c r="BN805" s="393"/>
      <c r="BO805" s="393"/>
      <c r="BP805" s="399"/>
      <c r="BQ805" s="400"/>
      <c r="BR805" s="401"/>
      <c r="BS805" s="399"/>
      <c r="BT805" s="394"/>
      <c r="BU805" s="417"/>
      <c r="BV805" s="399"/>
      <c r="BW805" s="393" t="s">
        <v>3117</v>
      </c>
      <c r="BX805" s="392" t="s">
        <v>4364</v>
      </c>
      <c r="BY805" s="393" t="s">
        <v>7224</v>
      </c>
      <c r="BZ805" s="393"/>
      <c r="CA805" s="441"/>
      <c r="CB805" s="400"/>
      <c r="CC805" s="398"/>
      <c r="CD805" s="398"/>
      <c r="CE805" s="398"/>
      <c r="CF805" s="398"/>
      <c r="CG805" s="398"/>
      <c r="CH805" s="398"/>
      <c r="CI805" s="398">
        <v>34.795999999999999</v>
      </c>
      <c r="CJ805" s="398">
        <v>59.997</v>
      </c>
      <c r="CK805" s="398">
        <v>59.997</v>
      </c>
      <c r="CL805" s="398">
        <v>59.997</v>
      </c>
      <c r="CM805" s="398">
        <v>59.997</v>
      </c>
      <c r="CN805" s="398">
        <v>59.997</v>
      </c>
      <c r="CO805" s="398">
        <v>59.997</v>
      </c>
      <c r="CP805" s="398"/>
      <c r="CQ805" s="398"/>
      <c r="CR805" s="398"/>
      <c r="CS805" s="398"/>
      <c r="CT805" s="398"/>
      <c r="CU805" s="398"/>
      <c r="CV805" s="398"/>
      <c r="CW805" s="398"/>
      <c r="CX805" s="398"/>
      <c r="CY805" s="398"/>
      <c r="CZ805" s="398"/>
      <c r="DA805" s="398"/>
      <c r="DB805" s="398"/>
      <c r="DC805" s="398"/>
      <c r="DD805" s="398"/>
      <c r="DE805" s="393"/>
      <c r="DF805" s="393"/>
      <c r="DG805" s="393"/>
      <c r="DH805" s="393"/>
      <c r="DI805" s="393"/>
      <c r="DJ805" s="393"/>
      <c r="DK805" s="897"/>
    </row>
    <row r="806" spans="1:115" ht="38.25" x14ac:dyDescent="0.2">
      <c r="A806" s="295">
        <v>802</v>
      </c>
      <c r="B806" s="390" t="s">
        <v>1120</v>
      </c>
      <c r="C806" s="424" t="s">
        <v>7568</v>
      </c>
      <c r="D806" s="391" t="s">
        <v>5114</v>
      </c>
      <c r="E806" s="704" t="s">
        <v>1121</v>
      </c>
      <c r="F806" s="393" t="s">
        <v>1352</v>
      </c>
      <c r="G806" s="393" t="s">
        <v>1672</v>
      </c>
      <c r="H806" s="393" t="s">
        <v>78</v>
      </c>
      <c r="I806" s="392"/>
      <c r="J806" s="392" t="s">
        <v>78</v>
      </c>
      <c r="K806" s="392"/>
      <c r="L806" s="392" t="s">
        <v>3782</v>
      </c>
      <c r="M806" s="392" t="s">
        <v>3262</v>
      </c>
      <c r="N806" s="393" t="s">
        <v>44</v>
      </c>
      <c r="O806" s="393" t="s">
        <v>69</v>
      </c>
      <c r="P806" s="393" t="s">
        <v>69</v>
      </c>
      <c r="Q806" s="392" t="s">
        <v>1111</v>
      </c>
      <c r="R806" s="392"/>
      <c r="S806" s="392" t="s">
        <v>691</v>
      </c>
      <c r="T806" s="394">
        <v>2</v>
      </c>
      <c r="U806" s="395">
        <v>81.087999999999994</v>
      </c>
      <c r="V806" s="395"/>
      <c r="W806" s="452">
        <v>40829</v>
      </c>
      <c r="X806" s="394">
        <v>28</v>
      </c>
      <c r="Y806" s="394"/>
      <c r="Z806" s="394"/>
      <c r="AA806" s="395"/>
      <c r="AB806" s="453"/>
      <c r="AC806" s="398">
        <v>3.8929999999999998</v>
      </c>
      <c r="AD806" s="398">
        <v>810.88</v>
      </c>
      <c r="AE806" s="393" t="s">
        <v>54</v>
      </c>
      <c r="AF806" s="417"/>
      <c r="AG806" s="417"/>
      <c r="AH806" s="417">
        <v>0</v>
      </c>
      <c r="AI806" s="394"/>
      <c r="AJ806" s="453"/>
      <c r="AK806" s="453"/>
      <c r="AL806" s="393"/>
      <c r="AM806" s="393"/>
      <c r="AN806" s="417"/>
      <c r="AO806" s="392"/>
      <c r="AP806" s="392" t="s">
        <v>55</v>
      </c>
      <c r="AQ806" s="392"/>
      <c r="AR806" s="392" t="s">
        <v>3782</v>
      </c>
      <c r="AS806" s="479">
        <v>40829</v>
      </c>
      <c r="AT806" s="453"/>
      <c r="AU806" s="453"/>
      <c r="AV806" s="452">
        <v>40974</v>
      </c>
      <c r="AW806" s="452">
        <v>41208</v>
      </c>
      <c r="AX806" s="452">
        <v>41264</v>
      </c>
      <c r="AY806" s="452">
        <v>41211</v>
      </c>
      <c r="AZ806" s="453"/>
      <c r="BA806" s="393"/>
      <c r="BB806" s="393" t="s">
        <v>3147</v>
      </c>
      <c r="BC806" s="393" t="b">
        <v>0</v>
      </c>
      <c r="BD806" s="393" t="s">
        <v>3147</v>
      </c>
      <c r="BE806" s="392"/>
      <c r="BF806" s="394">
        <v>1</v>
      </c>
      <c r="BG806" s="394">
        <v>4</v>
      </c>
      <c r="BH806" s="394">
        <v>8</v>
      </c>
      <c r="BI806" s="394">
        <v>5</v>
      </c>
      <c r="BJ806" s="394">
        <v>3</v>
      </c>
      <c r="BK806" s="394">
        <v>7</v>
      </c>
      <c r="BL806" s="444"/>
      <c r="BM806" s="392"/>
      <c r="BN806" s="393"/>
      <c r="BO806" s="393"/>
      <c r="BP806" s="399"/>
      <c r="BQ806" s="400"/>
      <c r="BR806" s="401"/>
      <c r="BS806" s="399">
        <v>0</v>
      </c>
      <c r="BT806" s="394"/>
      <c r="BU806" s="417"/>
      <c r="BV806" s="399"/>
      <c r="BW806" s="393"/>
      <c r="BX806" s="392"/>
      <c r="BY806" s="393"/>
      <c r="BZ806" s="393"/>
      <c r="CA806" s="441"/>
      <c r="CB806" s="400"/>
      <c r="CC806" s="398"/>
      <c r="CD806" s="398"/>
      <c r="CE806" s="398"/>
      <c r="CF806" s="398"/>
      <c r="CG806" s="398"/>
      <c r="CH806" s="398"/>
      <c r="CI806" s="398"/>
      <c r="CJ806" s="398"/>
      <c r="CK806" s="398"/>
      <c r="CL806" s="398"/>
      <c r="CM806" s="398"/>
      <c r="CN806" s="398"/>
      <c r="CO806" s="398"/>
      <c r="CP806" s="398"/>
      <c r="CQ806" s="398"/>
      <c r="CR806" s="398"/>
      <c r="CS806" s="398"/>
      <c r="CT806" s="398"/>
      <c r="CU806" s="398"/>
      <c r="CV806" s="398"/>
      <c r="CW806" s="398"/>
      <c r="CX806" s="398"/>
      <c r="CY806" s="398"/>
      <c r="CZ806" s="398"/>
      <c r="DA806" s="398"/>
      <c r="DB806" s="398"/>
      <c r="DC806" s="398"/>
      <c r="DD806" s="398"/>
      <c r="DE806" s="393"/>
      <c r="DF806" s="393"/>
      <c r="DG806" s="393"/>
      <c r="DH806" s="393"/>
      <c r="DI806" s="393"/>
      <c r="DJ806" s="393"/>
      <c r="DK806" s="896" t="s">
        <v>9744</v>
      </c>
    </row>
    <row r="807" spans="1:115" ht="38.25" x14ac:dyDescent="0.2">
      <c r="A807" s="295">
        <v>803</v>
      </c>
      <c r="B807" s="390" t="s">
        <v>2740</v>
      </c>
      <c r="C807" s="390"/>
      <c r="D807" s="391" t="s">
        <v>4393</v>
      </c>
      <c r="E807" s="704" t="s">
        <v>705</v>
      </c>
      <c r="F807" s="393" t="s">
        <v>1352</v>
      </c>
      <c r="G807" s="393" t="s">
        <v>1672</v>
      </c>
      <c r="H807" s="393" t="s">
        <v>78</v>
      </c>
      <c r="I807" s="392"/>
      <c r="J807" s="392"/>
      <c r="K807" s="392" t="s">
        <v>706</v>
      </c>
      <c r="L807" s="392" t="s">
        <v>3782</v>
      </c>
      <c r="M807" s="392"/>
      <c r="N807" s="393" t="s">
        <v>44</v>
      </c>
      <c r="O807" s="393" t="s">
        <v>69</v>
      </c>
      <c r="P807" s="393" t="s">
        <v>69</v>
      </c>
      <c r="Q807" s="392" t="s">
        <v>1111</v>
      </c>
      <c r="R807" s="392" t="s">
        <v>3263</v>
      </c>
      <c r="S807" s="392" t="s">
        <v>691</v>
      </c>
      <c r="T807" s="394">
        <v>1</v>
      </c>
      <c r="U807" s="395">
        <v>38.912999999999997</v>
      </c>
      <c r="V807" s="395"/>
      <c r="W807" s="453"/>
      <c r="X807" s="394"/>
      <c r="Y807" s="394">
        <v>10</v>
      </c>
      <c r="Z807" s="394">
        <v>20</v>
      </c>
      <c r="AA807" s="395">
        <v>0</v>
      </c>
      <c r="AB807" s="452">
        <v>41242</v>
      </c>
      <c r="AC807" s="398">
        <v>3.8929999999999998</v>
      </c>
      <c r="AD807" s="398">
        <v>389.13</v>
      </c>
      <c r="AE807" s="393" t="s">
        <v>54</v>
      </c>
      <c r="AF807" s="417"/>
      <c r="AG807" s="417"/>
      <c r="AH807" s="417"/>
      <c r="AI807" s="394"/>
      <c r="AJ807" s="453"/>
      <c r="AK807" s="453"/>
      <c r="AL807" s="393"/>
      <c r="AM807" s="393"/>
      <c r="AN807" s="417"/>
      <c r="AO807" s="392"/>
      <c r="AP807" s="392" t="s">
        <v>55</v>
      </c>
      <c r="AQ807" s="392"/>
      <c r="AR807" s="392" t="s">
        <v>3782</v>
      </c>
      <c r="AS807" s="479">
        <v>40829</v>
      </c>
      <c r="AT807" s="453"/>
      <c r="AU807" s="453"/>
      <c r="AV807" s="453"/>
      <c r="AW807" s="453"/>
      <c r="AX807" s="453"/>
      <c r="AY807" s="453"/>
      <c r="AZ807" s="452">
        <v>41211</v>
      </c>
      <c r="BA807" s="393"/>
      <c r="BB807" s="393"/>
      <c r="BC807" s="393" t="b">
        <v>0</v>
      </c>
      <c r="BD807" s="393"/>
      <c r="BE807" s="392"/>
      <c r="BF807" s="394">
        <v>1</v>
      </c>
      <c r="BG807" s="394">
        <v>4</v>
      </c>
      <c r="BH807" s="394">
        <v>8</v>
      </c>
      <c r="BI807" s="394">
        <v>5</v>
      </c>
      <c r="BJ807" s="394">
        <v>3</v>
      </c>
      <c r="BK807" s="394">
        <v>7</v>
      </c>
      <c r="BL807" s="444" t="s">
        <v>6985</v>
      </c>
      <c r="BM807" s="392"/>
      <c r="BN807" s="393"/>
      <c r="BO807" s="393"/>
      <c r="BP807" s="399"/>
      <c r="BQ807" s="400"/>
      <c r="BR807" s="401"/>
      <c r="BS807" s="399"/>
      <c r="BT807" s="394"/>
      <c r="BU807" s="417"/>
      <c r="BV807" s="399"/>
      <c r="BW807" s="393" t="s">
        <v>3117</v>
      </c>
      <c r="BX807" s="392" t="s">
        <v>3223</v>
      </c>
      <c r="BY807" s="393"/>
      <c r="BZ807" s="393"/>
      <c r="CA807" s="441" t="s">
        <v>1662</v>
      </c>
      <c r="CB807" s="400">
        <v>3</v>
      </c>
      <c r="CC807" s="398"/>
      <c r="CD807" s="398"/>
      <c r="CE807" s="398"/>
      <c r="CF807" s="398"/>
      <c r="CG807" s="398"/>
      <c r="CH807" s="398">
        <v>38.966999999999999</v>
      </c>
      <c r="CI807" s="398">
        <v>38.966999999999999</v>
      </c>
      <c r="CJ807" s="398">
        <v>38.966999999999999</v>
      </c>
      <c r="CK807" s="398">
        <v>38.966999999999999</v>
      </c>
      <c r="CL807" s="398">
        <v>38.966999999999999</v>
      </c>
      <c r="CM807" s="398">
        <v>38.966999999999999</v>
      </c>
      <c r="CN807" s="398">
        <v>38.966999999999999</v>
      </c>
      <c r="CO807" s="398">
        <v>38.966999999999999</v>
      </c>
      <c r="CP807" s="398">
        <v>38.966999999999999</v>
      </c>
      <c r="CQ807" s="398">
        <v>38.966999999999999</v>
      </c>
      <c r="CR807" s="398"/>
      <c r="CS807" s="398"/>
      <c r="CT807" s="398"/>
      <c r="CU807" s="398"/>
      <c r="CV807" s="398"/>
      <c r="CW807" s="398"/>
      <c r="CX807" s="398"/>
      <c r="CY807" s="398"/>
      <c r="CZ807" s="398"/>
      <c r="DA807" s="398"/>
      <c r="DB807" s="398"/>
      <c r="DC807" s="398"/>
      <c r="DD807" s="398"/>
      <c r="DE807" s="393"/>
      <c r="DF807" s="393"/>
      <c r="DG807" s="393"/>
      <c r="DH807" s="393"/>
      <c r="DI807" s="393"/>
      <c r="DJ807" s="393"/>
      <c r="DK807" s="897"/>
    </row>
    <row r="808" spans="1:115" ht="76.5" x14ac:dyDescent="0.2">
      <c r="A808" s="295">
        <v>804</v>
      </c>
      <c r="B808" s="390" t="s">
        <v>7191</v>
      </c>
      <c r="C808" s="390"/>
      <c r="D808" s="391" t="s">
        <v>7192</v>
      </c>
      <c r="E808" s="704" t="s">
        <v>1121</v>
      </c>
      <c r="F808" s="393" t="s">
        <v>1352</v>
      </c>
      <c r="G808" s="393" t="s">
        <v>1672</v>
      </c>
      <c r="H808" s="393" t="s">
        <v>78</v>
      </c>
      <c r="I808" s="392"/>
      <c r="J808" s="392"/>
      <c r="K808" s="392" t="s">
        <v>7193</v>
      </c>
      <c r="L808" s="392" t="s">
        <v>3782</v>
      </c>
      <c r="M808" s="392"/>
      <c r="N808" s="393" t="s">
        <v>44</v>
      </c>
      <c r="O808" s="393" t="s">
        <v>69</v>
      </c>
      <c r="P808" s="393" t="s">
        <v>69</v>
      </c>
      <c r="Q808" s="392" t="s">
        <v>1111</v>
      </c>
      <c r="R808" s="392" t="s">
        <v>7194</v>
      </c>
      <c r="S808" s="392" t="s">
        <v>691</v>
      </c>
      <c r="T808" s="394">
        <v>1</v>
      </c>
      <c r="U808" s="395">
        <v>42.174999999999997</v>
      </c>
      <c r="V808" s="395"/>
      <c r="W808" s="453"/>
      <c r="X808" s="394"/>
      <c r="Y808" s="394">
        <v>10</v>
      </c>
      <c r="Z808" s="394">
        <v>20</v>
      </c>
      <c r="AA808" s="395">
        <v>0</v>
      </c>
      <c r="AB808" s="452">
        <v>42230</v>
      </c>
      <c r="AC808" s="398"/>
      <c r="AD808" s="398">
        <v>421.75</v>
      </c>
      <c r="AE808" s="393" t="s">
        <v>54</v>
      </c>
      <c r="AF808" s="417"/>
      <c r="AG808" s="417"/>
      <c r="AH808" s="417"/>
      <c r="AI808" s="394"/>
      <c r="AJ808" s="453"/>
      <c r="AK808" s="453"/>
      <c r="AL808" s="393"/>
      <c r="AM808" s="393"/>
      <c r="AN808" s="417"/>
      <c r="AO808" s="392"/>
      <c r="AP808" s="392"/>
      <c r="AQ808" s="392"/>
      <c r="AR808" s="392" t="s">
        <v>3782</v>
      </c>
      <c r="AS808" s="479">
        <v>40829</v>
      </c>
      <c r="AT808" s="453"/>
      <c r="AU808" s="453"/>
      <c r="AV808" s="453"/>
      <c r="AW808" s="453"/>
      <c r="AX808" s="453"/>
      <c r="AY808" s="453"/>
      <c r="AZ808" s="452">
        <v>42226</v>
      </c>
      <c r="BA808" s="393"/>
      <c r="BB808" s="393"/>
      <c r="BC808" s="393" t="b">
        <v>0</v>
      </c>
      <c r="BD808" s="393"/>
      <c r="BE808" s="392"/>
      <c r="BF808" s="394">
        <v>1</v>
      </c>
      <c r="BG808" s="394">
        <v>4</v>
      </c>
      <c r="BH808" s="394">
        <v>8</v>
      </c>
      <c r="BI808" s="394">
        <v>5</v>
      </c>
      <c r="BJ808" s="394">
        <v>3</v>
      </c>
      <c r="BK808" s="394">
        <v>7</v>
      </c>
      <c r="BL808" s="444" t="s">
        <v>6985</v>
      </c>
      <c r="BM808" s="392"/>
      <c r="BN808" s="393"/>
      <c r="BO808" s="393"/>
      <c r="BP808" s="399"/>
      <c r="BQ808" s="400"/>
      <c r="BR808" s="401"/>
      <c r="BS808" s="399"/>
      <c r="BT808" s="394"/>
      <c r="BU808" s="417"/>
      <c r="BV808" s="399"/>
      <c r="BW808" s="393" t="s">
        <v>3117</v>
      </c>
      <c r="BX808" s="392"/>
      <c r="BY808" s="393"/>
      <c r="BZ808" s="393"/>
      <c r="CA808" s="441"/>
      <c r="CB808" s="400"/>
      <c r="CC808" s="398"/>
      <c r="CD808" s="398"/>
      <c r="CE808" s="398"/>
      <c r="CF808" s="398"/>
      <c r="CG808" s="398"/>
      <c r="CH808" s="398"/>
      <c r="CI808" s="398"/>
      <c r="CJ808" s="398"/>
      <c r="CK808" s="398">
        <v>42.174999999999997</v>
      </c>
      <c r="CL808" s="398">
        <v>42.174999999999997</v>
      </c>
      <c r="CM808" s="398">
        <v>42.174999999999997</v>
      </c>
      <c r="CN808" s="398">
        <v>42.174999999999997</v>
      </c>
      <c r="CO808" s="398">
        <v>42.174999999999997</v>
      </c>
      <c r="CP808" s="398">
        <v>42.174999999999997</v>
      </c>
      <c r="CQ808" s="398">
        <v>42.174999999999997</v>
      </c>
      <c r="CR808" s="398">
        <v>42.174999999999997</v>
      </c>
      <c r="CS808" s="398">
        <v>42.174999999999997</v>
      </c>
      <c r="CT808" s="398">
        <v>42.174999999999997</v>
      </c>
      <c r="CU808" s="398"/>
      <c r="CV808" s="398"/>
      <c r="CW808" s="398"/>
      <c r="CX808" s="398"/>
      <c r="CY808" s="398"/>
      <c r="CZ808" s="398"/>
      <c r="DA808" s="398"/>
      <c r="DB808" s="398"/>
      <c r="DC808" s="398"/>
      <c r="DD808" s="398"/>
      <c r="DE808" s="393"/>
      <c r="DF808" s="393"/>
      <c r="DG808" s="393"/>
      <c r="DH808" s="393"/>
      <c r="DI808" s="393"/>
      <c r="DJ808" s="393"/>
      <c r="DK808" s="897"/>
    </row>
    <row r="809" spans="1:115" ht="25.5" x14ac:dyDescent="0.2">
      <c r="A809" s="295">
        <v>805</v>
      </c>
      <c r="B809" s="390" t="s">
        <v>1174</v>
      </c>
      <c r="C809" s="424" t="s">
        <v>7569</v>
      </c>
      <c r="D809" s="391" t="s">
        <v>5115</v>
      </c>
      <c r="E809" s="704" t="s">
        <v>1175</v>
      </c>
      <c r="F809" s="393" t="s">
        <v>1375</v>
      </c>
      <c r="G809" s="393" t="s">
        <v>1361</v>
      </c>
      <c r="H809" s="393" t="s">
        <v>137</v>
      </c>
      <c r="I809" s="392"/>
      <c r="J809" s="392" t="s">
        <v>137</v>
      </c>
      <c r="K809" s="392"/>
      <c r="L809" s="392" t="s">
        <v>3787</v>
      </c>
      <c r="M809" s="392" t="s">
        <v>3264</v>
      </c>
      <c r="N809" s="393" t="s">
        <v>44</v>
      </c>
      <c r="O809" s="393" t="s">
        <v>1155</v>
      </c>
      <c r="P809" s="393" t="s">
        <v>1155</v>
      </c>
      <c r="Q809" s="392" t="s">
        <v>1155</v>
      </c>
      <c r="R809" s="392"/>
      <c r="S809" s="392" t="s">
        <v>650</v>
      </c>
      <c r="T809" s="394">
        <v>2</v>
      </c>
      <c r="U809" s="395">
        <v>314.238</v>
      </c>
      <c r="V809" s="395"/>
      <c r="W809" s="452">
        <v>41275</v>
      </c>
      <c r="X809" s="394">
        <v>28</v>
      </c>
      <c r="Y809" s="394"/>
      <c r="Z809" s="394"/>
      <c r="AA809" s="395"/>
      <c r="AB809" s="453"/>
      <c r="AC809" s="398">
        <v>0</v>
      </c>
      <c r="AD809" s="398">
        <v>2954.7338410958905</v>
      </c>
      <c r="AE809" s="393" t="s">
        <v>133</v>
      </c>
      <c r="AF809" s="417"/>
      <c r="AG809" s="417"/>
      <c r="AH809" s="417">
        <v>0</v>
      </c>
      <c r="AI809" s="394"/>
      <c r="AJ809" s="453"/>
      <c r="AK809" s="453"/>
      <c r="AL809" s="393"/>
      <c r="AM809" s="393"/>
      <c r="AN809" s="417"/>
      <c r="AO809" s="392"/>
      <c r="AP809" s="392" t="s">
        <v>55</v>
      </c>
      <c r="AQ809" s="392"/>
      <c r="AR809" s="392" t="s">
        <v>3787</v>
      </c>
      <c r="AS809" s="479">
        <v>40831</v>
      </c>
      <c r="AT809" s="453"/>
      <c r="AU809" s="453"/>
      <c r="AV809" s="452">
        <v>41148</v>
      </c>
      <c r="AW809" s="452">
        <v>41254</v>
      </c>
      <c r="AX809" s="452">
        <v>41300</v>
      </c>
      <c r="AY809" s="452">
        <v>41256</v>
      </c>
      <c r="AZ809" s="453"/>
      <c r="BA809" s="393"/>
      <c r="BB809" s="393" t="s">
        <v>3147</v>
      </c>
      <c r="BC809" s="393" t="b">
        <v>0</v>
      </c>
      <c r="BD809" s="393" t="s">
        <v>3147</v>
      </c>
      <c r="BE809" s="392"/>
      <c r="BF809" s="394">
        <v>5</v>
      </c>
      <c r="BG809" s="394">
        <v>9</v>
      </c>
      <c r="BH809" s="394">
        <v>1</v>
      </c>
      <c r="BI809" s="394">
        <v>3</v>
      </c>
      <c r="BJ809" s="394"/>
      <c r="BK809" s="394"/>
      <c r="BL809" s="444"/>
      <c r="BM809" s="392"/>
      <c r="BN809" s="393"/>
      <c r="BO809" s="393"/>
      <c r="BP809" s="399"/>
      <c r="BQ809" s="400"/>
      <c r="BR809" s="401"/>
      <c r="BS809" s="399">
        <v>130.80000000000001</v>
      </c>
      <c r="BT809" s="394"/>
      <c r="BU809" s="417"/>
      <c r="BV809" s="399"/>
      <c r="BW809" s="393"/>
      <c r="BX809" s="392"/>
      <c r="BY809" s="393"/>
      <c r="BZ809" s="393"/>
      <c r="CA809" s="441"/>
      <c r="CB809" s="400"/>
      <c r="CC809" s="398"/>
      <c r="CD809" s="398"/>
      <c r="CE809" s="398"/>
      <c r="CF809" s="398"/>
      <c r="CG809" s="398"/>
      <c r="CH809" s="398"/>
      <c r="CI809" s="398"/>
      <c r="CJ809" s="398"/>
      <c r="CK809" s="398"/>
      <c r="CL809" s="398"/>
      <c r="CM809" s="398"/>
      <c r="CN809" s="398"/>
      <c r="CO809" s="398"/>
      <c r="CP809" s="398"/>
      <c r="CQ809" s="398"/>
      <c r="CR809" s="398"/>
      <c r="CS809" s="398"/>
      <c r="CT809" s="398"/>
      <c r="CU809" s="398"/>
      <c r="CV809" s="398"/>
      <c r="CW809" s="398"/>
      <c r="CX809" s="398"/>
      <c r="CY809" s="398"/>
      <c r="CZ809" s="398"/>
      <c r="DA809" s="398"/>
      <c r="DB809" s="398"/>
      <c r="DC809" s="398"/>
      <c r="DD809" s="398"/>
      <c r="DE809" s="393"/>
      <c r="DF809" s="393"/>
      <c r="DG809" s="393"/>
      <c r="DH809" s="393"/>
      <c r="DI809" s="393"/>
      <c r="DJ809" s="393"/>
      <c r="DK809" s="896" t="s">
        <v>9698</v>
      </c>
    </row>
    <row r="810" spans="1:115" ht="25.5" x14ac:dyDescent="0.2">
      <c r="A810" s="295">
        <v>806</v>
      </c>
      <c r="B810" s="390" t="s">
        <v>2741</v>
      </c>
      <c r="C810" s="390"/>
      <c r="D810" s="391" t="s">
        <v>4467</v>
      </c>
      <c r="E810" s="704" t="s">
        <v>1176</v>
      </c>
      <c r="F810" s="393" t="s">
        <v>1375</v>
      </c>
      <c r="G810" s="393" t="s">
        <v>1361</v>
      </c>
      <c r="H810" s="393" t="s">
        <v>137</v>
      </c>
      <c r="I810" s="392"/>
      <c r="J810" s="392"/>
      <c r="K810" s="392" t="s">
        <v>1518</v>
      </c>
      <c r="L810" s="392" t="s">
        <v>3787</v>
      </c>
      <c r="M810" s="392"/>
      <c r="N810" s="393" t="s">
        <v>44</v>
      </c>
      <c r="O810" s="393" t="s">
        <v>1155</v>
      </c>
      <c r="P810" s="393" t="s">
        <v>1155</v>
      </c>
      <c r="Q810" s="392" t="s">
        <v>1155</v>
      </c>
      <c r="R810" s="392" t="s">
        <v>4468</v>
      </c>
      <c r="S810" s="392" t="s">
        <v>650</v>
      </c>
      <c r="T810" s="394">
        <v>1</v>
      </c>
      <c r="U810" s="395">
        <v>57.847000000000001</v>
      </c>
      <c r="V810" s="395"/>
      <c r="W810" s="453"/>
      <c r="X810" s="394"/>
      <c r="Y810" s="394">
        <v>7</v>
      </c>
      <c r="Z810" s="394">
        <v>25</v>
      </c>
      <c r="AA810" s="395">
        <v>0</v>
      </c>
      <c r="AB810" s="452">
        <v>41730</v>
      </c>
      <c r="AC810" s="398">
        <v>0</v>
      </c>
      <c r="AD810" s="398">
        <v>390.82384109589037</v>
      </c>
      <c r="AE810" s="393" t="s">
        <v>133</v>
      </c>
      <c r="AF810" s="417"/>
      <c r="AG810" s="417"/>
      <c r="AH810" s="417"/>
      <c r="AI810" s="394"/>
      <c r="AJ810" s="453"/>
      <c r="AK810" s="453"/>
      <c r="AL810" s="393"/>
      <c r="AM810" s="393"/>
      <c r="AN810" s="417"/>
      <c r="AO810" s="392"/>
      <c r="AP810" s="392" t="s">
        <v>55</v>
      </c>
      <c r="AQ810" s="392"/>
      <c r="AR810" s="392" t="s">
        <v>3787</v>
      </c>
      <c r="AS810" s="479">
        <v>40831</v>
      </c>
      <c r="AT810" s="453"/>
      <c r="AU810" s="453"/>
      <c r="AV810" s="453"/>
      <c r="AW810" s="453"/>
      <c r="AX810" s="453"/>
      <c r="AY810" s="453"/>
      <c r="AZ810" s="452">
        <v>41256</v>
      </c>
      <c r="BA810" s="393"/>
      <c r="BB810" s="393"/>
      <c r="BC810" s="393" t="b">
        <v>0</v>
      </c>
      <c r="BD810" s="393"/>
      <c r="BE810" s="392"/>
      <c r="BF810" s="394">
        <v>5</v>
      </c>
      <c r="BG810" s="394">
        <v>9</v>
      </c>
      <c r="BH810" s="394">
        <v>1</v>
      </c>
      <c r="BI810" s="394">
        <v>3</v>
      </c>
      <c r="BJ810" s="394"/>
      <c r="BK810" s="394"/>
      <c r="BL810" s="444" t="s">
        <v>6981</v>
      </c>
      <c r="BM810" s="392"/>
      <c r="BN810" s="393"/>
      <c r="BO810" s="393"/>
      <c r="BP810" s="399"/>
      <c r="BQ810" s="400"/>
      <c r="BR810" s="401"/>
      <c r="BS810" s="399">
        <v>25</v>
      </c>
      <c r="BT810" s="394">
        <v>58550</v>
      </c>
      <c r="BU810" s="417">
        <v>0.98824999999999996</v>
      </c>
      <c r="BV810" s="399"/>
      <c r="BW810" s="393" t="s">
        <v>3117</v>
      </c>
      <c r="BX810" s="392" t="s">
        <v>1447</v>
      </c>
      <c r="BY810" s="393"/>
      <c r="BZ810" s="393"/>
      <c r="CA810" s="441" t="s">
        <v>1662</v>
      </c>
      <c r="CB810" s="400">
        <v>3</v>
      </c>
      <c r="CC810" s="398"/>
      <c r="CD810" s="398"/>
      <c r="CE810" s="398"/>
      <c r="CF810" s="398"/>
      <c r="CG810" s="398"/>
      <c r="CH810" s="398"/>
      <c r="CI810" s="398"/>
      <c r="CJ810" s="398">
        <v>14.462</v>
      </c>
      <c r="CK810" s="398">
        <v>57.847000000000001</v>
      </c>
      <c r="CL810" s="398">
        <v>57.847000000000001</v>
      </c>
      <c r="CM810" s="398">
        <v>57.847000000000001</v>
      </c>
      <c r="CN810" s="398">
        <v>57.847000000000001</v>
      </c>
      <c r="CO810" s="398">
        <v>57.847000000000001</v>
      </c>
      <c r="CP810" s="398">
        <v>57.847000000000001</v>
      </c>
      <c r="CQ810" s="398">
        <v>57.847000000000001</v>
      </c>
      <c r="CR810" s="398">
        <v>57.847000000000001</v>
      </c>
      <c r="CS810" s="398">
        <v>57.847000000000001</v>
      </c>
      <c r="CT810" s="398">
        <v>57.847000000000001</v>
      </c>
      <c r="CU810" s="398">
        <v>57.847000000000001</v>
      </c>
      <c r="CV810" s="398">
        <v>57.847000000000001</v>
      </c>
      <c r="CW810" s="398">
        <v>57.847000000000001</v>
      </c>
      <c r="CX810" s="398">
        <v>57.847000000000001</v>
      </c>
      <c r="CY810" s="398">
        <v>57.847000000000001</v>
      </c>
      <c r="CZ810" s="398">
        <v>57.847000000000001</v>
      </c>
      <c r="DA810" s="398">
        <v>57.847000000000001</v>
      </c>
      <c r="DB810" s="398">
        <v>57.847000000000001</v>
      </c>
      <c r="DC810" s="398">
        <v>57.847000000000001</v>
      </c>
      <c r="DD810" s="398">
        <v>57.847000000000001</v>
      </c>
      <c r="DE810" s="393">
        <v>57.847000000000001</v>
      </c>
      <c r="DF810" s="393">
        <v>57.847000000000001</v>
      </c>
      <c r="DG810" s="393">
        <v>57.847000000000001</v>
      </c>
      <c r="DH810" s="393">
        <v>57.847000000000001</v>
      </c>
      <c r="DI810" s="393">
        <v>57.847000000000001</v>
      </c>
      <c r="DJ810" s="393">
        <v>57.847000000000001</v>
      </c>
      <c r="DK810" s="897"/>
    </row>
    <row r="811" spans="1:115" ht="25.5" x14ac:dyDescent="0.2">
      <c r="A811" s="295">
        <v>807</v>
      </c>
      <c r="B811" s="390" t="s">
        <v>9615</v>
      </c>
      <c r="C811" s="390"/>
      <c r="D811" s="391" t="s">
        <v>9616</v>
      </c>
      <c r="E811" s="705" t="s">
        <v>9617</v>
      </c>
      <c r="F811" s="393" t="s">
        <v>1375</v>
      </c>
      <c r="G811" s="393" t="s">
        <v>1361</v>
      </c>
      <c r="H811" s="393" t="s">
        <v>137</v>
      </c>
      <c r="I811" s="392"/>
      <c r="J811" s="392"/>
      <c r="K811" s="428" t="s">
        <v>9618</v>
      </c>
      <c r="L811" s="428" t="s">
        <v>3787</v>
      </c>
      <c r="M811" s="392"/>
      <c r="N811" s="475" t="s">
        <v>44</v>
      </c>
      <c r="O811" s="393" t="s">
        <v>1155</v>
      </c>
      <c r="P811" s="393" t="s">
        <v>1155</v>
      </c>
      <c r="Q811" s="392" t="s">
        <v>1155</v>
      </c>
      <c r="R811" s="428" t="s">
        <v>9619</v>
      </c>
      <c r="S811" s="428" t="s">
        <v>650</v>
      </c>
      <c r="T811" s="394">
        <v>1</v>
      </c>
      <c r="U811" s="395">
        <v>256.39100000000002</v>
      </c>
      <c r="V811" s="395"/>
      <c r="W811" s="453"/>
      <c r="X811" s="394"/>
      <c r="Y811" s="394">
        <v>10</v>
      </c>
      <c r="Z811" s="394">
        <v>20</v>
      </c>
      <c r="AA811" s="395">
        <v>0</v>
      </c>
      <c r="AB811" s="452">
        <v>43294</v>
      </c>
      <c r="AC811" s="398">
        <v>0</v>
      </c>
      <c r="AD811" s="398">
        <v>2563.9100000000003</v>
      </c>
      <c r="AE811" s="475" t="s">
        <v>133</v>
      </c>
      <c r="AF811" s="417"/>
      <c r="AG811" s="417"/>
      <c r="AH811" s="417"/>
      <c r="AI811" s="394"/>
      <c r="AJ811" s="453"/>
      <c r="AK811" s="453"/>
      <c r="AL811" s="393"/>
      <c r="AM811" s="393"/>
      <c r="AN811" s="417"/>
      <c r="AO811" s="392"/>
      <c r="AP811" s="428" t="s">
        <v>55</v>
      </c>
      <c r="AQ811" s="392"/>
      <c r="AR811" s="428" t="s">
        <v>3787</v>
      </c>
      <c r="AS811" s="479">
        <v>40831</v>
      </c>
      <c r="AT811" s="453"/>
      <c r="AU811" s="453"/>
      <c r="AV811" s="453"/>
      <c r="AW811" s="453"/>
      <c r="AX811" s="453"/>
      <c r="AY811" s="453"/>
      <c r="AZ811" s="452">
        <v>43294</v>
      </c>
      <c r="BA811" s="393"/>
      <c r="BB811" s="393"/>
      <c r="BC811" s="393" t="b">
        <v>1</v>
      </c>
      <c r="BD811" s="393"/>
      <c r="BE811" s="392"/>
      <c r="BF811" s="394">
        <v>5</v>
      </c>
      <c r="BG811" s="394">
        <v>9</v>
      </c>
      <c r="BH811" s="394">
        <v>1</v>
      </c>
      <c r="BI811" s="394">
        <v>3</v>
      </c>
      <c r="BJ811" s="394"/>
      <c r="BK811" s="394"/>
      <c r="BL811" s="444" t="s">
        <v>6981</v>
      </c>
      <c r="BM811" s="392"/>
      <c r="BN811" s="393"/>
      <c r="BO811" s="393"/>
      <c r="BP811" s="399"/>
      <c r="BQ811" s="400"/>
      <c r="BR811" s="401"/>
      <c r="BS811" s="399">
        <v>105.8</v>
      </c>
      <c r="BT811" s="394">
        <v>259506</v>
      </c>
      <c r="BU811" s="417">
        <v>0.98799999999999999</v>
      </c>
      <c r="BV811" s="399"/>
      <c r="BW811" s="475" t="s">
        <v>3117</v>
      </c>
      <c r="BX811" s="392"/>
      <c r="BY811" s="393"/>
      <c r="BZ811" s="393"/>
      <c r="CA811" s="441"/>
      <c r="CB811" s="400"/>
      <c r="CC811" s="398"/>
      <c r="CD811" s="398"/>
      <c r="CE811" s="398"/>
      <c r="CF811" s="398"/>
      <c r="CG811" s="398"/>
      <c r="CH811" s="398"/>
      <c r="CI811" s="398"/>
      <c r="CJ811" s="398"/>
      <c r="CK811" s="398"/>
      <c r="CL811" s="398"/>
      <c r="CM811" s="398"/>
      <c r="CN811" s="398">
        <v>128.19499999999999</v>
      </c>
      <c r="CO811" s="398">
        <v>256.39100000000002</v>
      </c>
      <c r="CP811" s="398">
        <v>256.39100000000002</v>
      </c>
      <c r="CQ811" s="398">
        <v>256.39100000000002</v>
      </c>
      <c r="CR811" s="398">
        <v>256.39100000000002</v>
      </c>
      <c r="CS811" s="398">
        <v>256.39100000000002</v>
      </c>
      <c r="CT811" s="398">
        <v>256.39100000000002</v>
      </c>
      <c r="CU811" s="398">
        <v>256.39100000000002</v>
      </c>
      <c r="CV811" s="398">
        <v>256.39100000000002</v>
      </c>
      <c r="CW811" s="398">
        <v>256.39100000000002</v>
      </c>
      <c r="CX811" s="398">
        <v>128.19499999999999</v>
      </c>
      <c r="CY811" s="398"/>
      <c r="CZ811" s="398"/>
      <c r="DA811" s="398"/>
      <c r="DB811" s="398"/>
      <c r="DC811" s="398"/>
      <c r="DD811" s="398"/>
      <c r="DE811" s="393"/>
      <c r="DF811" s="393"/>
      <c r="DG811" s="393"/>
      <c r="DH811" s="393"/>
      <c r="DI811" s="393"/>
      <c r="DJ811" s="393"/>
      <c r="DK811" s="897"/>
    </row>
    <row r="812" spans="1:115" ht="25.5" x14ac:dyDescent="0.2">
      <c r="A812" s="295">
        <v>808</v>
      </c>
      <c r="B812" s="390" t="s">
        <v>968</v>
      </c>
      <c r="C812" s="424" t="s">
        <v>7570</v>
      </c>
      <c r="D812" s="391" t="s">
        <v>5116</v>
      </c>
      <c r="E812" s="843" t="s">
        <v>964</v>
      </c>
      <c r="F812" s="393" t="s">
        <v>1352</v>
      </c>
      <c r="G812" s="393" t="s">
        <v>1672</v>
      </c>
      <c r="H812" s="393" t="s">
        <v>89</v>
      </c>
      <c r="I812" s="563"/>
      <c r="J812" s="563" t="s">
        <v>89</v>
      </c>
      <c r="K812" s="563"/>
      <c r="L812" s="563" t="s">
        <v>969</v>
      </c>
      <c r="M812" s="563" t="s">
        <v>3265</v>
      </c>
      <c r="N812" s="561" t="s">
        <v>44</v>
      </c>
      <c r="O812" s="393" t="s">
        <v>827</v>
      </c>
      <c r="P812" s="393" t="s">
        <v>827</v>
      </c>
      <c r="Q812" s="392" t="s">
        <v>923</v>
      </c>
      <c r="R812" s="563"/>
      <c r="S812" s="563" t="s">
        <v>946</v>
      </c>
      <c r="T812" s="564">
        <v>1</v>
      </c>
      <c r="U812" s="565">
        <v>5.7000000000000002E-2</v>
      </c>
      <c r="V812" s="565"/>
      <c r="W812" s="567">
        <v>40126</v>
      </c>
      <c r="X812" s="564">
        <v>28</v>
      </c>
      <c r="Y812" s="564"/>
      <c r="Z812" s="564"/>
      <c r="AA812" s="565"/>
      <c r="AB812" s="566"/>
      <c r="AC812" s="568">
        <v>3.3345E-2</v>
      </c>
      <c r="AD812" s="568">
        <v>0.48004931506849319</v>
      </c>
      <c r="AE812" s="561" t="s">
        <v>167</v>
      </c>
      <c r="AF812" s="569"/>
      <c r="AG812" s="569"/>
      <c r="AH812" s="569">
        <v>0</v>
      </c>
      <c r="AI812" s="564"/>
      <c r="AJ812" s="566"/>
      <c r="AK812" s="566"/>
      <c r="AL812" s="561"/>
      <c r="AM812" s="561"/>
      <c r="AN812" s="569"/>
      <c r="AO812" s="563"/>
      <c r="AP812" s="563" t="s">
        <v>7041</v>
      </c>
      <c r="AQ812" s="563"/>
      <c r="AR812" s="563" t="s">
        <v>966</v>
      </c>
      <c r="AS812" s="578">
        <v>40831</v>
      </c>
      <c r="AT812" s="566"/>
      <c r="AU812" s="566" t="s">
        <v>963</v>
      </c>
      <c r="AV812" s="567">
        <v>40389</v>
      </c>
      <c r="AW812" s="567">
        <v>41068</v>
      </c>
      <c r="AX812" s="567">
        <v>41121</v>
      </c>
      <c r="AY812" s="567">
        <v>41068</v>
      </c>
      <c r="AZ812" s="566"/>
      <c r="BA812" s="561"/>
      <c r="BB812" s="561" t="s">
        <v>3116</v>
      </c>
      <c r="BC812" s="561" t="b">
        <v>0</v>
      </c>
      <c r="BD812" s="561" t="s">
        <v>3116</v>
      </c>
      <c r="BE812" s="563"/>
      <c r="BF812" s="394">
        <v>9</v>
      </c>
      <c r="BG812" s="394">
        <v>10</v>
      </c>
      <c r="BH812" s="394">
        <v>6</v>
      </c>
      <c r="BI812" s="394">
        <v>5</v>
      </c>
      <c r="BJ812" s="394"/>
      <c r="BK812" s="394"/>
      <c r="BL812" s="444"/>
      <c r="BM812" s="563"/>
      <c r="BN812" s="561"/>
      <c r="BO812" s="561"/>
      <c r="BP812" s="571"/>
      <c r="BQ812" s="572"/>
      <c r="BR812" s="573"/>
      <c r="BS812" s="571">
        <v>0</v>
      </c>
      <c r="BT812" s="564"/>
      <c r="BU812" s="569"/>
      <c r="BV812" s="571"/>
      <c r="BW812" s="561"/>
      <c r="BX812" s="563"/>
      <c r="BY812" s="561"/>
      <c r="BZ812" s="561"/>
      <c r="CA812" s="574"/>
      <c r="CB812" s="572"/>
      <c r="CC812" s="568"/>
      <c r="CD812" s="568"/>
      <c r="CE812" s="568"/>
      <c r="CF812" s="568"/>
      <c r="CG812" s="568"/>
      <c r="CH812" s="568"/>
      <c r="CI812" s="568"/>
      <c r="CJ812" s="568"/>
      <c r="CK812" s="568"/>
      <c r="CL812" s="568"/>
      <c r="CM812" s="568"/>
      <c r="CN812" s="568"/>
      <c r="CO812" s="568"/>
      <c r="CP812" s="568"/>
      <c r="CQ812" s="568"/>
      <c r="CR812" s="568"/>
      <c r="CS812" s="568"/>
      <c r="CT812" s="568"/>
      <c r="CU812" s="568"/>
      <c r="CV812" s="568"/>
      <c r="CW812" s="568"/>
      <c r="CX812" s="568"/>
      <c r="CY812" s="568"/>
      <c r="CZ812" s="568"/>
      <c r="DA812" s="568"/>
      <c r="DB812" s="568"/>
      <c r="DC812" s="568"/>
      <c r="DD812" s="568"/>
      <c r="DE812" s="561"/>
      <c r="DF812" s="561"/>
      <c r="DG812" s="561"/>
      <c r="DH812" s="561"/>
      <c r="DI812" s="561"/>
      <c r="DJ812" s="561"/>
      <c r="DK812" s="896" t="s">
        <v>9726</v>
      </c>
    </row>
    <row r="813" spans="1:115" ht="38.25" x14ac:dyDescent="0.2">
      <c r="A813" s="295">
        <v>809</v>
      </c>
      <c r="B813" s="390" t="s">
        <v>2742</v>
      </c>
      <c r="C813" s="390"/>
      <c r="D813" s="391" t="s">
        <v>2411</v>
      </c>
      <c r="E813" s="704" t="s">
        <v>970</v>
      </c>
      <c r="F813" s="393" t="s">
        <v>1352</v>
      </c>
      <c r="G813" s="393" t="s">
        <v>1672</v>
      </c>
      <c r="H813" s="393" t="s">
        <v>89</v>
      </c>
      <c r="I813" s="392"/>
      <c r="J813" s="392"/>
      <c r="K813" s="392" t="s">
        <v>89</v>
      </c>
      <c r="L813" s="392" t="s">
        <v>969</v>
      </c>
      <c r="M813" s="392"/>
      <c r="N813" s="393" t="s">
        <v>44</v>
      </c>
      <c r="O813" s="393" t="s">
        <v>827</v>
      </c>
      <c r="P813" s="393" t="s">
        <v>827</v>
      </c>
      <c r="Q813" s="392" t="s">
        <v>923</v>
      </c>
      <c r="R813" s="392" t="s">
        <v>3266</v>
      </c>
      <c r="S813" s="392" t="s">
        <v>946</v>
      </c>
      <c r="T813" s="394">
        <v>1</v>
      </c>
      <c r="U813" s="395">
        <v>5.7000000000000002E-2</v>
      </c>
      <c r="V813" s="395"/>
      <c r="W813" s="453"/>
      <c r="X813" s="394"/>
      <c r="Y813" s="394">
        <v>7</v>
      </c>
      <c r="Z813" s="394">
        <v>15</v>
      </c>
      <c r="AA813" s="395">
        <v>0</v>
      </c>
      <c r="AB813" s="452">
        <v>41122</v>
      </c>
      <c r="AC813" s="398">
        <v>3.3345E-2</v>
      </c>
      <c r="AD813" s="398">
        <v>0.48004931506849319</v>
      </c>
      <c r="AE813" s="393" t="s">
        <v>167</v>
      </c>
      <c r="AF813" s="417"/>
      <c r="AG813" s="417"/>
      <c r="AH813" s="417"/>
      <c r="AI813" s="394"/>
      <c r="AJ813" s="453"/>
      <c r="AK813" s="453"/>
      <c r="AL813" s="393"/>
      <c r="AM813" s="393"/>
      <c r="AN813" s="417"/>
      <c r="AO813" s="392"/>
      <c r="AP813" s="392" t="s">
        <v>7041</v>
      </c>
      <c r="AQ813" s="392"/>
      <c r="AR813" s="392" t="s">
        <v>966</v>
      </c>
      <c r="AS813" s="479">
        <v>40831</v>
      </c>
      <c r="AT813" s="453"/>
      <c r="AU813" s="453" t="s">
        <v>2530</v>
      </c>
      <c r="AV813" s="453"/>
      <c r="AW813" s="453"/>
      <c r="AX813" s="453"/>
      <c r="AY813" s="453"/>
      <c r="AZ813" s="452">
        <v>41068</v>
      </c>
      <c r="BA813" s="393"/>
      <c r="BB813" s="393"/>
      <c r="BC813" s="393" t="b">
        <v>0</v>
      </c>
      <c r="BD813" s="393"/>
      <c r="BE813" s="392"/>
      <c r="BF813" s="394">
        <v>9</v>
      </c>
      <c r="BG813" s="394">
        <v>10</v>
      </c>
      <c r="BH813" s="394">
        <v>6</v>
      </c>
      <c r="BI813" s="394">
        <v>5</v>
      </c>
      <c r="BJ813" s="394"/>
      <c r="BK813" s="394"/>
      <c r="BL813" s="444" t="s">
        <v>6981</v>
      </c>
      <c r="BM813" s="392"/>
      <c r="BN813" s="393"/>
      <c r="BO813" s="393"/>
      <c r="BP813" s="399"/>
      <c r="BQ813" s="400"/>
      <c r="BR813" s="401"/>
      <c r="BS813" s="399"/>
      <c r="BT813" s="394"/>
      <c r="BU813" s="417">
        <v>0.57645000000000002</v>
      </c>
      <c r="BV813" s="399"/>
      <c r="BW813" s="393" t="s">
        <v>3117</v>
      </c>
      <c r="BX813" s="392" t="s">
        <v>3199</v>
      </c>
      <c r="BY813" s="393"/>
      <c r="BZ813" s="393"/>
      <c r="CA813" s="441"/>
      <c r="CB813" s="400"/>
      <c r="CC813" s="398"/>
      <c r="CD813" s="398"/>
      <c r="CE813" s="398"/>
      <c r="CF813" s="398"/>
      <c r="CG813" s="398"/>
      <c r="CH813" s="398">
        <v>5.7000000000000002E-2</v>
      </c>
      <c r="CI813" s="398">
        <v>5.7000000000000002E-2</v>
      </c>
      <c r="CJ813" s="398">
        <v>5.7000000000000002E-2</v>
      </c>
      <c r="CK813" s="398">
        <v>5.7000000000000002E-2</v>
      </c>
      <c r="CL813" s="398">
        <v>5.7000000000000002E-2</v>
      </c>
      <c r="CM813" s="398">
        <v>5.7000000000000002E-2</v>
      </c>
      <c r="CN813" s="398">
        <v>5.7000000000000002E-2</v>
      </c>
      <c r="CO813" s="398"/>
      <c r="CP813" s="398"/>
      <c r="CQ813" s="398"/>
      <c r="CR813" s="398"/>
      <c r="CS813" s="398"/>
      <c r="CT813" s="398"/>
      <c r="CU813" s="398"/>
      <c r="CV813" s="398"/>
      <c r="CW813" s="398"/>
      <c r="CX813" s="398"/>
      <c r="CY813" s="398"/>
      <c r="CZ813" s="398"/>
      <c r="DA813" s="398"/>
      <c r="DB813" s="398"/>
      <c r="DC813" s="398"/>
      <c r="DD813" s="398"/>
      <c r="DE813" s="393"/>
      <c r="DF813" s="393"/>
      <c r="DG813" s="393"/>
      <c r="DH813" s="393"/>
      <c r="DI813" s="393"/>
      <c r="DJ813" s="393"/>
      <c r="DK813" s="897"/>
    </row>
    <row r="814" spans="1:115" ht="38.25" x14ac:dyDescent="0.2">
      <c r="A814" s="295">
        <v>810</v>
      </c>
      <c r="B814" s="390" t="s">
        <v>264</v>
      </c>
      <c r="C814" s="424" t="s">
        <v>7571</v>
      </c>
      <c r="D814" s="391"/>
      <c r="E814" s="706" t="s">
        <v>265</v>
      </c>
      <c r="F814" s="390" t="s">
        <v>1375</v>
      </c>
      <c r="G814" s="390" t="s">
        <v>1361</v>
      </c>
      <c r="H814" s="390" t="s">
        <v>137</v>
      </c>
      <c r="I814" s="402"/>
      <c r="J814" s="402" t="s">
        <v>137</v>
      </c>
      <c r="K814" s="402"/>
      <c r="L814" s="402" t="s">
        <v>266</v>
      </c>
      <c r="M814" s="402" t="s">
        <v>3267</v>
      </c>
      <c r="N814" s="390" t="s">
        <v>33</v>
      </c>
      <c r="O814" s="390" t="s">
        <v>34</v>
      </c>
      <c r="P814" s="390" t="s">
        <v>34</v>
      </c>
      <c r="Q814" s="402" t="s">
        <v>255</v>
      </c>
      <c r="R814" s="402"/>
      <c r="S814" s="402" t="s">
        <v>64</v>
      </c>
      <c r="T814" s="411">
        <v>1</v>
      </c>
      <c r="U814" s="412">
        <v>43.94</v>
      </c>
      <c r="V814" s="412"/>
      <c r="W814" s="457">
        <v>40831</v>
      </c>
      <c r="X814" s="411">
        <v>28</v>
      </c>
      <c r="Y814" s="411"/>
      <c r="Z814" s="411"/>
      <c r="AA814" s="412"/>
      <c r="AB814" s="454"/>
      <c r="AC814" s="413">
        <v>3.7349000000000001</v>
      </c>
      <c r="AD814" s="413">
        <v>355.37227397260273</v>
      </c>
      <c r="AE814" s="390" t="s">
        <v>72</v>
      </c>
      <c r="AF814" s="419"/>
      <c r="AG814" s="419"/>
      <c r="AH814" s="419">
        <v>0</v>
      </c>
      <c r="AI814" s="411"/>
      <c r="AJ814" s="454"/>
      <c r="AK814" s="454"/>
      <c r="AL814" s="390"/>
      <c r="AM814" s="390"/>
      <c r="AN814" s="419"/>
      <c r="AO814" s="402"/>
      <c r="AP814" s="402" t="s">
        <v>7057</v>
      </c>
      <c r="AQ814" s="402"/>
      <c r="AR814" s="402" t="s">
        <v>509</v>
      </c>
      <c r="AS814" s="481">
        <v>40831</v>
      </c>
      <c r="AT814" s="454"/>
      <c r="AU814" s="454"/>
      <c r="AV814" s="454"/>
      <c r="AW814" s="454"/>
      <c r="AX814" s="454"/>
      <c r="AY814" s="454"/>
      <c r="AZ814" s="454"/>
      <c r="BA814" s="390"/>
      <c r="BB814" s="390" t="s">
        <v>3147</v>
      </c>
      <c r="BC814" s="390" t="b">
        <v>0</v>
      </c>
      <c r="BD814" s="390" t="s">
        <v>3116</v>
      </c>
      <c r="BE814" s="402"/>
      <c r="BF814" s="411">
        <v>9</v>
      </c>
      <c r="BG814" s="411">
        <v>7</v>
      </c>
      <c r="BH814" s="411"/>
      <c r="BI814" s="411"/>
      <c r="BJ814" s="411"/>
      <c r="BK814" s="411"/>
      <c r="BL814" s="445"/>
      <c r="BM814" s="402"/>
      <c r="BN814" s="390"/>
      <c r="BO814" s="390"/>
      <c r="BP814" s="414"/>
      <c r="BQ814" s="415"/>
      <c r="BR814" s="416"/>
      <c r="BS814" s="414">
        <v>0</v>
      </c>
      <c r="BT814" s="411"/>
      <c r="BU814" s="419"/>
      <c r="BV814" s="414"/>
      <c r="BW814" s="390"/>
      <c r="BX814" s="402"/>
      <c r="BY814" s="390"/>
      <c r="BZ814" s="390"/>
      <c r="CA814" s="442"/>
      <c r="CB814" s="415"/>
      <c r="CC814" s="413"/>
      <c r="CD814" s="413"/>
      <c r="CE814" s="413"/>
      <c r="CF814" s="413"/>
      <c r="CG814" s="413"/>
      <c r="CH814" s="413"/>
      <c r="CI814" s="413"/>
      <c r="CJ814" s="413"/>
      <c r="CK814" s="413"/>
      <c r="CL814" s="413"/>
      <c r="CM814" s="413"/>
      <c r="CN814" s="413"/>
      <c r="CO814" s="413"/>
      <c r="CP814" s="413"/>
      <c r="CQ814" s="413"/>
      <c r="CR814" s="413"/>
      <c r="CS814" s="413"/>
      <c r="CT814" s="413"/>
      <c r="CU814" s="413"/>
      <c r="CV814" s="413"/>
      <c r="CW814" s="413"/>
      <c r="CX814" s="413"/>
      <c r="CY814" s="413"/>
      <c r="CZ814" s="413"/>
      <c r="DA814" s="413"/>
      <c r="DB814" s="413"/>
      <c r="DC814" s="413"/>
      <c r="DD814" s="413"/>
      <c r="DE814" s="390"/>
      <c r="DF814" s="390"/>
      <c r="DG814" s="390"/>
      <c r="DH814" s="390"/>
      <c r="DI814" s="390"/>
      <c r="DJ814" s="390"/>
      <c r="DK814" s="897"/>
    </row>
    <row r="815" spans="1:115" ht="38.25" x14ac:dyDescent="0.2">
      <c r="A815" s="295">
        <v>811</v>
      </c>
      <c r="B815" s="390" t="s">
        <v>2743</v>
      </c>
      <c r="C815" s="390"/>
      <c r="D815" s="391"/>
      <c r="E815" s="706" t="s">
        <v>267</v>
      </c>
      <c r="F815" s="390" t="s">
        <v>1375</v>
      </c>
      <c r="G815" s="390" t="s">
        <v>1361</v>
      </c>
      <c r="H815" s="390" t="s">
        <v>137</v>
      </c>
      <c r="I815" s="402"/>
      <c r="J815" s="402"/>
      <c r="K815" s="402" t="s">
        <v>137</v>
      </c>
      <c r="L815" s="402" t="s">
        <v>266</v>
      </c>
      <c r="M815" s="402"/>
      <c r="N815" s="390" t="s">
        <v>33</v>
      </c>
      <c r="O815" s="390" t="s">
        <v>34</v>
      </c>
      <c r="P815" s="390" t="s">
        <v>34</v>
      </c>
      <c r="Q815" s="402" t="s">
        <v>255</v>
      </c>
      <c r="R815" s="402" t="s">
        <v>3268</v>
      </c>
      <c r="S815" s="402" t="s">
        <v>64</v>
      </c>
      <c r="T815" s="411">
        <v>1</v>
      </c>
      <c r="U815" s="412">
        <v>43.94</v>
      </c>
      <c r="V815" s="412"/>
      <c r="W815" s="454"/>
      <c r="X815" s="411"/>
      <c r="Y815" s="411">
        <v>7</v>
      </c>
      <c r="Z815" s="411">
        <v>21</v>
      </c>
      <c r="AA815" s="412">
        <v>0</v>
      </c>
      <c r="AB815" s="457">
        <v>41244</v>
      </c>
      <c r="AC815" s="413">
        <v>3.7349000000000001</v>
      </c>
      <c r="AD815" s="413">
        <v>355.37227397260273</v>
      </c>
      <c r="AE815" s="390" t="s">
        <v>72</v>
      </c>
      <c r="AF815" s="419"/>
      <c r="AG815" s="419"/>
      <c r="AH815" s="419"/>
      <c r="AI815" s="411"/>
      <c r="AJ815" s="454"/>
      <c r="AK815" s="454"/>
      <c r="AL815" s="390"/>
      <c r="AM815" s="390"/>
      <c r="AN815" s="419"/>
      <c r="AO815" s="402"/>
      <c r="AP815" s="402" t="s">
        <v>7057</v>
      </c>
      <c r="AQ815" s="402"/>
      <c r="AR815" s="402" t="s">
        <v>509</v>
      </c>
      <c r="AS815" s="481">
        <v>40831</v>
      </c>
      <c r="AT815" s="454"/>
      <c r="AU815" s="454"/>
      <c r="AV815" s="454"/>
      <c r="AW815" s="454"/>
      <c r="AX815" s="454"/>
      <c r="AY815" s="454"/>
      <c r="AZ815" s="454"/>
      <c r="BA815" s="390"/>
      <c r="BB815" s="390"/>
      <c r="BC815" s="390" t="b">
        <v>0</v>
      </c>
      <c r="BD815" s="390"/>
      <c r="BE815" s="402"/>
      <c r="BF815" s="411">
        <v>9</v>
      </c>
      <c r="BG815" s="411">
        <v>7</v>
      </c>
      <c r="BH815" s="411"/>
      <c r="BI815" s="411"/>
      <c r="BJ815" s="411"/>
      <c r="BK815" s="411"/>
      <c r="BL815" s="445" t="s">
        <v>6981</v>
      </c>
      <c r="BM815" s="402"/>
      <c r="BN815" s="390"/>
      <c r="BO815" s="390"/>
      <c r="BP815" s="414"/>
      <c r="BQ815" s="415"/>
      <c r="BR815" s="416"/>
      <c r="BS815" s="414"/>
      <c r="BT815" s="411"/>
      <c r="BU815" s="419">
        <v>0.96450000000000002</v>
      </c>
      <c r="BV815" s="414">
        <v>57</v>
      </c>
      <c r="BW815" s="390" t="s">
        <v>3117</v>
      </c>
      <c r="BX815" s="402" t="s">
        <v>3253</v>
      </c>
      <c r="BY815" s="390"/>
      <c r="BZ815" s="390"/>
      <c r="CA815" s="442"/>
      <c r="CB815" s="415"/>
      <c r="CC815" s="413"/>
      <c r="CD815" s="413"/>
      <c r="CE815" s="413"/>
      <c r="CF815" s="413"/>
      <c r="CG815" s="413"/>
      <c r="CH815" s="413"/>
      <c r="CI815" s="413">
        <v>43.94</v>
      </c>
      <c r="CJ815" s="413">
        <v>43.94</v>
      </c>
      <c r="CK815" s="413">
        <v>43.94</v>
      </c>
      <c r="CL815" s="413">
        <v>43.94</v>
      </c>
      <c r="CM815" s="413">
        <v>43.94</v>
      </c>
      <c r="CN815" s="413">
        <v>43.94</v>
      </c>
      <c r="CO815" s="413">
        <v>43.94</v>
      </c>
      <c r="CP815" s="413"/>
      <c r="CQ815" s="413"/>
      <c r="CR815" s="413"/>
      <c r="CS815" s="413"/>
      <c r="CT815" s="413"/>
      <c r="CU815" s="413"/>
      <c r="CV815" s="413"/>
      <c r="CW815" s="413"/>
      <c r="CX815" s="413"/>
      <c r="CY815" s="413"/>
      <c r="CZ815" s="413"/>
      <c r="DA815" s="413"/>
      <c r="DB815" s="413"/>
      <c r="DC815" s="413"/>
      <c r="DD815" s="413"/>
      <c r="DE815" s="390"/>
      <c r="DF815" s="390"/>
      <c r="DG815" s="390"/>
      <c r="DH815" s="390"/>
      <c r="DI815" s="390"/>
      <c r="DJ815" s="390"/>
      <c r="DK815" s="897"/>
    </row>
    <row r="816" spans="1:115" ht="51" x14ac:dyDescent="0.2">
      <c r="A816" s="295">
        <v>812</v>
      </c>
      <c r="B816" s="390" t="s">
        <v>749</v>
      </c>
      <c r="C816" s="424" t="s">
        <v>7572</v>
      </c>
      <c r="D816" s="391" t="s">
        <v>5117</v>
      </c>
      <c r="E816" s="704" t="s">
        <v>746</v>
      </c>
      <c r="F816" s="393" t="s">
        <v>1340</v>
      </c>
      <c r="G816" s="393" t="s">
        <v>1359</v>
      </c>
      <c r="H816" s="393" t="s">
        <v>741</v>
      </c>
      <c r="I816" s="392" t="s">
        <v>4086</v>
      </c>
      <c r="J816" s="392" t="s">
        <v>2182</v>
      </c>
      <c r="K816" s="392"/>
      <c r="L816" s="392" t="s">
        <v>747</v>
      </c>
      <c r="M816" s="392" t="s">
        <v>3269</v>
      </c>
      <c r="N816" s="393" t="s">
        <v>44</v>
      </c>
      <c r="O816" s="393" t="s">
        <v>289</v>
      </c>
      <c r="P816" s="393" t="s">
        <v>289</v>
      </c>
      <c r="Q816" s="392" t="s">
        <v>721</v>
      </c>
      <c r="R816" s="392"/>
      <c r="S816" s="392" t="s">
        <v>291</v>
      </c>
      <c r="T816" s="394">
        <v>3</v>
      </c>
      <c r="U816" s="395">
        <v>46.447000000000003</v>
      </c>
      <c r="V816" s="395"/>
      <c r="W816" s="452">
        <v>40646</v>
      </c>
      <c r="X816" s="394">
        <v>28</v>
      </c>
      <c r="Y816" s="394"/>
      <c r="Z816" s="394"/>
      <c r="AA816" s="395"/>
      <c r="AB816" s="453"/>
      <c r="AC816" s="398">
        <v>0</v>
      </c>
      <c r="AD816" s="398">
        <v>255.10134246575342</v>
      </c>
      <c r="AE816" s="393" t="s">
        <v>96</v>
      </c>
      <c r="AF816" s="417"/>
      <c r="AG816" s="417"/>
      <c r="AH816" s="417">
        <v>23.081</v>
      </c>
      <c r="AI816" s="394"/>
      <c r="AJ816" s="453">
        <v>43249</v>
      </c>
      <c r="AK816" s="453">
        <v>42855</v>
      </c>
      <c r="AL816" s="393"/>
      <c r="AM816" s="393"/>
      <c r="AN816" s="417"/>
      <c r="AO816" s="428" t="s">
        <v>133</v>
      </c>
      <c r="AP816" s="428" t="s">
        <v>8092</v>
      </c>
      <c r="AQ816" s="392"/>
      <c r="AR816" s="392" t="s">
        <v>747</v>
      </c>
      <c r="AS816" s="479">
        <v>40836</v>
      </c>
      <c r="AT816" s="453"/>
      <c r="AU816" s="453" t="s">
        <v>745</v>
      </c>
      <c r="AV816" s="452">
        <v>41263</v>
      </c>
      <c r="AW816" s="452">
        <v>41253</v>
      </c>
      <c r="AX816" s="453"/>
      <c r="AY816" s="452">
        <v>41263</v>
      </c>
      <c r="AZ816" s="453"/>
      <c r="BA816" s="393"/>
      <c r="BB816" s="393" t="s">
        <v>3147</v>
      </c>
      <c r="BC816" s="393" t="b">
        <v>1</v>
      </c>
      <c r="BD816" s="393" t="s">
        <v>3147</v>
      </c>
      <c r="BE816" s="392"/>
      <c r="BF816" s="394">
        <v>5</v>
      </c>
      <c r="BG816" s="394">
        <v>9</v>
      </c>
      <c r="BH816" s="394">
        <v>10</v>
      </c>
      <c r="BI816" s="394">
        <v>11</v>
      </c>
      <c r="BJ816" s="394"/>
      <c r="BK816" s="394"/>
      <c r="BL816" s="444"/>
      <c r="BM816" s="392"/>
      <c r="BN816" s="393"/>
      <c r="BO816" s="393"/>
      <c r="BP816" s="399"/>
      <c r="BQ816" s="400"/>
      <c r="BR816" s="401"/>
      <c r="BS816" s="399">
        <v>15.183</v>
      </c>
      <c r="BT816" s="394"/>
      <c r="BU816" s="417"/>
      <c r="BV816" s="399"/>
      <c r="BW816" s="393"/>
      <c r="BX816" s="392"/>
      <c r="BY816" s="475" t="s">
        <v>7224</v>
      </c>
      <c r="BZ816" s="393"/>
      <c r="CA816" s="441"/>
      <c r="CB816" s="400"/>
      <c r="CC816" s="398"/>
      <c r="CD816" s="398"/>
      <c r="CE816" s="398"/>
      <c r="CF816" s="398"/>
      <c r="CG816" s="398"/>
      <c r="CH816" s="398"/>
      <c r="CI816" s="398"/>
      <c r="CJ816" s="398"/>
      <c r="CK816" s="398"/>
      <c r="CL816" s="398"/>
      <c r="CM816" s="398"/>
      <c r="CN816" s="398"/>
      <c r="CO816" s="398"/>
      <c r="CP816" s="398"/>
      <c r="CQ816" s="398"/>
      <c r="CR816" s="398"/>
      <c r="CS816" s="398"/>
      <c r="CT816" s="398"/>
      <c r="CU816" s="398"/>
      <c r="CV816" s="398"/>
      <c r="CW816" s="398"/>
      <c r="CX816" s="398"/>
      <c r="CY816" s="398"/>
      <c r="CZ816" s="398"/>
      <c r="DA816" s="398"/>
      <c r="DB816" s="398"/>
      <c r="DC816" s="398"/>
      <c r="DD816" s="398"/>
      <c r="DE816" s="393"/>
      <c r="DF816" s="393"/>
      <c r="DG816" s="393"/>
      <c r="DH816" s="393"/>
      <c r="DI816" s="393"/>
      <c r="DJ816" s="393"/>
      <c r="DK816" s="896" t="s">
        <v>9724</v>
      </c>
    </row>
    <row r="817" spans="1:115" ht="15" x14ac:dyDescent="0.2">
      <c r="A817" s="295">
        <v>813</v>
      </c>
      <c r="B817" s="390" t="s">
        <v>2744</v>
      </c>
      <c r="C817" s="390"/>
      <c r="D817" s="391" t="s">
        <v>4601</v>
      </c>
      <c r="E817" s="704" t="s">
        <v>750</v>
      </c>
      <c r="F817" s="393" t="s">
        <v>1340</v>
      </c>
      <c r="G817" s="393" t="s">
        <v>1359</v>
      </c>
      <c r="H817" s="393" t="s">
        <v>741</v>
      </c>
      <c r="I817" s="392"/>
      <c r="J817" s="392"/>
      <c r="K817" s="392" t="s">
        <v>751</v>
      </c>
      <c r="L817" s="392" t="s">
        <v>747</v>
      </c>
      <c r="M817" s="392"/>
      <c r="N817" s="393" t="s">
        <v>44</v>
      </c>
      <c r="O817" s="393" t="s">
        <v>289</v>
      </c>
      <c r="P817" s="393" t="s">
        <v>289</v>
      </c>
      <c r="Q817" s="392" t="s">
        <v>721</v>
      </c>
      <c r="R817" s="392" t="s">
        <v>3270</v>
      </c>
      <c r="S817" s="392" t="s">
        <v>291</v>
      </c>
      <c r="T817" s="394">
        <v>1</v>
      </c>
      <c r="U817" s="395">
        <v>5.7619999999999996</v>
      </c>
      <c r="V817" s="395"/>
      <c r="W817" s="453"/>
      <c r="X817" s="394"/>
      <c r="Y817" s="394">
        <v>7</v>
      </c>
      <c r="Z817" s="394">
        <v>25</v>
      </c>
      <c r="AA817" s="395">
        <v>0</v>
      </c>
      <c r="AB817" s="452">
        <v>41791</v>
      </c>
      <c r="AC817" s="398">
        <v>0</v>
      </c>
      <c r="AD817" s="398">
        <v>37.966054794520545</v>
      </c>
      <c r="AE817" s="393" t="s">
        <v>96</v>
      </c>
      <c r="AF817" s="417"/>
      <c r="AG817" s="417"/>
      <c r="AH817" s="417"/>
      <c r="AI817" s="394"/>
      <c r="AJ817" s="453"/>
      <c r="AK817" s="453"/>
      <c r="AL817" s="393"/>
      <c r="AM817" s="393"/>
      <c r="AN817" s="417"/>
      <c r="AO817" s="392"/>
      <c r="AP817" s="428" t="s">
        <v>8092</v>
      </c>
      <c r="AQ817" s="392"/>
      <c r="AR817" s="392" t="s">
        <v>747</v>
      </c>
      <c r="AS817" s="479">
        <v>40836</v>
      </c>
      <c r="AT817" s="453"/>
      <c r="AU817" s="453" t="s">
        <v>2675</v>
      </c>
      <c r="AV817" s="453"/>
      <c r="AW817" s="453"/>
      <c r="AX817" s="453"/>
      <c r="AY817" s="453"/>
      <c r="AZ817" s="452">
        <v>41263</v>
      </c>
      <c r="BA817" s="393"/>
      <c r="BB817" s="393"/>
      <c r="BC817" s="393" t="b">
        <v>0</v>
      </c>
      <c r="BD817" s="393"/>
      <c r="BE817" s="392"/>
      <c r="BF817" s="394">
        <v>5</v>
      </c>
      <c r="BG817" s="394">
        <v>9</v>
      </c>
      <c r="BH817" s="394">
        <v>10</v>
      </c>
      <c r="BI817" s="394">
        <v>11</v>
      </c>
      <c r="BJ817" s="394"/>
      <c r="BK817" s="394"/>
      <c r="BL817" s="444" t="s">
        <v>6981</v>
      </c>
      <c r="BM817" s="392"/>
      <c r="BN817" s="393"/>
      <c r="BO817" s="393"/>
      <c r="BP817" s="399"/>
      <c r="BQ817" s="400"/>
      <c r="BR817" s="401"/>
      <c r="BS817" s="399">
        <v>2.3069999999999999</v>
      </c>
      <c r="BT817" s="394">
        <v>9260</v>
      </c>
      <c r="BU817" s="417">
        <v>0.62229999999999996</v>
      </c>
      <c r="BV817" s="399"/>
      <c r="BW817" s="393" t="s">
        <v>3117</v>
      </c>
      <c r="BX817" s="392" t="s">
        <v>1450</v>
      </c>
      <c r="BY817" s="475" t="s">
        <v>7224</v>
      </c>
      <c r="BZ817" s="393"/>
      <c r="CA817" s="441"/>
      <c r="CB817" s="400"/>
      <c r="CC817" s="398"/>
      <c r="CD817" s="398"/>
      <c r="CE817" s="398"/>
      <c r="CF817" s="398"/>
      <c r="CG817" s="398"/>
      <c r="CH817" s="398">
        <v>5.86</v>
      </c>
      <c r="CI817" s="398">
        <v>5.86</v>
      </c>
      <c r="CJ817" s="398">
        <v>5.86</v>
      </c>
      <c r="CK817" s="398">
        <v>5.86</v>
      </c>
      <c r="CL817" s="398">
        <v>5.86</v>
      </c>
      <c r="CM817" s="398">
        <v>5.86</v>
      </c>
      <c r="CN817" s="398">
        <v>5.86</v>
      </c>
      <c r="CO817" s="398"/>
      <c r="CP817" s="398"/>
      <c r="CQ817" s="398"/>
      <c r="CR817" s="398"/>
      <c r="CS817" s="398"/>
      <c r="CT817" s="398"/>
      <c r="CU817" s="398"/>
      <c r="CV817" s="398"/>
      <c r="CW817" s="398"/>
      <c r="CX817" s="398"/>
      <c r="CY817" s="398"/>
      <c r="CZ817" s="398"/>
      <c r="DA817" s="398"/>
      <c r="DB817" s="398"/>
      <c r="DC817" s="398"/>
      <c r="DD817" s="398"/>
      <c r="DE817" s="393"/>
      <c r="DF817" s="393"/>
      <c r="DG817" s="393"/>
      <c r="DH817" s="393"/>
      <c r="DI817" s="393"/>
      <c r="DJ817" s="393"/>
      <c r="DK817" s="897"/>
    </row>
    <row r="818" spans="1:115" ht="25.5" x14ac:dyDescent="0.2">
      <c r="A818" s="295">
        <v>814</v>
      </c>
      <c r="B818" s="390" t="s">
        <v>8160</v>
      </c>
      <c r="C818" s="390"/>
      <c r="D818" s="391" t="s">
        <v>8162</v>
      </c>
      <c r="E818" s="705" t="s">
        <v>8164</v>
      </c>
      <c r="F818" s="393" t="s">
        <v>1340</v>
      </c>
      <c r="G818" s="393" t="s">
        <v>1359</v>
      </c>
      <c r="H818" s="393" t="s">
        <v>741</v>
      </c>
      <c r="I818" s="392"/>
      <c r="J818" s="392"/>
      <c r="K818" s="428" t="s">
        <v>8166</v>
      </c>
      <c r="L818" s="428" t="s">
        <v>747</v>
      </c>
      <c r="M818" s="392"/>
      <c r="N818" s="475" t="s">
        <v>44</v>
      </c>
      <c r="O818" s="393" t="s">
        <v>289</v>
      </c>
      <c r="P818" s="393" t="s">
        <v>289</v>
      </c>
      <c r="Q818" s="392" t="s">
        <v>721</v>
      </c>
      <c r="R818" s="428" t="s">
        <v>8167</v>
      </c>
      <c r="S818" s="428" t="s">
        <v>291</v>
      </c>
      <c r="T818" s="394">
        <v>1</v>
      </c>
      <c r="U818" s="395">
        <v>11.5</v>
      </c>
      <c r="V818" s="395"/>
      <c r="W818" s="453"/>
      <c r="X818" s="394"/>
      <c r="Y818" s="394">
        <v>7</v>
      </c>
      <c r="Z818" s="394">
        <v>30</v>
      </c>
      <c r="AA818" s="395">
        <v>0</v>
      </c>
      <c r="AB818" s="452">
        <v>42248</v>
      </c>
      <c r="AC818" s="398">
        <v>0</v>
      </c>
      <c r="AD818" s="398">
        <v>61.375342465753427</v>
      </c>
      <c r="AE818" s="475" t="s">
        <v>96</v>
      </c>
      <c r="AF818" s="417"/>
      <c r="AG818" s="417">
        <f>9.068</f>
        <v>9.0679999999999996</v>
      </c>
      <c r="AH818" s="417">
        <v>9.0679999999999996</v>
      </c>
      <c r="AI818" s="394"/>
      <c r="AJ818" s="453">
        <v>43249</v>
      </c>
      <c r="AK818" s="453">
        <v>42855</v>
      </c>
      <c r="AL818" s="393"/>
      <c r="AM818" s="393"/>
      <c r="AN818" s="417"/>
      <c r="AO818" s="428" t="s">
        <v>133</v>
      </c>
      <c r="AP818" s="392"/>
      <c r="AQ818" s="392"/>
      <c r="AR818" s="428" t="s">
        <v>747</v>
      </c>
      <c r="AS818" s="479">
        <v>40836</v>
      </c>
      <c r="AT818" s="453"/>
      <c r="AU818" s="453"/>
      <c r="AV818" s="453"/>
      <c r="AW818" s="453"/>
      <c r="AX818" s="453"/>
      <c r="AY818" s="453"/>
      <c r="AZ818" s="452">
        <v>42549</v>
      </c>
      <c r="BA818" s="393"/>
      <c r="BB818" s="393"/>
      <c r="BC818" s="393" t="b">
        <v>0</v>
      </c>
      <c r="BD818" s="393"/>
      <c r="BE818" s="392"/>
      <c r="BF818" s="394">
        <v>5</v>
      </c>
      <c r="BG818" s="394">
        <v>9</v>
      </c>
      <c r="BH818" s="394">
        <v>10</v>
      </c>
      <c r="BI818" s="394">
        <v>11</v>
      </c>
      <c r="BJ818" s="394"/>
      <c r="BK818" s="394"/>
      <c r="BL818" s="444" t="s">
        <v>6981</v>
      </c>
      <c r="BM818" s="392"/>
      <c r="BN818" s="393"/>
      <c r="BO818" s="393"/>
      <c r="BP818" s="399"/>
      <c r="BQ818" s="400"/>
      <c r="BR818" s="401"/>
      <c r="BS818" s="399">
        <v>3.2759999999999998</v>
      </c>
      <c r="BT818" s="394">
        <v>18480</v>
      </c>
      <c r="BU818" s="417">
        <v>0.62229999999999996</v>
      </c>
      <c r="BV818" s="399"/>
      <c r="BW818" s="475" t="s">
        <v>3117</v>
      </c>
      <c r="BX818" s="392"/>
      <c r="BY818" s="475" t="s">
        <v>7224</v>
      </c>
      <c r="BZ818" s="393"/>
      <c r="CA818" s="441"/>
      <c r="CB818" s="400"/>
      <c r="CC818" s="398"/>
      <c r="CD818" s="398"/>
      <c r="CE818" s="398"/>
      <c r="CF818" s="398"/>
      <c r="CG818" s="398"/>
      <c r="CH818" s="398"/>
      <c r="CI818" s="398"/>
      <c r="CJ818" s="398"/>
      <c r="CK818" s="398">
        <v>11.5</v>
      </c>
      <c r="CL818" s="398">
        <v>11.5</v>
      </c>
      <c r="CM818" s="398">
        <v>11.5</v>
      </c>
      <c r="CN818" s="398">
        <v>11.5</v>
      </c>
      <c r="CO818" s="398">
        <v>11.5</v>
      </c>
      <c r="CP818" s="398">
        <v>11.5</v>
      </c>
      <c r="CQ818" s="398">
        <v>11.5</v>
      </c>
      <c r="CR818" s="398"/>
      <c r="CS818" s="398"/>
      <c r="CT818" s="398"/>
      <c r="CU818" s="398"/>
      <c r="CV818" s="398"/>
      <c r="CW818" s="398"/>
      <c r="CX818" s="398"/>
      <c r="CY818" s="398"/>
      <c r="CZ818" s="398"/>
      <c r="DA818" s="398"/>
      <c r="DB818" s="398"/>
      <c r="DC818" s="398"/>
      <c r="DD818" s="398"/>
      <c r="DE818" s="393"/>
      <c r="DF818" s="393"/>
      <c r="DG818" s="393"/>
      <c r="DH818" s="393"/>
      <c r="DI818" s="393"/>
      <c r="DJ818" s="393"/>
      <c r="DK818" s="897"/>
    </row>
    <row r="819" spans="1:115" ht="25.5" x14ac:dyDescent="0.2">
      <c r="A819" s="295">
        <v>815</v>
      </c>
      <c r="B819" s="390" t="s">
        <v>8161</v>
      </c>
      <c r="C819" s="390"/>
      <c r="D819" s="391" t="s">
        <v>8163</v>
      </c>
      <c r="E819" s="705" t="s">
        <v>8165</v>
      </c>
      <c r="F819" s="393" t="s">
        <v>1340</v>
      </c>
      <c r="G819" s="393" t="s">
        <v>1359</v>
      </c>
      <c r="H819" s="393" t="s">
        <v>741</v>
      </c>
      <c r="I819" s="392"/>
      <c r="J819" s="392"/>
      <c r="K819" s="428" t="s">
        <v>8168</v>
      </c>
      <c r="L819" s="428" t="s">
        <v>747</v>
      </c>
      <c r="M819" s="392"/>
      <c r="N819" s="475" t="s">
        <v>44</v>
      </c>
      <c r="O819" s="393" t="s">
        <v>289</v>
      </c>
      <c r="P819" s="393" t="s">
        <v>289</v>
      </c>
      <c r="Q819" s="392" t="s">
        <v>721</v>
      </c>
      <c r="R819" s="428" t="s">
        <v>8169</v>
      </c>
      <c r="S819" s="428" t="s">
        <v>291</v>
      </c>
      <c r="T819" s="394">
        <v>1</v>
      </c>
      <c r="U819" s="395">
        <v>29.184999999999999</v>
      </c>
      <c r="V819" s="395"/>
      <c r="W819" s="453"/>
      <c r="X819" s="394"/>
      <c r="Y819" s="394">
        <v>7</v>
      </c>
      <c r="Z819" s="394">
        <v>30</v>
      </c>
      <c r="AA819" s="395">
        <v>0</v>
      </c>
      <c r="AB819" s="452">
        <v>42248</v>
      </c>
      <c r="AC819" s="398">
        <v>0</v>
      </c>
      <c r="AD819" s="398">
        <v>155.75994520547945</v>
      </c>
      <c r="AE819" s="475" t="s">
        <v>96</v>
      </c>
      <c r="AF819" s="417"/>
      <c r="AG819" s="417">
        <f>14.013</f>
        <v>14.013</v>
      </c>
      <c r="AH819" s="417">
        <v>14.013</v>
      </c>
      <c r="AI819" s="394"/>
      <c r="AJ819" s="453">
        <v>43249</v>
      </c>
      <c r="AK819" s="453">
        <v>42855</v>
      </c>
      <c r="AL819" s="393"/>
      <c r="AM819" s="393"/>
      <c r="AN819" s="417"/>
      <c r="AO819" s="428" t="s">
        <v>133</v>
      </c>
      <c r="AP819" s="392"/>
      <c r="AQ819" s="392"/>
      <c r="AR819" s="428" t="s">
        <v>747</v>
      </c>
      <c r="AS819" s="479">
        <v>40836</v>
      </c>
      <c r="AT819" s="453"/>
      <c r="AU819" s="453"/>
      <c r="AV819" s="453"/>
      <c r="AW819" s="453"/>
      <c r="AX819" s="453"/>
      <c r="AY819" s="453"/>
      <c r="AZ819" s="452">
        <v>42549</v>
      </c>
      <c r="BA819" s="393"/>
      <c r="BB819" s="393"/>
      <c r="BC819" s="393" t="b">
        <v>0</v>
      </c>
      <c r="BD819" s="393"/>
      <c r="BE819" s="392"/>
      <c r="BF819" s="394">
        <v>5</v>
      </c>
      <c r="BG819" s="394">
        <v>9</v>
      </c>
      <c r="BH819" s="394">
        <v>10</v>
      </c>
      <c r="BI819" s="394">
        <v>11</v>
      </c>
      <c r="BJ819" s="394"/>
      <c r="BK819" s="394"/>
      <c r="BL819" s="444" t="s">
        <v>6981</v>
      </c>
      <c r="BM819" s="392"/>
      <c r="BN819" s="393"/>
      <c r="BO819" s="393"/>
      <c r="BP819" s="399"/>
      <c r="BQ819" s="400"/>
      <c r="BR819" s="401"/>
      <c r="BS819" s="399">
        <v>9.6</v>
      </c>
      <c r="BT819" s="394">
        <v>46900</v>
      </c>
      <c r="BU819" s="417">
        <v>0.62229999999999996</v>
      </c>
      <c r="BV819" s="399"/>
      <c r="BW819" s="475" t="s">
        <v>3117</v>
      </c>
      <c r="BX819" s="428" t="s">
        <v>1450</v>
      </c>
      <c r="BY819" s="475" t="s">
        <v>7224</v>
      </c>
      <c r="BZ819" s="393"/>
      <c r="CA819" s="441"/>
      <c r="CB819" s="400"/>
      <c r="CC819" s="398"/>
      <c r="CD819" s="398"/>
      <c r="CE819" s="398"/>
      <c r="CF819" s="398"/>
      <c r="CG819" s="398"/>
      <c r="CH819" s="398"/>
      <c r="CI819" s="398"/>
      <c r="CJ819" s="398"/>
      <c r="CK819" s="398">
        <v>29.184999999999999</v>
      </c>
      <c r="CL819" s="398">
        <v>29.184999999999999</v>
      </c>
      <c r="CM819" s="398">
        <v>29.184999999999999</v>
      </c>
      <c r="CN819" s="398">
        <v>29.184999999999999</v>
      </c>
      <c r="CO819" s="398">
        <v>29.184999999999999</v>
      </c>
      <c r="CP819" s="398">
        <v>29.184999999999999</v>
      </c>
      <c r="CQ819" s="398">
        <v>29.184999999999999</v>
      </c>
      <c r="CR819" s="398"/>
      <c r="CS819" s="398"/>
      <c r="CT819" s="398"/>
      <c r="CU819" s="398"/>
      <c r="CV819" s="398"/>
      <c r="CW819" s="398"/>
      <c r="CX819" s="398"/>
      <c r="CY819" s="398"/>
      <c r="CZ819" s="398"/>
      <c r="DA819" s="398"/>
      <c r="DB819" s="398"/>
      <c r="DC819" s="398"/>
      <c r="DD819" s="398"/>
      <c r="DE819" s="393"/>
      <c r="DF819" s="393"/>
      <c r="DG819" s="393"/>
      <c r="DH819" s="393"/>
      <c r="DI819" s="393"/>
      <c r="DJ819" s="393"/>
      <c r="DK819" s="897"/>
    </row>
    <row r="820" spans="1:115" ht="38.25" x14ac:dyDescent="0.2">
      <c r="A820" s="295">
        <v>816</v>
      </c>
      <c r="B820" s="390" t="s">
        <v>647</v>
      </c>
      <c r="C820" s="424" t="s">
        <v>7573</v>
      </c>
      <c r="D820" s="391" t="s">
        <v>5118</v>
      </c>
      <c r="E820" s="704" t="s">
        <v>648</v>
      </c>
      <c r="F820" s="393" t="s">
        <v>1340</v>
      </c>
      <c r="G820" s="393" t="s">
        <v>1677</v>
      </c>
      <c r="H820" s="393" t="s">
        <v>151</v>
      </c>
      <c r="I820" s="392"/>
      <c r="J820" s="392" t="s">
        <v>151</v>
      </c>
      <c r="K820" s="392"/>
      <c r="L820" s="392" t="s">
        <v>5664</v>
      </c>
      <c r="M820" s="392" t="s">
        <v>3271</v>
      </c>
      <c r="N820" s="393" t="s">
        <v>44</v>
      </c>
      <c r="O820" s="393" t="s">
        <v>289</v>
      </c>
      <c r="P820" s="393" t="s">
        <v>289</v>
      </c>
      <c r="Q820" s="392" t="s">
        <v>649</v>
      </c>
      <c r="R820" s="392"/>
      <c r="S820" s="392" t="s">
        <v>650</v>
      </c>
      <c r="T820" s="394">
        <v>3</v>
      </c>
      <c r="U820" s="395">
        <v>29.912999999999997</v>
      </c>
      <c r="V820" s="395"/>
      <c r="W820" s="452">
        <v>40838</v>
      </c>
      <c r="X820" s="394">
        <v>28</v>
      </c>
      <c r="Y820" s="394"/>
      <c r="Z820" s="394"/>
      <c r="AA820" s="395"/>
      <c r="AB820" s="453"/>
      <c r="AC820" s="398">
        <v>0</v>
      </c>
      <c r="AD820" s="398">
        <v>184.22382739726027</v>
      </c>
      <c r="AE820" s="393" t="s">
        <v>72</v>
      </c>
      <c r="AF820" s="417"/>
      <c r="AG820" s="417"/>
      <c r="AH820" s="417">
        <v>0</v>
      </c>
      <c r="AI820" s="394"/>
      <c r="AJ820" s="453"/>
      <c r="AK820" s="453"/>
      <c r="AL820" s="393"/>
      <c r="AM820" s="393"/>
      <c r="AN820" s="417"/>
      <c r="AO820" s="392"/>
      <c r="AP820" s="392" t="s">
        <v>7051</v>
      </c>
      <c r="AQ820" s="392"/>
      <c r="AR820" s="392" t="s">
        <v>5664</v>
      </c>
      <c r="AS820" s="479">
        <v>40838</v>
      </c>
      <c r="AT820" s="453"/>
      <c r="AU820" s="453"/>
      <c r="AV820" s="452">
        <v>41143</v>
      </c>
      <c r="AW820" s="452">
        <v>41158</v>
      </c>
      <c r="AX820" s="452">
        <v>41234</v>
      </c>
      <c r="AY820" s="452">
        <v>41158</v>
      </c>
      <c r="AZ820" s="453"/>
      <c r="BA820" s="393"/>
      <c r="BB820" s="393" t="s">
        <v>3147</v>
      </c>
      <c r="BC820" s="393" t="b">
        <v>1</v>
      </c>
      <c r="BD820" s="393" t="s">
        <v>3116</v>
      </c>
      <c r="BE820" s="392"/>
      <c r="BF820" s="394">
        <v>8</v>
      </c>
      <c r="BG820" s="394">
        <v>9</v>
      </c>
      <c r="BH820" s="394"/>
      <c r="BI820" s="394"/>
      <c r="BJ820" s="394"/>
      <c r="BK820" s="394"/>
      <c r="BL820" s="444"/>
      <c r="BM820" s="392"/>
      <c r="BN820" s="393"/>
      <c r="BO820" s="393"/>
      <c r="BP820" s="399"/>
      <c r="BQ820" s="400"/>
      <c r="BR820" s="401"/>
      <c r="BS820" s="399">
        <v>58.3</v>
      </c>
      <c r="BT820" s="394"/>
      <c r="BU820" s="417"/>
      <c r="BV820" s="399"/>
      <c r="BW820" s="393"/>
      <c r="BX820" s="392"/>
      <c r="BY820" s="393"/>
      <c r="BZ820" s="393"/>
      <c r="CA820" s="441"/>
      <c r="CB820" s="400"/>
      <c r="CC820" s="398"/>
      <c r="CD820" s="398"/>
      <c r="CE820" s="398"/>
      <c r="CF820" s="398"/>
      <c r="CG820" s="398"/>
      <c r="CH820" s="398"/>
      <c r="CI820" s="398"/>
      <c r="CJ820" s="398"/>
      <c r="CK820" s="398"/>
      <c r="CL820" s="398"/>
      <c r="CM820" s="398"/>
      <c r="CN820" s="398"/>
      <c r="CO820" s="398"/>
      <c r="CP820" s="398"/>
      <c r="CQ820" s="398"/>
      <c r="CR820" s="398"/>
      <c r="CS820" s="398"/>
      <c r="CT820" s="398"/>
      <c r="CU820" s="398"/>
      <c r="CV820" s="398"/>
      <c r="CW820" s="398"/>
      <c r="CX820" s="398"/>
      <c r="CY820" s="398"/>
      <c r="CZ820" s="398"/>
      <c r="DA820" s="398"/>
      <c r="DB820" s="398"/>
      <c r="DC820" s="398"/>
      <c r="DD820" s="398"/>
      <c r="DE820" s="393"/>
      <c r="DF820" s="393"/>
      <c r="DG820" s="393"/>
      <c r="DH820" s="393"/>
      <c r="DI820" s="393"/>
      <c r="DJ820" s="393"/>
      <c r="DK820" s="896" t="s">
        <v>9736</v>
      </c>
    </row>
    <row r="821" spans="1:115" ht="25.5" x14ac:dyDescent="0.2">
      <c r="A821" s="295">
        <v>817</v>
      </c>
      <c r="B821" s="390" t="s">
        <v>2745</v>
      </c>
      <c r="C821" s="390"/>
      <c r="D821" s="391" t="s">
        <v>4244</v>
      </c>
      <c r="E821" s="704" t="s">
        <v>651</v>
      </c>
      <c r="F821" s="393" t="s">
        <v>1340</v>
      </c>
      <c r="G821" s="393" t="s">
        <v>1677</v>
      </c>
      <c r="H821" s="393" t="s">
        <v>151</v>
      </c>
      <c r="I821" s="392"/>
      <c r="J821" s="392"/>
      <c r="K821" s="392" t="s">
        <v>405</v>
      </c>
      <c r="L821" s="392" t="s">
        <v>5664</v>
      </c>
      <c r="M821" s="392"/>
      <c r="N821" s="393" t="s">
        <v>44</v>
      </c>
      <c r="O821" s="393" t="s">
        <v>289</v>
      </c>
      <c r="P821" s="393" t="s">
        <v>289</v>
      </c>
      <c r="Q821" s="392" t="s">
        <v>649</v>
      </c>
      <c r="R821" s="392" t="s">
        <v>3272</v>
      </c>
      <c r="S821" s="392" t="s">
        <v>650</v>
      </c>
      <c r="T821" s="394">
        <v>1</v>
      </c>
      <c r="U821" s="395">
        <v>13.148999999999999</v>
      </c>
      <c r="V821" s="395"/>
      <c r="W821" s="453"/>
      <c r="X821" s="394"/>
      <c r="Y821" s="394">
        <v>7</v>
      </c>
      <c r="Z821" s="394">
        <v>30</v>
      </c>
      <c r="AA821" s="395">
        <v>0</v>
      </c>
      <c r="AB821" s="452">
        <v>41791</v>
      </c>
      <c r="AC821" s="398">
        <v>0</v>
      </c>
      <c r="AD821" s="398">
        <v>86.639301369863006</v>
      </c>
      <c r="AE821" s="393" t="s">
        <v>72</v>
      </c>
      <c r="AF821" s="417"/>
      <c r="AG821" s="417"/>
      <c r="AH821" s="417"/>
      <c r="AI821" s="394"/>
      <c r="AJ821" s="453"/>
      <c r="AK821" s="453"/>
      <c r="AL821" s="393"/>
      <c r="AM821" s="393"/>
      <c r="AN821" s="417"/>
      <c r="AO821" s="392"/>
      <c r="AP821" s="392" t="s">
        <v>7051</v>
      </c>
      <c r="AQ821" s="392"/>
      <c r="AR821" s="392" t="s">
        <v>5664</v>
      </c>
      <c r="AS821" s="479">
        <v>40838</v>
      </c>
      <c r="AT821" s="453"/>
      <c r="AU821" s="453"/>
      <c r="AV821" s="453"/>
      <c r="AW821" s="453"/>
      <c r="AX821" s="453"/>
      <c r="AY821" s="453"/>
      <c r="AZ821" s="452">
        <v>41158</v>
      </c>
      <c r="BA821" s="393"/>
      <c r="BB821" s="393"/>
      <c r="BC821" s="393" t="b">
        <v>0</v>
      </c>
      <c r="BD821" s="393"/>
      <c r="BE821" s="392"/>
      <c r="BF821" s="394">
        <v>8</v>
      </c>
      <c r="BG821" s="394">
        <v>9</v>
      </c>
      <c r="BH821" s="394"/>
      <c r="BI821" s="394"/>
      <c r="BJ821" s="394"/>
      <c r="BK821" s="394"/>
      <c r="BL821" s="444" t="s">
        <v>6981</v>
      </c>
      <c r="BM821" s="392"/>
      <c r="BN821" s="393"/>
      <c r="BO821" s="393"/>
      <c r="BP821" s="399"/>
      <c r="BQ821" s="400"/>
      <c r="BR821" s="401"/>
      <c r="BS821" s="399">
        <v>13</v>
      </c>
      <c r="BT821" s="394">
        <v>69677</v>
      </c>
      <c r="BU821" s="417">
        <v>0.18865000000000001</v>
      </c>
      <c r="BV821" s="399"/>
      <c r="BW821" s="393" t="s">
        <v>3117</v>
      </c>
      <c r="BX821" s="392"/>
      <c r="BY821" s="393"/>
      <c r="BZ821" s="393"/>
      <c r="CA821" s="441" t="s">
        <v>1662</v>
      </c>
      <c r="CB821" s="400">
        <v>3</v>
      </c>
      <c r="CC821" s="398"/>
      <c r="CD821" s="398"/>
      <c r="CE821" s="398"/>
      <c r="CF821" s="398"/>
      <c r="CG821" s="398"/>
      <c r="CH821" s="398"/>
      <c r="CI821" s="398"/>
      <c r="CJ821" s="398">
        <v>7.7430000000000003</v>
      </c>
      <c r="CK821" s="398">
        <v>13.144</v>
      </c>
      <c r="CL821" s="398">
        <v>13.144</v>
      </c>
      <c r="CM821" s="398">
        <v>13.144</v>
      </c>
      <c r="CN821" s="398">
        <v>13.144</v>
      </c>
      <c r="CO821" s="398">
        <v>13.144</v>
      </c>
      <c r="CP821" s="398">
        <v>13.144</v>
      </c>
      <c r="CQ821" s="398">
        <v>5.4020000000000001</v>
      </c>
      <c r="CR821" s="398"/>
      <c r="CS821" s="398"/>
      <c r="CT821" s="398"/>
      <c r="CU821" s="398"/>
      <c r="CV821" s="398"/>
      <c r="CW821" s="398"/>
      <c r="CX821" s="398"/>
      <c r="CY821" s="398"/>
      <c r="CZ821" s="398"/>
      <c r="DA821" s="398"/>
      <c r="DB821" s="398"/>
      <c r="DC821" s="398"/>
      <c r="DD821" s="398"/>
      <c r="DE821" s="393"/>
      <c r="DF821" s="393"/>
      <c r="DG821" s="393"/>
      <c r="DH821" s="393"/>
      <c r="DI821" s="393"/>
      <c r="DJ821" s="393"/>
      <c r="DK821" s="897"/>
    </row>
    <row r="822" spans="1:115" ht="38.25" x14ac:dyDescent="0.2">
      <c r="A822" s="295">
        <v>818</v>
      </c>
      <c r="B822" s="390" t="s">
        <v>6636</v>
      </c>
      <c r="C822" s="390"/>
      <c r="D822" s="391" t="s">
        <v>6637</v>
      </c>
      <c r="E822" s="704" t="s">
        <v>6638</v>
      </c>
      <c r="F822" s="393" t="s">
        <v>1340</v>
      </c>
      <c r="G822" s="393" t="s">
        <v>1677</v>
      </c>
      <c r="H822" s="393" t="s">
        <v>151</v>
      </c>
      <c r="I822" s="392"/>
      <c r="J822" s="392"/>
      <c r="K822" s="392" t="s">
        <v>6639</v>
      </c>
      <c r="L822" s="392" t="s">
        <v>5664</v>
      </c>
      <c r="M822" s="392"/>
      <c r="N822" s="393" t="s">
        <v>44</v>
      </c>
      <c r="O822" s="393" t="s">
        <v>289</v>
      </c>
      <c r="P822" s="393" t="s">
        <v>289</v>
      </c>
      <c r="Q822" s="392" t="s">
        <v>649</v>
      </c>
      <c r="R822" s="392" t="s">
        <v>6640</v>
      </c>
      <c r="S822" s="392" t="s">
        <v>650</v>
      </c>
      <c r="T822" s="394">
        <v>1</v>
      </c>
      <c r="U822" s="395">
        <v>11.132</v>
      </c>
      <c r="V822" s="395"/>
      <c r="W822" s="453"/>
      <c r="X822" s="394"/>
      <c r="Y822" s="394">
        <v>7</v>
      </c>
      <c r="Z822" s="394">
        <v>22</v>
      </c>
      <c r="AA822" s="395">
        <v>0</v>
      </c>
      <c r="AB822" s="452">
        <v>42032</v>
      </c>
      <c r="AC822" s="398"/>
      <c r="AD822" s="398">
        <v>65.999035616438363</v>
      </c>
      <c r="AE822" s="393" t="s">
        <v>72</v>
      </c>
      <c r="AF822" s="417"/>
      <c r="AG822" s="417"/>
      <c r="AH822" s="417"/>
      <c r="AI822" s="394"/>
      <c r="AJ822" s="453"/>
      <c r="AK822" s="453"/>
      <c r="AL822" s="393"/>
      <c r="AM822" s="393"/>
      <c r="AN822" s="417"/>
      <c r="AO822" s="392"/>
      <c r="AP822" s="392"/>
      <c r="AQ822" s="392"/>
      <c r="AR822" s="392" t="s">
        <v>5664</v>
      </c>
      <c r="AS822" s="479">
        <v>40838</v>
      </c>
      <c r="AT822" s="453"/>
      <c r="AU822" s="453"/>
      <c r="AV822" s="453"/>
      <c r="AW822" s="453"/>
      <c r="AX822" s="453"/>
      <c r="AY822" s="453"/>
      <c r="AZ822" s="452">
        <v>41947</v>
      </c>
      <c r="BA822" s="393"/>
      <c r="BB822" s="393"/>
      <c r="BC822" s="393" t="b">
        <v>0</v>
      </c>
      <c r="BD822" s="393"/>
      <c r="BE822" s="392"/>
      <c r="BF822" s="394">
        <v>8</v>
      </c>
      <c r="BG822" s="394">
        <v>9</v>
      </c>
      <c r="BH822" s="394"/>
      <c r="BI822" s="394"/>
      <c r="BJ822" s="394"/>
      <c r="BK822" s="394"/>
      <c r="BL822" s="444" t="s">
        <v>6981</v>
      </c>
      <c r="BM822" s="392"/>
      <c r="BN822" s="393"/>
      <c r="BO822" s="393"/>
      <c r="BP822" s="399"/>
      <c r="BQ822" s="400"/>
      <c r="BR822" s="401"/>
      <c r="BS822" s="399">
        <v>29.3</v>
      </c>
      <c r="BT822" s="394">
        <v>113092</v>
      </c>
      <c r="BU822" s="417">
        <v>0.18865000000000001</v>
      </c>
      <c r="BV822" s="399"/>
      <c r="BW822" s="393" t="s">
        <v>3117</v>
      </c>
      <c r="BX822" s="392"/>
      <c r="BY822" s="393"/>
      <c r="BZ822" s="393"/>
      <c r="CA822" s="441" t="s">
        <v>1663</v>
      </c>
      <c r="CB822" s="400">
        <v>3</v>
      </c>
      <c r="CC822" s="398"/>
      <c r="CD822" s="398"/>
      <c r="CE822" s="398"/>
      <c r="CF822" s="398"/>
      <c r="CG822" s="398"/>
      <c r="CH822" s="398"/>
      <c r="CI822" s="398"/>
      <c r="CJ822" s="398"/>
      <c r="CK822" s="398">
        <v>10.308</v>
      </c>
      <c r="CL822" s="398">
        <v>11.132</v>
      </c>
      <c r="CM822" s="398">
        <v>11.132</v>
      </c>
      <c r="CN822" s="398">
        <v>11.132</v>
      </c>
      <c r="CO822" s="398">
        <v>11.132</v>
      </c>
      <c r="CP822" s="398">
        <v>11.132</v>
      </c>
      <c r="CQ822" s="398">
        <v>11.132</v>
      </c>
      <c r="CR822" s="398"/>
      <c r="CS822" s="398"/>
      <c r="CT822" s="398"/>
      <c r="CU822" s="398"/>
      <c r="CV822" s="398"/>
      <c r="CW822" s="398"/>
      <c r="CX822" s="398"/>
      <c r="CY822" s="398"/>
      <c r="CZ822" s="398"/>
      <c r="DA822" s="398"/>
      <c r="DB822" s="398"/>
      <c r="DC822" s="398"/>
      <c r="DD822" s="398"/>
      <c r="DE822" s="393"/>
      <c r="DF822" s="393"/>
      <c r="DG822" s="393"/>
      <c r="DH822" s="393"/>
      <c r="DI822" s="393"/>
      <c r="DJ822" s="393"/>
      <c r="DK822" s="897"/>
    </row>
    <row r="823" spans="1:115" ht="38.25" x14ac:dyDescent="0.2">
      <c r="A823" s="295">
        <v>819</v>
      </c>
      <c r="B823" s="390" t="s">
        <v>6680</v>
      </c>
      <c r="C823" s="390"/>
      <c r="D823" s="391" t="s">
        <v>6681</v>
      </c>
      <c r="E823" s="704" t="s">
        <v>6682</v>
      </c>
      <c r="F823" s="393" t="s">
        <v>1340</v>
      </c>
      <c r="G823" s="393" t="s">
        <v>1677</v>
      </c>
      <c r="H823" s="393" t="s">
        <v>151</v>
      </c>
      <c r="I823" s="392"/>
      <c r="J823" s="392"/>
      <c r="K823" s="392" t="s">
        <v>6639</v>
      </c>
      <c r="L823" s="392" t="s">
        <v>5664</v>
      </c>
      <c r="M823" s="392"/>
      <c r="N823" s="393" t="s">
        <v>44</v>
      </c>
      <c r="O823" s="393" t="s">
        <v>289</v>
      </c>
      <c r="P823" s="393" t="s">
        <v>289</v>
      </c>
      <c r="Q823" s="392" t="s">
        <v>649</v>
      </c>
      <c r="R823" s="392" t="s">
        <v>6683</v>
      </c>
      <c r="S823" s="392" t="s">
        <v>650</v>
      </c>
      <c r="T823" s="394">
        <v>1</v>
      </c>
      <c r="U823" s="395">
        <v>5.6319999999999997</v>
      </c>
      <c r="V823" s="395"/>
      <c r="W823" s="453"/>
      <c r="X823" s="394"/>
      <c r="Y823" s="394">
        <v>7</v>
      </c>
      <c r="Z823" s="394">
        <v>22</v>
      </c>
      <c r="AA823" s="395">
        <v>0</v>
      </c>
      <c r="AB823" s="452">
        <v>42149</v>
      </c>
      <c r="AC823" s="398"/>
      <c r="AD823" s="398">
        <v>31.585490410958904</v>
      </c>
      <c r="AE823" s="393" t="s">
        <v>72</v>
      </c>
      <c r="AF823" s="417"/>
      <c r="AG823" s="417"/>
      <c r="AH823" s="417"/>
      <c r="AI823" s="394"/>
      <c r="AJ823" s="453"/>
      <c r="AK823" s="453"/>
      <c r="AL823" s="393"/>
      <c r="AM823" s="393"/>
      <c r="AN823" s="417"/>
      <c r="AO823" s="392"/>
      <c r="AP823" s="392"/>
      <c r="AQ823" s="392"/>
      <c r="AR823" s="392" t="s">
        <v>5664</v>
      </c>
      <c r="AS823" s="479">
        <v>40838</v>
      </c>
      <c r="AT823" s="453"/>
      <c r="AU823" s="453"/>
      <c r="AV823" s="453"/>
      <c r="AW823" s="453"/>
      <c r="AX823" s="453"/>
      <c r="AY823" s="453"/>
      <c r="AZ823" s="452">
        <v>41976</v>
      </c>
      <c r="BA823" s="393"/>
      <c r="BB823" s="393"/>
      <c r="BC823" s="393" t="b">
        <v>0</v>
      </c>
      <c r="BD823" s="393"/>
      <c r="BE823" s="392"/>
      <c r="BF823" s="394">
        <v>8</v>
      </c>
      <c r="BG823" s="394">
        <v>9</v>
      </c>
      <c r="BH823" s="394"/>
      <c r="BI823" s="394"/>
      <c r="BJ823" s="394"/>
      <c r="BK823" s="394"/>
      <c r="BL823" s="444" t="s">
        <v>6981</v>
      </c>
      <c r="BM823" s="392"/>
      <c r="BN823" s="393"/>
      <c r="BO823" s="393"/>
      <c r="BP823" s="399"/>
      <c r="BQ823" s="400"/>
      <c r="BR823" s="401"/>
      <c r="BS823" s="399">
        <v>16</v>
      </c>
      <c r="BT823" s="394">
        <v>57378</v>
      </c>
      <c r="BU823" s="417">
        <v>0.18870000000000001</v>
      </c>
      <c r="BV823" s="399"/>
      <c r="BW823" s="393" t="s">
        <v>3117</v>
      </c>
      <c r="BX823" s="392"/>
      <c r="BY823" s="393"/>
      <c r="BZ823" s="393"/>
      <c r="CA823" s="441" t="s">
        <v>1663</v>
      </c>
      <c r="CB823" s="400">
        <v>3</v>
      </c>
      <c r="CC823" s="398"/>
      <c r="CD823" s="398"/>
      <c r="CE823" s="398"/>
      <c r="CF823" s="398"/>
      <c r="CG823" s="398"/>
      <c r="CH823" s="398"/>
      <c r="CI823" s="398"/>
      <c r="CJ823" s="398"/>
      <c r="CK823" s="398">
        <v>3.41</v>
      </c>
      <c r="CL823" s="398">
        <v>5.6319999999999997</v>
      </c>
      <c r="CM823" s="398">
        <v>5.6319999999999997</v>
      </c>
      <c r="CN823" s="398">
        <v>5.6319999999999997</v>
      </c>
      <c r="CO823" s="398">
        <v>5.6319999999999997</v>
      </c>
      <c r="CP823" s="398">
        <v>5.6319999999999997</v>
      </c>
      <c r="CQ823" s="398">
        <v>5.6319999999999997</v>
      </c>
      <c r="CR823" s="398">
        <v>5.6319999999999997</v>
      </c>
      <c r="CS823" s="398">
        <v>2.222</v>
      </c>
      <c r="CT823" s="398"/>
      <c r="CU823" s="398"/>
      <c r="CV823" s="398"/>
      <c r="CW823" s="398"/>
      <c r="CX823" s="398"/>
      <c r="CY823" s="398"/>
      <c r="CZ823" s="398"/>
      <c r="DA823" s="398"/>
      <c r="DB823" s="398"/>
      <c r="DC823" s="398"/>
      <c r="DD823" s="398"/>
      <c r="DE823" s="393"/>
      <c r="DF823" s="393"/>
      <c r="DG823" s="393"/>
      <c r="DH823" s="393"/>
      <c r="DI823" s="393"/>
      <c r="DJ823" s="393"/>
      <c r="DK823" s="897"/>
    </row>
    <row r="824" spans="1:115" ht="38.25" x14ac:dyDescent="0.2">
      <c r="A824" s="295">
        <v>820</v>
      </c>
      <c r="B824" s="390" t="s">
        <v>1028</v>
      </c>
      <c r="C824" s="424" t="s">
        <v>7574</v>
      </c>
      <c r="D824" s="391" t="s">
        <v>5530</v>
      </c>
      <c r="E824" s="704" t="s">
        <v>1029</v>
      </c>
      <c r="F824" s="393" t="s">
        <v>1375</v>
      </c>
      <c r="G824" s="393" t="s">
        <v>998</v>
      </c>
      <c r="H824" s="393" t="s">
        <v>218</v>
      </c>
      <c r="I824" s="392"/>
      <c r="J824" s="392" t="s">
        <v>218</v>
      </c>
      <c r="K824" s="392"/>
      <c r="L824" s="392" t="s">
        <v>1030</v>
      </c>
      <c r="M824" s="392" t="s">
        <v>3273</v>
      </c>
      <c r="N824" s="393" t="s">
        <v>44</v>
      </c>
      <c r="O824" s="393" t="s">
        <v>51</v>
      </c>
      <c r="P824" s="393" t="s">
        <v>51</v>
      </c>
      <c r="Q824" s="392" t="s">
        <v>976</v>
      </c>
      <c r="R824" s="392"/>
      <c r="S824" s="392" t="s">
        <v>977</v>
      </c>
      <c r="T824" s="394">
        <v>1</v>
      </c>
      <c r="U824" s="395">
        <v>42.256999999999998</v>
      </c>
      <c r="V824" s="395"/>
      <c r="W824" s="452">
        <v>41000</v>
      </c>
      <c r="X824" s="394">
        <v>28</v>
      </c>
      <c r="Y824" s="394"/>
      <c r="Z824" s="394"/>
      <c r="AA824" s="395"/>
      <c r="AB824" s="453"/>
      <c r="AC824" s="398">
        <v>16.39359</v>
      </c>
      <c r="AD824" s="398">
        <v>352.2960301369863</v>
      </c>
      <c r="AE824" s="393" t="s">
        <v>133</v>
      </c>
      <c r="AF824" s="417"/>
      <c r="AG824" s="417"/>
      <c r="AH824" s="417">
        <v>0</v>
      </c>
      <c r="AI824" s="394"/>
      <c r="AJ824" s="453"/>
      <c r="AK824" s="453"/>
      <c r="AL824" s="393"/>
      <c r="AM824" s="393"/>
      <c r="AN824" s="417"/>
      <c r="AO824" s="392"/>
      <c r="AP824" s="392" t="s">
        <v>7081</v>
      </c>
      <c r="AQ824" s="392"/>
      <c r="AR824" s="392" t="s">
        <v>1031</v>
      </c>
      <c r="AS824" s="479">
        <v>40838</v>
      </c>
      <c r="AT824" s="453"/>
      <c r="AU824" s="453"/>
      <c r="AV824" s="452">
        <v>41064</v>
      </c>
      <c r="AW824" s="452">
        <v>41271</v>
      </c>
      <c r="AX824" s="452">
        <v>41506</v>
      </c>
      <c r="AY824" s="453">
        <v>41274</v>
      </c>
      <c r="AZ824" s="453"/>
      <c r="BA824" s="393"/>
      <c r="BB824" s="393" t="s">
        <v>3116</v>
      </c>
      <c r="BC824" s="393" t="b">
        <v>0</v>
      </c>
      <c r="BD824" s="393" t="s">
        <v>3147</v>
      </c>
      <c r="BE824" s="392" t="s">
        <v>6245</v>
      </c>
      <c r="BF824" s="394">
        <v>4</v>
      </c>
      <c r="BG824" s="394">
        <v>1</v>
      </c>
      <c r="BH824" s="394">
        <v>6</v>
      </c>
      <c r="BI824" s="394">
        <v>5</v>
      </c>
      <c r="BJ824" s="394">
        <v>8</v>
      </c>
      <c r="BK824" s="394">
        <v>7</v>
      </c>
      <c r="BL824" s="444"/>
      <c r="BM824" s="392"/>
      <c r="BN824" s="393"/>
      <c r="BO824" s="393"/>
      <c r="BP824" s="399"/>
      <c r="BQ824" s="400"/>
      <c r="BR824" s="401"/>
      <c r="BS824" s="399">
        <v>0</v>
      </c>
      <c r="BT824" s="394"/>
      <c r="BU824" s="417"/>
      <c r="BV824" s="399"/>
      <c r="BW824" s="393"/>
      <c r="BX824" s="392"/>
      <c r="BY824" s="475" t="s">
        <v>7227</v>
      </c>
      <c r="BZ824" s="393"/>
      <c r="CA824" s="441"/>
      <c r="CB824" s="400"/>
      <c r="CC824" s="398"/>
      <c r="CD824" s="398"/>
      <c r="CE824" s="398"/>
      <c r="CF824" s="398"/>
      <c r="CG824" s="398"/>
      <c r="CH824" s="398"/>
      <c r="CI824" s="398"/>
      <c r="CJ824" s="398"/>
      <c r="CK824" s="398"/>
      <c r="CL824" s="398"/>
      <c r="CM824" s="398"/>
      <c r="CN824" s="398"/>
      <c r="CO824" s="398"/>
      <c r="CP824" s="398"/>
      <c r="CQ824" s="398"/>
      <c r="CR824" s="398"/>
      <c r="CS824" s="398"/>
      <c r="CT824" s="398"/>
      <c r="CU824" s="398"/>
      <c r="CV824" s="398"/>
      <c r="CW824" s="398"/>
      <c r="CX824" s="398"/>
      <c r="CY824" s="398"/>
      <c r="CZ824" s="398"/>
      <c r="DA824" s="398"/>
      <c r="DB824" s="398"/>
      <c r="DC824" s="398"/>
      <c r="DD824" s="398"/>
      <c r="DE824" s="393"/>
      <c r="DF824" s="393"/>
      <c r="DG824" s="393"/>
      <c r="DH824" s="393"/>
      <c r="DI824" s="393"/>
      <c r="DJ824" s="393"/>
      <c r="DK824" s="896" t="s">
        <v>9701</v>
      </c>
    </row>
    <row r="825" spans="1:115" ht="51" x14ac:dyDescent="0.2">
      <c r="A825" s="295">
        <v>821</v>
      </c>
      <c r="B825" s="390" t="s">
        <v>2746</v>
      </c>
      <c r="C825" s="390"/>
      <c r="D825" s="391" t="s">
        <v>5531</v>
      </c>
      <c r="E825" s="704" t="s">
        <v>1032</v>
      </c>
      <c r="F825" s="393" t="s">
        <v>1375</v>
      </c>
      <c r="G825" s="393" t="s">
        <v>998</v>
      </c>
      <c r="H825" s="393" t="s">
        <v>218</v>
      </c>
      <c r="I825" s="392"/>
      <c r="J825" s="392"/>
      <c r="K825" s="392" t="s">
        <v>2179</v>
      </c>
      <c r="L825" s="392" t="s">
        <v>1030</v>
      </c>
      <c r="M825" s="392"/>
      <c r="N825" s="393" t="s">
        <v>44</v>
      </c>
      <c r="O825" s="393" t="s">
        <v>51</v>
      </c>
      <c r="P825" s="393" t="s">
        <v>51</v>
      </c>
      <c r="Q825" s="392" t="s">
        <v>976</v>
      </c>
      <c r="R825" s="392" t="s">
        <v>3274</v>
      </c>
      <c r="S825" s="392" t="s">
        <v>977</v>
      </c>
      <c r="T825" s="394">
        <v>1</v>
      </c>
      <c r="U825" s="395">
        <v>42.256999999999998</v>
      </c>
      <c r="V825" s="395"/>
      <c r="W825" s="453"/>
      <c r="X825" s="394"/>
      <c r="Y825" s="394">
        <v>7</v>
      </c>
      <c r="Z825" s="394">
        <v>21</v>
      </c>
      <c r="AA825" s="395">
        <v>0</v>
      </c>
      <c r="AB825" s="452">
        <v>41153</v>
      </c>
      <c r="AC825" s="398">
        <v>16.39359</v>
      </c>
      <c r="AD825" s="398">
        <v>352.2960301369863</v>
      </c>
      <c r="AE825" s="393" t="s">
        <v>133</v>
      </c>
      <c r="AF825" s="417"/>
      <c r="AG825" s="417"/>
      <c r="AH825" s="417"/>
      <c r="AI825" s="394"/>
      <c r="AJ825" s="453"/>
      <c r="AK825" s="453"/>
      <c r="AL825" s="393"/>
      <c r="AM825" s="393"/>
      <c r="AN825" s="417"/>
      <c r="AO825" s="392"/>
      <c r="AP825" s="392" t="s">
        <v>7081</v>
      </c>
      <c r="AQ825" s="392"/>
      <c r="AR825" s="392" t="s">
        <v>1031</v>
      </c>
      <c r="AS825" s="479">
        <v>40838</v>
      </c>
      <c r="AT825" s="453"/>
      <c r="AU825" s="453"/>
      <c r="AV825" s="453"/>
      <c r="AW825" s="453"/>
      <c r="AX825" s="453"/>
      <c r="AY825" s="453"/>
      <c r="AZ825" s="452">
        <v>41276</v>
      </c>
      <c r="BA825" s="393"/>
      <c r="BB825" s="393"/>
      <c r="BC825" s="393" t="b">
        <v>0</v>
      </c>
      <c r="BD825" s="393"/>
      <c r="BE825" s="392"/>
      <c r="BF825" s="394">
        <v>4</v>
      </c>
      <c r="BG825" s="394">
        <v>1</v>
      </c>
      <c r="BH825" s="394">
        <v>6</v>
      </c>
      <c r="BI825" s="394">
        <v>5</v>
      </c>
      <c r="BJ825" s="394">
        <v>8</v>
      </c>
      <c r="BK825" s="394">
        <v>7</v>
      </c>
      <c r="BL825" s="444" t="s">
        <v>6986</v>
      </c>
      <c r="BM825" s="392"/>
      <c r="BN825" s="393"/>
      <c r="BO825" s="393"/>
      <c r="BP825" s="399"/>
      <c r="BQ825" s="400"/>
      <c r="BR825" s="401"/>
      <c r="BS825" s="399"/>
      <c r="BT825" s="394"/>
      <c r="BU825" s="417"/>
      <c r="BV825" s="399">
        <v>178.76</v>
      </c>
      <c r="BW825" s="393" t="s">
        <v>3117</v>
      </c>
      <c r="BX825" s="392" t="s">
        <v>3275</v>
      </c>
      <c r="BY825" s="475" t="s">
        <v>7227</v>
      </c>
      <c r="BZ825" s="393"/>
      <c r="CA825" s="441"/>
      <c r="CB825" s="400"/>
      <c r="CC825" s="398"/>
      <c r="CD825" s="398"/>
      <c r="CE825" s="398"/>
      <c r="CF825" s="398"/>
      <c r="CG825" s="398"/>
      <c r="CH825" s="398">
        <v>32.82</v>
      </c>
      <c r="CI825" s="398">
        <v>49.23</v>
      </c>
      <c r="CJ825" s="398">
        <v>49.23</v>
      </c>
      <c r="CK825" s="398">
        <v>49.23</v>
      </c>
      <c r="CL825" s="398">
        <v>49.23</v>
      </c>
      <c r="CM825" s="398">
        <v>49.23</v>
      </c>
      <c r="CN825" s="398">
        <v>49.23</v>
      </c>
      <c r="CO825" s="398">
        <v>16.41</v>
      </c>
      <c r="CP825" s="398"/>
      <c r="CQ825" s="398"/>
      <c r="CR825" s="398"/>
      <c r="CS825" s="398"/>
      <c r="CT825" s="398"/>
      <c r="CU825" s="398"/>
      <c r="CV825" s="398"/>
      <c r="CW825" s="398"/>
      <c r="CX825" s="398"/>
      <c r="CY825" s="398"/>
      <c r="CZ825" s="398"/>
      <c r="DA825" s="398"/>
      <c r="DB825" s="398"/>
      <c r="DC825" s="398"/>
      <c r="DD825" s="398"/>
      <c r="DE825" s="393"/>
      <c r="DF825" s="393"/>
      <c r="DG825" s="393"/>
      <c r="DH825" s="393"/>
      <c r="DI825" s="393"/>
      <c r="DJ825" s="393"/>
      <c r="DK825" s="897"/>
    </row>
    <row r="826" spans="1:115" ht="38.25" x14ac:dyDescent="0.2">
      <c r="A826" s="295">
        <v>822</v>
      </c>
      <c r="B826" s="390" t="s">
        <v>129</v>
      </c>
      <c r="C826" s="424" t="s">
        <v>7575</v>
      </c>
      <c r="D826" s="391" t="s">
        <v>5580</v>
      </c>
      <c r="E826" s="704" t="s">
        <v>130</v>
      </c>
      <c r="F826" s="393" t="s">
        <v>1352</v>
      </c>
      <c r="G826" s="393" t="s">
        <v>1671</v>
      </c>
      <c r="H826" s="393" t="s">
        <v>131</v>
      </c>
      <c r="I826" s="392"/>
      <c r="J826" s="392" t="s">
        <v>131</v>
      </c>
      <c r="K826" s="392"/>
      <c r="L826" s="392" t="s">
        <v>132</v>
      </c>
      <c r="M826" s="392" t="s">
        <v>3276</v>
      </c>
      <c r="N826" s="393" t="s">
        <v>44</v>
      </c>
      <c r="O826" s="393" t="s">
        <v>119</v>
      </c>
      <c r="P826" s="393" t="s">
        <v>119</v>
      </c>
      <c r="Q826" s="392" t="s">
        <v>127</v>
      </c>
      <c r="R826" s="392"/>
      <c r="S826" s="392" t="s">
        <v>121</v>
      </c>
      <c r="T826" s="394">
        <v>1</v>
      </c>
      <c r="U826" s="395">
        <v>137.27000000000001</v>
      </c>
      <c r="V826" s="395"/>
      <c r="W826" s="452">
        <v>40827</v>
      </c>
      <c r="X826" s="394">
        <v>28</v>
      </c>
      <c r="Y826" s="394"/>
      <c r="Z826" s="394"/>
      <c r="AA826" s="395"/>
      <c r="AB826" s="453"/>
      <c r="AC826" s="398">
        <v>0</v>
      </c>
      <c r="AD826" s="398">
        <v>972.92463013698648</v>
      </c>
      <c r="AE826" s="393" t="s">
        <v>133</v>
      </c>
      <c r="AF826" s="417"/>
      <c r="AG826" s="417"/>
      <c r="AH826" s="417">
        <v>0</v>
      </c>
      <c r="AI826" s="394"/>
      <c r="AJ826" s="453"/>
      <c r="AK826" s="453"/>
      <c r="AL826" s="393"/>
      <c r="AM826" s="393"/>
      <c r="AN826" s="417"/>
      <c r="AO826" s="392"/>
      <c r="AP826" s="428" t="s">
        <v>55</v>
      </c>
      <c r="AQ826" s="392"/>
      <c r="AR826" s="392" t="s">
        <v>3783</v>
      </c>
      <c r="AS826" s="479">
        <v>40838</v>
      </c>
      <c r="AT826" s="453"/>
      <c r="AU826" s="453"/>
      <c r="AV826" s="452">
        <v>40850</v>
      </c>
      <c r="AW826" s="452">
        <v>41381</v>
      </c>
      <c r="AX826" s="452">
        <v>41544</v>
      </c>
      <c r="AY826" s="452">
        <v>41381</v>
      </c>
      <c r="AZ826" s="453"/>
      <c r="BA826" s="393"/>
      <c r="BB826" s="393" t="s">
        <v>3116</v>
      </c>
      <c r="BC826" s="393" t="b">
        <v>0</v>
      </c>
      <c r="BD826" s="393" t="s">
        <v>3147</v>
      </c>
      <c r="BE826" s="392"/>
      <c r="BF826" s="394">
        <v>1</v>
      </c>
      <c r="BG826" s="394">
        <v>6</v>
      </c>
      <c r="BH826" s="394">
        <v>5</v>
      </c>
      <c r="BI826" s="394">
        <v>9</v>
      </c>
      <c r="BJ826" s="394"/>
      <c r="BK826" s="394"/>
      <c r="BL826" s="444"/>
      <c r="BM826" s="392"/>
      <c r="BN826" s="393"/>
      <c r="BO826" s="393"/>
      <c r="BP826" s="399"/>
      <c r="BQ826" s="400"/>
      <c r="BR826" s="401"/>
      <c r="BS826" s="399">
        <v>0</v>
      </c>
      <c r="BT826" s="394"/>
      <c r="BU826" s="417"/>
      <c r="BV826" s="399"/>
      <c r="BW826" s="393"/>
      <c r="BX826" s="392"/>
      <c r="BY826" s="393"/>
      <c r="BZ826" s="393"/>
      <c r="CA826" s="441"/>
      <c r="CB826" s="400"/>
      <c r="CC826" s="398"/>
      <c r="CD826" s="398"/>
      <c r="CE826" s="398"/>
      <c r="CF826" s="398"/>
      <c r="CG826" s="398"/>
      <c r="CH826" s="398"/>
      <c r="CI826" s="398"/>
      <c r="CJ826" s="398"/>
      <c r="CK826" s="398"/>
      <c r="CL826" s="398"/>
      <c r="CM826" s="398"/>
      <c r="CN826" s="398"/>
      <c r="CO826" s="398"/>
      <c r="CP826" s="398"/>
      <c r="CQ826" s="398"/>
      <c r="CR826" s="398"/>
      <c r="CS826" s="398"/>
      <c r="CT826" s="398"/>
      <c r="CU826" s="398"/>
      <c r="CV826" s="398"/>
      <c r="CW826" s="398"/>
      <c r="CX826" s="398"/>
      <c r="CY826" s="398"/>
      <c r="CZ826" s="398"/>
      <c r="DA826" s="398"/>
      <c r="DB826" s="398"/>
      <c r="DC826" s="398"/>
      <c r="DD826" s="398"/>
      <c r="DE826" s="393"/>
      <c r="DF826" s="393"/>
      <c r="DG826" s="393"/>
      <c r="DH826" s="393"/>
      <c r="DI826" s="393"/>
      <c r="DJ826" s="393"/>
      <c r="DK826" s="896" t="s">
        <v>9699</v>
      </c>
    </row>
    <row r="827" spans="1:115" ht="38.25" x14ac:dyDescent="0.2">
      <c r="A827" s="295">
        <v>823</v>
      </c>
      <c r="B827" s="390" t="s">
        <v>2747</v>
      </c>
      <c r="C827" s="390"/>
      <c r="D827" s="391" t="s">
        <v>5581</v>
      </c>
      <c r="E827" s="704" t="s">
        <v>134</v>
      </c>
      <c r="F827" s="393" t="s">
        <v>1352</v>
      </c>
      <c r="G827" s="393" t="s">
        <v>1671</v>
      </c>
      <c r="H827" s="393" t="s">
        <v>131</v>
      </c>
      <c r="I827" s="392"/>
      <c r="J827" s="392"/>
      <c r="K827" s="392" t="s">
        <v>2180</v>
      </c>
      <c r="L827" s="392" t="s">
        <v>132</v>
      </c>
      <c r="M827" s="392"/>
      <c r="N827" s="393" t="s">
        <v>44</v>
      </c>
      <c r="O827" s="393" t="s">
        <v>119</v>
      </c>
      <c r="P827" s="393" t="s">
        <v>119</v>
      </c>
      <c r="Q827" s="392" t="s">
        <v>127</v>
      </c>
      <c r="R827" s="392" t="s">
        <v>3277</v>
      </c>
      <c r="S827" s="392" t="s">
        <v>121</v>
      </c>
      <c r="T827" s="394">
        <v>1</v>
      </c>
      <c r="U827" s="395">
        <v>137.27000000000001</v>
      </c>
      <c r="V827" s="395"/>
      <c r="W827" s="453"/>
      <c r="X827" s="394"/>
      <c r="Y827" s="394">
        <v>7</v>
      </c>
      <c r="Z827" s="394"/>
      <c r="AA827" s="395">
        <v>10.5</v>
      </c>
      <c r="AB827" s="452">
        <v>41609</v>
      </c>
      <c r="AC827" s="398">
        <v>0</v>
      </c>
      <c r="AD827" s="398">
        <v>972.92463013698648</v>
      </c>
      <c r="AE827" s="393" t="s">
        <v>133</v>
      </c>
      <c r="AF827" s="417"/>
      <c r="AG827" s="417"/>
      <c r="AH827" s="417"/>
      <c r="AI827" s="394"/>
      <c r="AJ827" s="453"/>
      <c r="AK827" s="453"/>
      <c r="AL827" s="393"/>
      <c r="AM827" s="393"/>
      <c r="AN827" s="417"/>
      <c r="AO827" s="392"/>
      <c r="AP827" s="428" t="s">
        <v>55</v>
      </c>
      <c r="AQ827" s="392"/>
      <c r="AR827" s="392" t="s">
        <v>3783</v>
      </c>
      <c r="AS827" s="479">
        <v>40838</v>
      </c>
      <c r="AT827" s="453"/>
      <c r="AU827" s="453"/>
      <c r="AV827" s="453"/>
      <c r="AW827" s="453"/>
      <c r="AX827" s="453"/>
      <c r="AY827" s="453"/>
      <c r="AZ827" s="452">
        <v>41381</v>
      </c>
      <c r="BA827" s="393"/>
      <c r="BB827" s="393"/>
      <c r="BC827" s="393" t="b">
        <v>0</v>
      </c>
      <c r="BD827" s="393"/>
      <c r="BE827" s="392"/>
      <c r="BF827" s="394">
        <v>1</v>
      </c>
      <c r="BG827" s="394">
        <v>6</v>
      </c>
      <c r="BH827" s="394">
        <v>5</v>
      </c>
      <c r="BI827" s="394">
        <v>9</v>
      </c>
      <c r="BJ827" s="394"/>
      <c r="BK827" s="394"/>
      <c r="BL827" s="444" t="s">
        <v>6981</v>
      </c>
      <c r="BM827" s="392"/>
      <c r="BN827" s="393"/>
      <c r="BO827" s="393"/>
      <c r="BP827" s="399"/>
      <c r="BQ827" s="400"/>
      <c r="BR827" s="401"/>
      <c r="BS827" s="399"/>
      <c r="BT827" s="394"/>
      <c r="BU827" s="417">
        <v>0.88332999999999995</v>
      </c>
      <c r="BV827" s="399"/>
      <c r="BW827" s="393" t="s">
        <v>3117</v>
      </c>
      <c r="BX827" s="392" t="s">
        <v>1450</v>
      </c>
      <c r="BY827" s="393"/>
      <c r="BZ827" s="393"/>
      <c r="CA827" s="441"/>
      <c r="CB827" s="400"/>
      <c r="CC827" s="398"/>
      <c r="CD827" s="398"/>
      <c r="CE827" s="398"/>
      <c r="CF827" s="398"/>
      <c r="CG827" s="398"/>
      <c r="CH827" s="398"/>
      <c r="CI827" s="398"/>
      <c r="CJ827" s="398">
        <v>105.251</v>
      </c>
      <c r="CK827" s="398">
        <v>118.681</v>
      </c>
      <c r="CL827" s="398">
        <v>132.11199999999999</v>
      </c>
      <c r="CM827" s="398">
        <v>145.542</v>
      </c>
      <c r="CN827" s="398">
        <v>158.97300000000001</v>
      </c>
      <c r="CO827" s="398">
        <v>172.405</v>
      </c>
      <c r="CP827" s="398">
        <v>168.381</v>
      </c>
      <c r="CQ827" s="398"/>
      <c r="CR827" s="398"/>
      <c r="CS827" s="398"/>
      <c r="CT827" s="398"/>
      <c r="CU827" s="398"/>
      <c r="CV827" s="398"/>
      <c r="CW827" s="398"/>
      <c r="CX827" s="398"/>
      <c r="CY827" s="398"/>
      <c r="CZ827" s="398"/>
      <c r="DA827" s="398"/>
      <c r="DB827" s="398"/>
      <c r="DC827" s="398"/>
      <c r="DD827" s="398"/>
      <c r="DE827" s="393"/>
      <c r="DF827" s="393"/>
      <c r="DG827" s="393"/>
      <c r="DH827" s="393"/>
      <c r="DI827" s="393"/>
      <c r="DJ827" s="393"/>
      <c r="DK827" s="897"/>
    </row>
    <row r="828" spans="1:115" ht="51" x14ac:dyDescent="0.2">
      <c r="A828" s="295">
        <v>824</v>
      </c>
      <c r="B828" s="390" t="s">
        <v>491</v>
      </c>
      <c r="C828" s="424" t="s">
        <v>7576</v>
      </c>
      <c r="D828" s="391" t="s">
        <v>5119</v>
      </c>
      <c r="E828" s="705" t="s">
        <v>492</v>
      </c>
      <c r="F828" s="393" t="s">
        <v>1375</v>
      </c>
      <c r="G828" s="393" t="s">
        <v>998</v>
      </c>
      <c r="H828" s="393" t="s">
        <v>218</v>
      </c>
      <c r="I828" s="392" t="s">
        <v>4087</v>
      </c>
      <c r="J828" s="392" t="s">
        <v>2181</v>
      </c>
      <c r="K828" s="392"/>
      <c r="L828" s="392" t="s">
        <v>266</v>
      </c>
      <c r="M828" s="392" t="s">
        <v>3278</v>
      </c>
      <c r="N828" s="393" t="s">
        <v>44</v>
      </c>
      <c r="O828" s="393" t="s">
        <v>51</v>
      </c>
      <c r="P828" s="393" t="s">
        <v>51</v>
      </c>
      <c r="Q828" s="392" t="s">
        <v>426</v>
      </c>
      <c r="R828" s="392"/>
      <c r="S828" s="392" t="s">
        <v>427</v>
      </c>
      <c r="T828" s="394">
        <v>3</v>
      </c>
      <c r="U828" s="395">
        <v>93.507000000000005</v>
      </c>
      <c r="V828" s="395"/>
      <c r="W828" s="452">
        <v>40841</v>
      </c>
      <c r="X828" s="394">
        <v>28</v>
      </c>
      <c r="Y828" s="394"/>
      <c r="Z828" s="394"/>
      <c r="AA828" s="395"/>
      <c r="AB828" s="453"/>
      <c r="AC828" s="398">
        <v>0</v>
      </c>
      <c r="AD828" s="398">
        <v>1247.1099999999999</v>
      </c>
      <c r="AE828" s="393" t="s">
        <v>72</v>
      </c>
      <c r="AF828" s="417"/>
      <c r="AG828" s="417"/>
      <c r="AH828" s="417">
        <v>0</v>
      </c>
      <c r="AI828" s="394"/>
      <c r="AJ828" s="453"/>
      <c r="AK828" s="453"/>
      <c r="AL828" s="393"/>
      <c r="AM828" s="393"/>
      <c r="AN828" s="417"/>
      <c r="AO828" s="392"/>
      <c r="AP828" s="428" t="s">
        <v>8085</v>
      </c>
      <c r="AQ828" s="392"/>
      <c r="AR828" s="392" t="s">
        <v>509</v>
      </c>
      <c r="AS828" s="479">
        <v>40841</v>
      </c>
      <c r="AT828" s="453"/>
      <c r="AU828" s="453"/>
      <c r="AV828" s="452">
        <v>41110</v>
      </c>
      <c r="AW828" s="452">
        <v>41251</v>
      </c>
      <c r="AX828" s="453"/>
      <c r="AY828" s="452">
        <v>41255</v>
      </c>
      <c r="AZ828" s="453"/>
      <c r="BA828" s="393"/>
      <c r="BB828" s="393" t="s">
        <v>3116</v>
      </c>
      <c r="BC828" s="393" t="b">
        <v>0</v>
      </c>
      <c r="BD828" s="393" t="s">
        <v>3116</v>
      </c>
      <c r="BE828" s="392"/>
      <c r="BF828" s="394">
        <v>9</v>
      </c>
      <c r="BG828" s="394">
        <v>4</v>
      </c>
      <c r="BH828" s="394"/>
      <c r="BI828" s="394"/>
      <c r="BJ828" s="394"/>
      <c r="BK828" s="394"/>
      <c r="BL828" s="444"/>
      <c r="BM828" s="392"/>
      <c r="BN828" s="393"/>
      <c r="BO828" s="393"/>
      <c r="BP828" s="399"/>
      <c r="BQ828" s="400"/>
      <c r="BR828" s="401"/>
      <c r="BS828" s="399">
        <v>0</v>
      </c>
      <c r="BT828" s="394"/>
      <c r="BU828" s="417"/>
      <c r="BV828" s="399"/>
      <c r="BW828" s="393"/>
      <c r="BX828" s="392"/>
      <c r="BY828" s="475" t="s">
        <v>7227</v>
      </c>
      <c r="BZ828" s="393"/>
      <c r="CA828" s="441"/>
      <c r="CB828" s="400"/>
      <c r="CC828" s="398"/>
      <c r="CD828" s="398"/>
      <c r="CE828" s="398"/>
      <c r="CF828" s="398"/>
      <c r="CG828" s="398"/>
      <c r="CH828" s="398"/>
      <c r="CI828" s="398"/>
      <c r="CJ828" s="398"/>
      <c r="CK828" s="398"/>
      <c r="CL828" s="398"/>
      <c r="CM828" s="398"/>
      <c r="CN828" s="398"/>
      <c r="CO828" s="398"/>
      <c r="CP828" s="398"/>
      <c r="CQ828" s="398"/>
      <c r="CR828" s="398"/>
      <c r="CS828" s="398"/>
      <c r="CT828" s="398"/>
      <c r="CU828" s="398"/>
      <c r="CV828" s="398"/>
      <c r="CW828" s="398"/>
      <c r="CX828" s="398"/>
      <c r="CY828" s="398"/>
      <c r="CZ828" s="398"/>
      <c r="DA828" s="398"/>
      <c r="DB828" s="398"/>
      <c r="DC828" s="398"/>
      <c r="DD828" s="398"/>
      <c r="DE828" s="393"/>
      <c r="DF828" s="393"/>
      <c r="DG828" s="393"/>
      <c r="DH828" s="393"/>
      <c r="DI828" s="393"/>
      <c r="DJ828" s="393"/>
      <c r="DK828" s="896" t="s">
        <v>9708</v>
      </c>
    </row>
    <row r="829" spans="1:115" ht="25.5" x14ac:dyDescent="0.2">
      <c r="A829" s="295">
        <v>825</v>
      </c>
      <c r="B829" s="390" t="s">
        <v>2748</v>
      </c>
      <c r="C829" s="390"/>
      <c r="D829" s="391" t="s">
        <v>4602</v>
      </c>
      <c r="E829" s="704" t="s">
        <v>493</v>
      </c>
      <c r="F829" s="393" t="s">
        <v>1375</v>
      </c>
      <c r="G829" s="393" t="s">
        <v>998</v>
      </c>
      <c r="H829" s="393" t="s">
        <v>218</v>
      </c>
      <c r="I829" s="392"/>
      <c r="J829" s="392"/>
      <c r="K829" s="392" t="s">
        <v>218</v>
      </c>
      <c r="L829" s="428" t="s">
        <v>8129</v>
      </c>
      <c r="M829" s="392"/>
      <c r="N829" s="393" t="s">
        <v>44</v>
      </c>
      <c r="O829" s="393" t="s">
        <v>51</v>
      </c>
      <c r="P829" s="393" t="s">
        <v>51</v>
      </c>
      <c r="Q829" s="392" t="s">
        <v>426</v>
      </c>
      <c r="R829" s="392" t="s">
        <v>3279</v>
      </c>
      <c r="S829" s="392" t="s">
        <v>427</v>
      </c>
      <c r="T829" s="394">
        <v>1</v>
      </c>
      <c r="U829" s="395">
        <v>31.099</v>
      </c>
      <c r="V829" s="395"/>
      <c r="W829" s="453"/>
      <c r="X829" s="394"/>
      <c r="Y829" s="394">
        <v>10</v>
      </c>
      <c r="Z829" s="394">
        <v>10</v>
      </c>
      <c r="AA829" s="395">
        <v>-1.8879999999999999</v>
      </c>
      <c r="AB829" s="452">
        <v>41282</v>
      </c>
      <c r="AC829" s="398">
        <v>0</v>
      </c>
      <c r="AD829" s="398">
        <v>310.99</v>
      </c>
      <c r="AE829" s="393" t="s">
        <v>72</v>
      </c>
      <c r="AF829" s="417"/>
      <c r="AG829" s="417"/>
      <c r="AH829" s="417"/>
      <c r="AI829" s="394"/>
      <c r="AJ829" s="453"/>
      <c r="AK829" s="453"/>
      <c r="AL829" s="393"/>
      <c r="AM829" s="393"/>
      <c r="AN829" s="417"/>
      <c r="AO829" s="392"/>
      <c r="AP829" s="428" t="s">
        <v>8085</v>
      </c>
      <c r="AQ829" s="392"/>
      <c r="AR829" s="392" t="s">
        <v>509</v>
      </c>
      <c r="AS829" s="479">
        <v>40841</v>
      </c>
      <c r="AT829" s="453"/>
      <c r="AU829" s="453"/>
      <c r="AV829" s="453"/>
      <c r="AW829" s="453"/>
      <c r="AX829" s="453"/>
      <c r="AY829" s="453"/>
      <c r="AZ829" s="452">
        <v>41255</v>
      </c>
      <c r="BA829" s="393"/>
      <c r="BB829" s="393"/>
      <c r="BC829" s="393" t="b">
        <v>0</v>
      </c>
      <c r="BD829" s="393"/>
      <c r="BE829" s="392"/>
      <c r="BF829" s="394">
        <v>9</v>
      </c>
      <c r="BG829" s="394">
        <v>4</v>
      </c>
      <c r="BH829" s="394"/>
      <c r="BI829" s="394"/>
      <c r="BJ829" s="394"/>
      <c r="BK829" s="394"/>
      <c r="BL829" s="444" t="s">
        <v>6981</v>
      </c>
      <c r="BM829" s="392"/>
      <c r="BN829" s="393"/>
      <c r="BO829" s="393"/>
      <c r="BP829" s="399"/>
      <c r="BQ829" s="400"/>
      <c r="BR829" s="401"/>
      <c r="BS829" s="399"/>
      <c r="BT829" s="394"/>
      <c r="BU829" s="417">
        <v>0.65100000000000002</v>
      </c>
      <c r="BV829" s="399"/>
      <c r="BW829" s="393" t="s">
        <v>3117</v>
      </c>
      <c r="BX829" s="392" t="s">
        <v>1447</v>
      </c>
      <c r="BY829" s="475" t="s">
        <v>7227</v>
      </c>
      <c r="BZ829" s="393"/>
      <c r="CA829" s="441" t="s">
        <v>1664</v>
      </c>
      <c r="CB829" s="400">
        <v>4</v>
      </c>
      <c r="CC829" s="398"/>
      <c r="CD829" s="398"/>
      <c r="CE829" s="398"/>
      <c r="CF829" s="398"/>
      <c r="CG829" s="398"/>
      <c r="CH829" s="398"/>
      <c r="CI829" s="398">
        <v>38.881</v>
      </c>
      <c r="CJ829" s="398">
        <v>37.152000000000001</v>
      </c>
      <c r="CK829" s="398">
        <v>35.423000000000002</v>
      </c>
      <c r="CL829" s="398">
        <v>33.692999999999998</v>
      </c>
      <c r="CM829" s="398">
        <v>31.963999999999999</v>
      </c>
      <c r="CN829" s="398">
        <v>30.234999999999999</v>
      </c>
      <c r="CO829" s="398">
        <v>28.504999999999999</v>
      </c>
      <c r="CP829" s="398">
        <v>26.776</v>
      </c>
      <c r="CQ829" s="398">
        <v>25.047000000000001</v>
      </c>
      <c r="CR829" s="398">
        <v>23.317</v>
      </c>
      <c r="CS829" s="398"/>
      <c r="CT829" s="398"/>
      <c r="CU829" s="398"/>
      <c r="CV829" s="398"/>
      <c r="CW829" s="398"/>
      <c r="CX829" s="398"/>
      <c r="CY829" s="398"/>
      <c r="CZ829" s="398"/>
      <c r="DA829" s="398"/>
      <c r="DB829" s="398"/>
      <c r="DC829" s="398"/>
      <c r="DD829" s="398"/>
      <c r="DE829" s="393"/>
      <c r="DF829" s="393"/>
      <c r="DG829" s="393"/>
      <c r="DH829" s="393"/>
      <c r="DI829" s="393"/>
      <c r="DJ829" s="393"/>
      <c r="DK829" s="897"/>
    </row>
    <row r="830" spans="1:115" ht="25.5" x14ac:dyDescent="0.2">
      <c r="A830" s="295">
        <v>826</v>
      </c>
      <c r="B830" s="390" t="s">
        <v>7979</v>
      </c>
      <c r="C830" s="390"/>
      <c r="D830" s="391" t="s">
        <v>7982</v>
      </c>
      <c r="E830" s="705" t="s">
        <v>7985</v>
      </c>
      <c r="F830" s="393" t="s">
        <v>1375</v>
      </c>
      <c r="G830" s="393" t="s">
        <v>998</v>
      </c>
      <c r="H830" s="393" t="s">
        <v>218</v>
      </c>
      <c r="I830" s="392"/>
      <c r="J830" s="392"/>
      <c r="K830" s="428" t="s">
        <v>218</v>
      </c>
      <c r="L830" s="428" t="s">
        <v>8129</v>
      </c>
      <c r="M830" s="392"/>
      <c r="N830" s="475" t="s">
        <v>44</v>
      </c>
      <c r="O830" s="393" t="s">
        <v>51</v>
      </c>
      <c r="P830" s="393" t="s">
        <v>51</v>
      </c>
      <c r="Q830" s="392" t="s">
        <v>426</v>
      </c>
      <c r="R830" s="428" t="s">
        <v>7988</v>
      </c>
      <c r="S830" s="428" t="s">
        <v>427</v>
      </c>
      <c r="T830" s="394">
        <v>1</v>
      </c>
      <c r="U830" s="395">
        <v>31.204000000000001</v>
      </c>
      <c r="V830" s="395"/>
      <c r="W830" s="453"/>
      <c r="X830" s="394"/>
      <c r="Y830" s="394">
        <v>10</v>
      </c>
      <c r="Z830" s="394">
        <v>10</v>
      </c>
      <c r="AA830" s="395"/>
      <c r="AB830" s="452">
        <v>42384</v>
      </c>
      <c r="AC830" s="398"/>
      <c r="AD830" s="398">
        <v>312.04000000000002</v>
      </c>
      <c r="AE830" s="475" t="s">
        <v>72</v>
      </c>
      <c r="AF830" s="417"/>
      <c r="AG830" s="417"/>
      <c r="AH830" s="417"/>
      <c r="AI830" s="394"/>
      <c r="AJ830" s="453"/>
      <c r="AK830" s="453"/>
      <c r="AL830" s="393"/>
      <c r="AM830" s="393"/>
      <c r="AN830" s="417"/>
      <c r="AO830" s="392"/>
      <c r="AP830" s="428"/>
      <c r="AQ830" s="428"/>
      <c r="AR830" s="428" t="s">
        <v>509</v>
      </c>
      <c r="AS830" s="479">
        <v>40841</v>
      </c>
      <c r="AT830" s="453"/>
      <c r="AU830" s="453"/>
      <c r="AV830" s="453"/>
      <c r="AW830" s="453"/>
      <c r="AX830" s="453"/>
      <c r="AY830" s="453"/>
      <c r="AZ830" s="452">
        <v>42366</v>
      </c>
      <c r="BA830" s="393"/>
      <c r="BB830" s="393"/>
      <c r="BC830" s="393" t="b">
        <v>1</v>
      </c>
      <c r="BD830" s="393"/>
      <c r="BE830" s="392"/>
      <c r="BF830" s="394">
        <v>9</v>
      </c>
      <c r="BG830" s="394">
        <v>4</v>
      </c>
      <c r="BH830" s="394"/>
      <c r="BI830" s="394"/>
      <c r="BJ830" s="394"/>
      <c r="BK830" s="394"/>
      <c r="BL830" s="444" t="s">
        <v>6981</v>
      </c>
      <c r="BM830" s="392"/>
      <c r="BN830" s="393"/>
      <c r="BO830" s="393"/>
      <c r="BP830" s="399"/>
      <c r="BQ830" s="400"/>
      <c r="BR830" s="401"/>
      <c r="BS830" s="399"/>
      <c r="BT830" s="394"/>
      <c r="BU830" s="417">
        <f>(0.6639+0.6505)/2</f>
        <v>0.65720000000000001</v>
      </c>
      <c r="BV830" s="399"/>
      <c r="BW830" s="475" t="s">
        <v>3117</v>
      </c>
      <c r="BX830" s="428" t="s">
        <v>1447</v>
      </c>
      <c r="BY830" s="475" t="s">
        <v>7227</v>
      </c>
      <c r="BZ830" s="393"/>
      <c r="CA830" s="441"/>
      <c r="CB830" s="400"/>
      <c r="CC830" s="398"/>
      <c r="CD830" s="398"/>
      <c r="CE830" s="398"/>
      <c r="CF830" s="398"/>
      <c r="CG830" s="398"/>
      <c r="CH830" s="398"/>
      <c r="CI830" s="398"/>
      <c r="CJ830" s="398"/>
      <c r="CK830" s="398"/>
      <c r="CL830" s="398">
        <v>39.012999999999998</v>
      </c>
      <c r="CM830" s="398">
        <v>37.277999999999999</v>
      </c>
      <c r="CN830" s="398">
        <v>35.542999999999999</v>
      </c>
      <c r="CO830" s="398">
        <v>33.807000000000002</v>
      </c>
      <c r="CP830" s="398">
        <v>32.072000000000003</v>
      </c>
      <c r="CQ830" s="398">
        <v>30.337</v>
      </c>
      <c r="CR830" s="398">
        <v>28.602</v>
      </c>
      <c r="CS830" s="398">
        <v>26.867000000000001</v>
      </c>
      <c r="CT830" s="398">
        <v>25.131</v>
      </c>
      <c r="CU830" s="398">
        <v>23.396000000000001</v>
      </c>
      <c r="CV830" s="398"/>
      <c r="CW830" s="398"/>
      <c r="CX830" s="398"/>
      <c r="CY830" s="398"/>
      <c r="CZ830" s="398"/>
      <c r="DA830" s="398"/>
      <c r="DB830" s="398"/>
      <c r="DC830" s="398"/>
      <c r="DD830" s="398"/>
      <c r="DE830" s="393"/>
      <c r="DF830" s="393"/>
      <c r="DG830" s="393"/>
      <c r="DH830" s="393"/>
      <c r="DI830" s="393"/>
      <c r="DJ830" s="393"/>
      <c r="DK830" s="897"/>
    </row>
    <row r="831" spans="1:115" ht="25.5" x14ac:dyDescent="0.2">
      <c r="A831" s="295">
        <v>827</v>
      </c>
      <c r="B831" s="390" t="s">
        <v>7980</v>
      </c>
      <c r="C831" s="390"/>
      <c r="D831" s="391" t="s">
        <v>7983</v>
      </c>
      <c r="E831" s="705" t="s">
        <v>7986</v>
      </c>
      <c r="F831" s="393" t="s">
        <v>1375</v>
      </c>
      <c r="G831" s="393" t="s">
        <v>998</v>
      </c>
      <c r="H831" s="393" t="s">
        <v>218</v>
      </c>
      <c r="I831" s="392"/>
      <c r="J831" s="392"/>
      <c r="K831" s="428" t="s">
        <v>218</v>
      </c>
      <c r="L831" s="428" t="s">
        <v>8129</v>
      </c>
      <c r="M831" s="392"/>
      <c r="N831" s="475" t="s">
        <v>44</v>
      </c>
      <c r="O831" s="393" t="s">
        <v>51</v>
      </c>
      <c r="P831" s="393" t="s">
        <v>51</v>
      </c>
      <c r="Q831" s="392" t="s">
        <v>426</v>
      </c>
      <c r="R831" s="428" t="s">
        <v>7989</v>
      </c>
      <c r="S831" s="428" t="s">
        <v>427</v>
      </c>
      <c r="T831" s="394">
        <v>1</v>
      </c>
      <c r="U831" s="395">
        <v>31.204000000000001</v>
      </c>
      <c r="V831" s="395"/>
      <c r="W831" s="453"/>
      <c r="X831" s="394"/>
      <c r="Y831" s="394">
        <v>10</v>
      </c>
      <c r="Z831" s="394">
        <v>10</v>
      </c>
      <c r="AA831" s="395"/>
      <c r="AB831" s="452">
        <v>42384</v>
      </c>
      <c r="AC831" s="398"/>
      <c r="AD831" s="398">
        <v>312.04000000000002</v>
      </c>
      <c r="AE831" s="475" t="s">
        <v>72</v>
      </c>
      <c r="AF831" s="417"/>
      <c r="AG831" s="417"/>
      <c r="AH831" s="417"/>
      <c r="AI831" s="394"/>
      <c r="AJ831" s="453"/>
      <c r="AK831" s="453"/>
      <c r="AL831" s="393"/>
      <c r="AM831" s="393"/>
      <c r="AN831" s="417"/>
      <c r="AO831" s="392"/>
      <c r="AP831" s="428"/>
      <c r="AQ831" s="428"/>
      <c r="AR831" s="428" t="s">
        <v>509</v>
      </c>
      <c r="AS831" s="479">
        <v>40841</v>
      </c>
      <c r="AT831" s="453"/>
      <c r="AU831" s="453"/>
      <c r="AV831" s="453"/>
      <c r="AW831" s="453"/>
      <c r="AX831" s="453"/>
      <c r="AY831" s="453"/>
      <c r="AZ831" s="452">
        <v>42366</v>
      </c>
      <c r="BA831" s="393"/>
      <c r="BB831" s="393"/>
      <c r="BC831" s="393" t="b">
        <v>1</v>
      </c>
      <c r="BD831" s="393"/>
      <c r="BE831" s="392"/>
      <c r="BF831" s="394">
        <v>9</v>
      </c>
      <c r="BG831" s="394">
        <v>4</v>
      </c>
      <c r="BH831" s="394"/>
      <c r="BI831" s="394"/>
      <c r="BJ831" s="394"/>
      <c r="BK831" s="394"/>
      <c r="BL831" s="444" t="s">
        <v>6981</v>
      </c>
      <c r="BM831" s="392"/>
      <c r="BN831" s="393"/>
      <c r="BO831" s="393"/>
      <c r="BP831" s="399"/>
      <c r="BQ831" s="400"/>
      <c r="BR831" s="401"/>
      <c r="BS831" s="399"/>
      <c r="BT831" s="394"/>
      <c r="BU831" s="417">
        <f>(0.6639+0.6505)/2</f>
        <v>0.65720000000000001</v>
      </c>
      <c r="BV831" s="399"/>
      <c r="BW831" s="475" t="s">
        <v>3117</v>
      </c>
      <c r="BX831" s="428" t="s">
        <v>1447</v>
      </c>
      <c r="BY831" s="475" t="s">
        <v>7227</v>
      </c>
      <c r="BZ831" s="393"/>
      <c r="CA831" s="441"/>
      <c r="CB831" s="400"/>
      <c r="CC831" s="398"/>
      <c r="CD831" s="398"/>
      <c r="CE831" s="398"/>
      <c r="CF831" s="398"/>
      <c r="CG831" s="398"/>
      <c r="CH831" s="398"/>
      <c r="CI831" s="398"/>
      <c r="CJ831" s="398"/>
      <c r="CK831" s="398"/>
      <c r="CL831" s="398">
        <v>39.012999999999998</v>
      </c>
      <c r="CM831" s="398">
        <v>37.277999999999999</v>
      </c>
      <c r="CN831" s="398">
        <v>35.542999999999999</v>
      </c>
      <c r="CO831" s="398">
        <v>33.807000000000002</v>
      </c>
      <c r="CP831" s="398">
        <v>32.072000000000003</v>
      </c>
      <c r="CQ831" s="398">
        <v>30.337</v>
      </c>
      <c r="CR831" s="398">
        <v>28.602</v>
      </c>
      <c r="CS831" s="398">
        <v>26.867000000000001</v>
      </c>
      <c r="CT831" s="398">
        <v>25.131</v>
      </c>
      <c r="CU831" s="398">
        <v>23.396000000000001</v>
      </c>
      <c r="CV831" s="398"/>
      <c r="CW831" s="398"/>
      <c r="CX831" s="398"/>
      <c r="CY831" s="398"/>
      <c r="CZ831" s="398"/>
      <c r="DA831" s="398"/>
      <c r="DB831" s="398"/>
      <c r="DC831" s="398"/>
      <c r="DD831" s="398"/>
      <c r="DE831" s="393"/>
      <c r="DF831" s="393"/>
      <c r="DG831" s="393"/>
      <c r="DH831" s="393"/>
      <c r="DI831" s="393"/>
      <c r="DJ831" s="393"/>
      <c r="DK831" s="897"/>
    </row>
    <row r="832" spans="1:115" ht="15" x14ac:dyDescent="0.2">
      <c r="A832" s="295">
        <v>828</v>
      </c>
      <c r="B832" s="390" t="s">
        <v>7981</v>
      </c>
      <c r="C832" s="390"/>
      <c r="D832" s="391" t="s">
        <v>7984</v>
      </c>
      <c r="E832" s="705" t="s">
        <v>7987</v>
      </c>
      <c r="F832" s="393" t="s">
        <v>1375</v>
      </c>
      <c r="G832" s="393" t="s">
        <v>998</v>
      </c>
      <c r="H832" s="393" t="s">
        <v>218</v>
      </c>
      <c r="I832" s="392"/>
      <c r="J832" s="392"/>
      <c r="K832" s="428" t="s">
        <v>218</v>
      </c>
      <c r="L832" s="428" t="s">
        <v>8129</v>
      </c>
      <c r="M832" s="392"/>
      <c r="N832" s="475" t="s">
        <v>44</v>
      </c>
      <c r="O832" s="475" t="s">
        <v>51</v>
      </c>
      <c r="P832" s="475" t="s">
        <v>51</v>
      </c>
      <c r="Q832" s="428" t="s">
        <v>426</v>
      </c>
      <c r="R832" s="392"/>
      <c r="S832" s="392"/>
      <c r="T832" s="394"/>
      <c r="U832" s="395"/>
      <c r="V832" s="395"/>
      <c r="W832" s="453"/>
      <c r="X832" s="394"/>
      <c r="Y832" s="394"/>
      <c r="Z832" s="394"/>
      <c r="AA832" s="395"/>
      <c r="AB832" s="452"/>
      <c r="AC832" s="398"/>
      <c r="AD832" s="398">
        <v>312.04000000000002</v>
      </c>
      <c r="AE832" s="393"/>
      <c r="AF832" s="417"/>
      <c r="AG832" s="417"/>
      <c r="AH832" s="417"/>
      <c r="AI832" s="394"/>
      <c r="AJ832" s="453"/>
      <c r="AK832" s="453"/>
      <c r="AL832" s="393"/>
      <c r="AM832" s="393"/>
      <c r="AN832" s="417"/>
      <c r="AO832" s="392"/>
      <c r="AP832" s="428"/>
      <c r="AQ832" s="428"/>
      <c r="AR832" s="428" t="s">
        <v>509</v>
      </c>
      <c r="AS832" s="479">
        <v>40841</v>
      </c>
      <c r="AT832" s="453"/>
      <c r="AU832" s="453"/>
      <c r="AV832" s="453"/>
      <c r="AW832" s="453"/>
      <c r="AX832" s="453"/>
      <c r="AY832" s="453"/>
      <c r="AZ832" s="452">
        <v>42366</v>
      </c>
      <c r="BA832" s="393"/>
      <c r="BB832" s="393"/>
      <c r="BC832" s="393" t="b">
        <v>1</v>
      </c>
      <c r="BD832" s="393"/>
      <c r="BE832" s="392"/>
      <c r="BF832" s="394">
        <v>9</v>
      </c>
      <c r="BG832" s="394">
        <v>4</v>
      </c>
      <c r="BH832" s="394"/>
      <c r="BI832" s="394"/>
      <c r="BJ832" s="394"/>
      <c r="BK832" s="394"/>
      <c r="BL832" s="444" t="s">
        <v>6981</v>
      </c>
      <c r="BM832" s="392"/>
      <c r="BN832" s="393"/>
      <c r="BO832" s="393"/>
      <c r="BP832" s="399"/>
      <c r="BQ832" s="400"/>
      <c r="BR832" s="401"/>
      <c r="BS832" s="399"/>
      <c r="BT832" s="394"/>
      <c r="BU832" s="417">
        <f>(0.6639+0.6505)/2</f>
        <v>0.65720000000000001</v>
      </c>
      <c r="BV832" s="399"/>
      <c r="BW832" s="475" t="s">
        <v>3117</v>
      </c>
      <c r="BX832" s="428" t="s">
        <v>1447</v>
      </c>
      <c r="BY832" s="475" t="s">
        <v>7227</v>
      </c>
      <c r="BZ832" s="393"/>
      <c r="CA832" s="441"/>
      <c r="CB832" s="400"/>
      <c r="CC832" s="398"/>
      <c r="CD832" s="398"/>
      <c r="CE832" s="398"/>
      <c r="CF832" s="398"/>
      <c r="CG832" s="398"/>
      <c r="CH832" s="398"/>
      <c r="CI832" s="398"/>
      <c r="CJ832" s="398"/>
      <c r="CK832" s="398"/>
      <c r="CL832" s="398">
        <v>39.012999999999998</v>
      </c>
      <c r="CM832" s="398">
        <v>37.277999999999999</v>
      </c>
      <c r="CN832" s="398">
        <v>35.542999999999999</v>
      </c>
      <c r="CO832" s="398">
        <v>33.807000000000002</v>
      </c>
      <c r="CP832" s="398">
        <v>32.072000000000003</v>
      </c>
      <c r="CQ832" s="398">
        <v>30.337</v>
      </c>
      <c r="CR832" s="398">
        <v>28.602</v>
      </c>
      <c r="CS832" s="398">
        <v>26.867000000000001</v>
      </c>
      <c r="CT832" s="398">
        <v>25.131</v>
      </c>
      <c r="CU832" s="398">
        <v>23.396000000000001</v>
      </c>
      <c r="CV832" s="398"/>
      <c r="CW832" s="398"/>
      <c r="CX832" s="398"/>
      <c r="CY832" s="398"/>
      <c r="CZ832" s="398"/>
      <c r="DA832" s="398"/>
      <c r="DB832" s="398"/>
      <c r="DC832" s="398"/>
      <c r="DD832" s="398"/>
      <c r="DE832" s="393"/>
      <c r="DF832" s="393"/>
      <c r="DG832" s="393"/>
      <c r="DH832" s="393"/>
      <c r="DI832" s="393"/>
      <c r="DJ832" s="393"/>
      <c r="DK832" s="897"/>
    </row>
    <row r="833" spans="1:115" ht="38.25" x14ac:dyDescent="0.2">
      <c r="A833" s="295">
        <v>829</v>
      </c>
      <c r="B833" s="390" t="s">
        <v>652</v>
      </c>
      <c r="C833" s="424" t="s">
        <v>7577</v>
      </c>
      <c r="D833" s="391" t="s">
        <v>5120</v>
      </c>
      <c r="E833" s="704" t="s">
        <v>653</v>
      </c>
      <c r="F833" s="393" t="s">
        <v>1340</v>
      </c>
      <c r="G833" s="393" t="s">
        <v>1677</v>
      </c>
      <c r="H833" s="393" t="s">
        <v>151</v>
      </c>
      <c r="I833" s="392"/>
      <c r="J833" s="392" t="s">
        <v>151</v>
      </c>
      <c r="K833" s="392"/>
      <c r="L833" s="392" t="s">
        <v>654</v>
      </c>
      <c r="M833" s="392" t="s">
        <v>3271</v>
      </c>
      <c r="N833" s="393" t="s">
        <v>44</v>
      </c>
      <c r="O833" s="393" t="s">
        <v>289</v>
      </c>
      <c r="P833" s="393" t="s">
        <v>289</v>
      </c>
      <c r="Q833" s="392" t="s">
        <v>649</v>
      </c>
      <c r="R833" s="392"/>
      <c r="S833" s="392" t="s">
        <v>650</v>
      </c>
      <c r="T833" s="394">
        <v>1</v>
      </c>
      <c r="U833" s="395">
        <v>21.818000000000001</v>
      </c>
      <c r="V833" s="395"/>
      <c r="W833" s="452">
        <v>40831</v>
      </c>
      <c r="X833" s="394">
        <v>28</v>
      </c>
      <c r="Y833" s="394"/>
      <c r="Z833" s="394"/>
      <c r="AA833" s="395"/>
      <c r="AB833" s="453"/>
      <c r="AC833" s="398">
        <v>0</v>
      </c>
      <c r="AD833" s="398">
        <v>130.96777534246576</v>
      </c>
      <c r="AE833" s="393" t="s">
        <v>72</v>
      </c>
      <c r="AF833" s="417"/>
      <c r="AG833" s="417"/>
      <c r="AH833" s="417">
        <v>0</v>
      </c>
      <c r="AI833" s="394"/>
      <c r="AJ833" s="453"/>
      <c r="AK833" s="453"/>
      <c r="AL833" s="393"/>
      <c r="AM833" s="393"/>
      <c r="AN833" s="417"/>
      <c r="AO833" s="392"/>
      <c r="AP833" s="392" t="s">
        <v>55</v>
      </c>
      <c r="AQ833" s="392"/>
      <c r="AR833" s="392" t="s">
        <v>5664</v>
      </c>
      <c r="AS833" s="479">
        <v>40841</v>
      </c>
      <c r="AT833" s="453"/>
      <c r="AU833" s="453"/>
      <c r="AV833" s="452">
        <v>41129</v>
      </c>
      <c r="AW833" s="452">
        <v>41246</v>
      </c>
      <c r="AX833" s="452">
        <v>41293</v>
      </c>
      <c r="AY833" s="452">
        <v>41246</v>
      </c>
      <c r="AZ833" s="453"/>
      <c r="BA833" s="393"/>
      <c r="BB833" s="393" t="s">
        <v>3147</v>
      </c>
      <c r="BC833" s="393" t="b">
        <v>1</v>
      </c>
      <c r="BD833" s="393" t="s">
        <v>3116</v>
      </c>
      <c r="BE833" s="392"/>
      <c r="BF833" s="394">
        <v>9</v>
      </c>
      <c r="BG833" s="394"/>
      <c r="BH833" s="394"/>
      <c r="BI833" s="394"/>
      <c r="BJ833" s="394"/>
      <c r="BK833" s="394"/>
      <c r="BL833" s="444"/>
      <c r="BM833" s="392"/>
      <c r="BN833" s="393"/>
      <c r="BO833" s="393"/>
      <c r="BP833" s="399"/>
      <c r="BQ833" s="400"/>
      <c r="BR833" s="401"/>
      <c r="BS833" s="399">
        <v>16</v>
      </c>
      <c r="BT833" s="394"/>
      <c r="BU833" s="417"/>
      <c r="BV833" s="399"/>
      <c r="BW833" s="393"/>
      <c r="BX833" s="392"/>
      <c r="BY833" s="393"/>
      <c r="BZ833" s="393"/>
      <c r="CA833" s="441"/>
      <c r="CB833" s="400"/>
      <c r="CC833" s="398"/>
      <c r="CD833" s="398"/>
      <c r="CE833" s="398"/>
      <c r="CF833" s="398"/>
      <c r="CG833" s="398"/>
      <c r="CH833" s="398"/>
      <c r="CI833" s="398"/>
      <c r="CJ833" s="398"/>
      <c r="CK833" s="398"/>
      <c r="CL833" s="398"/>
      <c r="CM833" s="398"/>
      <c r="CN833" s="398"/>
      <c r="CO833" s="398"/>
      <c r="CP833" s="398"/>
      <c r="CQ833" s="398"/>
      <c r="CR833" s="398"/>
      <c r="CS833" s="398"/>
      <c r="CT833" s="398"/>
      <c r="CU833" s="398"/>
      <c r="CV833" s="398"/>
      <c r="CW833" s="398"/>
      <c r="CX833" s="398"/>
      <c r="CY833" s="398"/>
      <c r="CZ833" s="398"/>
      <c r="DA833" s="398"/>
      <c r="DB833" s="398"/>
      <c r="DC833" s="398"/>
      <c r="DD833" s="398"/>
      <c r="DE833" s="393"/>
      <c r="DF833" s="393"/>
      <c r="DG833" s="393"/>
      <c r="DH833" s="393"/>
      <c r="DI833" s="393"/>
      <c r="DJ833" s="393"/>
      <c r="DK833" s="896" t="s">
        <v>9711</v>
      </c>
    </row>
    <row r="834" spans="1:115" ht="25.5" x14ac:dyDescent="0.2">
      <c r="A834" s="295">
        <v>830</v>
      </c>
      <c r="B834" s="390" t="s">
        <v>2749</v>
      </c>
      <c r="C834" s="390"/>
      <c r="D834" s="391" t="s">
        <v>4469</v>
      </c>
      <c r="E834" s="704" t="s">
        <v>655</v>
      </c>
      <c r="F834" s="393" t="s">
        <v>1340</v>
      </c>
      <c r="G834" s="393" t="s">
        <v>1677</v>
      </c>
      <c r="H834" s="393" t="s">
        <v>151</v>
      </c>
      <c r="I834" s="392"/>
      <c r="J834" s="392"/>
      <c r="K834" s="392" t="s">
        <v>1815</v>
      </c>
      <c r="L834" s="392" t="s">
        <v>654</v>
      </c>
      <c r="M834" s="392"/>
      <c r="N834" s="393" t="s">
        <v>44</v>
      </c>
      <c r="O834" s="393" t="s">
        <v>289</v>
      </c>
      <c r="P834" s="393" t="s">
        <v>289</v>
      </c>
      <c r="Q834" s="392" t="s">
        <v>649</v>
      </c>
      <c r="R834" s="392" t="s">
        <v>3280</v>
      </c>
      <c r="S834" s="392" t="s">
        <v>650</v>
      </c>
      <c r="T834" s="394">
        <v>1</v>
      </c>
      <c r="U834" s="395">
        <v>21.818000000000001</v>
      </c>
      <c r="V834" s="395"/>
      <c r="W834" s="453"/>
      <c r="X834" s="394"/>
      <c r="Y834" s="394">
        <v>7</v>
      </c>
      <c r="Z834" s="394">
        <v>30</v>
      </c>
      <c r="AA834" s="395">
        <v>0</v>
      </c>
      <c r="AB834" s="452">
        <v>42005</v>
      </c>
      <c r="AC834" s="398">
        <v>0</v>
      </c>
      <c r="AD834" s="398">
        <v>130.96777534246576</v>
      </c>
      <c r="AE834" s="393" t="s">
        <v>72</v>
      </c>
      <c r="AF834" s="417"/>
      <c r="AG834" s="417"/>
      <c r="AH834" s="417"/>
      <c r="AI834" s="394"/>
      <c r="AJ834" s="453"/>
      <c r="AK834" s="453"/>
      <c r="AL834" s="393"/>
      <c r="AM834" s="393"/>
      <c r="AN834" s="417"/>
      <c r="AO834" s="392"/>
      <c r="AP834" s="392" t="s">
        <v>55</v>
      </c>
      <c r="AQ834" s="392"/>
      <c r="AR834" s="392" t="s">
        <v>5664</v>
      </c>
      <c r="AS834" s="479">
        <v>40841</v>
      </c>
      <c r="AT834" s="453"/>
      <c r="AU834" s="453"/>
      <c r="AV834" s="453"/>
      <c r="AW834" s="453"/>
      <c r="AX834" s="453"/>
      <c r="AY834" s="453"/>
      <c r="AZ834" s="452">
        <v>41246</v>
      </c>
      <c r="BA834" s="393"/>
      <c r="BB834" s="393"/>
      <c r="BC834" s="393" t="b">
        <v>0</v>
      </c>
      <c r="BD834" s="393"/>
      <c r="BE834" s="392"/>
      <c r="BF834" s="394">
        <v>9</v>
      </c>
      <c r="BG834" s="394"/>
      <c r="BH834" s="394"/>
      <c r="BI834" s="394"/>
      <c r="BJ834" s="394"/>
      <c r="BK834" s="394"/>
      <c r="BL834" s="444" t="s">
        <v>6981</v>
      </c>
      <c r="BM834" s="392"/>
      <c r="BN834" s="393"/>
      <c r="BO834" s="393"/>
      <c r="BP834" s="399"/>
      <c r="BQ834" s="400"/>
      <c r="BR834" s="401"/>
      <c r="BS834" s="399">
        <v>16</v>
      </c>
      <c r="BT834" s="394">
        <v>7262</v>
      </c>
      <c r="BU834" s="417">
        <v>0.18865000000000001</v>
      </c>
      <c r="BV834" s="399"/>
      <c r="BW834" s="393" t="s">
        <v>3117</v>
      </c>
      <c r="BX834" s="392"/>
      <c r="BY834" s="393"/>
      <c r="BZ834" s="393"/>
      <c r="CA834" s="441" t="s">
        <v>1662</v>
      </c>
      <c r="CB834" s="400">
        <v>3</v>
      </c>
      <c r="CC834" s="398"/>
      <c r="CD834" s="398"/>
      <c r="CE834" s="398"/>
      <c r="CF834" s="398"/>
      <c r="CG834" s="398"/>
      <c r="CH834" s="398"/>
      <c r="CI834" s="398"/>
      <c r="CJ834" s="398">
        <v>13.7</v>
      </c>
      <c r="CK834" s="398">
        <v>13.7</v>
      </c>
      <c r="CL834" s="398">
        <v>13.7</v>
      </c>
      <c r="CM834" s="398">
        <v>13.7</v>
      </c>
      <c r="CN834" s="398">
        <v>13.7</v>
      </c>
      <c r="CO834" s="398">
        <v>13.7</v>
      </c>
      <c r="CP834" s="398">
        <v>13.7</v>
      </c>
      <c r="CQ834" s="398"/>
      <c r="CR834" s="398"/>
      <c r="CS834" s="398"/>
      <c r="CT834" s="398"/>
      <c r="CU834" s="398"/>
      <c r="CV834" s="398"/>
      <c r="CW834" s="398"/>
      <c r="CX834" s="398"/>
      <c r="CY834" s="398"/>
      <c r="CZ834" s="398"/>
      <c r="DA834" s="398"/>
      <c r="DB834" s="398"/>
      <c r="DC834" s="398"/>
      <c r="DD834" s="398"/>
      <c r="DE834" s="393"/>
      <c r="DF834" s="393"/>
      <c r="DG834" s="393"/>
      <c r="DH834" s="393"/>
      <c r="DI834" s="393"/>
      <c r="DJ834" s="393"/>
      <c r="DK834" s="897"/>
    </row>
    <row r="835" spans="1:115" ht="165.75" x14ac:dyDescent="0.2">
      <c r="A835" s="295">
        <v>831</v>
      </c>
      <c r="B835" s="390" t="s">
        <v>784</v>
      </c>
      <c r="C835" s="424" t="s">
        <v>7578</v>
      </c>
      <c r="D835" s="391"/>
      <c r="E835" s="707" t="s">
        <v>785</v>
      </c>
      <c r="F835" s="404" t="s">
        <v>1375</v>
      </c>
      <c r="G835" s="404" t="s">
        <v>1361</v>
      </c>
      <c r="H835" s="404" t="s">
        <v>137</v>
      </c>
      <c r="I835" s="403" t="s">
        <v>4088</v>
      </c>
      <c r="J835" s="403" t="s">
        <v>2183</v>
      </c>
      <c r="K835" s="403"/>
      <c r="L835" s="403" t="s">
        <v>786</v>
      </c>
      <c r="M835" s="403" t="s">
        <v>3281</v>
      </c>
      <c r="N835" s="404" t="s">
        <v>3142</v>
      </c>
      <c r="O835" s="404" t="s">
        <v>289</v>
      </c>
      <c r="P835" s="404" t="s">
        <v>289</v>
      </c>
      <c r="Q835" s="403" t="s">
        <v>721</v>
      </c>
      <c r="R835" s="403"/>
      <c r="S835" s="403" t="s">
        <v>291</v>
      </c>
      <c r="T835" s="405">
        <v>1</v>
      </c>
      <c r="U835" s="406">
        <v>13.2</v>
      </c>
      <c r="V835" s="406"/>
      <c r="W835" s="456">
        <v>40846</v>
      </c>
      <c r="X835" s="405">
        <v>28</v>
      </c>
      <c r="Y835" s="405"/>
      <c r="Z835" s="405"/>
      <c r="AA835" s="406"/>
      <c r="AB835" s="455"/>
      <c r="AC835" s="407">
        <v>1.1220000000000001</v>
      </c>
      <c r="AD835" s="407">
        <v>132</v>
      </c>
      <c r="AE835" s="404" t="s">
        <v>787</v>
      </c>
      <c r="AF835" s="418"/>
      <c r="AG835" s="418"/>
      <c r="AH835" s="418">
        <v>0</v>
      </c>
      <c r="AI835" s="405"/>
      <c r="AJ835" s="455"/>
      <c r="AK835" s="455"/>
      <c r="AL835" s="404"/>
      <c r="AM835" s="404"/>
      <c r="AN835" s="418"/>
      <c r="AO835" s="403"/>
      <c r="AP835" s="403" t="s">
        <v>55</v>
      </c>
      <c r="AQ835" s="403"/>
      <c r="AR835" s="403" t="s">
        <v>788</v>
      </c>
      <c r="AS835" s="482">
        <v>40842</v>
      </c>
      <c r="AT835" s="455"/>
      <c r="AU835" s="455"/>
      <c r="AV835" s="455"/>
      <c r="AW835" s="455"/>
      <c r="AX835" s="455"/>
      <c r="AY835" s="455"/>
      <c r="AZ835" s="455"/>
      <c r="BA835" s="404"/>
      <c r="BB835" s="404" t="s">
        <v>3147</v>
      </c>
      <c r="BC835" s="404" t="b">
        <v>1</v>
      </c>
      <c r="BD835" s="404" t="s">
        <v>3147</v>
      </c>
      <c r="BE835" s="403"/>
      <c r="BF835" s="405">
        <v>5</v>
      </c>
      <c r="BG835" s="405">
        <v>7</v>
      </c>
      <c r="BH835" s="405">
        <v>2</v>
      </c>
      <c r="BI835" s="405">
        <v>4</v>
      </c>
      <c r="BJ835" s="405">
        <v>9</v>
      </c>
      <c r="BK835" s="405"/>
      <c r="BL835" s="446"/>
      <c r="BM835" s="403"/>
      <c r="BN835" s="404"/>
      <c r="BO835" s="404"/>
      <c r="BP835" s="408"/>
      <c r="BQ835" s="409"/>
      <c r="BR835" s="410"/>
      <c r="BS835" s="408">
        <v>2.1</v>
      </c>
      <c r="BT835" s="405"/>
      <c r="BU835" s="418"/>
      <c r="BV835" s="408"/>
      <c r="BW835" s="404"/>
      <c r="BX835" s="403"/>
      <c r="BY835" s="404"/>
      <c r="BZ835" s="404"/>
      <c r="CA835" s="443"/>
      <c r="CB835" s="409"/>
      <c r="CC835" s="407"/>
      <c r="CD835" s="407"/>
      <c r="CE835" s="407"/>
      <c r="CF835" s="407"/>
      <c r="CG835" s="407"/>
      <c r="CH835" s="407"/>
      <c r="CI835" s="407"/>
      <c r="CJ835" s="407"/>
      <c r="CK835" s="407"/>
      <c r="CL835" s="407"/>
      <c r="CM835" s="407"/>
      <c r="CN835" s="407"/>
      <c r="CO835" s="407"/>
      <c r="CP835" s="407"/>
      <c r="CQ835" s="407"/>
      <c r="CR835" s="407"/>
      <c r="CS835" s="407"/>
      <c r="CT835" s="407"/>
      <c r="CU835" s="407"/>
      <c r="CV835" s="407"/>
      <c r="CW835" s="407"/>
      <c r="CX835" s="407"/>
      <c r="CY835" s="407"/>
      <c r="CZ835" s="407"/>
      <c r="DA835" s="407"/>
      <c r="DB835" s="407"/>
      <c r="DC835" s="407"/>
      <c r="DD835" s="407"/>
      <c r="DE835" s="404"/>
      <c r="DF835" s="404"/>
      <c r="DG835" s="404"/>
      <c r="DH835" s="404"/>
      <c r="DI835" s="404"/>
      <c r="DJ835" s="404"/>
      <c r="DK835" s="897"/>
    </row>
    <row r="836" spans="1:115" ht="25.5" x14ac:dyDescent="0.2">
      <c r="A836" s="295">
        <v>832</v>
      </c>
      <c r="B836" s="390" t="s">
        <v>2750</v>
      </c>
      <c r="C836" s="390"/>
      <c r="D836" s="391"/>
      <c r="E836" s="707" t="s">
        <v>789</v>
      </c>
      <c r="F836" s="404" t="s">
        <v>1375</v>
      </c>
      <c r="G836" s="404" t="s">
        <v>1361</v>
      </c>
      <c r="H836" s="404" t="s">
        <v>137</v>
      </c>
      <c r="I836" s="403"/>
      <c r="J836" s="403"/>
      <c r="K836" s="403" t="s">
        <v>2184</v>
      </c>
      <c r="L836" s="403" t="s">
        <v>786</v>
      </c>
      <c r="M836" s="403"/>
      <c r="N836" s="404" t="s">
        <v>3142</v>
      </c>
      <c r="O836" s="404" t="s">
        <v>289</v>
      </c>
      <c r="P836" s="404" t="s">
        <v>289</v>
      </c>
      <c r="Q836" s="403" t="s">
        <v>721</v>
      </c>
      <c r="R836" s="403" t="s">
        <v>3282</v>
      </c>
      <c r="S836" s="403" t="s">
        <v>291</v>
      </c>
      <c r="T836" s="405">
        <v>1</v>
      </c>
      <c r="U836" s="406">
        <v>13.2</v>
      </c>
      <c r="V836" s="406"/>
      <c r="W836" s="455"/>
      <c r="X836" s="405"/>
      <c r="Y836" s="405">
        <v>10</v>
      </c>
      <c r="Z836" s="405">
        <v>30</v>
      </c>
      <c r="AA836" s="406">
        <v>0</v>
      </c>
      <c r="AB836" s="456">
        <v>41244</v>
      </c>
      <c r="AC836" s="407">
        <v>1.1220000000000001</v>
      </c>
      <c r="AD836" s="407">
        <v>132</v>
      </c>
      <c r="AE836" s="404" t="s">
        <v>787</v>
      </c>
      <c r="AF836" s="418"/>
      <c r="AG836" s="418"/>
      <c r="AH836" s="418"/>
      <c r="AI836" s="405"/>
      <c r="AJ836" s="455"/>
      <c r="AK836" s="455"/>
      <c r="AL836" s="404"/>
      <c r="AM836" s="404"/>
      <c r="AN836" s="418"/>
      <c r="AO836" s="403"/>
      <c r="AP836" s="403" t="s">
        <v>55</v>
      </c>
      <c r="AQ836" s="403"/>
      <c r="AR836" s="403" t="s">
        <v>788</v>
      </c>
      <c r="AS836" s="482">
        <v>40842</v>
      </c>
      <c r="AT836" s="455"/>
      <c r="AU836" s="455"/>
      <c r="AV836" s="455"/>
      <c r="AW836" s="455"/>
      <c r="AX836" s="455"/>
      <c r="AY836" s="455"/>
      <c r="AZ836" s="455"/>
      <c r="BA836" s="404"/>
      <c r="BB836" s="404"/>
      <c r="BC836" s="404" t="b">
        <v>0</v>
      </c>
      <c r="BD836" s="404"/>
      <c r="BE836" s="403"/>
      <c r="BF836" s="405">
        <v>5</v>
      </c>
      <c r="BG836" s="405">
        <v>7</v>
      </c>
      <c r="BH836" s="405">
        <v>2</v>
      </c>
      <c r="BI836" s="405">
        <v>4</v>
      </c>
      <c r="BJ836" s="405">
        <v>9</v>
      </c>
      <c r="BK836" s="405"/>
      <c r="BL836" s="446" t="s">
        <v>1451</v>
      </c>
      <c r="BM836" s="403" t="s">
        <v>3283</v>
      </c>
      <c r="BN836" s="404" t="s">
        <v>3284</v>
      </c>
      <c r="BO836" s="404"/>
      <c r="BP836" s="408"/>
      <c r="BQ836" s="409"/>
      <c r="BR836" s="410"/>
      <c r="BS836" s="408">
        <v>2.1</v>
      </c>
      <c r="BT836" s="405">
        <v>12000</v>
      </c>
      <c r="BU836" s="418">
        <v>1.0860000000000001</v>
      </c>
      <c r="BV836" s="408"/>
      <c r="BW836" s="404" t="s">
        <v>3117</v>
      </c>
      <c r="BX836" s="403"/>
      <c r="BY836" s="404"/>
      <c r="BZ836" s="404"/>
      <c r="CA836" s="443" t="s">
        <v>1662</v>
      </c>
      <c r="CB836" s="409">
        <v>3</v>
      </c>
      <c r="CC836" s="407"/>
      <c r="CD836" s="407"/>
      <c r="CE836" s="407"/>
      <c r="CF836" s="407"/>
      <c r="CG836" s="407"/>
      <c r="CH836" s="407"/>
      <c r="CI836" s="407">
        <v>13.2</v>
      </c>
      <c r="CJ836" s="407">
        <v>13.2</v>
      </c>
      <c r="CK836" s="407">
        <v>13.2</v>
      </c>
      <c r="CL836" s="407">
        <v>13.2</v>
      </c>
      <c r="CM836" s="407">
        <v>13.2</v>
      </c>
      <c r="CN836" s="407">
        <v>13.2</v>
      </c>
      <c r="CO836" s="407">
        <v>13.2</v>
      </c>
      <c r="CP836" s="407">
        <v>13.2</v>
      </c>
      <c r="CQ836" s="407">
        <v>13.2</v>
      </c>
      <c r="CR836" s="407">
        <v>13.2</v>
      </c>
      <c r="CS836" s="407"/>
      <c r="CT836" s="407"/>
      <c r="CU836" s="407"/>
      <c r="CV836" s="407"/>
      <c r="CW836" s="407"/>
      <c r="CX836" s="407"/>
      <c r="CY836" s="407"/>
      <c r="CZ836" s="407"/>
      <c r="DA836" s="407"/>
      <c r="DB836" s="407"/>
      <c r="DC836" s="407"/>
      <c r="DD836" s="407"/>
      <c r="DE836" s="404"/>
      <c r="DF836" s="404"/>
      <c r="DG836" s="404"/>
      <c r="DH836" s="404"/>
      <c r="DI836" s="404"/>
      <c r="DJ836" s="404"/>
      <c r="DK836" s="897"/>
    </row>
    <row r="837" spans="1:115" ht="38.25" x14ac:dyDescent="0.2">
      <c r="A837" s="295">
        <v>833</v>
      </c>
      <c r="B837" s="390" t="s">
        <v>1177</v>
      </c>
      <c r="C837" s="424" t="s">
        <v>7579</v>
      </c>
      <c r="D837" s="391" t="s">
        <v>5121</v>
      </c>
      <c r="E837" s="705" t="s">
        <v>1178</v>
      </c>
      <c r="F837" s="393" t="s">
        <v>1375</v>
      </c>
      <c r="G837" s="393" t="s">
        <v>1361</v>
      </c>
      <c r="H837" s="393" t="s">
        <v>137</v>
      </c>
      <c r="I837" s="392"/>
      <c r="J837" s="392" t="s">
        <v>137</v>
      </c>
      <c r="K837" s="392"/>
      <c r="L837" s="392" t="s">
        <v>1179</v>
      </c>
      <c r="M837" s="392" t="s">
        <v>3285</v>
      </c>
      <c r="N837" s="393" t="s">
        <v>44</v>
      </c>
      <c r="O837" s="393" t="s">
        <v>5030</v>
      </c>
      <c r="P837" s="392" t="s">
        <v>1831</v>
      </c>
      <c r="Q837" s="392" t="s">
        <v>1831</v>
      </c>
      <c r="R837" s="392"/>
      <c r="S837" s="392" t="s">
        <v>650</v>
      </c>
      <c r="T837" s="394">
        <v>7</v>
      </c>
      <c r="U837" s="395">
        <v>2033.72</v>
      </c>
      <c r="V837" s="395"/>
      <c r="W837" s="452">
        <v>40842</v>
      </c>
      <c r="X837" s="394">
        <v>28</v>
      </c>
      <c r="Y837" s="394"/>
      <c r="Z837" s="394"/>
      <c r="AA837" s="395"/>
      <c r="AB837" s="453"/>
      <c r="AC837" s="398">
        <v>0</v>
      </c>
      <c r="AD837" s="398">
        <v>20337.199999999997</v>
      </c>
      <c r="AE837" s="393" t="s">
        <v>787</v>
      </c>
      <c r="AF837" s="417"/>
      <c r="AG837" s="417"/>
      <c r="AH837" s="417">
        <v>0</v>
      </c>
      <c r="AI837" s="394"/>
      <c r="AJ837" s="453"/>
      <c r="AK837" s="453"/>
      <c r="AL837" s="393"/>
      <c r="AM837" s="393"/>
      <c r="AN837" s="417"/>
      <c r="AO837" s="392"/>
      <c r="AP837" s="392" t="s">
        <v>55</v>
      </c>
      <c r="AQ837" s="392"/>
      <c r="AR837" s="392" t="s">
        <v>788</v>
      </c>
      <c r="AS837" s="479">
        <v>40842</v>
      </c>
      <c r="AT837" s="453"/>
      <c r="AU837" s="453"/>
      <c r="AV837" s="452">
        <v>41099</v>
      </c>
      <c r="AW837" s="452">
        <v>41229</v>
      </c>
      <c r="AX837" s="452">
        <v>41289</v>
      </c>
      <c r="AY837" s="452">
        <v>41234</v>
      </c>
      <c r="AZ837" s="453"/>
      <c r="BA837" s="393"/>
      <c r="BB837" s="393" t="s">
        <v>3147</v>
      </c>
      <c r="BC837" s="393" t="b">
        <v>1</v>
      </c>
      <c r="BD837" s="393" t="s">
        <v>3147</v>
      </c>
      <c r="BE837" s="392"/>
      <c r="BF837" s="394">
        <v>5</v>
      </c>
      <c r="BG837" s="394">
        <v>7</v>
      </c>
      <c r="BH837" s="394">
        <v>4</v>
      </c>
      <c r="BI837" s="394">
        <v>2</v>
      </c>
      <c r="BJ837" s="394">
        <v>9</v>
      </c>
      <c r="BK837" s="394"/>
      <c r="BL837" s="444"/>
      <c r="BM837" s="392"/>
      <c r="BN837" s="393"/>
      <c r="BO837" s="393"/>
      <c r="BP837" s="399"/>
      <c r="BQ837" s="400"/>
      <c r="BR837" s="401"/>
      <c r="BS837" s="399">
        <v>676.55</v>
      </c>
      <c r="BT837" s="394"/>
      <c r="BU837" s="417"/>
      <c r="BV837" s="399"/>
      <c r="BW837" s="393"/>
      <c r="BX837" s="392"/>
      <c r="BY837" s="393"/>
      <c r="BZ837" s="393"/>
      <c r="CA837" s="441"/>
      <c r="CB837" s="400"/>
      <c r="CC837" s="398"/>
      <c r="CD837" s="398"/>
      <c r="CE837" s="398"/>
      <c r="CF837" s="398"/>
      <c r="CG837" s="398"/>
      <c r="CH837" s="398"/>
      <c r="CI837" s="398"/>
      <c r="CJ837" s="398"/>
      <c r="CK837" s="398"/>
      <c r="CL837" s="398"/>
      <c r="CM837" s="398"/>
      <c r="CN837" s="398"/>
      <c r="CO837" s="398"/>
      <c r="CP837" s="398"/>
      <c r="CQ837" s="398"/>
      <c r="CR837" s="398"/>
      <c r="CS837" s="398"/>
      <c r="CT837" s="398"/>
      <c r="CU837" s="398"/>
      <c r="CV837" s="398"/>
      <c r="CW837" s="398"/>
      <c r="CX837" s="398"/>
      <c r="CY837" s="398"/>
      <c r="CZ837" s="398"/>
      <c r="DA837" s="398"/>
      <c r="DB837" s="398"/>
      <c r="DC837" s="398"/>
      <c r="DD837" s="398"/>
      <c r="DE837" s="393"/>
      <c r="DF837" s="393"/>
      <c r="DG837" s="393"/>
      <c r="DH837" s="393"/>
      <c r="DI837" s="393"/>
      <c r="DJ837" s="393"/>
      <c r="DK837" s="896" t="s">
        <v>9743</v>
      </c>
    </row>
    <row r="838" spans="1:115" ht="15" x14ac:dyDescent="0.2">
      <c r="A838" s="295">
        <v>834</v>
      </c>
      <c r="B838" s="390" t="s">
        <v>2751</v>
      </c>
      <c r="C838" s="390"/>
      <c r="D838" s="391" t="s">
        <v>4470</v>
      </c>
      <c r="E838" s="704" t="s">
        <v>1180</v>
      </c>
      <c r="F838" s="393" t="s">
        <v>1375</v>
      </c>
      <c r="G838" s="393" t="s">
        <v>1361</v>
      </c>
      <c r="H838" s="393" t="s">
        <v>137</v>
      </c>
      <c r="I838" s="392"/>
      <c r="J838" s="392"/>
      <c r="K838" s="392" t="s">
        <v>1518</v>
      </c>
      <c r="L838" s="392" t="s">
        <v>1179</v>
      </c>
      <c r="M838" s="392"/>
      <c r="N838" s="393" t="s">
        <v>44</v>
      </c>
      <c r="O838" s="393" t="s">
        <v>1155</v>
      </c>
      <c r="P838" s="393" t="s">
        <v>1155</v>
      </c>
      <c r="Q838" s="392" t="s">
        <v>1155</v>
      </c>
      <c r="R838" s="392" t="s">
        <v>3286</v>
      </c>
      <c r="S838" s="392" t="s">
        <v>650</v>
      </c>
      <c r="T838" s="394">
        <v>1</v>
      </c>
      <c r="U838" s="395">
        <v>352.654</v>
      </c>
      <c r="V838" s="395"/>
      <c r="W838" s="453"/>
      <c r="X838" s="394"/>
      <c r="Y838" s="394">
        <v>10</v>
      </c>
      <c r="Z838" s="394">
        <v>20</v>
      </c>
      <c r="AA838" s="395">
        <v>0</v>
      </c>
      <c r="AB838" s="452">
        <v>41647</v>
      </c>
      <c r="AC838" s="398">
        <v>0</v>
      </c>
      <c r="AD838" s="398">
        <v>3526.54</v>
      </c>
      <c r="AE838" s="393" t="s">
        <v>787</v>
      </c>
      <c r="AF838" s="417"/>
      <c r="AG838" s="417"/>
      <c r="AH838" s="417"/>
      <c r="AI838" s="394"/>
      <c r="AJ838" s="453"/>
      <c r="AK838" s="453"/>
      <c r="AL838" s="393"/>
      <c r="AM838" s="393"/>
      <c r="AN838" s="417"/>
      <c r="AO838" s="392"/>
      <c r="AP838" s="392" t="s">
        <v>55</v>
      </c>
      <c r="AQ838" s="392"/>
      <c r="AR838" s="392" t="s">
        <v>788</v>
      </c>
      <c r="AS838" s="479">
        <v>40842</v>
      </c>
      <c r="AT838" s="453"/>
      <c r="AU838" s="453"/>
      <c r="AV838" s="453"/>
      <c r="AW838" s="453"/>
      <c r="AX838" s="453"/>
      <c r="AY838" s="453"/>
      <c r="AZ838" s="452">
        <v>41234</v>
      </c>
      <c r="BA838" s="393"/>
      <c r="BB838" s="393"/>
      <c r="BC838" s="393" t="b">
        <v>0</v>
      </c>
      <c r="BD838" s="393"/>
      <c r="BE838" s="392"/>
      <c r="BF838" s="394">
        <v>5</v>
      </c>
      <c r="BG838" s="394">
        <v>7</v>
      </c>
      <c r="BH838" s="394">
        <v>4</v>
      </c>
      <c r="BI838" s="394">
        <v>2</v>
      </c>
      <c r="BJ838" s="394">
        <v>9</v>
      </c>
      <c r="BK838" s="394"/>
      <c r="BL838" s="444" t="s">
        <v>6982</v>
      </c>
      <c r="BM838" s="392" t="s">
        <v>3287</v>
      </c>
      <c r="BN838" s="393" t="s">
        <v>3288</v>
      </c>
      <c r="BO838" s="393"/>
      <c r="BP838" s="399"/>
      <c r="BQ838" s="400"/>
      <c r="BR838" s="401"/>
      <c r="BS838" s="399">
        <v>138</v>
      </c>
      <c r="BT838" s="394">
        <v>384700</v>
      </c>
      <c r="BU838" s="417">
        <v>1.079</v>
      </c>
      <c r="BV838" s="399"/>
      <c r="BW838" s="393" t="s">
        <v>3117</v>
      </c>
      <c r="BX838" s="392" t="s">
        <v>1449</v>
      </c>
      <c r="BY838" s="475" t="s">
        <v>7225</v>
      </c>
      <c r="BZ838" s="393"/>
      <c r="CA838" s="441"/>
      <c r="CB838" s="400"/>
      <c r="CC838" s="398"/>
      <c r="CD838" s="398"/>
      <c r="CE838" s="398"/>
      <c r="CF838" s="398"/>
      <c r="CG838" s="398"/>
      <c r="CH838" s="398">
        <v>423.17</v>
      </c>
      <c r="CI838" s="398">
        <v>423.17</v>
      </c>
      <c r="CJ838" s="398">
        <v>423.17</v>
      </c>
      <c r="CK838" s="398">
        <v>423.17</v>
      </c>
      <c r="CL838" s="398">
        <v>423.17</v>
      </c>
      <c r="CM838" s="398">
        <v>423.17</v>
      </c>
      <c r="CN838" s="398">
        <v>423.17</v>
      </c>
      <c r="CO838" s="398">
        <v>423.17</v>
      </c>
      <c r="CP838" s="398">
        <v>423.17</v>
      </c>
      <c r="CQ838" s="398">
        <v>423.17</v>
      </c>
      <c r="CR838" s="398"/>
      <c r="CS838" s="398"/>
      <c r="CT838" s="398"/>
      <c r="CU838" s="398"/>
      <c r="CV838" s="398"/>
      <c r="CW838" s="398"/>
      <c r="CX838" s="398"/>
      <c r="CY838" s="398"/>
      <c r="CZ838" s="398"/>
      <c r="DA838" s="398"/>
      <c r="DB838" s="398"/>
      <c r="DC838" s="398"/>
      <c r="DD838" s="398"/>
      <c r="DE838" s="393"/>
      <c r="DF838" s="393"/>
      <c r="DG838" s="393"/>
      <c r="DH838" s="393"/>
      <c r="DI838" s="393"/>
      <c r="DJ838" s="393"/>
      <c r="DK838" s="897"/>
    </row>
    <row r="839" spans="1:115" ht="38.25" x14ac:dyDescent="0.2">
      <c r="A839" s="295">
        <v>835</v>
      </c>
      <c r="B839" s="390" t="s">
        <v>6020</v>
      </c>
      <c r="C839" s="390"/>
      <c r="D839" s="391" t="s">
        <v>6021</v>
      </c>
      <c r="E839" s="704" t="s">
        <v>6022</v>
      </c>
      <c r="F839" s="393" t="s">
        <v>1375</v>
      </c>
      <c r="G839" s="393" t="s">
        <v>1361</v>
      </c>
      <c r="H839" s="393" t="s">
        <v>137</v>
      </c>
      <c r="I839" s="392"/>
      <c r="J839" s="392"/>
      <c r="K839" s="392" t="s">
        <v>2188</v>
      </c>
      <c r="L839" s="392" t="s">
        <v>1179</v>
      </c>
      <c r="M839" s="392"/>
      <c r="N839" s="393" t="s">
        <v>44</v>
      </c>
      <c r="O839" s="393" t="s">
        <v>827</v>
      </c>
      <c r="P839" s="393" t="s">
        <v>827</v>
      </c>
      <c r="Q839" s="392" t="s">
        <v>836</v>
      </c>
      <c r="R839" s="392" t="s">
        <v>6023</v>
      </c>
      <c r="S839" s="392" t="s">
        <v>650</v>
      </c>
      <c r="T839" s="394">
        <v>1</v>
      </c>
      <c r="U839" s="395">
        <v>76.78</v>
      </c>
      <c r="V839" s="395"/>
      <c r="W839" s="453"/>
      <c r="X839" s="394"/>
      <c r="Y839" s="394">
        <v>10</v>
      </c>
      <c r="Z839" s="394">
        <v>25</v>
      </c>
      <c r="AA839" s="395">
        <v>-0.64200000000000002</v>
      </c>
      <c r="AB839" s="452">
        <v>41732</v>
      </c>
      <c r="AC839" s="398">
        <v>0</v>
      </c>
      <c r="AD839" s="398">
        <v>767.8</v>
      </c>
      <c r="AE839" s="393" t="s">
        <v>787</v>
      </c>
      <c r="AF839" s="417"/>
      <c r="AG839" s="417"/>
      <c r="AH839" s="417"/>
      <c r="AI839" s="394"/>
      <c r="AJ839" s="453"/>
      <c r="AK839" s="453"/>
      <c r="AL839" s="393"/>
      <c r="AM839" s="393"/>
      <c r="AN839" s="417"/>
      <c r="AO839" s="392"/>
      <c r="AP839" s="392"/>
      <c r="AQ839" s="392"/>
      <c r="AR839" s="392" t="s">
        <v>788</v>
      </c>
      <c r="AS839" s="479">
        <v>40842</v>
      </c>
      <c r="AT839" s="453"/>
      <c r="AU839" s="453"/>
      <c r="AV839" s="453"/>
      <c r="AW839" s="453"/>
      <c r="AX839" s="453"/>
      <c r="AY839" s="453"/>
      <c r="AZ839" s="452">
        <v>41723</v>
      </c>
      <c r="BA839" s="393"/>
      <c r="BB839" s="393"/>
      <c r="BC839" s="393" t="b">
        <v>0</v>
      </c>
      <c r="BD839" s="393"/>
      <c r="BE839" s="392"/>
      <c r="BF839" s="394">
        <v>5</v>
      </c>
      <c r="BG839" s="394">
        <v>7</v>
      </c>
      <c r="BH839" s="394">
        <v>4</v>
      </c>
      <c r="BI839" s="394">
        <v>2</v>
      </c>
      <c r="BJ839" s="394">
        <v>9</v>
      </c>
      <c r="BK839" s="394"/>
      <c r="BL839" s="444" t="s">
        <v>6982</v>
      </c>
      <c r="BM839" s="428" t="s">
        <v>7373</v>
      </c>
      <c r="BN839" s="393"/>
      <c r="BO839" s="393"/>
      <c r="BP839" s="399"/>
      <c r="BQ839" s="400"/>
      <c r="BR839" s="401"/>
      <c r="BS839" s="399">
        <v>45.6</v>
      </c>
      <c r="BT839" s="394">
        <v>78340</v>
      </c>
      <c r="BU839" s="417">
        <v>1.079</v>
      </c>
      <c r="BV839" s="399"/>
      <c r="BW839" s="393" t="s">
        <v>3117</v>
      </c>
      <c r="BX839" s="392" t="s">
        <v>1449</v>
      </c>
      <c r="BY839" s="475" t="s">
        <v>7225</v>
      </c>
      <c r="BZ839" s="393"/>
      <c r="CA839" s="441"/>
      <c r="CB839" s="400"/>
      <c r="CC839" s="398"/>
      <c r="CD839" s="398"/>
      <c r="CE839" s="398"/>
      <c r="CF839" s="398"/>
      <c r="CG839" s="398"/>
      <c r="CH839" s="398"/>
      <c r="CI839" s="398"/>
      <c r="CJ839" s="398">
        <v>79.676000000000002</v>
      </c>
      <c r="CK839" s="398">
        <v>79.034000000000006</v>
      </c>
      <c r="CL839" s="398">
        <v>78.391000000000005</v>
      </c>
      <c r="CM839" s="398">
        <v>77.748000000000005</v>
      </c>
      <c r="CN839" s="398">
        <v>77.061999999999998</v>
      </c>
      <c r="CO839" s="398">
        <v>76.462999999999994</v>
      </c>
      <c r="CP839" s="398">
        <v>75.820999999999998</v>
      </c>
      <c r="CQ839" s="398">
        <v>75.177999999999997</v>
      </c>
      <c r="CR839" s="398">
        <v>74.534999999999997</v>
      </c>
      <c r="CS839" s="398">
        <v>73.893000000000001</v>
      </c>
      <c r="CT839" s="398"/>
      <c r="CU839" s="398"/>
      <c r="CV839" s="398"/>
      <c r="CW839" s="398"/>
      <c r="CX839" s="398"/>
      <c r="CY839" s="398"/>
      <c r="CZ839" s="398"/>
      <c r="DA839" s="398"/>
      <c r="DB839" s="398"/>
      <c r="DC839" s="398"/>
      <c r="DD839" s="398"/>
      <c r="DE839" s="393"/>
      <c r="DF839" s="393"/>
      <c r="DG839" s="393"/>
      <c r="DH839" s="393"/>
      <c r="DI839" s="393"/>
      <c r="DJ839" s="393"/>
      <c r="DK839" s="897"/>
    </row>
    <row r="840" spans="1:115" ht="38.25" x14ac:dyDescent="0.2">
      <c r="A840" s="295">
        <v>836</v>
      </c>
      <c r="B840" s="449" t="s">
        <v>6024</v>
      </c>
      <c r="C840" s="449"/>
      <c r="D840" s="474" t="s">
        <v>6025</v>
      </c>
      <c r="E840" s="704" t="s">
        <v>6026</v>
      </c>
      <c r="F840" s="393" t="s">
        <v>1375</v>
      </c>
      <c r="G840" s="393" t="s">
        <v>1361</v>
      </c>
      <c r="H840" s="393" t="s">
        <v>137</v>
      </c>
      <c r="I840" s="392"/>
      <c r="J840" s="392"/>
      <c r="K840" s="392" t="s">
        <v>2188</v>
      </c>
      <c r="L840" s="392" t="s">
        <v>1179</v>
      </c>
      <c r="M840" s="392"/>
      <c r="N840" s="393" t="s">
        <v>44</v>
      </c>
      <c r="O840" s="393" t="s">
        <v>827</v>
      </c>
      <c r="P840" s="393" t="s">
        <v>827</v>
      </c>
      <c r="Q840" s="392" t="s">
        <v>836</v>
      </c>
      <c r="R840" s="392" t="s">
        <v>6027</v>
      </c>
      <c r="S840" s="392" t="s">
        <v>650</v>
      </c>
      <c r="T840" s="394">
        <v>1</v>
      </c>
      <c r="U840" s="395">
        <v>78.453000000000003</v>
      </c>
      <c r="V840" s="395"/>
      <c r="W840" s="453"/>
      <c r="X840" s="394"/>
      <c r="Y840" s="394">
        <v>10</v>
      </c>
      <c r="Z840" s="394">
        <v>25</v>
      </c>
      <c r="AA840" s="395">
        <v>-0.65700000000000003</v>
      </c>
      <c r="AB840" s="452">
        <v>41786</v>
      </c>
      <c r="AC840" s="398">
        <v>0</v>
      </c>
      <c r="AD840" s="398">
        <v>784.53</v>
      </c>
      <c r="AE840" s="393" t="s">
        <v>787</v>
      </c>
      <c r="AF840" s="417"/>
      <c r="AG840" s="417"/>
      <c r="AH840" s="417"/>
      <c r="AI840" s="394"/>
      <c r="AJ840" s="453"/>
      <c r="AK840" s="453"/>
      <c r="AL840" s="393"/>
      <c r="AM840" s="393"/>
      <c r="AN840" s="417"/>
      <c r="AO840" s="392"/>
      <c r="AP840" s="392"/>
      <c r="AQ840" s="392"/>
      <c r="AR840" s="392" t="s">
        <v>788</v>
      </c>
      <c r="AS840" s="479">
        <v>40842</v>
      </c>
      <c r="AT840" s="453"/>
      <c r="AU840" s="453"/>
      <c r="AV840" s="453"/>
      <c r="AW840" s="453"/>
      <c r="AX840" s="453"/>
      <c r="AY840" s="453"/>
      <c r="AZ840" s="452">
        <v>41723</v>
      </c>
      <c r="BA840" s="393"/>
      <c r="BB840" s="393"/>
      <c r="BC840" s="393" t="b">
        <v>0</v>
      </c>
      <c r="BD840" s="393"/>
      <c r="BE840" s="392"/>
      <c r="BF840" s="394">
        <v>5</v>
      </c>
      <c r="BG840" s="394">
        <v>7</v>
      </c>
      <c r="BH840" s="394">
        <v>4</v>
      </c>
      <c r="BI840" s="394">
        <v>2</v>
      </c>
      <c r="BJ840" s="394">
        <v>9</v>
      </c>
      <c r="BK840" s="394"/>
      <c r="BL840" s="444" t="s">
        <v>6982</v>
      </c>
      <c r="BM840" s="428" t="s">
        <v>7373</v>
      </c>
      <c r="BN840" s="393"/>
      <c r="BO840" s="393"/>
      <c r="BP840" s="399"/>
      <c r="BQ840" s="400"/>
      <c r="BR840" s="401"/>
      <c r="BS840" s="399">
        <v>45.6</v>
      </c>
      <c r="BT840" s="394">
        <v>80047</v>
      </c>
      <c r="BU840" s="417">
        <v>1.079</v>
      </c>
      <c r="BV840" s="399"/>
      <c r="BW840" s="393" t="s">
        <v>3117</v>
      </c>
      <c r="BX840" s="392" t="s">
        <v>1449</v>
      </c>
      <c r="BY840" s="393"/>
      <c r="BZ840" s="393"/>
      <c r="CA840" s="441"/>
      <c r="CB840" s="400"/>
      <c r="CC840" s="398"/>
      <c r="CD840" s="398"/>
      <c r="CE840" s="398"/>
      <c r="CF840" s="398"/>
      <c r="CG840" s="398"/>
      <c r="CH840" s="398"/>
      <c r="CI840" s="398"/>
      <c r="CJ840" s="398">
        <v>81.408000000000001</v>
      </c>
      <c r="CK840" s="398">
        <v>80.751000000000005</v>
      </c>
      <c r="CL840" s="398">
        <v>80.093999999999994</v>
      </c>
      <c r="CM840" s="398">
        <v>79.438999999999993</v>
      </c>
      <c r="CN840" s="398">
        <v>78.781999999999996</v>
      </c>
      <c r="CO840" s="398">
        <v>78.125</v>
      </c>
      <c r="CP840" s="398">
        <v>77.468999999999994</v>
      </c>
      <c r="CQ840" s="398">
        <v>76.811999999999998</v>
      </c>
      <c r="CR840" s="398">
        <v>76.155000000000001</v>
      </c>
      <c r="CS840" s="398">
        <v>75.498999999999995</v>
      </c>
      <c r="CT840" s="398"/>
      <c r="CU840" s="398"/>
      <c r="CV840" s="398"/>
      <c r="CW840" s="398"/>
      <c r="CX840" s="398"/>
      <c r="CY840" s="398"/>
      <c r="CZ840" s="398"/>
      <c r="DA840" s="398"/>
      <c r="DB840" s="398"/>
      <c r="DC840" s="398"/>
      <c r="DD840" s="398"/>
      <c r="DE840" s="393"/>
      <c r="DF840" s="393"/>
      <c r="DG840" s="393"/>
      <c r="DH840" s="393"/>
      <c r="DI840" s="393"/>
      <c r="DJ840" s="393"/>
      <c r="DK840" s="897"/>
    </row>
    <row r="841" spans="1:115" ht="25.5" x14ac:dyDescent="0.2">
      <c r="A841" s="295">
        <v>837</v>
      </c>
      <c r="B841" s="390" t="s">
        <v>7360</v>
      </c>
      <c r="C841" s="390"/>
      <c r="D841" s="391" t="s">
        <v>7364</v>
      </c>
      <c r="E841" s="705" t="s">
        <v>7368</v>
      </c>
      <c r="F841" s="475" t="s">
        <v>1375</v>
      </c>
      <c r="G841" s="475" t="s">
        <v>1361</v>
      </c>
      <c r="H841" s="475" t="s">
        <v>137</v>
      </c>
      <c r="I841" s="392"/>
      <c r="J841" s="392"/>
      <c r="K841" s="428" t="s">
        <v>642</v>
      </c>
      <c r="L841" s="428" t="s">
        <v>1179</v>
      </c>
      <c r="M841" s="392"/>
      <c r="N841" s="393" t="s">
        <v>44</v>
      </c>
      <c r="O841" s="475" t="s">
        <v>1155</v>
      </c>
      <c r="P841" s="475" t="s">
        <v>1155</v>
      </c>
      <c r="Q841" s="428" t="s">
        <v>1155</v>
      </c>
      <c r="R841" s="428" t="s">
        <v>7372</v>
      </c>
      <c r="S841" s="428" t="s">
        <v>650</v>
      </c>
      <c r="T841" s="394">
        <v>1</v>
      </c>
      <c r="U841" s="395">
        <v>474.66199999999998</v>
      </c>
      <c r="V841" s="395"/>
      <c r="W841" s="453"/>
      <c r="X841" s="394"/>
      <c r="Y841" s="394">
        <v>10</v>
      </c>
      <c r="Z841" s="394">
        <v>20</v>
      </c>
      <c r="AA841" s="395">
        <v>0</v>
      </c>
      <c r="AB841" s="452">
        <v>42824</v>
      </c>
      <c r="AC841" s="398">
        <v>0</v>
      </c>
      <c r="AD841" s="398">
        <v>4746.62</v>
      </c>
      <c r="AE841" s="475" t="s">
        <v>787</v>
      </c>
      <c r="AF841" s="417"/>
      <c r="AG841" s="417"/>
      <c r="AH841" s="417"/>
      <c r="AI841" s="394"/>
      <c r="AJ841" s="453"/>
      <c r="AK841" s="453"/>
      <c r="AL841" s="393"/>
      <c r="AM841" s="393"/>
      <c r="AN841" s="417"/>
      <c r="AO841" s="392"/>
      <c r="AP841" s="428"/>
      <c r="AQ841" s="428"/>
      <c r="AR841" s="428" t="s">
        <v>788</v>
      </c>
      <c r="AS841" s="479">
        <v>40842</v>
      </c>
      <c r="AT841" s="453"/>
      <c r="AU841" s="453"/>
      <c r="AV841" s="453"/>
      <c r="AW841" s="453"/>
      <c r="AX841" s="453"/>
      <c r="AY841" s="453"/>
      <c r="AZ841" s="452">
        <v>42334</v>
      </c>
      <c r="BA841" s="393"/>
      <c r="BB841" s="393"/>
      <c r="BC841" s="393" t="b">
        <v>1</v>
      </c>
      <c r="BD841" s="393"/>
      <c r="BE841" s="392"/>
      <c r="BF841" s="394">
        <v>5</v>
      </c>
      <c r="BG841" s="394">
        <v>11</v>
      </c>
      <c r="BH841" s="394">
        <v>4</v>
      </c>
      <c r="BI841" s="394">
        <v>7</v>
      </c>
      <c r="BJ841" s="394">
        <v>9</v>
      </c>
      <c r="BK841" s="394"/>
      <c r="BL841" s="477">
        <v>0</v>
      </c>
      <c r="BM841" s="392" t="s">
        <v>3287</v>
      </c>
      <c r="BN841" s="393" t="s">
        <v>3288</v>
      </c>
      <c r="BO841" s="393"/>
      <c r="BP841" s="399"/>
      <c r="BQ841" s="400"/>
      <c r="BR841" s="401"/>
      <c r="BS841" s="399">
        <v>140</v>
      </c>
      <c r="BT841" s="394">
        <v>484300</v>
      </c>
      <c r="BU841" s="417"/>
      <c r="BV841" s="399"/>
      <c r="BW841" s="475" t="s">
        <v>3117</v>
      </c>
      <c r="BX841" s="428" t="s">
        <v>1449</v>
      </c>
      <c r="BY841" s="393"/>
      <c r="BZ841" s="393"/>
      <c r="CA841" s="441"/>
      <c r="CB841" s="400"/>
      <c r="CC841" s="398"/>
      <c r="CD841" s="398"/>
      <c r="CE841" s="398"/>
      <c r="CF841" s="398"/>
      <c r="CG841" s="398"/>
      <c r="CH841" s="398"/>
      <c r="CI841" s="398"/>
      <c r="CJ841" s="398"/>
      <c r="CK841" s="398"/>
      <c r="CL841" s="398"/>
      <c r="CM841" s="398">
        <v>474.66199999999998</v>
      </c>
      <c r="CN841" s="398">
        <v>474.66199999999998</v>
      </c>
      <c r="CO841" s="398">
        <v>474.66199999999998</v>
      </c>
      <c r="CP841" s="398">
        <v>474.66199999999998</v>
      </c>
      <c r="CQ841" s="398">
        <v>474.66199999999998</v>
      </c>
      <c r="CR841" s="398">
        <v>474.66199999999998</v>
      </c>
      <c r="CS841" s="398">
        <v>474.66199999999998</v>
      </c>
      <c r="CT841" s="398">
        <v>474.66199999999998</v>
      </c>
      <c r="CU841" s="398">
        <v>474.66199999999998</v>
      </c>
      <c r="CV841" s="398">
        <v>474.66199999999998</v>
      </c>
      <c r="CW841" s="398"/>
      <c r="CX841" s="398"/>
      <c r="CY841" s="398"/>
      <c r="CZ841" s="398"/>
      <c r="DA841" s="398"/>
      <c r="DB841" s="398"/>
      <c r="DC841" s="398"/>
      <c r="DD841" s="398"/>
      <c r="DE841" s="393"/>
      <c r="DF841" s="393"/>
      <c r="DG841" s="393"/>
      <c r="DH841" s="393"/>
      <c r="DI841" s="393"/>
      <c r="DJ841" s="393"/>
      <c r="DK841" s="897"/>
    </row>
    <row r="842" spans="1:115" ht="25.5" x14ac:dyDescent="0.2">
      <c r="A842" s="295">
        <v>838</v>
      </c>
      <c r="B842" s="390" t="s">
        <v>7361</v>
      </c>
      <c r="C842" s="390"/>
      <c r="D842" s="391" t="s">
        <v>7365</v>
      </c>
      <c r="E842" s="705" t="s">
        <v>7369</v>
      </c>
      <c r="F842" s="475" t="s">
        <v>1375</v>
      </c>
      <c r="G842" s="475" t="s">
        <v>1361</v>
      </c>
      <c r="H842" s="475" t="s">
        <v>137</v>
      </c>
      <c r="I842" s="392"/>
      <c r="J842" s="392"/>
      <c r="K842" s="428" t="s">
        <v>642</v>
      </c>
      <c r="L842" s="428" t="s">
        <v>1179</v>
      </c>
      <c r="M842" s="392"/>
      <c r="N842" s="393" t="s">
        <v>44</v>
      </c>
      <c r="O842" s="475" t="s">
        <v>1155</v>
      </c>
      <c r="P842" s="475" t="s">
        <v>1155</v>
      </c>
      <c r="Q842" s="428" t="s">
        <v>1155</v>
      </c>
      <c r="R842" s="428" t="s">
        <v>7374</v>
      </c>
      <c r="S842" s="428" t="s">
        <v>650</v>
      </c>
      <c r="T842" s="394">
        <v>1</v>
      </c>
      <c r="U842" s="395">
        <v>452.31599999999997</v>
      </c>
      <c r="V842" s="395"/>
      <c r="W842" s="453"/>
      <c r="X842" s="394"/>
      <c r="Y842" s="394">
        <v>10</v>
      </c>
      <c r="Z842" s="394">
        <v>20</v>
      </c>
      <c r="AA842" s="395">
        <v>0</v>
      </c>
      <c r="AB842" s="452">
        <v>42824</v>
      </c>
      <c r="AC842" s="398">
        <v>0</v>
      </c>
      <c r="AD842" s="398">
        <v>4523.16</v>
      </c>
      <c r="AE842" s="475" t="s">
        <v>787</v>
      </c>
      <c r="AF842" s="417"/>
      <c r="AG842" s="417"/>
      <c r="AH842" s="417"/>
      <c r="AI842" s="394"/>
      <c r="AJ842" s="453"/>
      <c r="AK842" s="453"/>
      <c r="AL842" s="393"/>
      <c r="AM842" s="393"/>
      <c r="AN842" s="417"/>
      <c r="AO842" s="392"/>
      <c r="AP842" s="428"/>
      <c r="AQ842" s="428"/>
      <c r="AR842" s="428" t="s">
        <v>788</v>
      </c>
      <c r="AS842" s="479">
        <v>40842</v>
      </c>
      <c r="AT842" s="453"/>
      <c r="AU842" s="453"/>
      <c r="AV842" s="453"/>
      <c r="AW842" s="453"/>
      <c r="AX842" s="453"/>
      <c r="AY842" s="453"/>
      <c r="AZ842" s="452">
        <v>42334</v>
      </c>
      <c r="BA842" s="393"/>
      <c r="BB842" s="393"/>
      <c r="BC842" s="393" t="b">
        <v>1</v>
      </c>
      <c r="BD842" s="393"/>
      <c r="BE842" s="392"/>
      <c r="BF842" s="394">
        <v>5</v>
      </c>
      <c r="BG842" s="394">
        <v>11</v>
      </c>
      <c r="BH842" s="394">
        <v>4</v>
      </c>
      <c r="BI842" s="394">
        <v>7</v>
      </c>
      <c r="BJ842" s="394">
        <v>9</v>
      </c>
      <c r="BK842" s="394"/>
      <c r="BL842" s="477">
        <v>0</v>
      </c>
      <c r="BM842" s="392" t="s">
        <v>3287</v>
      </c>
      <c r="BN842" s="393" t="s">
        <v>3288</v>
      </c>
      <c r="BO842" s="393"/>
      <c r="BP842" s="399"/>
      <c r="BQ842" s="400"/>
      <c r="BR842" s="401"/>
      <c r="BS842" s="399">
        <v>140.30000000000001</v>
      </c>
      <c r="BT842" s="394">
        <v>461500</v>
      </c>
      <c r="BU842" s="417"/>
      <c r="BV842" s="399"/>
      <c r="BW842" s="475" t="s">
        <v>3117</v>
      </c>
      <c r="BX842" s="428" t="s">
        <v>1449</v>
      </c>
      <c r="BY842" s="393"/>
      <c r="BZ842" s="393"/>
      <c r="CA842" s="441"/>
      <c r="CB842" s="400"/>
      <c r="CC842" s="398"/>
      <c r="CD842" s="398"/>
      <c r="CE842" s="398"/>
      <c r="CF842" s="398"/>
      <c r="CG842" s="398"/>
      <c r="CH842" s="398"/>
      <c r="CI842" s="398"/>
      <c r="CJ842" s="398"/>
      <c r="CK842" s="398"/>
      <c r="CL842" s="398"/>
      <c r="CM842" s="398">
        <v>452.31599999999997</v>
      </c>
      <c r="CN842" s="398">
        <v>452.31599999999997</v>
      </c>
      <c r="CO842" s="398">
        <v>452.31599999999997</v>
      </c>
      <c r="CP842" s="398">
        <v>452.31599999999997</v>
      </c>
      <c r="CQ842" s="398">
        <v>452.31599999999997</v>
      </c>
      <c r="CR842" s="398">
        <v>452.31599999999997</v>
      </c>
      <c r="CS842" s="398">
        <v>452.31599999999997</v>
      </c>
      <c r="CT842" s="398">
        <v>452.31599999999997</v>
      </c>
      <c r="CU842" s="398">
        <v>452.31599999999997</v>
      </c>
      <c r="CV842" s="398">
        <v>452.31599999999997</v>
      </c>
      <c r="CW842" s="398"/>
      <c r="CX842" s="398"/>
      <c r="CY842" s="398"/>
      <c r="CZ842" s="398"/>
      <c r="DA842" s="398"/>
      <c r="DB842" s="398"/>
      <c r="DC842" s="398"/>
      <c r="DD842" s="398"/>
      <c r="DE842" s="393"/>
      <c r="DF842" s="393"/>
      <c r="DG842" s="393"/>
      <c r="DH842" s="393"/>
      <c r="DI842" s="393"/>
      <c r="DJ842" s="393"/>
      <c r="DK842" s="897"/>
    </row>
    <row r="843" spans="1:115" ht="25.5" x14ac:dyDescent="0.2">
      <c r="A843" s="295">
        <v>839</v>
      </c>
      <c r="B843" s="390" t="s">
        <v>7362</v>
      </c>
      <c r="C843" s="390"/>
      <c r="D843" s="391" t="s">
        <v>7366</v>
      </c>
      <c r="E843" s="705" t="s">
        <v>7370</v>
      </c>
      <c r="F843" s="475" t="s">
        <v>1375</v>
      </c>
      <c r="G843" s="475" t="s">
        <v>1361</v>
      </c>
      <c r="H843" s="475" t="s">
        <v>137</v>
      </c>
      <c r="I843" s="392"/>
      <c r="J843" s="392"/>
      <c r="K843" s="428" t="s">
        <v>534</v>
      </c>
      <c r="L843" s="428" t="s">
        <v>1179</v>
      </c>
      <c r="M843" s="392"/>
      <c r="N843" s="393" t="s">
        <v>44</v>
      </c>
      <c r="O843" s="475" t="s">
        <v>1155</v>
      </c>
      <c r="P843" s="475" t="s">
        <v>1155</v>
      </c>
      <c r="Q843" s="428" t="s">
        <v>1155</v>
      </c>
      <c r="R843" s="428" t="s">
        <v>7375</v>
      </c>
      <c r="S843" s="428" t="s">
        <v>650</v>
      </c>
      <c r="T843" s="394">
        <v>1</v>
      </c>
      <c r="U843" s="395">
        <v>352.654</v>
      </c>
      <c r="V843" s="395"/>
      <c r="W843" s="453"/>
      <c r="X843" s="394"/>
      <c r="Y843" s="394">
        <v>10</v>
      </c>
      <c r="Z843" s="394">
        <v>20</v>
      </c>
      <c r="AA843" s="395">
        <v>0</v>
      </c>
      <c r="AB843" s="452">
        <v>42551</v>
      </c>
      <c r="AC843" s="398">
        <v>0</v>
      </c>
      <c r="AD843" s="398">
        <v>3526.54</v>
      </c>
      <c r="AE843" s="475" t="s">
        <v>787</v>
      </c>
      <c r="AF843" s="417"/>
      <c r="AG843" s="417"/>
      <c r="AH843" s="417"/>
      <c r="AI843" s="394"/>
      <c r="AJ843" s="453"/>
      <c r="AK843" s="453"/>
      <c r="AL843" s="393"/>
      <c r="AM843" s="393"/>
      <c r="AN843" s="417"/>
      <c r="AO843" s="392"/>
      <c r="AP843" s="428"/>
      <c r="AQ843" s="428"/>
      <c r="AR843" s="428" t="s">
        <v>788</v>
      </c>
      <c r="AS843" s="479">
        <v>40842</v>
      </c>
      <c r="AT843" s="453"/>
      <c r="AU843" s="453"/>
      <c r="AV843" s="453"/>
      <c r="AW843" s="453"/>
      <c r="AX843" s="453"/>
      <c r="AY843" s="453"/>
      <c r="AZ843" s="452">
        <v>42334</v>
      </c>
      <c r="BA843" s="393"/>
      <c r="BB843" s="393"/>
      <c r="BC843" s="393" t="b">
        <v>1</v>
      </c>
      <c r="BD843" s="393"/>
      <c r="BE843" s="392"/>
      <c r="BF843" s="394">
        <v>5</v>
      </c>
      <c r="BG843" s="394">
        <v>11</v>
      </c>
      <c r="BH843" s="394">
        <v>4</v>
      </c>
      <c r="BI843" s="394">
        <v>7</v>
      </c>
      <c r="BJ843" s="394">
        <v>9</v>
      </c>
      <c r="BK843" s="394"/>
      <c r="BL843" s="477">
        <v>0</v>
      </c>
      <c r="BM843" s="392"/>
      <c r="BN843" s="393"/>
      <c r="BO843" s="393"/>
      <c r="BP843" s="399"/>
      <c r="BQ843" s="400"/>
      <c r="BR843" s="401"/>
      <c r="BS843" s="399">
        <v>88</v>
      </c>
      <c r="BT843" s="394">
        <v>238800</v>
      </c>
      <c r="BU843" s="417"/>
      <c r="BV843" s="399"/>
      <c r="BW843" s="475" t="s">
        <v>3117</v>
      </c>
      <c r="BX843" s="428" t="s">
        <v>1449</v>
      </c>
      <c r="BY843" s="393"/>
      <c r="BZ843" s="393"/>
      <c r="CA843" s="441"/>
      <c r="CB843" s="400"/>
      <c r="CC843" s="398"/>
      <c r="CD843" s="398"/>
      <c r="CE843" s="398"/>
      <c r="CF843" s="398"/>
      <c r="CG843" s="398"/>
      <c r="CH843" s="398"/>
      <c r="CI843" s="398"/>
      <c r="CJ843" s="398"/>
      <c r="CK843" s="398"/>
      <c r="CL843" s="398">
        <v>234.047</v>
      </c>
      <c r="CM843" s="398">
        <v>234.047</v>
      </c>
      <c r="CN843" s="398">
        <v>234.047</v>
      </c>
      <c r="CO843" s="398">
        <v>234.047</v>
      </c>
      <c r="CP843" s="398">
        <v>234.047</v>
      </c>
      <c r="CQ843" s="398">
        <v>234.047</v>
      </c>
      <c r="CR843" s="398">
        <v>234.047</v>
      </c>
      <c r="CS843" s="398">
        <v>234.047</v>
      </c>
      <c r="CT843" s="398">
        <v>234.047</v>
      </c>
      <c r="CU843" s="398">
        <v>234.047</v>
      </c>
      <c r="CV843" s="398"/>
      <c r="CW843" s="398"/>
      <c r="CX843" s="398"/>
      <c r="CY843" s="398"/>
      <c r="CZ843" s="398"/>
      <c r="DA843" s="398"/>
      <c r="DB843" s="398"/>
      <c r="DC843" s="398"/>
      <c r="DD843" s="398"/>
      <c r="DE843" s="393"/>
      <c r="DF843" s="393"/>
      <c r="DG843" s="393"/>
      <c r="DH843" s="393"/>
      <c r="DI843" s="393"/>
      <c r="DJ843" s="393"/>
      <c r="DK843" s="897"/>
    </row>
    <row r="844" spans="1:115" ht="25.5" x14ac:dyDescent="0.2">
      <c r="A844" s="295">
        <v>840</v>
      </c>
      <c r="B844" s="390" t="s">
        <v>7363</v>
      </c>
      <c r="C844" s="390"/>
      <c r="D844" s="391" t="s">
        <v>7367</v>
      </c>
      <c r="E844" s="705" t="s">
        <v>7371</v>
      </c>
      <c r="F844" s="475" t="s">
        <v>1375</v>
      </c>
      <c r="G844" s="475" t="s">
        <v>1361</v>
      </c>
      <c r="H844" s="475" t="s">
        <v>137</v>
      </c>
      <c r="I844" s="392"/>
      <c r="J844" s="392"/>
      <c r="K844" s="428" t="s">
        <v>642</v>
      </c>
      <c r="L844" s="428" t="s">
        <v>1179</v>
      </c>
      <c r="M844" s="392"/>
      <c r="N844" s="393" t="s">
        <v>44</v>
      </c>
      <c r="O844" s="475" t="s">
        <v>1155</v>
      </c>
      <c r="P844" s="475" t="s">
        <v>1155</v>
      </c>
      <c r="Q844" s="428" t="s">
        <v>1155</v>
      </c>
      <c r="R844" s="428" t="s">
        <v>7376</v>
      </c>
      <c r="S844" s="428" t="s">
        <v>650</v>
      </c>
      <c r="T844" s="394">
        <v>1</v>
      </c>
      <c r="U844" s="395">
        <v>246.20099999999999</v>
      </c>
      <c r="V844" s="395"/>
      <c r="W844" s="453"/>
      <c r="X844" s="394"/>
      <c r="Y844" s="394">
        <v>10</v>
      </c>
      <c r="Z844" s="394">
        <v>20</v>
      </c>
      <c r="AA844" s="395">
        <v>0</v>
      </c>
      <c r="AB844" s="452">
        <v>42335</v>
      </c>
      <c r="AC844" s="398">
        <v>0</v>
      </c>
      <c r="AD844" s="398">
        <v>2462.0099999999998</v>
      </c>
      <c r="AE844" s="475" t="s">
        <v>787</v>
      </c>
      <c r="AF844" s="417"/>
      <c r="AG844" s="417"/>
      <c r="AH844" s="417"/>
      <c r="AI844" s="394"/>
      <c r="AJ844" s="453"/>
      <c r="AK844" s="453"/>
      <c r="AL844" s="393"/>
      <c r="AM844" s="393"/>
      <c r="AN844" s="417"/>
      <c r="AO844" s="392"/>
      <c r="AP844" s="428"/>
      <c r="AQ844" s="428"/>
      <c r="AR844" s="428" t="s">
        <v>788</v>
      </c>
      <c r="AS844" s="479">
        <v>40842</v>
      </c>
      <c r="AT844" s="453"/>
      <c r="AU844" s="453"/>
      <c r="AV844" s="453"/>
      <c r="AW844" s="453"/>
      <c r="AX844" s="453"/>
      <c r="AY844" s="453"/>
      <c r="AZ844" s="452">
        <v>42334</v>
      </c>
      <c r="BA844" s="393"/>
      <c r="BB844" s="393"/>
      <c r="BC844" s="393" t="b">
        <v>1</v>
      </c>
      <c r="BD844" s="393"/>
      <c r="BE844" s="392"/>
      <c r="BF844" s="394">
        <v>5</v>
      </c>
      <c r="BG844" s="394">
        <v>11</v>
      </c>
      <c r="BH844" s="394">
        <v>4</v>
      </c>
      <c r="BI844" s="394">
        <v>7</v>
      </c>
      <c r="BJ844" s="394">
        <v>9</v>
      </c>
      <c r="BK844" s="394"/>
      <c r="BL844" s="444" t="s">
        <v>6982</v>
      </c>
      <c r="BM844" s="392" t="s">
        <v>3287</v>
      </c>
      <c r="BN844" s="393" t="s">
        <v>3288</v>
      </c>
      <c r="BO844" s="393"/>
      <c r="BP844" s="399"/>
      <c r="BQ844" s="400"/>
      <c r="BR844" s="401"/>
      <c r="BS844" s="399">
        <v>79.05</v>
      </c>
      <c r="BT844" s="394">
        <v>251200</v>
      </c>
      <c r="BU844" s="417"/>
      <c r="BV844" s="399"/>
      <c r="BW844" s="475" t="s">
        <v>3117</v>
      </c>
      <c r="BX844" s="428" t="s">
        <v>1449</v>
      </c>
      <c r="BY844" s="393"/>
      <c r="BZ844" s="393"/>
      <c r="CA844" s="441"/>
      <c r="CB844" s="400"/>
      <c r="CC844" s="398"/>
      <c r="CD844" s="398"/>
      <c r="CE844" s="398"/>
      <c r="CF844" s="398"/>
      <c r="CG844" s="398"/>
      <c r="CH844" s="398"/>
      <c r="CI844" s="398"/>
      <c r="CJ844" s="398"/>
      <c r="CK844" s="398">
        <v>246.20099999999999</v>
      </c>
      <c r="CL844" s="398">
        <v>246.20099999999999</v>
      </c>
      <c r="CM844" s="398">
        <v>246.20099999999999</v>
      </c>
      <c r="CN844" s="398">
        <v>246.20099999999999</v>
      </c>
      <c r="CO844" s="398">
        <v>246.20099999999999</v>
      </c>
      <c r="CP844" s="398">
        <v>246.20099999999999</v>
      </c>
      <c r="CQ844" s="398">
        <v>246.20099999999999</v>
      </c>
      <c r="CR844" s="398">
        <v>246.20099999999999</v>
      </c>
      <c r="CS844" s="398">
        <v>246.20099999999999</v>
      </c>
      <c r="CT844" s="398">
        <v>246.20099999999999</v>
      </c>
      <c r="CU844" s="398"/>
      <c r="CV844" s="398"/>
      <c r="CW844" s="398"/>
      <c r="CX844" s="398"/>
      <c r="CY844" s="398"/>
      <c r="CZ844" s="398"/>
      <c r="DA844" s="398"/>
      <c r="DB844" s="398"/>
      <c r="DC844" s="398"/>
      <c r="DD844" s="398"/>
      <c r="DE844" s="393"/>
      <c r="DF844" s="393"/>
      <c r="DG844" s="393"/>
      <c r="DH844" s="393"/>
      <c r="DI844" s="393"/>
      <c r="DJ844" s="393"/>
      <c r="DK844" s="897"/>
    </row>
    <row r="845" spans="1:115" ht="38.25" x14ac:dyDescent="0.2">
      <c r="A845" s="295">
        <v>841</v>
      </c>
      <c r="B845" s="390" t="s">
        <v>1156</v>
      </c>
      <c r="C845" s="424" t="s">
        <v>7580</v>
      </c>
      <c r="D845" s="391" t="s">
        <v>5122</v>
      </c>
      <c r="E845" s="704" t="s">
        <v>4245</v>
      </c>
      <c r="F845" s="393" t="s">
        <v>1340</v>
      </c>
      <c r="G845" s="393" t="s">
        <v>1677</v>
      </c>
      <c r="H845" s="393" t="s">
        <v>151</v>
      </c>
      <c r="I845" s="392"/>
      <c r="J845" s="392" t="s">
        <v>151</v>
      </c>
      <c r="K845" s="392"/>
      <c r="L845" s="392" t="s">
        <v>654</v>
      </c>
      <c r="M845" s="392" t="s">
        <v>3271</v>
      </c>
      <c r="N845" s="393" t="s">
        <v>44</v>
      </c>
      <c r="O845" s="393" t="s">
        <v>1155</v>
      </c>
      <c r="P845" s="393" t="s">
        <v>1155</v>
      </c>
      <c r="Q845" s="392" t="s">
        <v>1155</v>
      </c>
      <c r="R845" s="392"/>
      <c r="S845" s="392" t="s">
        <v>650</v>
      </c>
      <c r="T845" s="394">
        <v>2</v>
      </c>
      <c r="U845" s="395">
        <v>556.01400000000001</v>
      </c>
      <c r="V845" s="395"/>
      <c r="W845" s="452">
        <v>40843</v>
      </c>
      <c r="X845" s="394">
        <v>28</v>
      </c>
      <c r="Y845" s="394"/>
      <c r="Z845" s="394"/>
      <c r="AA845" s="395"/>
      <c r="AB845" s="453"/>
      <c r="AC845" s="398">
        <v>0</v>
      </c>
      <c r="AD845" s="398">
        <v>2009.9389561643834</v>
      </c>
      <c r="AE845" s="393" t="s">
        <v>72</v>
      </c>
      <c r="AF845" s="417"/>
      <c r="AG845" s="417"/>
      <c r="AH845" s="417">
        <v>0</v>
      </c>
      <c r="AI845" s="394"/>
      <c r="AJ845" s="453"/>
      <c r="AK845" s="453"/>
      <c r="AL845" s="393"/>
      <c r="AM845" s="393"/>
      <c r="AN845" s="417"/>
      <c r="AO845" s="392"/>
      <c r="AP845" s="428" t="s">
        <v>8091</v>
      </c>
      <c r="AQ845" s="392"/>
      <c r="AR845" s="392" t="s">
        <v>5664</v>
      </c>
      <c r="AS845" s="479">
        <v>40843</v>
      </c>
      <c r="AT845" s="453"/>
      <c r="AU845" s="453"/>
      <c r="AV845" s="452">
        <v>41129</v>
      </c>
      <c r="AW845" s="452">
        <v>41152</v>
      </c>
      <c r="AX845" s="452">
        <v>41220</v>
      </c>
      <c r="AY845" s="452">
        <v>41152</v>
      </c>
      <c r="AZ845" s="453"/>
      <c r="BA845" s="393"/>
      <c r="BB845" s="393" t="s">
        <v>3147</v>
      </c>
      <c r="BC845" s="393" t="b">
        <v>1</v>
      </c>
      <c r="BD845" s="393" t="s">
        <v>3116</v>
      </c>
      <c r="BE845" s="392"/>
      <c r="BF845" s="394">
        <v>1</v>
      </c>
      <c r="BG845" s="394">
        <v>5</v>
      </c>
      <c r="BH845" s="394">
        <v>10</v>
      </c>
      <c r="BI845" s="394">
        <v>9</v>
      </c>
      <c r="BJ845" s="394"/>
      <c r="BK845" s="394"/>
      <c r="BL845" s="444"/>
      <c r="BM845" s="392"/>
      <c r="BN845" s="393"/>
      <c r="BO845" s="393"/>
      <c r="BP845" s="399"/>
      <c r="BQ845" s="400"/>
      <c r="BR845" s="401"/>
      <c r="BS845" s="399">
        <v>229.8</v>
      </c>
      <c r="BT845" s="394"/>
      <c r="BU845" s="417"/>
      <c r="BV845" s="399"/>
      <c r="BW845" s="393"/>
      <c r="BX845" s="392"/>
      <c r="BY845" s="393"/>
      <c r="BZ845" s="393"/>
      <c r="CA845" s="441"/>
      <c r="CB845" s="400"/>
      <c r="CC845" s="398"/>
      <c r="CD845" s="398"/>
      <c r="CE845" s="398"/>
      <c r="CF845" s="398"/>
      <c r="CG845" s="398"/>
      <c r="CH845" s="398"/>
      <c r="CI845" s="398"/>
      <c r="CJ845" s="398"/>
      <c r="CK845" s="398"/>
      <c r="CL845" s="398"/>
      <c r="CM845" s="398"/>
      <c r="CN845" s="398"/>
      <c r="CO845" s="398"/>
      <c r="CP845" s="398"/>
      <c r="CQ845" s="398"/>
      <c r="CR845" s="398"/>
      <c r="CS845" s="398"/>
      <c r="CT845" s="398"/>
      <c r="CU845" s="398"/>
      <c r="CV845" s="398"/>
      <c r="CW845" s="398"/>
      <c r="CX845" s="398"/>
      <c r="CY845" s="398"/>
      <c r="CZ845" s="398"/>
      <c r="DA845" s="398"/>
      <c r="DB845" s="398"/>
      <c r="DC845" s="398"/>
      <c r="DD845" s="398"/>
      <c r="DE845" s="393"/>
      <c r="DF845" s="393"/>
      <c r="DG845" s="393"/>
      <c r="DH845" s="393"/>
      <c r="DI845" s="393"/>
      <c r="DJ845" s="393"/>
      <c r="DK845" s="896" t="s">
        <v>9733</v>
      </c>
    </row>
    <row r="846" spans="1:115" ht="25.5" x14ac:dyDescent="0.2">
      <c r="A846" s="295">
        <v>842</v>
      </c>
      <c r="B846" s="390" t="s">
        <v>2752</v>
      </c>
      <c r="C846" s="390"/>
      <c r="D846" s="391" t="s">
        <v>4246</v>
      </c>
      <c r="E846" s="704" t="s">
        <v>1157</v>
      </c>
      <c r="F846" s="393" t="s">
        <v>1340</v>
      </c>
      <c r="G846" s="393" t="s">
        <v>1677</v>
      </c>
      <c r="H846" s="393" t="s">
        <v>151</v>
      </c>
      <c r="I846" s="392"/>
      <c r="J846" s="392"/>
      <c r="K846" s="392" t="s">
        <v>405</v>
      </c>
      <c r="L846" s="392" t="s">
        <v>654</v>
      </c>
      <c r="M846" s="392"/>
      <c r="N846" s="393" t="s">
        <v>44</v>
      </c>
      <c r="O846" s="393" t="s">
        <v>1155</v>
      </c>
      <c r="P846" s="393" t="s">
        <v>1155</v>
      </c>
      <c r="Q846" s="392" t="s">
        <v>1155</v>
      </c>
      <c r="R846" s="392" t="s">
        <v>3289</v>
      </c>
      <c r="S846" s="392" t="s">
        <v>650</v>
      </c>
      <c r="T846" s="394">
        <v>1</v>
      </c>
      <c r="U846" s="395">
        <v>11.228999999999999</v>
      </c>
      <c r="V846" s="395"/>
      <c r="W846" s="453"/>
      <c r="X846" s="394"/>
      <c r="Y846" s="394">
        <v>7</v>
      </c>
      <c r="Z846" s="394">
        <v>20</v>
      </c>
      <c r="AA846" s="395">
        <v>0</v>
      </c>
      <c r="AB846" s="452">
        <v>42370</v>
      </c>
      <c r="AC846" s="398">
        <v>0</v>
      </c>
      <c r="AD846" s="398">
        <v>56.175764383561642</v>
      </c>
      <c r="AE846" s="393" t="s">
        <v>72</v>
      </c>
      <c r="AF846" s="417"/>
      <c r="AG846" s="417"/>
      <c r="AH846" s="417"/>
      <c r="AI846" s="394"/>
      <c r="AJ846" s="453"/>
      <c r="AK846" s="453"/>
      <c r="AL846" s="393"/>
      <c r="AM846" s="393"/>
      <c r="AN846" s="417"/>
      <c r="AO846" s="392"/>
      <c r="AP846" s="428" t="s">
        <v>8091</v>
      </c>
      <c r="AQ846" s="392"/>
      <c r="AR846" s="392" t="s">
        <v>5664</v>
      </c>
      <c r="AS846" s="479">
        <v>40843</v>
      </c>
      <c r="AT846" s="453"/>
      <c r="AU846" s="453"/>
      <c r="AV846" s="453"/>
      <c r="AW846" s="453"/>
      <c r="AX846" s="453"/>
      <c r="AY846" s="453"/>
      <c r="AZ846" s="452">
        <v>41152</v>
      </c>
      <c r="BA846" s="393"/>
      <c r="BB846" s="393"/>
      <c r="BC846" s="393" t="b">
        <v>0</v>
      </c>
      <c r="BD846" s="393"/>
      <c r="BE846" s="392"/>
      <c r="BF846" s="394">
        <v>1</v>
      </c>
      <c r="BG846" s="394">
        <v>5</v>
      </c>
      <c r="BH846" s="394">
        <v>10</v>
      </c>
      <c r="BI846" s="394">
        <v>9</v>
      </c>
      <c r="BJ846" s="394"/>
      <c r="BK846" s="394"/>
      <c r="BL846" s="444" t="s">
        <v>6981</v>
      </c>
      <c r="BM846" s="392"/>
      <c r="BN846" s="393"/>
      <c r="BO846" s="393"/>
      <c r="BP846" s="399"/>
      <c r="BQ846" s="400"/>
      <c r="BR846" s="401"/>
      <c r="BS846" s="399">
        <v>9</v>
      </c>
      <c r="BT846" s="394">
        <v>28606</v>
      </c>
      <c r="BU846" s="417">
        <v>0.18865000000000001</v>
      </c>
      <c r="BV846" s="399"/>
      <c r="BW846" s="393" t="s">
        <v>3117</v>
      </c>
      <c r="BX846" s="392"/>
      <c r="BY846" s="393"/>
      <c r="BZ846" s="393"/>
      <c r="CA846" s="441" t="s">
        <v>1662</v>
      </c>
      <c r="CB846" s="400">
        <v>3</v>
      </c>
      <c r="CC846" s="398"/>
      <c r="CD846" s="398"/>
      <c r="CE846" s="398"/>
      <c r="CF846" s="398"/>
      <c r="CG846" s="398"/>
      <c r="CH846" s="398"/>
      <c r="CI846" s="398"/>
      <c r="CJ846" s="398"/>
      <c r="CK846" s="398">
        <v>3.734</v>
      </c>
      <c r="CL846" s="398">
        <v>6.4290000000000003</v>
      </c>
      <c r="CM846" s="398">
        <v>6.4290000000000003</v>
      </c>
      <c r="CN846" s="398">
        <v>6.4290000000000003</v>
      </c>
      <c r="CO846" s="398">
        <v>6.4290000000000003</v>
      </c>
      <c r="CP846" s="398">
        <v>6.4290000000000003</v>
      </c>
      <c r="CQ846" s="398">
        <v>6.4290000000000003</v>
      </c>
      <c r="CR846" s="398">
        <v>2.6949999999999998</v>
      </c>
      <c r="CS846" s="398"/>
      <c r="CT846" s="398"/>
      <c r="CU846" s="398"/>
      <c r="CV846" s="398"/>
      <c r="CW846" s="398"/>
      <c r="CX846" s="398"/>
      <c r="CY846" s="398"/>
      <c r="CZ846" s="398"/>
      <c r="DA846" s="398"/>
      <c r="DB846" s="398"/>
      <c r="DC846" s="398"/>
      <c r="DD846" s="398"/>
      <c r="DE846" s="393"/>
      <c r="DF846" s="393"/>
      <c r="DG846" s="393"/>
      <c r="DH846" s="393"/>
      <c r="DI846" s="393"/>
      <c r="DJ846" s="393"/>
      <c r="DK846" s="897"/>
    </row>
    <row r="847" spans="1:115" ht="25.5" x14ac:dyDescent="0.2">
      <c r="A847" s="295">
        <v>843</v>
      </c>
      <c r="B847" s="390" t="s">
        <v>9008</v>
      </c>
      <c r="C847" s="390"/>
      <c r="D847" s="391" t="s">
        <v>9009</v>
      </c>
      <c r="E847" s="705" t="s">
        <v>9010</v>
      </c>
      <c r="F847" s="393" t="s">
        <v>1340</v>
      </c>
      <c r="G847" s="393" t="s">
        <v>1677</v>
      </c>
      <c r="H847" s="393" t="s">
        <v>151</v>
      </c>
      <c r="I847" s="392"/>
      <c r="J847" s="392"/>
      <c r="K847" s="428" t="s">
        <v>9011</v>
      </c>
      <c r="L847" s="428" t="s">
        <v>654</v>
      </c>
      <c r="M847" s="392"/>
      <c r="N847" s="475" t="s">
        <v>44</v>
      </c>
      <c r="O847" s="393" t="s">
        <v>1155</v>
      </c>
      <c r="P847" s="393" t="s">
        <v>1155</v>
      </c>
      <c r="Q847" s="392" t="s">
        <v>1155</v>
      </c>
      <c r="R847" s="428" t="s">
        <v>9012</v>
      </c>
      <c r="S847" s="428" t="s">
        <v>650</v>
      </c>
      <c r="T847" s="394">
        <v>1</v>
      </c>
      <c r="U847" s="395">
        <v>544.78499999999997</v>
      </c>
      <c r="V847" s="395"/>
      <c r="W847" s="453"/>
      <c r="X847" s="394"/>
      <c r="Y847" s="394">
        <v>7</v>
      </c>
      <c r="Z847" s="394">
        <v>20</v>
      </c>
      <c r="AA847" s="395">
        <v>0</v>
      </c>
      <c r="AB847" s="452">
        <v>42887</v>
      </c>
      <c r="AC847" s="398">
        <v>0</v>
      </c>
      <c r="AD847" s="398">
        <v>1953.7631917808217</v>
      </c>
      <c r="AE847" s="475" t="s">
        <v>72</v>
      </c>
      <c r="AF847" s="417"/>
      <c r="AG847" s="417"/>
      <c r="AH847" s="417"/>
      <c r="AI847" s="394"/>
      <c r="AJ847" s="453"/>
      <c r="AK847" s="453"/>
      <c r="AL847" s="393"/>
      <c r="AM847" s="393"/>
      <c r="AN847" s="417"/>
      <c r="AO847" s="392"/>
      <c r="AP847" s="428" t="s">
        <v>8091</v>
      </c>
      <c r="AQ847" s="392"/>
      <c r="AR847" s="428" t="s">
        <v>5664</v>
      </c>
      <c r="AS847" s="479">
        <v>40843</v>
      </c>
      <c r="AT847" s="453"/>
      <c r="AU847" s="453"/>
      <c r="AV847" s="453"/>
      <c r="AW847" s="453"/>
      <c r="AX847" s="453"/>
      <c r="AY847" s="453"/>
      <c r="AZ847" s="452">
        <v>42844</v>
      </c>
      <c r="BA847" s="393"/>
      <c r="BB847" s="393"/>
      <c r="BC847" s="393" t="b">
        <v>0</v>
      </c>
      <c r="BD847" s="393"/>
      <c r="BE847" s="392"/>
      <c r="BF847" s="394">
        <v>1</v>
      </c>
      <c r="BG847" s="394">
        <v>5</v>
      </c>
      <c r="BH847" s="394">
        <v>10</v>
      </c>
      <c r="BI847" s="394">
        <v>9</v>
      </c>
      <c r="BJ847" s="394"/>
      <c r="BK847" s="394"/>
      <c r="BL847" s="444" t="s">
        <v>6981</v>
      </c>
      <c r="BM847" s="392"/>
      <c r="BN847" s="393"/>
      <c r="BO847" s="393"/>
      <c r="BP847" s="399"/>
      <c r="BQ847" s="400"/>
      <c r="BR847" s="401"/>
      <c r="BS847" s="399">
        <v>220.8</v>
      </c>
      <c r="BT847" s="394">
        <f>1150363</f>
        <v>1150363</v>
      </c>
      <c r="BU847" s="417">
        <v>0.48233100000000001</v>
      </c>
      <c r="BV847" s="399"/>
      <c r="BW847" s="475" t="s">
        <v>3117</v>
      </c>
      <c r="BX847" s="392"/>
      <c r="BY847" s="393"/>
      <c r="BZ847" s="393"/>
      <c r="CA847" s="476" t="s">
        <v>1662</v>
      </c>
      <c r="CB847" s="400"/>
      <c r="CC847" s="398"/>
      <c r="CD847" s="398"/>
      <c r="CE847" s="398"/>
      <c r="CF847" s="398"/>
      <c r="CG847" s="398"/>
      <c r="CH847" s="398"/>
      <c r="CI847" s="398"/>
      <c r="CJ847" s="398"/>
      <c r="CK847" s="398"/>
      <c r="CL847" s="398"/>
      <c r="CM847" s="398">
        <v>253.16900000000001</v>
      </c>
      <c r="CN847" s="398">
        <v>554.85599999999999</v>
      </c>
      <c r="CO847" s="398">
        <v>554.85599999999999</v>
      </c>
      <c r="CP847" s="398">
        <v>554.85599999999999</v>
      </c>
      <c r="CQ847" s="398">
        <v>554.85599999999999</v>
      </c>
      <c r="CR847" s="398">
        <v>554.85599999999999</v>
      </c>
      <c r="CS847" s="398">
        <v>554.85599999999999</v>
      </c>
      <c r="CT847" s="398">
        <v>231.19</v>
      </c>
      <c r="CU847" s="398"/>
      <c r="CV847" s="398"/>
      <c r="CW847" s="398"/>
      <c r="CX847" s="398"/>
      <c r="CY847" s="398"/>
      <c r="CZ847" s="398"/>
      <c r="DA847" s="398"/>
      <c r="DB847" s="398"/>
      <c r="DC847" s="398"/>
      <c r="DD847" s="398"/>
      <c r="DE847" s="393"/>
      <c r="DF847" s="393"/>
      <c r="DG847" s="393"/>
      <c r="DH847" s="393"/>
      <c r="DI847" s="393"/>
      <c r="DJ847" s="393"/>
      <c r="DK847" s="897"/>
    </row>
    <row r="848" spans="1:115" ht="38.25" x14ac:dyDescent="0.2">
      <c r="A848" s="295">
        <v>844</v>
      </c>
      <c r="B848" s="390" t="s">
        <v>1158</v>
      </c>
      <c r="C848" s="424" t="s">
        <v>7581</v>
      </c>
      <c r="D848" s="391" t="s">
        <v>5123</v>
      </c>
      <c r="E848" s="709" t="s">
        <v>1159</v>
      </c>
      <c r="F848" s="393" t="s">
        <v>1340</v>
      </c>
      <c r="G848" s="393" t="s">
        <v>1677</v>
      </c>
      <c r="H848" s="393" t="s">
        <v>151</v>
      </c>
      <c r="I848" s="563"/>
      <c r="J848" s="563" t="s">
        <v>151</v>
      </c>
      <c r="K848" s="563"/>
      <c r="L848" s="563" t="s">
        <v>1160</v>
      </c>
      <c r="M848" s="563" t="s">
        <v>3271</v>
      </c>
      <c r="N848" s="561" t="s">
        <v>44</v>
      </c>
      <c r="O848" s="393" t="s">
        <v>1155</v>
      </c>
      <c r="P848" s="393" t="s">
        <v>1155</v>
      </c>
      <c r="Q848" s="392" t="s">
        <v>1155</v>
      </c>
      <c r="R848" s="392"/>
      <c r="S848" s="392" t="s">
        <v>650</v>
      </c>
      <c r="T848" s="564">
        <v>5</v>
      </c>
      <c r="U848" s="565">
        <v>429.51300000000003</v>
      </c>
      <c r="V848" s="565"/>
      <c r="W848" s="567">
        <v>40845</v>
      </c>
      <c r="X848" s="564">
        <v>28</v>
      </c>
      <c r="Y848" s="564"/>
      <c r="Z848" s="564"/>
      <c r="AA848" s="565"/>
      <c r="AB848" s="566"/>
      <c r="AC848" s="568">
        <v>0</v>
      </c>
      <c r="AD848" s="568">
        <v>2238.6235808219176</v>
      </c>
      <c r="AE848" s="561" t="s">
        <v>72</v>
      </c>
      <c r="AF848" s="569"/>
      <c r="AG848" s="569"/>
      <c r="AH848" s="569">
        <v>0</v>
      </c>
      <c r="AI848" s="564"/>
      <c r="AJ848" s="566"/>
      <c r="AK848" s="566"/>
      <c r="AL848" s="561"/>
      <c r="AM848" s="561"/>
      <c r="AN848" s="569"/>
      <c r="AO848" s="563"/>
      <c r="AP848" s="563" t="s">
        <v>7082</v>
      </c>
      <c r="AQ848" s="563"/>
      <c r="AR848" s="563" t="s">
        <v>5664</v>
      </c>
      <c r="AS848" s="578">
        <v>40845</v>
      </c>
      <c r="AT848" s="566"/>
      <c r="AU848" s="566"/>
      <c r="AV848" s="567">
        <v>41150</v>
      </c>
      <c r="AW848" s="567">
        <v>41165</v>
      </c>
      <c r="AX848" s="567">
        <v>41222</v>
      </c>
      <c r="AY848" s="567">
        <v>41165</v>
      </c>
      <c r="AZ848" s="566"/>
      <c r="BA848" s="561"/>
      <c r="BB848" s="561" t="s">
        <v>3147</v>
      </c>
      <c r="BC848" s="561" t="b">
        <v>1</v>
      </c>
      <c r="BD848" s="561" t="s">
        <v>3116</v>
      </c>
      <c r="BE848" s="563"/>
      <c r="BF848" s="394">
        <v>4</v>
      </c>
      <c r="BG848" s="394">
        <v>9</v>
      </c>
      <c r="BH848" s="394"/>
      <c r="BI848" s="394"/>
      <c r="BJ848" s="394"/>
      <c r="BK848" s="394"/>
      <c r="BL848" s="444"/>
      <c r="BM848" s="563"/>
      <c r="BN848" s="561"/>
      <c r="BO848" s="561"/>
      <c r="BP848" s="571"/>
      <c r="BQ848" s="572"/>
      <c r="BR848" s="573"/>
      <c r="BS848" s="571">
        <v>415.2</v>
      </c>
      <c r="BT848" s="564"/>
      <c r="BU848" s="569"/>
      <c r="BV848" s="571"/>
      <c r="BW848" s="561"/>
      <c r="BX848" s="563"/>
      <c r="BY848" s="561"/>
      <c r="BZ848" s="561"/>
      <c r="CA848" s="574"/>
      <c r="CB848" s="572"/>
      <c r="CC848" s="568"/>
      <c r="CD848" s="568"/>
      <c r="CE848" s="568"/>
      <c r="CF848" s="568"/>
      <c r="CG848" s="568"/>
      <c r="CH848" s="568"/>
      <c r="CI848" s="568"/>
      <c r="CJ848" s="568"/>
      <c r="CK848" s="568"/>
      <c r="CL848" s="568"/>
      <c r="CM848" s="568"/>
      <c r="CN848" s="568"/>
      <c r="CO848" s="568"/>
      <c r="CP848" s="568"/>
      <c r="CQ848" s="568"/>
      <c r="CR848" s="568"/>
      <c r="CS848" s="568"/>
      <c r="CT848" s="568"/>
      <c r="CU848" s="568"/>
      <c r="CV848" s="568"/>
      <c r="CW848" s="568"/>
      <c r="CX848" s="568"/>
      <c r="CY848" s="568"/>
      <c r="CZ848" s="568"/>
      <c r="DA848" s="568"/>
      <c r="DB848" s="568"/>
      <c r="DC848" s="568"/>
      <c r="DD848" s="568"/>
      <c r="DE848" s="561"/>
      <c r="DF848" s="561"/>
      <c r="DG848" s="561"/>
      <c r="DH848" s="561"/>
      <c r="DI848" s="561"/>
      <c r="DJ848" s="561"/>
      <c r="DK848" s="896" t="s">
        <v>9738</v>
      </c>
    </row>
    <row r="849" spans="1:115" ht="25.5" x14ac:dyDescent="0.2">
      <c r="A849" s="295">
        <v>845</v>
      </c>
      <c r="B849" s="390" t="s">
        <v>2753</v>
      </c>
      <c r="C849" s="390"/>
      <c r="D849" s="391" t="s">
        <v>4247</v>
      </c>
      <c r="E849" s="704" t="s">
        <v>1987</v>
      </c>
      <c r="F849" s="393" t="s">
        <v>1340</v>
      </c>
      <c r="G849" s="393" t="s">
        <v>1677</v>
      </c>
      <c r="H849" s="393" t="s">
        <v>151</v>
      </c>
      <c r="I849" s="392"/>
      <c r="J849" s="392"/>
      <c r="K849" s="392" t="s">
        <v>2185</v>
      </c>
      <c r="L849" s="392" t="s">
        <v>1160</v>
      </c>
      <c r="M849" s="392"/>
      <c r="N849" s="393" t="s">
        <v>44</v>
      </c>
      <c r="O849" s="393" t="s">
        <v>1155</v>
      </c>
      <c r="P849" s="393" t="s">
        <v>1155</v>
      </c>
      <c r="Q849" s="392" t="s">
        <v>1155</v>
      </c>
      <c r="R849" s="392" t="s">
        <v>7268</v>
      </c>
      <c r="S849" s="392" t="s">
        <v>650</v>
      </c>
      <c r="T849" s="394">
        <v>1</v>
      </c>
      <c r="U849" s="395">
        <v>21.062999999999999</v>
      </c>
      <c r="V849" s="395"/>
      <c r="W849" s="453"/>
      <c r="X849" s="394"/>
      <c r="Y849" s="394">
        <v>7</v>
      </c>
      <c r="Z849" s="394">
        <v>20</v>
      </c>
      <c r="AA849" s="395">
        <v>0</v>
      </c>
      <c r="AB849" s="452">
        <v>42005</v>
      </c>
      <c r="AC849" s="398">
        <v>0</v>
      </c>
      <c r="AD849" s="398">
        <v>126.43570684931505</v>
      </c>
      <c r="AE849" s="393" t="s">
        <v>72</v>
      </c>
      <c r="AF849" s="417"/>
      <c r="AG849" s="417"/>
      <c r="AH849" s="417"/>
      <c r="AI849" s="394"/>
      <c r="AJ849" s="453"/>
      <c r="AK849" s="453"/>
      <c r="AL849" s="393"/>
      <c r="AM849" s="393"/>
      <c r="AN849" s="417"/>
      <c r="AO849" s="392"/>
      <c r="AP849" s="392" t="s">
        <v>7082</v>
      </c>
      <c r="AQ849" s="392"/>
      <c r="AR849" s="392" t="s">
        <v>5664</v>
      </c>
      <c r="AS849" s="479">
        <v>40845</v>
      </c>
      <c r="AT849" s="453"/>
      <c r="AU849" s="453"/>
      <c r="AV849" s="453"/>
      <c r="AW849" s="453"/>
      <c r="AX849" s="453"/>
      <c r="AY849" s="453"/>
      <c r="AZ849" s="452">
        <v>41165</v>
      </c>
      <c r="BA849" s="393"/>
      <c r="BB849" s="393"/>
      <c r="BC849" s="393" t="b">
        <v>0</v>
      </c>
      <c r="BD849" s="393"/>
      <c r="BE849" s="392"/>
      <c r="BF849" s="394">
        <v>4</v>
      </c>
      <c r="BG849" s="394">
        <v>9</v>
      </c>
      <c r="BH849" s="394"/>
      <c r="BI849" s="394"/>
      <c r="BJ849" s="394"/>
      <c r="BK849" s="394"/>
      <c r="BL849" s="444" t="s">
        <v>6981</v>
      </c>
      <c r="BM849" s="392"/>
      <c r="BN849" s="393"/>
      <c r="BO849" s="393"/>
      <c r="BP849" s="399"/>
      <c r="BQ849" s="400"/>
      <c r="BR849" s="401"/>
      <c r="BS849" s="399">
        <v>25.2</v>
      </c>
      <c r="BT849" s="394">
        <v>80269</v>
      </c>
      <c r="BU849" s="417">
        <v>0.18865000000000001</v>
      </c>
      <c r="BV849" s="399"/>
      <c r="BW849" s="393" t="s">
        <v>3117</v>
      </c>
      <c r="BX849" s="392"/>
      <c r="BY849" s="393"/>
      <c r="BZ849" s="393"/>
      <c r="CA849" s="441" t="s">
        <v>1662</v>
      </c>
      <c r="CB849" s="400">
        <v>3</v>
      </c>
      <c r="CC849" s="398"/>
      <c r="CD849" s="398"/>
      <c r="CE849" s="398"/>
      <c r="CF849" s="398"/>
      <c r="CG849" s="398"/>
      <c r="CH849" s="398"/>
      <c r="CI849" s="398"/>
      <c r="CJ849" s="398">
        <v>7.5620000000000003</v>
      </c>
      <c r="CK849" s="398">
        <v>18.041</v>
      </c>
      <c r="CL849" s="398">
        <v>18.041</v>
      </c>
      <c r="CM849" s="398">
        <v>18.041</v>
      </c>
      <c r="CN849" s="398">
        <v>18.041</v>
      </c>
      <c r="CO849" s="398">
        <v>18.041</v>
      </c>
      <c r="CP849" s="398">
        <v>18.041</v>
      </c>
      <c r="CQ849" s="398">
        <v>10.478999999999999</v>
      </c>
      <c r="CR849" s="398"/>
      <c r="CS849" s="398"/>
      <c r="CT849" s="398"/>
      <c r="CU849" s="398"/>
      <c r="CV849" s="398"/>
      <c r="CW849" s="398"/>
      <c r="CX849" s="398"/>
      <c r="CY849" s="398"/>
      <c r="CZ849" s="398"/>
      <c r="DA849" s="398"/>
      <c r="DB849" s="398"/>
      <c r="DC849" s="398"/>
      <c r="DD849" s="398"/>
      <c r="DE849" s="393"/>
      <c r="DF849" s="393"/>
      <c r="DG849" s="393"/>
      <c r="DH849" s="393"/>
      <c r="DI849" s="393"/>
      <c r="DJ849" s="393"/>
      <c r="DK849" s="897"/>
    </row>
    <row r="850" spans="1:115" ht="25.5" x14ac:dyDescent="0.2">
      <c r="A850" s="295">
        <v>846</v>
      </c>
      <c r="B850" s="390" t="s">
        <v>6128</v>
      </c>
      <c r="C850" s="390"/>
      <c r="D850" s="391" t="s">
        <v>6129</v>
      </c>
      <c r="E850" s="704" t="s">
        <v>6130</v>
      </c>
      <c r="F850" s="393" t="s">
        <v>1340</v>
      </c>
      <c r="G850" s="393" t="s">
        <v>1677</v>
      </c>
      <c r="H850" s="393" t="s">
        <v>151</v>
      </c>
      <c r="I850" s="392"/>
      <c r="J850" s="392"/>
      <c r="K850" s="392" t="s">
        <v>6131</v>
      </c>
      <c r="L850" s="392" t="s">
        <v>1160</v>
      </c>
      <c r="M850" s="392"/>
      <c r="N850" s="393" t="s">
        <v>44</v>
      </c>
      <c r="O850" s="393" t="s">
        <v>1155</v>
      </c>
      <c r="P850" s="393" t="s">
        <v>1155</v>
      </c>
      <c r="Q850" s="392" t="s">
        <v>1155</v>
      </c>
      <c r="R850" s="392" t="s">
        <v>7269</v>
      </c>
      <c r="S850" s="392" t="s">
        <v>650</v>
      </c>
      <c r="T850" s="394">
        <v>1</v>
      </c>
      <c r="U850" s="395">
        <v>71.183999999999997</v>
      </c>
      <c r="V850" s="395"/>
      <c r="W850" s="453"/>
      <c r="X850" s="394"/>
      <c r="Y850" s="394">
        <v>7</v>
      </c>
      <c r="Z850" s="394">
        <v>20</v>
      </c>
      <c r="AA850" s="395">
        <v>0</v>
      </c>
      <c r="AB850" s="452">
        <v>41821</v>
      </c>
      <c r="AC850" s="398">
        <v>0</v>
      </c>
      <c r="AD850" s="398">
        <v>463.18356164383562</v>
      </c>
      <c r="AE850" s="393" t="s">
        <v>72</v>
      </c>
      <c r="AF850" s="417"/>
      <c r="AG850" s="417"/>
      <c r="AH850" s="417"/>
      <c r="AI850" s="394"/>
      <c r="AJ850" s="453"/>
      <c r="AK850" s="453"/>
      <c r="AL850" s="393"/>
      <c r="AM850" s="393"/>
      <c r="AN850" s="417"/>
      <c r="AO850" s="392"/>
      <c r="AP850" s="392" t="s">
        <v>7082</v>
      </c>
      <c r="AQ850" s="392"/>
      <c r="AR850" s="392" t="s">
        <v>5664</v>
      </c>
      <c r="AS850" s="479">
        <v>40845</v>
      </c>
      <c r="AT850" s="453"/>
      <c r="AU850" s="453"/>
      <c r="AV850" s="453"/>
      <c r="AW850" s="453"/>
      <c r="AX850" s="453"/>
      <c r="AY850" s="453"/>
      <c r="AZ850" s="452">
        <v>41807</v>
      </c>
      <c r="BA850" s="393"/>
      <c r="BB850" s="393"/>
      <c r="BC850" s="393" t="b">
        <v>0</v>
      </c>
      <c r="BD850" s="393"/>
      <c r="BE850" s="392"/>
      <c r="BF850" s="394">
        <v>4</v>
      </c>
      <c r="BG850" s="394">
        <v>9</v>
      </c>
      <c r="BH850" s="394"/>
      <c r="BI850" s="394"/>
      <c r="BJ850" s="394"/>
      <c r="BK850" s="394"/>
      <c r="BL850" s="444" t="s">
        <v>6981</v>
      </c>
      <c r="BM850" s="392"/>
      <c r="BN850" s="393"/>
      <c r="BO850" s="393"/>
      <c r="BP850" s="399"/>
      <c r="BQ850" s="400"/>
      <c r="BR850" s="401"/>
      <c r="BS850" s="399">
        <v>90</v>
      </c>
      <c r="BT850" s="394">
        <v>208714</v>
      </c>
      <c r="BU850" s="417">
        <v>0.18865000000000001</v>
      </c>
      <c r="BV850" s="399"/>
      <c r="BW850" s="393" t="s">
        <v>3117</v>
      </c>
      <c r="BX850" s="392"/>
      <c r="BY850" s="393"/>
      <c r="BZ850" s="393"/>
      <c r="CA850" s="441" t="s">
        <v>1662</v>
      </c>
      <c r="CB850" s="400">
        <v>3</v>
      </c>
      <c r="CC850" s="398"/>
      <c r="CD850" s="398"/>
      <c r="CE850" s="398"/>
      <c r="CF850" s="398"/>
      <c r="CG850" s="398"/>
      <c r="CH850" s="398"/>
      <c r="CI850" s="398"/>
      <c r="CJ850" s="398">
        <v>21.07</v>
      </c>
      <c r="CK850" s="398">
        <v>73.418000000000006</v>
      </c>
      <c r="CL850" s="398">
        <v>73.418000000000006</v>
      </c>
      <c r="CM850" s="398">
        <v>73.418000000000006</v>
      </c>
      <c r="CN850" s="398">
        <v>73.418000000000006</v>
      </c>
      <c r="CO850" s="398">
        <v>73.418000000000006</v>
      </c>
      <c r="CP850" s="398">
        <v>73.418000000000006</v>
      </c>
      <c r="CQ850" s="398">
        <v>36.709000000000003</v>
      </c>
      <c r="CR850" s="398"/>
      <c r="CS850" s="398"/>
      <c r="CT850" s="398"/>
      <c r="CU850" s="398"/>
      <c r="CV850" s="398"/>
      <c r="CW850" s="398"/>
      <c r="CX850" s="398"/>
      <c r="CY850" s="398"/>
      <c r="CZ850" s="398"/>
      <c r="DA850" s="398"/>
      <c r="DB850" s="398"/>
      <c r="DC850" s="398"/>
      <c r="DD850" s="398"/>
      <c r="DE850" s="393"/>
      <c r="DF850" s="393"/>
      <c r="DG850" s="393"/>
      <c r="DH850" s="393"/>
      <c r="DI850" s="393"/>
      <c r="DJ850" s="393"/>
      <c r="DK850" s="897"/>
    </row>
    <row r="851" spans="1:115" ht="25.5" x14ac:dyDescent="0.2">
      <c r="A851" s="295">
        <v>847</v>
      </c>
      <c r="B851" s="390" t="s">
        <v>7270</v>
      </c>
      <c r="C851" s="390"/>
      <c r="D851" s="391" t="s">
        <v>7271</v>
      </c>
      <c r="E851" s="704" t="s">
        <v>7272</v>
      </c>
      <c r="F851" s="393" t="s">
        <v>1340</v>
      </c>
      <c r="G851" s="393" t="s">
        <v>1677</v>
      </c>
      <c r="H851" s="393" t="s">
        <v>151</v>
      </c>
      <c r="I851" s="392"/>
      <c r="J851" s="392"/>
      <c r="K851" s="392" t="s">
        <v>6131</v>
      </c>
      <c r="L851" s="392" t="s">
        <v>7273</v>
      </c>
      <c r="M851" s="392"/>
      <c r="N851" s="393" t="s">
        <v>44</v>
      </c>
      <c r="O851" s="393" t="s">
        <v>1155</v>
      </c>
      <c r="P851" s="393" t="s">
        <v>1155</v>
      </c>
      <c r="Q851" s="392" t="s">
        <v>1155</v>
      </c>
      <c r="R851" s="392" t="s">
        <v>7274</v>
      </c>
      <c r="S851" s="392" t="s">
        <v>650</v>
      </c>
      <c r="T851" s="394">
        <v>1</v>
      </c>
      <c r="U851" s="395">
        <v>117.342</v>
      </c>
      <c r="V851" s="395"/>
      <c r="W851" s="453"/>
      <c r="X851" s="394"/>
      <c r="Y851" s="394">
        <v>7</v>
      </c>
      <c r="Z851" s="394">
        <v>20</v>
      </c>
      <c r="AA851" s="395">
        <v>0</v>
      </c>
      <c r="AB851" s="452">
        <v>42095</v>
      </c>
      <c r="AC851" s="398">
        <v>0</v>
      </c>
      <c r="AD851" s="398">
        <v>675.43984109589042</v>
      </c>
      <c r="AE851" s="393" t="s">
        <v>72</v>
      </c>
      <c r="AF851" s="417"/>
      <c r="AG851" s="417"/>
      <c r="AH851" s="417"/>
      <c r="AI851" s="394"/>
      <c r="AJ851" s="453"/>
      <c r="AK851" s="453"/>
      <c r="AL851" s="393"/>
      <c r="AM851" s="393"/>
      <c r="AN851" s="417"/>
      <c r="AO851" s="392"/>
      <c r="AP851" s="392" t="s">
        <v>7082</v>
      </c>
      <c r="AQ851" s="392"/>
      <c r="AR851" s="392" t="s">
        <v>5664</v>
      </c>
      <c r="AS851" s="479">
        <v>40845</v>
      </c>
      <c r="AT851" s="453"/>
      <c r="AU851" s="453"/>
      <c r="AV851" s="453"/>
      <c r="AW851" s="453"/>
      <c r="AX851" s="453"/>
      <c r="AY851" s="453"/>
      <c r="AZ851" s="452">
        <v>42303</v>
      </c>
      <c r="BA851" s="393"/>
      <c r="BB851" s="393"/>
      <c r="BC851" s="393" t="b">
        <v>0</v>
      </c>
      <c r="BD851" s="393"/>
      <c r="BE851" s="392"/>
      <c r="BF851" s="394">
        <v>4</v>
      </c>
      <c r="BG851" s="394">
        <v>9</v>
      </c>
      <c r="BH851" s="394"/>
      <c r="BI851" s="394"/>
      <c r="BJ851" s="394"/>
      <c r="BK851" s="394"/>
      <c r="BL851" s="444" t="s">
        <v>6981</v>
      </c>
      <c r="BM851" s="392"/>
      <c r="BN851" s="393"/>
      <c r="BO851" s="393"/>
      <c r="BP851" s="399"/>
      <c r="BQ851" s="400"/>
      <c r="BR851" s="401"/>
      <c r="BS851" s="399">
        <v>108</v>
      </c>
      <c r="BT851" s="394">
        <v>208714</v>
      </c>
      <c r="BU851" s="417">
        <v>0.2248</v>
      </c>
      <c r="BV851" s="399"/>
      <c r="BW851" s="393" t="s">
        <v>3117</v>
      </c>
      <c r="BX851" s="392"/>
      <c r="BY851" s="393"/>
      <c r="BZ851" s="393"/>
      <c r="CA851" s="441"/>
      <c r="CB851" s="400"/>
      <c r="CC851" s="398"/>
      <c r="CD851" s="398"/>
      <c r="CE851" s="398"/>
      <c r="CF851" s="398"/>
      <c r="CG851" s="398"/>
      <c r="CH851" s="398"/>
      <c r="CI851" s="398"/>
      <c r="CJ851" s="398"/>
      <c r="CK851" s="398"/>
      <c r="CL851" s="398">
        <v>117.342</v>
      </c>
      <c r="CM851" s="398">
        <v>117.342</v>
      </c>
      <c r="CN851" s="398">
        <v>117.342</v>
      </c>
      <c r="CO851" s="398">
        <v>117.342</v>
      </c>
      <c r="CP851" s="398">
        <v>117.342</v>
      </c>
      <c r="CQ851" s="398">
        <v>117.342</v>
      </c>
      <c r="CR851" s="398">
        <v>117.342</v>
      </c>
      <c r="CS851" s="398"/>
      <c r="CT851" s="398"/>
      <c r="CU851" s="398"/>
      <c r="CV851" s="398"/>
      <c r="CW851" s="398"/>
      <c r="CX851" s="398"/>
      <c r="CY851" s="398"/>
      <c r="CZ851" s="398"/>
      <c r="DA851" s="398"/>
      <c r="DB851" s="398"/>
      <c r="DC851" s="398"/>
      <c r="DD851" s="398"/>
      <c r="DE851" s="393"/>
      <c r="DF851" s="393"/>
      <c r="DG851" s="393"/>
      <c r="DH851" s="393"/>
      <c r="DI851" s="393"/>
      <c r="DJ851" s="393"/>
      <c r="DK851" s="897"/>
    </row>
    <row r="852" spans="1:115" ht="25.5" x14ac:dyDescent="0.2">
      <c r="A852" s="295">
        <v>848</v>
      </c>
      <c r="B852" s="390" t="s">
        <v>7377</v>
      </c>
      <c r="C852" s="390"/>
      <c r="D852" s="391" t="s">
        <v>7378</v>
      </c>
      <c r="E852" s="705" t="s">
        <v>7379</v>
      </c>
      <c r="F852" s="475" t="s">
        <v>1340</v>
      </c>
      <c r="G852" s="475" t="s">
        <v>1677</v>
      </c>
      <c r="H852" s="475" t="s">
        <v>151</v>
      </c>
      <c r="I852" s="392"/>
      <c r="J852" s="392"/>
      <c r="K852" s="428" t="s">
        <v>6131</v>
      </c>
      <c r="L852" s="392" t="s">
        <v>1160</v>
      </c>
      <c r="M852" s="392"/>
      <c r="N852" s="475" t="s">
        <v>44</v>
      </c>
      <c r="O852" s="475" t="s">
        <v>1155</v>
      </c>
      <c r="P852" s="475" t="s">
        <v>1155</v>
      </c>
      <c r="Q852" s="428" t="s">
        <v>1155</v>
      </c>
      <c r="R852" s="428" t="s">
        <v>7380</v>
      </c>
      <c r="S852" s="428" t="s">
        <v>650</v>
      </c>
      <c r="T852" s="394">
        <v>1</v>
      </c>
      <c r="U852" s="395">
        <v>93.611999999999995</v>
      </c>
      <c r="V852" s="395"/>
      <c r="W852" s="453"/>
      <c r="X852" s="394"/>
      <c r="Y852" s="394">
        <v>7</v>
      </c>
      <c r="Z852" s="394">
        <v>20</v>
      </c>
      <c r="AA852" s="395">
        <v>0</v>
      </c>
      <c r="AB852" s="452">
        <v>42370</v>
      </c>
      <c r="AC852" s="398">
        <v>0</v>
      </c>
      <c r="AD852" s="398">
        <v>468.31647123287667</v>
      </c>
      <c r="AE852" s="475" t="s">
        <v>72</v>
      </c>
      <c r="AF852" s="417"/>
      <c r="AG852" s="417"/>
      <c r="AH852" s="417"/>
      <c r="AI852" s="394"/>
      <c r="AJ852" s="453"/>
      <c r="AK852" s="453"/>
      <c r="AL852" s="393"/>
      <c r="AM852" s="393"/>
      <c r="AN852" s="417"/>
      <c r="AO852" s="392"/>
      <c r="AP852" s="392" t="s">
        <v>7082</v>
      </c>
      <c r="AQ852" s="428"/>
      <c r="AR852" s="428" t="s">
        <v>5664</v>
      </c>
      <c r="AS852" s="479">
        <v>40845</v>
      </c>
      <c r="AT852" s="453"/>
      <c r="AU852" s="453"/>
      <c r="AV852" s="453"/>
      <c r="AW852" s="453"/>
      <c r="AX852" s="453"/>
      <c r="AY852" s="453"/>
      <c r="AZ852" s="452">
        <v>42332</v>
      </c>
      <c r="BA852" s="393"/>
      <c r="BB852" s="393"/>
      <c r="BC852" s="393" t="b">
        <v>0</v>
      </c>
      <c r="BD852" s="393"/>
      <c r="BE852" s="392"/>
      <c r="BF852" s="394">
        <v>4</v>
      </c>
      <c r="BG852" s="394">
        <v>9</v>
      </c>
      <c r="BH852" s="394"/>
      <c r="BI852" s="394"/>
      <c r="BJ852" s="394"/>
      <c r="BK852" s="394"/>
      <c r="BL852" s="444" t="s">
        <v>6981</v>
      </c>
      <c r="BM852" s="392"/>
      <c r="BN852" s="393"/>
      <c r="BO852" s="393"/>
      <c r="BP852" s="399"/>
      <c r="BQ852" s="400"/>
      <c r="BR852" s="401"/>
      <c r="BS852" s="399">
        <v>93</v>
      </c>
      <c r="BT852" s="394">
        <v>374039</v>
      </c>
      <c r="BU852" s="417">
        <v>0.2248</v>
      </c>
      <c r="BV852" s="399"/>
      <c r="BW852" s="475" t="s">
        <v>3117</v>
      </c>
      <c r="BX852" s="392"/>
      <c r="BY852" s="393"/>
      <c r="BZ852" s="393"/>
      <c r="CA852" s="441"/>
      <c r="CB852" s="400"/>
      <c r="CC852" s="398"/>
      <c r="CD852" s="398"/>
      <c r="CE852" s="398"/>
      <c r="CF852" s="398"/>
      <c r="CG852" s="398"/>
      <c r="CH852" s="398"/>
      <c r="CI852" s="398"/>
      <c r="CJ852" s="398"/>
      <c r="CK852" s="398"/>
      <c r="CL852" s="398">
        <v>108.61199999999999</v>
      </c>
      <c r="CM852" s="398">
        <v>108.61199999999999</v>
      </c>
      <c r="CN852" s="398">
        <v>108.61199999999999</v>
      </c>
      <c r="CO852" s="398">
        <v>108.61199999999999</v>
      </c>
      <c r="CP852" s="398">
        <v>108.61199999999999</v>
      </c>
      <c r="CQ852" s="398">
        <v>108.61199999999999</v>
      </c>
      <c r="CR852" s="398"/>
      <c r="CS852" s="398"/>
      <c r="CT852" s="398"/>
      <c r="CU852" s="398"/>
      <c r="CV852" s="398"/>
      <c r="CW852" s="398"/>
      <c r="CX852" s="398"/>
      <c r="CY852" s="398"/>
      <c r="CZ852" s="398"/>
      <c r="DA852" s="398"/>
      <c r="DB852" s="398"/>
      <c r="DC852" s="398"/>
      <c r="DD852" s="398"/>
      <c r="DE852" s="393"/>
      <c r="DF852" s="393"/>
      <c r="DG852" s="393"/>
      <c r="DH852" s="393"/>
      <c r="DI852" s="393"/>
      <c r="DJ852" s="393"/>
      <c r="DK852" s="897"/>
    </row>
    <row r="853" spans="1:115" ht="25.5" x14ac:dyDescent="0.2">
      <c r="A853" s="295">
        <v>849</v>
      </c>
      <c r="B853" s="390" t="s">
        <v>8930</v>
      </c>
      <c r="C853" s="390"/>
      <c r="D853" s="391" t="s">
        <v>8931</v>
      </c>
      <c r="E853" s="705" t="s">
        <v>8932</v>
      </c>
      <c r="F853" s="475" t="s">
        <v>1340</v>
      </c>
      <c r="G853" s="475" t="s">
        <v>1677</v>
      </c>
      <c r="H853" s="475" t="s">
        <v>151</v>
      </c>
      <c r="I853" s="392"/>
      <c r="J853" s="392"/>
      <c r="K853" s="428" t="s">
        <v>8933</v>
      </c>
      <c r="L853" s="428" t="s">
        <v>8934</v>
      </c>
      <c r="M853" s="392"/>
      <c r="N853" s="475" t="s">
        <v>44</v>
      </c>
      <c r="O853" s="475" t="s">
        <v>1155</v>
      </c>
      <c r="P853" s="475" t="s">
        <v>1155</v>
      </c>
      <c r="Q853" s="428" t="s">
        <v>1155</v>
      </c>
      <c r="R853" s="428" t="s">
        <v>8935</v>
      </c>
      <c r="S853" s="428" t="s">
        <v>650</v>
      </c>
      <c r="T853" s="394">
        <v>1</v>
      </c>
      <c r="U853" s="395">
        <v>126.312</v>
      </c>
      <c r="V853" s="395"/>
      <c r="W853" s="453"/>
      <c r="X853" s="394"/>
      <c r="Y853" s="394">
        <v>7</v>
      </c>
      <c r="Z853" s="394">
        <v>20</v>
      </c>
      <c r="AA853" s="395">
        <v>0</v>
      </c>
      <c r="AB853" s="452">
        <v>42736</v>
      </c>
      <c r="AC853" s="398">
        <v>0</v>
      </c>
      <c r="AD853" s="398">
        <v>505.24799999999999</v>
      </c>
      <c r="AE853" s="475" t="s">
        <v>72</v>
      </c>
      <c r="AF853" s="417"/>
      <c r="AG853" s="417"/>
      <c r="AH853" s="417"/>
      <c r="AI853" s="394"/>
      <c r="AJ853" s="453"/>
      <c r="AK853" s="453"/>
      <c r="AL853" s="393"/>
      <c r="AM853" s="393"/>
      <c r="AN853" s="417"/>
      <c r="AO853" s="392"/>
      <c r="AP853" s="392" t="s">
        <v>7082</v>
      </c>
      <c r="AQ853" s="428"/>
      <c r="AR853" s="428" t="s">
        <v>5664</v>
      </c>
      <c r="AS853" s="479">
        <v>40845</v>
      </c>
      <c r="AT853" s="453"/>
      <c r="AU853" s="453"/>
      <c r="AV853" s="453"/>
      <c r="AW853" s="453"/>
      <c r="AX853" s="453"/>
      <c r="AY853" s="453"/>
      <c r="AZ853" s="452">
        <v>42772</v>
      </c>
      <c r="BA853" s="393"/>
      <c r="BB853" s="393"/>
      <c r="BC853" s="393" t="b">
        <v>0</v>
      </c>
      <c r="BD853" s="393"/>
      <c r="BE853" s="392"/>
      <c r="BF853" s="394">
        <v>4</v>
      </c>
      <c r="BG853" s="394">
        <v>9</v>
      </c>
      <c r="BH853" s="394"/>
      <c r="BI853" s="394"/>
      <c r="BJ853" s="394"/>
      <c r="BK853" s="394"/>
      <c r="BL853" s="444" t="s">
        <v>6981</v>
      </c>
      <c r="BM853" s="392"/>
      <c r="BN853" s="393"/>
      <c r="BO853" s="393"/>
      <c r="BP853" s="399"/>
      <c r="BQ853" s="400"/>
      <c r="BR853" s="401"/>
      <c r="BS853" s="399">
        <v>99</v>
      </c>
      <c r="BT853" s="394">
        <v>561914</v>
      </c>
      <c r="BU853" s="417">
        <v>0.2248</v>
      </c>
      <c r="BV853" s="399"/>
      <c r="BW853" s="475" t="s">
        <v>3117</v>
      </c>
      <c r="BX853" s="392"/>
      <c r="BY853" s="393"/>
      <c r="BZ853" s="393"/>
      <c r="CA853" s="441"/>
      <c r="CB853" s="400"/>
      <c r="CC853" s="398"/>
      <c r="CD853" s="398"/>
      <c r="CE853" s="398"/>
      <c r="CF853" s="398"/>
      <c r="CG853" s="398"/>
      <c r="CH853" s="398"/>
      <c r="CI853" s="398"/>
      <c r="CJ853" s="398"/>
      <c r="CK853" s="398"/>
      <c r="CL853" s="398"/>
      <c r="CM853" s="398">
        <v>126.312</v>
      </c>
      <c r="CN853" s="398">
        <v>126.312</v>
      </c>
      <c r="CO853" s="398">
        <v>126.312</v>
      </c>
      <c r="CP853" s="398">
        <v>126.312</v>
      </c>
      <c r="CQ853" s="398">
        <v>126.312</v>
      </c>
      <c r="CR853" s="398">
        <v>126.312</v>
      </c>
      <c r="CS853" s="398">
        <v>126.312</v>
      </c>
      <c r="CT853" s="398"/>
      <c r="CU853" s="398"/>
      <c r="CV853" s="398"/>
      <c r="CW853" s="398"/>
      <c r="CX853" s="398"/>
      <c r="CY853" s="398"/>
      <c r="CZ853" s="398"/>
      <c r="DA853" s="398"/>
      <c r="DB853" s="398"/>
      <c r="DC853" s="398"/>
      <c r="DD853" s="398"/>
      <c r="DE853" s="393"/>
      <c r="DF853" s="393"/>
      <c r="DG853" s="393"/>
      <c r="DH853" s="393"/>
      <c r="DI853" s="393"/>
      <c r="DJ853" s="393"/>
      <c r="DK853" s="897"/>
    </row>
    <row r="854" spans="1:115" ht="38.25" x14ac:dyDescent="0.2">
      <c r="A854" s="295">
        <v>850</v>
      </c>
      <c r="B854" s="390" t="s">
        <v>208</v>
      </c>
      <c r="C854" s="424" t="s">
        <v>7582</v>
      </c>
      <c r="D854" s="391" t="s">
        <v>5124</v>
      </c>
      <c r="E854" s="843" t="s">
        <v>209</v>
      </c>
      <c r="F854" s="393" t="s">
        <v>1352</v>
      </c>
      <c r="G854" s="393" t="s">
        <v>1671</v>
      </c>
      <c r="H854" s="393" t="s">
        <v>117</v>
      </c>
      <c r="I854" s="563"/>
      <c r="J854" s="563" t="s">
        <v>2171</v>
      </c>
      <c r="K854" s="563"/>
      <c r="L854" s="563" t="s">
        <v>210</v>
      </c>
      <c r="M854" s="563" t="s">
        <v>4248</v>
      </c>
      <c r="N854" s="561" t="s">
        <v>44</v>
      </c>
      <c r="O854" s="393" t="s">
        <v>69</v>
      </c>
      <c r="P854" s="393" t="s">
        <v>69</v>
      </c>
      <c r="Q854" s="392" t="s">
        <v>172</v>
      </c>
      <c r="R854" s="392"/>
      <c r="S854" s="563" t="s">
        <v>205</v>
      </c>
      <c r="T854" s="564">
        <v>1</v>
      </c>
      <c r="U854" s="565">
        <v>8.3179999999999996</v>
      </c>
      <c r="V854" s="565"/>
      <c r="W854" s="567">
        <v>40880</v>
      </c>
      <c r="X854" s="564">
        <v>28</v>
      </c>
      <c r="Y854" s="564"/>
      <c r="Z854" s="564"/>
      <c r="AA854" s="565"/>
      <c r="AB854" s="566"/>
      <c r="AC854" s="568">
        <v>0.13700000000000001</v>
      </c>
      <c r="AD854" s="568">
        <v>67.683452054794515</v>
      </c>
      <c r="AE854" s="561" t="s">
        <v>47</v>
      </c>
      <c r="AF854" s="569"/>
      <c r="AG854" s="569"/>
      <c r="AH854" s="569">
        <v>0</v>
      </c>
      <c r="AI854" s="564"/>
      <c r="AJ854" s="566"/>
      <c r="AK854" s="566"/>
      <c r="AL854" s="561"/>
      <c r="AM854" s="561"/>
      <c r="AN854" s="569"/>
      <c r="AO854" s="563"/>
      <c r="AP854" s="392" t="s">
        <v>7078</v>
      </c>
      <c r="AQ854" s="563"/>
      <c r="AR854" s="563" t="s">
        <v>206</v>
      </c>
      <c r="AS854" s="578">
        <v>40852</v>
      </c>
      <c r="AT854" s="566"/>
      <c r="AU854" s="566"/>
      <c r="AV854" s="567">
        <v>41000</v>
      </c>
      <c r="AW854" s="567">
        <v>41226</v>
      </c>
      <c r="AX854" s="567">
        <v>41362</v>
      </c>
      <c r="AY854" s="567">
        <v>41226</v>
      </c>
      <c r="AZ854" s="566"/>
      <c r="BA854" s="561"/>
      <c r="BB854" s="561" t="s">
        <v>3116</v>
      </c>
      <c r="BC854" s="561" t="b">
        <v>0</v>
      </c>
      <c r="BD854" s="561" t="s">
        <v>3116</v>
      </c>
      <c r="BE854" s="563"/>
      <c r="BF854" s="394">
        <v>5</v>
      </c>
      <c r="BG854" s="394">
        <v>6</v>
      </c>
      <c r="BH854" s="394">
        <v>1</v>
      </c>
      <c r="BI854" s="394">
        <v>9</v>
      </c>
      <c r="BJ854" s="394">
        <v>11</v>
      </c>
      <c r="BK854" s="394"/>
      <c r="BL854" s="444"/>
      <c r="BM854" s="563"/>
      <c r="BN854" s="561"/>
      <c r="BO854" s="561"/>
      <c r="BP854" s="571"/>
      <c r="BQ854" s="572"/>
      <c r="BR854" s="573"/>
      <c r="BS854" s="571">
        <v>0</v>
      </c>
      <c r="BT854" s="564"/>
      <c r="BU854" s="569"/>
      <c r="BV854" s="571"/>
      <c r="BW854" s="561"/>
      <c r="BX854" s="563"/>
      <c r="BY854" s="562" t="s">
        <v>7227</v>
      </c>
      <c r="BZ854" s="561"/>
      <c r="CA854" s="574"/>
      <c r="CB854" s="572"/>
      <c r="CC854" s="568"/>
      <c r="CD854" s="568"/>
      <c r="CE854" s="568"/>
      <c r="CF854" s="568"/>
      <c r="CG854" s="568"/>
      <c r="CH854" s="568"/>
      <c r="CI854" s="568"/>
      <c r="CJ854" s="568"/>
      <c r="CK854" s="568"/>
      <c r="CL854" s="568"/>
      <c r="CM854" s="568"/>
      <c r="CN854" s="568"/>
      <c r="CO854" s="568"/>
      <c r="CP854" s="568"/>
      <c r="CQ854" s="568"/>
      <c r="CR854" s="568"/>
      <c r="CS854" s="568"/>
      <c r="CT854" s="568"/>
      <c r="CU854" s="568"/>
      <c r="CV854" s="568"/>
      <c r="CW854" s="568"/>
      <c r="CX854" s="568"/>
      <c r="CY854" s="568"/>
      <c r="CZ854" s="568"/>
      <c r="DA854" s="568"/>
      <c r="DB854" s="568"/>
      <c r="DC854" s="568"/>
      <c r="DD854" s="568"/>
      <c r="DE854" s="561"/>
      <c r="DF854" s="561"/>
      <c r="DG854" s="561"/>
      <c r="DH854" s="561"/>
      <c r="DI854" s="561"/>
      <c r="DJ854" s="561"/>
      <c r="DK854" s="896" t="s">
        <v>9700</v>
      </c>
    </row>
    <row r="855" spans="1:115" ht="25.5" x14ac:dyDescent="0.2">
      <c r="A855" s="295">
        <v>851</v>
      </c>
      <c r="B855" s="390" t="s">
        <v>2754</v>
      </c>
      <c r="C855" s="390"/>
      <c r="D855" s="391" t="s">
        <v>4603</v>
      </c>
      <c r="E855" s="704" t="s">
        <v>211</v>
      </c>
      <c r="F855" s="393" t="s">
        <v>1352</v>
      </c>
      <c r="G855" s="393" t="s">
        <v>1671</v>
      </c>
      <c r="H855" s="393" t="s">
        <v>117</v>
      </c>
      <c r="I855" s="392"/>
      <c r="J855" s="392"/>
      <c r="K855" s="392" t="s">
        <v>212</v>
      </c>
      <c r="L855" s="392" t="s">
        <v>210</v>
      </c>
      <c r="M855" s="392"/>
      <c r="N855" s="393" t="s">
        <v>44</v>
      </c>
      <c r="O855" s="393" t="s">
        <v>69</v>
      </c>
      <c r="P855" s="393" t="s">
        <v>69</v>
      </c>
      <c r="Q855" s="392" t="s">
        <v>172</v>
      </c>
      <c r="R855" s="392" t="s">
        <v>3290</v>
      </c>
      <c r="S855" s="392" t="s">
        <v>205</v>
      </c>
      <c r="T855" s="394">
        <v>1</v>
      </c>
      <c r="U855" s="395">
        <v>8.3179999999999996</v>
      </c>
      <c r="V855" s="395"/>
      <c r="W855" s="453"/>
      <c r="X855" s="394"/>
      <c r="Y855" s="394">
        <v>7</v>
      </c>
      <c r="Z855" s="394">
        <v>15</v>
      </c>
      <c r="AA855" s="395">
        <v>0</v>
      </c>
      <c r="AB855" s="452">
        <v>41226</v>
      </c>
      <c r="AC855" s="398">
        <v>0.13700000000000001</v>
      </c>
      <c r="AD855" s="398">
        <v>67.683452054794515</v>
      </c>
      <c r="AE855" s="393" t="s">
        <v>47</v>
      </c>
      <c r="AF855" s="417"/>
      <c r="AG855" s="417"/>
      <c r="AH855" s="417"/>
      <c r="AI855" s="394"/>
      <c r="AJ855" s="453"/>
      <c r="AK855" s="453"/>
      <c r="AL855" s="393"/>
      <c r="AM855" s="393"/>
      <c r="AN855" s="417"/>
      <c r="AO855" s="392"/>
      <c r="AP855" s="392" t="s">
        <v>7078</v>
      </c>
      <c r="AQ855" s="392"/>
      <c r="AR855" s="392" t="s">
        <v>206</v>
      </c>
      <c r="AS855" s="479">
        <v>40852</v>
      </c>
      <c r="AT855" s="453"/>
      <c r="AU855" s="453"/>
      <c r="AV855" s="453"/>
      <c r="AW855" s="453"/>
      <c r="AX855" s="453"/>
      <c r="AY855" s="453"/>
      <c r="AZ855" s="452">
        <v>41226</v>
      </c>
      <c r="BA855" s="393"/>
      <c r="BB855" s="393"/>
      <c r="BC855" s="393" t="b">
        <v>0</v>
      </c>
      <c r="BD855" s="393"/>
      <c r="BE855" s="392"/>
      <c r="BF855" s="394">
        <v>5</v>
      </c>
      <c r="BG855" s="394">
        <v>6</v>
      </c>
      <c r="BH855" s="394">
        <v>1</v>
      </c>
      <c r="BI855" s="394">
        <v>9</v>
      </c>
      <c r="BJ855" s="394">
        <v>11</v>
      </c>
      <c r="BK855" s="394"/>
      <c r="BL855" s="444" t="s">
        <v>6983</v>
      </c>
      <c r="BM855" s="392"/>
      <c r="BN855" s="393"/>
      <c r="BO855" s="393"/>
      <c r="BP855" s="399"/>
      <c r="BQ855" s="400"/>
      <c r="BR855" s="401"/>
      <c r="BS855" s="399"/>
      <c r="BT855" s="394"/>
      <c r="BU855" s="417"/>
      <c r="BV855" s="399"/>
      <c r="BW855" s="393" t="s">
        <v>3117</v>
      </c>
      <c r="BX855" s="392" t="s">
        <v>1448</v>
      </c>
      <c r="BY855" s="475" t="s">
        <v>7227</v>
      </c>
      <c r="BZ855" s="393"/>
      <c r="CA855" s="441"/>
      <c r="CB855" s="400"/>
      <c r="CC855" s="398"/>
      <c r="CD855" s="398"/>
      <c r="CE855" s="398"/>
      <c r="CF855" s="398"/>
      <c r="CG855" s="398"/>
      <c r="CH855" s="398">
        <v>0.157</v>
      </c>
      <c r="CI855" s="398">
        <v>8.3179999999999996</v>
      </c>
      <c r="CJ855" s="398">
        <v>8.3179999999999996</v>
      </c>
      <c r="CK855" s="398">
        <v>8.3179999999999996</v>
      </c>
      <c r="CL855" s="398">
        <v>8.3179999999999996</v>
      </c>
      <c r="CM855" s="398">
        <v>8.3179999999999996</v>
      </c>
      <c r="CN855" s="398">
        <v>8.3179999999999996</v>
      </c>
      <c r="CO855" s="398">
        <v>8.1609999999999996</v>
      </c>
      <c r="CP855" s="398"/>
      <c r="CQ855" s="398"/>
      <c r="CR855" s="398"/>
      <c r="CS855" s="398"/>
      <c r="CT855" s="398"/>
      <c r="CU855" s="398"/>
      <c r="CV855" s="398"/>
      <c r="CW855" s="398"/>
      <c r="CX855" s="398"/>
      <c r="CY855" s="398"/>
      <c r="CZ855" s="398"/>
      <c r="DA855" s="398"/>
      <c r="DB855" s="398"/>
      <c r="DC855" s="398"/>
      <c r="DD855" s="398"/>
      <c r="DE855" s="393"/>
      <c r="DF855" s="393"/>
      <c r="DG855" s="393"/>
      <c r="DH855" s="393"/>
      <c r="DI855" s="393"/>
      <c r="DJ855" s="393"/>
      <c r="DK855" s="897"/>
    </row>
    <row r="856" spans="1:115" ht="76.5" x14ac:dyDescent="0.2">
      <c r="A856" s="295">
        <v>852</v>
      </c>
      <c r="B856" s="390" t="s">
        <v>400</v>
      </c>
      <c r="C856" s="424" t="s">
        <v>7583</v>
      </c>
      <c r="D856" s="391" t="s">
        <v>5125</v>
      </c>
      <c r="E856" s="705" t="s">
        <v>401</v>
      </c>
      <c r="F856" s="393" t="s">
        <v>1340</v>
      </c>
      <c r="G856" s="393" t="s">
        <v>1677</v>
      </c>
      <c r="H856" s="393" t="s">
        <v>151</v>
      </c>
      <c r="I856" s="392"/>
      <c r="J856" s="392" t="s">
        <v>151</v>
      </c>
      <c r="K856" s="392"/>
      <c r="L856" s="392" t="s">
        <v>402</v>
      </c>
      <c r="M856" s="392" t="s">
        <v>3291</v>
      </c>
      <c r="N856" s="393" t="s">
        <v>44</v>
      </c>
      <c r="O856" s="393" t="s">
        <v>80</v>
      </c>
      <c r="P856" s="393" t="s">
        <v>80</v>
      </c>
      <c r="Q856" s="392" t="s">
        <v>403</v>
      </c>
      <c r="R856" s="392"/>
      <c r="S856" s="392" t="s">
        <v>81</v>
      </c>
      <c r="T856" s="394">
        <v>2</v>
      </c>
      <c r="U856" s="395">
        <v>1018.7430000000001</v>
      </c>
      <c r="V856" s="395"/>
      <c r="W856" s="452">
        <v>40443</v>
      </c>
      <c r="X856" s="394">
        <v>28</v>
      </c>
      <c r="Y856" s="394"/>
      <c r="Z856" s="394"/>
      <c r="AA856" s="395"/>
      <c r="AB856" s="453"/>
      <c r="AC856" s="398">
        <v>151.67400000000001</v>
      </c>
      <c r="AD856" s="398">
        <v>7616.2499534246572</v>
      </c>
      <c r="AE856" s="393" t="s">
        <v>72</v>
      </c>
      <c r="AF856" s="417">
        <f>+AF857</f>
        <v>6.9850000000000003</v>
      </c>
      <c r="AG856" s="417">
        <f>+AG857</f>
        <v>1161.424</v>
      </c>
      <c r="AH856" s="417">
        <v>1244.251</v>
      </c>
      <c r="AI856" s="394">
        <v>1</v>
      </c>
      <c r="AJ856" s="452">
        <v>41942</v>
      </c>
      <c r="AK856" s="452">
        <v>42369</v>
      </c>
      <c r="AL856" s="393"/>
      <c r="AM856" s="393"/>
      <c r="AN856" s="417"/>
      <c r="AO856" s="392"/>
      <c r="AP856" s="392" t="s">
        <v>7050</v>
      </c>
      <c r="AQ856" s="392"/>
      <c r="AR856" s="392" t="s">
        <v>274</v>
      </c>
      <c r="AS856" s="479">
        <v>40856</v>
      </c>
      <c r="AT856" s="453"/>
      <c r="AU856" s="453" t="s">
        <v>1099</v>
      </c>
      <c r="AV856" s="452">
        <v>41061</v>
      </c>
      <c r="AW856" s="452">
        <v>41187</v>
      </c>
      <c r="AX856" s="452">
        <v>41228</v>
      </c>
      <c r="AY856" s="452">
        <v>41187</v>
      </c>
      <c r="AZ856" s="453"/>
      <c r="BA856" s="393"/>
      <c r="BB856" s="393" t="s">
        <v>3147</v>
      </c>
      <c r="BC856" s="393" t="b">
        <v>1</v>
      </c>
      <c r="BD856" s="393" t="s">
        <v>3147</v>
      </c>
      <c r="BE856" s="392"/>
      <c r="BF856" s="394">
        <v>5</v>
      </c>
      <c r="BG856" s="394">
        <v>7</v>
      </c>
      <c r="BH856" s="394"/>
      <c r="BI856" s="394"/>
      <c r="BJ856" s="394"/>
      <c r="BK856" s="394"/>
      <c r="BL856" s="444"/>
      <c r="BM856" s="392"/>
      <c r="BN856" s="393"/>
      <c r="BO856" s="393"/>
      <c r="BP856" s="399"/>
      <c r="BQ856" s="400"/>
      <c r="BR856" s="401"/>
      <c r="BS856" s="399">
        <v>34.027999999999999</v>
      </c>
      <c r="BT856" s="394"/>
      <c r="BU856" s="417"/>
      <c r="BV856" s="399"/>
      <c r="BW856" s="393"/>
      <c r="BX856" s="392"/>
      <c r="BY856" s="393"/>
      <c r="BZ856" s="393"/>
      <c r="CA856" s="441"/>
      <c r="CB856" s="400"/>
      <c r="CC856" s="398"/>
      <c r="CD856" s="398"/>
      <c r="CE856" s="398"/>
      <c r="CF856" s="398"/>
      <c r="CG856" s="398"/>
      <c r="CH856" s="398"/>
      <c r="CI856" s="398"/>
      <c r="CJ856" s="398"/>
      <c r="CK856" s="398"/>
      <c r="CL856" s="398"/>
      <c r="CM856" s="398"/>
      <c r="CN856" s="398"/>
      <c r="CO856" s="398"/>
      <c r="CP856" s="398"/>
      <c r="CQ856" s="398"/>
      <c r="CR856" s="398"/>
      <c r="CS856" s="398"/>
      <c r="CT856" s="398"/>
      <c r="CU856" s="398"/>
      <c r="CV856" s="398"/>
      <c r="CW856" s="398"/>
      <c r="CX856" s="398"/>
      <c r="CY856" s="398"/>
      <c r="CZ856" s="398"/>
      <c r="DA856" s="398"/>
      <c r="DB856" s="398"/>
      <c r="DC856" s="398"/>
      <c r="DD856" s="398"/>
      <c r="DE856" s="393"/>
      <c r="DF856" s="393"/>
      <c r="DG856" s="393"/>
      <c r="DH856" s="393"/>
      <c r="DI856" s="393"/>
      <c r="DJ856" s="393"/>
      <c r="DK856" s="896" t="s">
        <v>9728</v>
      </c>
    </row>
    <row r="857" spans="1:115" ht="25.5" x14ac:dyDescent="0.2">
      <c r="A857" s="295">
        <v>853</v>
      </c>
      <c r="B857" s="390" t="s">
        <v>2755</v>
      </c>
      <c r="C857" s="390"/>
      <c r="D857" s="391" t="s">
        <v>4249</v>
      </c>
      <c r="E857" s="704" t="s">
        <v>404</v>
      </c>
      <c r="F857" s="393" t="s">
        <v>1340</v>
      </c>
      <c r="G857" s="393" t="s">
        <v>1677</v>
      </c>
      <c r="H857" s="393" t="s">
        <v>151</v>
      </c>
      <c r="I857" s="392"/>
      <c r="J857" s="392"/>
      <c r="K857" s="392" t="s">
        <v>405</v>
      </c>
      <c r="L857" s="392" t="s">
        <v>402</v>
      </c>
      <c r="M857" s="392"/>
      <c r="N857" s="393" t="s">
        <v>44</v>
      </c>
      <c r="O857" s="393" t="s">
        <v>80</v>
      </c>
      <c r="P857" s="393" t="s">
        <v>80</v>
      </c>
      <c r="Q857" s="392" t="s">
        <v>403</v>
      </c>
      <c r="R857" s="392" t="s">
        <v>3292</v>
      </c>
      <c r="S857" s="392" t="s">
        <v>81</v>
      </c>
      <c r="T857" s="394">
        <v>1</v>
      </c>
      <c r="U857" s="395">
        <v>794.67200000000003</v>
      </c>
      <c r="V857" s="395"/>
      <c r="W857" s="453"/>
      <c r="X857" s="394"/>
      <c r="Y857" s="394">
        <v>7</v>
      </c>
      <c r="Z857" s="394">
        <v>21</v>
      </c>
      <c r="AA857" s="395">
        <v>126.5</v>
      </c>
      <c r="AB857" s="452">
        <v>41187</v>
      </c>
      <c r="AC857" s="398">
        <v>151.67400000000001</v>
      </c>
      <c r="AD857" s="398">
        <v>6551.1453369863011</v>
      </c>
      <c r="AE857" s="393" t="s">
        <v>72</v>
      </c>
      <c r="AF857" s="417">
        <v>6.9850000000000003</v>
      </c>
      <c r="AG857" s="417">
        <f>116.957+170.089+411.31+463.068</f>
        <v>1161.424</v>
      </c>
      <c r="AH857" s="417">
        <v>1168.4089999999999</v>
      </c>
      <c r="AI857" s="394">
        <v>1</v>
      </c>
      <c r="AJ857" s="452">
        <v>41942</v>
      </c>
      <c r="AK857" s="452">
        <v>42735</v>
      </c>
      <c r="AL857" s="393"/>
      <c r="AM857" s="393"/>
      <c r="AN857" s="417"/>
      <c r="AO857" s="392"/>
      <c r="AP857" s="392" t="s">
        <v>7050</v>
      </c>
      <c r="AQ857" s="392"/>
      <c r="AR857" s="392" t="s">
        <v>274</v>
      </c>
      <c r="AS857" s="479">
        <v>40856</v>
      </c>
      <c r="AT857" s="453"/>
      <c r="AU857" s="453" t="s">
        <v>2645</v>
      </c>
      <c r="AV857" s="453"/>
      <c r="AW857" s="453"/>
      <c r="AX857" s="453"/>
      <c r="AY857" s="453"/>
      <c r="AZ857" s="452">
        <v>41187</v>
      </c>
      <c r="BA857" s="393"/>
      <c r="BB857" s="393"/>
      <c r="BC857" s="393" t="b">
        <v>0</v>
      </c>
      <c r="BD857" s="393"/>
      <c r="BE857" s="392"/>
      <c r="BF857" s="394">
        <v>5</v>
      </c>
      <c r="BG857" s="394">
        <v>7</v>
      </c>
      <c r="BH857" s="394"/>
      <c r="BI857" s="394"/>
      <c r="BJ857" s="394"/>
      <c r="BK857" s="394"/>
      <c r="BL857" s="444" t="s">
        <v>6981</v>
      </c>
      <c r="BM857" s="392"/>
      <c r="BN857" s="393"/>
      <c r="BO857" s="393"/>
      <c r="BP857" s="399"/>
      <c r="BQ857" s="400"/>
      <c r="BR857" s="401"/>
      <c r="BS857" s="399">
        <v>25.47</v>
      </c>
      <c r="BT857" s="394">
        <v>67832</v>
      </c>
      <c r="BU857" s="417">
        <v>0.16350000000000001</v>
      </c>
      <c r="BV857" s="399"/>
      <c r="BW857" s="393" t="s">
        <v>3117</v>
      </c>
      <c r="BX857" s="392" t="s">
        <v>3172</v>
      </c>
      <c r="BY857" s="393"/>
      <c r="BZ857" s="393"/>
      <c r="CA857" s="441" t="s">
        <v>1662</v>
      </c>
      <c r="CB857" s="400">
        <v>3</v>
      </c>
      <c r="CC857" s="398"/>
      <c r="CD857" s="398"/>
      <c r="CE857" s="398"/>
      <c r="CF857" s="398"/>
      <c r="CG857" s="398"/>
      <c r="CH857" s="398">
        <v>151.72200000000001</v>
      </c>
      <c r="CI857" s="398">
        <v>504.91</v>
      </c>
      <c r="CJ857" s="398">
        <v>670.64300000000003</v>
      </c>
      <c r="CK857" s="398">
        <v>791.91800000000001</v>
      </c>
      <c r="CL857" s="398">
        <v>873.09900000000005</v>
      </c>
      <c r="CM857" s="398">
        <v>956.548</v>
      </c>
      <c r="CN857" s="398">
        <v>1011.422</v>
      </c>
      <c r="CO857" s="398">
        <v>1065.223</v>
      </c>
      <c r="CP857" s="398"/>
      <c r="CQ857" s="398"/>
      <c r="CR857" s="398"/>
      <c r="CS857" s="398"/>
      <c r="CT857" s="398"/>
      <c r="CU857" s="398"/>
      <c r="CV857" s="398"/>
      <c r="CW857" s="398"/>
      <c r="CX857" s="398"/>
      <c r="CY857" s="398"/>
      <c r="CZ857" s="398"/>
      <c r="DA857" s="398"/>
      <c r="DB857" s="398"/>
      <c r="DC857" s="398"/>
      <c r="DD857" s="398"/>
      <c r="DE857" s="393"/>
      <c r="DF857" s="393"/>
      <c r="DG857" s="393"/>
      <c r="DH857" s="393"/>
      <c r="DI857" s="393"/>
      <c r="DJ857" s="393"/>
      <c r="DK857" s="897"/>
    </row>
    <row r="858" spans="1:115" ht="25.5" x14ac:dyDescent="0.2">
      <c r="A858" s="295">
        <v>854</v>
      </c>
      <c r="B858" s="390" t="s">
        <v>8047</v>
      </c>
      <c r="C858" s="390"/>
      <c r="D858" s="391" t="s">
        <v>8046</v>
      </c>
      <c r="E858" s="705" t="s">
        <v>8048</v>
      </c>
      <c r="F858" s="393" t="s">
        <v>1340</v>
      </c>
      <c r="G858" s="393" t="s">
        <v>1677</v>
      </c>
      <c r="H858" s="393" t="s">
        <v>151</v>
      </c>
      <c r="I858" s="392"/>
      <c r="J858" s="392"/>
      <c r="K858" s="428" t="s">
        <v>405</v>
      </c>
      <c r="L858" s="428" t="s">
        <v>402</v>
      </c>
      <c r="M858" s="392"/>
      <c r="N858" s="475" t="s">
        <v>44</v>
      </c>
      <c r="O858" s="393" t="s">
        <v>80</v>
      </c>
      <c r="P858" s="393" t="s">
        <v>80</v>
      </c>
      <c r="Q858" s="392" t="s">
        <v>403</v>
      </c>
      <c r="R858" s="428" t="s">
        <v>3292</v>
      </c>
      <c r="S858" s="428" t="s">
        <v>81</v>
      </c>
      <c r="T858" s="394">
        <v>1</v>
      </c>
      <c r="U858" s="395">
        <v>224.071</v>
      </c>
      <c r="V858" s="395"/>
      <c r="W858" s="453"/>
      <c r="X858" s="394"/>
      <c r="Y858" s="394">
        <v>7</v>
      </c>
      <c r="Z858" s="394">
        <v>21</v>
      </c>
      <c r="AA858" s="395">
        <v>-7.2</v>
      </c>
      <c r="AB858" s="452">
        <v>42461</v>
      </c>
      <c r="AC858" s="398">
        <v>0</v>
      </c>
      <c r="AD858" s="398">
        <v>1065.1046164383561</v>
      </c>
      <c r="AE858" s="475" t="s">
        <v>72</v>
      </c>
      <c r="AF858" s="417"/>
      <c r="AG858" s="417">
        <f>75.842</f>
        <v>75.841999999999999</v>
      </c>
      <c r="AH858" s="417">
        <v>75.841999999999999</v>
      </c>
      <c r="AI858" s="394"/>
      <c r="AJ858" s="452">
        <v>42957</v>
      </c>
      <c r="AK858" s="452">
        <v>42735</v>
      </c>
      <c r="AL858" s="393"/>
      <c r="AM858" s="393"/>
      <c r="AN858" s="417"/>
      <c r="AO858" s="392"/>
      <c r="AP858" s="428"/>
      <c r="AQ858" s="428"/>
      <c r="AR858" s="428" t="s">
        <v>274</v>
      </c>
      <c r="AS858" s="479">
        <v>40856</v>
      </c>
      <c r="AT858" s="453"/>
      <c r="AU858" s="453"/>
      <c r="AV858" s="453"/>
      <c r="AW858" s="453"/>
      <c r="AX858" s="453"/>
      <c r="AY858" s="453"/>
      <c r="AZ858" s="452">
        <v>42460</v>
      </c>
      <c r="BA858" s="393"/>
      <c r="BB858" s="393"/>
      <c r="BC858" s="393" t="b">
        <v>0</v>
      </c>
      <c r="BD858" s="393"/>
      <c r="BE858" s="392"/>
      <c r="BF858" s="394">
        <v>5</v>
      </c>
      <c r="BG858" s="394">
        <v>7</v>
      </c>
      <c r="BH858" s="394"/>
      <c r="BI858" s="394"/>
      <c r="BJ858" s="394"/>
      <c r="BK858" s="394"/>
      <c r="BL858" s="444" t="s">
        <v>6981</v>
      </c>
      <c r="BM858" s="392"/>
      <c r="BN858" s="393"/>
      <c r="BO858" s="393"/>
      <c r="BP858" s="399"/>
      <c r="BQ858" s="400"/>
      <c r="BR858" s="401"/>
      <c r="BS858" s="399">
        <v>8.5579999999999998</v>
      </c>
      <c r="BT858" s="394"/>
      <c r="BU858" s="417"/>
      <c r="BV858" s="399"/>
      <c r="BW858" s="475" t="s">
        <v>3117</v>
      </c>
      <c r="BX858" s="392"/>
      <c r="BY858" s="393"/>
      <c r="BZ858" s="393"/>
      <c r="CA858" s="441"/>
      <c r="CB858" s="400"/>
      <c r="CC858" s="398"/>
      <c r="CD858" s="398"/>
      <c r="CE858" s="398"/>
      <c r="CF858" s="398"/>
      <c r="CG858" s="398"/>
      <c r="CH858" s="398"/>
      <c r="CI858" s="398"/>
      <c r="CJ858" s="398"/>
      <c r="CK858" s="398"/>
      <c r="CL858" s="398">
        <v>110.40300000000001</v>
      </c>
      <c r="CM858" s="398">
        <v>198.018</v>
      </c>
      <c r="CN858" s="398">
        <v>213.75200000000001</v>
      </c>
      <c r="CO858" s="398">
        <v>227.404</v>
      </c>
      <c r="CP858" s="398">
        <v>239.62899999999999</v>
      </c>
      <c r="CQ858" s="398">
        <v>250.87299999999999</v>
      </c>
      <c r="CR858" s="398">
        <v>261.44099999999997</v>
      </c>
      <c r="CS858" s="398">
        <v>66.995000000000005</v>
      </c>
      <c r="CT858" s="398"/>
      <c r="CU858" s="398"/>
      <c r="CV858" s="398"/>
      <c r="CW858" s="398"/>
      <c r="CX858" s="398"/>
      <c r="CY858" s="398"/>
      <c r="CZ858" s="398"/>
      <c r="DA858" s="398"/>
      <c r="DB858" s="398"/>
      <c r="DC858" s="398"/>
      <c r="DD858" s="398"/>
      <c r="DE858" s="393"/>
      <c r="DF858" s="393"/>
      <c r="DG858" s="393"/>
      <c r="DH858" s="393"/>
      <c r="DI858" s="393"/>
      <c r="DJ858" s="393"/>
      <c r="DK858" s="897"/>
    </row>
    <row r="859" spans="1:115" ht="63.75" x14ac:dyDescent="0.2">
      <c r="A859" s="295">
        <v>855</v>
      </c>
      <c r="B859" s="390" t="s">
        <v>1166</v>
      </c>
      <c r="C859" s="424" t="s">
        <v>7584</v>
      </c>
      <c r="D859" s="391" t="s">
        <v>5126</v>
      </c>
      <c r="E859" s="704" t="s">
        <v>1167</v>
      </c>
      <c r="F859" s="393" t="s">
        <v>1352</v>
      </c>
      <c r="G859" s="393" t="s">
        <v>1673</v>
      </c>
      <c r="H859" s="393" t="s">
        <v>42</v>
      </c>
      <c r="I859" s="392"/>
      <c r="J859" s="392" t="s">
        <v>42</v>
      </c>
      <c r="K859" s="392"/>
      <c r="L859" s="392" t="s">
        <v>1168</v>
      </c>
      <c r="M859" s="392" t="s">
        <v>3293</v>
      </c>
      <c r="N859" s="393" t="s">
        <v>44</v>
      </c>
      <c r="O859" s="393" t="s">
        <v>1155</v>
      </c>
      <c r="P859" s="393" t="s">
        <v>1155</v>
      </c>
      <c r="Q859" s="392" t="s">
        <v>1155</v>
      </c>
      <c r="R859" s="392"/>
      <c r="S859" s="392" t="s">
        <v>650</v>
      </c>
      <c r="T859" s="394">
        <v>1</v>
      </c>
      <c r="U859" s="395">
        <v>38.414000000000001</v>
      </c>
      <c r="V859" s="395"/>
      <c r="W859" s="452">
        <v>41334</v>
      </c>
      <c r="X859" s="394">
        <v>28</v>
      </c>
      <c r="Y859" s="394"/>
      <c r="Z859" s="394"/>
      <c r="AA859" s="395"/>
      <c r="AB859" s="453"/>
      <c r="AC859" s="398">
        <v>0</v>
      </c>
      <c r="AD859" s="398">
        <v>288.36810958904113</v>
      </c>
      <c r="AE859" s="393" t="s">
        <v>397</v>
      </c>
      <c r="AF859" s="417"/>
      <c r="AG859" s="417"/>
      <c r="AH859" s="417">
        <v>0</v>
      </c>
      <c r="AI859" s="394"/>
      <c r="AJ859" s="453"/>
      <c r="AK859" s="453"/>
      <c r="AL859" s="393"/>
      <c r="AM859" s="393"/>
      <c r="AN859" s="417"/>
      <c r="AO859" s="392"/>
      <c r="AP859" s="428" t="s">
        <v>7315</v>
      </c>
      <c r="AQ859" s="428" t="s">
        <v>7051</v>
      </c>
      <c r="AR859" s="392" t="s">
        <v>3784</v>
      </c>
      <c r="AS859" s="479">
        <v>40856</v>
      </c>
      <c r="AT859" s="453"/>
      <c r="AU859" s="453"/>
      <c r="AV859" s="452">
        <v>41194</v>
      </c>
      <c r="AW859" s="452">
        <v>41257</v>
      </c>
      <c r="AX859" s="452">
        <v>41299</v>
      </c>
      <c r="AY859" s="452">
        <v>41260</v>
      </c>
      <c r="AZ859" s="453"/>
      <c r="BA859" s="393"/>
      <c r="BB859" s="393" t="s">
        <v>3147</v>
      </c>
      <c r="BC859" s="393" t="b">
        <v>0</v>
      </c>
      <c r="BD859" s="393" t="s">
        <v>3147</v>
      </c>
      <c r="BE859" s="392"/>
      <c r="BF859" s="394">
        <v>10</v>
      </c>
      <c r="BG859" s="394">
        <v>9</v>
      </c>
      <c r="BH859" s="394"/>
      <c r="BI859" s="394"/>
      <c r="BJ859" s="394"/>
      <c r="BK859" s="394"/>
      <c r="BL859" s="444"/>
      <c r="BM859" s="392"/>
      <c r="BN859" s="393"/>
      <c r="BO859" s="393"/>
      <c r="BP859" s="399"/>
      <c r="BQ859" s="400"/>
      <c r="BR859" s="401"/>
      <c r="BS859" s="399">
        <v>25.5</v>
      </c>
      <c r="BT859" s="394"/>
      <c r="BU859" s="417"/>
      <c r="BV859" s="399"/>
      <c r="BW859" s="393"/>
      <c r="BX859" s="392"/>
      <c r="BY859" s="393"/>
      <c r="BZ859" s="393"/>
      <c r="CA859" s="441"/>
      <c r="CB859" s="400"/>
      <c r="CC859" s="398"/>
      <c r="CD859" s="398"/>
      <c r="CE859" s="398"/>
      <c r="CF859" s="398"/>
      <c r="CG859" s="398"/>
      <c r="CH859" s="398"/>
      <c r="CI859" s="398"/>
      <c r="CJ859" s="398"/>
      <c r="CK859" s="398"/>
      <c r="CL859" s="398"/>
      <c r="CM859" s="398"/>
      <c r="CN859" s="398"/>
      <c r="CO859" s="398"/>
      <c r="CP859" s="398"/>
      <c r="CQ859" s="398"/>
      <c r="CR859" s="398"/>
      <c r="CS859" s="398"/>
      <c r="CT859" s="398"/>
      <c r="CU859" s="398"/>
      <c r="CV859" s="398"/>
      <c r="CW859" s="398"/>
      <c r="CX859" s="398"/>
      <c r="CY859" s="398"/>
      <c r="CZ859" s="398"/>
      <c r="DA859" s="398"/>
      <c r="DB859" s="398"/>
      <c r="DC859" s="398"/>
      <c r="DD859" s="398"/>
      <c r="DE859" s="393"/>
      <c r="DF859" s="393"/>
      <c r="DG859" s="393"/>
      <c r="DH859" s="393"/>
      <c r="DI859" s="393"/>
      <c r="DJ859" s="393"/>
      <c r="DK859" s="896" t="s">
        <v>9711</v>
      </c>
    </row>
    <row r="860" spans="1:115" ht="38.25" x14ac:dyDescent="0.2">
      <c r="A860" s="295">
        <v>856</v>
      </c>
      <c r="B860" s="390" t="s">
        <v>2756</v>
      </c>
      <c r="C860" s="390"/>
      <c r="D860" s="391" t="s">
        <v>4471</v>
      </c>
      <c r="E860" s="704" t="s">
        <v>1169</v>
      </c>
      <c r="F860" s="393" t="s">
        <v>1352</v>
      </c>
      <c r="G860" s="393" t="s">
        <v>1673</v>
      </c>
      <c r="H860" s="393" t="s">
        <v>42</v>
      </c>
      <c r="I860" s="392"/>
      <c r="J860" s="392"/>
      <c r="K860" s="392" t="s">
        <v>2172</v>
      </c>
      <c r="L860" s="392" t="s">
        <v>1168</v>
      </c>
      <c r="M860" s="392"/>
      <c r="N860" s="393" t="s">
        <v>44</v>
      </c>
      <c r="O860" s="393" t="s">
        <v>1155</v>
      </c>
      <c r="P860" s="393" t="s">
        <v>1155</v>
      </c>
      <c r="Q860" s="392" t="s">
        <v>1155</v>
      </c>
      <c r="R860" s="392" t="s">
        <v>3294</v>
      </c>
      <c r="S860" s="392" t="s">
        <v>650</v>
      </c>
      <c r="T860" s="394">
        <v>1</v>
      </c>
      <c r="U860" s="395">
        <v>38.414000000000001</v>
      </c>
      <c r="V860" s="395"/>
      <c r="W860" s="453"/>
      <c r="X860" s="394"/>
      <c r="Y860" s="394">
        <v>7</v>
      </c>
      <c r="Z860" s="394">
        <v>21</v>
      </c>
      <c r="AA860" s="395">
        <v>0</v>
      </c>
      <c r="AB860" s="452">
        <v>41456</v>
      </c>
      <c r="AC860" s="398">
        <v>0</v>
      </c>
      <c r="AD860" s="398">
        <v>288.36810958904113</v>
      </c>
      <c r="AE860" s="393" t="s">
        <v>397</v>
      </c>
      <c r="AF860" s="417"/>
      <c r="AG860" s="417"/>
      <c r="AH860" s="417"/>
      <c r="AI860" s="394"/>
      <c r="AJ860" s="453"/>
      <c r="AK860" s="453"/>
      <c r="AL860" s="393"/>
      <c r="AM860" s="393"/>
      <c r="AN860" s="417"/>
      <c r="AO860" s="392"/>
      <c r="AP860" s="428" t="s">
        <v>7315</v>
      </c>
      <c r="AQ860" s="392"/>
      <c r="AR860" s="392" t="s">
        <v>3784</v>
      </c>
      <c r="AS860" s="479">
        <v>40856</v>
      </c>
      <c r="AT860" s="453"/>
      <c r="AU860" s="453"/>
      <c r="AV860" s="453"/>
      <c r="AW860" s="453"/>
      <c r="AX860" s="453"/>
      <c r="AY860" s="453"/>
      <c r="AZ860" s="452">
        <v>41260</v>
      </c>
      <c r="BA860" s="393"/>
      <c r="BB860" s="393"/>
      <c r="BC860" s="393" t="b">
        <v>0</v>
      </c>
      <c r="BD860" s="393"/>
      <c r="BE860" s="392"/>
      <c r="BF860" s="394">
        <v>10</v>
      </c>
      <c r="BG860" s="394">
        <v>9</v>
      </c>
      <c r="BH860" s="394"/>
      <c r="BI860" s="394"/>
      <c r="BJ860" s="394"/>
      <c r="BK860" s="394"/>
      <c r="BL860" s="444" t="s">
        <v>6986</v>
      </c>
      <c r="BM860" s="392" t="s">
        <v>3295</v>
      </c>
      <c r="BN860" s="393" t="s">
        <v>42</v>
      </c>
      <c r="BO860" s="393"/>
      <c r="BP860" s="399"/>
      <c r="BQ860" s="400"/>
      <c r="BR860" s="401"/>
      <c r="BS860" s="399">
        <v>25.5</v>
      </c>
      <c r="BT860" s="394">
        <v>40757</v>
      </c>
      <c r="BU860" s="417">
        <v>0.94474999999999998</v>
      </c>
      <c r="BV860" s="399"/>
      <c r="BW860" s="393" t="s">
        <v>3117</v>
      </c>
      <c r="BX860" s="392" t="s">
        <v>1447</v>
      </c>
      <c r="BY860" s="393"/>
      <c r="BZ860" s="393"/>
      <c r="CA860" s="441" t="s">
        <v>1662</v>
      </c>
      <c r="CB860" s="400">
        <v>3</v>
      </c>
      <c r="CC860" s="398"/>
      <c r="CD860" s="398"/>
      <c r="CE860" s="398"/>
      <c r="CF860" s="398"/>
      <c r="CG860" s="398"/>
      <c r="CH860" s="398"/>
      <c r="CI860" s="398">
        <v>48.527000000000001</v>
      </c>
      <c r="CJ860" s="398">
        <v>38.140999999999998</v>
      </c>
      <c r="CK860" s="398">
        <v>38.140999999999998</v>
      </c>
      <c r="CL860" s="398">
        <v>38.140999999999998</v>
      </c>
      <c r="CM860" s="398">
        <v>38.140999999999998</v>
      </c>
      <c r="CN860" s="398">
        <v>38.140999999999998</v>
      </c>
      <c r="CO860" s="398">
        <v>38.140999999999998</v>
      </c>
      <c r="CP860" s="398"/>
      <c r="CQ860" s="398"/>
      <c r="CR860" s="398"/>
      <c r="CS860" s="398"/>
      <c r="CT860" s="398"/>
      <c r="CU860" s="398"/>
      <c r="CV860" s="398"/>
      <c r="CW860" s="398"/>
      <c r="CX860" s="398"/>
      <c r="CY860" s="398"/>
      <c r="CZ860" s="398"/>
      <c r="DA860" s="398"/>
      <c r="DB860" s="398"/>
      <c r="DC860" s="398"/>
      <c r="DD860" s="398"/>
      <c r="DE860" s="393"/>
      <c r="DF860" s="393"/>
      <c r="DG860" s="393"/>
      <c r="DH860" s="393"/>
      <c r="DI860" s="393"/>
      <c r="DJ860" s="393"/>
      <c r="DK860" s="897"/>
    </row>
    <row r="861" spans="1:115" ht="63.75" x14ac:dyDescent="0.2">
      <c r="A861" s="295">
        <v>857</v>
      </c>
      <c r="B861" s="390" t="s">
        <v>452</v>
      </c>
      <c r="C861" s="424" t="s">
        <v>7585</v>
      </c>
      <c r="D861" s="391" t="s">
        <v>5127</v>
      </c>
      <c r="E861" s="704" t="s">
        <v>453</v>
      </c>
      <c r="F861" s="393" t="s">
        <v>1352</v>
      </c>
      <c r="G861" s="393" t="s">
        <v>1671</v>
      </c>
      <c r="H861" s="393" t="s">
        <v>117</v>
      </c>
      <c r="I861" s="392"/>
      <c r="J861" s="392" t="s">
        <v>587</v>
      </c>
      <c r="K861" s="392"/>
      <c r="L861" s="392" t="s">
        <v>445</v>
      </c>
      <c r="M861" s="392" t="s">
        <v>3296</v>
      </c>
      <c r="N861" s="393" t="s">
        <v>44</v>
      </c>
      <c r="O861" s="393" t="s">
        <v>51</v>
      </c>
      <c r="P861" s="393" t="s">
        <v>51</v>
      </c>
      <c r="Q861" s="392" t="s">
        <v>426</v>
      </c>
      <c r="R861" s="392"/>
      <c r="S861" s="392" t="s">
        <v>427</v>
      </c>
      <c r="T861" s="394">
        <v>1</v>
      </c>
      <c r="U861" s="395">
        <v>33.673000000000002</v>
      </c>
      <c r="V861" s="395"/>
      <c r="W861" s="452">
        <v>41305</v>
      </c>
      <c r="X861" s="394">
        <v>28</v>
      </c>
      <c r="Y861" s="394"/>
      <c r="Z861" s="394"/>
      <c r="AA861" s="395"/>
      <c r="AB861" s="453"/>
      <c r="AC861" s="398">
        <v>0</v>
      </c>
      <c r="AD861" s="398">
        <v>266.70861095890416</v>
      </c>
      <c r="AE861" s="393" t="s">
        <v>446</v>
      </c>
      <c r="AF861" s="417"/>
      <c r="AG861" s="417"/>
      <c r="AH861" s="417">
        <v>0</v>
      </c>
      <c r="AI861" s="394"/>
      <c r="AJ861" s="453"/>
      <c r="AK861" s="453"/>
      <c r="AL861" s="393"/>
      <c r="AM861" s="393"/>
      <c r="AN861" s="417"/>
      <c r="AO861" s="392"/>
      <c r="AP861" s="392" t="s">
        <v>55</v>
      </c>
      <c r="AQ861" s="392"/>
      <c r="AR861" s="392" t="s">
        <v>3778</v>
      </c>
      <c r="AS861" s="479">
        <v>40858</v>
      </c>
      <c r="AT861" s="453"/>
      <c r="AU861" s="453"/>
      <c r="AV861" s="452">
        <v>40909</v>
      </c>
      <c r="AW861" s="452">
        <v>41271</v>
      </c>
      <c r="AX861" s="453"/>
      <c r="AY861" s="452">
        <v>41271</v>
      </c>
      <c r="AZ861" s="453"/>
      <c r="BA861" s="393"/>
      <c r="BB861" s="393" t="s">
        <v>3116</v>
      </c>
      <c r="BC861" s="393" t="b">
        <v>0</v>
      </c>
      <c r="BD861" s="393" t="s">
        <v>3147</v>
      </c>
      <c r="BE861" s="392"/>
      <c r="BF861" s="394">
        <v>9</v>
      </c>
      <c r="BG861" s="394"/>
      <c r="BH861" s="394"/>
      <c r="BI861" s="394"/>
      <c r="BJ861" s="394"/>
      <c r="BK861" s="394"/>
      <c r="BL861" s="444"/>
      <c r="BM861" s="392"/>
      <c r="BN861" s="393"/>
      <c r="BO861" s="393"/>
      <c r="BP861" s="399"/>
      <c r="BQ861" s="400"/>
      <c r="BR861" s="401"/>
      <c r="BS861" s="399">
        <v>0</v>
      </c>
      <c r="BT861" s="394"/>
      <c r="BU861" s="417"/>
      <c r="BV861" s="399"/>
      <c r="BW861" s="393"/>
      <c r="BX861" s="392"/>
      <c r="BY861" s="475" t="s">
        <v>7227</v>
      </c>
      <c r="BZ861" s="393"/>
      <c r="CA861" s="441"/>
      <c r="CB861" s="400"/>
      <c r="CC861" s="398"/>
      <c r="CD861" s="398"/>
      <c r="CE861" s="398"/>
      <c r="CF861" s="398"/>
      <c r="CG861" s="398"/>
      <c r="CH861" s="398"/>
      <c r="CI861" s="398"/>
      <c r="CJ861" s="398"/>
      <c r="CK861" s="398"/>
      <c r="CL861" s="398"/>
      <c r="CM861" s="398"/>
      <c r="CN861" s="398"/>
      <c r="CO861" s="398"/>
      <c r="CP861" s="398"/>
      <c r="CQ861" s="398"/>
      <c r="CR861" s="398"/>
      <c r="CS861" s="398"/>
      <c r="CT861" s="398"/>
      <c r="CU861" s="398"/>
      <c r="CV861" s="398"/>
      <c r="CW861" s="398"/>
      <c r="CX861" s="398"/>
      <c r="CY861" s="398"/>
      <c r="CZ861" s="398"/>
      <c r="DA861" s="398"/>
      <c r="DB861" s="398"/>
      <c r="DC861" s="398"/>
      <c r="DD861" s="398"/>
      <c r="DE861" s="393"/>
      <c r="DF861" s="393"/>
      <c r="DG861" s="393"/>
      <c r="DH861" s="393"/>
      <c r="DI861" s="393"/>
      <c r="DJ861" s="393"/>
      <c r="DK861" s="896" t="s">
        <v>9722</v>
      </c>
    </row>
    <row r="862" spans="1:115" ht="25.5" x14ac:dyDescent="0.2">
      <c r="A862" s="295">
        <v>858</v>
      </c>
      <c r="B862" s="390" t="s">
        <v>2757</v>
      </c>
      <c r="C862" s="390"/>
      <c r="D862" s="391" t="s">
        <v>4928</v>
      </c>
      <c r="E862" s="704" t="s">
        <v>454</v>
      </c>
      <c r="F862" s="393" t="s">
        <v>1352</v>
      </c>
      <c r="G862" s="393" t="s">
        <v>1671</v>
      </c>
      <c r="H862" s="393" t="s">
        <v>117</v>
      </c>
      <c r="I862" s="392"/>
      <c r="J862" s="392"/>
      <c r="K862" s="392" t="s">
        <v>455</v>
      </c>
      <c r="L862" s="392" t="s">
        <v>445</v>
      </c>
      <c r="M862" s="392"/>
      <c r="N862" s="393" t="s">
        <v>44</v>
      </c>
      <c r="O862" s="393" t="s">
        <v>51</v>
      </c>
      <c r="P862" s="393" t="s">
        <v>51</v>
      </c>
      <c r="Q862" s="392" t="s">
        <v>426</v>
      </c>
      <c r="R862" s="392" t="s">
        <v>3297</v>
      </c>
      <c r="S862" s="392" t="s">
        <v>427</v>
      </c>
      <c r="T862" s="394">
        <v>1</v>
      </c>
      <c r="U862" s="395">
        <v>33.673000000000002</v>
      </c>
      <c r="V862" s="395"/>
      <c r="W862" s="453"/>
      <c r="X862" s="394"/>
      <c r="Y862" s="394">
        <v>7</v>
      </c>
      <c r="Z862" s="394">
        <v>8</v>
      </c>
      <c r="AA862" s="395">
        <v>-4.3330000000000002</v>
      </c>
      <c r="AB862" s="452">
        <v>41305</v>
      </c>
      <c r="AC862" s="398">
        <v>0</v>
      </c>
      <c r="AD862" s="398">
        <v>266.70861095890416</v>
      </c>
      <c r="AE862" s="393" t="s">
        <v>446</v>
      </c>
      <c r="AF862" s="417"/>
      <c r="AG862" s="417"/>
      <c r="AH862" s="417"/>
      <c r="AI862" s="394"/>
      <c r="AJ862" s="453"/>
      <c r="AK862" s="453"/>
      <c r="AL862" s="393"/>
      <c r="AM862" s="393"/>
      <c r="AN862" s="417"/>
      <c r="AO862" s="392"/>
      <c r="AP862" s="392" t="s">
        <v>55</v>
      </c>
      <c r="AQ862" s="392"/>
      <c r="AR862" s="392" t="s">
        <v>3778</v>
      </c>
      <c r="AS862" s="479">
        <v>40858</v>
      </c>
      <c r="AT862" s="453"/>
      <c r="AU862" s="453"/>
      <c r="AV862" s="453"/>
      <c r="AW862" s="453"/>
      <c r="AX862" s="453"/>
      <c r="AY862" s="453"/>
      <c r="AZ862" s="452">
        <v>41271</v>
      </c>
      <c r="BA862" s="393"/>
      <c r="BB862" s="393"/>
      <c r="BC862" s="393" t="b">
        <v>0</v>
      </c>
      <c r="BD862" s="393"/>
      <c r="BE862" s="392"/>
      <c r="BF862" s="394">
        <v>9</v>
      </c>
      <c r="BG862" s="394"/>
      <c r="BH862" s="394"/>
      <c r="BI862" s="394"/>
      <c r="BJ862" s="394"/>
      <c r="BK862" s="394"/>
      <c r="BL862" s="444" t="s">
        <v>6983</v>
      </c>
      <c r="BM862" s="392"/>
      <c r="BN862" s="393"/>
      <c r="BO862" s="393"/>
      <c r="BP862" s="399"/>
      <c r="BQ862" s="400"/>
      <c r="BR862" s="401"/>
      <c r="BS862" s="399"/>
      <c r="BT862" s="394"/>
      <c r="BU862" s="417">
        <v>0.87044999999999995</v>
      </c>
      <c r="BV862" s="399">
        <v>9.9000000000000005E-2</v>
      </c>
      <c r="BW862" s="393" t="s">
        <v>3117</v>
      </c>
      <c r="BX862" s="392" t="s">
        <v>1447</v>
      </c>
      <c r="BY862" s="475" t="s">
        <v>7227</v>
      </c>
      <c r="BZ862" s="393"/>
      <c r="CA862" s="441" t="s">
        <v>1662</v>
      </c>
      <c r="CB862" s="400">
        <v>4</v>
      </c>
      <c r="CC862" s="398"/>
      <c r="CD862" s="398"/>
      <c r="CE862" s="398"/>
      <c r="CF862" s="398"/>
      <c r="CG862" s="398"/>
      <c r="CH862" s="398"/>
      <c r="CI862" s="398">
        <v>43.862000000000002</v>
      </c>
      <c r="CJ862" s="398">
        <v>40.869999999999997</v>
      </c>
      <c r="CK862" s="398">
        <v>37.877000000000002</v>
      </c>
      <c r="CL862" s="398">
        <v>34.884</v>
      </c>
      <c r="CM862" s="398">
        <v>31.890999999999998</v>
      </c>
      <c r="CN862" s="398">
        <v>28.898</v>
      </c>
      <c r="CO862" s="398">
        <v>25.905000000000001</v>
      </c>
      <c r="CP862" s="398">
        <v>19.385000000000002</v>
      </c>
      <c r="CQ862" s="398"/>
      <c r="CR862" s="398"/>
      <c r="CS862" s="398"/>
      <c r="CT862" s="398"/>
      <c r="CU862" s="398"/>
      <c r="CV862" s="398"/>
      <c r="CW862" s="398"/>
      <c r="CX862" s="398"/>
      <c r="CY862" s="398"/>
      <c r="CZ862" s="398"/>
      <c r="DA862" s="398"/>
      <c r="DB862" s="398"/>
      <c r="DC862" s="398"/>
      <c r="DD862" s="398"/>
      <c r="DE862" s="393"/>
      <c r="DF862" s="393"/>
      <c r="DG862" s="393"/>
      <c r="DH862" s="393"/>
      <c r="DI862" s="393"/>
      <c r="DJ862" s="393"/>
      <c r="DK862" s="897"/>
    </row>
    <row r="863" spans="1:115" ht="63.75" x14ac:dyDescent="0.2">
      <c r="A863" s="295">
        <v>859</v>
      </c>
      <c r="B863" s="390" t="s">
        <v>494</v>
      </c>
      <c r="C863" s="424" t="s">
        <v>7586</v>
      </c>
      <c r="D863" s="391" t="s">
        <v>5128</v>
      </c>
      <c r="E863" s="704" t="s">
        <v>495</v>
      </c>
      <c r="F863" s="393" t="s">
        <v>1375</v>
      </c>
      <c r="G863" s="393" t="s">
        <v>998</v>
      </c>
      <c r="H863" s="393" t="s">
        <v>218</v>
      </c>
      <c r="I863" s="392" t="s">
        <v>4089</v>
      </c>
      <c r="J863" s="392" t="s">
        <v>246</v>
      </c>
      <c r="K863" s="392"/>
      <c r="L863" s="392" t="s">
        <v>496</v>
      </c>
      <c r="M863" s="392" t="s">
        <v>3298</v>
      </c>
      <c r="N863" s="393" t="s">
        <v>44</v>
      </c>
      <c r="O863" s="393" t="s">
        <v>827</v>
      </c>
      <c r="P863" s="393" t="s">
        <v>51</v>
      </c>
      <c r="Q863" s="392" t="s">
        <v>828</v>
      </c>
      <c r="R863" s="392"/>
      <c r="S863" s="392" t="s">
        <v>483</v>
      </c>
      <c r="T863" s="394">
        <v>1</v>
      </c>
      <c r="U863" s="395">
        <v>21.393000000000001</v>
      </c>
      <c r="V863" s="395"/>
      <c r="W863" s="452">
        <v>41259</v>
      </c>
      <c r="X863" s="394">
        <v>28</v>
      </c>
      <c r="Y863" s="394"/>
      <c r="Z863" s="394"/>
      <c r="AA863" s="395"/>
      <c r="AB863" s="453"/>
      <c r="AC863" s="398">
        <v>0.12</v>
      </c>
      <c r="AD863" s="398">
        <v>171.49566575342467</v>
      </c>
      <c r="AE863" s="393" t="s">
        <v>133</v>
      </c>
      <c r="AF863" s="417"/>
      <c r="AG863" s="417"/>
      <c r="AH863" s="417">
        <v>0</v>
      </c>
      <c r="AI863" s="394"/>
      <c r="AJ863" s="453"/>
      <c r="AK863" s="453"/>
      <c r="AL863" s="393"/>
      <c r="AM863" s="393"/>
      <c r="AN863" s="417"/>
      <c r="AO863" s="392"/>
      <c r="AP863" s="392" t="s">
        <v>55</v>
      </c>
      <c r="AQ863" s="392"/>
      <c r="AR863" s="392" t="s">
        <v>497</v>
      </c>
      <c r="AS863" s="479">
        <v>40858</v>
      </c>
      <c r="AT863" s="453"/>
      <c r="AU863" s="453"/>
      <c r="AV863" s="452">
        <v>41033</v>
      </c>
      <c r="AW863" s="452">
        <v>41241</v>
      </c>
      <c r="AX863" s="452">
        <v>41293</v>
      </c>
      <c r="AY863" s="452">
        <v>41246</v>
      </c>
      <c r="AZ863" s="453"/>
      <c r="BA863" s="393"/>
      <c r="BB863" s="393" t="s">
        <v>3147</v>
      </c>
      <c r="BC863" s="393" t="b">
        <v>0</v>
      </c>
      <c r="BD863" s="393" t="s">
        <v>3147</v>
      </c>
      <c r="BE863" s="392"/>
      <c r="BF863" s="394">
        <v>1</v>
      </c>
      <c r="BG863" s="394">
        <v>6</v>
      </c>
      <c r="BH863" s="394">
        <v>9</v>
      </c>
      <c r="BI863" s="394">
        <v>8</v>
      </c>
      <c r="BJ863" s="394">
        <v>7</v>
      </c>
      <c r="BK863" s="394"/>
      <c r="BL863" s="444"/>
      <c r="BM863" s="392"/>
      <c r="BN863" s="393"/>
      <c r="BO863" s="393"/>
      <c r="BP863" s="399"/>
      <c r="BQ863" s="400"/>
      <c r="BR863" s="401"/>
      <c r="BS863" s="399">
        <v>0</v>
      </c>
      <c r="BT863" s="394"/>
      <c r="BU863" s="417"/>
      <c r="BV863" s="399"/>
      <c r="BW863" s="393"/>
      <c r="BX863" s="392"/>
      <c r="BY863" s="475" t="s">
        <v>7224</v>
      </c>
      <c r="BZ863" s="393"/>
      <c r="CA863" s="441"/>
      <c r="CB863" s="400"/>
      <c r="CC863" s="398"/>
      <c r="CD863" s="398"/>
      <c r="CE863" s="398"/>
      <c r="CF863" s="398"/>
      <c r="CG863" s="398"/>
      <c r="CH863" s="398"/>
      <c r="CI863" s="398"/>
      <c r="CJ863" s="398"/>
      <c r="CK863" s="398"/>
      <c r="CL863" s="398"/>
      <c r="CM863" s="398"/>
      <c r="CN863" s="398"/>
      <c r="CO863" s="398"/>
      <c r="CP863" s="398"/>
      <c r="CQ863" s="398"/>
      <c r="CR863" s="398"/>
      <c r="CS863" s="398"/>
      <c r="CT863" s="398"/>
      <c r="CU863" s="398"/>
      <c r="CV863" s="398"/>
      <c r="CW863" s="398"/>
      <c r="CX863" s="398"/>
      <c r="CY863" s="398"/>
      <c r="CZ863" s="398"/>
      <c r="DA863" s="398"/>
      <c r="DB863" s="398"/>
      <c r="DC863" s="398"/>
      <c r="DD863" s="398"/>
      <c r="DE863" s="393"/>
      <c r="DF863" s="393"/>
      <c r="DG863" s="393"/>
      <c r="DH863" s="393"/>
      <c r="DI863" s="393"/>
      <c r="DJ863" s="393"/>
      <c r="DK863" s="896" t="s">
        <v>9701</v>
      </c>
    </row>
    <row r="864" spans="1:115" ht="38.25" x14ac:dyDescent="0.2">
      <c r="A864" s="295">
        <v>860</v>
      </c>
      <c r="B864" s="390" t="s">
        <v>2758</v>
      </c>
      <c r="C864" s="390"/>
      <c r="D864" s="391" t="s">
        <v>4472</v>
      </c>
      <c r="E864" s="704" t="s">
        <v>498</v>
      </c>
      <c r="F864" s="393" t="s">
        <v>1375</v>
      </c>
      <c r="G864" s="393" t="s">
        <v>998</v>
      </c>
      <c r="H864" s="393" t="s">
        <v>218</v>
      </c>
      <c r="I864" s="392"/>
      <c r="J864" s="392"/>
      <c r="K864" s="392" t="s">
        <v>2186</v>
      </c>
      <c r="L864" s="392" t="s">
        <v>496</v>
      </c>
      <c r="M864" s="392"/>
      <c r="N864" s="393" t="s">
        <v>44</v>
      </c>
      <c r="O864" s="393" t="s">
        <v>827</v>
      </c>
      <c r="P864" s="393" t="s">
        <v>51</v>
      </c>
      <c r="Q864" s="392" t="s">
        <v>828</v>
      </c>
      <c r="R864" s="392" t="s">
        <v>3299</v>
      </c>
      <c r="S864" s="392" t="s">
        <v>483</v>
      </c>
      <c r="T864" s="394">
        <v>1</v>
      </c>
      <c r="U864" s="395">
        <v>21.393000000000001</v>
      </c>
      <c r="V864" s="395"/>
      <c r="W864" s="453"/>
      <c r="X864" s="394"/>
      <c r="Y864" s="394">
        <v>7</v>
      </c>
      <c r="Z864" s="394">
        <v>7</v>
      </c>
      <c r="AA864" s="395">
        <v>8.5</v>
      </c>
      <c r="AB864" s="452">
        <v>41270</v>
      </c>
      <c r="AC864" s="398">
        <v>0.12</v>
      </c>
      <c r="AD864" s="398">
        <v>171.49566575342467</v>
      </c>
      <c r="AE864" s="393" t="s">
        <v>133</v>
      </c>
      <c r="AF864" s="417"/>
      <c r="AG864" s="417"/>
      <c r="AH864" s="417"/>
      <c r="AI864" s="394"/>
      <c r="AJ864" s="453"/>
      <c r="AK864" s="453"/>
      <c r="AL864" s="393"/>
      <c r="AM864" s="393"/>
      <c r="AN864" s="417"/>
      <c r="AO864" s="392"/>
      <c r="AP864" s="392" t="s">
        <v>55</v>
      </c>
      <c r="AQ864" s="392"/>
      <c r="AR864" s="392" t="s">
        <v>497</v>
      </c>
      <c r="AS864" s="479">
        <v>40858</v>
      </c>
      <c r="AT864" s="453"/>
      <c r="AU864" s="453"/>
      <c r="AV864" s="453"/>
      <c r="AW864" s="453"/>
      <c r="AX864" s="453"/>
      <c r="AY864" s="453"/>
      <c r="AZ864" s="452">
        <v>41246</v>
      </c>
      <c r="BA864" s="393"/>
      <c r="BB864" s="393"/>
      <c r="BC864" s="393" t="b">
        <v>0</v>
      </c>
      <c r="BD864" s="393"/>
      <c r="BE864" s="392"/>
      <c r="BF864" s="394">
        <v>1</v>
      </c>
      <c r="BG864" s="394">
        <v>6</v>
      </c>
      <c r="BH864" s="394">
        <v>9</v>
      </c>
      <c r="BI864" s="394">
        <v>8</v>
      </c>
      <c r="BJ864" s="394">
        <v>7</v>
      </c>
      <c r="BK864" s="394"/>
      <c r="BL864" s="444" t="s">
        <v>6981</v>
      </c>
      <c r="BM864" s="392"/>
      <c r="BN864" s="393"/>
      <c r="BO864" s="393"/>
      <c r="BP864" s="399"/>
      <c r="BQ864" s="400"/>
      <c r="BR864" s="401"/>
      <c r="BS864" s="399"/>
      <c r="BT864" s="394"/>
      <c r="BU864" s="417"/>
      <c r="BV864" s="399"/>
      <c r="BW864" s="393" t="s">
        <v>3117</v>
      </c>
      <c r="BX864" s="392" t="s">
        <v>3199</v>
      </c>
      <c r="BY864" s="475" t="s">
        <v>7224</v>
      </c>
      <c r="BZ864" s="393"/>
      <c r="CA864" s="441"/>
      <c r="CB864" s="400"/>
      <c r="CC864" s="398"/>
      <c r="CD864" s="398"/>
      <c r="CE864" s="398"/>
      <c r="CF864" s="398"/>
      <c r="CG864" s="398"/>
      <c r="CH864" s="398"/>
      <c r="CI864" s="398">
        <v>3.4451999999999998</v>
      </c>
      <c r="CJ864" s="398">
        <v>8.6379999999999999</v>
      </c>
      <c r="CK864" s="398">
        <v>14.85737</v>
      </c>
      <c r="CL864" s="398">
        <v>22.45881</v>
      </c>
      <c r="CM864" s="398">
        <v>31.787859999999998</v>
      </c>
      <c r="CN864" s="398">
        <v>42.153460000000003</v>
      </c>
      <c r="CO864" s="398">
        <v>53.555630000000001</v>
      </c>
      <c r="CP864" s="398"/>
      <c r="CQ864" s="398"/>
      <c r="CR864" s="398"/>
      <c r="CS864" s="398"/>
      <c r="CT864" s="398"/>
      <c r="CU864" s="398"/>
      <c r="CV864" s="398"/>
      <c r="CW864" s="398"/>
      <c r="CX864" s="398"/>
      <c r="CY864" s="398"/>
      <c r="CZ864" s="398"/>
      <c r="DA864" s="398"/>
      <c r="DB864" s="398"/>
      <c r="DC864" s="398"/>
      <c r="DD864" s="398"/>
      <c r="DE864" s="393"/>
      <c r="DF864" s="393"/>
      <c r="DG864" s="393"/>
      <c r="DH864" s="393"/>
      <c r="DI864" s="393"/>
      <c r="DJ864" s="393"/>
      <c r="DK864" s="897"/>
    </row>
    <row r="865" spans="1:115" ht="38.25" x14ac:dyDescent="0.2">
      <c r="A865" s="295">
        <v>861</v>
      </c>
      <c r="B865" s="390" t="s">
        <v>916</v>
      </c>
      <c r="C865" s="424" t="s">
        <v>7587</v>
      </c>
      <c r="D865" s="391"/>
      <c r="E865" s="707" t="s">
        <v>917</v>
      </c>
      <c r="F865" s="404" t="s">
        <v>1393</v>
      </c>
      <c r="G865" s="404" t="s">
        <v>1678</v>
      </c>
      <c r="H865" s="404" t="s">
        <v>918</v>
      </c>
      <c r="I865" s="403"/>
      <c r="J865" s="403" t="s">
        <v>918</v>
      </c>
      <c r="K865" s="403"/>
      <c r="L865" s="403" t="s">
        <v>908</v>
      </c>
      <c r="M865" s="403" t="s">
        <v>3300</v>
      </c>
      <c r="N865" s="404" t="s">
        <v>2412</v>
      </c>
      <c r="O865" s="404" t="s">
        <v>827</v>
      </c>
      <c r="P865" s="404" t="s">
        <v>827</v>
      </c>
      <c r="Q865" s="403" t="s">
        <v>836</v>
      </c>
      <c r="R865" s="403"/>
      <c r="S865" s="403" t="s">
        <v>650</v>
      </c>
      <c r="T865" s="405"/>
      <c r="U865" s="406"/>
      <c r="V865" s="406"/>
      <c r="W865" s="456">
        <v>40862</v>
      </c>
      <c r="X865" s="405">
        <v>28</v>
      </c>
      <c r="Y865" s="405"/>
      <c r="Z865" s="405"/>
      <c r="AA865" s="406"/>
      <c r="AB865" s="455"/>
      <c r="AC865" s="407"/>
      <c r="AD865" s="407"/>
      <c r="AE865" s="404" t="s">
        <v>225</v>
      </c>
      <c r="AF865" s="418"/>
      <c r="AG865" s="418"/>
      <c r="AH865" s="418"/>
      <c r="AI865" s="405"/>
      <c r="AJ865" s="455"/>
      <c r="AK865" s="455"/>
      <c r="AL865" s="404"/>
      <c r="AM865" s="404"/>
      <c r="AN865" s="418"/>
      <c r="AO865" s="403"/>
      <c r="AP865" s="403" t="s">
        <v>55</v>
      </c>
      <c r="AQ865" s="403"/>
      <c r="AR865" s="403" t="s">
        <v>908</v>
      </c>
      <c r="AS865" s="482">
        <v>40862</v>
      </c>
      <c r="AT865" s="456">
        <v>40969</v>
      </c>
      <c r="AU865" s="455"/>
      <c r="AV865" s="455"/>
      <c r="AW865" s="455"/>
      <c r="AX865" s="455"/>
      <c r="AY865" s="455"/>
      <c r="AZ865" s="455"/>
      <c r="BA865" s="404"/>
      <c r="BB865" s="404" t="s">
        <v>3147</v>
      </c>
      <c r="BC865" s="404" t="b">
        <v>1</v>
      </c>
      <c r="BD865" s="404" t="s">
        <v>3147</v>
      </c>
      <c r="BE865" s="403"/>
      <c r="BF865" s="405">
        <v>5</v>
      </c>
      <c r="BG865" s="405">
        <v>9</v>
      </c>
      <c r="BH865" s="405">
        <v>11</v>
      </c>
      <c r="BI865" s="405"/>
      <c r="BJ865" s="405"/>
      <c r="BK865" s="405"/>
      <c r="BL865" s="446"/>
      <c r="BM865" s="403"/>
      <c r="BN865" s="404"/>
      <c r="BO865" s="404"/>
      <c r="BP865" s="408"/>
      <c r="BQ865" s="409"/>
      <c r="BR865" s="410"/>
      <c r="BS865" s="408"/>
      <c r="BT865" s="405"/>
      <c r="BU865" s="418"/>
      <c r="BV865" s="408"/>
      <c r="BW865" s="404"/>
      <c r="BX865" s="403"/>
      <c r="BY865" s="404"/>
      <c r="BZ865" s="404"/>
      <c r="CA865" s="443"/>
      <c r="CB865" s="409"/>
      <c r="CC865" s="407"/>
      <c r="CD865" s="407"/>
      <c r="CE865" s="407"/>
      <c r="CF865" s="407"/>
      <c r="CG865" s="407"/>
      <c r="CH865" s="407"/>
      <c r="CI865" s="407"/>
      <c r="CJ865" s="407"/>
      <c r="CK865" s="407"/>
      <c r="CL865" s="407"/>
      <c r="CM865" s="407"/>
      <c r="CN865" s="407"/>
      <c r="CO865" s="407"/>
      <c r="CP865" s="407"/>
      <c r="CQ865" s="407"/>
      <c r="CR865" s="407"/>
      <c r="CS865" s="407"/>
      <c r="CT865" s="407"/>
      <c r="CU865" s="407"/>
      <c r="CV865" s="407"/>
      <c r="CW865" s="407"/>
      <c r="CX865" s="407"/>
      <c r="CY865" s="407"/>
      <c r="CZ865" s="407"/>
      <c r="DA865" s="407"/>
      <c r="DB865" s="407"/>
      <c r="DC865" s="407"/>
      <c r="DD865" s="407"/>
      <c r="DE865" s="404"/>
      <c r="DF865" s="404"/>
      <c r="DG865" s="404"/>
      <c r="DH865" s="404"/>
      <c r="DI865" s="404"/>
      <c r="DJ865" s="404"/>
      <c r="DK865" s="897"/>
    </row>
    <row r="866" spans="1:115" ht="38.25" x14ac:dyDescent="0.2">
      <c r="A866" s="295">
        <v>862</v>
      </c>
      <c r="B866" s="390" t="s">
        <v>2759</v>
      </c>
      <c r="C866" s="390"/>
      <c r="D866" s="391"/>
      <c r="E866" s="707" t="s">
        <v>906</v>
      </c>
      <c r="F866" s="404" t="s">
        <v>1393</v>
      </c>
      <c r="G866" s="404" t="s">
        <v>1678</v>
      </c>
      <c r="H866" s="404" t="s">
        <v>918</v>
      </c>
      <c r="I866" s="403"/>
      <c r="J866" s="403"/>
      <c r="K866" s="403" t="s">
        <v>907</v>
      </c>
      <c r="L866" s="403" t="s">
        <v>908</v>
      </c>
      <c r="M866" s="403"/>
      <c r="N866" s="404" t="s">
        <v>2412</v>
      </c>
      <c r="O866" s="404" t="s">
        <v>827</v>
      </c>
      <c r="P866" s="404" t="s">
        <v>827</v>
      </c>
      <c r="Q866" s="403" t="s">
        <v>836</v>
      </c>
      <c r="R866" s="403" t="s">
        <v>3301</v>
      </c>
      <c r="S866" s="403" t="s">
        <v>650</v>
      </c>
      <c r="T866" s="405">
        <v>1</v>
      </c>
      <c r="U866" s="406">
        <v>2.4350000000000001</v>
      </c>
      <c r="V866" s="406"/>
      <c r="W866" s="455"/>
      <c r="X866" s="405"/>
      <c r="Y866" s="405">
        <v>7</v>
      </c>
      <c r="Z866" s="405">
        <v>25</v>
      </c>
      <c r="AA866" s="406">
        <v>0</v>
      </c>
      <c r="AB866" s="456">
        <v>41275</v>
      </c>
      <c r="AC866" s="407">
        <v>0</v>
      </c>
      <c r="AD866" s="407">
        <v>19.486671232876713</v>
      </c>
      <c r="AE866" s="404" t="s">
        <v>225</v>
      </c>
      <c r="AF866" s="418"/>
      <c r="AG866" s="418"/>
      <c r="AH866" s="418"/>
      <c r="AI866" s="405"/>
      <c r="AJ866" s="455"/>
      <c r="AK866" s="455"/>
      <c r="AL866" s="404"/>
      <c r="AM866" s="404"/>
      <c r="AN866" s="418"/>
      <c r="AO866" s="403"/>
      <c r="AP866" s="403" t="s">
        <v>55</v>
      </c>
      <c r="AQ866" s="403"/>
      <c r="AR866" s="403" t="s">
        <v>908</v>
      </c>
      <c r="AS866" s="482">
        <v>40862</v>
      </c>
      <c r="AT866" s="456">
        <v>40969</v>
      </c>
      <c r="AU866" s="455"/>
      <c r="AV866" s="455"/>
      <c r="AW866" s="455"/>
      <c r="AX866" s="455"/>
      <c r="AY866" s="455"/>
      <c r="AZ866" s="455"/>
      <c r="BA866" s="404"/>
      <c r="BB866" s="404"/>
      <c r="BC866" s="404" t="b">
        <v>0</v>
      </c>
      <c r="BD866" s="404"/>
      <c r="BE866" s="403"/>
      <c r="BF866" s="405">
        <v>5</v>
      </c>
      <c r="BG866" s="405">
        <v>9</v>
      </c>
      <c r="BH866" s="405">
        <v>11</v>
      </c>
      <c r="BI866" s="405"/>
      <c r="BJ866" s="405"/>
      <c r="BK866" s="405"/>
      <c r="BL866" s="446" t="s">
        <v>1451</v>
      </c>
      <c r="BM866" s="403" t="s">
        <v>3302</v>
      </c>
      <c r="BN866" s="404" t="s">
        <v>3303</v>
      </c>
      <c r="BO866" s="404"/>
      <c r="BP866" s="408"/>
      <c r="BQ866" s="409"/>
      <c r="BR866" s="410"/>
      <c r="BS866" s="408">
        <v>3</v>
      </c>
      <c r="BT866" s="405">
        <v>4723</v>
      </c>
      <c r="BU866" s="418">
        <v>0.51549999999999996</v>
      </c>
      <c r="BV866" s="408"/>
      <c r="BW866" s="404" t="s">
        <v>3117</v>
      </c>
      <c r="BX866" s="403" t="s">
        <v>1449</v>
      </c>
      <c r="BY866" s="404"/>
      <c r="BZ866" s="404"/>
      <c r="CA866" s="443"/>
      <c r="CB866" s="409"/>
      <c r="CC866" s="407"/>
      <c r="CD866" s="407"/>
      <c r="CE866" s="407"/>
      <c r="CF866" s="407"/>
      <c r="CG866" s="407"/>
      <c r="CH866" s="407"/>
      <c r="CI866" s="407">
        <v>2.4350000000000001</v>
      </c>
      <c r="CJ866" s="407">
        <v>2.4350000000000001</v>
      </c>
      <c r="CK866" s="407">
        <v>2.4350000000000001</v>
      </c>
      <c r="CL866" s="407">
        <v>2.4350000000000001</v>
      </c>
      <c r="CM866" s="407">
        <v>2.4350000000000001</v>
      </c>
      <c r="CN866" s="407">
        <v>2.4350000000000001</v>
      </c>
      <c r="CO866" s="407">
        <v>2.4350000000000001</v>
      </c>
      <c r="CP866" s="407"/>
      <c r="CQ866" s="407"/>
      <c r="CR866" s="407"/>
      <c r="CS866" s="407"/>
      <c r="CT866" s="407"/>
      <c r="CU866" s="407"/>
      <c r="CV866" s="407"/>
      <c r="CW866" s="407"/>
      <c r="CX866" s="407"/>
      <c r="CY866" s="407"/>
      <c r="CZ866" s="407"/>
      <c r="DA866" s="407"/>
      <c r="DB866" s="407"/>
      <c r="DC866" s="407"/>
      <c r="DD866" s="407"/>
      <c r="DE866" s="404"/>
      <c r="DF866" s="404"/>
      <c r="DG866" s="404"/>
      <c r="DH866" s="404"/>
      <c r="DI866" s="404"/>
      <c r="DJ866" s="404"/>
      <c r="DK866" s="897"/>
    </row>
    <row r="867" spans="1:115" ht="38.25" x14ac:dyDescent="0.2">
      <c r="A867" s="295">
        <v>863</v>
      </c>
      <c r="B867" s="390" t="s">
        <v>243</v>
      </c>
      <c r="C867" s="424" t="s">
        <v>7588</v>
      </c>
      <c r="D867" s="391" t="s">
        <v>5129</v>
      </c>
      <c r="E867" s="704" t="s">
        <v>244</v>
      </c>
      <c r="F867" s="393" t="s">
        <v>1375</v>
      </c>
      <c r="G867" s="393" t="s">
        <v>998</v>
      </c>
      <c r="H867" s="393" t="s">
        <v>218</v>
      </c>
      <c r="I867" s="392" t="s">
        <v>4929</v>
      </c>
      <c r="J867" s="392" t="s">
        <v>4930</v>
      </c>
      <c r="K867" s="392"/>
      <c r="L867" s="392" t="s">
        <v>219</v>
      </c>
      <c r="M867" s="392" t="s">
        <v>3304</v>
      </c>
      <c r="N867" s="393" t="s">
        <v>44</v>
      </c>
      <c r="O867" s="393" t="s">
        <v>69</v>
      </c>
      <c r="P867" s="393" t="s">
        <v>69</v>
      </c>
      <c r="Q867" s="392" t="s">
        <v>172</v>
      </c>
      <c r="R867" s="392"/>
      <c r="S867" s="392" t="s">
        <v>166</v>
      </c>
      <c r="T867" s="394">
        <v>1</v>
      </c>
      <c r="U867" s="395">
        <v>63.933999999999997</v>
      </c>
      <c r="V867" s="395"/>
      <c r="W867" s="452">
        <v>40910</v>
      </c>
      <c r="X867" s="394">
        <v>28</v>
      </c>
      <c r="Y867" s="394"/>
      <c r="Z867" s="394"/>
      <c r="AA867" s="395"/>
      <c r="AB867" s="453"/>
      <c r="AC867" s="398">
        <v>0</v>
      </c>
      <c r="AD867" s="398">
        <v>513.04845479452047</v>
      </c>
      <c r="AE867" s="393" t="s">
        <v>133</v>
      </c>
      <c r="AF867" s="417"/>
      <c r="AG867" s="417"/>
      <c r="AH867" s="417">
        <v>0</v>
      </c>
      <c r="AI867" s="394"/>
      <c r="AJ867" s="453"/>
      <c r="AK867" s="453"/>
      <c r="AL867" s="393"/>
      <c r="AM867" s="393"/>
      <c r="AN867" s="417"/>
      <c r="AO867" s="392"/>
      <c r="AP867" s="392" t="s">
        <v>55</v>
      </c>
      <c r="AQ867" s="392"/>
      <c r="AR867" s="392" t="s">
        <v>220</v>
      </c>
      <c r="AS867" s="479">
        <v>40863</v>
      </c>
      <c r="AT867" s="453"/>
      <c r="AU867" s="453"/>
      <c r="AV867" s="452">
        <v>41156</v>
      </c>
      <c r="AW867" s="452">
        <v>41267</v>
      </c>
      <c r="AX867" s="452">
        <v>41383</v>
      </c>
      <c r="AY867" s="452">
        <v>41267</v>
      </c>
      <c r="AZ867" s="453"/>
      <c r="BA867" s="393"/>
      <c r="BB867" s="393" t="s">
        <v>3147</v>
      </c>
      <c r="BC867" s="393" t="b">
        <v>0</v>
      </c>
      <c r="BD867" s="393" t="s">
        <v>3147</v>
      </c>
      <c r="BE867" s="392"/>
      <c r="BF867" s="394">
        <v>4</v>
      </c>
      <c r="BG867" s="394">
        <v>1</v>
      </c>
      <c r="BH867" s="394">
        <v>6</v>
      </c>
      <c r="BI867" s="394">
        <v>9</v>
      </c>
      <c r="BJ867" s="394">
        <v>8</v>
      </c>
      <c r="BK867" s="394">
        <v>2</v>
      </c>
      <c r="BL867" s="444"/>
      <c r="BM867" s="392"/>
      <c r="BN867" s="393"/>
      <c r="BO867" s="393"/>
      <c r="BP867" s="399"/>
      <c r="BQ867" s="400"/>
      <c r="BR867" s="401"/>
      <c r="BS867" s="399">
        <v>0</v>
      </c>
      <c r="BT867" s="394"/>
      <c r="BU867" s="417"/>
      <c r="BV867" s="399"/>
      <c r="BW867" s="393"/>
      <c r="BX867" s="392"/>
      <c r="BY867" s="393"/>
      <c r="BZ867" s="393"/>
      <c r="CA867" s="441"/>
      <c r="CB867" s="400"/>
      <c r="CC867" s="398"/>
      <c r="CD867" s="398"/>
      <c r="CE867" s="398"/>
      <c r="CF867" s="398"/>
      <c r="CG867" s="398"/>
      <c r="CH867" s="398"/>
      <c r="CI867" s="398"/>
      <c r="CJ867" s="398"/>
      <c r="CK867" s="398"/>
      <c r="CL867" s="398"/>
      <c r="CM867" s="398"/>
      <c r="CN867" s="398"/>
      <c r="CO867" s="398"/>
      <c r="CP867" s="398"/>
      <c r="CQ867" s="398"/>
      <c r="CR867" s="398"/>
      <c r="CS867" s="398"/>
      <c r="CT867" s="398"/>
      <c r="CU867" s="398"/>
      <c r="CV867" s="398"/>
      <c r="CW867" s="398"/>
      <c r="CX867" s="398"/>
      <c r="CY867" s="398"/>
      <c r="CZ867" s="398"/>
      <c r="DA867" s="398"/>
      <c r="DB867" s="398"/>
      <c r="DC867" s="398"/>
      <c r="DD867" s="398"/>
      <c r="DE867" s="393"/>
      <c r="DF867" s="393"/>
      <c r="DG867" s="393"/>
      <c r="DH867" s="393"/>
      <c r="DI867" s="393"/>
      <c r="DJ867" s="393"/>
      <c r="DK867" s="896" t="s">
        <v>9711</v>
      </c>
    </row>
    <row r="868" spans="1:115" ht="25.5" x14ac:dyDescent="0.2">
      <c r="A868" s="295">
        <v>864</v>
      </c>
      <c r="B868" s="390" t="s">
        <v>2760</v>
      </c>
      <c r="C868" s="390"/>
      <c r="D868" s="391" t="s">
        <v>4931</v>
      </c>
      <c r="E868" s="704" t="s">
        <v>4932</v>
      </c>
      <c r="F868" s="393" t="s">
        <v>1375</v>
      </c>
      <c r="G868" s="393" t="s">
        <v>998</v>
      </c>
      <c r="H868" s="393" t="s">
        <v>218</v>
      </c>
      <c r="I868" s="392"/>
      <c r="J868" s="392"/>
      <c r="K868" s="392" t="s">
        <v>218</v>
      </c>
      <c r="L868" s="392" t="s">
        <v>219</v>
      </c>
      <c r="M868" s="392"/>
      <c r="N868" s="393" t="s">
        <v>44</v>
      </c>
      <c r="O868" s="393" t="s">
        <v>69</v>
      </c>
      <c r="P868" s="393" t="s">
        <v>69</v>
      </c>
      <c r="Q868" s="392" t="s">
        <v>172</v>
      </c>
      <c r="R868" s="392" t="s">
        <v>3305</v>
      </c>
      <c r="S868" s="392" t="s">
        <v>166</v>
      </c>
      <c r="T868" s="394">
        <v>1</v>
      </c>
      <c r="U868" s="395">
        <v>63.933999999999997</v>
      </c>
      <c r="V868" s="395"/>
      <c r="W868" s="453"/>
      <c r="X868" s="394"/>
      <c r="Y868" s="394">
        <v>7</v>
      </c>
      <c r="Z868" s="394">
        <v>21</v>
      </c>
      <c r="AA868" s="395">
        <v>6.5</v>
      </c>
      <c r="AB868" s="452">
        <v>41267</v>
      </c>
      <c r="AC868" s="398">
        <v>0</v>
      </c>
      <c r="AD868" s="398">
        <v>513.04845479452047</v>
      </c>
      <c r="AE868" s="393" t="s">
        <v>133</v>
      </c>
      <c r="AF868" s="417"/>
      <c r="AG868" s="417"/>
      <c r="AH868" s="417"/>
      <c r="AI868" s="394"/>
      <c r="AJ868" s="453"/>
      <c r="AK868" s="453"/>
      <c r="AL868" s="393"/>
      <c r="AM868" s="393"/>
      <c r="AN868" s="417"/>
      <c r="AO868" s="392"/>
      <c r="AP868" s="392" t="s">
        <v>55</v>
      </c>
      <c r="AQ868" s="392"/>
      <c r="AR868" s="392" t="s">
        <v>220</v>
      </c>
      <c r="AS868" s="479">
        <v>40863</v>
      </c>
      <c r="AT868" s="453"/>
      <c r="AU868" s="453"/>
      <c r="AV868" s="453"/>
      <c r="AW868" s="453"/>
      <c r="AX868" s="453"/>
      <c r="AY868" s="453"/>
      <c r="AZ868" s="452">
        <v>41267</v>
      </c>
      <c r="BA868" s="393"/>
      <c r="BB868" s="393"/>
      <c r="BC868" s="393" t="b">
        <v>0</v>
      </c>
      <c r="BD868" s="393"/>
      <c r="BE868" s="392"/>
      <c r="BF868" s="394">
        <v>4</v>
      </c>
      <c r="BG868" s="394">
        <v>1</v>
      </c>
      <c r="BH868" s="394">
        <v>6</v>
      </c>
      <c r="BI868" s="394">
        <v>9</v>
      </c>
      <c r="BJ868" s="394">
        <v>8</v>
      </c>
      <c r="BK868" s="394">
        <v>2</v>
      </c>
      <c r="BL868" s="444" t="s">
        <v>6981</v>
      </c>
      <c r="BM868" s="392"/>
      <c r="BN868" s="393"/>
      <c r="BO868" s="393"/>
      <c r="BP868" s="399"/>
      <c r="BQ868" s="400"/>
      <c r="BR868" s="401"/>
      <c r="BS868" s="399"/>
      <c r="BT868" s="394"/>
      <c r="BU868" s="417"/>
      <c r="BV868" s="399"/>
      <c r="BW868" s="393" t="s">
        <v>3165</v>
      </c>
      <c r="BX868" s="392" t="s">
        <v>1449</v>
      </c>
      <c r="BY868" s="393"/>
      <c r="BZ868" s="393"/>
      <c r="CA868" s="441"/>
      <c r="CB868" s="400"/>
      <c r="CC868" s="398"/>
      <c r="CD868" s="398"/>
      <c r="CE868" s="398"/>
      <c r="CF868" s="398"/>
      <c r="CG868" s="398"/>
      <c r="CH868" s="398"/>
      <c r="CI868" s="398">
        <v>28.364999999999998</v>
      </c>
      <c r="CJ868" s="398">
        <v>56.491999999999997</v>
      </c>
      <c r="CK868" s="398">
        <v>74.75</v>
      </c>
      <c r="CL868" s="398">
        <v>75.304000000000002</v>
      </c>
      <c r="CM868" s="398">
        <v>73.045000000000002</v>
      </c>
      <c r="CN868" s="398">
        <v>70.852999999999994</v>
      </c>
      <c r="CO868" s="398">
        <v>68.727999999999994</v>
      </c>
      <c r="CP868" s="398"/>
      <c r="CQ868" s="398"/>
      <c r="CR868" s="398"/>
      <c r="CS868" s="398"/>
      <c r="CT868" s="398"/>
      <c r="CU868" s="398"/>
      <c r="CV868" s="398"/>
      <c r="CW868" s="398"/>
      <c r="CX868" s="398"/>
      <c r="CY868" s="398"/>
      <c r="CZ868" s="398"/>
      <c r="DA868" s="398"/>
      <c r="DB868" s="398"/>
      <c r="DC868" s="398"/>
      <c r="DD868" s="398"/>
      <c r="DE868" s="393"/>
      <c r="DF868" s="393"/>
      <c r="DG868" s="393"/>
      <c r="DH868" s="393"/>
      <c r="DI868" s="393"/>
      <c r="DJ868" s="393"/>
      <c r="DK868" s="897"/>
    </row>
    <row r="869" spans="1:115" ht="38.25" x14ac:dyDescent="0.2">
      <c r="A869" s="295">
        <v>865</v>
      </c>
      <c r="B869" s="390" t="s">
        <v>1132</v>
      </c>
      <c r="C869" s="424" t="s">
        <v>7589</v>
      </c>
      <c r="D869" s="391" t="s">
        <v>6874</v>
      </c>
      <c r="E869" s="704" t="s">
        <v>1133</v>
      </c>
      <c r="F869" s="393" t="s">
        <v>1352</v>
      </c>
      <c r="G869" s="393" t="s">
        <v>1671</v>
      </c>
      <c r="H869" s="393" t="s">
        <v>107</v>
      </c>
      <c r="I869" s="392"/>
      <c r="J869" s="392" t="s">
        <v>107</v>
      </c>
      <c r="K869" s="392"/>
      <c r="L869" s="428" t="s">
        <v>8153</v>
      </c>
      <c r="M869" s="392" t="s">
        <v>3306</v>
      </c>
      <c r="N869" s="393" t="s">
        <v>44</v>
      </c>
      <c r="O869" s="393" t="s">
        <v>69</v>
      </c>
      <c r="P869" s="393" t="s">
        <v>69</v>
      </c>
      <c r="Q869" s="392" t="s">
        <v>1111</v>
      </c>
      <c r="R869" s="392"/>
      <c r="S869" s="392" t="s">
        <v>46</v>
      </c>
      <c r="T869" s="394">
        <v>3</v>
      </c>
      <c r="U869" s="395">
        <v>3.0659999999999998</v>
      </c>
      <c r="V869" s="395"/>
      <c r="W869" s="452">
        <v>40659</v>
      </c>
      <c r="X869" s="394">
        <v>28</v>
      </c>
      <c r="Y869" s="394"/>
      <c r="Z869" s="394"/>
      <c r="AA869" s="395"/>
      <c r="AB869" s="453"/>
      <c r="AC869" s="398">
        <v>0.20219999999999999</v>
      </c>
      <c r="AD869" s="398">
        <v>19.23814794520548</v>
      </c>
      <c r="AE869" s="393" t="s">
        <v>309</v>
      </c>
      <c r="AF869" s="417"/>
      <c r="AG869" s="417"/>
      <c r="AH869" s="417">
        <v>0</v>
      </c>
      <c r="AI869" s="394"/>
      <c r="AJ869" s="453"/>
      <c r="AK869" s="453"/>
      <c r="AL869" s="393"/>
      <c r="AM869" s="393"/>
      <c r="AN869" s="417"/>
      <c r="AO869" s="392"/>
      <c r="AP869" s="392" t="s">
        <v>55</v>
      </c>
      <c r="AQ869" s="392"/>
      <c r="AR869" s="428" t="s">
        <v>541</v>
      </c>
      <c r="AS869" s="479">
        <v>40865</v>
      </c>
      <c r="AT869" s="453"/>
      <c r="AU869" s="453"/>
      <c r="AV869" s="452">
        <v>41211</v>
      </c>
      <c r="AW869" s="452">
        <v>41946</v>
      </c>
      <c r="AX869" s="452">
        <v>42041</v>
      </c>
      <c r="AY869" s="452">
        <v>41946</v>
      </c>
      <c r="AZ869" s="453"/>
      <c r="BA869" s="393"/>
      <c r="BB869" s="393" t="s">
        <v>3116</v>
      </c>
      <c r="BC869" s="393" t="b">
        <v>0</v>
      </c>
      <c r="BD869" s="393" t="s">
        <v>3116</v>
      </c>
      <c r="BE869" s="392"/>
      <c r="BF869" s="394">
        <v>11</v>
      </c>
      <c r="BG869" s="394">
        <v>9</v>
      </c>
      <c r="BH869" s="394">
        <v>1</v>
      </c>
      <c r="BI869" s="394"/>
      <c r="BJ869" s="394"/>
      <c r="BK869" s="394"/>
      <c r="BL869" s="444"/>
      <c r="BM869" s="392"/>
      <c r="BN869" s="393"/>
      <c r="BO869" s="393"/>
      <c r="BP869" s="399"/>
      <c r="BQ869" s="400"/>
      <c r="BR869" s="401"/>
      <c r="BS869" s="399">
        <v>0</v>
      </c>
      <c r="BT869" s="394"/>
      <c r="BU869" s="417"/>
      <c r="BV869" s="399"/>
      <c r="BW869" s="393"/>
      <c r="BX869" s="392" t="s">
        <v>1447</v>
      </c>
      <c r="BY869" s="393"/>
      <c r="BZ869" s="393"/>
      <c r="CA869" s="441"/>
      <c r="CB869" s="400"/>
      <c r="CC869" s="398"/>
      <c r="CD869" s="398"/>
      <c r="CE869" s="398"/>
      <c r="CF869" s="398"/>
      <c r="CG869" s="398"/>
      <c r="CH869" s="398"/>
      <c r="CI869" s="398"/>
      <c r="CJ869" s="398"/>
      <c r="CK869" s="398"/>
      <c r="CL869" s="398"/>
      <c r="CM869" s="398"/>
      <c r="CN869" s="398"/>
      <c r="CO869" s="398"/>
      <c r="CP869" s="398"/>
      <c r="CQ869" s="398"/>
      <c r="CR869" s="398"/>
      <c r="CS869" s="398"/>
      <c r="CT869" s="398"/>
      <c r="CU869" s="398"/>
      <c r="CV869" s="398"/>
      <c r="CW869" s="398"/>
      <c r="CX869" s="398"/>
      <c r="CY869" s="398"/>
      <c r="CZ869" s="398"/>
      <c r="DA869" s="398"/>
      <c r="DB869" s="398"/>
      <c r="DC869" s="398"/>
      <c r="DD869" s="398"/>
      <c r="DE869" s="393"/>
      <c r="DF869" s="393"/>
      <c r="DG869" s="393"/>
      <c r="DH869" s="393"/>
      <c r="DI869" s="393"/>
      <c r="DJ869" s="393"/>
      <c r="DK869" s="896" t="s">
        <v>9725</v>
      </c>
    </row>
    <row r="870" spans="1:115" ht="38.25" x14ac:dyDescent="0.2">
      <c r="A870" s="295">
        <v>866</v>
      </c>
      <c r="B870" s="390" t="s">
        <v>2761</v>
      </c>
      <c r="C870" s="390"/>
      <c r="D870" s="391" t="s">
        <v>6875</v>
      </c>
      <c r="E870" s="705" t="s">
        <v>8151</v>
      </c>
      <c r="F870" s="393" t="s">
        <v>1352</v>
      </c>
      <c r="G870" s="393" t="s">
        <v>1671</v>
      </c>
      <c r="H870" s="393" t="s">
        <v>107</v>
      </c>
      <c r="I870" s="392"/>
      <c r="J870" s="392"/>
      <c r="K870" s="392" t="s">
        <v>2187</v>
      </c>
      <c r="L870" s="428" t="s">
        <v>8153</v>
      </c>
      <c r="M870" s="392"/>
      <c r="N870" s="393" t="s">
        <v>44</v>
      </c>
      <c r="O870" s="393" t="s">
        <v>69</v>
      </c>
      <c r="P870" s="393" t="s">
        <v>69</v>
      </c>
      <c r="Q870" s="392" t="s">
        <v>1111</v>
      </c>
      <c r="R870" s="392" t="s">
        <v>3307</v>
      </c>
      <c r="S870" s="392" t="s">
        <v>46</v>
      </c>
      <c r="T870" s="394">
        <v>1</v>
      </c>
      <c r="U870" s="395">
        <v>1.218</v>
      </c>
      <c r="V870" s="395"/>
      <c r="W870" s="453"/>
      <c r="X870" s="394"/>
      <c r="Y870" s="394">
        <v>10</v>
      </c>
      <c r="Z870" s="394">
        <v>25</v>
      </c>
      <c r="AA870" s="395">
        <v>0</v>
      </c>
      <c r="AB870" s="452">
        <v>40659</v>
      </c>
      <c r="AC870" s="398">
        <v>0.20219999999999999</v>
      </c>
      <c r="AD870" s="398">
        <v>12.18</v>
      </c>
      <c r="AE870" s="393" t="s">
        <v>309</v>
      </c>
      <c r="AF870" s="417"/>
      <c r="AG870" s="417"/>
      <c r="AH870" s="417"/>
      <c r="AI870" s="394"/>
      <c r="AJ870" s="453"/>
      <c r="AK870" s="453"/>
      <c r="AL870" s="393"/>
      <c r="AM870" s="393"/>
      <c r="AN870" s="417"/>
      <c r="AO870" s="392"/>
      <c r="AP870" s="392" t="s">
        <v>55</v>
      </c>
      <c r="AQ870" s="392"/>
      <c r="AR870" s="392" t="s">
        <v>541</v>
      </c>
      <c r="AS870" s="479">
        <v>40865</v>
      </c>
      <c r="AT870" s="397"/>
      <c r="AU870" s="397"/>
      <c r="AV870" s="453"/>
      <c r="AW870" s="453"/>
      <c r="AX870" s="453"/>
      <c r="AY870" s="453"/>
      <c r="AZ870" s="452">
        <v>41946</v>
      </c>
      <c r="BA870" s="393"/>
      <c r="BB870" s="393"/>
      <c r="BC870" s="393" t="b">
        <v>0</v>
      </c>
      <c r="BD870" s="393"/>
      <c r="BE870" s="392"/>
      <c r="BF870" s="394">
        <v>11</v>
      </c>
      <c r="BG870" s="394">
        <v>9</v>
      </c>
      <c r="BH870" s="394">
        <v>1</v>
      </c>
      <c r="BI870" s="394"/>
      <c r="BJ870" s="394"/>
      <c r="BK870" s="394"/>
      <c r="BL870" s="444" t="s">
        <v>6981</v>
      </c>
      <c r="BM870" s="392"/>
      <c r="BN870" s="393"/>
      <c r="BO870" s="393"/>
      <c r="BP870" s="399"/>
      <c r="BQ870" s="400"/>
      <c r="BR870" s="401"/>
      <c r="BS870" s="399"/>
      <c r="BT870" s="394"/>
      <c r="BU870" s="417">
        <v>0.67369999999999997</v>
      </c>
      <c r="BV870" s="399"/>
      <c r="BW870" s="393" t="s">
        <v>3117</v>
      </c>
      <c r="BX870" s="392" t="s">
        <v>3199</v>
      </c>
      <c r="BY870" s="393"/>
      <c r="BZ870" s="393"/>
      <c r="CA870" s="441"/>
      <c r="CB870" s="400"/>
      <c r="CC870" s="398"/>
      <c r="CD870" s="398"/>
      <c r="CE870" s="398"/>
      <c r="CF870" s="398"/>
      <c r="CG870" s="398"/>
      <c r="CH870" s="398"/>
      <c r="CI870" s="398"/>
      <c r="CJ870" s="398"/>
      <c r="CK870" s="398">
        <v>120.46</v>
      </c>
      <c r="CL870" s="398">
        <v>120.46</v>
      </c>
      <c r="CM870" s="398">
        <v>120.46</v>
      </c>
      <c r="CN870" s="398">
        <v>120.46</v>
      </c>
      <c r="CO870" s="398">
        <v>120.46</v>
      </c>
      <c r="CP870" s="398">
        <v>120.46</v>
      </c>
      <c r="CQ870" s="398">
        <v>120.46</v>
      </c>
      <c r="CR870" s="398">
        <v>120.46</v>
      </c>
      <c r="CS870" s="398">
        <v>120.46</v>
      </c>
      <c r="CT870" s="398">
        <v>120.46</v>
      </c>
      <c r="CU870" s="398"/>
      <c r="CV870" s="398"/>
      <c r="CW870" s="398"/>
      <c r="CX870" s="398"/>
      <c r="CY870" s="398"/>
      <c r="CZ870" s="398"/>
      <c r="DA870" s="398"/>
      <c r="DB870" s="398"/>
      <c r="DC870" s="398"/>
      <c r="DD870" s="398"/>
      <c r="DE870" s="393"/>
      <c r="DF870" s="393"/>
      <c r="DG870" s="393"/>
      <c r="DH870" s="393"/>
      <c r="DI870" s="393"/>
      <c r="DJ870" s="393"/>
      <c r="DK870" s="897"/>
    </row>
    <row r="871" spans="1:115" ht="38.25" x14ac:dyDescent="0.2">
      <c r="A871" s="295">
        <v>867</v>
      </c>
      <c r="B871" s="390" t="s">
        <v>8146</v>
      </c>
      <c r="C871" s="390"/>
      <c r="D871" s="391" t="s">
        <v>8148</v>
      </c>
      <c r="E871" s="705" t="s">
        <v>8150</v>
      </c>
      <c r="F871" s="393" t="s">
        <v>1352</v>
      </c>
      <c r="G871" s="393" t="s">
        <v>1671</v>
      </c>
      <c r="H871" s="393" t="s">
        <v>107</v>
      </c>
      <c r="I871" s="392"/>
      <c r="J871" s="392"/>
      <c r="K871" s="428" t="s">
        <v>2187</v>
      </c>
      <c r="L871" s="428" t="s">
        <v>8153</v>
      </c>
      <c r="M871" s="392"/>
      <c r="N871" s="393" t="s">
        <v>44</v>
      </c>
      <c r="O871" s="393" t="s">
        <v>69</v>
      </c>
      <c r="P871" s="393" t="s">
        <v>69</v>
      </c>
      <c r="Q871" s="392" t="s">
        <v>1111</v>
      </c>
      <c r="R871" s="428" t="s">
        <v>8154</v>
      </c>
      <c r="S871" s="392" t="s">
        <v>46</v>
      </c>
      <c r="T871" s="394">
        <v>1</v>
      </c>
      <c r="U871" s="395">
        <v>1.5640000000000001</v>
      </c>
      <c r="V871" s="395"/>
      <c r="W871" s="453"/>
      <c r="X871" s="394"/>
      <c r="Y871" s="394">
        <v>7</v>
      </c>
      <c r="Z871" s="394">
        <v>25</v>
      </c>
      <c r="AA871" s="395">
        <v>0</v>
      </c>
      <c r="AB871" s="452">
        <v>43101</v>
      </c>
      <c r="AC871" s="398">
        <v>0</v>
      </c>
      <c r="AD871" s="398">
        <v>4.6920000000000002</v>
      </c>
      <c r="AE871" s="393" t="s">
        <v>309</v>
      </c>
      <c r="AF871" s="417"/>
      <c r="AG871" s="417"/>
      <c r="AH871" s="417"/>
      <c r="AI871" s="394"/>
      <c r="AJ871" s="453"/>
      <c r="AK871" s="453"/>
      <c r="AL871" s="393"/>
      <c r="AM871" s="393"/>
      <c r="AN871" s="417"/>
      <c r="AO871" s="392"/>
      <c r="AP871" s="392"/>
      <c r="AQ871" s="392"/>
      <c r="AR871" s="428" t="s">
        <v>541</v>
      </c>
      <c r="AS871" s="479">
        <v>40865</v>
      </c>
      <c r="AT871" s="453"/>
      <c r="AU871" s="453"/>
      <c r="AV871" s="453"/>
      <c r="AW871" s="453"/>
      <c r="AX871" s="453"/>
      <c r="AY871" s="453"/>
      <c r="AZ871" s="452">
        <v>42541</v>
      </c>
      <c r="BA871" s="393"/>
      <c r="BB871" s="393"/>
      <c r="BC871" s="393" t="b">
        <v>0</v>
      </c>
      <c r="BD871" s="393"/>
      <c r="BE871" s="392"/>
      <c r="BF871" s="394">
        <v>11</v>
      </c>
      <c r="BG871" s="394">
        <v>9</v>
      </c>
      <c r="BH871" s="394">
        <v>1</v>
      </c>
      <c r="BI871" s="394"/>
      <c r="BJ871" s="394"/>
      <c r="BK871" s="394"/>
      <c r="BL871" s="444" t="s">
        <v>6981</v>
      </c>
      <c r="BM871" s="392"/>
      <c r="BN871" s="393"/>
      <c r="BO871" s="393"/>
      <c r="BP871" s="399"/>
      <c r="BQ871" s="400"/>
      <c r="BR871" s="401"/>
      <c r="BS871" s="399"/>
      <c r="BT871" s="394"/>
      <c r="BU871" s="417"/>
      <c r="BV871" s="399"/>
      <c r="BW871" s="475" t="s">
        <v>3117</v>
      </c>
      <c r="BX871" s="428" t="s">
        <v>3199</v>
      </c>
      <c r="BY871" s="393"/>
      <c r="BZ871" s="393"/>
      <c r="CA871" s="441"/>
      <c r="CB871" s="400"/>
      <c r="CC871" s="398"/>
      <c r="CD871" s="398"/>
      <c r="CE871" s="398"/>
      <c r="CF871" s="398"/>
      <c r="CG871" s="398"/>
      <c r="CH871" s="398"/>
      <c r="CI871" s="398"/>
      <c r="CJ871" s="398"/>
      <c r="CK871" s="398"/>
      <c r="CL871" s="398"/>
      <c r="CM871" s="398"/>
      <c r="CN871" s="398">
        <v>1.5640000000000001</v>
      </c>
      <c r="CO871" s="398">
        <v>1.5640000000000001</v>
      </c>
      <c r="CP871" s="398">
        <v>1.5640000000000001</v>
      </c>
      <c r="CQ871" s="398">
        <v>1.5640000000000001</v>
      </c>
      <c r="CR871" s="398">
        <v>1.5640000000000001</v>
      </c>
      <c r="CS871" s="398">
        <v>1.5640000000000001</v>
      </c>
      <c r="CT871" s="398">
        <v>1.5640000000000001</v>
      </c>
      <c r="CU871" s="398"/>
      <c r="CV871" s="398"/>
      <c r="CW871" s="398"/>
      <c r="CX871" s="398"/>
      <c r="CY871" s="398"/>
      <c r="CZ871" s="398"/>
      <c r="DA871" s="398"/>
      <c r="DB871" s="398"/>
      <c r="DC871" s="398"/>
      <c r="DD871" s="398"/>
      <c r="DE871" s="393"/>
      <c r="DF871" s="393"/>
      <c r="DG871" s="393"/>
      <c r="DH871" s="393"/>
      <c r="DI871" s="393"/>
      <c r="DJ871" s="393"/>
      <c r="DK871" s="897"/>
    </row>
    <row r="872" spans="1:115" ht="63.75" x14ac:dyDescent="0.2">
      <c r="A872" s="295">
        <v>868</v>
      </c>
      <c r="B872" s="390" t="s">
        <v>8147</v>
      </c>
      <c r="C872" s="390"/>
      <c r="D872" s="391" t="s">
        <v>8149</v>
      </c>
      <c r="E872" s="705" t="s">
        <v>8152</v>
      </c>
      <c r="F872" s="393" t="s">
        <v>1352</v>
      </c>
      <c r="G872" s="393" t="s">
        <v>1671</v>
      </c>
      <c r="H872" s="393" t="s">
        <v>107</v>
      </c>
      <c r="I872" s="392"/>
      <c r="J872" s="392"/>
      <c r="K872" s="428" t="s">
        <v>2187</v>
      </c>
      <c r="L872" s="428" t="s">
        <v>8153</v>
      </c>
      <c r="M872" s="392"/>
      <c r="N872" s="475" t="s">
        <v>44</v>
      </c>
      <c r="O872" s="393" t="s">
        <v>69</v>
      </c>
      <c r="P872" s="393" t="s">
        <v>69</v>
      </c>
      <c r="Q872" s="392" t="s">
        <v>1111</v>
      </c>
      <c r="R872" s="428" t="s">
        <v>8155</v>
      </c>
      <c r="S872" s="392" t="s">
        <v>46</v>
      </c>
      <c r="T872" s="394">
        <v>1</v>
      </c>
      <c r="U872" s="395">
        <v>0.28399999999999997</v>
      </c>
      <c r="V872" s="395"/>
      <c r="W872" s="453"/>
      <c r="X872" s="394"/>
      <c r="Y872" s="394">
        <v>7</v>
      </c>
      <c r="Z872" s="394">
        <v>25</v>
      </c>
      <c r="AA872" s="395">
        <v>0</v>
      </c>
      <c r="AB872" s="452">
        <v>41155</v>
      </c>
      <c r="AC872" s="398">
        <v>0</v>
      </c>
      <c r="AD872" s="398">
        <v>2.366147945205479</v>
      </c>
      <c r="AE872" s="475" t="s">
        <v>309</v>
      </c>
      <c r="AF872" s="417"/>
      <c r="AG872" s="417"/>
      <c r="AH872" s="417"/>
      <c r="AI872" s="394"/>
      <c r="AJ872" s="453"/>
      <c r="AK872" s="453"/>
      <c r="AL872" s="393"/>
      <c r="AM872" s="393"/>
      <c r="AN872" s="417"/>
      <c r="AO872" s="392"/>
      <c r="AP872" s="392"/>
      <c r="AQ872" s="392"/>
      <c r="AR872" s="428" t="s">
        <v>541</v>
      </c>
      <c r="AS872" s="479">
        <v>40865</v>
      </c>
      <c r="AT872" s="453"/>
      <c r="AU872" s="453"/>
      <c r="AV872" s="453"/>
      <c r="AW872" s="453"/>
      <c r="AX872" s="453"/>
      <c r="AY872" s="453"/>
      <c r="AZ872" s="452">
        <v>42541</v>
      </c>
      <c r="BA872" s="393"/>
      <c r="BB872" s="393"/>
      <c r="BC872" s="393" t="b">
        <v>0</v>
      </c>
      <c r="BD872" s="393"/>
      <c r="BE872" s="392"/>
      <c r="BF872" s="394">
        <v>11</v>
      </c>
      <c r="BG872" s="394">
        <v>9</v>
      </c>
      <c r="BH872" s="394">
        <v>1</v>
      </c>
      <c r="BI872" s="394"/>
      <c r="BJ872" s="394"/>
      <c r="BK872" s="394"/>
      <c r="BL872" s="444" t="s">
        <v>6981</v>
      </c>
      <c r="BM872" s="392"/>
      <c r="BN872" s="393"/>
      <c r="BO872" s="393"/>
      <c r="BP872" s="399"/>
      <c r="BQ872" s="400"/>
      <c r="BR872" s="401"/>
      <c r="BS872" s="399"/>
      <c r="BT872" s="394"/>
      <c r="BU872" s="417"/>
      <c r="BV872" s="399"/>
      <c r="BW872" s="475" t="s">
        <v>3117</v>
      </c>
      <c r="BX872" s="428" t="s">
        <v>3199</v>
      </c>
      <c r="BY872" s="393"/>
      <c r="BZ872" s="393"/>
      <c r="CA872" s="441"/>
      <c r="CB872" s="400"/>
      <c r="CC872" s="398"/>
      <c r="CD872" s="398"/>
      <c r="CE872" s="398"/>
      <c r="CF872" s="398"/>
      <c r="CG872" s="398"/>
      <c r="CH872" s="398"/>
      <c r="CI872" s="398"/>
      <c r="CJ872" s="398"/>
      <c r="CK872" s="398"/>
      <c r="CL872" s="398"/>
      <c r="CM872" s="398"/>
      <c r="CN872" s="398">
        <v>0.28399999999999997</v>
      </c>
      <c r="CO872" s="398">
        <v>0.28399999999999997</v>
      </c>
      <c r="CP872" s="398">
        <v>0.28399999999999997</v>
      </c>
      <c r="CQ872" s="398">
        <v>0.28399999999999997</v>
      </c>
      <c r="CR872" s="398">
        <v>0.28399999999999997</v>
      </c>
      <c r="CS872" s="398">
        <v>0.28399999999999997</v>
      </c>
      <c r="CT872" s="398">
        <v>0.28399999999999997</v>
      </c>
      <c r="CU872" s="398"/>
      <c r="CV872" s="398"/>
      <c r="CW872" s="398"/>
      <c r="CX872" s="398"/>
      <c r="CY872" s="398"/>
      <c r="CZ872" s="398"/>
      <c r="DA872" s="398"/>
      <c r="DB872" s="398"/>
      <c r="DC872" s="398"/>
      <c r="DD872" s="398"/>
      <c r="DE872" s="393"/>
      <c r="DF872" s="393"/>
      <c r="DG872" s="393"/>
      <c r="DH872" s="393"/>
      <c r="DI872" s="393"/>
      <c r="DJ872" s="393"/>
      <c r="DK872" s="897"/>
    </row>
    <row r="873" spans="1:115" ht="51" x14ac:dyDescent="0.2">
      <c r="A873" s="295">
        <v>869</v>
      </c>
      <c r="B873" s="390" t="s">
        <v>971</v>
      </c>
      <c r="C873" s="424" t="s">
        <v>7590</v>
      </c>
      <c r="D873" s="391" t="s">
        <v>4593</v>
      </c>
      <c r="E873" s="704" t="s">
        <v>972</v>
      </c>
      <c r="F873" s="393" t="s">
        <v>1375</v>
      </c>
      <c r="G873" s="393" t="s">
        <v>1361</v>
      </c>
      <c r="H873" s="393" t="s">
        <v>137</v>
      </c>
      <c r="I873" s="392"/>
      <c r="J873" s="392" t="s">
        <v>137</v>
      </c>
      <c r="K873" s="392"/>
      <c r="L873" s="428" t="s">
        <v>8128</v>
      </c>
      <c r="M873" s="392" t="s">
        <v>5532</v>
      </c>
      <c r="N873" s="393" t="s">
        <v>44</v>
      </c>
      <c r="O873" s="393" t="s">
        <v>5030</v>
      </c>
      <c r="P873" s="393" t="s">
        <v>827</v>
      </c>
      <c r="Q873" s="392" t="s">
        <v>836</v>
      </c>
      <c r="R873" s="392"/>
      <c r="S873" s="392" t="s">
        <v>650</v>
      </c>
      <c r="T873" s="394">
        <v>11</v>
      </c>
      <c r="U873" s="395">
        <v>1233.3620000000001</v>
      </c>
      <c r="V873" s="395"/>
      <c r="W873" s="452">
        <v>40865</v>
      </c>
      <c r="X873" s="394">
        <v>28</v>
      </c>
      <c r="Y873" s="394"/>
      <c r="Z873" s="394"/>
      <c r="AA873" s="395"/>
      <c r="AB873" s="453"/>
      <c r="AC873" s="398">
        <v>0</v>
      </c>
      <c r="AD873" s="398">
        <v>12333.62</v>
      </c>
      <c r="AE873" s="393" t="s">
        <v>355</v>
      </c>
      <c r="AF873" s="417">
        <f>SUM(AF874:AF884)</f>
        <v>0</v>
      </c>
      <c r="AG873" s="417">
        <f>SUM(AG874:AG884)</f>
        <v>598.3309999999999</v>
      </c>
      <c r="AH873" s="417">
        <v>598.3309999999999</v>
      </c>
      <c r="AI873" s="394"/>
      <c r="AJ873" s="453"/>
      <c r="AK873" s="453"/>
      <c r="AL873" s="393"/>
      <c r="AM873" s="393"/>
      <c r="AN873" s="417"/>
      <c r="AO873" s="392"/>
      <c r="AP873" s="428" t="s">
        <v>8127</v>
      </c>
      <c r="AQ873" s="392" t="s">
        <v>7057</v>
      </c>
      <c r="AR873" s="392" t="s">
        <v>882</v>
      </c>
      <c r="AS873" s="479">
        <v>40865</v>
      </c>
      <c r="AT873" s="453"/>
      <c r="AU873" s="453"/>
      <c r="AV873" s="452">
        <v>41071</v>
      </c>
      <c r="AW873" s="452">
        <v>41256</v>
      </c>
      <c r="AX873" s="452">
        <v>41300</v>
      </c>
      <c r="AY873" s="452">
        <v>41257</v>
      </c>
      <c r="AZ873" s="453"/>
      <c r="BA873" s="393"/>
      <c r="BB873" s="393" t="s">
        <v>3147</v>
      </c>
      <c r="BC873" s="393" t="b">
        <v>1</v>
      </c>
      <c r="BD873" s="393" t="s">
        <v>3147</v>
      </c>
      <c r="BE873" s="392"/>
      <c r="BF873" s="394">
        <v>9</v>
      </c>
      <c r="BG873" s="394">
        <v>11</v>
      </c>
      <c r="BH873" s="394">
        <v>5</v>
      </c>
      <c r="BI873" s="394">
        <v>3</v>
      </c>
      <c r="BJ873" s="394">
        <v>2</v>
      </c>
      <c r="BK873" s="394">
        <v>7</v>
      </c>
      <c r="BL873" s="444"/>
      <c r="BM873" s="392"/>
      <c r="BN873" s="393"/>
      <c r="BO873" s="393"/>
      <c r="BP873" s="399"/>
      <c r="BQ873" s="400"/>
      <c r="BR873" s="401"/>
      <c r="BS873" s="399">
        <v>668.87</v>
      </c>
      <c r="BT873" s="394"/>
      <c r="BU873" s="417"/>
      <c r="BV873" s="399"/>
      <c r="BW873" s="393"/>
      <c r="BX873" s="392"/>
      <c r="BY873" s="393"/>
      <c r="BZ873" s="393"/>
      <c r="CA873" s="441"/>
      <c r="CB873" s="400"/>
      <c r="CC873" s="398"/>
      <c r="CD873" s="398"/>
      <c r="CE873" s="398"/>
      <c r="CF873" s="398"/>
      <c r="CG873" s="398"/>
      <c r="CH873" s="398"/>
      <c r="CI873" s="398"/>
      <c r="CJ873" s="398"/>
      <c r="CK873" s="398"/>
      <c r="CL873" s="398"/>
      <c r="CM873" s="398"/>
      <c r="CN873" s="398"/>
      <c r="CO873" s="398"/>
      <c r="CP873" s="398"/>
      <c r="CQ873" s="398"/>
      <c r="CR873" s="398"/>
      <c r="CS873" s="398"/>
      <c r="CT873" s="398"/>
      <c r="CU873" s="398"/>
      <c r="CV873" s="398"/>
      <c r="CW873" s="398"/>
      <c r="CX873" s="398"/>
      <c r="CY873" s="398"/>
      <c r="CZ873" s="398"/>
      <c r="DA873" s="398"/>
      <c r="DB873" s="398"/>
      <c r="DC873" s="398"/>
      <c r="DD873" s="398"/>
      <c r="DE873" s="393"/>
      <c r="DF873" s="393"/>
      <c r="DG873" s="393"/>
      <c r="DH873" s="393"/>
      <c r="DI873" s="393"/>
      <c r="DJ873" s="393"/>
      <c r="DK873" s="896" t="s">
        <v>9734</v>
      </c>
    </row>
    <row r="874" spans="1:115" ht="25.5" x14ac:dyDescent="0.2">
      <c r="A874" s="295">
        <v>870</v>
      </c>
      <c r="B874" s="390" t="s">
        <v>2762</v>
      </c>
      <c r="C874" s="390"/>
      <c r="D874" s="391" t="s">
        <v>4473</v>
      </c>
      <c r="E874" s="704" t="s">
        <v>881</v>
      </c>
      <c r="F874" s="393" t="s">
        <v>1375</v>
      </c>
      <c r="G874" s="393" t="s">
        <v>1361</v>
      </c>
      <c r="H874" s="393" t="s">
        <v>137</v>
      </c>
      <c r="I874" s="392"/>
      <c r="J874" s="392"/>
      <c r="K874" s="392" t="s">
        <v>2188</v>
      </c>
      <c r="L874" s="428" t="s">
        <v>8128</v>
      </c>
      <c r="M874" s="392"/>
      <c r="N874" s="393" t="s">
        <v>44</v>
      </c>
      <c r="O874" s="393" t="s">
        <v>827</v>
      </c>
      <c r="P874" s="393" t="s">
        <v>827</v>
      </c>
      <c r="Q874" s="392" t="s">
        <v>836</v>
      </c>
      <c r="R874" s="392" t="s">
        <v>3308</v>
      </c>
      <c r="S874" s="428" t="s">
        <v>8889</v>
      </c>
      <c r="T874" s="394">
        <v>1</v>
      </c>
      <c r="U874" s="395">
        <v>80.906999999999996</v>
      </c>
      <c r="V874" s="395"/>
      <c r="W874" s="453"/>
      <c r="X874" s="394"/>
      <c r="Y874" s="394">
        <v>10</v>
      </c>
      <c r="Z874" s="394">
        <v>20</v>
      </c>
      <c r="AA874" s="395">
        <v>-0.56999999999999995</v>
      </c>
      <c r="AB874" s="452">
        <v>41609</v>
      </c>
      <c r="AC874" s="398">
        <v>0</v>
      </c>
      <c r="AD874" s="398">
        <v>809.06999999999994</v>
      </c>
      <c r="AE874" s="393" t="s">
        <v>355</v>
      </c>
      <c r="AF874" s="417"/>
      <c r="AG874" s="417">
        <v>86.813999999999993</v>
      </c>
      <c r="AH874" s="417">
        <v>86.813999999999993</v>
      </c>
      <c r="AI874" s="394"/>
      <c r="AJ874" s="453">
        <v>42676</v>
      </c>
      <c r="AK874" s="453">
        <v>42185</v>
      </c>
      <c r="AL874" s="393"/>
      <c r="AM874" s="393"/>
      <c r="AN874" s="417"/>
      <c r="AO874" s="392"/>
      <c r="AP874" s="428" t="s">
        <v>8127</v>
      </c>
      <c r="AQ874" s="392" t="s">
        <v>7057</v>
      </c>
      <c r="AR874" s="392" t="s">
        <v>882</v>
      </c>
      <c r="AS874" s="479">
        <v>40865</v>
      </c>
      <c r="AT874" s="453"/>
      <c r="AU874" s="453"/>
      <c r="AV874" s="453"/>
      <c r="AW874" s="453"/>
      <c r="AX874" s="453"/>
      <c r="AY874" s="453"/>
      <c r="AZ874" s="452">
        <v>41257</v>
      </c>
      <c r="BA874" s="393"/>
      <c r="BB874" s="393"/>
      <c r="BC874" s="393" t="b">
        <v>0</v>
      </c>
      <c r="BD874" s="393"/>
      <c r="BE874" s="392"/>
      <c r="BF874" s="394">
        <v>9</v>
      </c>
      <c r="BG874" s="394">
        <v>11</v>
      </c>
      <c r="BH874" s="394">
        <v>5</v>
      </c>
      <c r="BI874" s="394">
        <v>3</v>
      </c>
      <c r="BJ874" s="394">
        <v>2</v>
      </c>
      <c r="BK874" s="394">
        <v>7</v>
      </c>
      <c r="BL874" s="444" t="s">
        <v>6981</v>
      </c>
      <c r="BM874" s="392"/>
      <c r="BN874" s="393"/>
      <c r="BO874" s="393"/>
      <c r="BP874" s="399"/>
      <c r="BQ874" s="400"/>
      <c r="BR874" s="401"/>
      <c r="BS874" s="399">
        <v>75</v>
      </c>
      <c r="BT874" s="394">
        <v>130971</v>
      </c>
      <c r="BU874" s="417">
        <v>0.95250000000000001</v>
      </c>
      <c r="BV874" s="399"/>
      <c r="BW874" s="393" t="s">
        <v>3117</v>
      </c>
      <c r="BX874" s="392" t="s">
        <v>1447</v>
      </c>
      <c r="BY874" s="393"/>
      <c r="BZ874" s="393"/>
      <c r="CA874" s="441" t="s">
        <v>1662</v>
      </c>
      <c r="CB874" s="400">
        <v>3</v>
      </c>
      <c r="CC874" s="398"/>
      <c r="CD874" s="398"/>
      <c r="CE874" s="398"/>
      <c r="CF874" s="398"/>
      <c r="CG874" s="398"/>
      <c r="CH874" s="398"/>
      <c r="CI874" s="398">
        <v>22.091999999999999</v>
      </c>
      <c r="CJ874" s="398">
        <v>80.906999999999996</v>
      </c>
      <c r="CK874" s="398">
        <v>80.906999999999996</v>
      </c>
      <c r="CL874" s="398">
        <v>80.906999999999996</v>
      </c>
      <c r="CM874" s="398">
        <v>80.906999999999996</v>
      </c>
      <c r="CN874" s="398">
        <v>80.906999999999996</v>
      </c>
      <c r="CO874" s="398">
        <v>80.906999999999996</v>
      </c>
      <c r="CP874" s="398">
        <v>80.906999999999996</v>
      </c>
      <c r="CQ874" s="398">
        <v>80.906999999999996</v>
      </c>
      <c r="CR874" s="398">
        <v>80.906999999999996</v>
      </c>
      <c r="CS874" s="398">
        <v>74.165000000000006</v>
      </c>
      <c r="CT874" s="398"/>
      <c r="CU874" s="398"/>
      <c r="CV874" s="398"/>
      <c r="CW874" s="398"/>
      <c r="CX874" s="398"/>
      <c r="CY874" s="398"/>
      <c r="CZ874" s="398"/>
      <c r="DA874" s="398"/>
      <c r="DB874" s="398"/>
      <c r="DC874" s="398"/>
      <c r="DD874" s="398"/>
      <c r="DE874" s="393"/>
      <c r="DF874" s="393"/>
      <c r="DG874" s="393"/>
      <c r="DH874" s="393"/>
      <c r="DI874" s="393"/>
      <c r="DJ874" s="393"/>
      <c r="DK874" s="897"/>
    </row>
    <row r="875" spans="1:115" ht="25.5" x14ac:dyDescent="0.2">
      <c r="A875" s="295">
        <v>871</v>
      </c>
      <c r="B875" s="390" t="s">
        <v>4517</v>
      </c>
      <c r="C875" s="390"/>
      <c r="D875" s="391" t="s">
        <v>4518</v>
      </c>
      <c r="E875" s="704" t="s">
        <v>4519</v>
      </c>
      <c r="F875" s="393" t="s">
        <v>1375</v>
      </c>
      <c r="G875" s="393" t="s">
        <v>1361</v>
      </c>
      <c r="H875" s="393" t="s">
        <v>137</v>
      </c>
      <c r="I875" s="392"/>
      <c r="J875" s="392"/>
      <c r="K875" s="392" t="s">
        <v>2188</v>
      </c>
      <c r="L875" s="428" t="s">
        <v>8128</v>
      </c>
      <c r="M875" s="392"/>
      <c r="N875" s="393" t="s">
        <v>44</v>
      </c>
      <c r="O875" s="393" t="s">
        <v>827</v>
      </c>
      <c r="P875" s="393" t="s">
        <v>827</v>
      </c>
      <c r="Q875" s="392" t="s">
        <v>836</v>
      </c>
      <c r="R875" s="392" t="s">
        <v>4520</v>
      </c>
      <c r="S875" s="428" t="s">
        <v>8889</v>
      </c>
      <c r="T875" s="394">
        <v>1</v>
      </c>
      <c r="U875" s="395">
        <v>126.52500000000001</v>
      </c>
      <c r="V875" s="395"/>
      <c r="W875" s="453"/>
      <c r="X875" s="394"/>
      <c r="Y875" s="394">
        <v>10</v>
      </c>
      <c r="Z875" s="394">
        <v>20</v>
      </c>
      <c r="AA875" s="395">
        <v>-0.56999999999999995</v>
      </c>
      <c r="AB875" s="452">
        <v>41426</v>
      </c>
      <c r="AC875" s="398">
        <v>0</v>
      </c>
      <c r="AD875" s="398">
        <v>1265.25</v>
      </c>
      <c r="AE875" s="393" t="s">
        <v>355</v>
      </c>
      <c r="AF875" s="417"/>
      <c r="AG875" s="417">
        <f>257.077</f>
        <v>257.077</v>
      </c>
      <c r="AH875" s="417">
        <v>257.077</v>
      </c>
      <c r="AI875" s="394"/>
      <c r="AJ875" s="453">
        <v>42678</v>
      </c>
      <c r="AK875" s="453">
        <v>42185</v>
      </c>
      <c r="AL875" s="393"/>
      <c r="AM875" s="393"/>
      <c r="AN875" s="417"/>
      <c r="AO875" s="392"/>
      <c r="AP875" s="428"/>
      <c r="AQ875" s="392" t="s">
        <v>7057</v>
      </c>
      <c r="AR875" s="392" t="s">
        <v>882</v>
      </c>
      <c r="AS875" s="480"/>
      <c r="AT875" s="453"/>
      <c r="AU875" s="453"/>
      <c r="AV875" s="453"/>
      <c r="AW875" s="453"/>
      <c r="AX875" s="453"/>
      <c r="AY875" s="453"/>
      <c r="AZ875" s="452">
        <v>41333</v>
      </c>
      <c r="BA875" s="393"/>
      <c r="BB875" s="393"/>
      <c r="BC875" s="393" t="b">
        <v>0</v>
      </c>
      <c r="BD875" s="393"/>
      <c r="BE875" s="392"/>
      <c r="BF875" s="394">
        <v>9</v>
      </c>
      <c r="BG875" s="394">
        <v>11</v>
      </c>
      <c r="BH875" s="394">
        <v>5</v>
      </c>
      <c r="BI875" s="394">
        <v>3</v>
      </c>
      <c r="BJ875" s="394">
        <v>2</v>
      </c>
      <c r="BK875" s="394">
        <v>7</v>
      </c>
      <c r="BL875" s="444" t="s">
        <v>6981</v>
      </c>
      <c r="BM875" s="392"/>
      <c r="BN875" s="393"/>
      <c r="BO875" s="393"/>
      <c r="BP875" s="399"/>
      <c r="BQ875" s="400"/>
      <c r="BR875" s="401"/>
      <c r="BS875" s="399">
        <v>75</v>
      </c>
      <c r="BT875" s="394">
        <v>135801</v>
      </c>
      <c r="BU875" s="417">
        <v>0.97209999999999996</v>
      </c>
      <c r="BV875" s="399"/>
      <c r="BW875" s="393" t="s">
        <v>3117</v>
      </c>
      <c r="BX875" s="392" t="s">
        <v>1447</v>
      </c>
      <c r="BY875" s="393"/>
      <c r="BZ875" s="393"/>
      <c r="CA875" s="441" t="s">
        <v>1662</v>
      </c>
      <c r="CB875" s="400">
        <v>3</v>
      </c>
      <c r="CC875" s="398"/>
      <c r="CD875" s="398"/>
      <c r="CE875" s="398"/>
      <c r="CF875" s="398"/>
      <c r="CG875" s="398"/>
      <c r="CH875" s="398"/>
      <c r="CI875" s="398">
        <v>53.875</v>
      </c>
      <c r="CJ875" s="398">
        <v>128.67099999999999</v>
      </c>
      <c r="CK875" s="398">
        <v>128.16499999999999</v>
      </c>
      <c r="CL875" s="398">
        <v>127.637</v>
      </c>
      <c r="CM875" s="398">
        <v>127.10899999999999</v>
      </c>
      <c r="CN875" s="398">
        <v>126.581</v>
      </c>
      <c r="CO875" s="398">
        <v>126.053</v>
      </c>
      <c r="CP875" s="398">
        <v>125.52500000000001</v>
      </c>
      <c r="CQ875" s="398">
        <v>124.997</v>
      </c>
      <c r="CR875" s="398">
        <v>124.46899999999999</v>
      </c>
      <c r="CS875" s="398">
        <v>72.165000000000006</v>
      </c>
      <c r="CT875" s="398"/>
      <c r="CU875" s="398"/>
      <c r="CV875" s="398"/>
      <c r="CW875" s="398"/>
      <c r="CX875" s="398"/>
      <c r="CY875" s="398"/>
      <c r="CZ875" s="398"/>
      <c r="DA875" s="398"/>
      <c r="DB875" s="398"/>
      <c r="DC875" s="398"/>
      <c r="DD875" s="398"/>
      <c r="DE875" s="393"/>
      <c r="DF875" s="393"/>
      <c r="DG875" s="393"/>
      <c r="DH875" s="393"/>
      <c r="DI875" s="393"/>
      <c r="DJ875" s="393"/>
      <c r="DK875" s="897"/>
    </row>
    <row r="876" spans="1:115" ht="25.5" x14ac:dyDescent="0.2">
      <c r="A876" s="295">
        <v>872</v>
      </c>
      <c r="B876" s="390" t="s">
        <v>4521</v>
      </c>
      <c r="C876" s="390"/>
      <c r="D876" s="391" t="s">
        <v>4522</v>
      </c>
      <c r="E876" s="704" t="s">
        <v>4523</v>
      </c>
      <c r="F876" s="393" t="s">
        <v>1375</v>
      </c>
      <c r="G876" s="393" t="s">
        <v>1361</v>
      </c>
      <c r="H876" s="393" t="s">
        <v>137</v>
      </c>
      <c r="I876" s="392"/>
      <c r="J876" s="392"/>
      <c r="K876" s="392" t="s">
        <v>2188</v>
      </c>
      <c r="L876" s="428" t="s">
        <v>8128</v>
      </c>
      <c r="M876" s="392"/>
      <c r="N876" s="393" t="s">
        <v>44</v>
      </c>
      <c r="O876" s="393" t="s">
        <v>827</v>
      </c>
      <c r="P876" s="393" t="s">
        <v>827</v>
      </c>
      <c r="Q876" s="392" t="s">
        <v>836</v>
      </c>
      <c r="R876" s="392" t="s">
        <v>4524</v>
      </c>
      <c r="S876" s="428" t="s">
        <v>8889</v>
      </c>
      <c r="T876" s="394">
        <v>1</v>
      </c>
      <c r="U876" s="395">
        <v>37.432000000000002</v>
      </c>
      <c r="V876" s="395"/>
      <c r="W876" s="453"/>
      <c r="X876" s="394"/>
      <c r="Y876" s="394">
        <v>10</v>
      </c>
      <c r="Z876" s="394">
        <v>20</v>
      </c>
      <c r="AA876" s="395">
        <v>-0.56999999999999995</v>
      </c>
      <c r="AB876" s="452">
        <v>41617</v>
      </c>
      <c r="AC876" s="398">
        <v>0</v>
      </c>
      <c r="AD876" s="398">
        <v>374.32000000000005</v>
      </c>
      <c r="AE876" s="393" t="s">
        <v>355</v>
      </c>
      <c r="AF876" s="417"/>
      <c r="AG876" s="417"/>
      <c r="AH876" s="417"/>
      <c r="AI876" s="394"/>
      <c r="AJ876" s="453"/>
      <c r="AK876" s="453"/>
      <c r="AL876" s="393"/>
      <c r="AM876" s="393"/>
      <c r="AN876" s="417"/>
      <c r="AO876" s="392"/>
      <c r="AP876" s="428"/>
      <c r="AQ876" s="392" t="s">
        <v>7057</v>
      </c>
      <c r="AR876" s="392" t="s">
        <v>882</v>
      </c>
      <c r="AS876" s="480"/>
      <c r="AT876" s="453"/>
      <c r="AU876" s="453"/>
      <c r="AV876" s="453"/>
      <c r="AW876" s="453"/>
      <c r="AX876" s="453"/>
      <c r="AY876" s="453"/>
      <c r="AZ876" s="452">
        <v>41333</v>
      </c>
      <c r="BA876" s="393"/>
      <c r="BB876" s="393"/>
      <c r="BC876" s="393" t="b">
        <v>0</v>
      </c>
      <c r="BD876" s="393"/>
      <c r="BE876" s="392"/>
      <c r="BF876" s="394">
        <v>9</v>
      </c>
      <c r="BG876" s="394">
        <v>11</v>
      </c>
      <c r="BH876" s="394">
        <v>5</v>
      </c>
      <c r="BI876" s="394">
        <v>3</v>
      </c>
      <c r="BJ876" s="394">
        <v>2</v>
      </c>
      <c r="BK876" s="394">
        <v>7</v>
      </c>
      <c r="BL876" s="444" t="s">
        <v>6981</v>
      </c>
      <c r="BM876" s="392"/>
      <c r="BN876" s="393"/>
      <c r="BO876" s="393"/>
      <c r="BP876" s="399"/>
      <c r="BQ876" s="400"/>
      <c r="BR876" s="401"/>
      <c r="BS876" s="399">
        <v>20</v>
      </c>
      <c r="BT876" s="394">
        <v>43231</v>
      </c>
      <c r="BU876" s="417">
        <v>0.97209999999999996</v>
      </c>
      <c r="BV876" s="399"/>
      <c r="BW876" s="393" t="s">
        <v>3117</v>
      </c>
      <c r="BX876" s="392" t="s">
        <v>1447</v>
      </c>
      <c r="BY876" s="393"/>
      <c r="BZ876" s="393"/>
      <c r="CA876" s="441" t="s">
        <v>1662</v>
      </c>
      <c r="CB876" s="400">
        <v>3</v>
      </c>
      <c r="CC876" s="398"/>
      <c r="CD876" s="398"/>
      <c r="CE876" s="398"/>
      <c r="CF876" s="398"/>
      <c r="CG876" s="398"/>
      <c r="CH876" s="398"/>
      <c r="CI876" s="398"/>
      <c r="CJ876" s="398">
        <v>38.65</v>
      </c>
      <c r="CK876" s="398">
        <v>38.375</v>
      </c>
      <c r="CL876" s="398">
        <v>38.100999999999999</v>
      </c>
      <c r="CM876" s="398">
        <v>37.829000000000001</v>
      </c>
      <c r="CN876" s="398">
        <v>37.558999999999997</v>
      </c>
      <c r="CO876" s="398">
        <v>37.290999999999997</v>
      </c>
      <c r="CP876" s="398">
        <v>37.024999999999999</v>
      </c>
      <c r="CQ876" s="398">
        <v>36.76</v>
      </c>
      <c r="CR876" s="398">
        <v>36.497</v>
      </c>
      <c r="CS876" s="398">
        <v>36.235999999999997</v>
      </c>
      <c r="CT876" s="398"/>
      <c r="CU876" s="398"/>
      <c r="CV876" s="398"/>
      <c r="CW876" s="398"/>
      <c r="CX876" s="398"/>
      <c r="CY876" s="398"/>
      <c r="CZ876" s="398"/>
      <c r="DA876" s="398"/>
      <c r="DB876" s="398"/>
      <c r="DC876" s="398"/>
      <c r="DD876" s="398"/>
      <c r="DE876" s="393"/>
      <c r="DF876" s="393"/>
      <c r="DG876" s="393"/>
      <c r="DH876" s="393"/>
      <c r="DI876" s="393"/>
      <c r="DJ876" s="393"/>
      <c r="DK876" s="897"/>
    </row>
    <row r="877" spans="1:115" ht="25.5" x14ac:dyDescent="0.2">
      <c r="A877" s="295">
        <v>873</v>
      </c>
      <c r="B877" s="390" t="s">
        <v>4604</v>
      </c>
      <c r="C877" s="390"/>
      <c r="D877" s="391" t="s">
        <v>4605</v>
      </c>
      <c r="E877" s="704" t="s">
        <v>4606</v>
      </c>
      <c r="F877" s="393" t="s">
        <v>1375</v>
      </c>
      <c r="G877" s="393" t="s">
        <v>1361</v>
      </c>
      <c r="H877" s="393" t="s">
        <v>137</v>
      </c>
      <c r="I877" s="392"/>
      <c r="J877" s="392"/>
      <c r="K877" s="392" t="s">
        <v>1823</v>
      </c>
      <c r="L877" s="428" t="s">
        <v>8128</v>
      </c>
      <c r="M877" s="392"/>
      <c r="N877" s="393" t="s">
        <v>44</v>
      </c>
      <c r="O877" s="393" t="s">
        <v>827</v>
      </c>
      <c r="P877" s="393" t="s">
        <v>827</v>
      </c>
      <c r="Q877" s="392" t="s">
        <v>836</v>
      </c>
      <c r="R877" s="392" t="s">
        <v>4607</v>
      </c>
      <c r="S877" s="428" t="s">
        <v>8889</v>
      </c>
      <c r="T877" s="394">
        <v>1</v>
      </c>
      <c r="U877" s="395">
        <v>53.088000000000001</v>
      </c>
      <c r="V877" s="395"/>
      <c r="W877" s="453"/>
      <c r="X877" s="394"/>
      <c r="Y877" s="394">
        <v>10</v>
      </c>
      <c r="Z877" s="394">
        <v>25</v>
      </c>
      <c r="AA877" s="395">
        <v>-0.56999999999999995</v>
      </c>
      <c r="AB877" s="452">
        <v>41617</v>
      </c>
      <c r="AC877" s="398">
        <v>0</v>
      </c>
      <c r="AD877" s="398">
        <v>530.88</v>
      </c>
      <c r="AE877" s="393" t="s">
        <v>355</v>
      </c>
      <c r="AF877" s="417"/>
      <c r="AG877" s="417"/>
      <c r="AH877" s="417"/>
      <c r="AI877" s="394"/>
      <c r="AJ877" s="453"/>
      <c r="AK877" s="453"/>
      <c r="AL877" s="393"/>
      <c r="AM877" s="393"/>
      <c r="AN877" s="417"/>
      <c r="AO877" s="392"/>
      <c r="AP877" s="428"/>
      <c r="AQ877" s="392" t="s">
        <v>7057</v>
      </c>
      <c r="AR877" s="392" t="s">
        <v>55</v>
      </c>
      <c r="AS877" s="480"/>
      <c r="AT877" s="453"/>
      <c r="AU877" s="453"/>
      <c r="AV877" s="453"/>
      <c r="AW877" s="453"/>
      <c r="AX877" s="453"/>
      <c r="AY877" s="453"/>
      <c r="AZ877" s="452">
        <v>41361</v>
      </c>
      <c r="BA877" s="393"/>
      <c r="BB877" s="393"/>
      <c r="BC877" s="393" t="b">
        <v>0</v>
      </c>
      <c r="BD877" s="393"/>
      <c r="BE877" s="392"/>
      <c r="BF877" s="394">
        <v>9</v>
      </c>
      <c r="BG877" s="394">
        <v>11</v>
      </c>
      <c r="BH877" s="394">
        <v>5</v>
      </c>
      <c r="BI877" s="394">
        <v>3</v>
      </c>
      <c r="BJ877" s="394">
        <v>2</v>
      </c>
      <c r="BK877" s="394">
        <v>7</v>
      </c>
      <c r="BL877" s="444"/>
      <c r="BM877" s="392"/>
      <c r="BN877" s="393"/>
      <c r="BO877" s="393"/>
      <c r="BP877" s="399"/>
      <c r="BQ877" s="400"/>
      <c r="BR877" s="401"/>
      <c r="BS877" s="399">
        <v>28</v>
      </c>
      <c r="BT877" s="394">
        <v>58331</v>
      </c>
      <c r="BU877" s="417">
        <v>0.97209999999999996</v>
      </c>
      <c r="BV877" s="399"/>
      <c r="BW877" s="393" t="s">
        <v>3117</v>
      </c>
      <c r="BX877" s="392" t="s">
        <v>1447</v>
      </c>
      <c r="BY877" s="393"/>
      <c r="BZ877" s="393"/>
      <c r="CA877" s="441" t="s">
        <v>1662</v>
      </c>
      <c r="CB877" s="400">
        <v>3</v>
      </c>
      <c r="CC877" s="398"/>
      <c r="CD877" s="398"/>
      <c r="CE877" s="398"/>
      <c r="CF877" s="398"/>
      <c r="CG877" s="398"/>
      <c r="CH877" s="398"/>
      <c r="CI877" s="398"/>
      <c r="CJ877" s="398">
        <v>54333</v>
      </c>
      <c r="CK877" s="398">
        <v>54234</v>
      </c>
      <c r="CL877" s="398">
        <v>53908</v>
      </c>
      <c r="CM877" s="398">
        <v>53585</v>
      </c>
      <c r="CN877" s="398">
        <v>53263</v>
      </c>
      <c r="CO877" s="398">
        <v>52943</v>
      </c>
      <c r="CP877" s="398">
        <v>52625</v>
      </c>
      <c r="CQ877" s="398">
        <v>52309</v>
      </c>
      <c r="CR877" s="398">
        <v>51996</v>
      </c>
      <c r="CS877" s="398">
        <v>51683</v>
      </c>
      <c r="CT877" s="398"/>
      <c r="CU877" s="398"/>
      <c r="CV877" s="398"/>
      <c r="CW877" s="398"/>
      <c r="CX877" s="398"/>
      <c r="CY877" s="398"/>
      <c r="CZ877" s="398"/>
      <c r="DA877" s="398"/>
      <c r="DB877" s="398"/>
      <c r="DC877" s="398"/>
      <c r="DD877" s="398"/>
      <c r="DE877" s="393"/>
      <c r="DF877" s="393"/>
      <c r="DG877" s="393"/>
      <c r="DH877" s="393"/>
      <c r="DI877" s="393"/>
      <c r="DJ877" s="393"/>
      <c r="DK877" s="897"/>
    </row>
    <row r="878" spans="1:115" ht="25.5" x14ac:dyDescent="0.2">
      <c r="A878" s="295">
        <v>874</v>
      </c>
      <c r="B878" s="390" t="s">
        <v>4608</v>
      </c>
      <c r="C878" s="390"/>
      <c r="D878" s="391" t="s">
        <v>4609</v>
      </c>
      <c r="E878" s="704" t="s">
        <v>4610</v>
      </c>
      <c r="F878" s="393" t="s">
        <v>1375</v>
      </c>
      <c r="G878" s="393" t="s">
        <v>1361</v>
      </c>
      <c r="H878" s="393" t="s">
        <v>137</v>
      </c>
      <c r="I878" s="392"/>
      <c r="J878" s="392"/>
      <c r="K878" s="392" t="s">
        <v>1823</v>
      </c>
      <c r="L878" s="428" t="s">
        <v>8128</v>
      </c>
      <c r="M878" s="392"/>
      <c r="N878" s="393" t="s">
        <v>44</v>
      </c>
      <c r="O878" s="393" t="s">
        <v>827</v>
      </c>
      <c r="P878" s="393" t="s">
        <v>827</v>
      </c>
      <c r="Q878" s="392" t="s">
        <v>836</v>
      </c>
      <c r="R878" s="392" t="s">
        <v>4611</v>
      </c>
      <c r="S878" s="428" t="s">
        <v>8889</v>
      </c>
      <c r="T878" s="394">
        <v>1</v>
      </c>
      <c r="U878" s="395">
        <v>59.488</v>
      </c>
      <c r="V878" s="395"/>
      <c r="W878" s="453"/>
      <c r="X878" s="394"/>
      <c r="Y878" s="394">
        <v>10</v>
      </c>
      <c r="Z878" s="394">
        <v>25</v>
      </c>
      <c r="AA878" s="395">
        <v>-0.56999999999999995</v>
      </c>
      <c r="AB878" s="452">
        <v>41708</v>
      </c>
      <c r="AC878" s="398">
        <v>0</v>
      </c>
      <c r="AD878" s="398">
        <v>594.88</v>
      </c>
      <c r="AE878" s="393" t="s">
        <v>355</v>
      </c>
      <c r="AF878" s="417"/>
      <c r="AG878" s="417"/>
      <c r="AH878" s="417"/>
      <c r="AI878" s="394"/>
      <c r="AJ878" s="453"/>
      <c r="AK878" s="453"/>
      <c r="AL878" s="393"/>
      <c r="AM878" s="393"/>
      <c r="AN878" s="417"/>
      <c r="AO878" s="392"/>
      <c r="AP878" s="428"/>
      <c r="AQ878" s="392" t="s">
        <v>7057</v>
      </c>
      <c r="AR878" s="392" t="s">
        <v>55</v>
      </c>
      <c r="AS878" s="480"/>
      <c r="AT878" s="453"/>
      <c r="AU878" s="453"/>
      <c r="AV878" s="453"/>
      <c r="AW878" s="453"/>
      <c r="AX878" s="453"/>
      <c r="AY878" s="453"/>
      <c r="AZ878" s="452">
        <v>41361</v>
      </c>
      <c r="BA878" s="393"/>
      <c r="BB878" s="393"/>
      <c r="BC878" s="393" t="b">
        <v>0</v>
      </c>
      <c r="BD878" s="393"/>
      <c r="BE878" s="392"/>
      <c r="BF878" s="394">
        <v>9</v>
      </c>
      <c r="BG878" s="394">
        <v>11</v>
      </c>
      <c r="BH878" s="394">
        <v>5</v>
      </c>
      <c r="BI878" s="394">
        <v>3</v>
      </c>
      <c r="BJ878" s="394">
        <v>2</v>
      </c>
      <c r="BK878" s="394">
        <v>7</v>
      </c>
      <c r="BL878" s="444"/>
      <c r="BM878" s="392"/>
      <c r="BN878" s="393"/>
      <c r="BO878" s="393"/>
      <c r="BP878" s="399"/>
      <c r="BQ878" s="400"/>
      <c r="BR878" s="401"/>
      <c r="BS878" s="399">
        <v>30</v>
      </c>
      <c r="BT878" s="394">
        <v>66171</v>
      </c>
      <c r="BU878" s="417">
        <v>0.97209999999999996</v>
      </c>
      <c r="BV878" s="399"/>
      <c r="BW878" s="393" t="s">
        <v>3117</v>
      </c>
      <c r="BX878" s="392" t="s">
        <v>1447</v>
      </c>
      <c r="BY878" s="393"/>
      <c r="BZ878" s="393"/>
      <c r="CA878" s="441" t="s">
        <v>1662</v>
      </c>
      <c r="CB878" s="400">
        <v>3</v>
      </c>
      <c r="CC878" s="398"/>
      <c r="CD878" s="398"/>
      <c r="CE878" s="398"/>
      <c r="CF878" s="398"/>
      <c r="CG878" s="398"/>
      <c r="CH878" s="398"/>
      <c r="CI878" s="398"/>
      <c r="CJ878" s="398">
        <v>46095</v>
      </c>
      <c r="CK878" s="398">
        <v>61184</v>
      </c>
      <c r="CL878" s="398">
        <v>60817</v>
      </c>
      <c r="CM878" s="398">
        <v>60452</v>
      </c>
      <c r="CN878" s="398">
        <v>60089</v>
      </c>
      <c r="CO878" s="398">
        <v>59729</v>
      </c>
      <c r="CP878" s="398">
        <v>59370</v>
      </c>
      <c r="CQ878" s="398">
        <v>59014</v>
      </c>
      <c r="CR878" s="398">
        <v>58660</v>
      </c>
      <c r="CS878" s="398">
        <v>58308</v>
      </c>
      <c r="CT878" s="398">
        <v>11159</v>
      </c>
      <c r="CU878" s="398"/>
      <c r="CV878" s="398"/>
      <c r="CW878" s="398"/>
      <c r="CX878" s="398"/>
      <c r="CY878" s="398"/>
      <c r="CZ878" s="398"/>
      <c r="DA878" s="398"/>
      <c r="DB878" s="398"/>
      <c r="DC878" s="398"/>
      <c r="DD878" s="398"/>
      <c r="DE878" s="393"/>
      <c r="DF878" s="393"/>
      <c r="DG878" s="393"/>
      <c r="DH878" s="393"/>
      <c r="DI878" s="393"/>
      <c r="DJ878" s="393"/>
      <c r="DK878" s="897"/>
    </row>
    <row r="879" spans="1:115" ht="25.5" x14ac:dyDescent="0.2">
      <c r="A879" s="295">
        <v>875</v>
      </c>
      <c r="B879" s="390" t="s">
        <v>4933</v>
      </c>
      <c r="C879" s="390"/>
      <c r="D879" s="391" t="s">
        <v>4934</v>
      </c>
      <c r="E879" s="704" t="s">
        <v>4935</v>
      </c>
      <c r="F879" s="393" t="s">
        <v>1375</v>
      </c>
      <c r="G879" s="393" t="s">
        <v>1361</v>
      </c>
      <c r="H879" s="393" t="s">
        <v>137</v>
      </c>
      <c r="I879" s="392"/>
      <c r="J879" s="392"/>
      <c r="K879" s="392" t="s">
        <v>2188</v>
      </c>
      <c r="L879" s="428" t="s">
        <v>8128</v>
      </c>
      <c r="M879" s="392"/>
      <c r="N879" s="393" t="s">
        <v>44</v>
      </c>
      <c r="O879" s="393" t="s">
        <v>827</v>
      </c>
      <c r="P879" s="393" t="s">
        <v>827</v>
      </c>
      <c r="Q879" s="392" t="s">
        <v>836</v>
      </c>
      <c r="R879" s="392" t="s">
        <v>4936</v>
      </c>
      <c r="S879" s="428" t="s">
        <v>8889</v>
      </c>
      <c r="T879" s="394">
        <v>1</v>
      </c>
      <c r="U879" s="395">
        <v>155.27500000000001</v>
      </c>
      <c r="V879" s="395"/>
      <c r="W879" s="453"/>
      <c r="X879" s="394"/>
      <c r="Y879" s="394">
        <v>10</v>
      </c>
      <c r="Z879" s="394">
        <v>25</v>
      </c>
      <c r="AA879" s="395">
        <v>-0.56999999999999995</v>
      </c>
      <c r="AB879" s="452">
        <v>41699</v>
      </c>
      <c r="AC879" s="398">
        <v>0</v>
      </c>
      <c r="AD879" s="398">
        <v>1552.75</v>
      </c>
      <c r="AE879" s="393" t="s">
        <v>355</v>
      </c>
      <c r="AF879" s="417"/>
      <c r="AG879" s="417">
        <v>134.488</v>
      </c>
      <c r="AH879" s="417">
        <v>134.488</v>
      </c>
      <c r="AI879" s="394"/>
      <c r="AJ879" s="453">
        <v>42676</v>
      </c>
      <c r="AK879" s="453">
        <v>42185</v>
      </c>
      <c r="AL879" s="393"/>
      <c r="AM879" s="393"/>
      <c r="AN879" s="417"/>
      <c r="AO879" s="392"/>
      <c r="AP879" s="428"/>
      <c r="AQ879" s="392" t="s">
        <v>7057</v>
      </c>
      <c r="AR879" s="392" t="s">
        <v>55</v>
      </c>
      <c r="AS879" s="480"/>
      <c r="AT879" s="453"/>
      <c r="AU879" s="453"/>
      <c r="AV879" s="453"/>
      <c r="AW879" s="453"/>
      <c r="AX879" s="453"/>
      <c r="AY879" s="453"/>
      <c r="AZ879" s="452">
        <v>41410</v>
      </c>
      <c r="BA879" s="393"/>
      <c r="BB879" s="393"/>
      <c r="BC879" s="393" t="b">
        <v>0</v>
      </c>
      <c r="BD879" s="393"/>
      <c r="BE879" s="392"/>
      <c r="BF879" s="394">
        <v>9</v>
      </c>
      <c r="BG879" s="394">
        <v>11</v>
      </c>
      <c r="BH879" s="394">
        <v>5</v>
      </c>
      <c r="BI879" s="394">
        <v>3</v>
      </c>
      <c r="BJ879" s="394">
        <v>2</v>
      </c>
      <c r="BK879" s="394">
        <v>7</v>
      </c>
      <c r="BL879" s="444"/>
      <c r="BM879" s="392"/>
      <c r="BN879" s="393"/>
      <c r="BO879" s="393"/>
      <c r="BP879" s="399"/>
      <c r="BQ879" s="400"/>
      <c r="BR879" s="401"/>
      <c r="BS879" s="399">
        <v>75</v>
      </c>
      <c r="BT879" s="394">
        <v>171534</v>
      </c>
      <c r="BU879" s="417">
        <v>0.97209999999999996</v>
      </c>
      <c r="BV879" s="399"/>
      <c r="BW879" s="393" t="s">
        <v>3117</v>
      </c>
      <c r="BX879" s="392" t="s">
        <v>1447</v>
      </c>
      <c r="BY879" s="393"/>
      <c r="BZ879" s="393"/>
      <c r="CA879" s="441" t="s">
        <v>1662</v>
      </c>
      <c r="CB879" s="400">
        <v>3</v>
      </c>
      <c r="CC879" s="398"/>
      <c r="CD879" s="398"/>
      <c r="CE879" s="398"/>
      <c r="CF879" s="398"/>
      <c r="CG879" s="398"/>
      <c r="CH879" s="398"/>
      <c r="CI879" s="398"/>
      <c r="CJ879" s="398">
        <v>134.154</v>
      </c>
      <c r="CK879" s="398">
        <v>159.90600000000001</v>
      </c>
      <c r="CL879" s="398">
        <v>158.62100000000001</v>
      </c>
      <c r="CM879" s="398">
        <v>157.346</v>
      </c>
      <c r="CN879" s="398">
        <v>156.08000000000001</v>
      </c>
      <c r="CO879" s="398">
        <v>154.82499999999999</v>
      </c>
      <c r="CP879" s="398">
        <v>153.58000000000001</v>
      </c>
      <c r="CQ879" s="398">
        <v>152.27199999999999</v>
      </c>
      <c r="CR879" s="398">
        <v>151.10499999999999</v>
      </c>
      <c r="CS879" s="398">
        <v>149.905</v>
      </c>
      <c r="CT879" s="398">
        <v>24.95</v>
      </c>
      <c r="CU879" s="398"/>
      <c r="CV879" s="398"/>
      <c r="CW879" s="398"/>
      <c r="CX879" s="398"/>
      <c r="CY879" s="398"/>
      <c r="CZ879" s="398"/>
      <c r="DA879" s="398"/>
      <c r="DB879" s="398"/>
      <c r="DC879" s="398"/>
      <c r="DD879" s="398"/>
      <c r="DE879" s="393"/>
      <c r="DF879" s="393"/>
      <c r="DG879" s="393"/>
      <c r="DH879" s="393"/>
      <c r="DI879" s="393"/>
      <c r="DJ879" s="393"/>
      <c r="DK879" s="897"/>
    </row>
    <row r="880" spans="1:115" ht="25.5" x14ac:dyDescent="0.2">
      <c r="A880" s="295">
        <v>876</v>
      </c>
      <c r="B880" s="390" t="s">
        <v>4937</v>
      </c>
      <c r="C880" s="390"/>
      <c r="D880" s="391" t="s">
        <v>4938</v>
      </c>
      <c r="E880" s="704" t="s">
        <v>4939</v>
      </c>
      <c r="F880" s="393" t="s">
        <v>1375</v>
      </c>
      <c r="G880" s="393" t="s">
        <v>1361</v>
      </c>
      <c r="H880" s="393" t="s">
        <v>137</v>
      </c>
      <c r="I880" s="392"/>
      <c r="J880" s="392"/>
      <c r="K880" s="392" t="s">
        <v>2188</v>
      </c>
      <c r="L880" s="428" t="s">
        <v>8128</v>
      </c>
      <c r="M880" s="392"/>
      <c r="N880" s="393" t="s">
        <v>44</v>
      </c>
      <c r="O880" s="393" t="s">
        <v>827</v>
      </c>
      <c r="P880" s="393" t="s">
        <v>827</v>
      </c>
      <c r="Q880" s="392" t="s">
        <v>836</v>
      </c>
      <c r="R880" s="392" t="s">
        <v>4936</v>
      </c>
      <c r="S880" s="428" t="s">
        <v>8889</v>
      </c>
      <c r="T880" s="394">
        <v>1</v>
      </c>
      <c r="U880" s="395">
        <v>155.27500000000001</v>
      </c>
      <c r="V880" s="395"/>
      <c r="W880" s="453"/>
      <c r="X880" s="394"/>
      <c r="Y880" s="394">
        <v>10</v>
      </c>
      <c r="Z880" s="394">
        <v>25</v>
      </c>
      <c r="AA880" s="395">
        <v>-0.56999999999999995</v>
      </c>
      <c r="AB880" s="452">
        <v>42005</v>
      </c>
      <c r="AC880" s="398">
        <v>0</v>
      </c>
      <c r="AD880" s="398">
        <v>1552.75</v>
      </c>
      <c r="AE880" s="393" t="s">
        <v>355</v>
      </c>
      <c r="AF880" s="417"/>
      <c r="AG880" s="417"/>
      <c r="AH880" s="417"/>
      <c r="AI880" s="394"/>
      <c r="AJ880" s="453"/>
      <c r="AK880" s="453"/>
      <c r="AL880" s="393"/>
      <c r="AM880" s="393"/>
      <c r="AN880" s="417"/>
      <c r="AO880" s="392"/>
      <c r="AP880" s="428"/>
      <c r="AQ880" s="392" t="s">
        <v>7057</v>
      </c>
      <c r="AR880" s="392" t="s">
        <v>55</v>
      </c>
      <c r="AS880" s="480"/>
      <c r="AT880" s="453"/>
      <c r="AU880" s="453"/>
      <c r="AV880" s="453"/>
      <c r="AW880" s="453"/>
      <c r="AX880" s="453"/>
      <c r="AY880" s="453"/>
      <c r="AZ880" s="452">
        <v>41410</v>
      </c>
      <c r="BA880" s="393"/>
      <c r="BB880" s="393"/>
      <c r="BC880" s="393" t="b">
        <v>0</v>
      </c>
      <c r="BD880" s="393"/>
      <c r="BE880" s="392"/>
      <c r="BF880" s="394">
        <v>9</v>
      </c>
      <c r="BG880" s="394">
        <v>11</v>
      </c>
      <c r="BH880" s="394">
        <v>5</v>
      </c>
      <c r="BI880" s="394">
        <v>3</v>
      </c>
      <c r="BJ880" s="394">
        <v>2</v>
      </c>
      <c r="BK880" s="394">
        <v>7</v>
      </c>
      <c r="BL880" s="444"/>
      <c r="BM880" s="392"/>
      <c r="BN880" s="393"/>
      <c r="BO880" s="393"/>
      <c r="BP880" s="399"/>
      <c r="BQ880" s="400"/>
      <c r="BR880" s="401"/>
      <c r="BS880" s="399">
        <v>75</v>
      </c>
      <c r="BT880" s="394">
        <v>171534</v>
      </c>
      <c r="BU880" s="417">
        <v>0.97209999999999996</v>
      </c>
      <c r="BV880" s="399"/>
      <c r="BW880" s="393" t="s">
        <v>3117</v>
      </c>
      <c r="BX880" s="392" t="s">
        <v>1447</v>
      </c>
      <c r="BY880" s="393"/>
      <c r="BZ880" s="393"/>
      <c r="CA880" s="441" t="s">
        <v>1662</v>
      </c>
      <c r="CB880" s="400">
        <v>3</v>
      </c>
      <c r="CC880" s="398"/>
      <c r="CD880" s="398"/>
      <c r="CE880" s="398"/>
      <c r="CF880" s="398"/>
      <c r="CG880" s="398"/>
      <c r="CH880" s="398"/>
      <c r="CI880" s="398"/>
      <c r="CJ880" s="398"/>
      <c r="CK880" s="398">
        <v>160.98500000000001</v>
      </c>
      <c r="CL880" s="398">
        <v>159.691</v>
      </c>
      <c r="CM880" s="398">
        <v>158.40700000000001</v>
      </c>
      <c r="CN880" s="398">
        <v>157.13300000000001</v>
      </c>
      <c r="CO880" s="398">
        <v>155.87</v>
      </c>
      <c r="CP880" s="398">
        <v>154.61600000000001</v>
      </c>
      <c r="CQ880" s="398">
        <v>153.37299999999999</v>
      </c>
      <c r="CR880" s="398">
        <v>152.05099999999999</v>
      </c>
      <c r="CS880" s="398">
        <v>150.916</v>
      </c>
      <c r="CT880" s="398">
        <v>149.703</v>
      </c>
      <c r="CU880" s="398"/>
      <c r="CV880" s="398"/>
      <c r="CW880" s="398"/>
      <c r="CX880" s="398"/>
      <c r="CY880" s="398"/>
      <c r="CZ880" s="398"/>
      <c r="DA880" s="398"/>
      <c r="DB880" s="398"/>
      <c r="DC880" s="398"/>
      <c r="DD880" s="398"/>
      <c r="DE880" s="393"/>
      <c r="DF880" s="393"/>
      <c r="DG880" s="393"/>
      <c r="DH880" s="393"/>
      <c r="DI880" s="393"/>
      <c r="DJ880" s="393"/>
      <c r="DK880" s="897"/>
    </row>
    <row r="881" spans="1:115" ht="25.5" x14ac:dyDescent="0.2">
      <c r="A881" s="295">
        <v>877</v>
      </c>
      <c r="B881" s="390" t="s">
        <v>4940</v>
      </c>
      <c r="C881" s="390"/>
      <c r="D881" s="391" t="s">
        <v>4941</v>
      </c>
      <c r="E881" s="704" t="s">
        <v>4942</v>
      </c>
      <c r="F881" s="393" t="s">
        <v>1375</v>
      </c>
      <c r="G881" s="393" t="s">
        <v>1361</v>
      </c>
      <c r="H881" s="393" t="s">
        <v>137</v>
      </c>
      <c r="I881" s="392"/>
      <c r="J881" s="392"/>
      <c r="K881" s="392" t="s">
        <v>2188</v>
      </c>
      <c r="L881" s="428" t="s">
        <v>8128</v>
      </c>
      <c r="M881" s="392"/>
      <c r="N881" s="393" t="s">
        <v>44</v>
      </c>
      <c r="O881" s="393" t="s">
        <v>827</v>
      </c>
      <c r="P881" s="393" t="s">
        <v>827</v>
      </c>
      <c r="Q881" s="392" t="s">
        <v>836</v>
      </c>
      <c r="R881" s="392" t="s">
        <v>4943</v>
      </c>
      <c r="S881" s="428" t="s">
        <v>8889</v>
      </c>
      <c r="T881" s="394">
        <v>1</v>
      </c>
      <c r="U881" s="395">
        <v>135.45400000000001</v>
      </c>
      <c r="V881" s="395"/>
      <c r="W881" s="453"/>
      <c r="X881" s="394"/>
      <c r="Y881" s="394">
        <v>10</v>
      </c>
      <c r="Z881" s="394">
        <v>25</v>
      </c>
      <c r="AA881" s="395">
        <v>-0.56999999999999995</v>
      </c>
      <c r="AB881" s="452">
        <v>41699</v>
      </c>
      <c r="AC881" s="398">
        <v>0</v>
      </c>
      <c r="AD881" s="398">
        <v>1354.54</v>
      </c>
      <c r="AE881" s="393" t="s">
        <v>355</v>
      </c>
      <c r="AF881" s="417"/>
      <c r="AG881" s="417"/>
      <c r="AH881" s="417"/>
      <c r="AI881" s="394"/>
      <c r="AJ881" s="453"/>
      <c r="AK881" s="453"/>
      <c r="AL881" s="393"/>
      <c r="AM881" s="393"/>
      <c r="AN881" s="417"/>
      <c r="AO881" s="392"/>
      <c r="AP881" s="428"/>
      <c r="AQ881" s="392" t="s">
        <v>7057</v>
      </c>
      <c r="AR881" s="392" t="s">
        <v>55</v>
      </c>
      <c r="AS881" s="480"/>
      <c r="AT881" s="453"/>
      <c r="AU881" s="453"/>
      <c r="AV881" s="453"/>
      <c r="AW881" s="453"/>
      <c r="AX881" s="453"/>
      <c r="AY881" s="453"/>
      <c r="AZ881" s="452">
        <v>41410</v>
      </c>
      <c r="BA881" s="393"/>
      <c r="BB881" s="393"/>
      <c r="BC881" s="393" t="b">
        <v>0</v>
      </c>
      <c r="BD881" s="393"/>
      <c r="BE881" s="392"/>
      <c r="BF881" s="394">
        <v>9</v>
      </c>
      <c r="BG881" s="394">
        <v>11</v>
      </c>
      <c r="BH881" s="394">
        <v>5</v>
      </c>
      <c r="BI881" s="394">
        <v>3</v>
      </c>
      <c r="BJ881" s="394">
        <v>2</v>
      </c>
      <c r="BK881" s="394">
        <v>7</v>
      </c>
      <c r="BL881" s="444"/>
      <c r="BM881" s="392"/>
      <c r="BN881" s="393"/>
      <c r="BO881" s="393"/>
      <c r="BP881" s="399"/>
      <c r="BQ881" s="400"/>
      <c r="BR881" s="401"/>
      <c r="BS881" s="399">
        <v>74.959999999999994</v>
      </c>
      <c r="BT881" s="394">
        <v>145813</v>
      </c>
      <c r="BU881" s="417">
        <v>0.97209999999999996</v>
      </c>
      <c r="BV881" s="399"/>
      <c r="BW881" s="393" t="s">
        <v>3117</v>
      </c>
      <c r="BX881" s="392" t="s">
        <v>1447</v>
      </c>
      <c r="BY881" s="393"/>
      <c r="BZ881" s="393"/>
      <c r="CA881" s="441" t="s">
        <v>1662</v>
      </c>
      <c r="CB881" s="400">
        <v>3</v>
      </c>
      <c r="CC881" s="398"/>
      <c r="CD881" s="398"/>
      <c r="CE881" s="398"/>
      <c r="CF881" s="398"/>
      <c r="CG881" s="398"/>
      <c r="CH881" s="398"/>
      <c r="CI881" s="398"/>
      <c r="CJ881" s="398">
        <v>138.495</v>
      </c>
      <c r="CK881" s="398">
        <v>137.803</v>
      </c>
      <c r="CL881" s="398">
        <v>137.48599999999999</v>
      </c>
      <c r="CM881" s="398">
        <v>136.41800000000001</v>
      </c>
      <c r="CN881" s="398">
        <v>135.726</v>
      </c>
      <c r="CO881" s="398">
        <v>135.03299999999999</v>
      </c>
      <c r="CP881" s="398">
        <v>134.709</v>
      </c>
      <c r="CQ881" s="398">
        <v>133.648</v>
      </c>
      <c r="CR881" s="398">
        <v>132.95599999999999</v>
      </c>
      <c r="CS881" s="398">
        <v>132.26300000000001</v>
      </c>
      <c r="CT881" s="398"/>
      <c r="CU881" s="398"/>
      <c r="CV881" s="398"/>
      <c r="CW881" s="398"/>
      <c r="CX881" s="398"/>
      <c r="CY881" s="398"/>
      <c r="CZ881" s="398"/>
      <c r="DA881" s="398"/>
      <c r="DB881" s="398"/>
      <c r="DC881" s="398"/>
      <c r="DD881" s="398"/>
      <c r="DE881" s="393"/>
      <c r="DF881" s="393"/>
      <c r="DG881" s="393"/>
      <c r="DH881" s="393"/>
      <c r="DI881" s="393"/>
      <c r="DJ881" s="393"/>
      <c r="DK881" s="897"/>
    </row>
    <row r="882" spans="1:115" ht="25.5" x14ac:dyDescent="0.2">
      <c r="A882" s="295">
        <v>878</v>
      </c>
      <c r="B882" s="390" t="s">
        <v>4944</v>
      </c>
      <c r="C882" s="390"/>
      <c r="D882" s="391" t="s">
        <v>4945</v>
      </c>
      <c r="E882" s="704" t="s">
        <v>4946</v>
      </c>
      <c r="F882" s="393" t="s">
        <v>1375</v>
      </c>
      <c r="G882" s="393" t="s">
        <v>1361</v>
      </c>
      <c r="H882" s="393" t="s">
        <v>137</v>
      </c>
      <c r="I882" s="392"/>
      <c r="J882" s="392"/>
      <c r="K882" s="392" t="s">
        <v>2184</v>
      </c>
      <c r="L882" s="428" t="s">
        <v>8128</v>
      </c>
      <c r="M882" s="392"/>
      <c r="N882" s="393" t="s">
        <v>44</v>
      </c>
      <c r="O882" s="393" t="s">
        <v>827</v>
      </c>
      <c r="P882" s="393" t="s">
        <v>827</v>
      </c>
      <c r="Q882" s="392" t="s">
        <v>836</v>
      </c>
      <c r="R882" s="392" t="s">
        <v>4947</v>
      </c>
      <c r="S882" s="428" t="s">
        <v>8889</v>
      </c>
      <c r="T882" s="394">
        <v>1</v>
      </c>
      <c r="U882" s="395">
        <v>134.69</v>
      </c>
      <c r="V882" s="395"/>
      <c r="W882" s="453"/>
      <c r="X882" s="394"/>
      <c r="Y882" s="394">
        <v>10</v>
      </c>
      <c r="Z882" s="394">
        <v>25</v>
      </c>
      <c r="AA882" s="395">
        <v>-0.56999999999999995</v>
      </c>
      <c r="AB882" s="452">
        <v>41640</v>
      </c>
      <c r="AC882" s="398">
        <v>0</v>
      </c>
      <c r="AD882" s="398">
        <v>1346.9</v>
      </c>
      <c r="AE882" s="393" t="s">
        <v>355</v>
      </c>
      <c r="AF882" s="417"/>
      <c r="AG882" s="417"/>
      <c r="AH882" s="417"/>
      <c r="AI882" s="394"/>
      <c r="AJ882" s="453"/>
      <c r="AK882" s="453"/>
      <c r="AL882" s="393"/>
      <c r="AM882" s="393"/>
      <c r="AN882" s="417"/>
      <c r="AO882" s="392"/>
      <c r="AP882" s="428"/>
      <c r="AQ882" s="392" t="s">
        <v>7057</v>
      </c>
      <c r="AR882" s="392" t="s">
        <v>55</v>
      </c>
      <c r="AS882" s="480"/>
      <c r="AT882" s="453"/>
      <c r="AU882" s="453"/>
      <c r="AV882" s="453"/>
      <c r="AW882" s="453"/>
      <c r="AX882" s="453"/>
      <c r="AY882" s="453"/>
      <c r="AZ882" s="452">
        <v>41410</v>
      </c>
      <c r="BA882" s="393"/>
      <c r="BB882" s="393"/>
      <c r="BC882" s="393" t="b">
        <v>0</v>
      </c>
      <c r="BD882" s="393"/>
      <c r="BE882" s="392"/>
      <c r="BF882" s="394">
        <v>9</v>
      </c>
      <c r="BG882" s="394">
        <v>11</v>
      </c>
      <c r="BH882" s="394">
        <v>5</v>
      </c>
      <c r="BI882" s="394">
        <v>3</v>
      </c>
      <c r="BJ882" s="394">
        <v>2</v>
      </c>
      <c r="BK882" s="394">
        <v>7</v>
      </c>
      <c r="BL882" s="444"/>
      <c r="BM882" s="392"/>
      <c r="BN882" s="393"/>
      <c r="BO882" s="393"/>
      <c r="BP882" s="399"/>
      <c r="BQ882" s="400"/>
      <c r="BR882" s="401"/>
      <c r="BS882" s="399">
        <v>74.959999999999994</v>
      </c>
      <c r="BT882" s="394">
        <v>144992</v>
      </c>
      <c r="BU882" s="417">
        <v>0.97209999999999996</v>
      </c>
      <c r="BV882" s="399"/>
      <c r="BW882" s="393" t="s">
        <v>3117</v>
      </c>
      <c r="BX882" s="392" t="s">
        <v>1447</v>
      </c>
      <c r="BY882" s="393"/>
      <c r="BZ882" s="393"/>
      <c r="CA882" s="441" t="s">
        <v>1662</v>
      </c>
      <c r="CB882" s="400">
        <v>3</v>
      </c>
      <c r="CC882" s="398"/>
      <c r="CD882" s="398"/>
      <c r="CE882" s="398"/>
      <c r="CF882" s="398"/>
      <c r="CG882" s="398"/>
      <c r="CH882" s="398"/>
      <c r="CI882" s="398"/>
      <c r="CJ882" s="398">
        <v>137.715</v>
      </c>
      <c r="CK882" s="398">
        <v>137.02600000000001</v>
      </c>
      <c r="CL882" s="398">
        <v>136.71100000000001</v>
      </c>
      <c r="CM882" s="398">
        <v>135.649</v>
      </c>
      <c r="CN882" s="398">
        <v>134.96</v>
      </c>
      <c r="CO882" s="398">
        <v>134.27199999999999</v>
      </c>
      <c r="CP882" s="398">
        <v>133.94900000000001</v>
      </c>
      <c r="CQ882" s="398">
        <v>132.89500000000001</v>
      </c>
      <c r="CR882" s="398">
        <v>132.20599999999999</v>
      </c>
      <c r="CS882" s="398">
        <v>131.518</v>
      </c>
      <c r="CT882" s="398"/>
      <c r="CU882" s="398"/>
      <c r="CV882" s="398"/>
      <c r="CW882" s="398"/>
      <c r="CX882" s="398"/>
      <c r="CY882" s="398"/>
      <c r="CZ882" s="398"/>
      <c r="DA882" s="398"/>
      <c r="DB882" s="398"/>
      <c r="DC882" s="398"/>
      <c r="DD882" s="398"/>
      <c r="DE882" s="393"/>
      <c r="DF882" s="393"/>
      <c r="DG882" s="393"/>
      <c r="DH882" s="393"/>
      <c r="DI882" s="393"/>
      <c r="DJ882" s="393"/>
      <c r="DK882" s="897"/>
    </row>
    <row r="883" spans="1:115" ht="25.5" x14ac:dyDescent="0.2">
      <c r="A883" s="295">
        <v>879</v>
      </c>
      <c r="B883" s="390" t="s">
        <v>4948</v>
      </c>
      <c r="C883" s="390"/>
      <c r="D883" s="391" t="s">
        <v>4949</v>
      </c>
      <c r="E883" s="704" t="s">
        <v>4950</v>
      </c>
      <c r="F883" s="393" t="s">
        <v>1375</v>
      </c>
      <c r="G883" s="393" t="s">
        <v>1361</v>
      </c>
      <c r="H883" s="393" t="s">
        <v>137</v>
      </c>
      <c r="I883" s="392"/>
      <c r="J883" s="392"/>
      <c r="K883" s="392" t="s">
        <v>4951</v>
      </c>
      <c r="L883" s="428" t="s">
        <v>8128</v>
      </c>
      <c r="M883" s="392"/>
      <c r="N883" s="393" t="s">
        <v>44</v>
      </c>
      <c r="O883" s="393" t="s">
        <v>827</v>
      </c>
      <c r="P883" s="393" t="s">
        <v>827</v>
      </c>
      <c r="Q883" s="392" t="s">
        <v>836</v>
      </c>
      <c r="R883" s="392" t="s">
        <v>4936</v>
      </c>
      <c r="S883" s="428" t="s">
        <v>8889</v>
      </c>
      <c r="T883" s="394">
        <v>1</v>
      </c>
      <c r="U883" s="395">
        <v>155.53700000000001</v>
      </c>
      <c r="V883" s="395"/>
      <c r="W883" s="453"/>
      <c r="X883" s="394"/>
      <c r="Y883" s="394">
        <v>10</v>
      </c>
      <c r="Z883" s="394">
        <v>25</v>
      </c>
      <c r="AA883" s="395">
        <v>-0.56999999999999995</v>
      </c>
      <c r="AB883" s="452">
        <v>41821</v>
      </c>
      <c r="AC883" s="398">
        <v>0</v>
      </c>
      <c r="AD883" s="398">
        <v>1555.3700000000001</v>
      </c>
      <c r="AE883" s="393" t="s">
        <v>355</v>
      </c>
      <c r="AF883" s="417"/>
      <c r="AG883" s="417">
        <v>119.952</v>
      </c>
      <c r="AH883" s="417">
        <v>119.952</v>
      </c>
      <c r="AI883" s="394"/>
      <c r="AJ883" s="453">
        <v>42676</v>
      </c>
      <c r="AK883" s="453">
        <v>42185</v>
      </c>
      <c r="AL883" s="393"/>
      <c r="AM883" s="393"/>
      <c r="AN883" s="417"/>
      <c r="AO883" s="392"/>
      <c r="AP883" s="428"/>
      <c r="AQ883" s="392" t="s">
        <v>7057</v>
      </c>
      <c r="AR883" s="392" t="s">
        <v>55</v>
      </c>
      <c r="AS883" s="480"/>
      <c r="AT883" s="453"/>
      <c r="AU883" s="453"/>
      <c r="AV883" s="453"/>
      <c r="AW883" s="453"/>
      <c r="AX883" s="453"/>
      <c r="AY883" s="453"/>
      <c r="AZ883" s="452">
        <v>41410</v>
      </c>
      <c r="BA883" s="393"/>
      <c r="BB883" s="393"/>
      <c r="BC883" s="393" t="b">
        <v>0</v>
      </c>
      <c r="BD883" s="393"/>
      <c r="BE883" s="392"/>
      <c r="BF883" s="394">
        <v>9</v>
      </c>
      <c r="BG883" s="394">
        <v>11</v>
      </c>
      <c r="BH883" s="394">
        <v>5</v>
      </c>
      <c r="BI883" s="394">
        <v>3</v>
      </c>
      <c r="BJ883" s="394">
        <v>2</v>
      </c>
      <c r="BK883" s="394">
        <v>7</v>
      </c>
      <c r="BL883" s="444"/>
      <c r="BM883" s="392"/>
      <c r="BN883" s="393"/>
      <c r="BO883" s="393"/>
      <c r="BP883" s="399"/>
      <c r="BQ883" s="400"/>
      <c r="BR883" s="401"/>
      <c r="BS883" s="399">
        <v>75</v>
      </c>
      <c r="BT883" s="394">
        <v>165306</v>
      </c>
      <c r="BU883" s="417">
        <v>0.97209999999999996</v>
      </c>
      <c r="BV883" s="399"/>
      <c r="BW883" s="393" t="s">
        <v>3117</v>
      </c>
      <c r="BX883" s="392" t="s">
        <v>1447</v>
      </c>
      <c r="BY883" s="393"/>
      <c r="BZ883" s="393"/>
      <c r="CA883" s="441" t="s">
        <v>1662</v>
      </c>
      <c r="CB883" s="400">
        <v>3</v>
      </c>
      <c r="CC883" s="398"/>
      <c r="CD883" s="398"/>
      <c r="CE883" s="398"/>
      <c r="CF883" s="398"/>
      <c r="CG883" s="398"/>
      <c r="CH883" s="398"/>
      <c r="CI883" s="398"/>
      <c r="CJ883" s="398">
        <v>79.215000000000003</v>
      </c>
      <c r="CK883" s="398">
        <v>158.108</v>
      </c>
      <c r="CL883" s="398">
        <v>157.46600000000001</v>
      </c>
      <c r="CM883" s="398">
        <v>156.82300000000001</v>
      </c>
      <c r="CN883" s="398">
        <v>156.18</v>
      </c>
      <c r="CO883" s="398">
        <v>155.53700000000001</v>
      </c>
      <c r="CP883" s="398">
        <v>154.89400000000001</v>
      </c>
      <c r="CQ883" s="398">
        <v>154.25200000000001</v>
      </c>
      <c r="CR883" s="398">
        <v>153.60900000000001</v>
      </c>
      <c r="CS883" s="398">
        <v>152.96600000000001</v>
      </c>
      <c r="CT883" s="398">
        <v>76.322000000000003</v>
      </c>
      <c r="CU883" s="398"/>
      <c r="CV883" s="398"/>
      <c r="CW883" s="398"/>
      <c r="CX883" s="398"/>
      <c r="CY883" s="398"/>
      <c r="CZ883" s="398"/>
      <c r="DA883" s="398"/>
      <c r="DB883" s="398"/>
      <c r="DC883" s="398"/>
      <c r="DD883" s="398"/>
      <c r="DE883" s="393"/>
      <c r="DF883" s="393"/>
      <c r="DG883" s="393"/>
      <c r="DH883" s="393"/>
      <c r="DI883" s="393"/>
      <c r="DJ883" s="393"/>
      <c r="DK883" s="897"/>
    </row>
    <row r="884" spans="1:115" ht="25.5" x14ac:dyDescent="0.2">
      <c r="A884" s="295">
        <v>880</v>
      </c>
      <c r="B884" s="390" t="s">
        <v>5802</v>
      </c>
      <c r="C884" s="390"/>
      <c r="D884" s="391" t="s">
        <v>5803</v>
      </c>
      <c r="E884" s="704" t="s">
        <v>5804</v>
      </c>
      <c r="F884" s="393" t="s">
        <v>1375</v>
      </c>
      <c r="G884" s="393" t="s">
        <v>1361</v>
      </c>
      <c r="H884" s="393" t="s">
        <v>137</v>
      </c>
      <c r="I884" s="392"/>
      <c r="J884" s="392"/>
      <c r="K884" s="392" t="s">
        <v>2184</v>
      </c>
      <c r="L884" s="428" t="s">
        <v>8128</v>
      </c>
      <c r="M884" s="392"/>
      <c r="N884" s="393" t="s">
        <v>44</v>
      </c>
      <c r="O884" s="393" t="s">
        <v>827</v>
      </c>
      <c r="P884" s="393" t="s">
        <v>827</v>
      </c>
      <c r="Q884" s="392" t="s">
        <v>836</v>
      </c>
      <c r="R884" s="392" t="s">
        <v>5805</v>
      </c>
      <c r="S884" s="428" t="s">
        <v>8889</v>
      </c>
      <c r="T884" s="394">
        <v>1</v>
      </c>
      <c r="U884" s="395">
        <v>139.691</v>
      </c>
      <c r="V884" s="395"/>
      <c r="W884" s="453"/>
      <c r="X884" s="394"/>
      <c r="Y884" s="394">
        <v>10</v>
      </c>
      <c r="Z884" s="394">
        <v>25</v>
      </c>
      <c r="AA884" s="395">
        <v>-0.84099999999999997</v>
      </c>
      <c r="AB884" s="452">
        <v>41974</v>
      </c>
      <c r="AC884" s="398">
        <v>0</v>
      </c>
      <c r="AD884" s="398">
        <v>1396.91</v>
      </c>
      <c r="AE884" s="393" t="s">
        <v>355</v>
      </c>
      <c r="AF884" s="417"/>
      <c r="AG884" s="417"/>
      <c r="AH884" s="417"/>
      <c r="AI884" s="394"/>
      <c r="AJ884" s="453"/>
      <c r="AK884" s="453"/>
      <c r="AL884" s="393"/>
      <c r="AM884" s="393"/>
      <c r="AN884" s="417"/>
      <c r="AO884" s="392"/>
      <c r="AP884" s="428"/>
      <c r="AQ884" s="392" t="s">
        <v>7057</v>
      </c>
      <c r="AR884" s="392" t="s">
        <v>55</v>
      </c>
      <c r="AS884" s="480"/>
      <c r="AT884" s="453"/>
      <c r="AU884" s="453"/>
      <c r="AV884" s="453"/>
      <c r="AW884" s="453"/>
      <c r="AX884" s="453"/>
      <c r="AY884" s="453"/>
      <c r="AZ884" s="452">
        <v>41660</v>
      </c>
      <c r="BA884" s="393"/>
      <c r="BB884" s="393"/>
      <c r="BC884" s="393" t="b">
        <v>0</v>
      </c>
      <c r="BD884" s="393"/>
      <c r="BE884" s="392"/>
      <c r="BF884" s="394">
        <v>9</v>
      </c>
      <c r="BG884" s="394">
        <v>11</v>
      </c>
      <c r="BH884" s="394">
        <v>5</v>
      </c>
      <c r="BI884" s="394">
        <v>3</v>
      </c>
      <c r="BJ884" s="394">
        <v>2</v>
      </c>
      <c r="BK884" s="394">
        <v>7</v>
      </c>
      <c r="BL884" s="444"/>
      <c r="BM884" s="392"/>
      <c r="BN884" s="393"/>
      <c r="BO884" s="393"/>
      <c r="BP884" s="399"/>
      <c r="BQ884" s="400"/>
      <c r="BR884" s="401"/>
      <c r="BS884" s="399">
        <v>65.95</v>
      </c>
      <c r="BT884" s="394">
        <v>143967</v>
      </c>
      <c r="BU884" s="417">
        <v>0.98009999999999997</v>
      </c>
      <c r="BV884" s="399"/>
      <c r="BW884" s="393" t="s">
        <v>3117</v>
      </c>
      <c r="BX884" s="392" t="s">
        <v>1447</v>
      </c>
      <c r="BY884" s="393"/>
      <c r="BZ884" s="393"/>
      <c r="CA884" s="441" t="s">
        <v>1662</v>
      </c>
      <c r="CB884" s="400">
        <v>3</v>
      </c>
      <c r="CC884" s="398"/>
      <c r="CD884" s="398"/>
      <c r="CE884" s="398"/>
      <c r="CF884" s="398"/>
      <c r="CG884" s="398"/>
      <c r="CH884" s="398"/>
      <c r="CI884" s="398"/>
      <c r="CJ884" s="398"/>
      <c r="CK884" s="398">
        <v>143.505</v>
      </c>
      <c r="CL884" s="398">
        <v>142.64400000000001</v>
      </c>
      <c r="CM884" s="398">
        <v>141.78800000000001</v>
      </c>
      <c r="CN884" s="398">
        <v>140.93700000000001</v>
      </c>
      <c r="CO884" s="398">
        <v>140.09100000000001</v>
      </c>
      <c r="CP884" s="398">
        <v>139.251</v>
      </c>
      <c r="CQ884" s="398">
        <v>138.41499999999999</v>
      </c>
      <c r="CR884" s="398">
        <v>137.58500000000001</v>
      </c>
      <c r="CS884" s="398">
        <v>136.75899999999999</v>
      </c>
      <c r="CT884" s="398">
        <v>135.93899999999999</v>
      </c>
      <c r="CU884" s="398"/>
      <c r="CV884" s="398"/>
      <c r="CW884" s="398"/>
      <c r="CX884" s="398"/>
      <c r="CY884" s="398"/>
      <c r="CZ884" s="398"/>
      <c r="DA884" s="398"/>
      <c r="DB884" s="398"/>
      <c r="DC884" s="398"/>
      <c r="DD884" s="398"/>
      <c r="DE884" s="393"/>
      <c r="DF884" s="393"/>
      <c r="DG884" s="393"/>
      <c r="DH884" s="393"/>
      <c r="DI884" s="393"/>
      <c r="DJ884" s="393"/>
      <c r="DK884" s="897"/>
    </row>
    <row r="885" spans="1:115" ht="89.25" x14ac:dyDescent="0.2">
      <c r="A885" s="295">
        <v>881</v>
      </c>
      <c r="B885" s="390" t="s">
        <v>1020</v>
      </c>
      <c r="C885" s="424" t="s">
        <v>7591</v>
      </c>
      <c r="D885" s="391" t="s">
        <v>5130</v>
      </c>
      <c r="E885" s="705" t="s">
        <v>1021</v>
      </c>
      <c r="F885" s="393" t="s">
        <v>1352</v>
      </c>
      <c r="G885" s="393" t="s">
        <v>1673</v>
      </c>
      <c r="H885" s="393" t="s">
        <v>42</v>
      </c>
      <c r="I885" s="392"/>
      <c r="J885" s="428" t="s">
        <v>9421</v>
      </c>
      <c r="K885" s="392"/>
      <c r="L885" s="392" t="s">
        <v>1022</v>
      </c>
      <c r="M885" s="392" t="s">
        <v>3309</v>
      </c>
      <c r="N885" s="393" t="s">
        <v>44</v>
      </c>
      <c r="O885" s="393" t="s">
        <v>51</v>
      </c>
      <c r="P885" s="393" t="s">
        <v>51</v>
      </c>
      <c r="Q885" s="392" t="s">
        <v>976</v>
      </c>
      <c r="R885" s="392"/>
      <c r="S885" s="392" t="s">
        <v>977</v>
      </c>
      <c r="T885" s="394">
        <v>10</v>
      </c>
      <c r="U885" s="395">
        <v>441.30200000000002</v>
      </c>
      <c r="V885" s="395"/>
      <c r="W885" s="452">
        <v>40787</v>
      </c>
      <c r="X885" s="394">
        <v>28</v>
      </c>
      <c r="Y885" s="394"/>
      <c r="Z885" s="394"/>
      <c r="AA885" s="395"/>
      <c r="AB885" s="453"/>
      <c r="AC885" s="398">
        <v>0.06</v>
      </c>
      <c r="AD885" s="398">
        <v>1410.2319397260273</v>
      </c>
      <c r="AE885" s="393" t="s">
        <v>72</v>
      </c>
      <c r="AF885" s="417"/>
      <c r="AG885" s="417"/>
      <c r="AH885" s="417">
        <v>0</v>
      </c>
      <c r="AI885" s="394"/>
      <c r="AJ885" s="453"/>
      <c r="AK885" s="453"/>
      <c r="AL885" s="393"/>
      <c r="AM885" s="393"/>
      <c r="AN885" s="417"/>
      <c r="AO885" s="392"/>
      <c r="AP885" s="392" t="s">
        <v>8398</v>
      </c>
      <c r="AQ885" s="392"/>
      <c r="AR885" s="392" t="s">
        <v>1022</v>
      </c>
      <c r="AS885" s="479">
        <v>40866</v>
      </c>
      <c r="AT885" s="453"/>
      <c r="AU885" s="453"/>
      <c r="AV885" s="452">
        <v>41166</v>
      </c>
      <c r="AW885" s="452">
        <v>41273</v>
      </c>
      <c r="AX885" s="452">
        <v>41446</v>
      </c>
      <c r="AY885" s="452">
        <v>41273</v>
      </c>
      <c r="AZ885" s="453"/>
      <c r="BA885" s="393"/>
      <c r="BB885" s="393" t="s">
        <v>3147</v>
      </c>
      <c r="BC885" s="393" t="b">
        <v>0</v>
      </c>
      <c r="BD885" s="393" t="s">
        <v>3310</v>
      </c>
      <c r="BE885" s="392" t="s">
        <v>6053</v>
      </c>
      <c r="BF885" s="394"/>
      <c r="BG885" s="394">
        <v>6</v>
      </c>
      <c r="BH885" s="394">
        <v>4</v>
      </c>
      <c r="BI885" s="394">
        <v>3</v>
      </c>
      <c r="BJ885" s="394">
        <v>9</v>
      </c>
      <c r="BK885" s="394">
        <v>11</v>
      </c>
      <c r="BL885" s="444"/>
      <c r="BM885" s="392"/>
      <c r="BN885" s="393"/>
      <c r="BO885" s="393"/>
      <c r="BP885" s="399"/>
      <c r="BQ885" s="400"/>
      <c r="BR885" s="401"/>
      <c r="BS885" s="399">
        <v>0</v>
      </c>
      <c r="BT885" s="394"/>
      <c r="BU885" s="417"/>
      <c r="BV885" s="399"/>
      <c r="BW885" s="393"/>
      <c r="BX885" s="392"/>
      <c r="BY885" s="393"/>
      <c r="BZ885" s="393"/>
      <c r="CA885" s="441"/>
      <c r="CB885" s="400"/>
      <c r="CC885" s="398"/>
      <c r="CD885" s="398"/>
      <c r="CE885" s="398"/>
      <c r="CF885" s="398"/>
      <c r="CG885" s="398"/>
      <c r="CH885" s="398"/>
      <c r="CI885" s="398"/>
      <c r="CJ885" s="398"/>
      <c r="CK885" s="398"/>
      <c r="CL885" s="398"/>
      <c r="CM885" s="398"/>
      <c r="CN885" s="398"/>
      <c r="CO885" s="398"/>
      <c r="CP885" s="398"/>
      <c r="CQ885" s="398"/>
      <c r="CR885" s="398"/>
      <c r="CS885" s="398"/>
      <c r="CT885" s="398"/>
      <c r="CU885" s="398"/>
      <c r="CV885" s="398"/>
      <c r="CW885" s="398"/>
      <c r="CX885" s="398"/>
      <c r="CY885" s="398"/>
      <c r="CZ885" s="398"/>
      <c r="DA885" s="398"/>
      <c r="DB885" s="398"/>
      <c r="DC885" s="398"/>
      <c r="DD885" s="398"/>
      <c r="DE885" s="393"/>
      <c r="DF885" s="393"/>
      <c r="DG885" s="393"/>
      <c r="DH885" s="393"/>
      <c r="DI885" s="393"/>
      <c r="DJ885" s="393"/>
      <c r="DK885" s="896" t="s">
        <v>9699</v>
      </c>
    </row>
    <row r="886" spans="1:115" ht="51" x14ac:dyDescent="0.2">
      <c r="A886" s="295">
        <v>882</v>
      </c>
      <c r="B886" s="390" t="s">
        <v>2763</v>
      </c>
      <c r="C886" s="390"/>
      <c r="D886" s="391" t="s">
        <v>5131</v>
      </c>
      <c r="E886" s="704" t="s">
        <v>1023</v>
      </c>
      <c r="F886" s="393" t="s">
        <v>1352</v>
      </c>
      <c r="G886" s="393" t="s">
        <v>1673</v>
      </c>
      <c r="H886" s="393" t="s">
        <v>42</v>
      </c>
      <c r="I886" s="392"/>
      <c r="J886" s="392"/>
      <c r="K886" s="392" t="s">
        <v>85</v>
      </c>
      <c r="L886" s="392" t="s">
        <v>1022</v>
      </c>
      <c r="M886" s="392"/>
      <c r="N886" s="393" t="s">
        <v>44</v>
      </c>
      <c r="O886" s="393" t="s">
        <v>51</v>
      </c>
      <c r="P886" s="393" t="s">
        <v>51</v>
      </c>
      <c r="Q886" s="392" t="s">
        <v>976</v>
      </c>
      <c r="R886" s="392" t="s">
        <v>3311</v>
      </c>
      <c r="S886" s="392" t="s">
        <v>977</v>
      </c>
      <c r="T886" s="394">
        <v>1</v>
      </c>
      <c r="U886" s="395">
        <v>11.005000000000001</v>
      </c>
      <c r="V886" s="395"/>
      <c r="W886" s="453"/>
      <c r="X886" s="394"/>
      <c r="Y886" s="394">
        <v>10</v>
      </c>
      <c r="Z886" s="394">
        <v>10</v>
      </c>
      <c r="AA886" s="395">
        <v>0</v>
      </c>
      <c r="AB886" s="452">
        <v>41273</v>
      </c>
      <c r="AC886" s="398">
        <v>0.06</v>
      </c>
      <c r="AD886" s="398">
        <v>110.05000000000001</v>
      </c>
      <c r="AE886" s="393" t="s">
        <v>72</v>
      </c>
      <c r="AF886" s="417"/>
      <c r="AG886" s="417"/>
      <c r="AH886" s="417"/>
      <c r="AI886" s="394"/>
      <c r="AJ886" s="453"/>
      <c r="AK886" s="453"/>
      <c r="AL886" s="393"/>
      <c r="AM886" s="393"/>
      <c r="AN886" s="417"/>
      <c r="AO886" s="392"/>
      <c r="AP886" s="392" t="s">
        <v>8398</v>
      </c>
      <c r="AQ886" s="392"/>
      <c r="AR886" s="392" t="s">
        <v>1022</v>
      </c>
      <c r="AS886" s="479">
        <v>40866</v>
      </c>
      <c r="AT886" s="453"/>
      <c r="AU886" s="453"/>
      <c r="AV886" s="453"/>
      <c r="AW886" s="453"/>
      <c r="AX886" s="453"/>
      <c r="AY886" s="453"/>
      <c r="AZ886" s="452">
        <v>41273</v>
      </c>
      <c r="BA886" s="393"/>
      <c r="BB886" s="393"/>
      <c r="BC886" s="393" t="b">
        <v>0</v>
      </c>
      <c r="BD886" s="393"/>
      <c r="BE886" s="392" t="s">
        <v>6053</v>
      </c>
      <c r="BF886" s="394">
        <v>8</v>
      </c>
      <c r="BG886" s="394">
        <v>6</v>
      </c>
      <c r="BH886" s="394">
        <v>4</v>
      </c>
      <c r="BI886" s="394">
        <v>3</v>
      </c>
      <c r="BJ886" s="394">
        <v>9</v>
      </c>
      <c r="BK886" s="394">
        <v>11</v>
      </c>
      <c r="BL886" s="444" t="s">
        <v>6981</v>
      </c>
      <c r="BM886" s="392"/>
      <c r="BN886" s="393"/>
      <c r="BO886" s="393"/>
      <c r="BP886" s="399"/>
      <c r="BQ886" s="400"/>
      <c r="BR886" s="401"/>
      <c r="BS886" s="399"/>
      <c r="BT886" s="394"/>
      <c r="BU886" s="417"/>
      <c r="BV886" s="399">
        <v>42.14</v>
      </c>
      <c r="BW886" s="393" t="s">
        <v>3117</v>
      </c>
      <c r="BX886" s="392" t="s">
        <v>3259</v>
      </c>
      <c r="BY886" s="393"/>
      <c r="BZ886" s="393"/>
      <c r="CA886" s="441" t="s">
        <v>1664</v>
      </c>
      <c r="CB886" s="400"/>
      <c r="CC886" s="398"/>
      <c r="CD886" s="398"/>
      <c r="CE886" s="398"/>
      <c r="CF886" s="398"/>
      <c r="CG886" s="398"/>
      <c r="CH886" s="398">
        <v>0.06</v>
      </c>
      <c r="CI886" s="398">
        <v>11.005000000000001</v>
      </c>
      <c r="CJ886" s="398">
        <v>11.005000000000001</v>
      </c>
      <c r="CK886" s="398">
        <v>11.005000000000001</v>
      </c>
      <c r="CL886" s="398">
        <v>11.005000000000001</v>
      </c>
      <c r="CM886" s="398">
        <v>11.005000000000001</v>
      </c>
      <c r="CN886" s="398">
        <v>11.005000000000001</v>
      </c>
      <c r="CO886" s="398">
        <v>11.005000000000001</v>
      </c>
      <c r="CP886" s="398">
        <v>11.005000000000001</v>
      </c>
      <c r="CQ886" s="398">
        <v>11.005000000000001</v>
      </c>
      <c r="CR886" s="398">
        <v>10.945</v>
      </c>
      <c r="CS886" s="398"/>
      <c r="CT886" s="398"/>
      <c r="CU886" s="398"/>
      <c r="CV886" s="398"/>
      <c r="CW886" s="398"/>
      <c r="CX886" s="398"/>
      <c r="CY886" s="398"/>
      <c r="CZ886" s="398"/>
      <c r="DA886" s="398"/>
      <c r="DB886" s="398"/>
      <c r="DC886" s="398"/>
      <c r="DD886" s="398"/>
      <c r="DE886" s="393"/>
      <c r="DF886" s="393"/>
      <c r="DG886" s="393"/>
      <c r="DH886" s="393"/>
      <c r="DI886" s="393"/>
      <c r="DJ886" s="393"/>
      <c r="DK886" s="897"/>
    </row>
    <row r="887" spans="1:115" ht="51" x14ac:dyDescent="0.2">
      <c r="A887" s="295">
        <v>883</v>
      </c>
      <c r="B887" s="390" t="s">
        <v>8249</v>
      </c>
      <c r="C887" s="390"/>
      <c r="D887" s="391" t="s">
        <v>8250</v>
      </c>
      <c r="E887" s="705" t="s">
        <v>8251</v>
      </c>
      <c r="F887" s="393" t="s">
        <v>1352</v>
      </c>
      <c r="G887" s="393" t="s">
        <v>1673</v>
      </c>
      <c r="H887" s="393" t="s">
        <v>42</v>
      </c>
      <c r="I887" s="392"/>
      <c r="J887" s="392"/>
      <c r="K887" s="428" t="s">
        <v>8252</v>
      </c>
      <c r="L887" s="428" t="s">
        <v>1022</v>
      </c>
      <c r="M887" s="392"/>
      <c r="N887" s="475" t="s">
        <v>44</v>
      </c>
      <c r="O887" s="393" t="s">
        <v>51</v>
      </c>
      <c r="P887" s="393" t="s">
        <v>51</v>
      </c>
      <c r="Q887" s="392" t="s">
        <v>976</v>
      </c>
      <c r="R887" s="428" t="s">
        <v>8253</v>
      </c>
      <c r="S887" s="428" t="s">
        <v>977</v>
      </c>
      <c r="T887" s="394">
        <v>1</v>
      </c>
      <c r="U887" s="395">
        <v>47.817999999999998</v>
      </c>
      <c r="V887" s="395"/>
      <c r="W887" s="453"/>
      <c r="X887" s="394"/>
      <c r="Y887" s="394">
        <v>7</v>
      </c>
      <c r="Z887" s="394">
        <v>7</v>
      </c>
      <c r="AA887" s="395">
        <v>0</v>
      </c>
      <c r="AB887" s="452">
        <v>42622</v>
      </c>
      <c r="AC887" s="398">
        <v>0</v>
      </c>
      <c r="AD887" s="398">
        <v>206.20693698630134</v>
      </c>
      <c r="AE887" s="475" t="s">
        <v>72</v>
      </c>
      <c r="AF887" s="417"/>
      <c r="AG887" s="417"/>
      <c r="AH887" s="417"/>
      <c r="AI887" s="394"/>
      <c r="AJ887" s="453"/>
      <c r="AK887" s="453"/>
      <c r="AL887" s="393"/>
      <c r="AM887" s="393"/>
      <c r="AN887" s="417"/>
      <c r="AO887" s="392"/>
      <c r="AP887" s="392" t="s">
        <v>8398</v>
      </c>
      <c r="AQ887" s="392"/>
      <c r="AR887" s="428" t="s">
        <v>1022</v>
      </c>
      <c r="AS887" s="479">
        <v>40866</v>
      </c>
      <c r="AT887" s="453"/>
      <c r="AU887" s="453"/>
      <c r="AV887" s="453"/>
      <c r="AW887" s="453"/>
      <c r="AX887" s="453"/>
      <c r="AY887" s="453"/>
      <c r="AZ887" s="452">
        <v>42622</v>
      </c>
      <c r="BA887" s="393"/>
      <c r="BB887" s="393"/>
      <c r="BC887" s="393" t="b">
        <v>0</v>
      </c>
      <c r="BD887" s="393"/>
      <c r="BE887" s="392"/>
      <c r="BF887" s="394">
        <v>8</v>
      </c>
      <c r="BG887" s="394">
        <v>6</v>
      </c>
      <c r="BH887" s="394">
        <v>4</v>
      </c>
      <c r="BI887" s="394">
        <v>3</v>
      </c>
      <c r="BJ887" s="394">
        <v>9</v>
      </c>
      <c r="BK887" s="394">
        <v>11</v>
      </c>
      <c r="BL887" s="444" t="s">
        <v>6981</v>
      </c>
      <c r="BM887" s="392"/>
      <c r="BN887" s="393"/>
      <c r="BO887" s="393"/>
      <c r="BP887" s="399"/>
      <c r="BQ887" s="400"/>
      <c r="BR887" s="401"/>
      <c r="BS887" s="399"/>
      <c r="BT887" s="394"/>
      <c r="BU887" s="417"/>
      <c r="BV887" s="399"/>
      <c r="BW887" s="475" t="s">
        <v>3117</v>
      </c>
      <c r="BX887" s="392" t="s">
        <v>3259</v>
      </c>
      <c r="BY887" s="393"/>
      <c r="BZ887" s="393"/>
      <c r="CA887" s="441"/>
      <c r="CB887" s="400"/>
      <c r="CC887" s="398"/>
      <c r="CD887" s="398"/>
      <c r="CE887" s="398"/>
      <c r="CF887" s="398"/>
      <c r="CG887" s="398"/>
      <c r="CH887" s="398"/>
      <c r="CI887" s="398"/>
      <c r="CJ887" s="398"/>
      <c r="CK887" s="398"/>
      <c r="CL887" s="398">
        <v>47.817999999999998</v>
      </c>
      <c r="CM887" s="398">
        <v>47.817999999999998</v>
      </c>
      <c r="CN887" s="398">
        <v>47.817999999999998</v>
      </c>
      <c r="CO887" s="398">
        <v>47.817999999999998</v>
      </c>
      <c r="CP887" s="398">
        <v>47.817999999999998</v>
      </c>
      <c r="CQ887" s="398">
        <v>47.817999999999998</v>
      </c>
      <c r="CR887" s="398">
        <v>47.817999999999998</v>
      </c>
      <c r="CS887" s="398"/>
      <c r="CT887" s="398"/>
      <c r="CU887" s="398"/>
      <c r="CV887" s="398"/>
      <c r="CW887" s="398"/>
      <c r="CX887" s="398"/>
      <c r="CY887" s="398"/>
      <c r="CZ887" s="398"/>
      <c r="DA887" s="398"/>
      <c r="DB887" s="398"/>
      <c r="DC887" s="398"/>
      <c r="DD887" s="398"/>
      <c r="DE887" s="393"/>
      <c r="DF887" s="393"/>
      <c r="DG887" s="393"/>
      <c r="DH887" s="393"/>
      <c r="DI887" s="393"/>
      <c r="DJ887" s="393"/>
      <c r="DK887" s="897"/>
    </row>
    <row r="888" spans="1:115" ht="51" x14ac:dyDescent="0.2">
      <c r="A888" s="295">
        <v>884</v>
      </c>
      <c r="B888" s="390" t="s">
        <v>9411</v>
      </c>
      <c r="C888" s="390"/>
      <c r="D888" s="391" t="s">
        <v>9412</v>
      </c>
      <c r="E888" s="709" t="s">
        <v>9406</v>
      </c>
      <c r="F888" s="393" t="s">
        <v>1375</v>
      </c>
      <c r="G888" s="393" t="s">
        <v>998</v>
      </c>
      <c r="H888" s="475" t="s">
        <v>218</v>
      </c>
      <c r="I888" s="563"/>
      <c r="J888" s="563"/>
      <c r="K888" s="562" t="s">
        <v>218</v>
      </c>
      <c r="L888" s="560" t="s">
        <v>9422</v>
      </c>
      <c r="M888" s="563"/>
      <c r="N888" s="562" t="s">
        <v>44</v>
      </c>
      <c r="O888" s="393" t="s">
        <v>51</v>
      </c>
      <c r="P888" s="393" t="s">
        <v>51</v>
      </c>
      <c r="Q888" s="392" t="s">
        <v>976</v>
      </c>
      <c r="R888" s="560" t="s">
        <v>9423</v>
      </c>
      <c r="S888" s="560" t="s">
        <v>977</v>
      </c>
      <c r="T888" s="394">
        <v>1</v>
      </c>
      <c r="U888" s="565">
        <v>48.5</v>
      </c>
      <c r="V888" s="565"/>
      <c r="W888" s="566"/>
      <c r="X888" s="564"/>
      <c r="Y888" s="564">
        <v>7</v>
      </c>
      <c r="Z888" s="564">
        <v>7</v>
      </c>
      <c r="AA888" s="565">
        <v>0</v>
      </c>
      <c r="AB888" s="567">
        <v>43119</v>
      </c>
      <c r="AC888" s="568">
        <v>0</v>
      </c>
      <c r="AD888" s="568">
        <v>143.10821917808218</v>
      </c>
      <c r="AE888" s="562" t="s">
        <v>72</v>
      </c>
      <c r="AF888" s="569"/>
      <c r="AG888" s="569"/>
      <c r="AH888" s="569"/>
      <c r="AI888" s="564"/>
      <c r="AJ888" s="566"/>
      <c r="AK888" s="566"/>
      <c r="AL888" s="561"/>
      <c r="AM888" s="561"/>
      <c r="AN888" s="569"/>
      <c r="AO888" s="563"/>
      <c r="AP888" s="392" t="s">
        <v>8398</v>
      </c>
      <c r="AQ888" s="563"/>
      <c r="AR888" s="560" t="s">
        <v>1022</v>
      </c>
      <c r="AS888" s="578">
        <v>40866</v>
      </c>
      <c r="AT888" s="566"/>
      <c r="AU888" s="566"/>
      <c r="AV888" s="566"/>
      <c r="AW888" s="566"/>
      <c r="AX888" s="566"/>
      <c r="AY888" s="566"/>
      <c r="AZ888" s="567">
        <v>43118</v>
      </c>
      <c r="BA888" s="561"/>
      <c r="BB888" s="561"/>
      <c r="BC888" s="561" t="b">
        <v>0</v>
      </c>
      <c r="BD888" s="561"/>
      <c r="BE888" s="563"/>
      <c r="BF888" s="394">
        <v>8</v>
      </c>
      <c r="BG888" s="394">
        <v>6</v>
      </c>
      <c r="BH888" s="394">
        <v>4</v>
      </c>
      <c r="BI888" s="394">
        <v>3</v>
      </c>
      <c r="BJ888" s="394">
        <v>9</v>
      </c>
      <c r="BK888" s="394">
        <v>11</v>
      </c>
      <c r="BL888" s="444" t="s">
        <v>6981</v>
      </c>
      <c r="BM888" s="563"/>
      <c r="BN888" s="561"/>
      <c r="BO888" s="561"/>
      <c r="BP888" s="571"/>
      <c r="BQ888" s="572"/>
      <c r="BR888" s="573"/>
      <c r="BS888" s="571"/>
      <c r="BT888" s="564"/>
      <c r="BU888" s="569"/>
      <c r="BV888" s="571"/>
      <c r="BW888" s="562" t="s">
        <v>3117</v>
      </c>
      <c r="BX888" s="428" t="s">
        <v>3259</v>
      </c>
      <c r="BY888" s="561"/>
      <c r="BZ888" s="561"/>
      <c r="CA888" s="574"/>
      <c r="CB888" s="572"/>
      <c r="CC888" s="568"/>
      <c r="CD888" s="568"/>
      <c r="CE888" s="568"/>
      <c r="CF888" s="568"/>
      <c r="CG888" s="568"/>
      <c r="CH888" s="568"/>
      <c r="CI888" s="568"/>
      <c r="CJ888" s="568"/>
      <c r="CK888" s="568"/>
      <c r="CL888" s="568"/>
      <c r="CM888" s="568"/>
      <c r="CN888" s="568">
        <v>48.5</v>
      </c>
      <c r="CO888" s="568">
        <v>48.5</v>
      </c>
      <c r="CP888" s="568">
        <v>48.5</v>
      </c>
      <c r="CQ888" s="568">
        <v>48.5</v>
      </c>
      <c r="CR888" s="568">
        <v>48.5</v>
      </c>
      <c r="CS888" s="568">
        <v>48.5</v>
      </c>
      <c r="CT888" s="568">
        <v>48.5</v>
      </c>
      <c r="CU888" s="568"/>
      <c r="CV888" s="568"/>
      <c r="CW888" s="568"/>
      <c r="CX888" s="568"/>
      <c r="CY888" s="568"/>
      <c r="CZ888" s="568"/>
      <c r="DA888" s="568"/>
      <c r="DB888" s="568"/>
      <c r="DC888" s="568"/>
      <c r="DD888" s="568"/>
      <c r="DE888" s="561"/>
      <c r="DF888" s="561"/>
      <c r="DG888" s="561"/>
      <c r="DH888" s="561"/>
      <c r="DI888" s="561"/>
      <c r="DJ888" s="561"/>
      <c r="DK888" s="897"/>
    </row>
    <row r="889" spans="1:115" ht="51" x14ac:dyDescent="0.2">
      <c r="A889" s="295">
        <v>885</v>
      </c>
      <c r="B889" s="390" t="s">
        <v>9413</v>
      </c>
      <c r="C889" s="390"/>
      <c r="D889" s="391" t="s">
        <v>9414</v>
      </c>
      <c r="E889" s="709" t="s">
        <v>9407</v>
      </c>
      <c r="F889" s="393" t="s">
        <v>1375</v>
      </c>
      <c r="G889" s="393" t="s">
        <v>998</v>
      </c>
      <c r="H889" s="562" t="s">
        <v>218</v>
      </c>
      <c r="I889" s="563"/>
      <c r="J889" s="563"/>
      <c r="K889" s="562" t="s">
        <v>218</v>
      </c>
      <c r="L889" s="560" t="s">
        <v>9422</v>
      </c>
      <c r="M889" s="563"/>
      <c r="N889" s="562" t="s">
        <v>44</v>
      </c>
      <c r="O889" s="393" t="s">
        <v>51</v>
      </c>
      <c r="P889" s="393" t="s">
        <v>51</v>
      </c>
      <c r="Q889" s="392" t="s">
        <v>976</v>
      </c>
      <c r="R889" s="560" t="s">
        <v>9423</v>
      </c>
      <c r="S889" s="560" t="s">
        <v>977</v>
      </c>
      <c r="T889" s="564">
        <v>1</v>
      </c>
      <c r="U889" s="565">
        <v>48.5</v>
      </c>
      <c r="V889" s="565"/>
      <c r="W889" s="566"/>
      <c r="X889" s="564"/>
      <c r="Y889" s="564">
        <v>7</v>
      </c>
      <c r="Z889" s="564">
        <v>7</v>
      </c>
      <c r="AA889" s="565">
        <v>0</v>
      </c>
      <c r="AB889" s="567">
        <v>43119</v>
      </c>
      <c r="AC889" s="568">
        <v>0</v>
      </c>
      <c r="AD889" s="568">
        <v>143.10821917808218</v>
      </c>
      <c r="AE889" s="562" t="s">
        <v>72</v>
      </c>
      <c r="AF889" s="569"/>
      <c r="AG889" s="569"/>
      <c r="AH889" s="569"/>
      <c r="AI889" s="564"/>
      <c r="AJ889" s="566"/>
      <c r="AK889" s="566"/>
      <c r="AL889" s="561"/>
      <c r="AM889" s="561"/>
      <c r="AN889" s="569"/>
      <c r="AO889" s="563"/>
      <c r="AP889" s="392" t="s">
        <v>8398</v>
      </c>
      <c r="AQ889" s="563"/>
      <c r="AR889" s="560" t="s">
        <v>1022</v>
      </c>
      <c r="AS889" s="578">
        <v>40866</v>
      </c>
      <c r="AT889" s="566"/>
      <c r="AU889" s="566"/>
      <c r="AV889" s="566"/>
      <c r="AW889" s="566"/>
      <c r="AX889" s="566"/>
      <c r="AY889" s="566"/>
      <c r="AZ889" s="567">
        <v>43118</v>
      </c>
      <c r="BA889" s="561"/>
      <c r="BB889" s="561"/>
      <c r="BC889" s="561" t="b">
        <v>0</v>
      </c>
      <c r="BD889" s="561"/>
      <c r="BE889" s="563"/>
      <c r="BF889" s="394">
        <v>8</v>
      </c>
      <c r="BG889" s="394">
        <v>6</v>
      </c>
      <c r="BH889" s="394">
        <v>4</v>
      </c>
      <c r="BI889" s="394">
        <v>3</v>
      </c>
      <c r="BJ889" s="394">
        <v>9</v>
      </c>
      <c r="BK889" s="394">
        <v>11</v>
      </c>
      <c r="BL889" s="444" t="s">
        <v>6981</v>
      </c>
      <c r="BM889" s="563"/>
      <c r="BN889" s="561"/>
      <c r="BO889" s="561"/>
      <c r="BP889" s="571"/>
      <c r="BQ889" s="572"/>
      <c r="BR889" s="573"/>
      <c r="BS889" s="571"/>
      <c r="BT889" s="564"/>
      <c r="BU889" s="569"/>
      <c r="BV889" s="571"/>
      <c r="BW889" s="562" t="s">
        <v>3117</v>
      </c>
      <c r="BX889" s="560" t="s">
        <v>3259</v>
      </c>
      <c r="BY889" s="561"/>
      <c r="BZ889" s="561"/>
      <c r="CA889" s="574"/>
      <c r="CB889" s="572"/>
      <c r="CC889" s="568"/>
      <c r="CD889" s="568"/>
      <c r="CE889" s="568"/>
      <c r="CF889" s="568"/>
      <c r="CG889" s="568"/>
      <c r="CH889" s="568"/>
      <c r="CI889" s="568"/>
      <c r="CJ889" s="568"/>
      <c r="CK889" s="568"/>
      <c r="CL889" s="568"/>
      <c r="CM889" s="568"/>
      <c r="CN889" s="568">
        <v>48.5</v>
      </c>
      <c r="CO889" s="568">
        <v>48.5</v>
      </c>
      <c r="CP889" s="568">
        <v>48.5</v>
      </c>
      <c r="CQ889" s="568">
        <v>48.5</v>
      </c>
      <c r="CR889" s="568">
        <v>48.5</v>
      </c>
      <c r="CS889" s="568">
        <v>48.5</v>
      </c>
      <c r="CT889" s="568">
        <v>48.5</v>
      </c>
      <c r="CU889" s="568"/>
      <c r="CV889" s="568"/>
      <c r="CW889" s="568"/>
      <c r="CX889" s="568"/>
      <c r="CY889" s="568"/>
      <c r="CZ889" s="568"/>
      <c r="DA889" s="568"/>
      <c r="DB889" s="568"/>
      <c r="DC889" s="568"/>
      <c r="DD889" s="568"/>
      <c r="DE889" s="561"/>
      <c r="DF889" s="561"/>
      <c r="DG889" s="561"/>
      <c r="DH889" s="561"/>
      <c r="DI889" s="561"/>
      <c r="DJ889" s="561"/>
      <c r="DK889" s="897"/>
    </row>
    <row r="890" spans="1:115" ht="51" x14ac:dyDescent="0.2">
      <c r="A890" s="295">
        <v>886</v>
      </c>
      <c r="B890" s="390" t="s">
        <v>9415</v>
      </c>
      <c r="C890" s="390"/>
      <c r="D890" s="391" t="s">
        <v>9416</v>
      </c>
      <c r="E890" s="709" t="s">
        <v>9408</v>
      </c>
      <c r="F890" s="393" t="s">
        <v>1375</v>
      </c>
      <c r="G890" s="393" t="s">
        <v>998</v>
      </c>
      <c r="H890" s="562" t="s">
        <v>218</v>
      </c>
      <c r="I890" s="563"/>
      <c r="J890" s="563"/>
      <c r="K890" s="562" t="s">
        <v>218</v>
      </c>
      <c r="L890" s="560" t="s">
        <v>9422</v>
      </c>
      <c r="M890" s="563"/>
      <c r="N890" s="562" t="s">
        <v>44</v>
      </c>
      <c r="O890" s="393" t="s">
        <v>51</v>
      </c>
      <c r="P890" s="393" t="s">
        <v>51</v>
      </c>
      <c r="Q890" s="392" t="s">
        <v>976</v>
      </c>
      <c r="R890" s="560" t="s">
        <v>9423</v>
      </c>
      <c r="S890" s="560" t="s">
        <v>977</v>
      </c>
      <c r="T890" s="564">
        <v>1</v>
      </c>
      <c r="U890" s="565">
        <v>48.5</v>
      </c>
      <c r="V890" s="565"/>
      <c r="W890" s="566"/>
      <c r="X890" s="564"/>
      <c r="Y890" s="564">
        <v>7</v>
      </c>
      <c r="Z890" s="564">
        <v>7</v>
      </c>
      <c r="AA890" s="565">
        <v>0</v>
      </c>
      <c r="AB890" s="567">
        <v>43119</v>
      </c>
      <c r="AC890" s="568">
        <v>0</v>
      </c>
      <c r="AD890" s="568">
        <v>143.10821917808218</v>
      </c>
      <c r="AE890" s="562" t="s">
        <v>72</v>
      </c>
      <c r="AF890" s="569"/>
      <c r="AG890" s="569"/>
      <c r="AH890" s="569"/>
      <c r="AI890" s="564"/>
      <c r="AJ890" s="566"/>
      <c r="AK890" s="566"/>
      <c r="AL890" s="561"/>
      <c r="AM890" s="561"/>
      <c r="AN890" s="569"/>
      <c r="AO890" s="563"/>
      <c r="AP890" s="392" t="s">
        <v>8398</v>
      </c>
      <c r="AQ890" s="563"/>
      <c r="AR890" s="560" t="s">
        <v>1022</v>
      </c>
      <c r="AS890" s="578">
        <v>40866</v>
      </c>
      <c r="AT890" s="566"/>
      <c r="AU890" s="566"/>
      <c r="AV890" s="566"/>
      <c r="AW890" s="566"/>
      <c r="AX890" s="566"/>
      <c r="AY890" s="566"/>
      <c r="AZ890" s="567">
        <v>43118</v>
      </c>
      <c r="BA890" s="561"/>
      <c r="BB890" s="561"/>
      <c r="BC890" s="561" t="b">
        <v>0</v>
      </c>
      <c r="BD890" s="561"/>
      <c r="BE890" s="563"/>
      <c r="BF890" s="394">
        <v>8</v>
      </c>
      <c r="BG890" s="394">
        <v>6</v>
      </c>
      <c r="BH890" s="394">
        <v>4</v>
      </c>
      <c r="BI890" s="394">
        <v>3</v>
      </c>
      <c r="BJ890" s="394">
        <v>9</v>
      </c>
      <c r="BK890" s="394">
        <v>11</v>
      </c>
      <c r="BL890" s="444" t="s">
        <v>6981</v>
      </c>
      <c r="BM890" s="563"/>
      <c r="BN890" s="561"/>
      <c r="BO890" s="561"/>
      <c r="BP890" s="571"/>
      <c r="BQ890" s="572"/>
      <c r="BR890" s="573"/>
      <c r="BS890" s="571"/>
      <c r="BT890" s="564"/>
      <c r="BU890" s="569"/>
      <c r="BV890" s="571"/>
      <c r="BW890" s="562" t="s">
        <v>3117</v>
      </c>
      <c r="BX890" s="560" t="s">
        <v>3259</v>
      </c>
      <c r="BY890" s="561"/>
      <c r="BZ890" s="561"/>
      <c r="CA890" s="574"/>
      <c r="CB890" s="572"/>
      <c r="CC890" s="568"/>
      <c r="CD890" s="568"/>
      <c r="CE890" s="568"/>
      <c r="CF890" s="568"/>
      <c r="CG890" s="568"/>
      <c r="CH890" s="568"/>
      <c r="CI890" s="568"/>
      <c r="CJ890" s="568"/>
      <c r="CK890" s="568"/>
      <c r="CL890" s="568"/>
      <c r="CM890" s="568"/>
      <c r="CN890" s="568">
        <v>48.5</v>
      </c>
      <c r="CO890" s="568">
        <v>48.5</v>
      </c>
      <c r="CP890" s="568">
        <v>48.5</v>
      </c>
      <c r="CQ890" s="568">
        <v>48.5</v>
      </c>
      <c r="CR890" s="568">
        <v>48.5</v>
      </c>
      <c r="CS890" s="568">
        <v>48.5</v>
      </c>
      <c r="CT890" s="568">
        <v>48.5</v>
      </c>
      <c r="CU890" s="568"/>
      <c r="CV890" s="568"/>
      <c r="CW890" s="568"/>
      <c r="CX890" s="568"/>
      <c r="CY890" s="568"/>
      <c r="CZ890" s="568"/>
      <c r="DA890" s="568"/>
      <c r="DB890" s="568"/>
      <c r="DC890" s="568"/>
      <c r="DD890" s="568"/>
      <c r="DE890" s="561"/>
      <c r="DF890" s="561"/>
      <c r="DG890" s="561"/>
      <c r="DH890" s="561"/>
      <c r="DI890" s="561"/>
      <c r="DJ890" s="561"/>
      <c r="DK890" s="897"/>
    </row>
    <row r="891" spans="1:115" ht="51" x14ac:dyDescent="0.2">
      <c r="A891" s="295">
        <v>887</v>
      </c>
      <c r="B891" s="390" t="s">
        <v>9417</v>
      </c>
      <c r="C891" s="390"/>
      <c r="D891" s="391" t="s">
        <v>9418</v>
      </c>
      <c r="E891" s="709" t="s">
        <v>9409</v>
      </c>
      <c r="F891" s="393" t="s">
        <v>1375</v>
      </c>
      <c r="G891" s="393" t="s">
        <v>998</v>
      </c>
      <c r="H891" s="562" t="s">
        <v>218</v>
      </c>
      <c r="I891" s="563"/>
      <c r="J891" s="563"/>
      <c r="K891" s="562" t="s">
        <v>218</v>
      </c>
      <c r="L891" s="560" t="s">
        <v>9422</v>
      </c>
      <c r="M891" s="563"/>
      <c r="N891" s="562" t="s">
        <v>44</v>
      </c>
      <c r="O891" s="393" t="s">
        <v>51</v>
      </c>
      <c r="P891" s="393" t="s">
        <v>51</v>
      </c>
      <c r="Q891" s="392" t="s">
        <v>976</v>
      </c>
      <c r="R891" s="560" t="s">
        <v>9423</v>
      </c>
      <c r="S891" s="560" t="s">
        <v>977</v>
      </c>
      <c r="T891" s="564">
        <v>1</v>
      </c>
      <c r="U891" s="565">
        <v>48.5</v>
      </c>
      <c r="V891" s="565"/>
      <c r="W891" s="566"/>
      <c r="X891" s="564"/>
      <c r="Y891" s="564">
        <v>7</v>
      </c>
      <c r="Z891" s="564">
        <v>7</v>
      </c>
      <c r="AA891" s="565">
        <v>0</v>
      </c>
      <c r="AB891" s="567">
        <v>43119</v>
      </c>
      <c r="AC891" s="568">
        <v>0</v>
      </c>
      <c r="AD891" s="568">
        <v>143.10821917808218</v>
      </c>
      <c r="AE891" s="562" t="s">
        <v>72</v>
      </c>
      <c r="AF891" s="569"/>
      <c r="AG891" s="569"/>
      <c r="AH891" s="569"/>
      <c r="AI891" s="564"/>
      <c r="AJ891" s="566"/>
      <c r="AK891" s="566"/>
      <c r="AL891" s="561"/>
      <c r="AM891" s="561"/>
      <c r="AN891" s="569"/>
      <c r="AO891" s="563"/>
      <c r="AP891" s="392" t="s">
        <v>8398</v>
      </c>
      <c r="AQ891" s="563"/>
      <c r="AR891" s="560" t="s">
        <v>1022</v>
      </c>
      <c r="AS891" s="578">
        <v>40866</v>
      </c>
      <c r="AT891" s="566"/>
      <c r="AU891" s="566"/>
      <c r="AV891" s="566"/>
      <c r="AW891" s="566"/>
      <c r="AX891" s="566"/>
      <c r="AY891" s="566"/>
      <c r="AZ891" s="567">
        <v>43118</v>
      </c>
      <c r="BA891" s="561"/>
      <c r="BB891" s="561"/>
      <c r="BC891" s="561" t="b">
        <v>0</v>
      </c>
      <c r="BD891" s="561"/>
      <c r="BE891" s="563"/>
      <c r="BF891" s="394">
        <v>8</v>
      </c>
      <c r="BG891" s="394">
        <v>6</v>
      </c>
      <c r="BH891" s="394">
        <v>4</v>
      </c>
      <c r="BI891" s="394">
        <v>3</v>
      </c>
      <c r="BJ891" s="394">
        <v>9</v>
      </c>
      <c r="BK891" s="394">
        <v>11</v>
      </c>
      <c r="BL891" s="444" t="s">
        <v>6981</v>
      </c>
      <c r="BM891" s="563"/>
      <c r="BN891" s="561"/>
      <c r="BO891" s="561"/>
      <c r="BP891" s="571"/>
      <c r="BQ891" s="572"/>
      <c r="BR891" s="573"/>
      <c r="BS891" s="571"/>
      <c r="BT891" s="564"/>
      <c r="BU891" s="569"/>
      <c r="BV891" s="571"/>
      <c r="BW891" s="562" t="s">
        <v>3117</v>
      </c>
      <c r="BX891" s="560" t="s">
        <v>3259</v>
      </c>
      <c r="BY891" s="561"/>
      <c r="BZ891" s="561"/>
      <c r="CA891" s="574"/>
      <c r="CB891" s="572"/>
      <c r="CC891" s="568"/>
      <c r="CD891" s="568"/>
      <c r="CE891" s="568"/>
      <c r="CF891" s="568"/>
      <c r="CG891" s="568"/>
      <c r="CH891" s="568"/>
      <c r="CI891" s="568"/>
      <c r="CJ891" s="568"/>
      <c r="CK891" s="568"/>
      <c r="CL891" s="568"/>
      <c r="CM891" s="568"/>
      <c r="CN891" s="568">
        <v>48.5</v>
      </c>
      <c r="CO891" s="568">
        <v>48.5</v>
      </c>
      <c r="CP891" s="568">
        <v>48.5</v>
      </c>
      <c r="CQ891" s="568">
        <v>48.5</v>
      </c>
      <c r="CR891" s="568">
        <v>48.5</v>
      </c>
      <c r="CS891" s="568">
        <v>48.5</v>
      </c>
      <c r="CT891" s="568">
        <v>48.5</v>
      </c>
      <c r="CU891" s="568"/>
      <c r="CV891" s="568"/>
      <c r="CW891" s="568"/>
      <c r="CX891" s="568"/>
      <c r="CY891" s="568"/>
      <c r="CZ891" s="568"/>
      <c r="DA891" s="568"/>
      <c r="DB891" s="568"/>
      <c r="DC891" s="568"/>
      <c r="DD891" s="568"/>
      <c r="DE891" s="561"/>
      <c r="DF891" s="561"/>
      <c r="DG891" s="561"/>
      <c r="DH891" s="561"/>
      <c r="DI891" s="561"/>
      <c r="DJ891" s="561"/>
      <c r="DK891" s="897"/>
    </row>
    <row r="892" spans="1:115" ht="51" x14ac:dyDescent="0.2">
      <c r="A892" s="295">
        <v>888</v>
      </c>
      <c r="B892" s="390" t="s">
        <v>9419</v>
      </c>
      <c r="C892" s="390"/>
      <c r="D892" s="391" t="s">
        <v>9420</v>
      </c>
      <c r="E892" s="709" t="s">
        <v>9410</v>
      </c>
      <c r="F892" s="393" t="s">
        <v>1375</v>
      </c>
      <c r="G892" s="393" t="s">
        <v>998</v>
      </c>
      <c r="H892" s="562" t="s">
        <v>245</v>
      </c>
      <c r="I892" s="563"/>
      <c r="J892" s="563"/>
      <c r="K892" s="562" t="s">
        <v>245</v>
      </c>
      <c r="L892" s="560" t="s">
        <v>9422</v>
      </c>
      <c r="M892" s="563"/>
      <c r="N892" s="562" t="s">
        <v>44</v>
      </c>
      <c r="O892" s="393" t="s">
        <v>51</v>
      </c>
      <c r="P892" s="393" t="s">
        <v>51</v>
      </c>
      <c r="Q892" s="392" t="s">
        <v>976</v>
      </c>
      <c r="R892" s="560" t="s">
        <v>9423</v>
      </c>
      <c r="S892" s="560" t="s">
        <v>977</v>
      </c>
      <c r="T892" s="564">
        <v>1</v>
      </c>
      <c r="U892" s="565">
        <v>43.317999999999998</v>
      </c>
      <c r="V892" s="565"/>
      <c r="W892" s="566"/>
      <c r="X892" s="564"/>
      <c r="Y892" s="564">
        <v>7</v>
      </c>
      <c r="Z892" s="564">
        <v>7</v>
      </c>
      <c r="AA892" s="565">
        <v>0</v>
      </c>
      <c r="AB892" s="567">
        <v>43119</v>
      </c>
      <c r="AC892" s="568">
        <v>0</v>
      </c>
      <c r="AD892" s="568">
        <v>127.81776986301369</v>
      </c>
      <c r="AE892" s="562" t="s">
        <v>72</v>
      </c>
      <c r="AF892" s="569"/>
      <c r="AG892" s="569"/>
      <c r="AH892" s="569"/>
      <c r="AI892" s="564"/>
      <c r="AJ892" s="566"/>
      <c r="AK892" s="566"/>
      <c r="AL892" s="561"/>
      <c r="AM892" s="561"/>
      <c r="AN892" s="569"/>
      <c r="AO892" s="563"/>
      <c r="AP892" s="392" t="s">
        <v>8398</v>
      </c>
      <c r="AQ892" s="563"/>
      <c r="AR892" s="560" t="s">
        <v>1022</v>
      </c>
      <c r="AS892" s="578">
        <v>40866</v>
      </c>
      <c r="AT892" s="566"/>
      <c r="AU892" s="566"/>
      <c r="AV892" s="566"/>
      <c r="AW892" s="566"/>
      <c r="AX892" s="566"/>
      <c r="AY892" s="566"/>
      <c r="AZ892" s="567">
        <v>43118</v>
      </c>
      <c r="BA892" s="561"/>
      <c r="BB892" s="561"/>
      <c r="BC892" s="561" t="b">
        <v>0</v>
      </c>
      <c r="BD892" s="561"/>
      <c r="BE892" s="563"/>
      <c r="BF892" s="394">
        <v>8</v>
      </c>
      <c r="BG892" s="394">
        <v>6</v>
      </c>
      <c r="BH892" s="394">
        <v>4</v>
      </c>
      <c r="BI892" s="394">
        <v>3</v>
      </c>
      <c r="BJ892" s="394">
        <v>9</v>
      </c>
      <c r="BK892" s="394">
        <v>11</v>
      </c>
      <c r="BL892" s="444" t="s">
        <v>6981</v>
      </c>
      <c r="BM892" s="563"/>
      <c r="BN892" s="561"/>
      <c r="BO892" s="561"/>
      <c r="BP892" s="571"/>
      <c r="BQ892" s="572"/>
      <c r="BR892" s="573"/>
      <c r="BS892" s="571"/>
      <c r="BT892" s="564"/>
      <c r="BU892" s="569"/>
      <c r="BV892" s="571"/>
      <c r="BW892" s="562" t="s">
        <v>3117</v>
      </c>
      <c r="BX892" s="560" t="s">
        <v>3259</v>
      </c>
      <c r="BY892" s="561"/>
      <c r="BZ892" s="561"/>
      <c r="CA892" s="574"/>
      <c r="CB892" s="572"/>
      <c r="CC892" s="568"/>
      <c r="CD892" s="568"/>
      <c r="CE892" s="568"/>
      <c r="CF892" s="568"/>
      <c r="CG892" s="568"/>
      <c r="CH892" s="568"/>
      <c r="CI892" s="568"/>
      <c r="CJ892" s="568"/>
      <c r="CK892" s="568"/>
      <c r="CL892" s="568"/>
      <c r="CM892" s="568"/>
      <c r="CN892" s="568">
        <v>43.317999999999998</v>
      </c>
      <c r="CO892" s="568">
        <v>43.317999999999998</v>
      </c>
      <c r="CP892" s="568">
        <v>43.317999999999998</v>
      </c>
      <c r="CQ892" s="568">
        <v>43.317999999999998</v>
      </c>
      <c r="CR892" s="568">
        <v>43.317999999999998</v>
      </c>
      <c r="CS892" s="568">
        <v>43.317999999999998</v>
      </c>
      <c r="CT892" s="568">
        <v>43.317999999999998</v>
      </c>
      <c r="CU892" s="568"/>
      <c r="CV892" s="568"/>
      <c r="CW892" s="568"/>
      <c r="CX892" s="568"/>
      <c r="CY892" s="568"/>
      <c r="CZ892" s="568"/>
      <c r="DA892" s="568"/>
      <c r="DB892" s="568"/>
      <c r="DC892" s="568"/>
      <c r="DD892" s="568"/>
      <c r="DE892" s="561"/>
      <c r="DF892" s="561"/>
      <c r="DG892" s="561"/>
      <c r="DH892" s="561"/>
      <c r="DI892" s="561"/>
      <c r="DJ892" s="561"/>
      <c r="DK892" s="897"/>
    </row>
    <row r="893" spans="1:115" ht="25.5" x14ac:dyDescent="0.2">
      <c r="A893" s="295">
        <v>889</v>
      </c>
      <c r="B893" s="390" t="s">
        <v>9505</v>
      </c>
      <c r="C893" s="390"/>
      <c r="D893" s="391" t="s">
        <v>9506</v>
      </c>
      <c r="E893" s="709" t="s">
        <v>9511</v>
      </c>
      <c r="F893" s="393" t="s">
        <v>1375</v>
      </c>
      <c r="G893" s="393" t="s">
        <v>998</v>
      </c>
      <c r="H893" s="562" t="s">
        <v>218</v>
      </c>
      <c r="I893" s="563"/>
      <c r="J893" s="563"/>
      <c r="K893" s="562" t="s">
        <v>218</v>
      </c>
      <c r="L893" s="560" t="s">
        <v>9422</v>
      </c>
      <c r="M893" s="563"/>
      <c r="N893" s="562" t="s">
        <v>44</v>
      </c>
      <c r="O893" s="393" t="s">
        <v>51</v>
      </c>
      <c r="P893" s="393" t="s">
        <v>51</v>
      </c>
      <c r="Q893" s="392" t="s">
        <v>976</v>
      </c>
      <c r="R893" s="560" t="s">
        <v>9423</v>
      </c>
      <c r="S893" s="560" t="s">
        <v>977</v>
      </c>
      <c r="T893" s="564">
        <v>1</v>
      </c>
      <c r="U893" s="565">
        <v>48.387</v>
      </c>
      <c r="V893" s="565"/>
      <c r="W893" s="566"/>
      <c r="X893" s="564"/>
      <c r="Y893" s="564">
        <v>7</v>
      </c>
      <c r="Z893" s="564">
        <v>7</v>
      </c>
      <c r="AA893" s="565">
        <v>0</v>
      </c>
      <c r="AB893" s="567">
        <v>43206</v>
      </c>
      <c r="AC893" s="568">
        <v>0</v>
      </c>
      <c r="AD893" s="568">
        <v>131.24145205479451</v>
      </c>
      <c r="AE893" s="562" t="s">
        <v>72</v>
      </c>
      <c r="AF893" s="569"/>
      <c r="AG893" s="569"/>
      <c r="AH893" s="569"/>
      <c r="AI893" s="564"/>
      <c r="AJ893" s="566"/>
      <c r="AK893" s="566"/>
      <c r="AL893" s="561"/>
      <c r="AM893" s="561"/>
      <c r="AN893" s="569"/>
      <c r="AO893" s="563"/>
      <c r="AP893" s="392" t="s">
        <v>8398</v>
      </c>
      <c r="AQ893" s="563"/>
      <c r="AR893" s="560"/>
      <c r="AS893" s="578">
        <v>40866</v>
      </c>
      <c r="AT893" s="566"/>
      <c r="AU893" s="566"/>
      <c r="AV893" s="566"/>
      <c r="AW893" s="566"/>
      <c r="AX893" s="566"/>
      <c r="AY893" s="566"/>
      <c r="AZ893" s="567">
        <v>43207</v>
      </c>
      <c r="BA893" s="561"/>
      <c r="BB893" s="561"/>
      <c r="BC893" s="561" t="b">
        <v>0</v>
      </c>
      <c r="BD893" s="561"/>
      <c r="BE893" s="563"/>
      <c r="BF893" s="394">
        <v>8</v>
      </c>
      <c r="BG893" s="394">
        <v>6</v>
      </c>
      <c r="BH893" s="394">
        <v>4</v>
      </c>
      <c r="BI893" s="394">
        <v>3</v>
      </c>
      <c r="BJ893" s="394">
        <v>9</v>
      </c>
      <c r="BK893" s="394">
        <v>11</v>
      </c>
      <c r="BL893" s="444" t="s">
        <v>6981</v>
      </c>
      <c r="BM893" s="563"/>
      <c r="BN893" s="561"/>
      <c r="BO893" s="561"/>
      <c r="BP893" s="571"/>
      <c r="BQ893" s="572"/>
      <c r="BR893" s="573"/>
      <c r="BS893" s="571"/>
      <c r="BT893" s="564"/>
      <c r="BU893" s="569"/>
      <c r="BV893" s="571"/>
      <c r="BW893" s="562" t="s">
        <v>3117</v>
      </c>
      <c r="BX893" s="560"/>
      <c r="BY893" s="561"/>
      <c r="BZ893" s="561"/>
      <c r="CA893" s="574"/>
      <c r="CB893" s="572"/>
      <c r="CC893" s="568"/>
      <c r="CD893" s="568"/>
      <c r="CE893" s="568"/>
      <c r="CF893" s="568"/>
      <c r="CG893" s="568"/>
      <c r="CH893" s="568"/>
      <c r="CI893" s="568"/>
      <c r="CJ893" s="568"/>
      <c r="CK893" s="568"/>
      <c r="CL893" s="568"/>
      <c r="CM893" s="568"/>
      <c r="CN893" s="568">
        <v>48.387</v>
      </c>
      <c r="CO893" s="568">
        <v>48.387</v>
      </c>
      <c r="CP893" s="568">
        <v>48.387</v>
      </c>
      <c r="CQ893" s="568">
        <v>48.387</v>
      </c>
      <c r="CR893" s="568">
        <v>48.387</v>
      </c>
      <c r="CS893" s="568">
        <v>48.387</v>
      </c>
      <c r="CT893" s="568">
        <v>48.387</v>
      </c>
      <c r="CU893" s="568"/>
      <c r="CV893" s="568"/>
      <c r="CW893" s="568"/>
      <c r="CX893" s="568"/>
      <c r="CY893" s="568"/>
      <c r="CZ893" s="568"/>
      <c r="DA893" s="568"/>
      <c r="DB893" s="568"/>
      <c r="DC893" s="568"/>
      <c r="DD893" s="568"/>
      <c r="DE893" s="561"/>
      <c r="DF893" s="561"/>
      <c r="DG893" s="561"/>
      <c r="DH893" s="561"/>
      <c r="DI893" s="561"/>
      <c r="DJ893" s="561"/>
      <c r="DK893" s="897"/>
    </row>
    <row r="894" spans="1:115" ht="25.5" x14ac:dyDescent="0.2">
      <c r="A894" s="295">
        <v>890</v>
      </c>
      <c r="B894" s="390" t="s">
        <v>9507</v>
      </c>
      <c r="C894" s="390"/>
      <c r="D894" s="391" t="s">
        <v>9508</v>
      </c>
      <c r="E894" s="709" t="s">
        <v>9512</v>
      </c>
      <c r="F894" s="393" t="s">
        <v>1375</v>
      </c>
      <c r="G894" s="393" t="s">
        <v>998</v>
      </c>
      <c r="H894" s="562" t="s">
        <v>218</v>
      </c>
      <c r="I894" s="563"/>
      <c r="J894" s="563"/>
      <c r="K894" s="562" t="s">
        <v>218</v>
      </c>
      <c r="L894" s="560" t="s">
        <v>9422</v>
      </c>
      <c r="M894" s="563"/>
      <c r="N894" s="562" t="s">
        <v>44</v>
      </c>
      <c r="O894" s="393" t="s">
        <v>51</v>
      </c>
      <c r="P894" s="393" t="s">
        <v>51</v>
      </c>
      <c r="Q894" s="392" t="s">
        <v>976</v>
      </c>
      <c r="R894" s="560" t="s">
        <v>9423</v>
      </c>
      <c r="S894" s="560" t="s">
        <v>977</v>
      </c>
      <c r="T894" s="564">
        <v>1</v>
      </c>
      <c r="U894" s="565">
        <v>48.387</v>
      </c>
      <c r="V894" s="565"/>
      <c r="W894" s="566"/>
      <c r="X894" s="564"/>
      <c r="Y894" s="564">
        <v>7</v>
      </c>
      <c r="Z894" s="564">
        <v>7</v>
      </c>
      <c r="AA894" s="565">
        <v>0</v>
      </c>
      <c r="AB894" s="567">
        <v>43206</v>
      </c>
      <c r="AC894" s="568">
        <v>0</v>
      </c>
      <c r="AD894" s="568">
        <v>131.24145205479451</v>
      </c>
      <c r="AE894" s="562" t="s">
        <v>72</v>
      </c>
      <c r="AF894" s="569"/>
      <c r="AG894" s="569"/>
      <c r="AH894" s="569"/>
      <c r="AI894" s="564"/>
      <c r="AJ894" s="566"/>
      <c r="AK894" s="566"/>
      <c r="AL894" s="561"/>
      <c r="AM894" s="561"/>
      <c r="AN894" s="569"/>
      <c r="AO894" s="563"/>
      <c r="AP894" s="392" t="s">
        <v>8398</v>
      </c>
      <c r="AQ894" s="563"/>
      <c r="AR894" s="560"/>
      <c r="AS894" s="578">
        <v>40866</v>
      </c>
      <c r="AT894" s="566"/>
      <c r="AU894" s="566"/>
      <c r="AV894" s="566"/>
      <c r="AW894" s="566"/>
      <c r="AX894" s="566"/>
      <c r="AY894" s="566"/>
      <c r="AZ894" s="567">
        <v>43207</v>
      </c>
      <c r="BA894" s="561"/>
      <c r="BB894" s="561"/>
      <c r="BC894" s="561" t="b">
        <v>0</v>
      </c>
      <c r="BD894" s="561"/>
      <c r="BE894" s="563"/>
      <c r="BF894" s="394">
        <v>8</v>
      </c>
      <c r="BG894" s="394">
        <v>6</v>
      </c>
      <c r="BH894" s="394">
        <v>4</v>
      </c>
      <c r="BI894" s="394">
        <v>3</v>
      </c>
      <c r="BJ894" s="394">
        <v>9</v>
      </c>
      <c r="BK894" s="394">
        <v>11</v>
      </c>
      <c r="BL894" s="444" t="s">
        <v>6981</v>
      </c>
      <c r="BM894" s="563"/>
      <c r="BN894" s="561"/>
      <c r="BO894" s="561"/>
      <c r="BP894" s="571"/>
      <c r="BQ894" s="572"/>
      <c r="BR894" s="573"/>
      <c r="BS894" s="571"/>
      <c r="BT894" s="564"/>
      <c r="BU894" s="569"/>
      <c r="BV894" s="571"/>
      <c r="BW894" s="562" t="s">
        <v>3117</v>
      </c>
      <c r="BX894" s="560"/>
      <c r="BY894" s="561"/>
      <c r="BZ894" s="561"/>
      <c r="CA894" s="574"/>
      <c r="CB894" s="572"/>
      <c r="CC894" s="568"/>
      <c r="CD894" s="568"/>
      <c r="CE894" s="568"/>
      <c r="CF894" s="568"/>
      <c r="CG894" s="568"/>
      <c r="CH894" s="568"/>
      <c r="CI894" s="568"/>
      <c r="CJ894" s="568"/>
      <c r="CK894" s="568"/>
      <c r="CL894" s="568"/>
      <c r="CM894" s="568"/>
      <c r="CN894" s="568">
        <v>48.387</v>
      </c>
      <c r="CO894" s="568">
        <v>48.387</v>
      </c>
      <c r="CP894" s="568">
        <v>48.387</v>
      </c>
      <c r="CQ894" s="568">
        <v>48.387</v>
      </c>
      <c r="CR894" s="568">
        <v>48.387</v>
      </c>
      <c r="CS894" s="568">
        <v>48.387</v>
      </c>
      <c r="CT894" s="568">
        <v>48.387</v>
      </c>
      <c r="CU894" s="568"/>
      <c r="CV894" s="568"/>
      <c r="CW894" s="568"/>
      <c r="CX894" s="568"/>
      <c r="CY894" s="568"/>
      <c r="CZ894" s="568"/>
      <c r="DA894" s="568"/>
      <c r="DB894" s="568"/>
      <c r="DC894" s="568"/>
      <c r="DD894" s="568"/>
      <c r="DE894" s="561"/>
      <c r="DF894" s="561"/>
      <c r="DG894" s="561"/>
      <c r="DH894" s="561"/>
      <c r="DI894" s="561"/>
      <c r="DJ894" s="561"/>
      <c r="DK894" s="897"/>
    </row>
    <row r="895" spans="1:115" ht="25.5" x14ac:dyDescent="0.2">
      <c r="A895" s="295">
        <v>891</v>
      </c>
      <c r="B895" s="390" t="s">
        <v>9509</v>
      </c>
      <c r="C895" s="390"/>
      <c r="D895" s="391" t="s">
        <v>9510</v>
      </c>
      <c r="E895" s="709" t="s">
        <v>9513</v>
      </c>
      <c r="F895" s="393" t="s">
        <v>1375</v>
      </c>
      <c r="G895" s="393" t="s">
        <v>998</v>
      </c>
      <c r="H895" s="562" t="s">
        <v>218</v>
      </c>
      <c r="I895" s="563"/>
      <c r="J895" s="563"/>
      <c r="K895" s="562" t="s">
        <v>218</v>
      </c>
      <c r="L895" s="560" t="s">
        <v>9422</v>
      </c>
      <c r="M895" s="563"/>
      <c r="N895" s="562" t="s">
        <v>44</v>
      </c>
      <c r="O895" s="393" t="s">
        <v>51</v>
      </c>
      <c r="P895" s="393" t="s">
        <v>51</v>
      </c>
      <c r="Q895" s="392" t="s">
        <v>976</v>
      </c>
      <c r="R895" s="560" t="s">
        <v>9423</v>
      </c>
      <c r="S895" s="560" t="s">
        <v>977</v>
      </c>
      <c r="T895" s="564">
        <v>1</v>
      </c>
      <c r="U895" s="565">
        <v>48.387</v>
      </c>
      <c r="V895" s="565"/>
      <c r="W895" s="566"/>
      <c r="X895" s="564"/>
      <c r="Y895" s="564">
        <v>7</v>
      </c>
      <c r="Z895" s="564">
        <v>7</v>
      </c>
      <c r="AA895" s="565">
        <v>0</v>
      </c>
      <c r="AB895" s="567">
        <v>43206</v>
      </c>
      <c r="AC895" s="568">
        <v>0</v>
      </c>
      <c r="AD895" s="568">
        <v>131.24145205479451</v>
      </c>
      <c r="AE895" s="562" t="s">
        <v>72</v>
      </c>
      <c r="AF895" s="569"/>
      <c r="AG895" s="569"/>
      <c r="AH895" s="569"/>
      <c r="AI895" s="564"/>
      <c r="AJ895" s="566"/>
      <c r="AK895" s="566"/>
      <c r="AL895" s="561"/>
      <c r="AM895" s="561"/>
      <c r="AN895" s="569"/>
      <c r="AO895" s="563"/>
      <c r="AP895" s="392" t="s">
        <v>8398</v>
      </c>
      <c r="AQ895" s="563"/>
      <c r="AR895" s="560"/>
      <c r="AS895" s="578">
        <v>40866</v>
      </c>
      <c r="AT895" s="566"/>
      <c r="AU895" s="566"/>
      <c r="AV895" s="566"/>
      <c r="AW895" s="566"/>
      <c r="AX895" s="566"/>
      <c r="AY895" s="566"/>
      <c r="AZ895" s="567">
        <v>43207</v>
      </c>
      <c r="BA895" s="561"/>
      <c r="BB895" s="561"/>
      <c r="BC895" s="561" t="b">
        <v>0</v>
      </c>
      <c r="BD895" s="561"/>
      <c r="BE895" s="563"/>
      <c r="BF895" s="394">
        <v>8</v>
      </c>
      <c r="BG895" s="394">
        <v>6</v>
      </c>
      <c r="BH895" s="394">
        <v>4</v>
      </c>
      <c r="BI895" s="394">
        <v>3</v>
      </c>
      <c r="BJ895" s="394">
        <v>9</v>
      </c>
      <c r="BK895" s="394">
        <v>11</v>
      </c>
      <c r="BL895" s="444" t="s">
        <v>6981</v>
      </c>
      <c r="BM895" s="563"/>
      <c r="BN895" s="561"/>
      <c r="BO895" s="561"/>
      <c r="BP895" s="571"/>
      <c r="BQ895" s="572"/>
      <c r="BR895" s="573"/>
      <c r="BS895" s="571"/>
      <c r="BT895" s="564"/>
      <c r="BU895" s="569"/>
      <c r="BV895" s="571"/>
      <c r="BW895" s="562" t="s">
        <v>3117</v>
      </c>
      <c r="BX895" s="560"/>
      <c r="BY895" s="561"/>
      <c r="BZ895" s="561"/>
      <c r="CA895" s="574"/>
      <c r="CB895" s="572"/>
      <c r="CC895" s="568"/>
      <c r="CD895" s="568"/>
      <c r="CE895" s="568"/>
      <c r="CF895" s="568"/>
      <c r="CG895" s="568"/>
      <c r="CH895" s="568"/>
      <c r="CI895" s="568"/>
      <c r="CJ895" s="568"/>
      <c r="CK895" s="568"/>
      <c r="CL895" s="568"/>
      <c r="CM895" s="568"/>
      <c r="CN895" s="568">
        <v>48.387</v>
      </c>
      <c r="CO895" s="568">
        <v>48.387</v>
      </c>
      <c r="CP895" s="568">
        <v>48.387</v>
      </c>
      <c r="CQ895" s="568">
        <v>48.387</v>
      </c>
      <c r="CR895" s="568">
        <v>48.387</v>
      </c>
      <c r="CS895" s="568">
        <v>48.387</v>
      </c>
      <c r="CT895" s="568">
        <v>48.387</v>
      </c>
      <c r="CU895" s="568"/>
      <c r="CV895" s="568"/>
      <c r="CW895" s="568"/>
      <c r="CX895" s="568"/>
      <c r="CY895" s="568"/>
      <c r="CZ895" s="568"/>
      <c r="DA895" s="568"/>
      <c r="DB895" s="568"/>
      <c r="DC895" s="568"/>
      <c r="DD895" s="568"/>
      <c r="DE895" s="561"/>
      <c r="DF895" s="561"/>
      <c r="DG895" s="561"/>
      <c r="DH895" s="561"/>
      <c r="DI895" s="561"/>
      <c r="DJ895" s="561"/>
      <c r="DK895" s="897"/>
    </row>
    <row r="896" spans="1:115" ht="51" x14ac:dyDescent="0.2">
      <c r="A896" s="295">
        <v>892</v>
      </c>
      <c r="B896" s="390" t="s">
        <v>1124</v>
      </c>
      <c r="C896" s="424" t="s">
        <v>7592</v>
      </c>
      <c r="D896" s="391"/>
      <c r="E896" s="846" t="s">
        <v>1125</v>
      </c>
      <c r="F896" s="404" t="s">
        <v>1340</v>
      </c>
      <c r="G896" s="404" t="s">
        <v>1359</v>
      </c>
      <c r="H896" s="758" t="s">
        <v>233</v>
      </c>
      <c r="I896" s="848" t="s">
        <v>4090</v>
      </c>
      <c r="J896" s="848" t="s">
        <v>1126</v>
      </c>
      <c r="K896" s="848"/>
      <c r="L896" s="848" t="s">
        <v>3785</v>
      </c>
      <c r="M896" s="848" t="s">
        <v>3312</v>
      </c>
      <c r="N896" s="758" t="s">
        <v>3142</v>
      </c>
      <c r="O896" s="404" t="s">
        <v>69</v>
      </c>
      <c r="P896" s="404" t="s">
        <v>69</v>
      </c>
      <c r="Q896" s="403" t="s">
        <v>1111</v>
      </c>
      <c r="R896" s="848"/>
      <c r="S896" s="848" t="s">
        <v>691</v>
      </c>
      <c r="T896" s="849">
        <v>1</v>
      </c>
      <c r="U896" s="853">
        <v>6.3310000000000004</v>
      </c>
      <c r="V896" s="853"/>
      <c r="W896" s="857">
        <v>40869</v>
      </c>
      <c r="X896" s="849">
        <v>28</v>
      </c>
      <c r="Y896" s="849"/>
      <c r="Z896" s="849"/>
      <c r="AA896" s="853"/>
      <c r="AB896" s="859"/>
      <c r="AC896" s="863">
        <v>1.8992999999999999E-2</v>
      </c>
      <c r="AD896" s="863">
        <v>63.31</v>
      </c>
      <c r="AE896" s="758" t="s">
        <v>787</v>
      </c>
      <c r="AF896" s="867"/>
      <c r="AG896" s="867"/>
      <c r="AH896" s="867">
        <v>0</v>
      </c>
      <c r="AI896" s="849"/>
      <c r="AJ896" s="859"/>
      <c r="AK896" s="859"/>
      <c r="AL896" s="758"/>
      <c r="AM896" s="758"/>
      <c r="AN896" s="867"/>
      <c r="AO896" s="848"/>
      <c r="AP896" s="403" t="s">
        <v>7083</v>
      </c>
      <c r="AQ896" s="848"/>
      <c r="AR896" s="848" t="s">
        <v>3785</v>
      </c>
      <c r="AS896" s="765">
        <v>40869</v>
      </c>
      <c r="AT896" s="859"/>
      <c r="AU896" s="859"/>
      <c r="AV896" s="859"/>
      <c r="AW896" s="859"/>
      <c r="AX896" s="859"/>
      <c r="AY896" s="859"/>
      <c r="AZ896" s="859"/>
      <c r="BA896" s="758"/>
      <c r="BB896" s="758" t="s">
        <v>3147</v>
      </c>
      <c r="BC896" s="758" t="b">
        <v>0</v>
      </c>
      <c r="BD896" s="758" t="s">
        <v>3147</v>
      </c>
      <c r="BE896" s="848"/>
      <c r="BF896" s="405">
        <v>3</v>
      </c>
      <c r="BG896" s="405">
        <v>1</v>
      </c>
      <c r="BH896" s="405">
        <v>6</v>
      </c>
      <c r="BI896" s="405">
        <v>11</v>
      </c>
      <c r="BJ896" s="405">
        <v>5</v>
      </c>
      <c r="BK896" s="405">
        <v>9</v>
      </c>
      <c r="BL896" s="446"/>
      <c r="BM896" s="848"/>
      <c r="BN896" s="758"/>
      <c r="BO896" s="758"/>
      <c r="BP896" s="876"/>
      <c r="BQ896" s="881"/>
      <c r="BR896" s="886"/>
      <c r="BS896" s="876">
        <v>1.23</v>
      </c>
      <c r="BT896" s="849"/>
      <c r="BU896" s="867"/>
      <c r="BV896" s="876"/>
      <c r="BW896" s="758"/>
      <c r="BX896" s="848"/>
      <c r="BY896" s="758"/>
      <c r="BZ896" s="758"/>
      <c r="CA896" s="891"/>
      <c r="CB896" s="881"/>
      <c r="CC896" s="863"/>
      <c r="CD896" s="863"/>
      <c r="CE896" s="863"/>
      <c r="CF896" s="863"/>
      <c r="CG896" s="863"/>
      <c r="CH896" s="863"/>
      <c r="CI896" s="863"/>
      <c r="CJ896" s="863"/>
      <c r="CK896" s="863"/>
      <c r="CL896" s="863"/>
      <c r="CM896" s="863"/>
      <c r="CN896" s="863"/>
      <c r="CO896" s="863"/>
      <c r="CP896" s="863"/>
      <c r="CQ896" s="863"/>
      <c r="CR896" s="863"/>
      <c r="CS896" s="863"/>
      <c r="CT896" s="863"/>
      <c r="CU896" s="863"/>
      <c r="CV896" s="863"/>
      <c r="CW896" s="863"/>
      <c r="CX896" s="863"/>
      <c r="CY896" s="863"/>
      <c r="CZ896" s="863"/>
      <c r="DA896" s="863"/>
      <c r="DB896" s="863"/>
      <c r="DC896" s="863"/>
      <c r="DD896" s="863"/>
      <c r="DE896" s="758"/>
      <c r="DF896" s="758"/>
      <c r="DG896" s="758"/>
      <c r="DH896" s="758"/>
      <c r="DI896" s="758"/>
      <c r="DJ896" s="758"/>
      <c r="DK896" s="897"/>
    </row>
    <row r="897" spans="1:115" ht="51" x14ac:dyDescent="0.2">
      <c r="A897" s="295">
        <v>893</v>
      </c>
      <c r="B897" s="390" t="s">
        <v>2764</v>
      </c>
      <c r="C897" s="390"/>
      <c r="D897" s="391"/>
      <c r="E897" s="707" t="s">
        <v>1127</v>
      </c>
      <c r="F897" s="404" t="s">
        <v>1340</v>
      </c>
      <c r="G897" s="404" t="s">
        <v>1359</v>
      </c>
      <c r="H897" s="404" t="s">
        <v>233</v>
      </c>
      <c r="I897" s="403"/>
      <c r="J897" s="403"/>
      <c r="K897" s="403" t="s">
        <v>1128</v>
      </c>
      <c r="L897" s="403" t="s">
        <v>3785</v>
      </c>
      <c r="M897" s="403"/>
      <c r="N897" s="404" t="s">
        <v>3142</v>
      </c>
      <c r="O897" s="404" t="s">
        <v>69</v>
      </c>
      <c r="P897" s="404" t="s">
        <v>69</v>
      </c>
      <c r="Q897" s="403" t="s">
        <v>1111</v>
      </c>
      <c r="R897" s="403" t="s">
        <v>3313</v>
      </c>
      <c r="S897" s="403" t="s">
        <v>691</v>
      </c>
      <c r="T897" s="405">
        <v>1</v>
      </c>
      <c r="U897" s="406">
        <v>6.3310000000000004</v>
      </c>
      <c r="V897" s="406"/>
      <c r="W897" s="455"/>
      <c r="X897" s="405"/>
      <c r="Y897" s="405">
        <v>10</v>
      </c>
      <c r="Z897" s="405">
        <v>25</v>
      </c>
      <c r="AA897" s="406">
        <v>0</v>
      </c>
      <c r="AB897" s="456">
        <v>41274</v>
      </c>
      <c r="AC897" s="407">
        <v>1.8992999999999999E-2</v>
      </c>
      <c r="AD897" s="407">
        <v>63.31</v>
      </c>
      <c r="AE897" s="404" t="s">
        <v>787</v>
      </c>
      <c r="AF897" s="418"/>
      <c r="AG897" s="418"/>
      <c r="AH897" s="418"/>
      <c r="AI897" s="405"/>
      <c r="AJ897" s="455"/>
      <c r="AK897" s="455"/>
      <c r="AL897" s="404"/>
      <c r="AM897" s="404"/>
      <c r="AN897" s="418"/>
      <c r="AO897" s="403"/>
      <c r="AP897" s="403" t="s">
        <v>7083</v>
      </c>
      <c r="AQ897" s="403"/>
      <c r="AR897" s="403" t="s">
        <v>3785</v>
      </c>
      <c r="AS897" s="482">
        <v>40869</v>
      </c>
      <c r="AT897" s="455"/>
      <c r="AU897" s="455"/>
      <c r="AV897" s="455"/>
      <c r="AW897" s="455"/>
      <c r="AX897" s="455"/>
      <c r="AY897" s="455"/>
      <c r="AZ897" s="455"/>
      <c r="BA897" s="404"/>
      <c r="BB897" s="404"/>
      <c r="BC897" s="404" t="b">
        <v>0</v>
      </c>
      <c r="BD897" s="404"/>
      <c r="BE897" s="403"/>
      <c r="BF897" s="405">
        <v>3</v>
      </c>
      <c r="BG897" s="405">
        <v>1</v>
      </c>
      <c r="BH897" s="405">
        <v>6</v>
      </c>
      <c r="BI897" s="405">
        <v>11</v>
      </c>
      <c r="BJ897" s="405">
        <v>5</v>
      </c>
      <c r="BK897" s="405">
        <v>9</v>
      </c>
      <c r="BL897" s="446" t="s">
        <v>6982</v>
      </c>
      <c r="BM897" s="403" t="s">
        <v>3314</v>
      </c>
      <c r="BN897" s="404"/>
      <c r="BO897" s="404"/>
      <c r="BP897" s="408"/>
      <c r="BQ897" s="409"/>
      <c r="BR897" s="410"/>
      <c r="BS897" s="408">
        <v>1.23</v>
      </c>
      <c r="BT897" s="405">
        <v>20</v>
      </c>
      <c r="BU897" s="418">
        <v>1.3</v>
      </c>
      <c r="BV897" s="408"/>
      <c r="BW897" s="404"/>
      <c r="BX897" s="403"/>
      <c r="BY897" s="404"/>
      <c r="BZ897" s="404"/>
      <c r="CA897" s="443"/>
      <c r="CB897" s="409"/>
      <c r="CC897" s="407"/>
      <c r="CD897" s="407"/>
      <c r="CE897" s="407"/>
      <c r="CF897" s="407"/>
      <c r="CG897" s="407"/>
      <c r="CH897" s="407"/>
      <c r="CI897" s="407">
        <v>6.3310000000000004</v>
      </c>
      <c r="CJ897" s="407">
        <v>6.3310000000000004</v>
      </c>
      <c r="CK897" s="407">
        <v>6.3310000000000004</v>
      </c>
      <c r="CL897" s="407">
        <v>6.3310000000000004</v>
      </c>
      <c r="CM897" s="407">
        <v>6.3310000000000004</v>
      </c>
      <c r="CN897" s="407">
        <v>6.3310000000000004</v>
      </c>
      <c r="CO897" s="407">
        <v>6.3310000000000004</v>
      </c>
      <c r="CP897" s="407">
        <v>6.3310000000000004</v>
      </c>
      <c r="CQ897" s="407">
        <v>6.3310000000000004</v>
      </c>
      <c r="CR897" s="407">
        <v>6.3310000000000004</v>
      </c>
      <c r="CS897" s="407"/>
      <c r="CT897" s="407"/>
      <c r="CU897" s="407"/>
      <c r="CV897" s="407"/>
      <c r="CW897" s="407"/>
      <c r="CX897" s="407"/>
      <c r="CY897" s="407"/>
      <c r="CZ897" s="407"/>
      <c r="DA897" s="407"/>
      <c r="DB897" s="407"/>
      <c r="DC897" s="407"/>
      <c r="DD897" s="407"/>
      <c r="DE897" s="404"/>
      <c r="DF897" s="404"/>
      <c r="DG897" s="404"/>
      <c r="DH897" s="404"/>
      <c r="DI897" s="404"/>
      <c r="DJ897" s="404"/>
      <c r="DK897" s="897"/>
    </row>
    <row r="898" spans="1:115" ht="51" x14ac:dyDescent="0.2">
      <c r="A898" s="295">
        <v>894</v>
      </c>
      <c r="B898" s="390" t="s">
        <v>1103</v>
      </c>
      <c r="C898" s="424" t="s">
        <v>7593</v>
      </c>
      <c r="D898" s="391"/>
      <c r="E898" s="706" t="s">
        <v>1104</v>
      </c>
      <c r="F898" s="390" t="s">
        <v>1352</v>
      </c>
      <c r="G898" s="390" t="s">
        <v>1671</v>
      </c>
      <c r="H898" s="390" t="s">
        <v>117</v>
      </c>
      <c r="I898" s="402"/>
      <c r="J898" s="402" t="s">
        <v>117</v>
      </c>
      <c r="K898" s="402"/>
      <c r="L898" s="402" t="s">
        <v>1105</v>
      </c>
      <c r="M898" s="402" t="s">
        <v>3315</v>
      </c>
      <c r="N898" s="390" t="s">
        <v>33</v>
      </c>
      <c r="O898" s="390" t="s">
        <v>69</v>
      </c>
      <c r="P898" s="390" t="s">
        <v>69</v>
      </c>
      <c r="Q898" s="402" t="s">
        <v>1106</v>
      </c>
      <c r="R898" s="402"/>
      <c r="S898" s="402" t="s">
        <v>121</v>
      </c>
      <c r="T898" s="411">
        <v>1</v>
      </c>
      <c r="U898" s="412">
        <v>250.708</v>
      </c>
      <c r="V898" s="412"/>
      <c r="W898" s="457">
        <v>40973</v>
      </c>
      <c r="X898" s="411">
        <v>28</v>
      </c>
      <c r="Y898" s="411"/>
      <c r="Z898" s="411"/>
      <c r="AA898" s="412"/>
      <c r="AB898" s="454"/>
      <c r="AC898" s="413">
        <v>126.10612399999999</v>
      </c>
      <c r="AD898" s="413">
        <v>2507.08</v>
      </c>
      <c r="AE898" s="390" t="s">
        <v>72</v>
      </c>
      <c r="AF898" s="419"/>
      <c r="AG898" s="419"/>
      <c r="AH898" s="419">
        <v>0</v>
      </c>
      <c r="AI898" s="411"/>
      <c r="AJ898" s="454"/>
      <c r="AK898" s="454"/>
      <c r="AL898" s="390"/>
      <c r="AM898" s="390"/>
      <c r="AN898" s="419"/>
      <c r="AO898" s="402"/>
      <c r="AP898" s="402" t="s">
        <v>7065</v>
      </c>
      <c r="AQ898" s="402"/>
      <c r="AR898" s="402" t="s">
        <v>3786</v>
      </c>
      <c r="AS898" s="481">
        <v>40871</v>
      </c>
      <c r="AT898" s="454"/>
      <c r="AU898" s="454"/>
      <c r="AV898" s="454"/>
      <c r="AW898" s="454"/>
      <c r="AX898" s="454"/>
      <c r="AY898" s="454"/>
      <c r="AZ898" s="454"/>
      <c r="BA898" s="390"/>
      <c r="BB898" s="390" t="s">
        <v>3147</v>
      </c>
      <c r="BC898" s="390" t="b">
        <v>1</v>
      </c>
      <c r="BD898" s="390" t="s">
        <v>3147</v>
      </c>
      <c r="BE898" s="402"/>
      <c r="BF898" s="411">
        <v>1</v>
      </c>
      <c r="BG898" s="411">
        <v>3</v>
      </c>
      <c r="BH898" s="411">
        <v>5</v>
      </c>
      <c r="BI898" s="411">
        <v>9</v>
      </c>
      <c r="BJ898" s="411"/>
      <c r="BK898" s="411"/>
      <c r="BL898" s="445"/>
      <c r="BM898" s="402"/>
      <c r="BN898" s="390"/>
      <c r="BO898" s="390"/>
      <c r="BP898" s="414"/>
      <c r="BQ898" s="415"/>
      <c r="BR898" s="416"/>
      <c r="BS898" s="414">
        <v>1.5</v>
      </c>
      <c r="BT898" s="411"/>
      <c r="BU898" s="419"/>
      <c r="BV898" s="414"/>
      <c r="BW898" s="390"/>
      <c r="BX898" s="402"/>
      <c r="BY898" s="390"/>
      <c r="BZ898" s="390"/>
      <c r="CA898" s="442"/>
      <c r="CB898" s="415"/>
      <c r="CC898" s="413"/>
      <c r="CD898" s="413"/>
      <c r="CE898" s="413"/>
      <c r="CF898" s="413"/>
      <c r="CG898" s="413"/>
      <c r="CH898" s="413"/>
      <c r="CI898" s="413"/>
      <c r="CJ898" s="413"/>
      <c r="CK898" s="413"/>
      <c r="CL898" s="413"/>
      <c r="CM898" s="413"/>
      <c r="CN898" s="413"/>
      <c r="CO898" s="413"/>
      <c r="CP898" s="413"/>
      <c r="CQ898" s="413"/>
      <c r="CR898" s="413"/>
      <c r="CS898" s="413"/>
      <c r="CT898" s="413"/>
      <c r="CU898" s="413"/>
      <c r="CV898" s="413"/>
      <c r="CW898" s="413"/>
      <c r="CX898" s="413"/>
      <c r="CY898" s="413"/>
      <c r="CZ898" s="413"/>
      <c r="DA898" s="413"/>
      <c r="DB898" s="413"/>
      <c r="DC898" s="413"/>
      <c r="DD898" s="413"/>
      <c r="DE898" s="390"/>
      <c r="DF898" s="390"/>
      <c r="DG898" s="390"/>
      <c r="DH898" s="390"/>
      <c r="DI898" s="390"/>
      <c r="DJ898" s="390"/>
      <c r="DK898" s="897"/>
    </row>
    <row r="899" spans="1:115" ht="38.25" x14ac:dyDescent="0.2">
      <c r="A899" s="295">
        <v>895</v>
      </c>
      <c r="B899" s="390" t="s">
        <v>2765</v>
      </c>
      <c r="C899" s="390"/>
      <c r="D899" s="391"/>
      <c r="E899" s="706" t="s">
        <v>1107</v>
      </c>
      <c r="F899" s="390" t="s">
        <v>1352</v>
      </c>
      <c r="G899" s="390" t="s">
        <v>1671</v>
      </c>
      <c r="H899" s="390" t="s">
        <v>117</v>
      </c>
      <c r="I899" s="402"/>
      <c r="J899" s="402"/>
      <c r="K899" s="402" t="s">
        <v>321</v>
      </c>
      <c r="L899" s="402" t="s">
        <v>1105</v>
      </c>
      <c r="M899" s="402"/>
      <c r="N899" s="390" t="s">
        <v>33</v>
      </c>
      <c r="O899" s="390" t="s">
        <v>69</v>
      </c>
      <c r="P899" s="390" t="s">
        <v>69</v>
      </c>
      <c r="Q899" s="402" t="s">
        <v>1106</v>
      </c>
      <c r="R899" s="402" t="s">
        <v>3316</v>
      </c>
      <c r="S899" s="402" t="s">
        <v>121</v>
      </c>
      <c r="T899" s="411">
        <v>1</v>
      </c>
      <c r="U899" s="412">
        <v>250.708</v>
      </c>
      <c r="V899" s="412"/>
      <c r="W899" s="454"/>
      <c r="X899" s="411"/>
      <c r="Y899" s="411">
        <v>10</v>
      </c>
      <c r="Z899" s="411">
        <v>15</v>
      </c>
      <c r="AA899" s="412">
        <v>0</v>
      </c>
      <c r="AB899" s="457">
        <v>41091</v>
      </c>
      <c r="AC899" s="413">
        <v>126.10612399999999</v>
      </c>
      <c r="AD899" s="413">
        <v>2507.08</v>
      </c>
      <c r="AE899" s="390" t="s">
        <v>72</v>
      </c>
      <c r="AF899" s="419"/>
      <c r="AG899" s="419"/>
      <c r="AH899" s="419"/>
      <c r="AI899" s="411"/>
      <c r="AJ899" s="454"/>
      <c r="AK899" s="454"/>
      <c r="AL899" s="390"/>
      <c r="AM899" s="390"/>
      <c r="AN899" s="419"/>
      <c r="AO899" s="402"/>
      <c r="AP899" s="402" t="s">
        <v>7065</v>
      </c>
      <c r="AQ899" s="402"/>
      <c r="AR899" s="402" t="s">
        <v>3786</v>
      </c>
      <c r="AS899" s="481">
        <v>40871</v>
      </c>
      <c r="AT899" s="454"/>
      <c r="AU899" s="454"/>
      <c r="AV899" s="454"/>
      <c r="AW899" s="454"/>
      <c r="AX899" s="454"/>
      <c r="AY899" s="454"/>
      <c r="AZ899" s="454"/>
      <c r="BA899" s="390"/>
      <c r="BB899" s="390"/>
      <c r="BC899" s="390" t="b">
        <v>0</v>
      </c>
      <c r="BD899" s="390"/>
      <c r="BE899" s="402"/>
      <c r="BF899" s="411">
        <v>1</v>
      </c>
      <c r="BG899" s="411">
        <v>3</v>
      </c>
      <c r="BH899" s="411">
        <v>5</v>
      </c>
      <c r="BI899" s="411">
        <v>9</v>
      </c>
      <c r="BJ899" s="411"/>
      <c r="BK899" s="411"/>
      <c r="BL899" s="445" t="s">
        <v>6981</v>
      </c>
      <c r="BM899" s="402"/>
      <c r="BN899" s="390"/>
      <c r="BO899" s="390"/>
      <c r="BP899" s="414"/>
      <c r="BQ899" s="415"/>
      <c r="BR899" s="416"/>
      <c r="BS899" s="414">
        <v>1.5</v>
      </c>
      <c r="BT899" s="411">
        <v>8952</v>
      </c>
      <c r="BU899" s="419">
        <v>0.72440000000000004</v>
      </c>
      <c r="BV899" s="414"/>
      <c r="BW899" s="390" t="s">
        <v>3117</v>
      </c>
      <c r="BX899" s="402" t="s">
        <v>3177</v>
      </c>
      <c r="BY899" s="390"/>
      <c r="BZ899" s="390"/>
      <c r="CA899" s="442" t="s">
        <v>1662</v>
      </c>
      <c r="CB899" s="415">
        <v>3</v>
      </c>
      <c r="CC899" s="413"/>
      <c r="CD899" s="413"/>
      <c r="CE899" s="413"/>
      <c r="CF899" s="413"/>
      <c r="CG899" s="413"/>
      <c r="CH899" s="413">
        <v>125.354</v>
      </c>
      <c r="CI899" s="413">
        <v>250.708</v>
      </c>
      <c r="CJ899" s="413">
        <v>250.708</v>
      </c>
      <c r="CK899" s="413">
        <v>250.708</v>
      </c>
      <c r="CL899" s="413">
        <v>250.708</v>
      </c>
      <c r="CM899" s="413">
        <v>250.708</v>
      </c>
      <c r="CN899" s="413">
        <v>250.708</v>
      </c>
      <c r="CO899" s="413">
        <v>250.708</v>
      </c>
      <c r="CP899" s="413">
        <v>250.708</v>
      </c>
      <c r="CQ899" s="413">
        <v>250.708</v>
      </c>
      <c r="CR899" s="413">
        <v>125.354</v>
      </c>
      <c r="CS899" s="413"/>
      <c r="CT899" s="413"/>
      <c r="CU899" s="413"/>
      <c r="CV899" s="413"/>
      <c r="CW899" s="413"/>
      <c r="CX899" s="413"/>
      <c r="CY899" s="413"/>
      <c r="CZ899" s="413"/>
      <c r="DA899" s="413"/>
      <c r="DB899" s="413"/>
      <c r="DC899" s="413"/>
      <c r="DD899" s="413"/>
      <c r="DE899" s="390"/>
      <c r="DF899" s="390"/>
      <c r="DG899" s="390"/>
      <c r="DH899" s="390"/>
      <c r="DI899" s="390"/>
      <c r="DJ899" s="390"/>
      <c r="DK899" s="897"/>
    </row>
    <row r="900" spans="1:115" ht="89.25" x14ac:dyDescent="0.2">
      <c r="A900" s="295">
        <v>896</v>
      </c>
      <c r="B900" s="390" t="s">
        <v>423</v>
      </c>
      <c r="C900" s="424" t="s">
        <v>7594</v>
      </c>
      <c r="D900" s="391"/>
      <c r="E900" s="706" t="s">
        <v>1988</v>
      </c>
      <c r="F900" s="390" t="s">
        <v>1375</v>
      </c>
      <c r="G900" s="390" t="s">
        <v>1361</v>
      </c>
      <c r="H900" s="390" t="s">
        <v>137</v>
      </c>
      <c r="I900" s="402"/>
      <c r="J900" s="402" t="s">
        <v>137</v>
      </c>
      <c r="K900" s="402"/>
      <c r="L900" s="402" t="s">
        <v>422</v>
      </c>
      <c r="M900" s="402" t="s">
        <v>3317</v>
      </c>
      <c r="N900" s="390" t="s">
        <v>33</v>
      </c>
      <c r="O900" s="390" t="s">
        <v>80</v>
      </c>
      <c r="P900" s="390" t="s">
        <v>80</v>
      </c>
      <c r="Q900" s="402" t="s">
        <v>403</v>
      </c>
      <c r="R900" s="402"/>
      <c r="S900" s="402" t="s">
        <v>81</v>
      </c>
      <c r="T900" s="411">
        <v>1</v>
      </c>
      <c r="U900" s="412">
        <v>48.881</v>
      </c>
      <c r="V900" s="412"/>
      <c r="W900" s="457">
        <v>41030</v>
      </c>
      <c r="X900" s="411">
        <v>28</v>
      </c>
      <c r="Y900" s="411"/>
      <c r="Z900" s="411"/>
      <c r="AA900" s="412"/>
      <c r="AB900" s="454"/>
      <c r="AC900" s="413">
        <v>12.269131</v>
      </c>
      <c r="AD900" s="413">
        <v>403.50261095890414</v>
      </c>
      <c r="AE900" s="390" t="s">
        <v>133</v>
      </c>
      <c r="AF900" s="419"/>
      <c r="AG900" s="419"/>
      <c r="AH900" s="419">
        <v>0</v>
      </c>
      <c r="AI900" s="411"/>
      <c r="AJ900" s="454"/>
      <c r="AK900" s="454"/>
      <c r="AL900" s="390"/>
      <c r="AM900" s="390"/>
      <c r="AN900" s="419"/>
      <c r="AO900" s="402"/>
      <c r="AP900" s="402" t="s">
        <v>55</v>
      </c>
      <c r="AQ900" s="402"/>
      <c r="AR900" s="402" t="s">
        <v>555</v>
      </c>
      <c r="AS900" s="481">
        <v>40871</v>
      </c>
      <c r="AT900" s="454"/>
      <c r="AU900" s="454"/>
      <c r="AV900" s="454"/>
      <c r="AW900" s="454"/>
      <c r="AX900" s="454"/>
      <c r="AY900" s="454"/>
      <c r="AZ900" s="454"/>
      <c r="BA900" s="390"/>
      <c r="BB900" s="390" t="s">
        <v>3147</v>
      </c>
      <c r="BC900" s="390" t="b">
        <v>1</v>
      </c>
      <c r="BD900" s="390" t="s">
        <v>3147</v>
      </c>
      <c r="BE900" s="402"/>
      <c r="BF900" s="411">
        <v>1</v>
      </c>
      <c r="BG900" s="411">
        <v>6</v>
      </c>
      <c r="BH900" s="411">
        <v>9</v>
      </c>
      <c r="BI900" s="411">
        <v>5</v>
      </c>
      <c r="BJ900" s="411">
        <v>7</v>
      </c>
      <c r="BK900" s="411"/>
      <c r="BL900" s="445"/>
      <c r="BM900" s="402"/>
      <c r="BN900" s="390"/>
      <c r="BO900" s="390"/>
      <c r="BP900" s="414"/>
      <c r="BQ900" s="415"/>
      <c r="BR900" s="416"/>
      <c r="BS900" s="414">
        <v>1.1499999999999999</v>
      </c>
      <c r="BT900" s="411"/>
      <c r="BU900" s="419"/>
      <c r="BV900" s="414"/>
      <c r="BW900" s="390"/>
      <c r="BX900" s="402"/>
      <c r="BY900" s="390"/>
      <c r="BZ900" s="390"/>
      <c r="CA900" s="442"/>
      <c r="CB900" s="415"/>
      <c r="CC900" s="413"/>
      <c r="CD900" s="413"/>
      <c r="CE900" s="413"/>
      <c r="CF900" s="413"/>
      <c r="CG900" s="413"/>
      <c r="CH900" s="413"/>
      <c r="CI900" s="413"/>
      <c r="CJ900" s="413"/>
      <c r="CK900" s="413"/>
      <c r="CL900" s="413"/>
      <c r="CM900" s="413"/>
      <c r="CN900" s="413"/>
      <c r="CO900" s="413"/>
      <c r="CP900" s="413"/>
      <c r="CQ900" s="413"/>
      <c r="CR900" s="413"/>
      <c r="CS900" s="413"/>
      <c r="CT900" s="413"/>
      <c r="CU900" s="413"/>
      <c r="CV900" s="413"/>
      <c r="CW900" s="413"/>
      <c r="CX900" s="413"/>
      <c r="CY900" s="413"/>
      <c r="CZ900" s="413"/>
      <c r="DA900" s="413"/>
      <c r="DB900" s="413"/>
      <c r="DC900" s="413"/>
      <c r="DD900" s="413"/>
      <c r="DE900" s="390"/>
      <c r="DF900" s="390"/>
      <c r="DG900" s="390"/>
      <c r="DH900" s="390"/>
      <c r="DI900" s="390"/>
      <c r="DJ900" s="390"/>
      <c r="DK900" s="897"/>
    </row>
    <row r="901" spans="1:115" ht="25.5" x14ac:dyDescent="0.2">
      <c r="A901" s="295">
        <v>897</v>
      </c>
      <c r="B901" s="390" t="s">
        <v>2766</v>
      </c>
      <c r="C901" s="390"/>
      <c r="D901" s="391"/>
      <c r="E901" s="706" t="s">
        <v>420</v>
      </c>
      <c r="F901" s="390" t="s">
        <v>1375</v>
      </c>
      <c r="G901" s="390" t="s">
        <v>1361</v>
      </c>
      <c r="H901" s="390" t="s">
        <v>137</v>
      </c>
      <c r="I901" s="402"/>
      <c r="J901" s="402"/>
      <c r="K901" s="402" t="s">
        <v>421</v>
      </c>
      <c r="L901" s="402" t="s">
        <v>422</v>
      </c>
      <c r="M901" s="402"/>
      <c r="N901" s="390" t="s">
        <v>33</v>
      </c>
      <c r="O901" s="390" t="s">
        <v>80</v>
      </c>
      <c r="P901" s="390" t="s">
        <v>80</v>
      </c>
      <c r="Q901" s="402" t="s">
        <v>403</v>
      </c>
      <c r="R901" s="402" t="s">
        <v>3318</v>
      </c>
      <c r="S901" s="402" t="s">
        <v>81</v>
      </c>
      <c r="T901" s="411">
        <v>1</v>
      </c>
      <c r="U901" s="412">
        <v>48.881</v>
      </c>
      <c r="V901" s="412"/>
      <c r="W901" s="454"/>
      <c r="X901" s="411"/>
      <c r="Y901" s="411">
        <v>7</v>
      </c>
      <c r="Z901" s="411">
        <v>21</v>
      </c>
      <c r="AA901" s="412">
        <v>4</v>
      </c>
      <c r="AB901" s="457">
        <v>41183</v>
      </c>
      <c r="AC901" s="413">
        <v>12.269131</v>
      </c>
      <c r="AD901" s="413">
        <v>403.50261095890414</v>
      </c>
      <c r="AE901" s="390" t="s">
        <v>133</v>
      </c>
      <c r="AF901" s="419"/>
      <c r="AG901" s="419"/>
      <c r="AH901" s="419"/>
      <c r="AI901" s="411"/>
      <c r="AJ901" s="454"/>
      <c r="AK901" s="454"/>
      <c r="AL901" s="390"/>
      <c r="AM901" s="390"/>
      <c r="AN901" s="419"/>
      <c r="AO901" s="402"/>
      <c r="AP901" s="402" t="s">
        <v>55</v>
      </c>
      <c r="AQ901" s="402"/>
      <c r="AR901" s="402" t="s">
        <v>555</v>
      </c>
      <c r="AS901" s="481">
        <v>40871</v>
      </c>
      <c r="AT901" s="454"/>
      <c r="AU901" s="454"/>
      <c r="AV901" s="454"/>
      <c r="AW901" s="454"/>
      <c r="AX901" s="454"/>
      <c r="AY901" s="454"/>
      <c r="AZ901" s="454"/>
      <c r="BA901" s="390"/>
      <c r="BB901" s="390"/>
      <c r="BC901" s="390" t="b">
        <v>0</v>
      </c>
      <c r="BD901" s="390"/>
      <c r="BE901" s="402"/>
      <c r="BF901" s="411">
        <v>1</v>
      </c>
      <c r="BG901" s="411">
        <v>6</v>
      </c>
      <c r="BH901" s="411">
        <v>9</v>
      </c>
      <c r="BI901" s="411">
        <v>5</v>
      </c>
      <c r="BJ901" s="411">
        <v>7</v>
      </c>
      <c r="BK901" s="411"/>
      <c r="BL901" s="445" t="s">
        <v>6981</v>
      </c>
      <c r="BM901" s="402"/>
      <c r="BN901" s="390"/>
      <c r="BO901" s="390"/>
      <c r="BP901" s="414"/>
      <c r="BQ901" s="415"/>
      <c r="BR901" s="416"/>
      <c r="BS901" s="414">
        <v>1.1499999999999999</v>
      </c>
      <c r="BT901" s="411">
        <v>8044</v>
      </c>
      <c r="BU901" s="419">
        <v>0.94850000000000001</v>
      </c>
      <c r="BV901" s="414"/>
      <c r="BW901" s="390" t="s">
        <v>3117</v>
      </c>
      <c r="BX901" s="402" t="s">
        <v>1449</v>
      </c>
      <c r="BY901" s="390"/>
      <c r="BZ901" s="390"/>
      <c r="CA901" s="442" t="s">
        <v>1662</v>
      </c>
      <c r="CB901" s="415">
        <v>3</v>
      </c>
      <c r="CC901" s="413"/>
      <c r="CD901" s="413"/>
      <c r="CE901" s="413"/>
      <c r="CF901" s="413"/>
      <c r="CG901" s="413"/>
      <c r="CH901" s="413">
        <v>10.579000000000001</v>
      </c>
      <c r="CI901" s="413">
        <v>44.500999999999998</v>
      </c>
      <c r="CJ901" s="413">
        <v>54.183999999999997</v>
      </c>
      <c r="CK901" s="413">
        <v>56.103999999999999</v>
      </c>
      <c r="CL901" s="413">
        <v>57.905000000000001</v>
      </c>
      <c r="CM901" s="413">
        <v>59.594999999999999</v>
      </c>
      <c r="CN901" s="413">
        <v>61.180999999999997</v>
      </c>
      <c r="CO901" s="413">
        <v>47.002000000000002</v>
      </c>
      <c r="CP901" s="413"/>
      <c r="CQ901" s="413"/>
      <c r="CR901" s="413"/>
      <c r="CS901" s="413"/>
      <c r="CT901" s="413"/>
      <c r="CU901" s="413"/>
      <c r="CV901" s="413"/>
      <c r="CW901" s="413"/>
      <c r="CX901" s="413"/>
      <c r="CY901" s="413"/>
      <c r="CZ901" s="413"/>
      <c r="DA901" s="413"/>
      <c r="DB901" s="413"/>
      <c r="DC901" s="413"/>
      <c r="DD901" s="413"/>
      <c r="DE901" s="390"/>
      <c r="DF901" s="390"/>
      <c r="DG901" s="390"/>
      <c r="DH901" s="390"/>
      <c r="DI901" s="390"/>
      <c r="DJ901" s="390"/>
      <c r="DK901" s="897"/>
    </row>
    <row r="902" spans="1:115" ht="51" x14ac:dyDescent="0.2">
      <c r="A902" s="295">
        <v>898</v>
      </c>
      <c r="B902" s="390" t="s">
        <v>610</v>
      </c>
      <c r="C902" s="424" t="s">
        <v>7595</v>
      </c>
      <c r="D902" s="391" t="s">
        <v>5132</v>
      </c>
      <c r="E902" s="704" t="s">
        <v>611</v>
      </c>
      <c r="F902" s="393" t="s">
        <v>1352</v>
      </c>
      <c r="G902" s="393" t="s">
        <v>1671</v>
      </c>
      <c r="H902" s="393" t="s">
        <v>117</v>
      </c>
      <c r="I902" s="392"/>
      <c r="J902" s="392" t="s">
        <v>2189</v>
      </c>
      <c r="K902" s="392"/>
      <c r="L902" s="392" t="s">
        <v>612</v>
      </c>
      <c r="M902" s="392" t="s">
        <v>3319</v>
      </c>
      <c r="N902" s="393" t="s">
        <v>44</v>
      </c>
      <c r="O902" s="393" t="s">
        <v>69</v>
      </c>
      <c r="P902" s="393" t="s">
        <v>69</v>
      </c>
      <c r="Q902" s="392" t="s">
        <v>572</v>
      </c>
      <c r="R902" s="392"/>
      <c r="S902" s="392" t="s">
        <v>613</v>
      </c>
      <c r="T902" s="394">
        <v>1</v>
      </c>
      <c r="U902" s="395">
        <v>6.3250000000000002</v>
      </c>
      <c r="V902" s="395"/>
      <c r="W902" s="452">
        <v>40875</v>
      </c>
      <c r="X902" s="394">
        <v>28</v>
      </c>
      <c r="Y902" s="394"/>
      <c r="Z902" s="394"/>
      <c r="AA902" s="395"/>
      <c r="AB902" s="453"/>
      <c r="AC902" s="398">
        <v>0</v>
      </c>
      <c r="AD902" s="398">
        <v>52.280890410958911</v>
      </c>
      <c r="AE902" s="393" t="s">
        <v>54</v>
      </c>
      <c r="AF902" s="417"/>
      <c r="AG902" s="417"/>
      <c r="AH902" s="417">
        <v>0</v>
      </c>
      <c r="AI902" s="394"/>
      <c r="AJ902" s="453"/>
      <c r="AK902" s="453"/>
      <c r="AL902" s="393"/>
      <c r="AM902" s="393"/>
      <c r="AN902" s="417"/>
      <c r="AO902" s="392"/>
      <c r="AP902" s="428" t="s">
        <v>8093</v>
      </c>
      <c r="AQ902" s="392"/>
      <c r="AR902" s="392" t="s">
        <v>206</v>
      </c>
      <c r="AS902" s="479">
        <v>40871</v>
      </c>
      <c r="AT902" s="453"/>
      <c r="AU902" s="453"/>
      <c r="AV902" s="452">
        <v>41061</v>
      </c>
      <c r="AW902" s="452">
        <v>41179</v>
      </c>
      <c r="AX902" s="452">
        <v>41257</v>
      </c>
      <c r="AY902" s="452">
        <v>41179</v>
      </c>
      <c r="AZ902" s="453"/>
      <c r="BA902" s="393"/>
      <c r="BB902" s="393" t="s">
        <v>3147</v>
      </c>
      <c r="BC902" s="393" t="b">
        <v>1</v>
      </c>
      <c r="BD902" s="393" t="s">
        <v>3116</v>
      </c>
      <c r="BE902" s="392"/>
      <c r="BF902" s="394">
        <v>5</v>
      </c>
      <c r="BG902" s="394">
        <v>6</v>
      </c>
      <c r="BH902" s="394">
        <v>8</v>
      </c>
      <c r="BI902" s="394">
        <v>9</v>
      </c>
      <c r="BJ902" s="394">
        <v>11</v>
      </c>
      <c r="BK902" s="394"/>
      <c r="BL902" s="444"/>
      <c r="BM902" s="392"/>
      <c r="BN902" s="393"/>
      <c r="BO902" s="393"/>
      <c r="BP902" s="399"/>
      <c r="BQ902" s="400"/>
      <c r="BR902" s="401"/>
      <c r="BS902" s="399">
        <v>0</v>
      </c>
      <c r="BT902" s="394"/>
      <c r="BU902" s="417"/>
      <c r="BV902" s="399"/>
      <c r="BW902" s="393"/>
      <c r="BX902" s="392"/>
      <c r="BY902" s="475" t="s">
        <v>7224</v>
      </c>
      <c r="BZ902" s="393"/>
      <c r="CA902" s="441"/>
      <c r="CB902" s="400"/>
      <c r="CC902" s="398"/>
      <c r="CD902" s="398"/>
      <c r="CE902" s="398"/>
      <c r="CF902" s="398"/>
      <c r="CG902" s="398"/>
      <c r="CH902" s="398"/>
      <c r="CI902" s="398"/>
      <c r="CJ902" s="398"/>
      <c r="CK902" s="398"/>
      <c r="CL902" s="398"/>
      <c r="CM902" s="398"/>
      <c r="CN902" s="398"/>
      <c r="CO902" s="398"/>
      <c r="CP902" s="398"/>
      <c r="CQ902" s="398"/>
      <c r="CR902" s="398"/>
      <c r="CS902" s="398"/>
      <c r="CT902" s="398"/>
      <c r="CU902" s="398"/>
      <c r="CV902" s="398"/>
      <c r="CW902" s="398"/>
      <c r="CX902" s="398"/>
      <c r="CY902" s="398"/>
      <c r="CZ902" s="398"/>
      <c r="DA902" s="398"/>
      <c r="DB902" s="398"/>
      <c r="DC902" s="398"/>
      <c r="DD902" s="398"/>
      <c r="DE902" s="393"/>
      <c r="DF902" s="393"/>
      <c r="DG902" s="393"/>
      <c r="DH902" s="393"/>
      <c r="DI902" s="393"/>
      <c r="DJ902" s="393"/>
      <c r="DK902" s="896" t="s">
        <v>9700</v>
      </c>
    </row>
    <row r="903" spans="1:115" ht="38.25" x14ac:dyDescent="0.2">
      <c r="A903" s="295">
        <v>899</v>
      </c>
      <c r="B903" s="390" t="s">
        <v>2767</v>
      </c>
      <c r="C903" s="390"/>
      <c r="D903" s="391" t="s">
        <v>4394</v>
      </c>
      <c r="E903" s="704" t="s">
        <v>614</v>
      </c>
      <c r="F903" s="393" t="s">
        <v>1352</v>
      </c>
      <c r="G903" s="393" t="s">
        <v>1671</v>
      </c>
      <c r="H903" s="393" t="s">
        <v>117</v>
      </c>
      <c r="I903" s="392"/>
      <c r="J903" s="392"/>
      <c r="K903" s="392" t="s">
        <v>615</v>
      </c>
      <c r="L903" s="392" t="s">
        <v>612</v>
      </c>
      <c r="M903" s="392"/>
      <c r="N903" s="393" t="s">
        <v>44</v>
      </c>
      <c r="O903" s="393" t="s">
        <v>69</v>
      </c>
      <c r="P903" s="393" t="s">
        <v>69</v>
      </c>
      <c r="Q903" s="392" t="s">
        <v>572</v>
      </c>
      <c r="R903" s="392" t="s">
        <v>3320</v>
      </c>
      <c r="S903" s="392" t="s">
        <v>613</v>
      </c>
      <c r="T903" s="394">
        <v>1</v>
      </c>
      <c r="U903" s="395">
        <v>6.3250000000000002</v>
      </c>
      <c r="V903" s="395"/>
      <c r="W903" s="453"/>
      <c r="X903" s="394"/>
      <c r="Y903" s="394">
        <v>7</v>
      </c>
      <c r="Z903" s="394">
        <v>15</v>
      </c>
      <c r="AA903" s="395">
        <v>0</v>
      </c>
      <c r="AB903" s="452">
        <v>41179</v>
      </c>
      <c r="AC903" s="398"/>
      <c r="AD903" s="398">
        <v>52.280890410958911</v>
      </c>
      <c r="AE903" s="393" t="s">
        <v>54</v>
      </c>
      <c r="AF903" s="417"/>
      <c r="AG903" s="417"/>
      <c r="AH903" s="417"/>
      <c r="AI903" s="394"/>
      <c r="AJ903" s="453"/>
      <c r="AK903" s="453"/>
      <c r="AL903" s="393"/>
      <c r="AM903" s="393"/>
      <c r="AN903" s="417"/>
      <c r="AO903" s="392"/>
      <c r="AP903" s="428" t="s">
        <v>8093</v>
      </c>
      <c r="AQ903" s="392"/>
      <c r="AR903" s="392" t="s">
        <v>206</v>
      </c>
      <c r="AS903" s="479">
        <v>40871</v>
      </c>
      <c r="AT903" s="397"/>
      <c r="AU903" s="397"/>
      <c r="AV903" s="453"/>
      <c r="AW903" s="453"/>
      <c r="AX903" s="453"/>
      <c r="AY903" s="453"/>
      <c r="AZ903" s="452">
        <v>41179</v>
      </c>
      <c r="BA903" s="393"/>
      <c r="BB903" s="393"/>
      <c r="BC903" s="393" t="b">
        <v>0</v>
      </c>
      <c r="BD903" s="393"/>
      <c r="BE903" s="392"/>
      <c r="BF903" s="394">
        <v>5</v>
      </c>
      <c r="BG903" s="394">
        <v>6</v>
      </c>
      <c r="BH903" s="394">
        <v>8</v>
      </c>
      <c r="BI903" s="394">
        <v>9</v>
      </c>
      <c r="BJ903" s="394">
        <v>11</v>
      </c>
      <c r="BK903" s="394"/>
      <c r="BL903" s="444" t="s">
        <v>6981</v>
      </c>
      <c r="BM903" s="392"/>
      <c r="BN903" s="393"/>
      <c r="BO903" s="393"/>
      <c r="BP903" s="399"/>
      <c r="BQ903" s="400"/>
      <c r="BR903" s="401"/>
      <c r="BS903" s="399"/>
      <c r="BT903" s="394"/>
      <c r="BU903" s="417">
        <v>0.72440000000000004</v>
      </c>
      <c r="BV903" s="399"/>
      <c r="BW903" s="393" t="s">
        <v>3117</v>
      </c>
      <c r="BX903" s="392" t="s">
        <v>1447</v>
      </c>
      <c r="BY903" s="475" t="s">
        <v>7224</v>
      </c>
      <c r="BZ903" s="393"/>
      <c r="CA903" s="441" t="s">
        <v>1662</v>
      </c>
      <c r="CB903" s="400">
        <v>3</v>
      </c>
      <c r="CC903" s="398"/>
      <c r="CD903" s="398"/>
      <c r="CE903" s="398"/>
      <c r="CF903" s="398"/>
      <c r="CG903" s="398"/>
      <c r="CH903" s="398">
        <v>4.7519999999999998</v>
      </c>
      <c r="CI903" s="398">
        <v>6.3360000000000003</v>
      </c>
      <c r="CJ903" s="398">
        <v>6.3360000000000003</v>
      </c>
      <c r="CK903" s="398">
        <v>6.3360000000000003</v>
      </c>
      <c r="CL903" s="398">
        <v>6.3360000000000003</v>
      </c>
      <c r="CM903" s="398">
        <v>6.3360000000000003</v>
      </c>
      <c r="CN903" s="398">
        <v>6.3360000000000003</v>
      </c>
      <c r="CO903" s="398">
        <v>1.5840000000000001</v>
      </c>
      <c r="CP903" s="398"/>
      <c r="CQ903" s="398"/>
      <c r="CR903" s="398"/>
      <c r="CS903" s="398"/>
      <c r="CT903" s="398"/>
      <c r="CU903" s="398"/>
      <c r="CV903" s="398"/>
      <c r="CW903" s="398"/>
      <c r="CX903" s="398"/>
      <c r="CY903" s="398"/>
      <c r="CZ903" s="398"/>
      <c r="DA903" s="398"/>
      <c r="DB903" s="398"/>
      <c r="DC903" s="398"/>
      <c r="DD903" s="398"/>
      <c r="DE903" s="393"/>
      <c r="DF903" s="393"/>
      <c r="DG903" s="393"/>
      <c r="DH903" s="393"/>
      <c r="DI903" s="393"/>
      <c r="DJ903" s="393"/>
      <c r="DK903" s="897"/>
    </row>
    <row r="904" spans="1:115" ht="25.5" x14ac:dyDescent="0.2">
      <c r="A904" s="295">
        <v>900</v>
      </c>
      <c r="B904" s="390" t="s">
        <v>656</v>
      </c>
      <c r="C904" s="424" t="s">
        <v>7596</v>
      </c>
      <c r="D904" s="391"/>
      <c r="E904" s="706" t="s">
        <v>657</v>
      </c>
      <c r="F904" s="390" t="s">
        <v>1352</v>
      </c>
      <c r="G904" s="390" t="s">
        <v>1671</v>
      </c>
      <c r="H904" s="390" t="s">
        <v>117</v>
      </c>
      <c r="I904" s="402"/>
      <c r="J904" s="402" t="s">
        <v>117</v>
      </c>
      <c r="K904" s="402"/>
      <c r="L904" s="402" t="s">
        <v>659</v>
      </c>
      <c r="M904" s="402" t="s">
        <v>3321</v>
      </c>
      <c r="N904" s="390" t="s">
        <v>33</v>
      </c>
      <c r="O904" s="390" t="s">
        <v>289</v>
      </c>
      <c r="P904" s="390" t="s">
        <v>289</v>
      </c>
      <c r="Q904" s="402" t="s">
        <v>649</v>
      </c>
      <c r="R904" s="402"/>
      <c r="S904" s="402" t="s">
        <v>291</v>
      </c>
      <c r="T904" s="411">
        <v>1</v>
      </c>
      <c r="U904" s="412">
        <v>9.2289999999999992</v>
      </c>
      <c r="V904" s="412"/>
      <c r="W904" s="457">
        <v>41153</v>
      </c>
      <c r="X904" s="411">
        <v>28</v>
      </c>
      <c r="Y904" s="411"/>
      <c r="Z904" s="411"/>
      <c r="AA904" s="412"/>
      <c r="AB904" s="454"/>
      <c r="AC904" s="413">
        <v>9.2289999999999992</v>
      </c>
      <c r="AD904" s="413">
        <v>83.111569863013699</v>
      </c>
      <c r="AE904" s="390" t="s">
        <v>660</v>
      </c>
      <c r="AF904" s="419"/>
      <c r="AG904" s="419"/>
      <c r="AH904" s="419">
        <v>0</v>
      </c>
      <c r="AI904" s="411"/>
      <c r="AJ904" s="454"/>
      <c r="AK904" s="454"/>
      <c r="AL904" s="390"/>
      <c r="AM904" s="390"/>
      <c r="AN904" s="419"/>
      <c r="AO904" s="402"/>
      <c r="AP904" s="402" t="s">
        <v>55</v>
      </c>
      <c r="AQ904" s="402"/>
      <c r="AR904" s="402" t="s">
        <v>659</v>
      </c>
      <c r="AS904" s="481">
        <v>40872</v>
      </c>
      <c r="AT904" s="454"/>
      <c r="AU904" s="454"/>
      <c r="AV904" s="454"/>
      <c r="AW904" s="454"/>
      <c r="AX904" s="454"/>
      <c r="AY904" s="454"/>
      <c r="AZ904" s="454"/>
      <c r="BA904" s="390"/>
      <c r="BB904" s="390" t="s">
        <v>3147</v>
      </c>
      <c r="BC904" s="390" t="b">
        <v>1</v>
      </c>
      <c r="BD904" s="390" t="s">
        <v>3147</v>
      </c>
      <c r="BE904" s="402"/>
      <c r="BF904" s="411">
        <v>10</v>
      </c>
      <c r="BG904" s="411">
        <v>5</v>
      </c>
      <c r="BH904" s="411">
        <v>9</v>
      </c>
      <c r="BI904" s="411">
        <v>8</v>
      </c>
      <c r="BJ904" s="411"/>
      <c r="BK904" s="411"/>
      <c r="BL904" s="445"/>
      <c r="BM904" s="402"/>
      <c r="BN904" s="390"/>
      <c r="BO904" s="390"/>
      <c r="BP904" s="414"/>
      <c r="BQ904" s="415"/>
      <c r="BR904" s="416"/>
      <c r="BS904" s="414">
        <v>3.2</v>
      </c>
      <c r="BT904" s="411"/>
      <c r="BU904" s="419"/>
      <c r="BV904" s="414"/>
      <c r="BW904" s="390"/>
      <c r="BX904" s="402"/>
      <c r="BY904" s="390"/>
      <c r="BZ904" s="390"/>
      <c r="CA904" s="442"/>
      <c r="CB904" s="415"/>
      <c r="CC904" s="413"/>
      <c r="CD904" s="413"/>
      <c r="CE904" s="413"/>
      <c r="CF904" s="413"/>
      <c r="CG904" s="413"/>
      <c r="CH904" s="413"/>
      <c r="CI904" s="413"/>
      <c r="CJ904" s="413"/>
      <c r="CK904" s="413"/>
      <c r="CL904" s="413"/>
      <c r="CM904" s="413"/>
      <c r="CN904" s="413"/>
      <c r="CO904" s="413"/>
      <c r="CP904" s="413"/>
      <c r="CQ904" s="413"/>
      <c r="CR904" s="413"/>
      <c r="CS904" s="413"/>
      <c r="CT904" s="413"/>
      <c r="CU904" s="413"/>
      <c r="CV904" s="413"/>
      <c r="CW904" s="413"/>
      <c r="CX904" s="413"/>
      <c r="CY904" s="413"/>
      <c r="CZ904" s="413"/>
      <c r="DA904" s="413"/>
      <c r="DB904" s="413"/>
      <c r="DC904" s="413"/>
      <c r="DD904" s="413"/>
      <c r="DE904" s="390"/>
      <c r="DF904" s="390"/>
      <c r="DG904" s="390"/>
      <c r="DH904" s="390"/>
      <c r="DI904" s="390"/>
      <c r="DJ904" s="390"/>
      <c r="DK904" s="897"/>
    </row>
    <row r="905" spans="1:115" ht="25.5" x14ac:dyDescent="0.2">
      <c r="A905" s="295">
        <v>901</v>
      </c>
      <c r="B905" s="390" t="s">
        <v>2768</v>
      </c>
      <c r="C905" s="390"/>
      <c r="D905" s="391"/>
      <c r="E905" s="706" t="s">
        <v>661</v>
      </c>
      <c r="F905" s="390" t="s">
        <v>1352</v>
      </c>
      <c r="G905" s="390" t="s">
        <v>1671</v>
      </c>
      <c r="H905" s="390" t="s">
        <v>117</v>
      </c>
      <c r="I905" s="402"/>
      <c r="J905" s="402"/>
      <c r="K905" s="402" t="s">
        <v>433</v>
      </c>
      <c r="L905" s="402" t="s">
        <v>659</v>
      </c>
      <c r="M905" s="402"/>
      <c r="N905" s="390" t="s">
        <v>33</v>
      </c>
      <c r="O905" s="390" t="s">
        <v>289</v>
      </c>
      <c r="P905" s="390" t="s">
        <v>289</v>
      </c>
      <c r="Q905" s="402" t="s">
        <v>649</v>
      </c>
      <c r="R905" s="402" t="s">
        <v>3322</v>
      </c>
      <c r="S905" s="402" t="s">
        <v>291</v>
      </c>
      <c r="T905" s="411">
        <v>1</v>
      </c>
      <c r="U905" s="412">
        <v>9.2289999999999992</v>
      </c>
      <c r="V905" s="412"/>
      <c r="W905" s="454"/>
      <c r="X905" s="411"/>
      <c r="Y905" s="411">
        <v>7</v>
      </c>
      <c r="Z905" s="411">
        <v>25</v>
      </c>
      <c r="AA905" s="412">
        <v>0</v>
      </c>
      <c r="AB905" s="457">
        <v>40909</v>
      </c>
      <c r="AC905" s="413">
        <v>9.2289999999999992</v>
      </c>
      <c r="AD905" s="413">
        <v>83.111569863013699</v>
      </c>
      <c r="AE905" s="390" t="s">
        <v>660</v>
      </c>
      <c r="AF905" s="419"/>
      <c r="AG905" s="419"/>
      <c r="AH905" s="419"/>
      <c r="AI905" s="411"/>
      <c r="AJ905" s="454"/>
      <c r="AK905" s="454"/>
      <c r="AL905" s="390"/>
      <c r="AM905" s="390"/>
      <c r="AN905" s="419"/>
      <c r="AO905" s="402"/>
      <c r="AP905" s="402" t="s">
        <v>55</v>
      </c>
      <c r="AQ905" s="402"/>
      <c r="AR905" s="402" t="s">
        <v>659</v>
      </c>
      <c r="AS905" s="481">
        <v>40872</v>
      </c>
      <c r="AT905" s="454"/>
      <c r="AU905" s="454"/>
      <c r="AV905" s="454"/>
      <c r="AW905" s="454"/>
      <c r="AX905" s="454"/>
      <c r="AY905" s="454"/>
      <c r="AZ905" s="454"/>
      <c r="BA905" s="390"/>
      <c r="BB905" s="390"/>
      <c r="BC905" s="390" t="b">
        <v>0</v>
      </c>
      <c r="BD905" s="390"/>
      <c r="BE905" s="402"/>
      <c r="BF905" s="411">
        <v>10</v>
      </c>
      <c r="BG905" s="411">
        <v>5</v>
      </c>
      <c r="BH905" s="411">
        <v>9</v>
      </c>
      <c r="BI905" s="411">
        <v>8</v>
      </c>
      <c r="BJ905" s="411"/>
      <c r="BK905" s="411"/>
      <c r="BL905" s="445" t="s">
        <v>6981</v>
      </c>
      <c r="BM905" s="402"/>
      <c r="BN905" s="390"/>
      <c r="BO905" s="390"/>
      <c r="BP905" s="414"/>
      <c r="BQ905" s="415"/>
      <c r="BR905" s="416"/>
      <c r="BS905" s="414">
        <v>3.2</v>
      </c>
      <c r="BT905" s="411">
        <v>12740</v>
      </c>
      <c r="BU905" s="419">
        <v>0.72441500000000003</v>
      </c>
      <c r="BV905" s="414"/>
      <c r="BW905" s="390" t="s">
        <v>3117</v>
      </c>
      <c r="BX905" s="402" t="s">
        <v>1447</v>
      </c>
      <c r="BY905" s="390"/>
      <c r="BZ905" s="390"/>
      <c r="CA905" s="442" t="s">
        <v>1662</v>
      </c>
      <c r="CB905" s="415">
        <v>3</v>
      </c>
      <c r="CC905" s="413"/>
      <c r="CD905" s="413"/>
      <c r="CE905" s="413"/>
      <c r="CF905" s="413"/>
      <c r="CG905" s="413"/>
      <c r="CH905" s="413"/>
      <c r="CI905" s="413">
        <v>9.2289999999999992</v>
      </c>
      <c r="CJ905" s="413">
        <v>9.2289999999999992</v>
      </c>
      <c r="CK905" s="413">
        <v>9.2289999999999992</v>
      </c>
      <c r="CL905" s="413">
        <v>9.2289999999999992</v>
      </c>
      <c r="CM905" s="413">
        <v>9.2289999999999992</v>
      </c>
      <c r="CN905" s="413">
        <v>9.2289999999999992</v>
      </c>
      <c r="CO905" s="413">
        <v>9.2289999999999992</v>
      </c>
      <c r="CP905" s="413"/>
      <c r="CQ905" s="413"/>
      <c r="CR905" s="413"/>
      <c r="CS905" s="413"/>
      <c r="CT905" s="413"/>
      <c r="CU905" s="413"/>
      <c r="CV905" s="413"/>
      <c r="CW905" s="413"/>
      <c r="CX905" s="413"/>
      <c r="CY905" s="413"/>
      <c r="CZ905" s="413"/>
      <c r="DA905" s="413"/>
      <c r="DB905" s="413"/>
      <c r="DC905" s="413"/>
      <c r="DD905" s="413"/>
      <c r="DE905" s="390"/>
      <c r="DF905" s="390"/>
      <c r="DG905" s="390"/>
      <c r="DH905" s="390"/>
      <c r="DI905" s="390"/>
      <c r="DJ905" s="390"/>
      <c r="DK905" s="897"/>
    </row>
    <row r="906" spans="1:115" ht="51" x14ac:dyDescent="0.2">
      <c r="A906" s="295">
        <v>902</v>
      </c>
      <c r="B906" s="390" t="s">
        <v>392</v>
      </c>
      <c r="C906" s="424" t="s">
        <v>7597</v>
      </c>
      <c r="D906" s="391" t="s">
        <v>5133</v>
      </c>
      <c r="E906" s="704" t="s">
        <v>393</v>
      </c>
      <c r="F906" s="393" t="s">
        <v>1340</v>
      </c>
      <c r="G906" s="393" t="s">
        <v>1677</v>
      </c>
      <c r="H906" s="393" t="s">
        <v>253</v>
      </c>
      <c r="I906" s="392"/>
      <c r="J906" s="392" t="s">
        <v>253</v>
      </c>
      <c r="K906" s="392"/>
      <c r="L906" s="392" t="s">
        <v>394</v>
      </c>
      <c r="M906" s="392" t="s">
        <v>3323</v>
      </c>
      <c r="N906" s="393" t="s">
        <v>44</v>
      </c>
      <c r="O906" s="393" t="s">
        <v>80</v>
      </c>
      <c r="P906" s="393" t="s">
        <v>80</v>
      </c>
      <c r="Q906" s="392" t="s">
        <v>395</v>
      </c>
      <c r="R906" s="392"/>
      <c r="S906" s="392" t="s">
        <v>396</v>
      </c>
      <c r="T906" s="394">
        <v>1</v>
      </c>
      <c r="U906" s="395">
        <v>20.998000000000001</v>
      </c>
      <c r="V906" s="395"/>
      <c r="W906" s="452">
        <v>41275</v>
      </c>
      <c r="X906" s="394">
        <v>28</v>
      </c>
      <c r="Y906" s="394"/>
      <c r="Z906" s="394"/>
      <c r="AA906" s="395"/>
      <c r="AB906" s="453"/>
      <c r="AC906" s="398">
        <v>0</v>
      </c>
      <c r="AD906" s="398">
        <v>209.98000000000002</v>
      </c>
      <c r="AE906" s="393" t="s">
        <v>397</v>
      </c>
      <c r="AF906" s="417"/>
      <c r="AG906" s="417"/>
      <c r="AH906" s="417">
        <v>0</v>
      </c>
      <c r="AI906" s="394"/>
      <c r="AJ906" s="453"/>
      <c r="AK906" s="453"/>
      <c r="AL906" s="393"/>
      <c r="AM906" s="393"/>
      <c r="AN906" s="417"/>
      <c r="AO906" s="392"/>
      <c r="AP906" s="392" t="s">
        <v>55</v>
      </c>
      <c r="AQ906" s="392"/>
      <c r="AR906" s="392" t="s">
        <v>398</v>
      </c>
      <c r="AS906" s="479">
        <v>40872</v>
      </c>
      <c r="AT906" s="453"/>
      <c r="AU906" s="453"/>
      <c r="AV906" s="452">
        <v>41145</v>
      </c>
      <c r="AW906" s="452">
        <v>41264</v>
      </c>
      <c r="AX906" s="453"/>
      <c r="AY906" s="452">
        <v>41264</v>
      </c>
      <c r="AZ906" s="453"/>
      <c r="BA906" s="393"/>
      <c r="BB906" s="393" t="s">
        <v>3116</v>
      </c>
      <c r="BC906" s="393" t="b">
        <v>0</v>
      </c>
      <c r="BD906" s="393" t="s">
        <v>3310</v>
      </c>
      <c r="BE906" s="392"/>
      <c r="BF906" s="394">
        <v>1</v>
      </c>
      <c r="BG906" s="394">
        <v>11</v>
      </c>
      <c r="BH906" s="394">
        <v>5</v>
      </c>
      <c r="BI906" s="394">
        <v>9</v>
      </c>
      <c r="BJ906" s="394">
        <v>8</v>
      </c>
      <c r="BK906" s="394"/>
      <c r="BL906" s="444"/>
      <c r="BM906" s="392"/>
      <c r="BN906" s="393"/>
      <c r="BO906" s="393"/>
      <c r="BP906" s="399"/>
      <c r="BQ906" s="400"/>
      <c r="BR906" s="401"/>
      <c r="BS906" s="399">
        <v>0</v>
      </c>
      <c r="BT906" s="394"/>
      <c r="BU906" s="417"/>
      <c r="BV906" s="399"/>
      <c r="BW906" s="393"/>
      <c r="BX906" s="392"/>
      <c r="BY906" s="393"/>
      <c r="BZ906" s="393"/>
      <c r="CA906" s="441"/>
      <c r="CB906" s="400"/>
      <c r="CC906" s="398"/>
      <c r="CD906" s="398"/>
      <c r="CE906" s="398"/>
      <c r="CF906" s="398"/>
      <c r="CG906" s="398"/>
      <c r="CH906" s="398"/>
      <c r="CI906" s="398"/>
      <c r="CJ906" s="398"/>
      <c r="CK906" s="398"/>
      <c r="CL906" s="398"/>
      <c r="CM906" s="398"/>
      <c r="CN906" s="398"/>
      <c r="CO906" s="398"/>
      <c r="CP906" s="398"/>
      <c r="CQ906" s="398"/>
      <c r="CR906" s="398"/>
      <c r="CS906" s="398"/>
      <c r="CT906" s="398"/>
      <c r="CU906" s="398"/>
      <c r="CV906" s="398"/>
      <c r="CW906" s="398"/>
      <c r="CX906" s="398"/>
      <c r="CY906" s="398"/>
      <c r="CZ906" s="398"/>
      <c r="DA906" s="398"/>
      <c r="DB906" s="398"/>
      <c r="DC906" s="398"/>
      <c r="DD906" s="398"/>
      <c r="DE906" s="393"/>
      <c r="DF906" s="393"/>
      <c r="DG906" s="393"/>
      <c r="DH906" s="393"/>
      <c r="DI906" s="393"/>
      <c r="DJ906" s="393"/>
      <c r="DK906" s="896" t="s">
        <v>9701</v>
      </c>
    </row>
    <row r="907" spans="1:115" ht="25.5" x14ac:dyDescent="0.2">
      <c r="A907" s="295">
        <v>903</v>
      </c>
      <c r="B907" s="390" t="s">
        <v>2769</v>
      </c>
      <c r="C907" s="390"/>
      <c r="D907" s="391" t="s">
        <v>4612</v>
      </c>
      <c r="E907" s="704" t="s">
        <v>399</v>
      </c>
      <c r="F907" s="393" t="s">
        <v>1340</v>
      </c>
      <c r="G907" s="393" t="s">
        <v>1677</v>
      </c>
      <c r="H907" s="393" t="s">
        <v>253</v>
      </c>
      <c r="I907" s="392"/>
      <c r="J907" s="392"/>
      <c r="K907" s="392" t="s">
        <v>2190</v>
      </c>
      <c r="L907" s="392" t="s">
        <v>394</v>
      </c>
      <c r="M907" s="392"/>
      <c r="N907" s="393" t="s">
        <v>44</v>
      </c>
      <c r="O907" s="393" t="s">
        <v>80</v>
      </c>
      <c r="P907" s="393" t="s">
        <v>80</v>
      </c>
      <c r="Q907" s="392" t="s">
        <v>395</v>
      </c>
      <c r="R907" s="392" t="s">
        <v>3324</v>
      </c>
      <c r="S907" s="392" t="s">
        <v>396</v>
      </c>
      <c r="T907" s="394">
        <v>1</v>
      </c>
      <c r="U907" s="395">
        <v>20.998000000000001</v>
      </c>
      <c r="V907" s="395"/>
      <c r="W907" s="453"/>
      <c r="X907" s="394"/>
      <c r="Y907" s="394">
        <v>10</v>
      </c>
      <c r="Z907" s="394">
        <v>10</v>
      </c>
      <c r="AA907" s="395">
        <v>-5.8570000000000002</v>
      </c>
      <c r="AB907" s="452">
        <v>41365</v>
      </c>
      <c r="AC907" s="398">
        <v>0</v>
      </c>
      <c r="AD907" s="398">
        <v>209.98000000000002</v>
      </c>
      <c r="AE907" s="393" t="s">
        <v>397</v>
      </c>
      <c r="AF907" s="417"/>
      <c r="AG907" s="417"/>
      <c r="AH907" s="417"/>
      <c r="AI907" s="394"/>
      <c r="AJ907" s="453"/>
      <c r="AK907" s="453"/>
      <c r="AL907" s="393"/>
      <c r="AM907" s="393"/>
      <c r="AN907" s="417"/>
      <c r="AO907" s="392"/>
      <c r="AP907" s="392" t="s">
        <v>55</v>
      </c>
      <c r="AQ907" s="392"/>
      <c r="AR907" s="392" t="s">
        <v>398</v>
      </c>
      <c r="AS907" s="479">
        <v>40872</v>
      </c>
      <c r="AT907" s="453"/>
      <c r="AU907" s="453"/>
      <c r="AV907" s="453"/>
      <c r="AW907" s="453"/>
      <c r="AX907" s="453"/>
      <c r="AY907" s="453"/>
      <c r="AZ907" s="452">
        <v>41264</v>
      </c>
      <c r="BA907" s="393"/>
      <c r="BB907" s="393"/>
      <c r="BC907" s="393" t="b">
        <v>0</v>
      </c>
      <c r="BD907" s="393"/>
      <c r="BE907" s="392"/>
      <c r="BF907" s="394">
        <v>1</v>
      </c>
      <c r="BG907" s="394">
        <v>11</v>
      </c>
      <c r="BH907" s="394">
        <v>5</v>
      </c>
      <c r="BI907" s="394">
        <v>9</v>
      </c>
      <c r="BJ907" s="394"/>
      <c r="BK907" s="394"/>
      <c r="BL907" s="444" t="s">
        <v>1451</v>
      </c>
      <c r="BM907" s="392"/>
      <c r="BN907" s="393"/>
      <c r="BO907" s="393"/>
      <c r="BP907" s="399"/>
      <c r="BQ907" s="400"/>
      <c r="BR907" s="401"/>
      <c r="BS907" s="399"/>
      <c r="BT907" s="394"/>
      <c r="BU907" s="417"/>
      <c r="BV907" s="399"/>
      <c r="BW907" s="393" t="s">
        <v>3117</v>
      </c>
      <c r="BX907" s="392" t="s">
        <v>1447</v>
      </c>
      <c r="BY907" s="393"/>
      <c r="BZ907" s="393"/>
      <c r="CA907" s="441" t="s">
        <v>1662</v>
      </c>
      <c r="CB907" s="400">
        <v>4</v>
      </c>
      <c r="CC907" s="398"/>
      <c r="CD907" s="398"/>
      <c r="CE907" s="398"/>
      <c r="CF907" s="398"/>
      <c r="CG907" s="398"/>
      <c r="CH907" s="398">
        <v>37.093000000000004</v>
      </c>
      <c r="CI907" s="398">
        <v>58.125</v>
      </c>
      <c r="CJ907" s="398">
        <v>47.067</v>
      </c>
      <c r="CK907" s="398">
        <v>38.438000000000002</v>
      </c>
      <c r="CL907" s="398">
        <v>32.155999999999999</v>
      </c>
      <c r="CM907" s="398">
        <v>27.495999999999999</v>
      </c>
      <c r="CN907" s="398">
        <v>23.966000000000001</v>
      </c>
      <c r="CO907" s="398">
        <v>21.231999999999999</v>
      </c>
      <c r="CP907" s="398">
        <v>19.001999999999999</v>
      </c>
      <c r="CQ907" s="398">
        <v>17.05</v>
      </c>
      <c r="CR907" s="398">
        <v>7.7169999999999996</v>
      </c>
      <c r="CS907" s="398"/>
      <c r="CT907" s="398"/>
      <c r="CU907" s="398"/>
      <c r="CV907" s="398"/>
      <c r="CW907" s="398"/>
      <c r="CX907" s="398"/>
      <c r="CY907" s="398"/>
      <c r="CZ907" s="398"/>
      <c r="DA907" s="398"/>
      <c r="DB907" s="398"/>
      <c r="DC907" s="398"/>
      <c r="DD907" s="398"/>
      <c r="DE907" s="393"/>
      <c r="DF907" s="393"/>
      <c r="DG907" s="393"/>
      <c r="DH907" s="393"/>
      <c r="DI907" s="393"/>
      <c r="DJ907" s="393"/>
      <c r="DK907" s="897"/>
    </row>
    <row r="908" spans="1:115" ht="63.75" x14ac:dyDescent="0.2">
      <c r="A908" s="295">
        <v>904</v>
      </c>
      <c r="B908" s="390" t="s">
        <v>1181</v>
      </c>
      <c r="C908" s="424" t="s">
        <v>7598</v>
      </c>
      <c r="D908" s="391" t="s">
        <v>5134</v>
      </c>
      <c r="E908" s="704" t="s">
        <v>1182</v>
      </c>
      <c r="F908" s="393" t="s">
        <v>1375</v>
      </c>
      <c r="G908" s="393" t="s">
        <v>1361</v>
      </c>
      <c r="H908" s="393" t="s">
        <v>137</v>
      </c>
      <c r="I908" s="392"/>
      <c r="J908" s="392" t="s">
        <v>137</v>
      </c>
      <c r="K908" s="392"/>
      <c r="L908" s="392" t="s">
        <v>1183</v>
      </c>
      <c r="M908" s="392" t="s">
        <v>3325</v>
      </c>
      <c r="N908" s="393" t="s">
        <v>44</v>
      </c>
      <c r="O908" s="393" t="s">
        <v>1155</v>
      </c>
      <c r="P908" s="393" t="s">
        <v>1155</v>
      </c>
      <c r="Q908" s="392" t="s">
        <v>1155</v>
      </c>
      <c r="R908" s="392"/>
      <c r="S908" s="392" t="s">
        <v>650</v>
      </c>
      <c r="T908" s="394">
        <v>1</v>
      </c>
      <c r="U908" s="395">
        <v>93.647000000000006</v>
      </c>
      <c r="V908" s="395"/>
      <c r="W908" s="452">
        <v>41182</v>
      </c>
      <c r="X908" s="394">
        <v>28</v>
      </c>
      <c r="Y908" s="394"/>
      <c r="Z908" s="394"/>
      <c r="AA908" s="395"/>
      <c r="AB908" s="453"/>
      <c r="AC908" s="398">
        <v>0</v>
      </c>
      <c r="AD908" s="398">
        <v>468.49156712328772</v>
      </c>
      <c r="AE908" s="393" t="s">
        <v>397</v>
      </c>
      <c r="AF908" s="417"/>
      <c r="AG908" s="417"/>
      <c r="AH908" s="417">
        <v>0</v>
      </c>
      <c r="AI908" s="394"/>
      <c r="AJ908" s="453"/>
      <c r="AK908" s="453"/>
      <c r="AL908" s="393"/>
      <c r="AM908" s="393"/>
      <c r="AN908" s="417"/>
      <c r="AO908" s="392"/>
      <c r="AP908" s="392" t="s">
        <v>7051</v>
      </c>
      <c r="AQ908" s="392"/>
      <c r="AR908" s="392" t="s">
        <v>3784</v>
      </c>
      <c r="AS908" s="479">
        <v>40877</v>
      </c>
      <c r="AT908" s="453"/>
      <c r="AU908" s="453"/>
      <c r="AV908" s="452">
        <v>41096</v>
      </c>
      <c r="AW908" s="452">
        <v>41166</v>
      </c>
      <c r="AX908" s="452">
        <v>41216</v>
      </c>
      <c r="AY908" s="452">
        <v>41166</v>
      </c>
      <c r="AZ908" s="453"/>
      <c r="BA908" s="393"/>
      <c r="BB908" s="393" t="s">
        <v>3147</v>
      </c>
      <c r="BC908" s="393" t="b">
        <v>1</v>
      </c>
      <c r="BD908" s="393" t="s">
        <v>3147</v>
      </c>
      <c r="BE908" s="392"/>
      <c r="BF908" s="394">
        <v>9</v>
      </c>
      <c r="BG908" s="394">
        <v>5</v>
      </c>
      <c r="BH908" s="394">
        <v>10</v>
      </c>
      <c r="BI908" s="394"/>
      <c r="BJ908" s="394"/>
      <c r="BK908" s="394"/>
      <c r="BL908" s="444"/>
      <c r="BM908" s="392"/>
      <c r="BN908" s="393"/>
      <c r="BO908" s="393"/>
      <c r="BP908" s="399"/>
      <c r="BQ908" s="400"/>
      <c r="BR908" s="401"/>
      <c r="BS908" s="399">
        <v>50</v>
      </c>
      <c r="BT908" s="394"/>
      <c r="BU908" s="417"/>
      <c r="BV908" s="399"/>
      <c r="BW908" s="393"/>
      <c r="BX908" s="392"/>
      <c r="BY908" s="393"/>
      <c r="BZ908" s="393"/>
      <c r="CA908" s="441"/>
      <c r="CB908" s="400"/>
      <c r="CC908" s="398"/>
      <c r="CD908" s="398"/>
      <c r="CE908" s="398"/>
      <c r="CF908" s="398"/>
      <c r="CG908" s="398"/>
      <c r="CH908" s="398"/>
      <c r="CI908" s="398"/>
      <c r="CJ908" s="398"/>
      <c r="CK908" s="398"/>
      <c r="CL908" s="398"/>
      <c r="CM908" s="398"/>
      <c r="CN908" s="398"/>
      <c r="CO908" s="398"/>
      <c r="CP908" s="398"/>
      <c r="CQ908" s="398"/>
      <c r="CR908" s="398"/>
      <c r="CS908" s="398"/>
      <c r="CT908" s="398"/>
      <c r="CU908" s="398"/>
      <c r="CV908" s="398"/>
      <c r="CW908" s="398"/>
      <c r="CX908" s="398"/>
      <c r="CY908" s="398"/>
      <c r="CZ908" s="398"/>
      <c r="DA908" s="398"/>
      <c r="DB908" s="398"/>
      <c r="DC908" s="398"/>
      <c r="DD908" s="398"/>
      <c r="DE908" s="393"/>
      <c r="DF908" s="393"/>
      <c r="DG908" s="393"/>
      <c r="DH908" s="393"/>
      <c r="DI908" s="393"/>
      <c r="DJ908" s="393"/>
      <c r="DK908" s="896" t="s">
        <v>9731</v>
      </c>
    </row>
    <row r="909" spans="1:115" ht="25.5" x14ac:dyDescent="0.2">
      <c r="A909" s="295">
        <v>905</v>
      </c>
      <c r="B909" s="390" t="s">
        <v>2770</v>
      </c>
      <c r="C909" s="390"/>
      <c r="D909" s="391" t="s">
        <v>4250</v>
      </c>
      <c r="E909" s="704" t="s">
        <v>1184</v>
      </c>
      <c r="F909" s="393" t="s">
        <v>1375</v>
      </c>
      <c r="G909" s="393" t="s">
        <v>1361</v>
      </c>
      <c r="H909" s="393" t="s">
        <v>137</v>
      </c>
      <c r="I909" s="392"/>
      <c r="J909" s="392"/>
      <c r="K909" s="392" t="s">
        <v>2188</v>
      </c>
      <c r="L909" s="392" t="s">
        <v>1183</v>
      </c>
      <c r="M909" s="392"/>
      <c r="N909" s="393" t="s">
        <v>44</v>
      </c>
      <c r="O909" s="393" t="s">
        <v>1155</v>
      </c>
      <c r="P909" s="393" t="s">
        <v>1155</v>
      </c>
      <c r="Q909" s="392" t="s">
        <v>1155</v>
      </c>
      <c r="R909" s="392" t="s">
        <v>3326</v>
      </c>
      <c r="S909" s="392" t="s">
        <v>650</v>
      </c>
      <c r="T909" s="394">
        <v>1</v>
      </c>
      <c r="U909" s="395">
        <v>93.647000000000006</v>
      </c>
      <c r="V909" s="395"/>
      <c r="W909" s="453"/>
      <c r="X909" s="394"/>
      <c r="Y909" s="394">
        <v>7</v>
      </c>
      <c r="Z909" s="394">
        <v>20</v>
      </c>
      <c r="AA909" s="395">
        <v>0</v>
      </c>
      <c r="AB909" s="452">
        <v>42370</v>
      </c>
      <c r="AC909" s="398">
        <v>0</v>
      </c>
      <c r="AD909" s="398">
        <v>468.49156712328772</v>
      </c>
      <c r="AE909" s="393" t="s">
        <v>397</v>
      </c>
      <c r="AF909" s="417"/>
      <c r="AG909" s="417"/>
      <c r="AH909" s="417"/>
      <c r="AI909" s="394"/>
      <c r="AJ909" s="453"/>
      <c r="AK909" s="453"/>
      <c r="AL909" s="393"/>
      <c r="AM909" s="393"/>
      <c r="AN909" s="417"/>
      <c r="AO909" s="392"/>
      <c r="AP909" s="392" t="s">
        <v>7051</v>
      </c>
      <c r="AQ909" s="392"/>
      <c r="AR909" s="392" t="s">
        <v>3784</v>
      </c>
      <c r="AS909" s="479">
        <v>40877</v>
      </c>
      <c r="AT909" s="453"/>
      <c r="AU909" s="453"/>
      <c r="AV909" s="453"/>
      <c r="AW909" s="453"/>
      <c r="AX909" s="453"/>
      <c r="AY909" s="453"/>
      <c r="AZ909" s="452">
        <v>41166</v>
      </c>
      <c r="BA909" s="393"/>
      <c r="BB909" s="393"/>
      <c r="BC909" s="393" t="b">
        <v>0</v>
      </c>
      <c r="BD909" s="393"/>
      <c r="BE909" s="392"/>
      <c r="BF909" s="394">
        <v>1</v>
      </c>
      <c r="BG909" s="394">
        <v>11</v>
      </c>
      <c r="BH909" s="394">
        <v>5</v>
      </c>
      <c r="BI909" s="394">
        <v>9</v>
      </c>
      <c r="BJ909" s="394">
        <v>8</v>
      </c>
      <c r="BK909" s="394"/>
      <c r="BL909" s="444" t="s">
        <v>6982</v>
      </c>
      <c r="BM909" s="392" t="s">
        <v>3327</v>
      </c>
      <c r="BN909" s="393" t="s">
        <v>3288</v>
      </c>
      <c r="BO909" s="393"/>
      <c r="BP909" s="399"/>
      <c r="BQ909" s="400"/>
      <c r="BR909" s="401"/>
      <c r="BS909" s="399">
        <v>50</v>
      </c>
      <c r="BT909" s="394">
        <v>94870</v>
      </c>
      <c r="BU909" s="417">
        <v>0.98702500000000004</v>
      </c>
      <c r="BV909" s="399"/>
      <c r="BW909" s="393" t="s">
        <v>3117</v>
      </c>
      <c r="BX909" s="392" t="s">
        <v>1447</v>
      </c>
      <c r="BY909" s="393"/>
      <c r="BZ909" s="393"/>
      <c r="CA909" s="441" t="s">
        <v>1662</v>
      </c>
      <c r="CB909" s="400">
        <v>3</v>
      </c>
      <c r="CC909" s="398"/>
      <c r="CD909" s="398"/>
      <c r="CE909" s="398"/>
      <c r="CF909" s="398"/>
      <c r="CG909" s="398"/>
      <c r="CH909" s="398"/>
      <c r="CI909" s="398"/>
      <c r="CJ909" s="398"/>
      <c r="CK909" s="398">
        <v>93.674000000000007</v>
      </c>
      <c r="CL909" s="398">
        <v>93.674000000000007</v>
      </c>
      <c r="CM909" s="398">
        <v>93.674000000000007</v>
      </c>
      <c r="CN909" s="398">
        <v>93.674000000000007</v>
      </c>
      <c r="CO909" s="398">
        <v>93.674000000000007</v>
      </c>
      <c r="CP909" s="398">
        <v>93.674000000000007</v>
      </c>
      <c r="CQ909" s="398">
        <v>93.674000000000007</v>
      </c>
      <c r="CR909" s="398"/>
      <c r="CS909" s="398"/>
      <c r="CT909" s="398"/>
      <c r="CU909" s="398"/>
      <c r="CV909" s="398"/>
      <c r="CW909" s="398"/>
      <c r="CX909" s="398"/>
      <c r="CY909" s="398"/>
      <c r="CZ909" s="398"/>
      <c r="DA909" s="398"/>
      <c r="DB909" s="398"/>
      <c r="DC909" s="398"/>
      <c r="DD909" s="398"/>
      <c r="DE909" s="393"/>
      <c r="DF909" s="393"/>
      <c r="DG909" s="393"/>
      <c r="DH909" s="393"/>
      <c r="DI909" s="393"/>
      <c r="DJ909" s="393"/>
      <c r="DK909" s="897"/>
    </row>
    <row r="910" spans="1:115" ht="51" x14ac:dyDescent="0.2">
      <c r="A910" s="295">
        <v>906</v>
      </c>
      <c r="B910" s="390" t="s">
        <v>989</v>
      </c>
      <c r="C910" s="424" t="s">
        <v>7599</v>
      </c>
      <c r="D910" s="391"/>
      <c r="E910" s="707" t="s">
        <v>990</v>
      </c>
      <c r="F910" s="404" t="s">
        <v>1375</v>
      </c>
      <c r="G910" s="404" t="s">
        <v>1670</v>
      </c>
      <c r="H910" s="404" t="s">
        <v>991</v>
      </c>
      <c r="I910" s="403" t="s">
        <v>1378</v>
      </c>
      <c r="J910" s="403" t="s">
        <v>2191</v>
      </c>
      <c r="K910" s="403"/>
      <c r="L910" s="403" t="s">
        <v>992</v>
      </c>
      <c r="M910" s="403" t="s">
        <v>3328</v>
      </c>
      <c r="N910" s="404" t="s">
        <v>3142</v>
      </c>
      <c r="O910" s="404" t="s">
        <v>51</v>
      </c>
      <c r="P910" s="404" t="s">
        <v>51</v>
      </c>
      <c r="Q910" s="403" t="s">
        <v>976</v>
      </c>
      <c r="R910" s="403"/>
      <c r="S910" s="403" t="s">
        <v>977</v>
      </c>
      <c r="T910" s="405">
        <v>1</v>
      </c>
      <c r="U910" s="406">
        <v>45.209000000000003</v>
      </c>
      <c r="V910" s="406"/>
      <c r="W910" s="456">
        <v>41091</v>
      </c>
      <c r="X910" s="405">
        <v>28</v>
      </c>
      <c r="Y910" s="405"/>
      <c r="Z910" s="405"/>
      <c r="AA910" s="406"/>
      <c r="AB910" s="455"/>
      <c r="AC910" s="407">
        <v>22.740127000000001</v>
      </c>
      <c r="AD910" s="407">
        <v>384.58615068493151</v>
      </c>
      <c r="AE910" s="404" t="s">
        <v>96</v>
      </c>
      <c r="AF910" s="418"/>
      <c r="AG910" s="418"/>
      <c r="AH910" s="418">
        <v>0</v>
      </c>
      <c r="AI910" s="405"/>
      <c r="AJ910" s="455"/>
      <c r="AK910" s="455"/>
      <c r="AL910" s="404"/>
      <c r="AM910" s="404"/>
      <c r="AN910" s="418"/>
      <c r="AO910" s="403"/>
      <c r="AP910" s="403" t="s">
        <v>55</v>
      </c>
      <c r="AQ910" s="403"/>
      <c r="AR910" s="403" t="s">
        <v>988</v>
      </c>
      <c r="AS910" s="482">
        <v>40880</v>
      </c>
      <c r="AT910" s="455"/>
      <c r="AU910" s="455"/>
      <c r="AV910" s="455"/>
      <c r="AW910" s="455"/>
      <c r="AX910" s="455"/>
      <c r="AY910" s="455"/>
      <c r="AZ910" s="455"/>
      <c r="BA910" s="404"/>
      <c r="BB910" s="404" t="s">
        <v>3116</v>
      </c>
      <c r="BC910" s="404" t="b">
        <v>0</v>
      </c>
      <c r="BD910" s="404" t="s">
        <v>3147</v>
      </c>
      <c r="BE910" s="403"/>
      <c r="BF910" s="405">
        <v>8</v>
      </c>
      <c r="BG910" s="405">
        <v>1</v>
      </c>
      <c r="BH910" s="405">
        <v>6</v>
      </c>
      <c r="BI910" s="405">
        <v>9</v>
      </c>
      <c r="BJ910" s="405">
        <v>5</v>
      </c>
      <c r="BK910" s="405">
        <v>11</v>
      </c>
      <c r="BL910" s="446"/>
      <c r="BM910" s="403"/>
      <c r="BN910" s="404"/>
      <c r="BO910" s="404"/>
      <c r="BP910" s="408"/>
      <c r="BQ910" s="409"/>
      <c r="BR910" s="410"/>
      <c r="BS910" s="408">
        <v>0</v>
      </c>
      <c r="BT910" s="405"/>
      <c r="BU910" s="418"/>
      <c r="BV910" s="408"/>
      <c r="BW910" s="404"/>
      <c r="BX910" s="403"/>
      <c r="BY910" s="404"/>
      <c r="BZ910" s="404"/>
      <c r="CA910" s="443"/>
      <c r="CB910" s="409"/>
      <c r="CC910" s="407"/>
      <c r="CD910" s="407"/>
      <c r="CE910" s="407"/>
      <c r="CF910" s="407"/>
      <c r="CG910" s="407"/>
      <c r="CH910" s="407"/>
      <c r="CI910" s="407"/>
      <c r="CJ910" s="407"/>
      <c r="CK910" s="407"/>
      <c r="CL910" s="407"/>
      <c r="CM910" s="407"/>
      <c r="CN910" s="407"/>
      <c r="CO910" s="407"/>
      <c r="CP910" s="407"/>
      <c r="CQ910" s="407"/>
      <c r="CR910" s="407"/>
      <c r="CS910" s="407"/>
      <c r="CT910" s="407"/>
      <c r="CU910" s="407"/>
      <c r="CV910" s="407"/>
      <c r="CW910" s="407"/>
      <c r="CX910" s="407"/>
      <c r="CY910" s="407"/>
      <c r="CZ910" s="407"/>
      <c r="DA910" s="407"/>
      <c r="DB910" s="407"/>
      <c r="DC910" s="407"/>
      <c r="DD910" s="407"/>
      <c r="DE910" s="404"/>
      <c r="DF910" s="404"/>
      <c r="DG910" s="404"/>
      <c r="DH910" s="404"/>
      <c r="DI910" s="404"/>
      <c r="DJ910" s="404"/>
      <c r="DK910" s="897"/>
    </row>
    <row r="911" spans="1:115" ht="25.5" x14ac:dyDescent="0.2">
      <c r="A911" s="295">
        <v>907</v>
      </c>
      <c r="B911" s="390" t="s">
        <v>2771</v>
      </c>
      <c r="C911" s="390"/>
      <c r="D911" s="391"/>
      <c r="E911" s="707" t="s">
        <v>993</v>
      </c>
      <c r="F911" s="404" t="s">
        <v>1375</v>
      </c>
      <c r="G911" s="404" t="s">
        <v>1670</v>
      </c>
      <c r="H911" s="404" t="s">
        <v>991</v>
      </c>
      <c r="I911" s="403"/>
      <c r="J911" s="403"/>
      <c r="K911" s="403" t="s">
        <v>994</v>
      </c>
      <c r="L911" s="403" t="s">
        <v>992</v>
      </c>
      <c r="M911" s="403"/>
      <c r="N911" s="404" t="s">
        <v>3142</v>
      </c>
      <c r="O911" s="404" t="s">
        <v>51</v>
      </c>
      <c r="P911" s="404" t="s">
        <v>51</v>
      </c>
      <c r="Q911" s="403" t="s">
        <v>976</v>
      </c>
      <c r="R911" s="403" t="s">
        <v>3329</v>
      </c>
      <c r="S911" s="403" t="s">
        <v>977</v>
      </c>
      <c r="T911" s="405">
        <v>1</v>
      </c>
      <c r="U911" s="406">
        <v>45.209000000000003</v>
      </c>
      <c r="V911" s="406"/>
      <c r="W911" s="455"/>
      <c r="X911" s="405"/>
      <c r="Y911" s="405">
        <v>7</v>
      </c>
      <c r="Z911" s="405">
        <v>21</v>
      </c>
      <c r="AA911" s="406">
        <v>0</v>
      </c>
      <c r="AB911" s="456">
        <v>41091</v>
      </c>
      <c r="AC911" s="407">
        <v>22.740127000000001</v>
      </c>
      <c r="AD911" s="407">
        <v>384.58615068493151</v>
      </c>
      <c r="AE911" s="404" t="s">
        <v>96</v>
      </c>
      <c r="AF911" s="418"/>
      <c r="AG911" s="418"/>
      <c r="AH911" s="418"/>
      <c r="AI911" s="405"/>
      <c r="AJ911" s="455"/>
      <c r="AK911" s="455"/>
      <c r="AL911" s="404"/>
      <c r="AM911" s="404"/>
      <c r="AN911" s="418"/>
      <c r="AO911" s="403"/>
      <c r="AP911" s="403" t="s">
        <v>55</v>
      </c>
      <c r="AQ911" s="403"/>
      <c r="AR911" s="403" t="s">
        <v>988</v>
      </c>
      <c r="AS911" s="482">
        <v>40880</v>
      </c>
      <c r="AT911" s="455"/>
      <c r="AU911" s="455"/>
      <c r="AV911" s="455"/>
      <c r="AW911" s="455"/>
      <c r="AX911" s="455"/>
      <c r="AY911" s="455"/>
      <c r="AZ911" s="455"/>
      <c r="BA911" s="404"/>
      <c r="BB911" s="404"/>
      <c r="BC911" s="404" t="b">
        <v>0</v>
      </c>
      <c r="BD911" s="404"/>
      <c r="BE911" s="403"/>
      <c r="BF911" s="405">
        <v>8</v>
      </c>
      <c r="BG911" s="405">
        <v>1</v>
      </c>
      <c r="BH911" s="405">
        <v>6</v>
      </c>
      <c r="BI911" s="405">
        <v>9</v>
      </c>
      <c r="BJ911" s="405">
        <v>5</v>
      </c>
      <c r="BK911" s="405">
        <v>11</v>
      </c>
      <c r="BL911" s="446" t="s">
        <v>1451</v>
      </c>
      <c r="BM911" s="403" t="s">
        <v>3330</v>
      </c>
      <c r="BN911" s="404" t="s">
        <v>3303</v>
      </c>
      <c r="BO911" s="404"/>
      <c r="BP911" s="408"/>
      <c r="BQ911" s="409"/>
      <c r="BR911" s="410"/>
      <c r="BS911" s="408"/>
      <c r="BT911" s="405"/>
      <c r="BU911" s="418"/>
      <c r="BV911" s="408">
        <v>180</v>
      </c>
      <c r="BW911" s="404" t="s">
        <v>3117</v>
      </c>
      <c r="BX911" s="403" t="s">
        <v>3177</v>
      </c>
      <c r="BY911" s="404"/>
      <c r="BZ911" s="404"/>
      <c r="CA911" s="443"/>
      <c r="CB911" s="409"/>
      <c r="CC911" s="407"/>
      <c r="CD911" s="407"/>
      <c r="CE911" s="407"/>
      <c r="CF911" s="407"/>
      <c r="CG911" s="407"/>
      <c r="CH911" s="407">
        <v>23.96077</v>
      </c>
      <c r="CI911" s="407">
        <v>45.209000000000003</v>
      </c>
      <c r="CJ911" s="407">
        <v>45.209000000000003</v>
      </c>
      <c r="CK911" s="407">
        <v>45.209000000000003</v>
      </c>
      <c r="CL911" s="407">
        <v>45.209000000000003</v>
      </c>
      <c r="CM911" s="407">
        <v>45.209000000000003</v>
      </c>
      <c r="CN911" s="407">
        <v>45.209000000000003</v>
      </c>
      <c r="CO911" s="407">
        <v>23.96077</v>
      </c>
      <c r="CP911" s="407"/>
      <c r="CQ911" s="407"/>
      <c r="CR911" s="407"/>
      <c r="CS911" s="407"/>
      <c r="CT911" s="407"/>
      <c r="CU911" s="407"/>
      <c r="CV911" s="407"/>
      <c r="CW911" s="407"/>
      <c r="CX911" s="407"/>
      <c r="CY911" s="407"/>
      <c r="CZ911" s="407"/>
      <c r="DA911" s="407"/>
      <c r="DB911" s="407"/>
      <c r="DC911" s="407"/>
      <c r="DD911" s="407"/>
      <c r="DE911" s="404"/>
      <c r="DF911" s="404"/>
      <c r="DG911" s="404"/>
      <c r="DH911" s="404"/>
      <c r="DI911" s="404"/>
      <c r="DJ911" s="404"/>
      <c r="DK911" s="897"/>
    </row>
    <row r="912" spans="1:115" ht="51" x14ac:dyDescent="0.2">
      <c r="A912" s="295">
        <v>908</v>
      </c>
      <c r="B912" s="390" t="s">
        <v>883</v>
      </c>
      <c r="C912" s="424" t="s">
        <v>7600</v>
      </c>
      <c r="D912" s="391" t="s">
        <v>5135</v>
      </c>
      <c r="E912" s="704" t="s">
        <v>884</v>
      </c>
      <c r="F912" s="393" t="s">
        <v>1375</v>
      </c>
      <c r="G912" s="393" t="s">
        <v>1361</v>
      </c>
      <c r="H912" s="393" t="s">
        <v>137</v>
      </c>
      <c r="I912" s="392"/>
      <c r="J912" s="392" t="s">
        <v>137</v>
      </c>
      <c r="K912" s="392"/>
      <c r="L912" s="392" t="s">
        <v>885</v>
      </c>
      <c r="M912" s="392" t="s">
        <v>3331</v>
      </c>
      <c r="N912" s="393" t="s">
        <v>44</v>
      </c>
      <c r="O912" s="393" t="s">
        <v>827</v>
      </c>
      <c r="P912" s="393" t="s">
        <v>827</v>
      </c>
      <c r="Q912" s="392" t="s">
        <v>836</v>
      </c>
      <c r="R912" s="392"/>
      <c r="S912" s="392" t="s">
        <v>291</v>
      </c>
      <c r="T912" s="394">
        <v>1</v>
      </c>
      <c r="U912" s="395">
        <v>11.191000000000001</v>
      </c>
      <c r="V912" s="395"/>
      <c r="W912" s="452">
        <v>40883</v>
      </c>
      <c r="X912" s="394">
        <v>28</v>
      </c>
      <c r="Y912" s="394"/>
      <c r="Z912" s="394"/>
      <c r="AA912" s="395"/>
      <c r="AB912" s="453"/>
      <c r="AC912" s="398">
        <v>0</v>
      </c>
      <c r="AD912" s="398">
        <v>111.91000000000001</v>
      </c>
      <c r="AE912" s="393" t="s">
        <v>72</v>
      </c>
      <c r="AF912" s="417"/>
      <c r="AG912" s="417"/>
      <c r="AH912" s="417">
        <v>0</v>
      </c>
      <c r="AI912" s="394"/>
      <c r="AJ912" s="453"/>
      <c r="AK912" s="453"/>
      <c r="AL912" s="393"/>
      <c r="AM912" s="393"/>
      <c r="AN912" s="417"/>
      <c r="AO912" s="392"/>
      <c r="AP912" s="392" t="s">
        <v>7084</v>
      </c>
      <c r="AQ912" s="392"/>
      <c r="AR912" s="392" t="s">
        <v>1617</v>
      </c>
      <c r="AS912" s="479">
        <v>40883</v>
      </c>
      <c r="AT912" s="453"/>
      <c r="AU912" s="453"/>
      <c r="AV912" s="452">
        <v>41137</v>
      </c>
      <c r="AW912" s="452">
        <v>41266</v>
      </c>
      <c r="AX912" s="452">
        <v>41362</v>
      </c>
      <c r="AY912" s="452">
        <v>41267</v>
      </c>
      <c r="AZ912" s="453"/>
      <c r="BA912" s="393"/>
      <c r="BB912" s="393" t="s">
        <v>3147</v>
      </c>
      <c r="BC912" s="393" t="b">
        <v>0</v>
      </c>
      <c r="BD912" s="393" t="s">
        <v>3147</v>
      </c>
      <c r="BE912" s="392"/>
      <c r="BF912" s="394">
        <v>10</v>
      </c>
      <c r="BG912" s="394">
        <v>5</v>
      </c>
      <c r="BH912" s="394"/>
      <c r="BI912" s="394"/>
      <c r="BJ912" s="394"/>
      <c r="BK912" s="394"/>
      <c r="BL912" s="444"/>
      <c r="BM912" s="392"/>
      <c r="BN912" s="393"/>
      <c r="BO912" s="393"/>
      <c r="BP912" s="399"/>
      <c r="BQ912" s="400"/>
      <c r="BR912" s="401"/>
      <c r="BS912" s="399">
        <v>5.9443999999999999</v>
      </c>
      <c r="BT912" s="394"/>
      <c r="BU912" s="417"/>
      <c r="BV912" s="399"/>
      <c r="BW912" s="393"/>
      <c r="BX912" s="392"/>
      <c r="BY912" s="475" t="s">
        <v>7224</v>
      </c>
      <c r="BZ912" s="393"/>
      <c r="CA912" s="441"/>
      <c r="CB912" s="400"/>
      <c r="CC912" s="398"/>
      <c r="CD912" s="398"/>
      <c r="CE912" s="398"/>
      <c r="CF912" s="398"/>
      <c r="CG912" s="398"/>
      <c r="CH912" s="398"/>
      <c r="CI912" s="398"/>
      <c r="CJ912" s="398"/>
      <c r="CK912" s="398"/>
      <c r="CL912" s="398"/>
      <c r="CM912" s="398"/>
      <c r="CN912" s="398"/>
      <c r="CO912" s="398"/>
      <c r="CP912" s="398"/>
      <c r="CQ912" s="398"/>
      <c r="CR912" s="398"/>
      <c r="CS912" s="398"/>
      <c r="CT912" s="398"/>
      <c r="CU912" s="398"/>
      <c r="CV912" s="398"/>
      <c r="CW912" s="398"/>
      <c r="CX912" s="398"/>
      <c r="CY912" s="398"/>
      <c r="CZ912" s="398"/>
      <c r="DA912" s="398"/>
      <c r="DB912" s="398"/>
      <c r="DC912" s="398"/>
      <c r="DD912" s="398"/>
      <c r="DE912" s="393"/>
      <c r="DF912" s="393"/>
      <c r="DG912" s="393"/>
      <c r="DH912" s="393"/>
      <c r="DI912" s="393"/>
      <c r="DJ912" s="393"/>
      <c r="DK912" s="896" t="s">
        <v>9701</v>
      </c>
    </row>
    <row r="913" spans="1:115" ht="25.5" x14ac:dyDescent="0.2">
      <c r="A913" s="295">
        <v>909</v>
      </c>
      <c r="B913" s="390" t="s">
        <v>2772</v>
      </c>
      <c r="C913" s="390"/>
      <c r="D913" s="391" t="s">
        <v>4613</v>
      </c>
      <c r="E913" s="704" t="s">
        <v>886</v>
      </c>
      <c r="F913" s="393" t="s">
        <v>1375</v>
      </c>
      <c r="G913" s="393" t="s">
        <v>1361</v>
      </c>
      <c r="H913" s="393" t="s">
        <v>137</v>
      </c>
      <c r="I913" s="392"/>
      <c r="J913" s="392"/>
      <c r="K913" s="392" t="s">
        <v>2184</v>
      </c>
      <c r="L913" s="392" t="s">
        <v>885</v>
      </c>
      <c r="M913" s="392"/>
      <c r="N913" s="393" t="s">
        <v>44</v>
      </c>
      <c r="O913" s="393" t="s">
        <v>827</v>
      </c>
      <c r="P913" s="393" t="s">
        <v>827</v>
      </c>
      <c r="Q913" s="392" t="s">
        <v>836</v>
      </c>
      <c r="R913" s="392" t="s">
        <v>3332</v>
      </c>
      <c r="S913" s="392" t="s">
        <v>291</v>
      </c>
      <c r="T913" s="394">
        <v>1</v>
      </c>
      <c r="U913" s="395">
        <v>11.191000000000001</v>
      </c>
      <c r="V913" s="395"/>
      <c r="W913" s="453"/>
      <c r="X913" s="394"/>
      <c r="Y913" s="394">
        <v>10</v>
      </c>
      <c r="Z913" s="394">
        <v>20</v>
      </c>
      <c r="AA913" s="395">
        <v>0</v>
      </c>
      <c r="AB913" s="452">
        <v>41267</v>
      </c>
      <c r="AC913" s="398">
        <v>0</v>
      </c>
      <c r="AD913" s="398">
        <v>111.91000000000001</v>
      </c>
      <c r="AE913" s="393" t="s">
        <v>72</v>
      </c>
      <c r="AF913" s="417"/>
      <c r="AG913" s="417"/>
      <c r="AH913" s="417"/>
      <c r="AI913" s="394"/>
      <c r="AJ913" s="453"/>
      <c r="AK913" s="453"/>
      <c r="AL913" s="393"/>
      <c r="AM913" s="393"/>
      <c r="AN913" s="417"/>
      <c r="AO913" s="392"/>
      <c r="AP913" s="392" t="s">
        <v>7084</v>
      </c>
      <c r="AQ913" s="392"/>
      <c r="AR913" s="392" t="s">
        <v>1617</v>
      </c>
      <c r="AS913" s="479">
        <v>40883</v>
      </c>
      <c r="AT913" s="453"/>
      <c r="AU913" s="453"/>
      <c r="AV913" s="453"/>
      <c r="AW913" s="453"/>
      <c r="AX913" s="453"/>
      <c r="AY913" s="453"/>
      <c r="AZ913" s="452">
        <v>41267</v>
      </c>
      <c r="BA913" s="393"/>
      <c r="BB913" s="393"/>
      <c r="BC913" s="393" t="b">
        <v>0</v>
      </c>
      <c r="BD913" s="393"/>
      <c r="BE913" s="392"/>
      <c r="BF913" s="394">
        <v>10</v>
      </c>
      <c r="BG913" s="394">
        <v>5</v>
      </c>
      <c r="BH913" s="394"/>
      <c r="BI913" s="394"/>
      <c r="BJ913" s="394"/>
      <c r="BK913" s="394"/>
      <c r="BL913" s="444" t="s">
        <v>6981</v>
      </c>
      <c r="BM913" s="392"/>
      <c r="BN913" s="393"/>
      <c r="BO913" s="393"/>
      <c r="BP913" s="399"/>
      <c r="BQ913" s="400"/>
      <c r="BR913" s="401"/>
      <c r="BS913" s="399">
        <v>5.9443999999999999</v>
      </c>
      <c r="BT913" s="394">
        <v>11482</v>
      </c>
      <c r="BU913" s="417">
        <v>0.97099999999999997</v>
      </c>
      <c r="BV913" s="399"/>
      <c r="BW913" s="393" t="s">
        <v>3117</v>
      </c>
      <c r="BX913" s="392" t="s">
        <v>3172</v>
      </c>
      <c r="BY913" s="475" t="s">
        <v>7224</v>
      </c>
      <c r="BZ913" s="393"/>
      <c r="CA913" s="441"/>
      <c r="CB913" s="400"/>
      <c r="CC913" s="398"/>
      <c r="CD913" s="398"/>
      <c r="CE913" s="398"/>
      <c r="CF913" s="398"/>
      <c r="CG913" s="398"/>
      <c r="CH913" s="398"/>
      <c r="CI913" s="398"/>
      <c r="CJ913" s="398"/>
      <c r="CK913" s="398">
        <v>11.191000000000001</v>
      </c>
      <c r="CL913" s="398">
        <v>11.191000000000001</v>
      </c>
      <c r="CM913" s="398">
        <v>11.191000000000001</v>
      </c>
      <c r="CN913" s="398">
        <v>11.191000000000001</v>
      </c>
      <c r="CO913" s="398">
        <v>11.191000000000001</v>
      </c>
      <c r="CP913" s="398">
        <v>11.191000000000001</v>
      </c>
      <c r="CQ913" s="398">
        <v>11.191000000000001</v>
      </c>
      <c r="CR913" s="398">
        <v>11.191000000000001</v>
      </c>
      <c r="CS913" s="398">
        <v>11.191000000000001</v>
      </c>
      <c r="CT913" s="398">
        <v>11.191000000000001</v>
      </c>
      <c r="CU913" s="398"/>
      <c r="CV913" s="398"/>
      <c r="CW913" s="398"/>
      <c r="CX913" s="398"/>
      <c r="CY913" s="398"/>
      <c r="CZ913" s="398"/>
      <c r="DA913" s="398"/>
      <c r="DB913" s="398"/>
      <c r="DC913" s="398"/>
      <c r="DD913" s="398"/>
      <c r="DE913" s="393"/>
      <c r="DF913" s="393"/>
      <c r="DG913" s="393"/>
      <c r="DH913" s="393"/>
      <c r="DI913" s="393"/>
      <c r="DJ913" s="393"/>
      <c r="DK913" s="897"/>
    </row>
    <row r="914" spans="1:115" ht="51" x14ac:dyDescent="0.2">
      <c r="A914" s="295">
        <v>910</v>
      </c>
      <c r="B914" s="390" t="s">
        <v>981</v>
      </c>
      <c r="C914" s="424" t="s">
        <v>7601</v>
      </c>
      <c r="D914" s="391"/>
      <c r="E914" s="707" t="s">
        <v>982</v>
      </c>
      <c r="F914" s="404" t="s">
        <v>1375</v>
      </c>
      <c r="G914" s="404" t="s">
        <v>1668</v>
      </c>
      <c r="H914" s="404" t="s">
        <v>983</v>
      </c>
      <c r="I914" s="403"/>
      <c r="J914" s="403" t="s">
        <v>983</v>
      </c>
      <c r="K914" s="403"/>
      <c r="L914" s="403" t="s">
        <v>984</v>
      </c>
      <c r="M914" s="403" t="s">
        <v>3333</v>
      </c>
      <c r="N914" s="404" t="s">
        <v>3142</v>
      </c>
      <c r="O914" s="404" t="s">
        <v>51</v>
      </c>
      <c r="P914" s="404" t="s">
        <v>51</v>
      </c>
      <c r="Q914" s="403" t="s">
        <v>976</v>
      </c>
      <c r="R914" s="403"/>
      <c r="S914" s="403" t="s">
        <v>977</v>
      </c>
      <c r="T914" s="405">
        <v>1</v>
      </c>
      <c r="U914" s="406">
        <v>44.756</v>
      </c>
      <c r="V914" s="406"/>
      <c r="W914" s="456">
        <v>41091</v>
      </c>
      <c r="X914" s="405">
        <v>28</v>
      </c>
      <c r="Y914" s="405"/>
      <c r="Z914" s="405"/>
      <c r="AA914" s="406"/>
      <c r="AB914" s="455"/>
      <c r="AC914" s="407">
        <v>22.512267999999999</v>
      </c>
      <c r="AD914" s="407">
        <v>380.73254794520551</v>
      </c>
      <c r="AE914" s="404" t="s">
        <v>96</v>
      </c>
      <c r="AF914" s="418"/>
      <c r="AG914" s="418"/>
      <c r="AH914" s="418">
        <v>0</v>
      </c>
      <c r="AI914" s="405"/>
      <c r="AJ914" s="455"/>
      <c r="AK914" s="455"/>
      <c r="AL914" s="404"/>
      <c r="AM914" s="404"/>
      <c r="AN914" s="418"/>
      <c r="AO914" s="403"/>
      <c r="AP914" s="403" t="s">
        <v>7085</v>
      </c>
      <c r="AQ914" s="403"/>
      <c r="AR914" s="403" t="s">
        <v>985</v>
      </c>
      <c r="AS914" s="482">
        <v>40883</v>
      </c>
      <c r="AT914" s="456">
        <v>40920</v>
      </c>
      <c r="AU914" s="455"/>
      <c r="AV914" s="455"/>
      <c r="AW914" s="455"/>
      <c r="AX914" s="455"/>
      <c r="AY914" s="455"/>
      <c r="AZ914" s="455"/>
      <c r="BA914" s="404"/>
      <c r="BB914" s="404" t="s">
        <v>3116</v>
      </c>
      <c r="BC914" s="404" t="b">
        <v>0</v>
      </c>
      <c r="BD914" s="404" t="s">
        <v>3147</v>
      </c>
      <c r="BE914" s="403"/>
      <c r="BF914" s="405">
        <v>1</v>
      </c>
      <c r="BG914" s="405">
        <v>6</v>
      </c>
      <c r="BH914" s="405">
        <v>8</v>
      </c>
      <c r="BI914" s="405">
        <v>5</v>
      </c>
      <c r="BJ914" s="405">
        <v>11</v>
      </c>
      <c r="BK914" s="405"/>
      <c r="BL914" s="446"/>
      <c r="BM914" s="403"/>
      <c r="BN914" s="404"/>
      <c r="BO914" s="404"/>
      <c r="BP914" s="408"/>
      <c r="BQ914" s="409"/>
      <c r="BR914" s="410"/>
      <c r="BS914" s="408">
        <v>0</v>
      </c>
      <c r="BT914" s="405"/>
      <c r="BU914" s="418"/>
      <c r="BV914" s="408"/>
      <c r="BW914" s="404"/>
      <c r="BX914" s="403"/>
      <c r="BY914" s="404"/>
      <c r="BZ914" s="404"/>
      <c r="CA914" s="443"/>
      <c r="CB914" s="409"/>
      <c r="CC914" s="407"/>
      <c r="CD914" s="407"/>
      <c r="CE914" s="407"/>
      <c r="CF914" s="407"/>
      <c r="CG914" s="407"/>
      <c r="CH914" s="407"/>
      <c r="CI914" s="407"/>
      <c r="CJ914" s="407"/>
      <c r="CK914" s="407"/>
      <c r="CL914" s="407"/>
      <c r="CM914" s="407"/>
      <c r="CN914" s="407"/>
      <c r="CO914" s="407"/>
      <c r="CP914" s="407"/>
      <c r="CQ914" s="407"/>
      <c r="CR914" s="407"/>
      <c r="CS914" s="407"/>
      <c r="CT914" s="407"/>
      <c r="CU914" s="407"/>
      <c r="CV914" s="407"/>
      <c r="CW914" s="407"/>
      <c r="CX914" s="407"/>
      <c r="CY914" s="407"/>
      <c r="CZ914" s="407"/>
      <c r="DA914" s="407"/>
      <c r="DB914" s="407"/>
      <c r="DC914" s="407"/>
      <c r="DD914" s="407"/>
      <c r="DE914" s="404"/>
      <c r="DF914" s="404"/>
      <c r="DG914" s="404"/>
      <c r="DH914" s="404"/>
      <c r="DI914" s="404"/>
      <c r="DJ914" s="404"/>
      <c r="DK914" s="897"/>
    </row>
    <row r="915" spans="1:115" ht="25.5" x14ac:dyDescent="0.2">
      <c r="A915" s="295">
        <v>911</v>
      </c>
      <c r="B915" s="390" t="s">
        <v>2773</v>
      </c>
      <c r="C915" s="390"/>
      <c r="D915" s="391"/>
      <c r="E915" s="707" t="s">
        <v>986</v>
      </c>
      <c r="F915" s="404" t="s">
        <v>1375</v>
      </c>
      <c r="G915" s="404" t="s">
        <v>1668</v>
      </c>
      <c r="H915" s="404" t="s">
        <v>983</v>
      </c>
      <c r="I915" s="403"/>
      <c r="J915" s="403"/>
      <c r="K915" s="403" t="s">
        <v>2192</v>
      </c>
      <c r="L915" s="403" t="s">
        <v>984</v>
      </c>
      <c r="M915" s="403"/>
      <c r="N915" s="404" t="s">
        <v>3142</v>
      </c>
      <c r="O915" s="404" t="s">
        <v>51</v>
      </c>
      <c r="P915" s="404" t="s">
        <v>51</v>
      </c>
      <c r="Q915" s="403" t="s">
        <v>976</v>
      </c>
      <c r="R915" s="403" t="s">
        <v>3334</v>
      </c>
      <c r="S915" s="403" t="s">
        <v>977</v>
      </c>
      <c r="T915" s="405">
        <v>1</v>
      </c>
      <c r="U915" s="406">
        <v>44.756</v>
      </c>
      <c r="V915" s="406"/>
      <c r="W915" s="455"/>
      <c r="X915" s="405"/>
      <c r="Y915" s="405">
        <v>7</v>
      </c>
      <c r="Z915" s="405">
        <v>21</v>
      </c>
      <c r="AA915" s="406">
        <v>0</v>
      </c>
      <c r="AB915" s="456">
        <v>41091</v>
      </c>
      <c r="AC915" s="407">
        <v>22.512267999999999</v>
      </c>
      <c r="AD915" s="407">
        <v>380.73254794520551</v>
      </c>
      <c r="AE915" s="404" t="s">
        <v>96</v>
      </c>
      <c r="AF915" s="418"/>
      <c r="AG915" s="418"/>
      <c r="AH915" s="418"/>
      <c r="AI915" s="405"/>
      <c r="AJ915" s="455"/>
      <c r="AK915" s="455"/>
      <c r="AL915" s="404"/>
      <c r="AM915" s="404"/>
      <c r="AN915" s="418"/>
      <c r="AO915" s="403"/>
      <c r="AP915" s="403" t="s">
        <v>7085</v>
      </c>
      <c r="AQ915" s="403"/>
      <c r="AR915" s="403" t="s">
        <v>985</v>
      </c>
      <c r="AS915" s="482">
        <v>40883</v>
      </c>
      <c r="AT915" s="456">
        <v>40920</v>
      </c>
      <c r="AU915" s="455"/>
      <c r="AV915" s="455"/>
      <c r="AW915" s="455"/>
      <c r="AX915" s="455"/>
      <c r="AY915" s="455"/>
      <c r="AZ915" s="455"/>
      <c r="BA915" s="404"/>
      <c r="BB915" s="404"/>
      <c r="BC915" s="404" t="b">
        <v>0</v>
      </c>
      <c r="BD915" s="404"/>
      <c r="BE915" s="403"/>
      <c r="BF915" s="405">
        <v>1</v>
      </c>
      <c r="BG915" s="405">
        <v>6</v>
      </c>
      <c r="BH915" s="405">
        <v>8</v>
      </c>
      <c r="BI915" s="405">
        <v>5</v>
      </c>
      <c r="BJ915" s="405">
        <v>11</v>
      </c>
      <c r="BK915" s="405"/>
      <c r="BL915" s="446" t="s">
        <v>6982</v>
      </c>
      <c r="BM915" s="403"/>
      <c r="BN915" s="404"/>
      <c r="BO915" s="404"/>
      <c r="BP915" s="408"/>
      <c r="BQ915" s="409"/>
      <c r="BR915" s="410"/>
      <c r="BS915" s="408"/>
      <c r="BT915" s="405"/>
      <c r="BU915" s="418"/>
      <c r="BV915" s="408">
        <v>179.76</v>
      </c>
      <c r="BW915" s="404" t="s">
        <v>3117</v>
      </c>
      <c r="BX915" s="403" t="s">
        <v>3177</v>
      </c>
      <c r="BY915" s="404"/>
      <c r="BZ915" s="404"/>
      <c r="CA915" s="443"/>
      <c r="CB915" s="409"/>
      <c r="CC915" s="407"/>
      <c r="CD915" s="407"/>
      <c r="CE915" s="407"/>
      <c r="CF915" s="407"/>
      <c r="CG915" s="407"/>
      <c r="CH915" s="407">
        <v>22.378</v>
      </c>
      <c r="CI915" s="407">
        <v>44.756</v>
      </c>
      <c r="CJ915" s="407">
        <v>44.756</v>
      </c>
      <c r="CK915" s="407">
        <v>44.756</v>
      </c>
      <c r="CL915" s="407">
        <v>44.756</v>
      </c>
      <c r="CM915" s="407">
        <v>44.756</v>
      </c>
      <c r="CN915" s="407">
        <v>44.756</v>
      </c>
      <c r="CO915" s="407">
        <v>22.378</v>
      </c>
      <c r="CP915" s="407"/>
      <c r="CQ915" s="407"/>
      <c r="CR915" s="407"/>
      <c r="CS915" s="407"/>
      <c r="CT915" s="407"/>
      <c r="CU915" s="407"/>
      <c r="CV915" s="407"/>
      <c r="CW915" s="407"/>
      <c r="CX915" s="407"/>
      <c r="CY915" s="407"/>
      <c r="CZ915" s="407"/>
      <c r="DA915" s="407"/>
      <c r="DB915" s="407"/>
      <c r="DC915" s="407"/>
      <c r="DD915" s="407"/>
      <c r="DE915" s="404"/>
      <c r="DF915" s="404"/>
      <c r="DG915" s="404"/>
      <c r="DH915" s="404"/>
      <c r="DI915" s="404"/>
      <c r="DJ915" s="404"/>
      <c r="DK915" s="897"/>
    </row>
    <row r="916" spans="1:115" ht="25.5" x14ac:dyDescent="0.2">
      <c r="A916" s="295">
        <v>912</v>
      </c>
      <c r="B916" s="390" t="s">
        <v>348</v>
      </c>
      <c r="C916" s="424" t="s">
        <v>7602</v>
      </c>
      <c r="D916" s="391" t="s">
        <v>6204</v>
      </c>
      <c r="E916" s="704" t="s">
        <v>349</v>
      </c>
      <c r="F916" s="393" t="s">
        <v>1375</v>
      </c>
      <c r="G916" s="393" t="s">
        <v>998</v>
      </c>
      <c r="H916" s="393" t="s">
        <v>350</v>
      </c>
      <c r="I916" s="392"/>
      <c r="J916" s="392" t="s">
        <v>350</v>
      </c>
      <c r="K916" s="392"/>
      <c r="L916" s="392" t="s">
        <v>351</v>
      </c>
      <c r="M916" s="392" t="s">
        <v>3335</v>
      </c>
      <c r="N916" s="393" t="s">
        <v>44</v>
      </c>
      <c r="O916" s="393" t="s">
        <v>5491</v>
      </c>
      <c r="P916" s="393" t="s">
        <v>5030</v>
      </c>
      <c r="Q916" s="392" t="s">
        <v>1834</v>
      </c>
      <c r="R916" s="392"/>
      <c r="S916" s="392" t="s">
        <v>352</v>
      </c>
      <c r="T916" s="394">
        <v>9</v>
      </c>
      <c r="U916" s="395">
        <v>102.40900000000001</v>
      </c>
      <c r="V916" s="395"/>
      <c r="W916" s="452">
        <v>40886</v>
      </c>
      <c r="X916" s="394">
        <v>28</v>
      </c>
      <c r="Y916" s="394"/>
      <c r="Z916" s="394"/>
      <c r="AA916" s="395"/>
      <c r="AB916" s="453"/>
      <c r="AC916" s="398">
        <v>0</v>
      </c>
      <c r="AD916" s="398">
        <v>598.78878082191784</v>
      </c>
      <c r="AE916" s="393" t="s">
        <v>225</v>
      </c>
      <c r="AF916" s="417"/>
      <c r="AG916" s="417"/>
      <c r="AH916" s="417">
        <v>0</v>
      </c>
      <c r="AI916" s="394"/>
      <c r="AJ916" s="453"/>
      <c r="AK916" s="453"/>
      <c r="AL916" s="393"/>
      <c r="AM916" s="393"/>
      <c r="AN916" s="417"/>
      <c r="AO916" s="392"/>
      <c r="AP916" s="392" t="s">
        <v>7053</v>
      </c>
      <c r="AQ916" s="392"/>
      <c r="AR916" s="392" t="s">
        <v>274</v>
      </c>
      <c r="AS916" s="479">
        <v>40887</v>
      </c>
      <c r="AT916" s="453"/>
      <c r="AU916" s="453"/>
      <c r="AV916" s="452">
        <v>41263</v>
      </c>
      <c r="AW916" s="452">
        <v>41703</v>
      </c>
      <c r="AX916" s="452">
        <v>41823</v>
      </c>
      <c r="AY916" s="452">
        <v>41767</v>
      </c>
      <c r="AZ916" s="453"/>
      <c r="BA916" s="393"/>
      <c r="BB916" s="393" t="s">
        <v>3147</v>
      </c>
      <c r="BC916" s="393" t="b">
        <v>1</v>
      </c>
      <c r="BD916" s="393" t="s">
        <v>3147</v>
      </c>
      <c r="BE916" s="392"/>
      <c r="BF916" s="394">
        <v>10</v>
      </c>
      <c r="BG916" s="394">
        <v>9</v>
      </c>
      <c r="BH916" s="394">
        <v>5</v>
      </c>
      <c r="BI916" s="394">
        <v>8</v>
      </c>
      <c r="BJ916" s="394"/>
      <c r="BK916" s="394"/>
      <c r="BL916" s="444"/>
      <c r="BM916" s="392" t="s">
        <v>3330</v>
      </c>
      <c r="BN916" s="393" t="s">
        <v>3303</v>
      </c>
      <c r="BO916" s="393"/>
      <c r="BP916" s="399"/>
      <c r="BQ916" s="400"/>
      <c r="BR916" s="401"/>
      <c r="BS916" s="399">
        <v>33.035000000000004</v>
      </c>
      <c r="BT916" s="394"/>
      <c r="BU916" s="417"/>
      <c r="BV916" s="399"/>
      <c r="BW916" s="393"/>
      <c r="BX916" s="392"/>
      <c r="BY916" s="393"/>
      <c r="BZ916" s="393"/>
      <c r="CA916" s="441"/>
      <c r="CB916" s="400"/>
      <c r="CC916" s="398"/>
      <c r="CD916" s="398"/>
      <c r="CE916" s="398"/>
      <c r="CF916" s="398"/>
      <c r="CG916" s="398"/>
      <c r="CH916" s="398"/>
      <c r="CI916" s="398"/>
      <c r="CJ916" s="398"/>
      <c r="CK916" s="398"/>
      <c r="CL916" s="398"/>
      <c r="CM916" s="398"/>
      <c r="CN916" s="398"/>
      <c r="CO916" s="398"/>
      <c r="CP916" s="398"/>
      <c r="CQ916" s="398"/>
      <c r="CR916" s="398"/>
      <c r="CS916" s="398"/>
      <c r="CT916" s="398"/>
      <c r="CU916" s="398"/>
      <c r="CV916" s="398"/>
      <c r="CW916" s="398"/>
      <c r="CX916" s="398"/>
      <c r="CY916" s="398"/>
      <c r="CZ916" s="398"/>
      <c r="DA916" s="398"/>
      <c r="DB916" s="398"/>
      <c r="DC916" s="398"/>
      <c r="DD916" s="398"/>
      <c r="DE916" s="393"/>
      <c r="DF916" s="393"/>
      <c r="DG916" s="393"/>
      <c r="DH916" s="393"/>
      <c r="DI916" s="393"/>
      <c r="DJ916" s="393"/>
      <c r="DK916" s="896" t="s">
        <v>9703</v>
      </c>
    </row>
    <row r="917" spans="1:115" ht="25.5" x14ac:dyDescent="0.2">
      <c r="A917" s="295">
        <v>913</v>
      </c>
      <c r="B917" s="390" t="s">
        <v>2774</v>
      </c>
      <c r="C917" s="390"/>
      <c r="D917" s="391" t="s">
        <v>6209</v>
      </c>
      <c r="E917" s="704" t="s">
        <v>790</v>
      </c>
      <c r="F917" s="393" t="s">
        <v>1375</v>
      </c>
      <c r="G917" s="393" t="s">
        <v>998</v>
      </c>
      <c r="H917" s="393" t="s">
        <v>350</v>
      </c>
      <c r="I917" s="392"/>
      <c r="J917" s="392"/>
      <c r="K917" s="392" t="s">
        <v>2193</v>
      </c>
      <c r="L917" s="392" t="s">
        <v>351</v>
      </c>
      <c r="M917" s="392"/>
      <c r="N917" s="393" t="s">
        <v>44</v>
      </c>
      <c r="O917" s="393" t="s">
        <v>5491</v>
      </c>
      <c r="P917" s="393" t="s">
        <v>289</v>
      </c>
      <c r="Q917" s="392" t="s">
        <v>721</v>
      </c>
      <c r="R917" s="392" t="s">
        <v>3336</v>
      </c>
      <c r="S917" s="392" t="s">
        <v>352</v>
      </c>
      <c r="T917" s="394">
        <v>1</v>
      </c>
      <c r="U917" s="395">
        <v>28.321000000000002</v>
      </c>
      <c r="V917" s="395"/>
      <c r="W917" s="453"/>
      <c r="X917" s="394"/>
      <c r="Y917" s="394">
        <v>7</v>
      </c>
      <c r="Z917" s="394">
        <v>25</v>
      </c>
      <c r="AA917" s="395">
        <v>0</v>
      </c>
      <c r="AB917" s="452">
        <v>41275</v>
      </c>
      <c r="AC917" s="398">
        <v>0</v>
      </c>
      <c r="AD917" s="398">
        <v>226.64559178082192</v>
      </c>
      <c r="AE917" s="393" t="s">
        <v>225</v>
      </c>
      <c r="AF917" s="417"/>
      <c r="AG917" s="417"/>
      <c r="AH917" s="417"/>
      <c r="AI917" s="394"/>
      <c r="AJ917" s="453"/>
      <c r="AK917" s="453"/>
      <c r="AL917" s="393"/>
      <c r="AM917" s="393"/>
      <c r="AN917" s="417"/>
      <c r="AO917" s="392"/>
      <c r="AP917" s="392" t="s">
        <v>7053</v>
      </c>
      <c r="AQ917" s="392"/>
      <c r="AR917" s="392" t="s">
        <v>274</v>
      </c>
      <c r="AS917" s="479">
        <v>40887</v>
      </c>
      <c r="AT917" s="453"/>
      <c r="AU917" s="453"/>
      <c r="AV917" s="453"/>
      <c r="AW917" s="453"/>
      <c r="AX917" s="453"/>
      <c r="AY917" s="453"/>
      <c r="AZ917" s="452">
        <v>41767</v>
      </c>
      <c r="BA917" s="393"/>
      <c r="BB917" s="393"/>
      <c r="BC917" s="393" t="b">
        <v>0</v>
      </c>
      <c r="BD917" s="393"/>
      <c r="BE917" s="392"/>
      <c r="BF917" s="394">
        <v>10</v>
      </c>
      <c r="BG917" s="394">
        <v>9</v>
      </c>
      <c r="BH917" s="394">
        <v>5</v>
      </c>
      <c r="BI917" s="394">
        <v>8</v>
      </c>
      <c r="BJ917" s="394"/>
      <c r="BK917" s="394"/>
      <c r="BL917" s="444" t="s">
        <v>6982</v>
      </c>
      <c r="BM917" s="392"/>
      <c r="BN917" s="393"/>
      <c r="BO917" s="393"/>
      <c r="BP917" s="399"/>
      <c r="BQ917" s="400"/>
      <c r="BR917" s="401"/>
      <c r="BS917" s="399">
        <v>10.71</v>
      </c>
      <c r="BT917" s="394">
        <v>54000</v>
      </c>
      <c r="BU917" s="417">
        <v>0.52849999999999997</v>
      </c>
      <c r="BV917" s="399"/>
      <c r="BW917" s="393" t="s">
        <v>3117</v>
      </c>
      <c r="BX917" s="392" t="s">
        <v>3172</v>
      </c>
      <c r="BY917" s="393"/>
      <c r="BZ917" s="393"/>
      <c r="CA917" s="441"/>
      <c r="CB917" s="400"/>
      <c r="CC917" s="398"/>
      <c r="CD917" s="398"/>
      <c r="CE917" s="398"/>
      <c r="CF917" s="398"/>
      <c r="CG917" s="398"/>
      <c r="CH917" s="398"/>
      <c r="CI917" s="398">
        <v>29.151</v>
      </c>
      <c r="CJ917" s="398">
        <v>29.151</v>
      </c>
      <c r="CK917" s="398">
        <v>29.151</v>
      </c>
      <c r="CL917" s="398">
        <v>29.151</v>
      </c>
      <c r="CM917" s="398">
        <v>29.151</v>
      </c>
      <c r="CN917" s="398">
        <v>29.151</v>
      </c>
      <c r="CO917" s="398">
        <v>29.151</v>
      </c>
      <c r="CP917" s="398"/>
      <c r="CQ917" s="398"/>
      <c r="CR917" s="398"/>
      <c r="CS917" s="398"/>
      <c r="CT917" s="398"/>
      <c r="CU917" s="398"/>
      <c r="CV917" s="398"/>
      <c r="CW917" s="398"/>
      <c r="CX917" s="398"/>
      <c r="CY917" s="398"/>
      <c r="CZ917" s="398"/>
      <c r="DA917" s="398"/>
      <c r="DB917" s="398"/>
      <c r="DC917" s="398"/>
      <c r="DD917" s="398"/>
      <c r="DE917" s="393"/>
      <c r="DF917" s="393"/>
      <c r="DG917" s="393"/>
      <c r="DH917" s="393"/>
      <c r="DI917" s="393"/>
      <c r="DJ917" s="393"/>
      <c r="DK917" s="897"/>
    </row>
    <row r="918" spans="1:115" ht="15" x14ac:dyDescent="0.2">
      <c r="A918" s="295">
        <v>914</v>
      </c>
      <c r="B918" s="390" t="s">
        <v>6528</v>
      </c>
      <c r="C918" s="390"/>
      <c r="D918" s="391" t="s">
        <v>6205</v>
      </c>
      <c r="E918" s="704" t="s">
        <v>6206</v>
      </c>
      <c r="F918" s="393" t="s">
        <v>1375</v>
      </c>
      <c r="G918" s="393" t="s">
        <v>998</v>
      </c>
      <c r="H918" s="393" t="s">
        <v>350</v>
      </c>
      <c r="I918" s="392"/>
      <c r="J918" s="392"/>
      <c r="K918" s="392" t="s">
        <v>6207</v>
      </c>
      <c r="L918" s="392" t="s">
        <v>351</v>
      </c>
      <c r="M918" s="392"/>
      <c r="N918" s="393" t="s">
        <v>44</v>
      </c>
      <c r="O918" s="393" t="s">
        <v>5491</v>
      </c>
      <c r="P918" s="393" t="s">
        <v>827</v>
      </c>
      <c r="Q918" s="392" t="s">
        <v>836</v>
      </c>
      <c r="R918" s="392" t="s">
        <v>6208</v>
      </c>
      <c r="S918" s="392" t="s">
        <v>352</v>
      </c>
      <c r="T918" s="394">
        <v>1</v>
      </c>
      <c r="U918" s="395">
        <v>10.465</v>
      </c>
      <c r="V918" s="395"/>
      <c r="W918" s="453"/>
      <c r="X918" s="394"/>
      <c r="Y918" s="394">
        <v>7</v>
      </c>
      <c r="Z918" s="394">
        <v>25</v>
      </c>
      <c r="AA918" s="395">
        <v>0</v>
      </c>
      <c r="AB918" s="452">
        <v>41760</v>
      </c>
      <c r="AC918" s="398">
        <v>0</v>
      </c>
      <c r="AD918" s="398">
        <v>69.843123287671233</v>
      </c>
      <c r="AE918" s="393" t="s">
        <v>225</v>
      </c>
      <c r="AF918" s="417"/>
      <c r="AG918" s="417"/>
      <c r="AH918" s="417"/>
      <c r="AI918" s="394"/>
      <c r="AJ918" s="453"/>
      <c r="AK918" s="453"/>
      <c r="AL918" s="393"/>
      <c r="AM918" s="393"/>
      <c r="AN918" s="417"/>
      <c r="AO918" s="392"/>
      <c r="AP918" s="392" t="s">
        <v>7053</v>
      </c>
      <c r="AQ918" s="392"/>
      <c r="AR918" s="392" t="s">
        <v>274</v>
      </c>
      <c r="AS918" s="479">
        <v>40887</v>
      </c>
      <c r="AT918" s="453"/>
      <c r="AU918" s="453"/>
      <c r="AV918" s="453"/>
      <c r="AW918" s="453"/>
      <c r="AX918" s="453"/>
      <c r="AY918" s="453"/>
      <c r="AZ918" s="452">
        <v>41856</v>
      </c>
      <c r="BA918" s="393"/>
      <c r="BB918" s="393"/>
      <c r="BC918" s="393" t="b">
        <v>0</v>
      </c>
      <c r="BD918" s="393"/>
      <c r="BE918" s="392"/>
      <c r="BF918" s="394">
        <v>10</v>
      </c>
      <c r="BG918" s="394">
        <v>9</v>
      </c>
      <c r="BH918" s="394">
        <v>5</v>
      </c>
      <c r="BI918" s="394">
        <v>8</v>
      </c>
      <c r="BJ918" s="394"/>
      <c r="BK918" s="394"/>
      <c r="BL918" s="444" t="s">
        <v>6982</v>
      </c>
      <c r="BM918" s="392"/>
      <c r="BN918" s="393"/>
      <c r="BO918" s="393"/>
      <c r="BP918" s="399"/>
      <c r="BQ918" s="400"/>
      <c r="BR918" s="401"/>
      <c r="BS918" s="399">
        <v>5</v>
      </c>
      <c r="BT918" s="394">
        <v>14000</v>
      </c>
      <c r="BU918" s="417"/>
      <c r="BV918" s="399"/>
      <c r="BW918" s="393" t="s">
        <v>3117</v>
      </c>
      <c r="BX918" s="392"/>
      <c r="BY918" s="475" t="s">
        <v>7224</v>
      </c>
      <c r="BZ918" s="393"/>
      <c r="CA918" s="441"/>
      <c r="CB918" s="400"/>
      <c r="CC918" s="398"/>
      <c r="CD918" s="398"/>
      <c r="CE918" s="398"/>
      <c r="CF918" s="398"/>
      <c r="CG918" s="398"/>
      <c r="CH918" s="398"/>
      <c r="CI918" s="398"/>
      <c r="CJ918" s="398">
        <v>4.4850000000000003</v>
      </c>
      <c r="CK918" s="398">
        <v>8.9700000000000006</v>
      </c>
      <c r="CL918" s="398">
        <v>11.212999999999999</v>
      </c>
      <c r="CM918" s="398">
        <v>11.212999999999999</v>
      </c>
      <c r="CN918" s="398">
        <v>11.212999999999999</v>
      </c>
      <c r="CO918" s="398">
        <v>11.212999999999999</v>
      </c>
      <c r="CP918" s="398">
        <v>11.212999999999999</v>
      </c>
      <c r="CQ918" s="398"/>
      <c r="CR918" s="398"/>
      <c r="CS918" s="398"/>
      <c r="CT918" s="398"/>
      <c r="CU918" s="398"/>
      <c r="CV918" s="398"/>
      <c r="CW918" s="398"/>
      <c r="CX918" s="398"/>
      <c r="CY918" s="398"/>
      <c r="CZ918" s="398"/>
      <c r="DA918" s="398"/>
      <c r="DB918" s="398"/>
      <c r="DC918" s="398"/>
      <c r="DD918" s="398"/>
      <c r="DE918" s="393"/>
      <c r="DF918" s="393"/>
      <c r="DG918" s="393"/>
      <c r="DH918" s="393"/>
      <c r="DI918" s="393"/>
      <c r="DJ918" s="393"/>
      <c r="DK918" s="897"/>
    </row>
    <row r="919" spans="1:115" ht="38.25" x14ac:dyDescent="0.2">
      <c r="A919" s="295">
        <v>915</v>
      </c>
      <c r="B919" s="390" t="s">
        <v>7318</v>
      </c>
      <c r="C919" s="390"/>
      <c r="D919" s="391" t="s">
        <v>7319</v>
      </c>
      <c r="E919" s="705" t="s">
        <v>7324</v>
      </c>
      <c r="F919" s="393" t="s">
        <v>1375</v>
      </c>
      <c r="G919" s="393" t="s">
        <v>998</v>
      </c>
      <c r="H919" s="475" t="s">
        <v>350</v>
      </c>
      <c r="I919" s="392"/>
      <c r="J919" s="392"/>
      <c r="K919" s="428" t="s">
        <v>7327</v>
      </c>
      <c r="L919" s="428" t="s">
        <v>351</v>
      </c>
      <c r="M919" s="392"/>
      <c r="N919" s="475" t="s">
        <v>44</v>
      </c>
      <c r="O919" s="475" t="s">
        <v>5491</v>
      </c>
      <c r="P919" s="475" t="s">
        <v>289</v>
      </c>
      <c r="Q919" s="392" t="s">
        <v>721</v>
      </c>
      <c r="R919" s="428" t="s">
        <v>7328</v>
      </c>
      <c r="S919" s="428" t="s">
        <v>352</v>
      </c>
      <c r="T919" s="394">
        <v>1</v>
      </c>
      <c r="U919" s="395">
        <v>4.952</v>
      </c>
      <c r="V919" s="395"/>
      <c r="W919" s="453"/>
      <c r="X919" s="394"/>
      <c r="Y919" s="394">
        <v>7</v>
      </c>
      <c r="Z919" s="394">
        <v>25</v>
      </c>
      <c r="AA919" s="395">
        <v>0</v>
      </c>
      <c r="AB919" s="452">
        <v>42339</v>
      </c>
      <c r="AC919" s="398">
        <v>0</v>
      </c>
      <c r="AD919" s="398">
        <v>25.194147945205479</v>
      </c>
      <c r="AE919" s="475" t="s">
        <v>225</v>
      </c>
      <c r="AF919" s="417"/>
      <c r="AG919" s="417"/>
      <c r="AH919" s="417"/>
      <c r="AI919" s="394"/>
      <c r="AJ919" s="453"/>
      <c r="AK919" s="453"/>
      <c r="AL919" s="393"/>
      <c r="AM919" s="393"/>
      <c r="AN919" s="417"/>
      <c r="AO919" s="392"/>
      <c r="AP919" s="392" t="s">
        <v>7053</v>
      </c>
      <c r="AQ919" s="428"/>
      <c r="AR919" s="428" t="s">
        <v>274</v>
      </c>
      <c r="AS919" s="479">
        <v>40887</v>
      </c>
      <c r="AT919" s="453"/>
      <c r="AU919" s="453"/>
      <c r="AV919" s="453"/>
      <c r="AW919" s="453"/>
      <c r="AX919" s="453"/>
      <c r="AY919" s="453"/>
      <c r="AZ919" s="452">
        <v>42314</v>
      </c>
      <c r="BA919" s="393"/>
      <c r="BB919" s="393"/>
      <c r="BC919" s="393" t="b">
        <v>1</v>
      </c>
      <c r="BD919" s="393"/>
      <c r="BE919" s="392"/>
      <c r="BF919" s="394">
        <v>10</v>
      </c>
      <c r="BG919" s="394">
        <v>9</v>
      </c>
      <c r="BH919" s="394">
        <v>5</v>
      </c>
      <c r="BI919" s="394">
        <v>8</v>
      </c>
      <c r="BJ919" s="394"/>
      <c r="BK919" s="394"/>
      <c r="BL919" s="489">
        <v>3</v>
      </c>
      <c r="BM919" s="392"/>
      <c r="BN919" s="393"/>
      <c r="BO919" s="393"/>
      <c r="BP919" s="399"/>
      <c r="BQ919" s="400"/>
      <c r="BR919" s="401"/>
      <c r="BS919" s="399">
        <f>0.56*2</f>
        <v>1.1200000000000001</v>
      </c>
      <c r="BT919" s="394">
        <v>3114</v>
      </c>
      <c r="BU919" s="417"/>
      <c r="BV919" s="399"/>
      <c r="BW919" s="475" t="s">
        <v>3117</v>
      </c>
      <c r="BX919" s="428" t="s">
        <v>3172</v>
      </c>
      <c r="BY919" s="475" t="s">
        <v>7224</v>
      </c>
      <c r="BZ919" s="393"/>
      <c r="CA919" s="441"/>
      <c r="CB919" s="400"/>
      <c r="CC919" s="398"/>
      <c r="CD919" s="398"/>
      <c r="CE919" s="398"/>
      <c r="CF919" s="398"/>
      <c r="CG919" s="398"/>
      <c r="CH919" s="398"/>
      <c r="CI919" s="398"/>
      <c r="CJ919" s="398"/>
      <c r="CK919" s="398">
        <v>0.20799999999999999</v>
      </c>
      <c r="CL919" s="398">
        <v>4.9820000000000002</v>
      </c>
      <c r="CM919" s="398">
        <v>4.9820000000000002</v>
      </c>
      <c r="CN919" s="398">
        <v>4.9820000000000002</v>
      </c>
      <c r="CO919" s="398">
        <v>4.9820000000000002</v>
      </c>
      <c r="CP919" s="398">
        <v>4.9820000000000002</v>
      </c>
      <c r="CQ919" s="398">
        <v>4.9820000000000002</v>
      </c>
      <c r="CR919" s="398">
        <v>4.5670000000000002</v>
      </c>
      <c r="CS919" s="398"/>
      <c r="CT919" s="398"/>
      <c r="CU919" s="398"/>
      <c r="CV919" s="398"/>
      <c r="CW919" s="398"/>
      <c r="CX919" s="398"/>
      <c r="CY919" s="398"/>
      <c r="CZ919" s="398"/>
      <c r="DA919" s="398"/>
      <c r="DB919" s="398"/>
      <c r="DC919" s="398"/>
      <c r="DD919" s="398"/>
      <c r="DE919" s="393"/>
      <c r="DF919" s="393"/>
      <c r="DG919" s="393"/>
      <c r="DH919" s="393"/>
      <c r="DI919" s="393"/>
      <c r="DJ919" s="393"/>
      <c r="DK919" s="897"/>
    </row>
    <row r="920" spans="1:115" ht="25.5" x14ac:dyDescent="0.2">
      <c r="A920" s="295">
        <v>916</v>
      </c>
      <c r="B920" s="390" t="s">
        <v>7320</v>
      </c>
      <c r="C920" s="390"/>
      <c r="D920" s="391" t="s">
        <v>7321</v>
      </c>
      <c r="E920" s="705" t="s">
        <v>7325</v>
      </c>
      <c r="F920" s="393" t="s">
        <v>1375</v>
      </c>
      <c r="G920" s="393" t="s">
        <v>998</v>
      </c>
      <c r="H920" s="475" t="s">
        <v>350</v>
      </c>
      <c r="I920" s="392"/>
      <c r="J920" s="392"/>
      <c r="K920" s="428" t="s">
        <v>7330</v>
      </c>
      <c r="L920" s="428" t="s">
        <v>351</v>
      </c>
      <c r="M920" s="392"/>
      <c r="N920" s="475" t="s">
        <v>44</v>
      </c>
      <c r="O920" s="475" t="s">
        <v>5491</v>
      </c>
      <c r="P920" s="475" t="s">
        <v>289</v>
      </c>
      <c r="Q920" s="428" t="s">
        <v>721</v>
      </c>
      <c r="R920" s="428" t="s">
        <v>7329</v>
      </c>
      <c r="S920" s="428" t="s">
        <v>352</v>
      </c>
      <c r="T920" s="394">
        <v>1</v>
      </c>
      <c r="U920" s="395">
        <v>12.015000000000001</v>
      </c>
      <c r="V920" s="395"/>
      <c r="W920" s="453"/>
      <c r="X920" s="394"/>
      <c r="Y920" s="394">
        <v>7</v>
      </c>
      <c r="Z920" s="394">
        <v>25</v>
      </c>
      <c r="AA920" s="395">
        <v>0</v>
      </c>
      <c r="AB920" s="452">
        <v>42339</v>
      </c>
      <c r="AC920" s="398">
        <v>0</v>
      </c>
      <c r="AD920" s="398">
        <v>61.128369863013695</v>
      </c>
      <c r="AE920" s="475" t="s">
        <v>225</v>
      </c>
      <c r="AF920" s="417"/>
      <c r="AG920" s="417"/>
      <c r="AH920" s="417"/>
      <c r="AI920" s="394"/>
      <c r="AJ920" s="453"/>
      <c r="AK920" s="453"/>
      <c r="AL920" s="393"/>
      <c r="AM920" s="393"/>
      <c r="AN920" s="417"/>
      <c r="AO920" s="392"/>
      <c r="AP920" s="392" t="s">
        <v>7053</v>
      </c>
      <c r="AQ920" s="428"/>
      <c r="AR920" s="428" t="s">
        <v>274</v>
      </c>
      <c r="AS920" s="479">
        <v>40887</v>
      </c>
      <c r="AT920" s="453"/>
      <c r="AU920" s="453"/>
      <c r="AV920" s="453"/>
      <c r="AW920" s="453"/>
      <c r="AX920" s="453"/>
      <c r="AY920" s="453"/>
      <c r="AZ920" s="452">
        <v>42314</v>
      </c>
      <c r="BA920" s="393"/>
      <c r="BB920" s="393"/>
      <c r="BC920" s="393" t="b">
        <v>1</v>
      </c>
      <c r="BD920" s="393"/>
      <c r="BE920" s="392"/>
      <c r="BF920" s="394">
        <v>10</v>
      </c>
      <c r="BG920" s="394">
        <v>9</v>
      </c>
      <c r="BH920" s="394">
        <v>5</v>
      </c>
      <c r="BI920" s="394">
        <v>8</v>
      </c>
      <c r="BJ920" s="394"/>
      <c r="BK920" s="394"/>
      <c r="BL920" s="489">
        <v>3</v>
      </c>
      <c r="BM920" s="392"/>
      <c r="BN920" s="393"/>
      <c r="BO920" s="393"/>
      <c r="BP920" s="399"/>
      <c r="BQ920" s="400"/>
      <c r="BR920" s="401"/>
      <c r="BS920" s="399">
        <v>2.2999999999999998</v>
      </c>
      <c r="BT920" s="394">
        <v>15100</v>
      </c>
      <c r="BU920" s="417"/>
      <c r="BV920" s="399"/>
      <c r="BW920" s="475" t="s">
        <v>3117</v>
      </c>
      <c r="BX920" s="428" t="s">
        <v>3172</v>
      </c>
      <c r="BY920" s="393"/>
      <c r="BZ920" s="393"/>
      <c r="CA920" s="441"/>
      <c r="CB920" s="400"/>
      <c r="CC920" s="398"/>
      <c r="CD920" s="398"/>
      <c r="CE920" s="398"/>
      <c r="CF920" s="398"/>
      <c r="CG920" s="398"/>
      <c r="CH920" s="398"/>
      <c r="CI920" s="398"/>
      <c r="CJ920" s="398"/>
      <c r="CK920" s="398">
        <v>0.55300000000000005</v>
      </c>
      <c r="CL920" s="398">
        <v>12.08</v>
      </c>
      <c r="CM920" s="398">
        <v>12.08</v>
      </c>
      <c r="CN920" s="398">
        <v>12.08</v>
      </c>
      <c r="CO920" s="398">
        <v>12.08</v>
      </c>
      <c r="CP920" s="398">
        <v>12.08</v>
      </c>
      <c r="CQ920" s="398">
        <v>12.08</v>
      </c>
      <c r="CR920" s="398">
        <v>11.073</v>
      </c>
      <c r="CS920" s="398"/>
      <c r="CT920" s="398"/>
      <c r="CU920" s="398"/>
      <c r="CV920" s="398"/>
      <c r="CW920" s="398"/>
      <c r="CX920" s="398"/>
      <c r="CY920" s="398"/>
      <c r="CZ920" s="398"/>
      <c r="DA920" s="398"/>
      <c r="DB920" s="398"/>
      <c r="DC920" s="398"/>
      <c r="DD920" s="398"/>
      <c r="DE920" s="393"/>
      <c r="DF920" s="393"/>
      <c r="DG920" s="393"/>
      <c r="DH920" s="393"/>
      <c r="DI920" s="393"/>
      <c r="DJ920" s="393"/>
      <c r="DK920" s="897"/>
    </row>
    <row r="921" spans="1:115" ht="38.25" x14ac:dyDescent="0.2">
      <c r="A921" s="295">
        <v>917</v>
      </c>
      <c r="B921" s="390" t="s">
        <v>7322</v>
      </c>
      <c r="C921" s="390"/>
      <c r="D921" s="391" t="s">
        <v>7323</v>
      </c>
      <c r="E921" s="705" t="s">
        <v>7326</v>
      </c>
      <c r="F921" s="393" t="s">
        <v>1375</v>
      </c>
      <c r="G921" s="393" t="s">
        <v>998</v>
      </c>
      <c r="H921" s="475" t="s">
        <v>350</v>
      </c>
      <c r="I921" s="392"/>
      <c r="J921" s="392"/>
      <c r="K921" s="428" t="s">
        <v>7327</v>
      </c>
      <c r="L921" s="428" t="s">
        <v>351</v>
      </c>
      <c r="M921" s="392"/>
      <c r="N921" s="475" t="s">
        <v>44</v>
      </c>
      <c r="O921" s="475" t="s">
        <v>5491</v>
      </c>
      <c r="P921" s="475" t="s">
        <v>289</v>
      </c>
      <c r="Q921" s="428" t="s">
        <v>721</v>
      </c>
      <c r="R921" s="428" t="s">
        <v>7331</v>
      </c>
      <c r="S921" s="428" t="s">
        <v>352</v>
      </c>
      <c r="T921" s="394">
        <v>1</v>
      </c>
      <c r="U921" s="395">
        <v>23.989000000000001</v>
      </c>
      <c r="V921" s="395"/>
      <c r="W921" s="453"/>
      <c r="X921" s="394"/>
      <c r="Y921" s="394">
        <v>7</v>
      </c>
      <c r="Z921" s="394">
        <v>25</v>
      </c>
      <c r="AA921" s="395">
        <v>0</v>
      </c>
      <c r="AB921" s="452">
        <v>42339</v>
      </c>
      <c r="AC921" s="398">
        <v>0</v>
      </c>
      <c r="AD921" s="398">
        <v>122.04814520547946</v>
      </c>
      <c r="AE921" s="475" t="s">
        <v>225</v>
      </c>
      <c r="AF921" s="417"/>
      <c r="AG921" s="417"/>
      <c r="AH921" s="417"/>
      <c r="AI921" s="394"/>
      <c r="AJ921" s="453"/>
      <c r="AK921" s="453"/>
      <c r="AL921" s="393"/>
      <c r="AM921" s="393"/>
      <c r="AN921" s="417"/>
      <c r="AO921" s="392"/>
      <c r="AP921" s="392" t="s">
        <v>7053</v>
      </c>
      <c r="AQ921" s="428"/>
      <c r="AR921" s="428" t="s">
        <v>274</v>
      </c>
      <c r="AS921" s="479">
        <v>40887</v>
      </c>
      <c r="AT921" s="453"/>
      <c r="AU921" s="453"/>
      <c r="AV921" s="453"/>
      <c r="AW921" s="453"/>
      <c r="AX921" s="453"/>
      <c r="AY921" s="453"/>
      <c r="AZ921" s="452">
        <v>42314</v>
      </c>
      <c r="BA921" s="393"/>
      <c r="BB921" s="393"/>
      <c r="BC921" s="393" t="b">
        <v>1</v>
      </c>
      <c r="BD921" s="393"/>
      <c r="BE921" s="392"/>
      <c r="BF921" s="394">
        <v>10</v>
      </c>
      <c r="BG921" s="394">
        <v>9</v>
      </c>
      <c r="BH921" s="394">
        <v>5</v>
      </c>
      <c r="BI921" s="394">
        <v>8</v>
      </c>
      <c r="BJ921" s="394"/>
      <c r="BK921" s="394"/>
      <c r="BL921" s="489">
        <v>3</v>
      </c>
      <c r="BM921" s="392"/>
      <c r="BN921" s="393"/>
      <c r="BO921" s="393"/>
      <c r="BP921" s="399"/>
      <c r="BQ921" s="400"/>
      <c r="BR921" s="401"/>
      <c r="BS921" s="399">
        <v>7.5</v>
      </c>
      <c r="BT921" s="394">
        <v>44500</v>
      </c>
      <c r="BU921" s="417"/>
      <c r="BV921" s="399"/>
      <c r="BW921" s="475" t="s">
        <v>3117</v>
      </c>
      <c r="BX921" s="428" t="s">
        <v>3172</v>
      </c>
      <c r="BY921" s="393"/>
      <c r="BZ921" s="393"/>
      <c r="CA921" s="441"/>
      <c r="CB921" s="400"/>
      <c r="CC921" s="398"/>
      <c r="CD921" s="398"/>
      <c r="CE921" s="398"/>
      <c r="CF921" s="398"/>
      <c r="CG921" s="398"/>
      <c r="CH921" s="398"/>
      <c r="CI921" s="398"/>
      <c r="CJ921" s="398"/>
      <c r="CK921" s="398">
        <v>1.8859999999999999</v>
      </c>
      <c r="CL921" s="398">
        <v>23.8</v>
      </c>
      <c r="CM921" s="398">
        <v>26.28</v>
      </c>
      <c r="CN921" s="398">
        <v>23.585000000000001</v>
      </c>
      <c r="CO921" s="398">
        <v>23.585000000000001</v>
      </c>
      <c r="CP921" s="398">
        <v>23.585000000000001</v>
      </c>
      <c r="CQ921" s="398">
        <v>23.585000000000001</v>
      </c>
      <c r="CR921" s="398">
        <v>21.619</v>
      </c>
      <c r="CS921" s="398"/>
      <c r="CT921" s="398"/>
      <c r="CU921" s="398"/>
      <c r="CV921" s="398"/>
      <c r="CW921" s="398"/>
      <c r="CX921" s="398"/>
      <c r="CY921" s="398"/>
      <c r="CZ921" s="398"/>
      <c r="DA921" s="398"/>
      <c r="DB921" s="398"/>
      <c r="DC921" s="398"/>
      <c r="DD921" s="398"/>
      <c r="DE921" s="393"/>
      <c r="DF921" s="393"/>
      <c r="DG921" s="393"/>
      <c r="DH921" s="393"/>
      <c r="DI921" s="393"/>
      <c r="DJ921" s="393"/>
      <c r="DK921" s="897"/>
    </row>
    <row r="922" spans="1:115" ht="25.5" x14ac:dyDescent="0.2">
      <c r="A922" s="295">
        <v>918</v>
      </c>
      <c r="B922" s="390" t="s">
        <v>8184</v>
      </c>
      <c r="C922" s="390"/>
      <c r="D922" s="391" t="s">
        <v>8185</v>
      </c>
      <c r="E922" s="705" t="s">
        <v>8186</v>
      </c>
      <c r="F922" s="393" t="s">
        <v>1375</v>
      </c>
      <c r="G922" s="393" t="s">
        <v>998</v>
      </c>
      <c r="H922" s="475" t="s">
        <v>350</v>
      </c>
      <c r="I922" s="392"/>
      <c r="J922" s="392"/>
      <c r="K922" s="428" t="s">
        <v>8187</v>
      </c>
      <c r="L922" s="428" t="s">
        <v>351</v>
      </c>
      <c r="M922" s="392"/>
      <c r="N922" s="475" t="s">
        <v>44</v>
      </c>
      <c r="O922" s="475" t="s">
        <v>5491</v>
      </c>
      <c r="P922" s="475" t="s">
        <v>289</v>
      </c>
      <c r="Q922" s="428" t="s">
        <v>721</v>
      </c>
      <c r="R922" s="428" t="s">
        <v>8188</v>
      </c>
      <c r="S922" s="428" t="s">
        <v>352</v>
      </c>
      <c r="T922" s="394">
        <v>1</v>
      </c>
      <c r="U922" s="395">
        <v>6.7779999999999996</v>
      </c>
      <c r="V922" s="395"/>
      <c r="W922" s="453"/>
      <c r="X922" s="394"/>
      <c r="Y922" s="394">
        <v>7</v>
      </c>
      <c r="Z922" s="394">
        <v>25</v>
      </c>
      <c r="AA922" s="395">
        <v>0</v>
      </c>
      <c r="AB922" s="452">
        <v>42675</v>
      </c>
      <c r="AC922" s="398">
        <v>0</v>
      </c>
      <c r="AD922" s="398">
        <v>28.244761643835616</v>
      </c>
      <c r="AE922" s="475" t="s">
        <v>225</v>
      </c>
      <c r="AF922" s="417"/>
      <c r="AG922" s="417"/>
      <c r="AH922" s="417"/>
      <c r="AI922" s="394"/>
      <c r="AJ922" s="453"/>
      <c r="AK922" s="453"/>
      <c r="AL922" s="393"/>
      <c r="AM922" s="393"/>
      <c r="AN922" s="417"/>
      <c r="AO922" s="392"/>
      <c r="AP922" s="392" t="s">
        <v>7053</v>
      </c>
      <c r="AQ922" s="428"/>
      <c r="AR922" s="428" t="s">
        <v>274</v>
      </c>
      <c r="AS922" s="479">
        <v>40887</v>
      </c>
      <c r="AT922" s="453"/>
      <c r="AU922" s="453"/>
      <c r="AV922" s="453"/>
      <c r="AW922" s="453"/>
      <c r="AX922" s="453"/>
      <c r="AY922" s="453"/>
      <c r="AZ922" s="452">
        <v>42558</v>
      </c>
      <c r="BA922" s="393"/>
      <c r="BB922" s="393"/>
      <c r="BC922" s="393" t="b">
        <v>1</v>
      </c>
      <c r="BD922" s="393"/>
      <c r="BE922" s="392"/>
      <c r="BF922" s="394">
        <v>10</v>
      </c>
      <c r="BG922" s="394">
        <v>9</v>
      </c>
      <c r="BH922" s="394">
        <v>5</v>
      </c>
      <c r="BI922" s="394">
        <v>8</v>
      </c>
      <c r="BJ922" s="394"/>
      <c r="BK922" s="394"/>
      <c r="BL922" s="489">
        <v>3</v>
      </c>
      <c r="BM922" s="392"/>
      <c r="BN922" s="393"/>
      <c r="BO922" s="393"/>
      <c r="BP922" s="399"/>
      <c r="BQ922" s="400"/>
      <c r="BR922" s="401"/>
      <c r="BS922" s="399">
        <v>2.4</v>
      </c>
      <c r="BT922" s="394"/>
      <c r="BU922" s="417"/>
      <c r="BV922" s="399"/>
      <c r="BW922" s="475" t="s">
        <v>3117</v>
      </c>
      <c r="BX922" s="428" t="s">
        <v>3172</v>
      </c>
      <c r="BY922" s="393"/>
      <c r="BZ922" s="393"/>
      <c r="CA922" s="441"/>
      <c r="CB922" s="400"/>
      <c r="CC922" s="398"/>
      <c r="CD922" s="398"/>
      <c r="CE922" s="398"/>
      <c r="CF922" s="398"/>
      <c r="CG922" s="398"/>
      <c r="CH922" s="398"/>
      <c r="CI922" s="398"/>
      <c r="CJ922" s="398"/>
      <c r="CK922" s="398"/>
      <c r="CL922" s="398">
        <v>1.0760000000000001</v>
      </c>
      <c r="CM922" s="398">
        <v>6.5389999999999997</v>
      </c>
      <c r="CN922" s="398">
        <v>6.6230000000000002</v>
      </c>
      <c r="CO922" s="398">
        <v>6.7080000000000002</v>
      </c>
      <c r="CP922" s="398">
        <v>6.7930000000000001</v>
      </c>
      <c r="CQ922" s="398">
        <v>6.8780000000000001</v>
      </c>
      <c r="CR922" s="398">
        <v>6.9630000000000001</v>
      </c>
      <c r="CS922" s="398">
        <v>5.8730000000000002</v>
      </c>
      <c r="CT922" s="398"/>
      <c r="CU922" s="398"/>
      <c r="CV922" s="398"/>
      <c r="CW922" s="398"/>
      <c r="CX922" s="398"/>
      <c r="CY922" s="398"/>
      <c r="CZ922" s="398"/>
      <c r="DA922" s="398"/>
      <c r="DB922" s="398"/>
      <c r="DC922" s="398"/>
      <c r="DD922" s="398"/>
      <c r="DE922" s="393"/>
      <c r="DF922" s="393"/>
      <c r="DG922" s="393"/>
      <c r="DH922" s="393"/>
      <c r="DI922" s="393"/>
      <c r="DJ922" s="393"/>
      <c r="DK922" s="897"/>
    </row>
    <row r="923" spans="1:115" ht="25.5" x14ac:dyDescent="0.2">
      <c r="A923" s="295">
        <v>919</v>
      </c>
      <c r="B923" s="390" t="s">
        <v>8207</v>
      </c>
      <c r="C923" s="390"/>
      <c r="D923" s="391" t="s">
        <v>8208</v>
      </c>
      <c r="E923" s="705" t="s">
        <v>8209</v>
      </c>
      <c r="F923" s="393" t="s">
        <v>1375</v>
      </c>
      <c r="G923" s="393" t="s">
        <v>998</v>
      </c>
      <c r="H923" s="475" t="s">
        <v>350</v>
      </c>
      <c r="I923" s="392"/>
      <c r="J923" s="392"/>
      <c r="K923" s="428" t="s">
        <v>8210</v>
      </c>
      <c r="L923" s="428" t="s">
        <v>351</v>
      </c>
      <c r="M923" s="392"/>
      <c r="N923" s="475" t="s">
        <v>44</v>
      </c>
      <c r="O923" s="475" t="s">
        <v>5491</v>
      </c>
      <c r="P923" s="393" t="s">
        <v>45</v>
      </c>
      <c r="Q923" s="392" t="s">
        <v>303</v>
      </c>
      <c r="R923" s="428" t="s">
        <v>8211</v>
      </c>
      <c r="S923" s="428" t="s">
        <v>352</v>
      </c>
      <c r="T923" s="394">
        <v>1</v>
      </c>
      <c r="U923" s="395">
        <v>12.019</v>
      </c>
      <c r="V923" s="395"/>
      <c r="W923" s="453"/>
      <c r="X923" s="394"/>
      <c r="Y923" s="394">
        <v>7</v>
      </c>
      <c r="Z923" s="394">
        <v>25</v>
      </c>
      <c r="AA923" s="395">
        <v>0</v>
      </c>
      <c r="AB923" s="452">
        <v>42614</v>
      </c>
      <c r="AC923" s="398">
        <v>0</v>
      </c>
      <c r="AD923" s="398">
        <v>52.093309589041098</v>
      </c>
      <c r="AE923" s="475" t="s">
        <v>225</v>
      </c>
      <c r="AF923" s="417"/>
      <c r="AG923" s="417"/>
      <c r="AH923" s="417"/>
      <c r="AI923" s="394"/>
      <c r="AJ923" s="453"/>
      <c r="AK923" s="453"/>
      <c r="AL923" s="393"/>
      <c r="AM923" s="393"/>
      <c r="AN923" s="417"/>
      <c r="AO923" s="392"/>
      <c r="AP923" s="428" t="s">
        <v>7053</v>
      </c>
      <c r="AQ923" s="428"/>
      <c r="AR923" s="428" t="s">
        <v>274</v>
      </c>
      <c r="AS923" s="479">
        <v>40887</v>
      </c>
      <c r="AT923" s="453"/>
      <c r="AU923" s="453"/>
      <c r="AV923" s="453"/>
      <c r="AW923" s="453"/>
      <c r="AX923" s="453"/>
      <c r="AY923" s="453"/>
      <c r="AZ923" s="452">
        <v>42593</v>
      </c>
      <c r="BA923" s="393"/>
      <c r="BB923" s="393"/>
      <c r="BC923" s="393" t="b">
        <v>1</v>
      </c>
      <c r="BD923" s="393"/>
      <c r="BE923" s="392"/>
      <c r="BF923" s="394">
        <v>10</v>
      </c>
      <c r="BG923" s="394">
        <v>9</v>
      </c>
      <c r="BH923" s="394">
        <v>5</v>
      </c>
      <c r="BI923" s="394">
        <v>8</v>
      </c>
      <c r="BJ923" s="394"/>
      <c r="BK923" s="394"/>
      <c r="BL923" s="489">
        <v>3</v>
      </c>
      <c r="BM923" s="392"/>
      <c r="BN923" s="393"/>
      <c r="BO923" s="393"/>
      <c r="BP923" s="399"/>
      <c r="BQ923" s="400"/>
      <c r="BR923" s="401"/>
      <c r="BS923" s="399">
        <v>2.5</v>
      </c>
      <c r="BT923" s="394">
        <v>15023</v>
      </c>
      <c r="BU923" s="417"/>
      <c r="BV923" s="399"/>
      <c r="BW923" s="475" t="s">
        <v>3117</v>
      </c>
      <c r="BX923" s="428" t="s">
        <v>3172</v>
      </c>
      <c r="BY923" s="393"/>
      <c r="BZ923" s="393"/>
      <c r="CA923" s="441"/>
      <c r="CB923" s="400"/>
      <c r="CC923" s="398"/>
      <c r="CD923" s="398"/>
      <c r="CE923" s="398"/>
      <c r="CF923" s="398"/>
      <c r="CG923" s="398"/>
      <c r="CH923" s="398"/>
      <c r="CI923" s="398"/>
      <c r="CJ923" s="398"/>
      <c r="CK923" s="398"/>
      <c r="CL923" s="398">
        <v>4.0060000000000002</v>
      </c>
      <c r="CM923" s="398">
        <v>12.019</v>
      </c>
      <c r="CN923" s="398">
        <v>12.019</v>
      </c>
      <c r="CO923" s="398">
        <v>12.019</v>
      </c>
      <c r="CP923" s="398">
        <v>12.019</v>
      </c>
      <c r="CQ923" s="398">
        <v>12.019</v>
      </c>
      <c r="CR923" s="398">
        <v>12.019</v>
      </c>
      <c r="CS923" s="398">
        <v>8.0120000000000005</v>
      </c>
      <c r="CT923" s="398"/>
      <c r="CU923" s="398"/>
      <c r="CV923" s="398"/>
      <c r="CW923" s="398"/>
      <c r="CX923" s="398"/>
      <c r="CY923" s="398"/>
      <c r="CZ923" s="398"/>
      <c r="DA923" s="398"/>
      <c r="DB923" s="398"/>
      <c r="DC923" s="398"/>
      <c r="DD923" s="398"/>
      <c r="DE923" s="393"/>
      <c r="DF923" s="393"/>
      <c r="DG923" s="393"/>
      <c r="DH923" s="393"/>
      <c r="DI923" s="393"/>
      <c r="DJ923" s="393"/>
      <c r="DK923" s="897"/>
    </row>
    <row r="924" spans="1:115" ht="38.25" x14ac:dyDescent="0.2">
      <c r="A924" s="295">
        <v>920</v>
      </c>
      <c r="B924" s="390" t="s">
        <v>8339</v>
      </c>
      <c r="C924" s="390"/>
      <c r="D924" s="391" t="s">
        <v>8340</v>
      </c>
      <c r="E924" s="709" t="s">
        <v>8341</v>
      </c>
      <c r="F924" s="393" t="s">
        <v>1375</v>
      </c>
      <c r="G924" s="393" t="s">
        <v>998</v>
      </c>
      <c r="H924" s="475" t="s">
        <v>350</v>
      </c>
      <c r="I924" s="563"/>
      <c r="J924" s="563"/>
      <c r="K924" s="560" t="s">
        <v>8342</v>
      </c>
      <c r="L924" s="560" t="s">
        <v>351</v>
      </c>
      <c r="M924" s="563"/>
      <c r="N924" s="562" t="s">
        <v>44</v>
      </c>
      <c r="O924" s="562" t="s">
        <v>5491</v>
      </c>
      <c r="P924" s="475" t="s">
        <v>289</v>
      </c>
      <c r="Q924" s="428" t="s">
        <v>721</v>
      </c>
      <c r="R924" s="560" t="s">
        <v>8343</v>
      </c>
      <c r="S924" s="560" t="s">
        <v>352</v>
      </c>
      <c r="T924" s="564">
        <v>1</v>
      </c>
      <c r="U924" s="565">
        <v>1.4159999999999999</v>
      </c>
      <c r="V924" s="565"/>
      <c r="W924" s="566"/>
      <c r="X924" s="564"/>
      <c r="Y924" s="564">
        <v>7</v>
      </c>
      <c r="Z924" s="564">
        <v>25</v>
      </c>
      <c r="AA924" s="565">
        <v>0</v>
      </c>
      <c r="AB924" s="567">
        <v>42644</v>
      </c>
      <c r="AC924" s="568">
        <v>0</v>
      </c>
      <c r="AD924" s="568">
        <v>6.0209095890410964</v>
      </c>
      <c r="AE924" s="562" t="s">
        <v>225</v>
      </c>
      <c r="AF924" s="569"/>
      <c r="AG924" s="569"/>
      <c r="AH924" s="569"/>
      <c r="AI924" s="564"/>
      <c r="AJ924" s="566"/>
      <c r="AK924" s="566"/>
      <c r="AL924" s="561"/>
      <c r="AM924" s="561"/>
      <c r="AN924" s="569"/>
      <c r="AO924" s="563"/>
      <c r="AP924" s="560" t="s">
        <v>7053</v>
      </c>
      <c r="AQ924" s="560"/>
      <c r="AR924" s="428" t="s">
        <v>274</v>
      </c>
      <c r="AS924" s="479">
        <v>40887</v>
      </c>
      <c r="AT924" s="566"/>
      <c r="AU924" s="566"/>
      <c r="AV924" s="566"/>
      <c r="AW924" s="566"/>
      <c r="AX924" s="566"/>
      <c r="AY924" s="566"/>
      <c r="AZ924" s="567">
        <v>42657</v>
      </c>
      <c r="BA924" s="561"/>
      <c r="BB924" s="561"/>
      <c r="BC924" s="393" t="b">
        <v>1</v>
      </c>
      <c r="BD924" s="561"/>
      <c r="BE924" s="563"/>
      <c r="BF924" s="564">
        <v>10</v>
      </c>
      <c r="BG924" s="564">
        <v>9</v>
      </c>
      <c r="BH924" s="564">
        <v>5</v>
      </c>
      <c r="BI924" s="564">
        <v>8</v>
      </c>
      <c r="BJ924" s="564"/>
      <c r="BK924" s="564"/>
      <c r="BL924" s="570">
        <v>3</v>
      </c>
      <c r="BM924" s="563"/>
      <c r="BN924" s="561"/>
      <c r="BO924" s="561"/>
      <c r="BP924" s="571"/>
      <c r="BQ924" s="572"/>
      <c r="BR924" s="573"/>
      <c r="BS924" s="571">
        <f>(80+350)/1000</f>
        <v>0.43</v>
      </c>
      <c r="BT924" s="564">
        <v>1960</v>
      </c>
      <c r="BU924" s="569"/>
      <c r="BV924" s="571"/>
      <c r="BW924" s="475" t="s">
        <v>3117</v>
      </c>
      <c r="BX924" s="428" t="s">
        <v>3172</v>
      </c>
      <c r="BY924" s="561"/>
      <c r="BZ924" s="561"/>
      <c r="CA924" s="574"/>
      <c r="CB924" s="572"/>
      <c r="CC924" s="568"/>
      <c r="CD924" s="568"/>
      <c r="CE924" s="568"/>
      <c r="CF924" s="568"/>
      <c r="CG924" s="568"/>
      <c r="CH924" s="568"/>
      <c r="CI924" s="568"/>
      <c r="CJ924" s="568"/>
      <c r="CK924" s="568"/>
      <c r="CL924" s="568">
        <v>0.35399999999999998</v>
      </c>
      <c r="CM924" s="568">
        <v>1.4159999999999999</v>
      </c>
      <c r="CN924" s="568">
        <v>1.4159999999999999</v>
      </c>
      <c r="CO924" s="568">
        <v>1.4159999999999999</v>
      </c>
      <c r="CP924" s="568">
        <v>1.4159999999999999</v>
      </c>
      <c r="CQ924" s="568">
        <v>1.4159999999999999</v>
      </c>
      <c r="CR924" s="568">
        <v>1.4159999999999999</v>
      </c>
      <c r="CS924" s="568">
        <v>1.0620000000000001</v>
      </c>
      <c r="CT924" s="568"/>
      <c r="CU924" s="568"/>
      <c r="CV924" s="568"/>
      <c r="CW924" s="568"/>
      <c r="CX924" s="568"/>
      <c r="CY924" s="568"/>
      <c r="CZ924" s="568"/>
      <c r="DA924" s="568"/>
      <c r="DB924" s="568"/>
      <c r="DC924" s="568"/>
      <c r="DD924" s="568"/>
      <c r="DE924" s="561"/>
      <c r="DF924" s="561"/>
      <c r="DG924" s="561"/>
      <c r="DH924" s="561"/>
      <c r="DI924" s="561"/>
      <c r="DJ924" s="561"/>
      <c r="DK924" s="897"/>
    </row>
    <row r="925" spans="1:115" ht="25.5" x14ac:dyDescent="0.2">
      <c r="A925" s="295">
        <v>921</v>
      </c>
      <c r="B925" s="449" t="s">
        <v>9375</v>
      </c>
      <c r="C925" s="390"/>
      <c r="D925" s="474" t="s">
        <v>9376</v>
      </c>
      <c r="E925" s="709" t="s">
        <v>9394</v>
      </c>
      <c r="F925" s="393" t="s">
        <v>1375</v>
      </c>
      <c r="G925" s="393" t="s">
        <v>998</v>
      </c>
      <c r="H925" s="475" t="s">
        <v>350</v>
      </c>
      <c r="I925" s="563"/>
      <c r="J925" s="563"/>
      <c r="K925" s="560" t="s">
        <v>9395</v>
      </c>
      <c r="L925" s="560" t="s">
        <v>351</v>
      </c>
      <c r="M925" s="563"/>
      <c r="N925" s="562" t="s">
        <v>44</v>
      </c>
      <c r="O925" s="562" t="s">
        <v>5491</v>
      </c>
      <c r="P925" s="475" t="s">
        <v>289</v>
      </c>
      <c r="Q925" s="428" t="s">
        <v>721</v>
      </c>
      <c r="R925" s="560" t="s">
        <v>9396</v>
      </c>
      <c r="S925" s="560" t="s">
        <v>352</v>
      </c>
      <c r="T925" s="564">
        <v>1</v>
      </c>
      <c r="U925" s="565">
        <v>2.4540000000000002</v>
      </c>
      <c r="V925" s="565"/>
      <c r="W925" s="566"/>
      <c r="X925" s="564"/>
      <c r="Y925" s="564">
        <v>7</v>
      </c>
      <c r="Z925" s="564">
        <v>25</v>
      </c>
      <c r="AA925" s="565"/>
      <c r="AB925" s="567">
        <v>43070</v>
      </c>
      <c r="AC925" s="568"/>
      <c r="AD925" s="568">
        <v>7.5704219178082193</v>
      </c>
      <c r="AE925" s="562" t="s">
        <v>225</v>
      </c>
      <c r="AF925" s="569"/>
      <c r="AG925" s="569"/>
      <c r="AH925" s="569"/>
      <c r="AI925" s="564"/>
      <c r="AJ925" s="566"/>
      <c r="AK925" s="566"/>
      <c r="AL925" s="561"/>
      <c r="AM925" s="561"/>
      <c r="AN925" s="569"/>
      <c r="AO925" s="563"/>
      <c r="AP925" s="560" t="s">
        <v>7053</v>
      </c>
      <c r="AQ925" s="560"/>
      <c r="AR925" s="560" t="s">
        <v>274</v>
      </c>
      <c r="AS925" s="578">
        <v>40887</v>
      </c>
      <c r="AT925" s="566"/>
      <c r="AU925" s="566"/>
      <c r="AV925" s="566"/>
      <c r="AW925" s="566"/>
      <c r="AX925" s="566"/>
      <c r="AY925" s="566"/>
      <c r="AZ925" s="567">
        <v>43081</v>
      </c>
      <c r="BA925" s="561"/>
      <c r="BB925" s="561"/>
      <c r="BC925" s="561" t="b">
        <v>1</v>
      </c>
      <c r="BD925" s="561"/>
      <c r="BE925" s="563"/>
      <c r="BF925" s="564">
        <v>10</v>
      </c>
      <c r="BG925" s="564">
        <v>9</v>
      </c>
      <c r="BH925" s="564">
        <v>5</v>
      </c>
      <c r="BI925" s="564">
        <v>8</v>
      </c>
      <c r="BJ925" s="564"/>
      <c r="BK925" s="564"/>
      <c r="BL925" s="570">
        <v>3</v>
      </c>
      <c r="BM925" s="563"/>
      <c r="BN925" s="561"/>
      <c r="BO925" s="561"/>
      <c r="BP925" s="571"/>
      <c r="BQ925" s="572"/>
      <c r="BR925" s="573"/>
      <c r="BS925" s="571">
        <v>1.075</v>
      </c>
      <c r="BT925" s="564">
        <v>6266</v>
      </c>
      <c r="BU925" s="569">
        <v>0.53</v>
      </c>
      <c r="BV925" s="571"/>
      <c r="BW925" s="475" t="s">
        <v>3117</v>
      </c>
      <c r="BX925" s="428" t="s">
        <v>3172</v>
      </c>
      <c r="BY925" s="561"/>
      <c r="BZ925" s="561"/>
      <c r="CA925" s="574"/>
      <c r="CB925" s="572"/>
      <c r="CC925" s="568"/>
      <c r="CD925" s="568"/>
      <c r="CE925" s="568"/>
      <c r="CF925" s="568"/>
      <c r="CG925" s="568"/>
      <c r="CH925" s="568"/>
      <c r="CI925" s="568"/>
      <c r="CJ925" s="568"/>
      <c r="CK925" s="568"/>
      <c r="CL925" s="568">
        <v>6.5000000000000002E-2</v>
      </c>
      <c r="CM925" s="568">
        <v>0.79900000000000004</v>
      </c>
      <c r="CN925" s="568">
        <v>0.79900000000000004</v>
      </c>
      <c r="CO925" s="568">
        <v>3.1640000000000001</v>
      </c>
      <c r="CP925" s="568">
        <v>3.1640000000000001</v>
      </c>
      <c r="CQ925" s="568">
        <v>3.1640000000000001</v>
      </c>
      <c r="CR925" s="568">
        <v>3.1640000000000001</v>
      </c>
      <c r="CS925" s="568">
        <v>2.9</v>
      </c>
      <c r="CT925" s="568"/>
      <c r="CU925" s="568"/>
      <c r="CV925" s="568"/>
      <c r="CW925" s="568"/>
      <c r="CX925" s="568"/>
      <c r="CY925" s="568"/>
      <c r="CZ925" s="568"/>
      <c r="DA925" s="568"/>
      <c r="DB925" s="568"/>
      <c r="DC925" s="568"/>
      <c r="DD925" s="568"/>
      <c r="DE925" s="561"/>
      <c r="DF925" s="561"/>
      <c r="DG925" s="561"/>
      <c r="DH925" s="561"/>
      <c r="DI925" s="561"/>
      <c r="DJ925" s="561"/>
      <c r="DK925" s="897"/>
    </row>
    <row r="926" spans="1:115" ht="51" x14ac:dyDescent="0.2">
      <c r="A926" s="295">
        <v>922</v>
      </c>
      <c r="B926" s="390" t="s">
        <v>163</v>
      </c>
      <c r="C926" s="424" t="s">
        <v>7603</v>
      </c>
      <c r="D926" s="391" t="s">
        <v>6028</v>
      </c>
      <c r="E926" s="846" t="s">
        <v>164</v>
      </c>
      <c r="F926" s="404" t="s">
        <v>1352</v>
      </c>
      <c r="G926" s="404" t="s">
        <v>1673</v>
      </c>
      <c r="H926" s="404" t="s">
        <v>67</v>
      </c>
      <c r="I926" s="848"/>
      <c r="J926" s="848" t="s">
        <v>67</v>
      </c>
      <c r="K926" s="848"/>
      <c r="L926" s="848" t="s">
        <v>165</v>
      </c>
      <c r="M926" s="848" t="s">
        <v>3337</v>
      </c>
      <c r="N926" s="758" t="s">
        <v>4659</v>
      </c>
      <c r="O926" s="758" t="s">
        <v>69</v>
      </c>
      <c r="P926" s="404" t="s">
        <v>69</v>
      </c>
      <c r="Q926" s="403" t="s">
        <v>172</v>
      </c>
      <c r="R926" s="848"/>
      <c r="S926" s="848" t="s">
        <v>166</v>
      </c>
      <c r="T926" s="849">
        <v>1</v>
      </c>
      <c r="U926" s="853">
        <v>0.86299999999999999</v>
      </c>
      <c r="V926" s="853"/>
      <c r="W926" s="857">
        <v>40890</v>
      </c>
      <c r="X926" s="849">
        <v>28</v>
      </c>
      <c r="Y926" s="849"/>
      <c r="Z926" s="849"/>
      <c r="AA926" s="853"/>
      <c r="AB926" s="859"/>
      <c r="AC926" s="863">
        <v>4.0291600000000001</v>
      </c>
      <c r="AD926" s="863">
        <v>7.8166520547945204</v>
      </c>
      <c r="AE926" s="758" t="s">
        <v>167</v>
      </c>
      <c r="AF926" s="867"/>
      <c r="AG926" s="867"/>
      <c r="AH926" s="867">
        <v>0</v>
      </c>
      <c r="AI926" s="849"/>
      <c r="AJ926" s="859"/>
      <c r="AK926" s="859"/>
      <c r="AL926" s="758"/>
      <c r="AM926" s="758"/>
      <c r="AN926" s="867"/>
      <c r="AO926" s="848"/>
      <c r="AP926" s="848" t="s">
        <v>7040</v>
      </c>
      <c r="AQ926" s="848"/>
      <c r="AR926" s="848" t="s">
        <v>73</v>
      </c>
      <c r="AS926" s="765">
        <v>40890</v>
      </c>
      <c r="AT926" s="859"/>
      <c r="AU926" s="859"/>
      <c r="AV926" s="857">
        <v>41305</v>
      </c>
      <c r="AW926" s="857">
        <v>41661</v>
      </c>
      <c r="AX926" s="857">
        <v>41713</v>
      </c>
      <c r="AY926" s="859"/>
      <c r="AZ926" s="859"/>
      <c r="BA926" s="758"/>
      <c r="BB926" s="758" t="s">
        <v>3116</v>
      </c>
      <c r="BC926" s="758" t="b">
        <v>0</v>
      </c>
      <c r="BD926" s="758" t="s">
        <v>3116</v>
      </c>
      <c r="BE926" s="848"/>
      <c r="BF926" s="849">
        <v>1</v>
      </c>
      <c r="BG926" s="849">
        <v>6</v>
      </c>
      <c r="BH926" s="849">
        <v>4</v>
      </c>
      <c r="BI926" s="849">
        <v>8</v>
      </c>
      <c r="BJ926" s="849"/>
      <c r="BK926" s="849"/>
      <c r="BL926" s="872"/>
      <c r="BM926" s="848"/>
      <c r="BN926" s="758"/>
      <c r="BO926" s="758"/>
      <c r="BP926" s="876"/>
      <c r="BQ926" s="881"/>
      <c r="BR926" s="886"/>
      <c r="BS926" s="876">
        <v>0</v>
      </c>
      <c r="BT926" s="849"/>
      <c r="BU926" s="867"/>
      <c r="BV926" s="876"/>
      <c r="BW926" s="758"/>
      <c r="BX926" s="848"/>
      <c r="BY926" s="758"/>
      <c r="BZ926" s="800" t="s">
        <v>7224</v>
      </c>
      <c r="CA926" s="891"/>
      <c r="CB926" s="881"/>
      <c r="CC926" s="863"/>
      <c r="CD926" s="863"/>
      <c r="CE926" s="863"/>
      <c r="CF926" s="863"/>
      <c r="CG926" s="863"/>
      <c r="CH926" s="863"/>
      <c r="CI926" s="863"/>
      <c r="CJ926" s="863"/>
      <c r="CK926" s="863"/>
      <c r="CL926" s="863"/>
      <c r="CM926" s="863"/>
      <c r="CN926" s="863"/>
      <c r="CO926" s="863"/>
      <c r="CP926" s="863"/>
      <c r="CQ926" s="863"/>
      <c r="CR926" s="863"/>
      <c r="CS926" s="863"/>
      <c r="CT926" s="863"/>
      <c r="CU926" s="863"/>
      <c r="CV926" s="863"/>
      <c r="CW926" s="863"/>
      <c r="CX926" s="863"/>
      <c r="CY926" s="863"/>
      <c r="CZ926" s="863"/>
      <c r="DA926" s="863"/>
      <c r="DB926" s="863"/>
      <c r="DC926" s="863"/>
      <c r="DD926" s="863"/>
      <c r="DE926" s="758"/>
      <c r="DF926" s="758"/>
      <c r="DG926" s="758"/>
      <c r="DH926" s="758"/>
      <c r="DI926" s="758"/>
      <c r="DJ926" s="758"/>
      <c r="DK926" s="896" t="s">
        <v>9754</v>
      </c>
    </row>
    <row r="927" spans="1:115" ht="51" x14ac:dyDescent="0.2">
      <c r="A927" s="295">
        <v>923</v>
      </c>
      <c r="B927" s="390" t="s">
        <v>2775</v>
      </c>
      <c r="C927" s="390"/>
      <c r="D927" s="391" t="s">
        <v>6029</v>
      </c>
      <c r="E927" s="707" t="s">
        <v>168</v>
      </c>
      <c r="F927" s="404" t="s">
        <v>1352</v>
      </c>
      <c r="G927" s="404" t="s">
        <v>1673</v>
      </c>
      <c r="H927" s="404" t="s">
        <v>67</v>
      </c>
      <c r="I927" s="403"/>
      <c r="J927" s="403"/>
      <c r="K927" s="403" t="s">
        <v>430</v>
      </c>
      <c r="L927" s="403" t="s">
        <v>165</v>
      </c>
      <c r="M927" s="403"/>
      <c r="N927" s="404" t="s">
        <v>4659</v>
      </c>
      <c r="O927" s="404" t="s">
        <v>69</v>
      </c>
      <c r="P927" s="404" t="s">
        <v>69</v>
      </c>
      <c r="Q927" s="403" t="s">
        <v>172</v>
      </c>
      <c r="R927" s="403" t="s">
        <v>3338</v>
      </c>
      <c r="S927" s="403" t="s">
        <v>166</v>
      </c>
      <c r="T927" s="405">
        <v>1</v>
      </c>
      <c r="U927" s="406">
        <v>0.86299999999999999</v>
      </c>
      <c r="V927" s="406"/>
      <c r="W927" s="455"/>
      <c r="X927" s="405"/>
      <c r="Y927" s="405">
        <v>7</v>
      </c>
      <c r="Z927" s="405">
        <v>20</v>
      </c>
      <c r="AA927" s="406">
        <v>0</v>
      </c>
      <c r="AB927" s="456">
        <v>40890</v>
      </c>
      <c r="AC927" s="407">
        <v>4.0291600000000001</v>
      </c>
      <c r="AD927" s="407">
        <v>7.8166520547945204</v>
      </c>
      <c r="AE927" s="404" t="s">
        <v>167</v>
      </c>
      <c r="AF927" s="418"/>
      <c r="AG927" s="418"/>
      <c r="AH927" s="418"/>
      <c r="AI927" s="405"/>
      <c r="AJ927" s="455"/>
      <c r="AK927" s="455"/>
      <c r="AL927" s="404"/>
      <c r="AM927" s="404"/>
      <c r="AN927" s="418"/>
      <c r="AO927" s="403"/>
      <c r="AP927" s="403" t="s">
        <v>7040</v>
      </c>
      <c r="AQ927" s="403"/>
      <c r="AR927" s="403" t="s">
        <v>73</v>
      </c>
      <c r="AS927" s="482">
        <v>40890</v>
      </c>
      <c r="AT927" s="455"/>
      <c r="AU927" s="455"/>
      <c r="AV927" s="455"/>
      <c r="AW927" s="455"/>
      <c r="AX927" s="455"/>
      <c r="AY927" s="455"/>
      <c r="AZ927" s="455"/>
      <c r="BA927" s="404"/>
      <c r="BB927" s="404"/>
      <c r="BC927" s="404" t="b">
        <v>0</v>
      </c>
      <c r="BD927" s="404"/>
      <c r="BE927" s="403"/>
      <c r="BF927" s="405">
        <v>1</v>
      </c>
      <c r="BG927" s="405">
        <v>6</v>
      </c>
      <c r="BH927" s="405">
        <v>4</v>
      </c>
      <c r="BI927" s="405">
        <v>8</v>
      </c>
      <c r="BJ927" s="405"/>
      <c r="BK927" s="405"/>
      <c r="BL927" s="446" t="s">
        <v>6981</v>
      </c>
      <c r="BM927" s="403"/>
      <c r="BN927" s="404"/>
      <c r="BO927" s="404"/>
      <c r="BP927" s="408"/>
      <c r="BQ927" s="409"/>
      <c r="BR927" s="410"/>
      <c r="BS927" s="408"/>
      <c r="BT927" s="405"/>
      <c r="BU927" s="418"/>
      <c r="BV927" s="408"/>
      <c r="BW927" s="404" t="s">
        <v>3165</v>
      </c>
      <c r="BX927" s="403" t="s">
        <v>1520</v>
      </c>
      <c r="BY927" s="404"/>
      <c r="BZ927" s="459" t="s">
        <v>7224</v>
      </c>
      <c r="CA927" s="443"/>
      <c r="CB927" s="409"/>
      <c r="CC927" s="407"/>
      <c r="CD927" s="407"/>
      <c r="CE927" s="407"/>
      <c r="CF927" s="407"/>
      <c r="CG927" s="407">
        <v>0.31900000000000001</v>
      </c>
      <c r="CH927" s="407">
        <v>3.83</v>
      </c>
      <c r="CI927" s="407">
        <v>3.83</v>
      </c>
      <c r="CJ927" s="407">
        <v>3.83</v>
      </c>
      <c r="CK927" s="407">
        <v>3.83</v>
      </c>
      <c r="CL927" s="407">
        <v>3.83</v>
      </c>
      <c r="CM927" s="407">
        <v>3.83</v>
      </c>
      <c r="CN927" s="407">
        <v>3.5110000000000001</v>
      </c>
      <c r="CO927" s="407"/>
      <c r="CP927" s="407"/>
      <c r="CQ927" s="407"/>
      <c r="CR927" s="407"/>
      <c r="CS927" s="407"/>
      <c r="CT927" s="407"/>
      <c r="CU927" s="407"/>
      <c r="CV927" s="407"/>
      <c r="CW927" s="407"/>
      <c r="CX927" s="407"/>
      <c r="CY927" s="407"/>
      <c r="CZ927" s="407"/>
      <c r="DA927" s="407"/>
      <c r="DB927" s="407"/>
      <c r="DC927" s="407"/>
      <c r="DD927" s="407"/>
      <c r="DE927" s="404"/>
      <c r="DF927" s="404"/>
      <c r="DG927" s="404"/>
      <c r="DH927" s="404"/>
      <c r="DI927" s="404"/>
      <c r="DJ927" s="404"/>
      <c r="DK927" s="897"/>
    </row>
    <row r="928" spans="1:115" ht="229.5" x14ac:dyDescent="0.2">
      <c r="A928" s="295">
        <v>924</v>
      </c>
      <c r="B928" s="390" t="s">
        <v>1036</v>
      </c>
      <c r="C928" s="424" t="s">
        <v>7604</v>
      </c>
      <c r="D928" s="391" t="s">
        <v>5136</v>
      </c>
      <c r="E928" s="705" t="s">
        <v>1037</v>
      </c>
      <c r="F928" s="393" t="s">
        <v>1375</v>
      </c>
      <c r="G928" s="393" t="s">
        <v>998</v>
      </c>
      <c r="H928" s="475" t="s">
        <v>1038</v>
      </c>
      <c r="I928" s="392" t="s">
        <v>5533</v>
      </c>
      <c r="J928" s="392" t="s">
        <v>2381</v>
      </c>
      <c r="K928" s="392"/>
      <c r="L928" s="392" t="s">
        <v>1039</v>
      </c>
      <c r="M928" s="392" t="s">
        <v>5269</v>
      </c>
      <c r="N928" s="393" t="s">
        <v>44</v>
      </c>
      <c r="O928" s="393" t="s">
        <v>51</v>
      </c>
      <c r="P928" s="393" t="s">
        <v>51</v>
      </c>
      <c r="Q928" s="392" t="s">
        <v>976</v>
      </c>
      <c r="R928" s="392"/>
      <c r="S928" s="392" t="s">
        <v>166</v>
      </c>
      <c r="T928" s="394">
        <v>66</v>
      </c>
      <c r="U928" s="395">
        <v>5630.523000000001</v>
      </c>
      <c r="V928" s="395"/>
      <c r="W928" s="452">
        <v>41183</v>
      </c>
      <c r="X928" s="394">
        <v>28</v>
      </c>
      <c r="Y928" s="394"/>
      <c r="Z928" s="394"/>
      <c r="AA928" s="395"/>
      <c r="AB928" s="453"/>
      <c r="AC928" s="398">
        <v>0</v>
      </c>
      <c r="AD928" s="398">
        <v>33677.379879452048</v>
      </c>
      <c r="AE928" s="393" t="s">
        <v>54</v>
      </c>
      <c r="AF928" s="417"/>
      <c r="AG928" s="417"/>
      <c r="AH928" s="417">
        <v>141.036</v>
      </c>
      <c r="AI928" s="394"/>
      <c r="AJ928" s="453"/>
      <c r="AK928" s="453"/>
      <c r="AL928" s="393"/>
      <c r="AM928" s="393"/>
      <c r="AN928" s="417">
        <v>45</v>
      </c>
      <c r="AO928" s="428" t="s">
        <v>82</v>
      </c>
      <c r="AP928" s="392" t="s">
        <v>7086</v>
      </c>
      <c r="AQ928" s="392"/>
      <c r="AR928" s="392" t="s">
        <v>1040</v>
      </c>
      <c r="AS928" s="479">
        <v>40890</v>
      </c>
      <c r="AT928" s="453"/>
      <c r="AU928" s="453"/>
      <c r="AV928" s="452">
        <v>40863</v>
      </c>
      <c r="AW928" s="452">
        <v>41243</v>
      </c>
      <c r="AX928" s="452">
        <v>41293</v>
      </c>
      <c r="AY928" s="452">
        <v>41243</v>
      </c>
      <c r="AZ928" s="453"/>
      <c r="BA928" s="393"/>
      <c r="BB928" s="393" t="s">
        <v>3116</v>
      </c>
      <c r="BC928" s="393" t="b">
        <v>0</v>
      </c>
      <c r="BD928" s="393" t="s">
        <v>3116</v>
      </c>
      <c r="BE928" s="392" t="s">
        <v>6053</v>
      </c>
      <c r="BF928" s="394">
        <v>4</v>
      </c>
      <c r="BG928" s="394">
        <v>1</v>
      </c>
      <c r="BH928" s="394">
        <v>6</v>
      </c>
      <c r="BI928" s="394">
        <v>5</v>
      </c>
      <c r="BJ928" s="394">
        <v>9</v>
      </c>
      <c r="BK928" s="394"/>
      <c r="BL928" s="444"/>
      <c r="BM928" s="392"/>
      <c r="BN928" s="393"/>
      <c r="BO928" s="393"/>
      <c r="BP928" s="399"/>
      <c r="BQ928" s="400"/>
      <c r="BR928" s="401"/>
      <c r="BS928" s="399">
        <v>0</v>
      </c>
      <c r="BT928" s="394"/>
      <c r="BU928" s="417"/>
      <c r="BV928" s="399"/>
      <c r="BW928" s="393"/>
      <c r="BX928" s="392"/>
      <c r="BY928" s="393"/>
      <c r="BZ928" s="393" t="s">
        <v>3165</v>
      </c>
      <c r="CA928" s="441"/>
      <c r="CB928" s="400"/>
      <c r="CC928" s="398"/>
      <c r="CD928" s="398"/>
      <c r="CE928" s="398"/>
      <c r="CF928" s="398"/>
      <c r="CG928" s="398"/>
      <c r="CH928" s="398"/>
      <c r="CI928" s="398"/>
      <c r="CJ928" s="398"/>
      <c r="CK928" s="398"/>
      <c r="CL928" s="398"/>
      <c r="CM928" s="398"/>
      <c r="CN928" s="398"/>
      <c r="CO928" s="398"/>
      <c r="CP928" s="398"/>
      <c r="CQ928" s="398"/>
      <c r="CR928" s="398"/>
      <c r="CS928" s="398"/>
      <c r="CT928" s="398"/>
      <c r="CU928" s="398"/>
      <c r="CV928" s="398"/>
      <c r="CW928" s="398"/>
      <c r="CX928" s="398"/>
      <c r="CY928" s="398"/>
      <c r="CZ928" s="398"/>
      <c r="DA928" s="398"/>
      <c r="DB928" s="398"/>
      <c r="DC928" s="398"/>
      <c r="DD928" s="398"/>
      <c r="DE928" s="393"/>
      <c r="DF928" s="393"/>
      <c r="DG928" s="393"/>
      <c r="DH928" s="393"/>
      <c r="DI928" s="393"/>
      <c r="DJ928" s="393"/>
      <c r="DK928" s="896" t="s">
        <v>9707</v>
      </c>
    </row>
    <row r="929" spans="1:115" ht="51" x14ac:dyDescent="0.2">
      <c r="A929" s="295">
        <v>925</v>
      </c>
      <c r="B929" s="390" t="s">
        <v>2776</v>
      </c>
      <c r="C929" s="390"/>
      <c r="D929" s="391" t="s">
        <v>4474</v>
      </c>
      <c r="E929" s="704" t="s">
        <v>5270</v>
      </c>
      <c r="F929" s="393" t="s">
        <v>1375</v>
      </c>
      <c r="G929" s="393" t="s">
        <v>998</v>
      </c>
      <c r="H929" s="393" t="s">
        <v>1038</v>
      </c>
      <c r="I929" s="392"/>
      <c r="J929" s="392"/>
      <c r="K929" s="392" t="s">
        <v>5271</v>
      </c>
      <c r="L929" s="392" t="s">
        <v>1039</v>
      </c>
      <c r="M929" s="392"/>
      <c r="N929" s="393" t="s">
        <v>44</v>
      </c>
      <c r="O929" s="393" t="s">
        <v>51</v>
      </c>
      <c r="P929" s="393" t="s">
        <v>51</v>
      </c>
      <c r="Q929" s="392" t="s">
        <v>976</v>
      </c>
      <c r="R929" s="392" t="s">
        <v>3339</v>
      </c>
      <c r="S929" s="392" t="s">
        <v>166</v>
      </c>
      <c r="T929" s="394">
        <v>1</v>
      </c>
      <c r="U929" s="395">
        <v>51.384999999999998</v>
      </c>
      <c r="V929" s="395"/>
      <c r="W929" s="453"/>
      <c r="X929" s="394"/>
      <c r="Y929" s="394">
        <v>7</v>
      </c>
      <c r="Z929" s="394">
        <v>21</v>
      </c>
      <c r="AA929" s="395">
        <v>7.3869999999999996</v>
      </c>
      <c r="AB929" s="452">
        <v>41275</v>
      </c>
      <c r="AC929" s="398">
        <v>0</v>
      </c>
      <c r="AD929" s="398">
        <v>411.2207808219178</v>
      </c>
      <c r="AE929" s="393" t="s">
        <v>54</v>
      </c>
      <c r="AF929" s="417"/>
      <c r="AG929" s="417"/>
      <c r="AH929" s="417"/>
      <c r="AI929" s="394"/>
      <c r="AJ929" s="453"/>
      <c r="AK929" s="453"/>
      <c r="AL929" s="393"/>
      <c r="AM929" s="393"/>
      <c r="AN929" s="417"/>
      <c r="AO929" s="392"/>
      <c r="AP929" s="392" t="s">
        <v>7086</v>
      </c>
      <c r="AQ929" s="392"/>
      <c r="AR929" s="392" t="s">
        <v>1040</v>
      </c>
      <c r="AS929" s="479">
        <v>40890</v>
      </c>
      <c r="AT929" s="453"/>
      <c r="AU929" s="453"/>
      <c r="AV929" s="453"/>
      <c r="AW929" s="453"/>
      <c r="AX929" s="453"/>
      <c r="AY929" s="453"/>
      <c r="AZ929" s="452">
        <v>41243</v>
      </c>
      <c r="BA929" s="393"/>
      <c r="BB929" s="393"/>
      <c r="BC929" s="393" t="b">
        <v>0</v>
      </c>
      <c r="BD929" s="393"/>
      <c r="BE929" s="392" t="s">
        <v>6053</v>
      </c>
      <c r="BF929" s="394">
        <v>4</v>
      </c>
      <c r="BG929" s="394">
        <v>1</v>
      </c>
      <c r="BH929" s="394">
        <v>6</v>
      </c>
      <c r="BI929" s="394">
        <v>5</v>
      </c>
      <c r="BJ929" s="394">
        <v>9</v>
      </c>
      <c r="BK929" s="394"/>
      <c r="BL929" s="444" t="s">
        <v>6981</v>
      </c>
      <c r="BM929" s="392"/>
      <c r="BN929" s="393"/>
      <c r="BO929" s="393"/>
      <c r="BP929" s="399"/>
      <c r="BQ929" s="400"/>
      <c r="BR929" s="401"/>
      <c r="BS929" s="399"/>
      <c r="BT929" s="394"/>
      <c r="BU929" s="417"/>
      <c r="BV929" s="399"/>
      <c r="BW929" s="393" t="s">
        <v>3117</v>
      </c>
      <c r="BX929" s="392" t="s">
        <v>4364</v>
      </c>
      <c r="BY929" s="393" t="s">
        <v>7227</v>
      </c>
      <c r="BZ929" s="393" t="s">
        <v>3165</v>
      </c>
      <c r="CA929" s="441"/>
      <c r="CB929" s="400"/>
      <c r="CC929" s="398"/>
      <c r="CD929" s="398"/>
      <c r="CE929" s="398"/>
      <c r="CF929" s="398"/>
      <c r="CG929" s="398"/>
      <c r="CH929" s="398"/>
      <c r="CI929" s="398">
        <v>20.007000000000001</v>
      </c>
      <c r="CJ929" s="398">
        <v>40.61</v>
      </c>
      <c r="CK929" s="398">
        <v>46.411999999999999</v>
      </c>
      <c r="CL929" s="398">
        <v>52.213000000000001</v>
      </c>
      <c r="CM929" s="398">
        <v>58.015000000000001</v>
      </c>
      <c r="CN929" s="398">
        <v>63.816000000000003</v>
      </c>
      <c r="CO929" s="398">
        <v>69.617999999999995</v>
      </c>
      <c r="CP929" s="398"/>
      <c r="CQ929" s="398"/>
      <c r="CR929" s="398"/>
      <c r="CS929" s="398"/>
      <c r="CT929" s="398"/>
      <c r="CU929" s="398"/>
      <c r="CV929" s="398"/>
      <c r="CW929" s="398"/>
      <c r="CX929" s="398"/>
      <c r="CY929" s="398"/>
      <c r="CZ929" s="398"/>
      <c r="DA929" s="398"/>
      <c r="DB929" s="398"/>
      <c r="DC929" s="398"/>
      <c r="DD929" s="398"/>
      <c r="DE929" s="393"/>
      <c r="DF929" s="393"/>
      <c r="DG929" s="393"/>
      <c r="DH929" s="393"/>
      <c r="DI929" s="393"/>
      <c r="DJ929" s="393"/>
      <c r="DK929" s="897"/>
    </row>
    <row r="930" spans="1:115" ht="51" x14ac:dyDescent="0.2">
      <c r="A930" s="295">
        <v>926</v>
      </c>
      <c r="B930" s="390" t="s">
        <v>5272</v>
      </c>
      <c r="C930" s="390"/>
      <c r="D930" s="391" t="s">
        <v>5273</v>
      </c>
      <c r="E930" s="704" t="s">
        <v>5274</v>
      </c>
      <c r="F930" s="393" t="s">
        <v>1375</v>
      </c>
      <c r="G930" s="393" t="s">
        <v>998</v>
      </c>
      <c r="H930" s="393" t="s">
        <v>1038</v>
      </c>
      <c r="I930" s="392"/>
      <c r="J930" s="392"/>
      <c r="K930" s="392" t="s">
        <v>5275</v>
      </c>
      <c r="L930" s="392" t="s">
        <v>1039</v>
      </c>
      <c r="M930" s="392"/>
      <c r="N930" s="393" t="s">
        <v>44</v>
      </c>
      <c r="O930" s="393" t="s">
        <v>51</v>
      </c>
      <c r="P930" s="393" t="s">
        <v>51</v>
      </c>
      <c r="Q930" s="392" t="s">
        <v>976</v>
      </c>
      <c r="R930" s="392" t="s">
        <v>3339</v>
      </c>
      <c r="S930" s="392" t="s">
        <v>166</v>
      </c>
      <c r="T930" s="394">
        <v>1</v>
      </c>
      <c r="U930" s="395">
        <v>101.77500000000001</v>
      </c>
      <c r="V930" s="395"/>
      <c r="W930" s="453"/>
      <c r="X930" s="394"/>
      <c r="Y930" s="394">
        <v>7</v>
      </c>
      <c r="Z930" s="394">
        <v>21</v>
      </c>
      <c r="AA930" s="395">
        <v>12.722</v>
      </c>
      <c r="AB930" s="452">
        <v>41487</v>
      </c>
      <c r="AC930" s="398">
        <v>0</v>
      </c>
      <c r="AD930" s="398">
        <v>755.36568493150696</v>
      </c>
      <c r="AE930" s="393" t="s">
        <v>54</v>
      </c>
      <c r="AF930" s="417"/>
      <c r="AG930" s="417"/>
      <c r="AH930" s="417"/>
      <c r="AI930" s="394"/>
      <c r="AJ930" s="453"/>
      <c r="AK930" s="453"/>
      <c r="AL930" s="393"/>
      <c r="AM930" s="393"/>
      <c r="AN930" s="417"/>
      <c r="AO930" s="392"/>
      <c r="AP930" s="392"/>
      <c r="AQ930" s="392"/>
      <c r="AR930" s="392" t="s">
        <v>1040</v>
      </c>
      <c r="AS930" s="480"/>
      <c r="AT930" s="453"/>
      <c r="AU930" s="453"/>
      <c r="AV930" s="453"/>
      <c r="AW930" s="453"/>
      <c r="AX930" s="453"/>
      <c r="AY930" s="453"/>
      <c r="AZ930" s="452">
        <v>41456</v>
      </c>
      <c r="BA930" s="393"/>
      <c r="BB930" s="393"/>
      <c r="BC930" s="393" t="b">
        <v>0</v>
      </c>
      <c r="BD930" s="393"/>
      <c r="BE930" s="392"/>
      <c r="BF930" s="394">
        <v>4</v>
      </c>
      <c r="BG930" s="394">
        <v>1</v>
      </c>
      <c r="BH930" s="394">
        <v>6</v>
      </c>
      <c r="BI930" s="394">
        <v>5</v>
      </c>
      <c r="BJ930" s="394">
        <v>9</v>
      </c>
      <c r="BK930" s="394"/>
      <c r="BL930" s="444" t="s">
        <v>6981</v>
      </c>
      <c r="BM930" s="392"/>
      <c r="BN930" s="393"/>
      <c r="BO930" s="393"/>
      <c r="BP930" s="399"/>
      <c r="BQ930" s="400"/>
      <c r="BR930" s="401"/>
      <c r="BS930" s="399"/>
      <c r="BT930" s="394"/>
      <c r="BU930" s="417"/>
      <c r="BV930" s="399"/>
      <c r="BW930" s="393" t="s">
        <v>3117</v>
      </c>
      <c r="BX930" s="392" t="s">
        <v>4364</v>
      </c>
      <c r="BY930" s="393" t="s">
        <v>7227</v>
      </c>
      <c r="BZ930" s="393"/>
      <c r="CA930" s="441"/>
      <c r="CB930" s="400"/>
      <c r="CC930" s="398"/>
      <c r="CD930" s="398"/>
      <c r="CE930" s="398"/>
      <c r="CF930" s="398"/>
      <c r="CG930" s="398"/>
      <c r="CH930" s="398"/>
      <c r="CI930" s="398">
        <v>57.454000000000001</v>
      </c>
      <c r="CJ930" s="398">
        <v>80.435000000000002</v>
      </c>
      <c r="CK930" s="398">
        <v>91.926000000000002</v>
      </c>
      <c r="CL930" s="398">
        <v>103.417</v>
      </c>
      <c r="CM930" s="398">
        <v>114.907</v>
      </c>
      <c r="CN930" s="398">
        <v>126.398</v>
      </c>
      <c r="CO930" s="398">
        <v>137.88900000000001</v>
      </c>
      <c r="CP930" s="398"/>
      <c r="CQ930" s="398"/>
      <c r="CR930" s="398"/>
      <c r="CS930" s="398"/>
      <c r="CT930" s="398"/>
      <c r="CU930" s="398"/>
      <c r="CV930" s="398"/>
      <c r="CW930" s="398"/>
      <c r="CX930" s="398"/>
      <c r="CY930" s="398"/>
      <c r="CZ930" s="398"/>
      <c r="DA930" s="398"/>
      <c r="DB930" s="398"/>
      <c r="DC930" s="398"/>
      <c r="DD930" s="398"/>
      <c r="DE930" s="393"/>
      <c r="DF930" s="393"/>
      <c r="DG930" s="393"/>
      <c r="DH930" s="393"/>
      <c r="DI930" s="393"/>
      <c r="DJ930" s="393"/>
      <c r="DK930" s="897"/>
    </row>
    <row r="931" spans="1:115" ht="51" x14ac:dyDescent="0.2">
      <c r="A931" s="295">
        <v>927</v>
      </c>
      <c r="B931" s="390" t="s">
        <v>5276</v>
      </c>
      <c r="C931" s="390"/>
      <c r="D931" s="391" t="s">
        <v>5277</v>
      </c>
      <c r="E931" s="704" t="s">
        <v>5278</v>
      </c>
      <c r="F931" s="393" t="s">
        <v>1375</v>
      </c>
      <c r="G931" s="393" t="s">
        <v>998</v>
      </c>
      <c r="H931" s="393" t="s">
        <v>1038</v>
      </c>
      <c r="I931" s="392"/>
      <c r="J931" s="392"/>
      <c r="K931" s="392" t="s">
        <v>5279</v>
      </c>
      <c r="L931" s="392" t="s">
        <v>1039</v>
      </c>
      <c r="M931" s="392"/>
      <c r="N931" s="393" t="s">
        <v>44</v>
      </c>
      <c r="O931" s="393" t="s">
        <v>51</v>
      </c>
      <c r="P931" s="393" t="s">
        <v>51</v>
      </c>
      <c r="Q931" s="392" t="s">
        <v>976</v>
      </c>
      <c r="R931" s="392" t="s">
        <v>3339</v>
      </c>
      <c r="S931" s="392" t="s">
        <v>166</v>
      </c>
      <c r="T931" s="394">
        <v>1</v>
      </c>
      <c r="U931" s="395">
        <v>101.518</v>
      </c>
      <c r="V931" s="395"/>
      <c r="W931" s="453"/>
      <c r="X931" s="394"/>
      <c r="Y931" s="394">
        <v>7</v>
      </c>
      <c r="Z931" s="394">
        <v>21</v>
      </c>
      <c r="AA931" s="395">
        <v>12.69</v>
      </c>
      <c r="AB931" s="452">
        <v>41487</v>
      </c>
      <c r="AC931" s="398">
        <v>0</v>
      </c>
      <c r="AD931" s="398">
        <v>753.45825205479446</v>
      </c>
      <c r="AE931" s="393" t="s">
        <v>54</v>
      </c>
      <c r="AF931" s="417"/>
      <c r="AG931" s="417"/>
      <c r="AH931" s="417"/>
      <c r="AI931" s="394"/>
      <c r="AJ931" s="453"/>
      <c r="AK931" s="453"/>
      <c r="AL931" s="393"/>
      <c r="AM931" s="393"/>
      <c r="AN931" s="417"/>
      <c r="AO931" s="392"/>
      <c r="AP931" s="392"/>
      <c r="AQ931" s="392"/>
      <c r="AR931" s="392" t="s">
        <v>1040</v>
      </c>
      <c r="AS931" s="480"/>
      <c r="AT931" s="453"/>
      <c r="AU931" s="453"/>
      <c r="AV931" s="453"/>
      <c r="AW931" s="453"/>
      <c r="AX931" s="453"/>
      <c r="AY931" s="453"/>
      <c r="AZ931" s="452">
        <v>41456</v>
      </c>
      <c r="BA931" s="393"/>
      <c r="BB931" s="393"/>
      <c r="BC931" s="393" t="b">
        <v>0</v>
      </c>
      <c r="BD931" s="393"/>
      <c r="BE931" s="392"/>
      <c r="BF931" s="394">
        <v>4</v>
      </c>
      <c r="BG931" s="394">
        <v>1</v>
      </c>
      <c r="BH931" s="394">
        <v>6</v>
      </c>
      <c r="BI931" s="394">
        <v>5</v>
      </c>
      <c r="BJ931" s="394">
        <v>9</v>
      </c>
      <c r="BK931" s="394"/>
      <c r="BL931" s="444" t="s">
        <v>6981</v>
      </c>
      <c r="BM931" s="392"/>
      <c r="BN931" s="393"/>
      <c r="BO931" s="393"/>
      <c r="BP931" s="399"/>
      <c r="BQ931" s="400"/>
      <c r="BR931" s="401"/>
      <c r="BS931" s="399"/>
      <c r="BT931" s="394"/>
      <c r="BU931" s="417"/>
      <c r="BV931" s="399"/>
      <c r="BW931" s="393" t="s">
        <v>3117</v>
      </c>
      <c r="BX931" s="392" t="s">
        <v>4364</v>
      </c>
      <c r="BY931" s="393" t="s">
        <v>7227</v>
      </c>
      <c r="BZ931" s="393"/>
      <c r="CA931" s="441"/>
      <c r="CB931" s="400"/>
      <c r="CC931" s="398"/>
      <c r="CD931" s="398"/>
      <c r="CE931" s="398"/>
      <c r="CF931" s="398"/>
      <c r="CG931" s="398"/>
      <c r="CH931" s="398"/>
      <c r="CI931" s="398">
        <v>57.308999999999997</v>
      </c>
      <c r="CJ931" s="398">
        <v>80.231999999999999</v>
      </c>
      <c r="CK931" s="398">
        <v>91.694000000000003</v>
      </c>
      <c r="CL931" s="398">
        <v>103.15600000000001</v>
      </c>
      <c r="CM931" s="398">
        <v>114.617</v>
      </c>
      <c r="CN931" s="398">
        <v>126.07899999999999</v>
      </c>
      <c r="CO931" s="398">
        <v>137.541</v>
      </c>
      <c r="CP931" s="398"/>
      <c r="CQ931" s="398"/>
      <c r="CR931" s="398"/>
      <c r="CS931" s="398"/>
      <c r="CT931" s="398"/>
      <c r="CU931" s="398"/>
      <c r="CV931" s="398"/>
      <c r="CW931" s="398"/>
      <c r="CX931" s="398"/>
      <c r="CY931" s="398"/>
      <c r="CZ931" s="398"/>
      <c r="DA931" s="398"/>
      <c r="DB931" s="398"/>
      <c r="DC931" s="398"/>
      <c r="DD931" s="398"/>
      <c r="DE931" s="393"/>
      <c r="DF931" s="393"/>
      <c r="DG931" s="393"/>
      <c r="DH931" s="393"/>
      <c r="DI931" s="393"/>
      <c r="DJ931" s="393"/>
      <c r="DK931" s="897"/>
    </row>
    <row r="932" spans="1:115" ht="51" x14ac:dyDescent="0.2">
      <c r="A932" s="295">
        <v>928</v>
      </c>
      <c r="B932" s="390" t="s">
        <v>5280</v>
      </c>
      <c r="C932" s="390"/>
      <c r="D932" s="391" t="s">
        <v>5281</v>
      </c>
      <c r="E932" s="704" t="s">
        <v>5282</v>
      </c>
      <c r="F932" s="393" t="s">
        <v>1375</v>
      </c>
      <c r="G932" s="393" t="s">
        <v>998</v>
      </c>
      <c r="H932" s="393" t="s">
        <v>1038</v>
      </c>
      <c r="I932" s="392"/>
      <c r="J932" s="392"/>
      <c r="K932" s="392" t="s">
        <v>5283</v>
      </c>
      <c r="L932" s="392" t="s">
        <v>1039</v>
      </c>
      <c r="M932" s="392"/>
      <c r="N932" s="393" t="s">
        <v>44</v>
      </c>
      <c r="O932" s="393" t="s">
        <v>51</v>
      </c>
      <c r="P932" s="393" t="s">
        <v>51</v>
      </c>
      <c r="Q932" s="392" t="s">
        <v>976</v>
      </c>
      <c r="R932" s="392" t="s">
        <v>3339</v>
      </c>
      <c r="S932" s="392" t="s">
        <v>166</v>
      </c>
      <c r="T932" s="394">
        <v>1</v>
      </c>
      <c r="U932" s="395">
        <v>82.433999999999997</v>
      </c>
      <c r="V932" s="395"/>
      <c r="W932" s="453"/>
      <c r="X932" s="394"/>
      <c r="Y932" s="394">
        <v>7</v>
      </c>
      <c r="Z932" s="394">
        <v>21</v>
      </c>
      <c r="AA932" s="395">
        <v>10.304</v>
      </c>
      <c r="AB932" s="452">
        <v>41487</v>
      </c>
      <c r="AC932" s="398">
        <v>0</v>
      </c>
      <c r="AD932" s="398">
        <v>611.81837260273971</v>
      </c>
      <c r="AE932" s="393" t="s">
        <v>54</v>
      </c>
      <c r="AF932" s="417"/>
      <c r="AG932" s="417"/>
      <c r="AH932" s="417"/>
      <c r="AI932" s="394"/>
      <c r="AJ932" s="453"/>
      <c r="AK932" s="453"/>
      <c r="AL932" s="393"/>
      <c r="AM932" s="393"/>
      <c r="AN932" s="417"/>
      <c r="AO932" s="392"/>
      <c r="AP932" s="392"/>
      <c r="AQ932" s="392"/>
      <c r="AR932" s="392" t="s">
        <v>1040</v>
      </c>
      <c r="AS932" s="480"/>
      <c r="AT932" s="453"/>
      <c r="AU932" s="453"/>
      <c r="AV932" s="453"/>
      <c r="AW932" s="453"/>
      <c r="AX932" s="453"/>
      <c r="AY932" s="453"/>
      <c r="AZ932" s="452">
        <v>41456</v>
      </c>
      <c r="BA932" s="393"/>
      <c r="BB932" s="393"/>
      <c r="BC932" s="393" t="b">
        <v>0</v>
      </c>
      <c r="BD932" s="393"/>
      <c r="BE932" s="392"/>
      <c r="BF932" s="394">
        <v>4</v>
      </c>
      <c r="BG932" s="394">
        <v>1</v>
      </c>
      <c r="BH932" s="394">
        <v>6</v>
      </c>
      <c r="BI932" s="394">
        <v>5</v>
      </c>
      <c r="BJ932" s="394">
        <v>9</v>
      </c>
      <c r="BK932" s="394"/>
      <c r="BL932" s="444" t="s">
        <v>6981</v>
      </c>
      <c r="BM932" s="392"/>
      <c r="BN932" s="393"/>
      <c r="BO932" s="393"/>
      <c r="BP932" s="399"/>
      <c r="BQ932" s="400"/>
      <c r="BR932" s="401"/>
      <c r="BS932" s="399"/>
      <c r="BT932" s="394"/>
      <c r="BU932" s="417"/>
      <c r="BV932" s="399"/>
      <c r="BW932" s="393" t="s">
        <v>3117</v>
      </c>
      <c r="BX932" s="392" t="s">
        <v>4364</v>
      </c>
      <c r="BY932" s="393" t="s">
        <v>7227</v>
      </c>
      <c r="BZ932" s="393"/>
      <c r="CA932" s="441"/>
      <c r="CB932" s="400"/>
      <c r="CC932" s="398"/>
      <c r="CD932" s="398"/>
      <c r="CE932" s="398"/>
      <c r="CF932" s="398"/>
      <c r="CG932" s="398"/>
      <c r="CH932" s="398"/>
      <c r="CI932" s="398">
        <v>46.536000000000001</v>
      </c>
      <c r="CJ932" s="398">
        <v>65.150000000000006</v>
      </c>
      <c r="CK932" s="398">
        <v>74.456999999999994</v>
      </c>
      <c r="CL932" s="398">
        <v>83.763999999999996</v>
      </c>
      <c r="CM932" s="398">
        <v>93.070999999999998</v>
      </c>
      <c r="CN932" s="398">
        <v>102.378</v>
      </c>
      <c r="CO932" s="398">
        <v>111.685</v>
      </c>
      <c r="CP932" s="398"/>
      <c r="CQ932" s="398"/>
      <c r="CR932" s="398"/>
      <c r="CS932" s="398"/>
      <c r="CT932" s="398"/>
      <c r="CU932" s="398"/>
      <c r="CV932" s="398"/>
      <c r="CW932" s="398"/>
      <c r="CX932" s="398"/>
      <c r="CY932" s="398"/>
      <c r="CZ932" s="398"/>
      <c r="DA932" s="398"/>
      <c r="DB932" s="398"/>
      <c r="DC932" s="398"/>
      <c r="DD932" s="398"/>
      <c r="DE932" s="393"/>
      <c r="DF932" s="393"/>
      <c r="DG932" s="393"/>
      <c r="DH932" s="393"/>
      <c r="DI932" s="393"/>
      <c r="DJ932" s="393"/>
      <c r="DK932" s="897"/>
    </row>
    <row r="933" spans="1:115" ht="51" x14ac:dyDescent="0.2">
      <c r="A933" s="295">
        <v>929</v>
      </c>
      <c r="B933" s="390" t="s">
        <v>5284</v>
      </c>
      <c r="C933" s="390"/>
      <c r="D933" s="391" t="s">
        <v>5285</v>
      </c>
      <c r="E933" s="704" t="s">
        <v>5286</v>
      </c>
      <c r="F933" s="393" t="s">
        <v>1375</v>
      </c>
      <c r="G933" s="393" t="s">
        <v>998</v>
      </c>
      <c r="H933" s="393" t="s">
        <v>1038</v>
      </c>
      <c r="I933" s="392"/>
      <c r="J933" s="392"/>
      <c r="K933" s="392" t="s">
        <v>5287</v>
      </c>
      <c r="L933" s="392" t="s">
        <v>1039</v>
      </c>
      <c r="M933" s="392"/>
      <c r="N933" s="393" t="s">
        <v>44</v>
      </c>
      <c r="O933" s="393" t="s">
        <v>51</v>
      </c>
      <c r="P933" s="393" t="s">
        <v>51</v>
      </c>
      <c r="Q933" s="392" t="s">
        <v>976</v>
      </c>
      <c r="R933" s="392" t="s">
        <v>3339</v>
      </c>
      <c r="S933" s="392" t="s">
        <v>166</v>
      </c>
      <c r="T933" s="394">
        <v>1</v>
      </c>
      <c r="U933" s="395">
        <v>69.668000000000006</v>
      </c>
      <c r="V933" s="395"/>
      <c r="W933" s="453"/>
      <c r="X933" s="394"/>
      <c r="Y933" s="394">
        <v>7</v>
      </c>
      <c r="Z933" s="394">
        <v>21</v>
      </c>
      <c r="AA933" s="395">
        <v>8.7080000000000002</v>
      </c>
      <c r="AB933" s="452">
        <v>41487</v>
      </c>
      <c r="AC933" s="398">
        <v>0</v>
      </c>
      <c r="AD933" s="398">
        <v>517.0701698630138</v>
      </c>
      <c r="AE933" s="393" t="s">
        <v>54</v>
      </c>
      <c r="AF933" s="417"/>
      <c r="AG933" s="417"/>
      <c r="AH933" s="417"/>
      <c r="AI933" s="394"/>
      <c r="AJ933" s="453"/>
      <c r="AK933" s="453"/>
      <c r="AL933" s="393"/>
      <c r="AM933" s="393"/>
      <c r="AN933" s="417"/>
      <c r="AO933" s="392"/>
      <c r="AP933" s="392"/>
      <c r="AQ933" s="392"/>
      <c r="AR933" s="392" t="s">
        <v>1040</v>
      </c>
      <c r="AS933" s="480"/>
      <c r="AT933" s="397"/>
      <c r="AU933" s="397"/>
      <c r="AV933" s="453"/>
      <c r="AW933" s="453"/>
      <c r="AX933" s="453"/>
      <c r="AY933" s="453"/>
      <c r="AZ933" s="452">
        <v>41456</v>
      </c>
      <c r="BA933" s="393"/>
      <c r="BB933" s="393"/>
      <c r="BC933" s="393" t="b">
        <v>0</v>
      </c>
      <c r="BD933" s="393"/>
      <c r="BE933" s="392"/>
      <c r="BF933" s="394">
        <v>4</v>
      </c>
      <c r="BG933" s="394">
        <v>1</v>
      </c>
      <c r="BH933" s="394">
        <v>6</v>
      </c>
      <c r="BI933" s="394">
        <v>5</v>
      </c>
      <c r="BJ933" s="394">
        <v>9</v>
      </c>
      <c r="BK933" s="394"/>
      <c r="BL933" s="444" t="s">
        <v>6981</v>
      </c>
      <c r="BM933" s="392"/>
      <c r="BN933" s="393"/>
      <c r="BO933" s="393"/>
      <c r="BP933" s="399"/>
      <c r="BQ933" s="400"/>
      <c r="BR933" s="401"/>
      <c r="BS933" s="399"/>
      <c r="BT933" s="394"/>
      <c r="BU933" s="417"/>
      <c r="BV933" s="399"/>
      <c r="BW933" s="393" t="s">
        <v>3117</v>
      </c>
      <c r="BX933" s="392" t="s">
        <v>4364</v>
      </c>
      <c r="BY933" s="393" t="s">
        <v>7227</v>
      </c>
      <c r="BZ933" s="393"/>
      <c r="CA933" s="441"/>
      <c r="CB933" s="400"/>
      <c r="CC933" s="398"/>
      <c r="CD933" s="398"/>
      <c r="CE933" s="398"/>
      <c r="CF933" s="398"/>
      <c r="CG933" s="398"/>
      <c r="CH933" s="398"/>
      <c r="CI933" s="398">
        <v>39.329000000000001</v>
      </c>
      <c r="CJ933" s="398">
        <v>55.06</v>
      </c>
      <c r="CK933" s="398">
        <v>62.926000000000002</v>
      </c>
      <c r="CL933" s="398">
        <v>70.790999999999997</v>
      </c>
      <c r="CM933" s="398">
        <v>78.656999999999996</v>
      </c>
      <c r="CN933" s="398">
        <v>86.522999999999996</v>
      </c>
      <c r="CO933" s="398">
        <v>94.388000000000005</v>
      </c>
      <c r="CP933" s="398"/>
      <c r="CQ933" s="398"/>
      <c r="CR933" s="398"/>
      <c r="CS933" s="398"/>
      <c r="CT933" s="398"/>
      <c r="CU933" s="398"/>
      <c r="CV933" s="398"/>
      <c r="CW933" s="398"/>
      <c r="CX933" s="398"/>
      <c r="CY933" s="398"/>
      <c r="CZ933" s="398"/>
      <c r="DA933" s="398"/>
      <c r="DB933" s="398"/>
      <c r="DC933" s="398"/>
      <c r="DD933" s="398"/>
      <c r="DE933" s="393"/>
      <c r="DF933" s="393"/>
      <c r="DG933" s="393"/>
      <c r="DH933" s="393"/>
      <c r="DI933" s="393"/>
      <c r="DJ933" s="393"/>
      <c r="DK933" s="897"/>
    </row>
    <row r="934" spans="1:115" ht="51" x14ac:dyDescent="0.2">
      <c r="A934" s="295">
        <v>930</v>
      </c>
      <c r="B934" s="390" t="s">
        <v>5288</v>
      </c>
      <c r="C934" s="390"/>
      <c r="D934" s="391" t="s">
        <v>5289</v>
      </c>
      <c r="E934" s="704" t="s">
        <v>5290</v>
      </c>
      <c r="F934" s="393" t="s">
        <v>1375</v>
      </c>
      <c r="G934" s="393" t="s">
        <v>998</v>
      </c>
      <c r="H934" s="393" t="s">
        <v>1038</v>
      </c>
      <c r="I934" s="392"/>
      <c r="J934" s="392"/>
      <c r="K934" s="392" t="s">
        <v>5291</v>
      </c>
      <c r="L934" s="392" t="s">
        <v>1039</v>
      </c>
      <c r="M934" s="392"/>
      <c r="N934" s="393" t="s">
        <v>44</v>
      </c>
      <c r="O934" s="393" t="s">
        <v>51</v>
      </c>
      <c r="P934" s="393" t="s">
        <v>51</v>
      </c>
      <c r="Q934" s="392" t="s">
        <v>976</v>
      </c>
      <c r="R934" s="392" t="s">
        <v>3339</v>
      </c>
      <c r="S934" s="392" t="s">
        <v>166</v>
      </c>
      <c r="T934" s="394">
        <v>1</v>
      </c>
      <c r="U934" s="395">
        <v>66.685000000000002</v>
      </c>
      <c r="V934" s="395"/>
      <c r="W934" s="453"/>
      <c r="X934" s="394"/>
      <c r="Y934" s="394">
        <v>7</v>
      </c>
      <c r="Z934" s="394">
        <v>21</v>
      </c>
      <c r="AA934" s="395">
        <v>8.3350000000000009</v>
      </c>
      <c r="AB934" s="452">
        <v>41487</v>
      </c>
      <c r="AC934" s="398">
        <v>0</v>
      </c>
      <c r="AD934" s="398">
        <v>494.93058904109591</v>
      </c>
      <c r="AE934" s="393" t="s">
        <v>54</v>
      </c>
      <c r="AF934" s="417"/>
      <c r="AG934" s="417"/>
      <c r="AH934" s="417"/>
      <c r="AI934" s="394"/>
      <c r="AJ934" s="453"/>
      <c r="AK934" s="453"/>
      <c r="AL934" s="393"/>
      <c r="AM934" s="393"/>
      <c r="AN934" s="417"/>
      <c r="AO934" s="392"/>
      <c r="AP934" s="392"/>
      <c r="AQ934" s="392"/>
      <c r="AR934" s="392" t="s">
        <v>1040</v>
      </c>
      <c r="AS934" s="480"/>
      <c r="AT934" s="453"/>
      <c r="AU934" s="453"/>
      <c r="AV934" s="453"/>
      <c r="AW934" s="453"/>
      <c r="AX934" s="453"/>
      <c r="AY934" s="453"/>
      <c r="AZ934" s="452">
        <v>41456</v>
      </c>
      <c r="BA934" s="393"/>
      <c r="BB934" s="393"/>
      <c r="BC934" s="393" t="b">
        <v>0</v>
      </c>
      <c r="BD934" s="393"/>
      <c r="BE934" s="392"/>
      <c r="BF934" s="394">
        <v>4</v>
      </c>
      <c r="BG934" s="394">
        <v>1</v>
      </c>
      <c r="BH934" s="394">
        <v>6</v>
      </c>
      <c r="BI934" s="394">
        <v>5</v>
      </c>
      <c r="BJ934" s="394">
        <v>9</v>
      </c>
      <c r="BK934" s="394"/>
      <c r="BL934" s="444" t="s">
        <v>6981</v>
      </c>
      <c r="BM934" s="392"/>
      <c r="BN934" s="393"/>
      <c r="BO934" s="393"/>
      <c r="BP934" s="399"/>
      <c r="BQ934" s="400"/>
      <c r="BR934" s="401"/>
      <c r="BS934" s="399"/>
      <c r="BT934" s="394"/>
      <c r="BU934" s="417"/>
      <c r="BV934" s="399"/>
      <c r="BW934" s="393" t="s">
        <v>3117</v>
      </c>
      <c r="BX934" s="392" t="s">
        <v>4364</v>
      </c>
      <c r="BY934" s="393" t="s">
        <v>7227</v>
      </c>
      <c r="BZ934" s="393"/>
      <c r="CA934" s="441"/>
      <c r="CB934" s="400"/>
      <c r="CC934" s="398"/>
      <c r="CD934" s="398"/>
      <c r="CE934" s="398"/>
      <c r="CF934" s="398"/>
      <c r="CG934" s="398"/>
      <c r="CH934" s="398"/>
      <c r="CI934" s="398">
        <v>37.645000000000003</v>
      </c>
      <c r="CJ934" s="398">
        <v>52.703000000000003</v>
      </c>
      <c r="CK934" s="398">
        <v>60.231999999999999</v>
      </c>
      <c r="CL934" s="398">
        <v>67.760000000000005</v>
      </c>
      <c r="CM934" s="398">
        <v>75.289000000000001</v>
      </c>
      <c r="CN934" s="398">
        <v>82.817999999999998</v>
      </c>
      <c r="CO934" s="398">
        <v>90.346999999999994</v>
      </c>
      <c r="CP934" s="398"/>
      <c r="CQ934" s="398"/>
      <c r="CR934" s="398"/>
      <c r="CS934" s="398"/>
      <c r="CT934" s="398"/>
      <c r="CU934" s="398"/>
      <c r="CV934" s="398"/>
      <c r="CW934" s="398"/>
      <c r="CX934" s="398"/>
      <c r="CY934" s="398"/>
      <c r="CZ934" s="398"/>
      <c r="DA934" s="398"/>
      <c r="DB934" s="398"/>
      <c r="DC934" s="398"/>
      <c r="DD934" s="398"/>
      <c r="DE934" s="393"/>
      <c r="DF934" s="393"/>
      <c r="DG934" s="393"/>
      <c r="DH934" s="393"/>
      <c r="DI934" s="393"/>
      <c r="DJ934" s="393"/>
      <c r="DK934" s="897"/>
    </row>
    <row r="935" spans="1:115" ht="51" x14ac:dyDescent="0.2">
      <c r="A935" s="295">
        <v>931</v>
      </c>
      <c r="B935" s="390" t="s">
        <v>5292</v>
      </c>
      <c r="C935" s="390"/>
      <c r="D935" s="391" t="s">
        <v>5293</v>
      </c>
      <c r="E935" s="704" t="s">
        <v>5294</v>
      </c>
      <c r="F935" s="393" t="s">
        <v>1375</v>
      </c>
      <c r="G935" s="393" t="s">
        <v>998</v>
      </c>
      <c r="H935" s="393" t="s">
        <v>1038</v>
      </c>
      <c r="I935" s="392"/>
      <c r="J935" s="392"/>
      <c r="K935" s="392" t="s">
        <v>5295</v>
      </c>
      <c r="L935" s="392" t="s">
        <v>1039</v>
      </c>
      <c r="M935" s="392"/>
      <c r="N935" s="393" t="s">
        <v>44</v>
      </c>
      <c r="O935" s="393" t="s">
        <v>51</v>
      </c>
      <c r="P935" s="393" t="s">
        <v>51</v>
      </c>
      <c r="Q935" s="392" t="s">
        <v>976</v>
      </c>
      <c r="R935" s="392" t="s">
        <v>3339</v>
      </c>
      <c r="S935" s="392" t="s">
        <v>166</v>
      </c>
      <c r="T935" s="394">
        <v>1</v>
      </c>
      <c r="U935" s="395">
        <v>84.572000000000003</v>
      </c>
      <c r="V935" s="395"/>
      <c r="W935" s="453"/>
      <c r="X935" s="394"/>
      <c r="Y935" s="394">
        <v>7</v>
      </c>
      <c r="Z935" s="394">
        <v>21</v>
      </c>
      <c r="AA935" s="395">
        <v>10.571999999999999</v>
      </c>
      <c r="AB935" s="452">
        <v>41487</v>
      </c>
      <c r="AC935" s="398">
        <v>0</v>
      </c>
      <c r="AD935" s="398">
        <v>627.68643287671239</v>
      </c>
      <c r="AE935" s="393" t="s">
        <v>54</v>
      </c>
      <c r="AF935" s="417"/>
      <c r="AG935" s="417"/>
      <c r="AH935" s="417"/>
      <c r="AI935" s="394"/>
      <c r="AJ935" s="453"/>
      <c r="AK935" s="453"/>
      <c r="AL935" s="393"/>
      <c r="AM935" s="393"/>
      <c r="AN935" s="417"/>
      <c r="AO935" s="392"/>
      <c r="AP935" s="392"/>
      <c r="AQ935" s="392"/>
      <c r="AR935" s="392" t="s">
        <v>1040</v>
      </c>
      <c r="AS935" s="480"/>
      <c r="AT935" s="453"/>
      <c r="AU935" s="453"/>
      <c r="AV935" s="453"/>
      <c r="AW935" s="453"/>
      <c r="AX935" s="453"/>
      <c r="AY935" s="453"/>
      <c r="AZ935" s="452">
        <v>41456</v>
      </c>
      <c r="BA935" s="393"/>
      <c r="BB935" s="393"/>
      <c r="BC935" s="393" t="b">
        <v>0</v>
      </c>
      <c r="BD935" s="393"/>
      <c r="BE935" s="392"/>
      <c r="BF935" s="394">
        <v>4</v>
      </c>
      <c r="BG935" s="394">
        <v>1</v>
      </c>
      <c r="BH935" s="394">
        <v>6</v>
      </c>
      <c r="BI935" s="394">
        <v>5</v>
      </c>
      <c r="BJ935" s="394">
        <v>9</v>
      </c>
      <c r="BK935" s="394"/>
      <c r="BL935" s="444" t="s">
        <v>6981</v>
      </c>
      <c r="BM935" s="392"/>
      <c r="BN935" s="393"/>
      <c r="BO935" s="393"/>
      <c r="BP935" s="399"/>
      <c r="BQ935" s="400"/>
      <c r="BR935" s="401"/>
      <c r="BS935" s="399"/>
      <c r="BT935" s="394"/>
      <c r="BU935" s="417"/>
      <c r="BV935" s="399"/>
      <c r="BW935" s="393" t="s">
        <v>3117</v>
      </c>
      <c r="BX935" s="392" t="s">
        <v>4364</v>
      </c>
      <c r="BY935" s="393" t="s">
        <v>7227</v>
      </c>
      <c r="BZ935" s="393"/>
      <c r="CA935" s="441"/>
      <c r="CB935" s="400"/>
      <c r="CC935" s="398"/>
      <c r="CD935" s="398"/>
      <c r="CE935" s="398"/>
      <c r="CF935" s="398"/>
      <c r="CG935" s="398"/>
      <c r="CH935" s="398"/>
      <c r="CI935" s="398">
        <v>47.741999999999997</v>
      </c>
      <c r="CJ935" s="398">
        <v>66.838999999999999</v>
      </c>
      <c r="CK935" s="398">
        <v>76.388000000000005</v>
      </c>
      <c r="CL935" s="398">
        <v>85.936000000000007</v>
      </c>
      <c r="CM935" s="398">
        <v>95.484999999999999</v>
      </c>
      <c r="CN935" s="398">
        <v>105.033</v>
      </c>
      <c r="CO935" s="398">
        <v>114.581</v>
      </c>
      <c r="CP935" s="398"/>
      <c r="CQ935" s="398"/>
      <c r="CR935" s="398"/>
      <c r="CS935" s="398"/>
      <c r="CT935" s="398"/>
      <c r="CU935" s="398"/>
      <c r="CV935" s="398"/>
      <c r="CW935" s="398"/>
      <c r="CX935" s="398"/>
      <c r="CY935" s="398"/>
      <c r="CZ935" s="398"/>
      <c r="DA935" s="398"/>
      <c r="DB935" s="398"/>
      <c r="DC935" s="398"/>
      <c r="DD935" s="398"/>
      <c r="DE935" s="393"/>
      <c r="DF935" s="393"/>
      <c r="DG935" s="393"/>
      <c r="DH935" s="393"/>
      <c r="DI935" s="393"/>
      <c r="DJ935" s="393"/>
      <c r="DK935" s="897"/>
    </row>
    <row r="936" spans="1:115" ht="51" x14ac:dyDescent="0.2">
      <c r="A936" s="295">
        <v>932</v>
      </c>
      <c r="B936" s="390" t="s">
        <v>5296</v>
      </c>
      <c r="C936" s="390"/>
      <c r="D936" s="391" t="s">
        <v>5297</v>
      </c>
      <c r="E936" s="704" t="s">
        <v>5298</v>
      </c>
      <c r="F936" s="393" t="s">
        <v>1375</v>
      </c>
      <c r="G936" s="393" t="s">
        <v>998</v>
      </c>
      <c r="H936" s="393" t="s">
        <v>1038</v>
      </c>
      <c r="I936" s="392"/>
      <c r="J936" s="392"/>
      <c r="K936" s="392" t="s">
        <v>5299</v>
      </c>
      <c r="L936" s="392" t="s">
        <v>1039</v>
      </c>
      <c r="M936" s="392"/>
      <c r="N936" s="393" t="s">
        <v>44</v>
      </c>
      <c r="O936" s="393" t="s">
        <v>51</v>
      </c>
      <c r="P936" s="393" t="s">
        <v>51</v>
      </c>
      <c r="Q936" s="392" t="s">
        <v>976</v>
      </c>
      <c r="R936" s="392" t="s">
        <v>3339</v>
      </c>
      <c r="S936" s="392" t="s">
        <v>166</v>
      </c>
      <c r="T936" s="394">
        <v>1</v>
      </c>
      <c r="U936" s="395">
        <v>59.295999999999999</v>
      </c>
      <c r="V936" s="395"/>
      <c r="W936" s="453"/>
      <c r="X936" s="394"/>
      <c r="Y936" s="394">
        <v>7</v>
      </c>
      <c r="Z936" s="394">
        <v>21</v>
      </c>
      <c r="AA936" s="395">
        <v>7.4119999999999999</v>
      </c>
      <c r="AB936" s="452">
        <v>41487</v>
      </c>
      <c r="AC936" s="398">
        <v>0</v>
      </c>
      <c r="AD936" s="398">
        <v>440.09003835616437</v>
      </c>
      <c r="AE936" s="393" t="s">
        <v>54</v>
      </c>
      <c r="AF936" s="417"/>
      <c r="AG936" s="417"/>
      <c r="AH936" s="417"/>
      <c r="AI936" s="394"/>
      <c r="AJ936" s="453"/>
      <c r="AK936" s="453"/>
      <c r="AL936" s="393"/>
      <c r="AM936" s="393"/>
      <c r="AN936" s="417"/>
      <c r="AO936" s="392"/>
      <c r="AP936" s="392"/>
      <c r="AQ936" s="392"/>
      <c r="AR936" s="392" t="s">
        <v>1040</v>
      </c>
      <c r="AS936" s="480"/>
      <c r="AT936" s="453"/>
      <c r="AU936" s="453"/>
      <c r="AV936" s="453"/>
      <c r="AW936" s="453"/>
      <c r="AX936" s="453"/>
      <c r="AY936" s="453"/>
      <c r="AZ936" s="452">
        <v>41456</v>
      </c>
      <c r="BA936" s="393"/>
      <c r="BB936" s="393"/>
      <c r="BC936" s="393" t="b">
        <v>0</v>
      </c>
      <c r="BD936" s="393"/>
      <c r="BE936" s="392"/>
      <c r="BF936" s="394">
        <v>4</v>
      </c>
      <c r="BG936" s="394">
        <v>1</v>
      </c>
      <c r="BH936" s="394">
        <v>6</v>
      </c>
      <c r="BI936" s="394">
        <v>5</v>
      </c>
      <c r="BJ936" s="394">
        <v>9</v>
      </c>
      <c r="BK936" s="394"/>
      <c r="BL936" s="444" t="s">
        <v>6981</v>
      </c>
      <c r="BM936" s="392"/>
      <c r="BN936" s="393"/>
      <c r="BO936" s="393"/>
      <c r="BP936" s="399"/>
      <c r="BQ936" s="400"/>
      <c r="BR936" s="401"/>
      <c r="BS936" s="399"/>
      <c r="BT936" s="394"/>
      <c r="BU936" s="417"/>
      <c r="BV936" s="399"/>
      <c r="BW936" s="393" t="s">
        <v>3117</v>
      </c>
      <c r="BX936" s="392" t="s">
        <v>4364</v>
      </c>
      <c r="BY936" s="393" t="s">
        <v>7227</v>
      </c>
      <c r="BZ936" s="393"/>
      <c r="CA936" s="441"/>
      <c r="CB936" s="400"/>
      <c r="CC936" s="398"/>
      <c r="CD936" s="398"/>
      <c r="CE936" s="398"/>
      <c r="CF936" s="398"/>
      <c r="CG936" s="398"/>
      <c r="CH936" s="398"/>
      <c r="CI936" s="398">
        <v>33.473999999999997</v>
      </c>
      <c r="CJ936" s="398">
        <v>46.863</v>
      </c>
      <c r="CK936" s="398">
        <v>53.558</v>
      </c>
      <c r="CL936" s="398">
        <v>60.253</v>
      </c>
      <c r="CM936" s="398">
        <v>66.947000000000003</v>
      </c>
      <c r="CN936" s="398">
        <v>73.641999999999996</v>
      </c>
      <c r="CO936" s="398">
        <v>80.337000000000003</v>
      </c>
      <c r="CP936" s="398"/>
      <c r="CQ936" s="398"/>
      <c r="CR936" s="398"/>
      <c r="CS936" s="398"/>
      <c r="CT936" s="398"/>
      <c r="CU936" s="398"/>
      <c r="CV936" s="398"/>
      <c r="CW936" s="398"/>
      <c r="CX936" s="398"/>
      <c r="CY936" s="398"/>
      <c r="CZ936" s="398"/>
      <c r="DA936" s="398"/>
      <c r="DB936" s="398"/>
      <c r="DC936" s="398"/>
      <c r="DD936" s="398"/>
      <c r="DE936" s="393"/>
      <c r="DF936" s="393"/>
      <c r="DG936" s="393"/>
      <c r="DH936" s="393"/>
      <c r="DI936" s="393"/>
      <c r="DJ936" s="393"/>
      <c r="DK936" s="897"/>
    </row>
    <row r="937" spans="1:115" ht="51" x14ac:dyDescent="0.2">
      <c r="A937" s="295">
        <v>933</v>
      </c>
      <c r="B937" s="390" t="s">
        <v>5300</v>
      </c>
      <c r="C937" s="390"/>
      <c r="D937" s="391" t="s">
        <v>5301</v>
      </c>
      <c r="E937" s="704" t="s">
        <v>5302</v>
      </c>
      <c r="F937" s="393" t="s">
        <v>1375</v>
      </c>
      <c r="G937" s="393" t="s">
        <v>998</v>
      </c>
      <c r="H937" s="393" t="s">
        <v>1038</v>
      </c>
      <c r="I937" s="392"/>
      <c r="J937" s="392"/>
      <c r="K937" s="392" t="s">
        <v>5303</v>
      </c>
      <c r="L937" s="392" t="s">
        <v>1039</v>
      </c>
      <c r="M937" s="392"/>
      <c r="N937" s="393" t="s">
        <v>44</v>
      </c>
      <c r="O937" s="393" t="s">
        <v>51</v>
      </c>
      <c r="P937" s="393" t="s">
        <v>51</v>
      </c>
      <c r="Q937" s="392" t="s">
        <v>976</v>
      </c>
      <c r="R937" s="392" t="s">
        <v>3339</v>
      </c>
      <c r="S937" s="392" t="s">
        <v>166</v>
      </c>
      <c r="T937" s="394">
        <v>1</v>
      </c>
      <c r="U937" s="395">
        <v>47.726999999999997</v>
      </c>
      <c r="V937" s="395"/>
      <c r="W937" s="453"/>
      <c r="X937" s="394"/>
      <c r="Y937" s="394">
        <v>7</v>
      </c>
      <c r="Z937" s="394">
        <v>21</v>
      </c>
      <c r="AA937" s="395">
        <v>5.9660000000000002</v>
      </c>
      <c r="AB937" s="452">
        <v>41487</v>
      </c>
      <c r="AC937" s="398">
        <v>0</v>
      </c>
      <c r="AD937" s="398">
        <v>354.22587123287667</v>
      </c>
      <c r="AE937" s="393" t="s">
        <v>54</v>
      </c>
      <c r="AF937" s="417"/>
      <c r="AG937" s="417"/>
      <c r="AH937" s="417"/>
      <c r="AI937" s="394"/>
      <c r="AJ937" s="453"/>
      <c r="AK937" s="453"/>
      <c r="AL937" s="393"/>
      <c r="AM937" s="393"/>
      <c r="AN937" s="417"/>
      <c r="AO937" s="392"/>
      <c r="AP937" s="392"/>
      <c r="AQ937" s="392"/>
      <c r="AR937" s="392" t="s">
        <v>1040</v>
      </c>
      <c r="AS937" s="480"/>
      <c r="AT937" s="453"/>
      <c r="AU937" s="453"/>
      <c r="AV937" s="453"/>
      <c r="AW937" s="453"/>
      <c r="AX937" s="453"/>
      <c r="AY937" s="453"/>
      <c r="AZ937" s="452">
        <v>41456</v>
      </c>
      <c r="BA937" s="393"/>
      <c r="BB937" s="393"/>
      <c r="BC937" s="393" t="b">
        <v>0</v>
      </c>
      <c r="BD937" s="393"/>
      <c r="BE937" s="392"/>
      <c r="BF937" s="394">
        <v>4</v>
      </c>
      <c r="BG937" s="394">
        <v>1</v>
      </c>
      <c r="BH937" s="394">
        <v>6</v>
      </c>
      <c r="BI937" s="394">
        <v>5</v>
      </c>
      <c r="BJ937" s="394">
        <v>9</v>
      </c>
      <c r="BK937" s="394"/>
      <c r="BL937" s="444" t="s">
        <v>6981</v>
      </c>
      <c r="BM937" s="392"/>
      <c r="BN937" s="393"/>
      <c r="BO937" s="393"/>
      <c r="BP937" s="399"/>
      <c r="BQ937" s="400"/>
      <c r="BR937" s="401"/>
      <c r="BS937" s="399"/>
      <c r="BT937" s="394"/>
      <c r="BU937" s="417"/>
      <c r="BV937" s="399"/>
      <c r="BW937" s="393" t="s">
        <v>3117</v>
      </c>
      <c r="BX937" s="392" t="s">
        <v>4364</v>
      </c>
      <c r="BY937" s="393" t="s">
        <v>7227</v>
      </c>
      <c r="BZ937" s="393"/>
      <c r="CA937" s="441"/>
      <c r="CB937" s="400"/>
      <c r="CC937" s="398"/>
      <c r="CD937" s="398"/>
      <c r="CE937" s="398"/>
      <c r="CF937" s="398"/>
      <c r="CG937" s="398"/>
      <c r="CH937" s="398"/>
      <c r="CI937" s="398">
        <v>26.942</v>
      </c>
      <c r="CJ937" s="398">
        <v>37.719000000000001</v>
      </c>
      <c r="CK937" s="398">
        <v>43.107999999999997</v>
      </c>
      <c r="CL937" s="398">
        <v>48.496000000000002</v>
      </c>
      <c r="CM937" s="398">
        <v>53.884999999999998</v>
      </c>
      <c r="CN937" s="398">
        <v>59.273000000000003</v>
      </c>
      <c r="CO937" s="398">
        <v>64.662000000000006</v>
      </c>
      <c r="CP937" s="398"/>
      <c r="CQ937" s="398"/>
      <c r="CR937" s="398"/>
      <c r="CS937" s="398"/>
      <c r="CT937" s="398"/>
      <c r="CU937" s="398"/>
      <c r="CV937" s="398"/>
      <c r="CW937" s="398"/>
      <c r="CX937" s="398"/>
      <c r="CY937" s="398"/>
      <c r="CZ937" s="398"/>
      <c r="DA937" s="398"/>
      <c r="DB937" s="398"/>
      <c r="DC937" s="398"/>
      <c r="DD937" s="398"/>
      <c r="DE937" s="393"/>
      <c r="DF937" s="393"/>
      <c r="DG937" s="393"/>
      <c r="DH937" s="393"/>
      <c r="DI937" s="393"/>
      <c r="DJ937" s="393"/>
      <c r="DK937" s="897"/>
    </row>
    <row r="938" spans="1:115" ht="51" x14ac:dyDescent="0.2">
      <c r="A938" s="295">
        <v>934</v>
      </c>
      <c r="B938" s="390" t="s">
        <v>5304</v>
      </c>
      <c r="C938" s="390"/>
      <c r="D938" s="391" t="s">
        <v>5305</v>
      </c>
      <c r="E938" s="704" t="s">
        <v>5306</v>
      </c>
      <c r="F938" s="393" t="s">
        <v>1375</v>
      </c>
      <c r="G938" s="393" t="s">
        <v>998</v>
      </c>
      <c r="H938" s="393" t="s">
        <v>1038</v>
      </c>
      <c r="I938" s="392"/>
      <c r="J938" s="392"/>
      <c r="K938" s="392" t="s">
        <v>5307</v>
      </c>
      <c r="L938" s="392" t="s">
        <v>1039</v>
      </c>
      <c r="M938" s="392"/>
      <c r="N938" s="393" t="s">
        <v>44</v>
      </c>
      <c r="O938" s="393" t="s">
        <v>51</v>
      </c>
      <c r="P938" s="393" t="s">
        <v>51</v>
      </c>
      <c r="Q938" s="392" t="s">
        <v>976</v>
      </c>
      <c r="R938" s="392" t="s">
        <v>3339</v>
      </c>
      <c r="S938" s="392" t="s">
        <v>166</v>
      </c>
      <c r="T938" s="394">
        <v>1</v>
      </c>
      <c r="U938" s="395">
        <v>98.331999999999994</v>
      </c>
      <c r="V938" s="395"/>
      <c r="W938" s="453"/>
      <c r="X938" s="394"/>
      <c r="Y938" s="394">
        <v>7</v>
      </c>
      <c r="Z938" s="394">
        <v>21</v>
      </c>
      <c r="AA938" s="395">
        <v>12.292</v>
      </c>
      <c r="AB938" s="452">
        <v>41487</v>
      </c>
      <c r="AC938" s="398">
        <v>0</v>
      </c>
      <c r="AD938" s="398">
        <v>729.81202191780812</v>
      </c>
      <c r="AE938" s="393" t="s">
        <v>54</v>
      </c>
      <c r="AF938" s="417"/>
      <c r="AG938" s="417"/>
      <c r="AH938" s="417"/>
      <c r="AI938" s="394"/>
      <c r="AJ938" s="453"/>
      <c r="AK938" s="453"/>
      <c r="AL938" s="393"/>
      <c r="AM938" s="393"/>
      <c r="AN938" s="417"/>
      <c r="AO938" s="392"/>
      <c r="AP938" s="392"/>
      <c r="AQ938" s="392"/>
      <c r="AR938" s="392" t="s">
        <v>1040</v>
      </c>
      <c r="AS938" s="480"/>
      <c r="AT938" s="453"/>
      <c r="AU938" s="453"/>
      <c r="AV938" s="453"/>
      <c r="AW938" s="453"/>
      <c r="AX938" s="453"/>
      <c r="AY938" s="453"/>
      <c r="AZ938" s="452">
        <v>41456</v>
      </c>
      <c r="BA938" s="393"/>
      <c r="BB938" s="393"/>
      <c r="BC938" s="393" t="b">
        <v>0</v>
      </c>
      <c r="BD938" s="393"/>
      <c r="BE938" s="392"/>
      <c r="BF938" s="394">
        <v>4</v>
      </c>
      <c r="BG938" s="394">
        <v>1</v>
      </c>
      <c r="BH938" s="394">
        <v>6</v>
      </c>
      <c r="BI938" s="394">
        <v>5</v>
      </c>
      <c r="BJ938" s="394">
        <v>9</v>
      </c>
      <c r="BK938" s="394"/>
      <c r="BL938" s="444" t="s">
        <v>6981</v>
      </c>
      <c r="BM938" s="392"/>
      <c r="BN938" s="393"/>
      <c r="BO938" s="393"/>
      <c r="BP938" s="399"/>
      <c r="BQ938" s="400"/>
      <c r="BR938" s="401"/>
      <c r="BS938" s="399"/>
      <c r="BT938" s="394"/>
      <c r="BU938" s="417"/>
      <c r="BV938" s="399"/>
      <c r="BW938" s="393" t="s">
        <v>3117</v>
      </c>
      <c r="BX938" s="392" t="s">
        <v>4364</v>
      </c>
      <c r="BY938" s="393" t="s">
        <v>7227</v>
      </c>
      <c r="BZ938" s="393"/>
      <c r="CA938" s="441"/>
      <c r="CB938" s="400"/>
      <c r="CC938" s="398"/>
      <c r="CD938" s="398"/>
      <c r="CE938" s="398"/>
      <c r="CF938" s="398"/>
      <c r="CG938" s="398"/>
      <c r="CH938" s="398"/>
      <c r="CI938" s="398">
        <v>55.51</v>
      </c>
      <c r="CJ938" s="398">
        <v>77.713999999999999</v>
      </c>
      <c r="CK938" s="398">
        <v>88.816000000000003</v>
      </c>
      <c r="CL938" s="398">
        <v>99.918000000000006</v>
      </c>
      <c r="CM938" s="398">
        <v>111.02</v>
      </c>
      <c r="CN938" s="398">
        <v>122.122</v>
      </c>
      <c r="CO938" s="398">
        <v>133.22399999999999</v>
      </c>
      <c r="CP938" s="398"/>
      <c r="CQ938" s="398"/>
      <c r="CR938" s="398"/>
      <c r="CS938" s="398"/>
      <c r="CT938" s="398"/>
      <c r="CU938" s="398"/>
      <c r="CV938" s="398"/>
      <c r="CW938" s="398"/>
      <c r="CX938" s="398"/>
      <c r="CY938" s="398"/>
      <c r="CZ938" s="398"/>
      <c r="DA938" s="398"/>
      <c r="DB938" s="398"/>
      <c r="DC938" s="398"/>
      <c r="DD938" s="398"/>
      <c r="DE938" s="393"/>
      <c r="DF938" s="393"/>
      <c r="DG938" s="393"/>
      <c r="DH938" s="393"/>
      <c r="DI938" s="393"/>
      <c r="DJ938" s="393"/>
      <c r="DK938" s="897"/>
    </row>
    <row r="939" spans="1:115" ht="51" x14ac:dyDescent="0.2">
      <c r="A939" s="295">
        <v>935</v>
      </c>
      <c r="B939" s="390" t="s">
        <v>5308</v>
      </c>
      <c r="C939" s="390"/>
      <c r="D939" s="391" t="s">
        <v>5309</v>
      </c>
      <c r="E939" s="704" t="s">
        <v>5310</v>
      </c>
      <c r="F939" s="393" t="s">
        <v>1375</v>
      </c>
      <c r="G939" s="393" t="s">
        <v>998</v>
      </c>
      <c r="H939" s="393" t="s">
        <v>1038</v>
      </c>
      <c r="I939" s="392"/>
      <c r="J939" s="392"/>
      <c r="K939" s="392" t="s">
        <v>5311</v>
      </c>
      <c r="L939" s="392" t="s">
        <v>1039</v>
      </c>
      <c r="M939" s="392"/>
      <c r="N939" s="393" t="s">
        <v>44</v>
      </c>
      <c r="O939" s="393" t="s">
        <v>51</v>
      </c>
      <c r="P939" s="393" t="s">
        <v>51</v>
      </c>
      <c r="Q939" s="392" t="s">
        <v>976</v>
      </c>
      <c r="R939" s="392" t="s">
        <v>3339</v>
      </c>
      <c r="S939" s="392" t="s">
        <v>166</v>
      </c>
      <c r="T939" s="394">
        <v>1</v>
      </c>
      <c r="U939" s="395">
        <v>97.513000000000005</v>
      </c>
      <c r="V939" s="395"/>
      <c r="W939" s="453"/>
      <c r="X939" s="394"/>
      <c r="Y939" s="394">
        <v>7</v>
      </c>
      <c r="Z939" s="394">
        <v>21</v>
      </c>
      <c r="AA939" s="395">
        <v>12.189</v>
      </c>
      <c r="AB939" s="452">
        <v>41487</v>
      </c>
      <c r="AC939" s="398">
        <v>0</v>
      </c>
      <c r="AD939" s="398">
        <v>723.7334712328767</v>
      </c>
      <c r="AE939" s="393" t="s">
        <v>54</v>
      </c>
      <c r="AF939" s="417"/>
      <c r="AG939" s="417"/>
      <c r="AH939" s="417"/>
      <c r="AI939" s="394"/>
      <c r="AJ939" s="453"/>
      <c r="AK939" s="453"/>
      <c r="AL939" s="393"/>
      <c r="AM939" s="393"/>
      <c r="AN939" s="417"/>
      <c r="AO939" s="392"/>
      <c r="AP939" s="392"/>
      <c r="AQ939" s="392"/>
      <c r="AR939" s="392" t="s">
        <v>1040</v>
      </c>
      <c r="AS939" s="480"/>
      <c r="AT939" s="453"/>
      <c r="AU939" s="453"/>
      <c r="AV939" s="453"/>
      <c r="AW939" s="453"/>
      <c r="AX939" s="453"/>
      <c r="AY939" s="453"/>
      <c r="AZ939" s="452">
        <v>41456</v>
      </c>
      <c r="BA939" s="393"/>
      <c r="BB939" s="393"/>
      <c r="BC939" s="393" t="b">
        <v>0</v>
      </c>
      <c r="BD939" s="393"/>
      <c r="BE939" s="392"/>
      <c r="BF939" s="394">
        <v>4</v>
      </c>
      <c r="BG939" s="394">
        <v>1</v>
      </c>
      <c r="BH939" s="394">
        <v>6</v>
      </c>
      <c r="BI939" s="394">
        <v>5</v>
      </c>
      <c r="BJ939" s="394">
        <v>9</v>
      </c>
      <c r="BK939" s="394"/>
      <c r="BL939" s="444" t="s">
        <v>6981</v>
      </c>
      <c r="BM939" s="392"/>
      <c r="BN939" s="393"/>
      <c r="BO939" s="393"/>
      <c r="BP939" s="399"/>
      <c r="BQ939" s="400"/>
      <c r="BR939" s="401"/>
      <c r="BS939" s="399"/>
      <c r="BT939" s="394"/>
      <c r="BU939" s="417"/>
      <c r="BV939" s="399"/>
      <c r="BW939" s="393" t="s">
        <v>3117</v>
      </c>
      <c r="BX939" s="392" t="s">
        <v>4364</v>
      </c>
      <c r="BY939" s="393" t="s">
        <v>7227</v>
      </c>
      <c r="BZ939" s="393"/>
      <c r="CA939" s="441"/>
      <c r="CB939" s="400"/>
      <c r="CC939" s="398"/>
      <c r="CD939" s="398"/>
      <c r="CE939" s="398"/>
      <c r="CF939" s="398"/>
      <c r="CG939" s="398"/>
      <c r="CH939" s="398"/>
      <c r="CI939" s="398">
        <v>55.048000000000002</v>
      </c>
      <c r="CJ939" s="398">
        <v>77.066999999999993</v>
      </c>
      <c r="CK939" s="398">
        <v>88.075999999999993</v>
      </c>
      <c r="CL939" s="398">
        <v>99.085999999999999</v>
      </c>
      <c r="CM939" s="398">
        <v>110.095</v>
      </c>
      <c r="CN939" s="398">
        <v>121.105</v>
      </c>
      <c r="CO939" s="398">
        <v>132.114</v>
      </c>
      <c r="CP939" s="398"/>
      <c r="CQ939" s="398"/>
      <c r="CR939" s="398"/>
      <c r="CS939" s="398"/>
      <c r="CT939" s="398"/>
      <c r="CU939" s="398"/>
      <c r="CV939" s="398"/>
      <c r="CW939" s="398"/>
      <c r="CX939" s="398"/>
      <c r="CY939" s="398"/>
      <c r="CZ939" s="398"/>
      <c r="DA939" s="398"/>
      <c r="DB939" s="398"/>
      <c r="DC939" s="398"/>
      <c r="DD939" s="398"/>
      <c r="DE939" s="393"/>
      <c r="DF939" s="393"/>
      <c r="DG939" s="393"/>
      <c r="DH939" s="393"/>
      <c r="DI939" s="393"/>
      <c r="DJ939" s="393"/>
      <c r="DK939" s="897"/>
    </row>
    <row r="940" spans="1:115" ht="51" x14ac:dyDescent="0.2">
      <c r="A940" s="295">
        <v>936</v>
      </c>
      <c r="B940" s="390" t="s">
        <v>5312</v>
      </c>
      <c r="C940" s="390"/>
      <c r="D940" s="391" t="s">
        <v>5313</v>
      </c>
      <c r="E940" s="704" t="s">
        <v>5314</v>
      </c>
      <c r="F940" s="393" t="s">
        <v>1375</v>
      </c>
      <c r="G940" s="393" t="s">
        <v>998</v>
      </c>
      <c r="H940" s="393" t="s">
        <v>1038</v>
      </c>
      <c r="I940" s="392"/>
      <c r="J940" s="392"/>
      <c r="K940" s="392" t="s">
        <v>5315</v>
      </c>
      <c r="L940" s="392" t="s">
        <v>1039</v>
      </c>
      <c r="M940" s="392"/>
      <c r="N940" s="393" t="s">
        <v>44</v>
      </c>
      <c r="O940" s="393" t="s">
        <v>51</v>
      </c>
      <c r="P940" s="393" t="s">
        <v>51</v>
      </c>
      <c r="Q940" s="392" t="s">
        <v>976</v>
      </c>
      <c r="R940" s="392" t="s">
        <v>3339</v>
      </c>
      <c r="S940" s="392" t="s">
        <v>166</v>
      </c>
      <c r="T940" s="394">
        <v>1</v>
      </c>
      <c r="U940" s="395">
        <v>69.680000000000007</v>
      </c>
      <c r="V940" s="395"/>
      <c r="W940" s="453"/>
      <c r="X940" s="394"/>
      <c r="Y940" s="394">
        <v>7</v>
      </c>
      <c r="Z940" s="394">
        <v>21</v>
      </c>
      <c r="AA940" s="395">
        <v>8.7100000000000009</v>
      </c>
      <c r="AB940" s="452">
        <v>41487</v>
      </c>
      <c r="AC940" s="398">
        <v>0</v>
      </c>
      <c r="AD940" s="398">
        <v>517.15923287671239</v>
      </c>
      <c r="AE940" s="393" t="s">
        <v>54</v>
      </c>
      <c r="AF940" s="417"/>
      <c r="AG940" s="417"/>
      <c r="AH940" s="417"/>
      <c r="AI940" s="394"/>
      <c r="AJ940" s="453"/>
      <c r="AK940" s="453"/>
      <c r="AL940" s="393"/>
      <c r="AM940" s="393"/>
      <c r="AN940" s="417"/>
      <c r="AO940" s="392"/>
      <c r="AP940" s="392"/>
      <c r="AQ940" s="392"/>
      <c r="AR940" s="392" t="s">
        <v>1040</v>
      </c>
      <c r="AS940" s="480"/>
      <c r="AT940" s="453"/>
      <c r="AU940" s="453"/>
      <c r="AV940" s="453"/>
      <c r="AW940" s="453"/>
      <c r="AX940" s="453"/>
      <c r="AY940" s="453"/>
      <c r="AZ940" s="452">
        <v>41456</v>
      </c>
      <c r="BA940" s="393"/>
      <c r="BB940" s="393"/>
      <c r="BC940" s="393" t="b">
        <v>0</v>
      </c>
      <c r="BD940" s="393"/>
      <c r="BE940" s="392"/>
      <c r="BF940" s="394">
        <v>4</v>
      </c>
      <c r="BG940" s="394">
        <v>1</v>
      </c>
      <c r="BH940" s="394">
        <v>6</v>
      </c>
      <c r="BI940" s="394">
        <v>5</v>
      </c>
      <c r="BJ940" s="394">
        <v>9</v>
      </c>
      <c r="BK940" s="394"/>
      <c r="BL940" s="444" t="s">
        <v>6981</v>
      </c>
      <c r="BM940" s="392"/>
      <c r="BN940" s="393"/>
      <c r="BO940" s="393"/>
      <c r="BP940" s="399"/>
      <c r="BQ940" s="400"/>
      <c r="BR940" s="401"/>
      <c r="BS940" s="399"/>
      <c r="BT940" s="394"/>
      <c r="BU940" s="417"/>
      <c r="BV940" s="399"/>
      <c r="BW940" s="393" t="s">
        <v>3117</v>
      </c>
      <c r="BX940" s="392" t="s">
        <v>4364</v>
      </c>
      <c r="BY940" s="393" t="s">
        <v>7227</v>
      </c>
      <c r="BZ940" s="393"/>
      <c r="CA940" s="441"/>
      <c r="CB940" s="400"/>
      <c r="CC940" s="398"/>
      <c r="CD940" s="398"/>
      <c r="CE940" s="398"/>
      <c r="CF940" s="398"/>
      <c r="CG940" s="398"/>
      <c r="CH940" s="398"/>
      <c r="CI940" s="398">
        <v>39.335000000000001</v>
      </c>
      <c r="CJ940" s="398">
        <v>55.07</v>
      </c>
      <c r="CK940" s="398">
        <v>62.936999999999998</v>
      </c>
      <c r="CL940" s="398">
        <v>70.804000000000002</v>
      </c>
      <c r="CM940" s="398">
        <v>78.671000000000006</v>
      </c>
      <c r="CN940" s="398">
        <v>86.537999999999997</v>
      </c>
      <c r="CO940" s="398">
        <v>94.405000000000001</v>
      </c>
      <c r="CP940" s="398"/>
      <c r="CQ940" s="398"/>
      <c r="CR940" s="398"/>
      <c r="CS940" s="398"/>
      <c r="CT940" s="398"/>
      <c r="CU940" s="398"/>
      <c r="CV940" s="398"/>
      <c r="CW940" s="398"/>
      <c r="CX940" s="398"/>
      <c r="CY940" s="398"/>
      <c r="CZ940" s="398"/>
      <c r="DA940" s="398"/>
      <c r="DB940" s="398"/>
      <c r="DC940" s="398"/>
      <c r="DD940" s="398"/>
      <c r="DE940" s="393"/>
      <c r="DF940" s="393"/>
      <c r="DG940" s="393"/>
      <c r="DH940" s="393"/>
      <c r="DI940" s="393"/>
      <c r="DJ940" s="393"/>
      <c r="DK940" s="897"/>
    </row>
    <row r="941" spans="1:115" ht="51" x14ac:dyDescent="0.2">
      <c r="A941" s="295">
        <v>937</v>
      </c>
      <c r="B941" s="390" t="s">
        <v>5316</v>
      </c>
      <c r="C941" s="390"/>
      <c r="D941" s="391" t="s">
        <v>5317</v>
      </c>
      <c r="E941" s="704" t="s">
        <v>5318</v>
      </c>
      <c r="F941" s="393" t="s">
        <v>1375</v>
      </c>
      <c r="G941" s="393" t="s">
        <v>998</v>
      </c>
      <c r="H941" s="393" t="s">
        <v>1038</v>
      </c>
      <c r="I941" s="392"/>
      <c r="J941" s="392"/>
      <c r="K941" s="392" t="s">
        <v>5319</v>
      </c>
      <c r="L941" s="392" t="s">
        <v>1039</v>
      </c>
      <c r="M941" s="392"/>
      <c r="N941" s="393" t="s">
        <v>44</v>
      </c>
      <c r="O941" s="393" t="s">
        <v>51</v>
      </c>
      <c r="P941" s="393" t="s">
        <v>51</v>
      </c>
      <c r="Q941" s="392" t="s">
        <v>976</v>
      </c>
      <c r="R941" s="392" t="s">
        <v>3339</v>
      </c>
      <c r="S941" s="392" t="s">
        <v>166</v>
      </c>
      <c r="T941" s="394">
        <v>1</v>
      </c>
      <c r="U941" s="395">
        <v>86.126000000000005</v>
      </c>
      <c r="V941" s="395"/>
      <c r="W941" s="453"/>
      <c r="X941" s="394"/>
      <c r="Y941" s="394">
        <v>7</v>
      </c>
      <c r="Z941" s="394">
        <v>21</v>
      </c>
      <c r="AA941" s="395">
        <v>10.766</v>
      </c>
      <c r="AB941" s="452">
        <v>41487</v>
      </c>
      <c r="AC941" s="398">
        <v>0</v>
      </c>
      <c r="AD941" s="398">
        <v>639.22009315068499</v>
      </c>
      <c r="AE941" s="393" t="s">
        <v>54</v>
      </c>
      <c r="AF941" s="417"/>
      <c r="AG941" s="417"/>
      <c r="AH941" s="417"/>
      <c r="AI941" s="394"/>
      <c r="AJ941" s="453"/>
      <c r="AK941" s="453"/>
      <c r="AL941" s="393"/>
      <c r="AM941" s="393"/>
      <c r="AN941" s="417"/>
      <c r="AO941" s="392"/>
      <c r="AP941" s="392"/>
      <c r="AQ941" s="392"/>
      <c r="AR941" s="392" t="s">
        <v>1040</v>
      </c>
      <c r="AS941" s="480"/>
      <c r="AT941" s="453"/>
      <c r="AU941" s="453"/>
      <c r="AV941" s="453"/>
      <c r="AW941" s="453"/>
      <c r="AX941" s="453"/>
      <c r="AY941" s="453"/>
      <c r="AZ941" s="452">
        <v>41456</v>
      </c>
      <c r="BA941" s="393"/>
      <c r="BB941" s="393"/>
      <c r="BC941" s="393" t="b">
        <v>0</v>
      </c>
      <c r="BD941" s="393"/>
      <c r="BE941" s="392"/>
      <c r="BF941" s="394">
        <v>4</v>
      </c>
      <c r="BG941" s="394">
        <v>1</v>
      </c>
      <c r="BH941" s="394">
        <v>6</v>
      </c>
      <c r="BI941" s="394">
        <v>5</v>
      </c>
      <c r="BJ941" s="394">
        <v>9</v>
      </c>
      <c r="BK941" s="394"/>
      <c r="BL941" s="444" t="s">
        <v>6981</v>
      </c>
      <c r="BM941" s="392"/>
      <c r="BN941" s="393"/>
      <c r="BO941" s="393"/>
      <c r="BP941" s="399"/>
      <c r="BQ941" s="400"/>
      <c r="BR941" s="401"/>
      <c r="BS941" s="399"/>
      <c r="BT941" s="394"/>
      <c r="BU941" s="417"/>
      <c r="BV941" s="399"/>
      <c r="BW941" s="393" t="s">
        <v>3117</v>
      </c>
      <c r="BX941" s="392" t="s">
        <v>4364</v>
      </c>
      <c r="BY941" s="393" t="s">
        <v>7227</v>
      </c>
      <c r="BZ941" s="393"/>
      <c r="CA941" s="441"/>
      <c r="CB941" s="400"/>
      <c r="CC941" s="398"/>
      <c r="CD941" s="398"/>
      <c r="CE941" s="398"/>
      <c r="CF941" s="398"/>
      <c r="CG941" s="398"/>
      <c r="CH941" s="398"/>
      <c r="CI941" s="398">
        <v>48.62</v>
      </c>
      <c r="CJ941" s="398">
        <v>68.067999999999998</v>
      </c>
      <c r="CK941" s="398">
        <v>77.792000000000002</v>
      </c>
      <c r="CL941" s="398">
        <v>87.516000000000005</v>
      </c>
      <c r="CM941" s="398">
        <v>97.239000000000004</v>
      </c>
      <c r="CN941" s="398">
        <v>106.96299999999999</v>
      </c>
      <c r="CO941" s="398">
        <v>116.687</v>
      </c>
      <c r="CP941" s="398"/>
      <c r="CQ941" s="398"/>
      <c r="CR941" s="398"/>
      <c r="CS941" s="398"/>
      <c r="CT941" s="398"/>
      <c r="CU941" s="398"/>
      <c r="CV941" s="398"/>
      <c r="CW941" s="398"/>
      <c r="CX941" s="398"/>
      <c r="CY941" s="398"/>
      <c r="CZ941" s="398"/>
      <c r="DA941" s="398"/>
      <c r="DB941" s="398"/>
      <c r="DC941" s="398"/>
      <c r="DD941" s="398"/>
      <c r="DE941" s="393"/>
      <c r="DF941" s="393"/>
      <c r="DG941" s="393"/>
      <c r="DH941" s="393"/>
      <c r="DI941" s="393"/>
      <c r="DJ941" s="393"/>
      <c r="DK941" s="897"/>
    </row>
    <row r="942" spans="1:115" ht="51" x14ac:dyDescent="0.2">
      <c r="A942" s="295">
        <v>938</v>
      </c>
      <c r="B942" s="390" t="s">
        <v>5320</v>
      </c>
      <c r="C942" s="390"/>
      <c r="D942" s="391" t="s">
        <v>5321</v>
      </c>
      <c r="E942" s="704" t="s">
        <v>5322</v>
      </c>
      <c r="F942" s="393" t="s">
        <v>1375</v>
      </c>
      <c r="G942" s="393" t="s">
        <v>998</v>
      </c>
      <c r="H942" s="393" t="s">
        <v>1038</v>
      </c>
      <c r="I942" s="392"/>
      <c r="J942" s="392"/>
      <c r="K942" s="392" t="s">
        <v>5323</v>
      </c>
      <c r="L942" s="392" t="s">
        <v>1039</v>
      </c>
      <c r="M942" s="392"/>
      <c r="N942" s="393" t="s">
        <v>44</v>
      </c>
      <c r="O942" s="393" t="s">
        <v>51</v>
      </c>
      <c r="P942" s="393" t="s">
        <v>51</v>
      </c>
      <c r="Q942" s="392" t="s">
        <v>976</v>
      </c>
      <c r="R942" s="392" t="s">
        <v>3339</v>
      </c>
      <c r="S942" s="392" t="s">
        <v>166</v>
      </c>
      <c r="T942" s="394">
        <v>1</v>
      </c>
      <c r="U942" s="395">
        <v>98.12</v>
      </c>
      <c r="V942" s="395"/>
      <c r="W942" s="453"/>
      <c r="X942" s="394"/>
      <c r="Y942" s="394">
        <v>7</v>
      </c>
      <c r="Z942" s="394">
        <v>21</v>
      </c>
      <c r="AA942" s="395">
        <v>12.265000000000001</v>
      </c>
      <c r="AB942" s="452">
        <v>41487</v>
      </c>
      <c r="AC942" s="398">
        <v>0</v>
      </c>
      <c r="AD942" s="398">
        <v>728.23857534246577</v>
      </c>
      <c r="AE942" s="393" t="s">
        <v>54</v>
      </c>
      <c r="AF942" s="417"/>
      <c r="AG942" s="417"/>
      <c r="AH942" s="417"/>
      <c r="AI942" s="394"/>
      <c r="AJ942" s="453"/>
      <c r="AK942" s="453"/>
      <c r="AL942" s="393"/>
      <c r="AM942" s="393"/>
      <c r="AN942" s="417"/>
      <c r="AO942" s="392"/>
      <c r="AP942" s="392"/>
      <c r="AQ942" s="392"/>
      <c r="AR942" s="392" t="s">
        <v>1040</v>
      </c>
      <c r="AS942" s="480"/>
      <c r="AT942" s="453"/>
      <c r="AU942" s="453"/>
      <c r="AV942" s="453"/>
      <c r="AW942" s="453"/>
      <c r="AX942" s="453"/>
      <c r="AY942" s="453"/>
      <c r="AZ942" s="452">
        <v>41456</v>
      </c>
      <c r="BA942" s="393"/>
      <c r="BB942" s="393"/>
      <c r="BC942" s="393" t="b">
        <v>0</v>
      </c>
      <c r="BD942" s="393"/>
      <c r="BE942" s="392"/>
      <c r="BF942" s="394">
        <v>4</v>
      </c>
      <c r="BG942" s="394">
        <v>1</v>
      </c>
      <c r="BH942" s="394">
        <v>6</v>
      </c>
      <c r="BI942" s="394">
        <v>5</v>
      </c>
      <c r="BJ942" s="394">
        <v>9</v>
      </c>
      <c r="BK942" s="394"/>
      <c r="BL942" s="444" t="s">
        <v>6981</v>
      </c>
      <c r="BM942" s="392"/>
      <c r="BN942" s="393"/>
      <c r="BO942" s="393"/>
      <c r="BP942" s="399"/>
      <c r="BQ942" s="400"/>
      <c r="BR942" s="401"/>
      <c r="BS942" s="399"/>
      <c r="BT942" s="394"/>
      <c r="BU942" s="417"/>
      <c r="BV942" s="399"/>
      <c r="BW942" s="393" t="s">
        <v>3117</v>
      </c>
      <c r="BX942" s="392" t="s">
        <v>4364</v>
      </c>
      <c r="BY942" s="393" t="s">
        <v>7227</v>
      </c>
      <c r="BZ942" s="393"/>
      <c r="CA942" s="441"/>
      <c r="CB942" s="400"/>
      <c r="CC942" s="398"/>
      <c r="CD942" s="398"/>
      <c r="CE942" s="398"/>
      <c r="CF942" s="398"/>
      <c r="CG942" s="398"/>
      <c r="CH942" s="398"/>
      <c r="CI942" s="398">
        <v>55.39</v>
      </c>
      <c r="CJ942" s="398">
        <v>77.546000000000006</v>
      </c>
      <c r="CK942" s="398">
        <v>88.625</v>
      </c>
      <c r="CL942" s="398">
        <v>99.703000000000003</v>
      </c>
      <c r="CM942" s="398">
        <v>110.78100000000001</v>
      </c>
      <c r="CN942" s="398">
        <v>121.85899999999999</v>
      </c>
      <c r="CO942" s="398">
        <v>132.93700000000001</v>
      </c>
      <c r="CP942" s="398"/>
      <c r="CQ942" s="398"/>
      <c r="CR942" s="398"/>
      <c r="CS942" s="398"/>
      <c r="CT942" s="398"/>
      <c r="CU942" s="398"/>
      <c r="CV942" s="398"/>
      <c r="CW942" s="398"/>
      <c r="CX942" s="398"/>
      <c r="CY942" s="398"/>
      <c r="CZ942" s="398"/>
      <c r="DA942" s="398"/>
      <c r="DB942" s="398"/>
      <c r="DC942" s="398"/>
      <c r="DD942" s="398"/>
      <c r="DE942" s="393"/>
      <c r="DF942" s="393"/>
      <c r="DG942" s="393"/>
      <c r="DH942" s="393"/>
      <c r="DI942" s="393"/>
      <c r="DJ942" s="393"/>
      <c r="DK942" s="897"/>
    </row>
    <row r="943" spans="1:115" ht="51" x14ac:dyDescent="0.2">
      <c r="A943" s="295">
        <v>939</v>
      </c>
      <c r="B943" s="390" t="s">
        <v>5324</v>
      </c>
      <c r="C943" s="390"/>
      <c r="D943" s="391" t="s">
        <v>5325</v>
      </c>
      <c r="E943" s="704" t="s">
        <v>5326</v>
      </c>
      <c r="F943" s="393" t="s">
        <v>1375</v>
      </c>
      <c r="G943" s="393" t="s">
        <v>998</v>
      </c>
      <c r="H943" s="393" t="s">
        <v>1038</v>
      </c>
      <c r="I943" s="392"/>
      <c r="J943" s="392"/>
      <c r="K943" s="392" t="s">
        <v>5327</v>
      </c>
      <c r="L943" s="392" t="s">
        <v>1039</v>
      </c>
      <c r="M943" s="392"/>
      <c r="N943" s="393" t="s">
        <v>44</v>
      </c>
      <c r="O943" s="393" t="s">
        <v>51</v>
      </c>
      <c r="P943" s="393" t="s">
        <v>51</v>
      </c>
      <c r="Q943" s="392" t="s">
        <v>976</v>
      </c>
      <c r="R943" s="392" t="s">
        <v>3339</v>
      </c>
      <c r="S943" s="392" t="s">
        <v>166</v>
      </c>
      <c r="T943" s="394">
        <v>1</v>
      </c>
      <c r="U943" s="395">
        <v>89.29</v>
      </c>
      <c r="V943" s="395"/>
      <c r="W943" s="453"/>
      <c r="X943" s="394"/>
      <c r="Y943" s="394">
        <v>7</v>
      </c>
      <c r="Z943" s="394">
        <v>21</v>
      </c>
      <c r="AA943" s="395">
        <v>11.161</v>
      </c>
      <c r="AB943" s="452">
        <v>41487</v>
      </c>
      <c r="AC943" s="398">
        <v>0</v>
      </c>
      <c r="AD943" s="398">
        <v>662.7030410958904</v>
      </c>
      <c r="AE943" s="393" t="s">
        <v>54</v>
      </c>
      <c r="AF943" s="417"/>
      <c r="AG943" s="417"/>
      <c r="AH943" s="417"/>
      <c r="AI943" s="394"/>
      <c r="AJ943" s="453"/>
      <c r="AK943" s="453"/>
      <c r="AL943" s="393"/>
      <c r="AM943" s="393"/>
      <c r="AN943" s="417"/>
      <c r="AO943" s="392"/>
      <c r="AP943" s="392"/>
      <c r="AQ943" s="392"/>
      <c r="AR943" s="392" t="s">
        <v>1040</v>
      </c>
      <c r="AS943" s="480"/>
      <c r="AT943" s="453"/>
      <c r="AU943" s="453"/>
      <c r="AV943" s="453"/>
      <c r="AW943" s="453"/>
      <c r="AX943" s="453"/>
      <c r="AY943" s="453"/>
      <c r="AZ943" s="452">
        <v>41456</v>
      </c>
      <c r="BA943" s="393"/>
      <c r="BB943" s="393"/>
      <c r="BC943" s="393" t="b">
        <v>0</v>
      </c>
      <c r="BD943" s="393"/>
      <c r="BE943" s="392"/>
      <c r="BF943" s="394">
        <v>4</v>
      </c>
      <c r="BG943" s="394">
        <v>1</v>
      </c>
      <c r="BH943" s="394">
        <v>6</v>
      </c>
      <c r="BI943" s="394">
        <v>5</v>
      </c>
      <c r="BJ943" s="394">
        <v>9</v>
      </c>
      <c r="BK943" s="394"/>
      <c r="BL943" s="444" t="s">
        <v>6981</v>
      </c>
      <c r="BM943" s="392"/>
      <c r="BN943" s="393"/>
      <c r="BO943" s="393"/>
      <c r="BP943" s="399"/>
      <c r="BQ943" s="400"/>
      <c r="BR943" s="401"/>
      <c r="BS943" s="399"/>
      <c r="BT943" s="394"/>
      <c r="BU943" s="417"/>
      <c r="BV943" s="399"/>
      <c r="BW943" s="393" t="s">
        <v>3117</v>
      </c>
      <c r="BX943" s="392" t="s">
        <v>4364</v>
      </c>
      <c r="BY943" s="393" t="s">
        <v>7227</v>
      </c>
      <c r="BZ943" s="393"/>
      <c r="CA943" s="441"/>
      <c r="CB943" s="400"/>
      <c r="CC943" s="398"/>
      <c r="CD943" s="398"/>
      <c r="CE943" s="398"/>
      <c r="CF943" s="398"/>
      <c r="CG943" s="398"/>
      <c r="CH943" s="398"/>
      <c r="CI943" s="398">
        <v>50.405000000000001</v>
      </c>
      <c r="CJ943" s="398">
        <v>70.567999999999998</v>
      </c>
      <c r="CK943" s="398">
        <v>80.649000000000001</v>
      </c>
      <c r="CL943" s="398">
        <v>90.73</v>
      </c>
      <c r="CM943" s="398">
        <v>100.81100000000001</v>
      </c>
      <c r="CN943" s="398">
        <v>110.892</v>
      </c>
      <c r="CO943" s="398">
        <v>120.973</v>
      </c>
      <c r="CP943" s="398"/>
      <c r="CQ943" s="398"/>
      <c r="CR943" s="398"/>
      <c r="CS943" s="398"/>
      <c r="CT943" s="398"/>
      <c r="CU943" s="398"/>
      <c r="CV943" s="398"/>
      <c r="CW943" s="398"/>
      <c r="CX943" s="398"/>
      <c r="CY943" s="398"/>
      <c r="CZ943" s="398"/>
      <c r="DA943" s="398"/>
      <c r="DB943" s="398"/>
      <c r="DC943" s="398"/>
      <c r="DD943" s="398"/>
      <c r="DE943" s="393"/>
      <c r="DF943" s="393"/>
      <c r="DG943" s="393"/>
      <c r="DH943" s="393"/>
      <c r="DI943" s="393"/>
      <c r="DJ943" s="393"/>
      <c r="DK943" s="897"/>
    </row>
    <row r="944" spans="1:115" ht="51" x14ac:dyDescent="0.2">
      <c r="A944" s="295">
        <v>940</v>
      </c>
      <c r="B944" s="390" t="s">
        <v>5328</v>
      </c>
      <c r="C944" s="390"/>
      <c r="D944" s="391" t="s">
        <v>5329</v>
      </c>
      <c r="E944" s="704" t="s">
        <v>5330</v>
      </c>
      <c r="F944" s="393" t="s">
        <v>1375</v>
      </c>
      <c r="G944" s="393" t="s">
        <v>998</v>
      </c>
      <c r="H944" s="393" t="s">
        <v>1038</v>
      </c>
      <c r="I944" s="392"/>
      <c r="J944" s="392"/>
      <c r="K944" s="392" t="s">
        <v>5331</v>
      </c>
      <c r="L944" s="392" t="s">
        <v>1039</v>
      </c>
      <c r="M944" s="392"/>
      <c r="N944" s="393" t="s">
        <v>44</v>
      </c>
      <c r="O944" s="393" t="s">
        <v>51</v>
      </c>
      <c r="P944" s="393" t="s">
        <v>51</v>
      </c>
      <c r="Q944" s="392" t="s">
        <v>976</v>
      </c>
      <c r="R944" s="392" t="s">
        <v>3339</v>
      </c>
      <c r="S944" s="392" t="s">
        <v>166</v>
      </c>
      <c r="T944" s="394">
        <v>1</v>
      </c>
      <c r="U944" s="395">
        <v>51.375999999999998</v>
      </c>
      <c r="V944" s="395"/>
      <c r="W944" s="453"/>
      <c r="X944" s="394"/>
      <c r="Y944" s="394">
        <v>7</v>
      </c>
      <c r="Z944" s="394">
        <v>21</v>
      </c>
      <c r="AA944" s="395">
        <v>6.4219999999999997</v>
      </c>
      <c r="AB944" s="452">
        <v>41487</v>
      </c>
      <c r="AC944" s="398">
        <v>0</v>
      </c>
      <c r="AD944" s="398">
        <v>381.30844931506851</v>
      </c>
      <c r="AE944" s="393" t="s">
        <v>54</v>
      </c>
      <c r="AF944" s="417"/>
      <c r="AG944" s="417"/>
      <c r="AH944" s="417"/>
      <c r="AI944" s="394"/>
      <c r="AJ944" s="453"/>
      <c r="AK944" s="453"/>
      <c r="AL944" s="393"/>
      <c r="AM944" s="393"/>
      <c r="AN944" s="417"/>
      <c r="AO944" s="392"/>
      <c r="AP944" s="392"/>
      <c r="AQ944" s="392"/>
      <c r="AR944" s="392" t="s">
        <v>1040</v>
      </c>
      <c r="AS944" s="480"/>
      <c r="AT944" s="453"/>
      <c r="AU944" s="453"/>
      <c r="AV944" s="453"/>
      <c r="AW944" s="453"/>
      <c r="AX944" s="453"/>
      <c r="AY944" s="453"/>
      <c r="AZ944" s="452">
        <v>41456</v>
      </c>
      <c r="BA944" s="393"/>
      <c r="BB944" s="393"/>
      <c r="BC944" s="393" t="b">
        <v>0</v>
      </c>
      <c r="BD944" s="393"/>
      <c r="BE944" s="392"/>
      <c r="BF944" s="394">
        <v>4</v>
      </c>
      <c r="BG944" s="394">
        <v>1</v>
      </c>
      <c r="BH944" s="394">
        <v>6</v>
      </c>
      <c r="BI944" s="394">
        <v>5</v>
      </c>
      <c r="BJ944" s="394">
        <v>9</v>
      </c>
      <c r="BK944" s="394"/>
      <c r="BL944" s="444" t="s">
        <v>6981</v>
      </c>
      <c r="BM944" s="392"/>
      <c r="BN944" s="393"/>
      <c r="BO944" s="393"/>
      <c r="BP944" s="399"/>
      <c r="BQ944" s="400"/>
      <c r="BR944" s="401"/>
      <c r="BS944" s="399"/>
      <c r="BT944" s="394"/>
      <c r="BU944" s="417"/>
      <c r="BV944" s="399"/>
      <c r="BW944" s="393" t="s">
        <v>3117</v>
      </c>
      <c r="BX944" s="392" t="s">
        <v>4364</v>
      </c>
      <c r="BY944" s="393" t="s">
        <v>7227</v>
      </c>
      <c r="BZ944" s="393"/>
      <c r="CA944" s="441"/>
      <c r="CB944" s="400"/>
      <c r="CC944" s="398"/>
      <c r="CD944" s="398"/>
      <c r="CE944" s="398"/>
      <c r="CF944" s="398"/>
      <c r="CG944" s="398"/>
      <c r="CH944" s="398"/>
      <c r="CI944" s="398">
        <v>29.003</v>
      </c>
      <c r="CJ944" s="398">
        <v>40.603999999999999</v>
      </c>
      <c r="CK944" s="398">
        <v>46.404000000000003</v>
      </c>
      <c r="CL944" s="398">
        <v>52.204999999999998</v>
      </c>
      <c r="CM944" s="398">
        <v>58.005000000000003</v>
      </c>
      <c r="CN944" s="398">
        <v>63.805999999999997</v>
      </c>
      <c r="CO944" s="398">
        <v>69.606999999999999</v>
      </c>
      <c r="CP944" s="398"/>
      <c r="CQ944" s="398"/>
      <c r="CR944" s="398"/>
      <c r="CS944" s="398"/>
      <c r="CT944" s="398"/>
      <c r="CU944" s="398"/>
      <c r="CV944" s="398"/>
      <c r="CW944" s="398"/>
      <c r="CX944" s="398"/>
      <c r="CY944" s="398"/>
      <c r="CZ944" s="398"/>
      <c r="DA944" s="398"/>
      <c r="DB944" s="398"/>
      <c r="DC944" s="398"/>
      <c r="DD944" s="398"/>
      <c r="DE944" s="393"/>
      <c r="DF944" s="393"/>
      <c r="DG944" s="393"/>
      <c r="DH944" s="393"/>
      <c r="DI944" s="393"/>
      <c r="DJ944" s="393"/>
      <c r="DK944" s="897"/>
    </row>
    <row r="945" spans="1:115" ht="51" x14ac:dyDescent="0.2">
      <c r="A945" s="295">
        <v>941</v>
      </c>
      <c r="B945" s="390" t="s">
        <v>5332</v>
      </c>
      <c r="C945" s="390"/>
      <c r="D945" s="391" t="s">
        <v>5333</v>
      </c>
      <c r="E945" s="704" t="s">
        <v>5334</v>
      </c>
      <c r="F945" s="393" t="s">
        <v>1375</v>
      </c>
      <c r="G945" s="393" t="s">
        <v>998</v>
      </c>
      <c r="H945" s="393" t="s">
        <v>1038</v>
      </c>
      <c r="I945" s="392"/>
      <c r="J945" s="392"/>
      <c r="K945" s="392" t="s">
        <v>5335</v>
      </c>
      <c r="L945" s="392" t="s">
        <v>1039</v>
      </c>
      <c r="M945" s="392"/>
      <c r="N945" s="393" t="s">
        <v>44</v>
      </c>
      <c r="O945" s="393" t="s">
        <v>51</v>
      </c>
      <c r="P945" s="393" t="s">
        <v>51</v>
      </c>
      <c r="Q945" s="392" t="s">
        <v>976</v>
      </c>
      <c r="R945" s="392" t="s">
        <v>3339</v>
      </c>
      <c r="S945" s="392" t="s">
        <v>166</v>
      </c>
      <c r="T945" s="394">
        <v>1</v>
      </c>
      <c r="U945" s="395">
        <v>60.042000000000002</v>
      </c>
      <c r="V945" s="395"/>
      <c r="W945" s="453"/>
      <c r="X945" s="394"/>
      <c r="Y945" s="394">
        <v>7</v>
      </c>
      <c r="Z945" s="394">
        <v>21</v>
      </c>
      <c r="AA945" s="395">
        <v>7.5049999999999999</v>
      </c>
      <c r="AB945" s="452">
        <v>41487</v>
      </c>
      <c r="AC945" s="398">
        <v>0</v>
      </c>
      <c r="AD945" s="398">
        <v>445.62678904109589</v>
      </c>
      <c r="AE945" s="393" t="s">
        <v>54</v>
      </c>
      <c r="AF945" s="417"/>
      <c r="AG945" s="417"/>
      <c r="AH945" s="417"/>
      <c r="AI945" s="394"/>
      <c r="AJ945" s="453"/>
      <c r="AK945" s="453"/>
      <c r="AL945" s="393"/>
      <c r="AM945" s="393"/>
      <c r="AN945" s="417"/>
      <c r="AO945" s="392"/>
      <c r="AP945" s="392"/>
      <c r="AQ945" s="392"/>
      <c r="AR945" s="392" t="s">
        <v>1040</v>
      </c>
      <c r="AS945" s="480"/>
      <c r="AT945" s="397"/>
      <c r="AU945" s="397"/>
      <c r="AV945" s="453"/>
      <c r="AW945" s="453"/>
      <c r="AX945" s="453"/>
      <c r="AY945" s="453"/>
      <c r="AZ945" s="452">
        <v>41456</v>
      </c>
      <c r="BA945" s="393"/>
      <c r="BB945" s="393"/>
      <c r="BC945" s="393" t="b">
        <v>0</v>
      </c>
      <c r="BD945" s="393"/>
      <c r="BE945" s="392"/>
      <c r="BF945" s="394">
        <v>4</v>
      </c>
      <c r="BG945" s="394">
        <v>1</v>
      </c>
      <c r="BH945" s="394">
        <v>6</v>
      </c>
      <c r="BI945" s="394">
        <v>5</v>
      </c>
      <c r="BJ945" s="394">
        <v>9</v>
      </c>
      <c r="BK945" s="394"/>
      <c r="BL945" s="444" t="s">
        <v>6981</v>
      </c>
      <c r="BM945" s="392"/>
      <c r="BN945" s="393"/>
      <c r="BO945" s="393"/>
      <c r="BP945" s="399"/>
      <c r="BQ945" s="400"/>
      <c r="BR945" s="401"/>
      <c r="BS945" s="399"/>
      <c r="BT945" s="394"/>
      <c r="BU945" s="417"/>
      <c r="BV945" s="399"/>
      <c r="BW945" s="393" t="s">
        <v>3117</v>
      </c>
      <c r="BX945" s="392" t="s">
        <v>4364</v>
      </c>
      <c r="BY945" s="393" t="s">
        <v>7227</v>
      </c>
      <c r="BZ945" s="393"/>
      <c r="CA945" s="441"/>
      <c r="CB945" s="400"/>
      <c r="CC945" s="398"/>
      <c r="CD945" s="398"/>
      <c r="CE945" s="398"/>
      <c r="CF945" s="398"/>
      <c r="CG945" s="398"/>
      <c r="CH945" s="398"/>
      <c r="CI945" s="398">
        <v>33.895000000000003</v>
      </c>
      <c r="CJ945" s="398">
        <v>47.453000000000003</v>
      </c>
      <c r="CK945" s="398">
        <v>54.231999999999999</v>
      </c>
      <c r="CL945" s="398">
        <v>61.01</v>
      </c>
      <c r="CM945" s="398">
        <v>67.789000000000001</v>
      </c>
      <c r="CN945" s="398">
        <v>74.567999999999998</v>
      </c>
      <c r="CO945" s="398">
        <v>81.346999999999994</v>
      </c>
      <c r="CP945" s="398"/>
      <c r="CQ945" s="398"/>
      <c r="CR945" s="398"/>
      <c r="CS945" s="398"/>
      <c r="CT945" s="398"/>
      <c r="CU945" s="398"/>
      <c r="CV945" s="398"/>
      <c r="CW945" s="398"/>
      <c r="CX945" s="398"/>
      <c r="CY945" s="398"/>
      <c r="CZ945" s="398"/>
      <c r="DA945" s="398"/>
      <c r="DB945" s="398"/>
      <c r="DC945" s="398"/>
      <c r="DD945" s="398"/>
      <c r="DE945" s="393"/>
      <c r="DF945" s="393"/>
      <c r="DG945" s="393"/>
      <c r="DH945" s="393"/>
      <c r="DI945" s="393"/>
      <c r="DJ945" s="393"/>
      <c r="DK945" s="897"/>
    </row>
    <row r="946" spans="1:115" ht="51" x14ac:dyDescent="0.2">
      <c r="A946" s="295">
        <v>942</v>
      </c>
      <c r="B946" s="390" t="s">
        <v>5336</v>
      </c>
      <c r="C946" s="390"/>
      <c r="D946" s="391" t="s">
        <v>5337</v>
      </c>
      <c r="E946" s="704" t="s">
        <v>5338</v>
      </c>
      <c r="F946" s="393" t="s">
        <v>1375</v>
      </c>
      <c r="G946" s="393" t="s">
        <v>998</v>
      </c>
      <c r="H946" s="393" t="s">
        <v>1038</v>
      </c>
      <c r="I946" s="392"/>
      <c r="J946" s="392"/>
      <c r="K946" s="392" t="s">
        <v>5339</v>
      </c>
      <c r="L946" s="392" t="s">
        <v>1039</v>
      </c>
      <c r="M946" s="392"/>
      <c r="N946" s="393" t="s">
        <v>44</v>
      </c>
      <c r="O946" s="393" t="s">
        <v>51</v>
      </c>
      <c r="P946" s="393" t="s">
        <v>51</v>
      </c>
      <c r="Q946" s="392" t="s">
        <v>976</v>
      </c>
      <c r="R946" s="392" t="s">
        <v>3339</v>
      </c>
      <c r="S946" s="392" t="s">
        <v>166</v>
      </c>
      <c r="T946" s="394">
        <v>1</v>
      </c>
      <c r="U946" s="395">
        <v>103.827</v>
      </c>
      <c r="V946" s="395"/>
      <c r="W946" s="453"/>
      <c r="X946" s="394"/>
      <c r="Y946" s="394">
        <v>7</v>
      </c>
      <c r="Z946" s="394">
        <v>21</v>
      </c>
      <c r="AA946" s="395">
        <v>12.978</v>
      </c>
      <c r="AB946" s="452">
        <v>41487</v>
      </c>
      <c r="AC946" s="398">
        <v>0</v>
      </c>
      <c r="AD946" s="398">
        <v>770.59546027397255</v>
      </c>
      <c r="AE946" s="393" t="s">
        <v>54</v>
      </c>
      <c r="AF946" s="417"/>
      <c r="AG946" s="417"/>
      <c r="AH946" s="417"/>
      <c r="AI946" s="394"/>
      <c r="AJ946" s="453"/>
      <c r="AK946" s="453"/>
      <c r="AL946" s="393"/>
      <c r="AM946" s="393"/>
      <c r="AN946" s="417"/>
      <c r="AO946" s="392"/>
      <c r="AP946" s="392"/>
      <c r="AQ946" s="392"/>
      <c r="AR946" s="392" t="s">
        <v>1040</v>
      </c>
      <c r="AS946" s="480"/>
      <c r="AT946" s="453"/>
      <c r="AU946" s="453"/>
      <c r="AV946" s="453"/>
      <c r="AW946" s="453"/>
      <c r="AX946" s="453"/>
      <c r="AY946" s="453"/>
      <c r="AZ946" s="452">
        <v>41456</v>
      </c>
      <c r="BA946" s="393"/>
      <c r="BB946" s="393"/>
      <c r="BC946" s="393" t="b">
        <v>0</v>
      </c>
      <c r="BD946" s="393"/>
      <c r="BE946" s="392"/>
      <c r="BF946" s="394">
        <v>4</v>
      </c>
      <c r="BG946" s="394">
        <v>1</v>
      </c>
      <c r="BH946" s="394">
        <v>6</v>
      </c>
      <c r="BI946" s="394">
        <v>5</v>
      </c>
      <c r="BJ946" s="394">
        <v>9</v>
      </c>
      <c r="BK946" s="394"/>
      <c r="BL946" s="444" t="s">
        <v>6981</v>
      </c>
      <c r="BM946" s="392"/>
      <c r="BN946" s="393"/>
      <c r="BO946" s="393"/>
      <c r="BP946" s="399"/>
      <c r="BQ946" s="400"/>
      <c r="BR946" s="401"/>
      <c r="BS946" s="399"/>
      <c r="BT946" s="394"/>
      <c r="BU946" s="417"/>
      <c r="BV946" s="399"/>
      <c r="BW946" s="393" t="s">
        <v>3117</v>
      </c>
      <c r="BX946" s="392" t="s">
        <v>4364</v>
      </c>
      <c r="BY946" s="393" t="s">
        <v>7227</v>
      </c>
      <c r="BZ946" s="393"/>
      <c r="CA946" s="441"/>
      <c r="CB946" s="400"/>
      <c r="CC946" s="398"/>
      <c r="CD946" s="398"/>
      <c r="CE946" s="398"/>
      <c r="CF946" s="398"/>
      <c r="CG946" s="398"/>
      <c r="CH946" s="398"/>
      <c r="CI946" s="398">
        <v>58.612000000000002</v>
      </c>
      <c r="CJ946" s="398">
        <v>82.057000000000002</v>
      </c>
      <c r="CK946" s="398">
        <v>93.778999999999996</v>
      </c>
      <c r="CL946" s="398">
        <v>105.502</v>
      </c>
      <c r="CM946" s="398">
        <v>117.224</v>
      </c>
      <c r="CN946" s="398">
        <v>128.947</v>
      </c>
      <c r="CO946" s="398">
        <v>140.66900000000001</v>
      </c>
      <c r="CP946" s="398"/>
      <c r="CQ946" s="398"/>
      <c r="CR946" s="398"/>
      <c r="CS946" s="398"/>
      <c r="CT946" s="398"/>
      <c r="CU946" s="398"/>
      <c r="CV946" s="398"/>
      <c r="CW946" s="398"/>
      <c r="CX946" s="398"/>
      <c r="CY946" s="398"/>
      <c r="CZ946" s="398"/>
      <c r="DA946" s="398"/>
      <c r="DB946" s="398"/>
      <c r="DC946" s="398"/>
      <c r="DD946" s="398"/>
      <c r="DE946" s="393"/>
      <c r="DF946" s="393"/>
      <c r="DG946" s="393"/>
      <c r="DH946" s="393"/>
      <c r="DI946" s="393"/>
      <c r="DJ946" s="393"/>
      <c r="DK946" s="897"/>
    </row>
    <row r="947" spans="1:115" ht="51" x14ac:dyDescent="0.2">
      <c r="A947" s="295">
        <v>943</v>
      </c>
      <c r="B947" s="390" t="s">
        <v>5340</v>
      </c>
      <c r="C947" s="390"/>
      <c r="D947" s="391" t="s">
        <v>5341</v>
      </c>
      <c r="E947" s="704" t="s">
        <v>5342</v>
      </c>
      <c r="F947" s="393" t="s">
        <v>1375</v>
      </c>
      <c r="G947" s="393" t="s">
        <v>998</v>
      </c>
      <c r="H947" s="393" t="s">
        <v>1038</v>
      </c>
      <c r="I947" s="392"/>
      <c r="J947" s="392"/>
      <c r="K947" s="392" t="s">
        <v>5279</v>
      </c>
      <c r="L947" s="392" t="s">
        <v>1039</v>
      </c>
      <c r="M947" s="392"/>
      <c r="N947" s="393" t="s">
        <v>44</v>
      </c>
      <c r="O947" s="393" t="s">
        <v>51</v>
      </c>
      <c r="P947" s="393" t="s">
        <v>51</v>
      </c>
      <c r="Q947" s="392" t="s">
        <v>976</v>
      </c>
      <c r="R947" s="392" t="s">
        <v>3339</v>
      </c>
      <c r="S947" s="392" t="s">
        <v>166</v>
      </c>
      <c r="T947" s="394">
        <v>1</v>
      </c>
      <c r="U947" s="395">
        <v>103.893</v>
      </c>
      <c r="V947" s="395"/>
      <c r="W947" s="453"/>
      <c r="X947" s="394"/>
      <c r="Y947" s="394">
        <v>7</v>
      </c>
      <c r="Z947" s="394">
        <v>21</v>
      </c>
      <c r="AA947" s="395">
        <v>12.987</v>
      </c>
      <c r="AB947" s="452">
        <v>41487</v>
      </c>
      <c r="AC947" s="398">
        <v>0</v>
      </c>
      <c r="AD947" s="398">
        <v>771.08530684931509</v>
      </c>
      <c r="AE947" s="393" t="s">
        <v>54</v>
      </c>
      <c r="AF947" s="417"/>
      <c r="AG947" s="417"/>
      <c r="AH947" s="417"/>
      <c r="AI947" s="394"/>
      <c r="AJ947" s="453"/>
      <c r="AK947" s="453"/>
      <c r="AL947" s="393"/>
      <c r="AM947" s="393"/>
      <c r="AN947" s="417"/>
      <c r="AO947" s="392"/>
      <c r="AP947" s="392"/>
      <c r="AQ947" s="392"/>
      <c r="AR947" s="392" t="s">
        <v>1040</v>
      </c>
      <c r="AS947" s="480"/>
      <c r="AT947" s="453"/>
      <c r="AU947" s="453"/>
      <c r="AV947" s="453"/>
      <c r="AW947" s="453"/>
      <c r="AX947" s="453"/>
      <c r="AY947" s="453"/>
      <c r="AZ947" s="452">
        <v>41456</v>
      </c>
      <c r="BA947" s="393"/>
      <c r="BB947" s="393"/>
      <c r="BC947" s="393" t="b">
        <v>0</v>
      </c>
      <c r="BD947" s="393"/>
      <c r="BE947" s="392"/>
      <c r="BF947" s="394">
        <v>4</v>
      </c>
      <c r="BG947" s="394">
        <v>1</v>
      </c>
      <c r="BH947" s="394">
        <v>6</v>
      </c>
      <c r="BI947" s="394">
        <v>5</v>
      </c>
      <c r="BJ947" s="394">
        <v>9</v>
      </c>
      <c r="BK947" s="394"/>
      <c r="BL947" s="444" t="s">
        <v>6981</v>
      </c>
      <c r="BM947" s="392"/>
      <c r="BN947" s="393"/>
      <c r="BO947" s="393"/>
      <c r="BP947" s="399"/>
      <c r="BQ947" s="400"/>
      <c r="BR947" s="401"/>
      <c r="BS947" s="399"/>
      <c r="BT947" s="394"/>
      <c r="BU947" s="417"/>
      <c r="BV947" s="399"/>
      <c r="BW947" s="393" t="s">
        <v>3117</v>
      </c>
      <c r="BX947" s="392" t="s">
        <v>4364</v>
      </c>
      <c r="BY947" s="393" t="s">
        <v>7227</v>
      </c>
      <c r="BZ947" s="393"/>
      <c r="CA947" s="441"/>
      <c r="CB947" s="400"/>
      <c r="CC947" s="398"/>
      <c r="CD947" s="398"/>
      <c r="CE947" s="398"/>
      <c r="CF947" s="398"/>
      <c r="CG947" s="398"/>
      <c r="CH947" s="398"/>
      <c r="CI947" s="398">
        <v>58.649000000000001</v>
      </c>
      <c r="CJ947" s="398">
        <v>82.108999999999995</v>
      </c>
      <c r="CK947" s="398">
        <v>93.838999999999999</v>
      </c>
      <c r="CL947" s="398">
        <v>105.569</v>
      </c>
      <c r="CM947" s="398">
        <v>117.29900000000001</v>
      </c>
      <c r="CN947" s="398">
        <v>129.029</v>
      </c>
      <c r="CO947" s="398">
        <v>140.75899999999999</v>
      </c>
      <c r="CP947" s="398"/>
      <c r="CQ947" s="398"/>
      <c r="CR947" s="398"/>
      <c r="CS947" s="398"/>
      <c r="CT947" s="398"/>
      <c r="CU947" s="398"/>
      <c r="CV947" s="398"/>
      <c r="CW947" s="398"/>
      <c r="CX947" s="398"/>
      <c r="CY947" s="398"/>
      <c r="CZ947" s="398"/>
      <c r="DA947" s="398"/>
      <c r="DB947" s="398"/>
      <c r="DC947" s="398"/>
      <c r="DD947" s="398"/>
      <c r="DE947" s="393"/>
      <c r="DF947" s="393"/>
      <c r="DG947" s="393"/>
      <c r="DH947" s="393"/>
      <c r="DI947" s="393"/>
      <c r="DJ947" s="393"/>
      <c r="DK947" s="897"/>
    </row>
    <row r="948" spans="1:115" ht="51" x14ac:dyDescent="0.2">
      <c r="A948" s="295">
        <v>944</v>
      </c>
      <c r="B948" s="390" t="s">
        <v>5343</v>
      </c>
      <c r="C948" s="390"/>
      <c r="D948" s="391" t="s">
        <v>5344</v>
      </c>
      <c r="E948" s="704" t="s">
        <v>5345</v>
      </c>
      <c r="F948" s="393" t="s">
        <v>1375</v>
      </c>
      <c r="G948" s="393" t="s">
        <v>998</v>
      </c>
      <c r="H948" s="393" t="s">
        <v>1038</v>
      </c>
      <c r="I948" s="392"/>
      <c r="J948" s="392"/>
      <c r="K948" s="392" t="s">
        <v>5279</v>
      </c>
      <c r="L948" s="392" t="s">
        <v>1039</v>
      </c>
      <c r="M948" s="392"/>
      <c r="N948" s="393" t="s">
        <v>44</v>
      </c>
      <c r="O948" s="393" t="s">
        <v>51</v>
      </c>
      <c r="P948" s="393" t="s">
        <v>51</v>
      </c>
      <c r="Q948" s="392" t="s">
        <v>976</v>
      </c>
      <c r="R948" s="392" t="s">
        <v>3339</v>
      </c>
      <c r="S948" s="392" t="s">
        <v>166</v>
      </c>
      <c r="T948" s="394">
        <v>1</v>
      </c>
      <c r="U948" s="395">
        <v>99.206999999999994</v>
      </c>
      <c r="V948" s="395"/>
      <c r="W948" s="453"/>
      <c r="X948" s="394"/>
      <c r="Y948" s="394">
        <v>7</v>
      </c>
      <c r="Z948" s="394">
        <v>21</v>
      </c>
      <c r="AA948" s="395">
        <v>12.401</v>
      </c>
      <c r="AB948" s="452">
        <v>41487</v>
      </c>
      <c r="AC948" s="398">
        <v>0</v>
      </c>
      <c r="AD948" s="398">
        <v>736.30619999999999</v>
      </c>
      <c r="AE948" s="393" t="s">
        <v>54</v>
      </c>
      <c r="AF948" s="417"/>
      <c r="AG948" s="417"/>
      <c r="AH948" s="417"/>
      <c r="AI948" s="394"/>
      <c r="AJ948" s="453"/>
      <c r="AK948" s="453"/>
      <c r="AL948" s="393"/>
      <c r="AM948" s="393"/>
      <c r="AN948" s="417"/>
      <c r="AO948" s="392"/>
      <c r="AP948" s="392"/>
      <c r="AQ948" s="392"/>
      <c r="AR948" s="392" t="s">
        <v>1040</v>
      </c>
      <c r="AS948" s="480"/>
      <c r="AT948" s="453"/>
      <c r="AU948" s="453"/>
      <c r="AV948" s="453"/>
      <c r="AW948" s="453"/>
      <c r="AX948" s="453"/>
      <c r="AY948" s="453"/>
      <c r="AZ948" s="452">
        <v>41456</v>
      </c>
      <c r="BA948" s="393"/>
      <c r="BB948" s="393"/>
      <c r="BC948" s="393" t="b">
        <v>0</v>
      </c>
      <c r="BD948" s="393"/>
      <c r="BE948" s="392"/>
      <c r="BF948" s="394">
        <v>4</v>
      </c>
      <c r="BG948" s="394">
        <v>1</v>
      </c>
      <c r="BH948" s="394">
        <v>6</v>
      </c>
      <c r="BI948" s="394">
        <v>5</v>
      </c>
      <c r="BJ948" s="394">
        <v>9</v>
      </c>
      <c r="BK948" s="394"/>
      <c r="BL948" s="444" t="s">
        <v>6981</v>
      </c>
      <c r="BM948" s="392"/>
      <c r="BN948" s="393"/>
      <c r="BO948" s="393"/>
      <c r="BP948" s="399"/>
      <c r="BQ948" s="400"/>
      <c r="BR948" s="401"/>
      <c r="BS948" s="399"/>
      <c r="BT948" s="394"/>
      <c r="BU948" s="417"/>
      <c r="BV948" s="399"/>
      <c r="BW948" s="393" t="s">
        <v>3117</v>
      </c>
      <c r="BX948" s="392" t="s">
        <v>4364</v>
      </c>
      <c r="BY948" s="393" t="s">
        <v>7227</v>
      </c>
      <c r="BZ948" s="393"/>
      <c r="CA948" s="441"/>
      <c r="CB948" s="400"/>
      <c r="CC948" s="398"/>
      <c r="CD948" s="398"/>
      <c r="CE948" s="398"/>
      <c r="CF948" s="398"/>
      <c r="CG948" s="398"/>
      <c r="CH948" s="398"/>
      <c r="CI948" s="398">
        <v>56.003999999999998</v>
      </c>
      <c r="CJ948" s="398">
        <v>78.406000000000006</v>
      </c>
      <c r="CK948" s="398">
        <v>89.606999999999999</v>
      </c>
      <c r="CL948" s="398">
        <v>100.80800000000001</v>
      </c>
      <c r="CM948" s="398">
        <v>112.008</v>
      </c>
      <c r="CN948" s="398">
        <v>123.209</v>
      </c>
      <c r="CO948" s="398">
        <v>134.41</v>
      </c>
      <c r="CP948" s="398"/>
      <c r="CQ948" s="398"/>
      <c r="CR948" s="398"/>
      <c r="CS948" s="398"/>
      <c r="CT948" s="398"/>
      <c r="CU948" s="398"/>
      <c r="CV948" s="398"/>
      <c r="CW948" s="398"/>
      <c r="CX948" s="398"/>
      <c r="CY948" s="398"/>
      <c r="CZ948" s="398"/>
      <c r="DA948" s="398"/>
      <c r="DB948" s="398"/>
      <c r="DC948" s="398"/>
      <c r="DD948" s="398"/>
      <c r="DE948" s="393"/>
      <c r="DF948" s="393"/>
      <c r="DG948" s="393"/>
      <c r="DH948" s="393"/>
      <c r="DI948" s="393"/>
      <c r="DJ948" s="393"/>
      <c r="DK948" s="897"/>
    </row>
    <row r="949" spans="1:115" ht="51" x14ac:dyDescent="0.2">
      <c r="A949" s="295">
        <v>945</v>
      </c>
      <c r="B949" s="390" t="s">
        <v>5346</v>
      </c>
      <c r="C949" s="390"/>
      <c r="D949" s="391" t="s">
        <v>5347</v>
      </c>
      <c r="E949" s="704" t="s">
        <v>5348</v>
      </c>
      <c r="F949" s="393" t="s">
        <v>1375</v>
      </c>
      <c r="G949" s="393" t="s">
        <v>998</v>
      </c>
      <c r="H949" s="393" t="s">
        <v>1038</v>
      </c>
      <c r="I949" s="392"/>
      <c r="J949" s="392"/>
      <c r="K949" s="392" t="s">
        <v>5279</v>
      </c>
      <c r="L949" s="392" t="s">
        <v>1039</v>
      </c>
      <c r="M949" s="392"/>
      <c r="N949" s="393" t="s">
        <v>44</v>
      </c>
      <c r="O949" s="393" t="s">
        <v>51</v>
      </c>
      <c r="P949" s="393" t="s">
        <v>51</v>
      </c>
      <c r="Q949" s="392" t="s">
        <v>976</v>
      </c>
      <c r="R949" s="392" t="s">
        <v>3339</v>
      </c>
      <c r="S949" s="392" t="s">
        <v>166</v>
      </c>
      <c r="T949" s="394">
        <v>1</v>
      </c>
      <c r="U949" s="395">
        <v>101.233</v>
      </c>
      <c r="V949" s="395"/>
      <c r="W949" s="453"/>
      <c r="X949" s="394"/>
      <c r="Y949" s="394">
        <v>7</v>
      </c>
      <c r="Z949" s="394">
        <v>21</v>
      </c>
      <c r="AA949" s="395">
        <v>12.654</v>
      </c>
      <c r="AB949" s="452">
        <v>41487</v>
      </c>
      <c r="AC949" s="398">
        <v>0</v>
      </c>
      <c r="AD949" s="398">
        <v>751.34300547945202</v>
      </c>
      <c r="AE949" s="393" t="s">
        <v>54</v>
      </c>
      <c r="AF949" s="417"/>
      <c r="AG949" s="417"/>
      <c r="AH949" s="417"/>
      <c r="AI949" s="394"/>
      <c r="AJ949" s="453"/>
      <c r="AK949" s="453"/>
      <c r="AL949" s="393"/>
      <c r="AM949" s="393"/>
      <c r="AN949" s="417"/>
      <c r="AO949" s="392"/>
      <c r="AP949" s="392"/>
      <c r="AQ949" s="392"/>
      <c r="AR949" s="392" t="s">
        <v>1040</v>
      </c>
      <c r="AS949" s="480"/>
      <c r="AT949" s="453"/>
      <c r="AU949" s="453"/>
      <c r="AV949" s="453"/>
      <c r="AW949" s="453"/>
      <c r="AX949" s="453"/>
      <c r="AY949" s="453"/>
      <c r="AZ949" s="452">
        <v>41456</v>
      </c>
      <c r="BA949" s="393"/>
      <c r="BB949" s="393"/>
      <c r="BC949" s="393" t="b">
        <v>0</v>
      </c>
      <c r="BD949" s="393"/>
      <c r="BE949" s="392"/>
      <c r="BF949" s="394">
        <v>4</v>
      </c>
      <c r="BG949" s="394">
        <v>1</v>
      </c>
      <c r="BH949" s="394">
        <v>6</v>
      </c>
      <c r="BI949" s="394">
        <v>5</v>
      </c>
      <c r="BJ949" s="394">
        <v>9</v>
      </c>
      <c r="BK949" s="394"/>
      <c r="BL949" s="444" t="s">
        <v>6981</v>
      </c>
      <c r="BM949" s="392"/>
      <c r="BN949" s="393"/>
      <c r="BO949" s="393"/>
      <c r="BP949" s="399"/>
      <c r="BQ949" s="400"/>
      <c r="BR949" s="401"/>
      <c r="BS949" s="399"/>
      <c r="BT949" s="394"/>
      <c r="BU949" s="417"/>
      <c r="BV949" s="399"/>
      <c r="BW949" s="393" t="s">
        <v>3117</v>
      </c>
      <c r="BX949" s="392" t="s">
        <v>4364</v>
      </c>
      <c r="BY949" s="393" t="s">
        <v>7227</v>
      </c>
      <c r="BZ949" s="393"/>
      <c r="CA949" s="441"/>
      <c r="CB949" s="400"/>
      <c r="CC949" s="398"/>
      <c r="CD949" s="398"/>
      <c r="CE949" s="398"/>
      <c r="CF949" s="398"/>
      <c r="CG949" s="398"/>
      <c r="CH949" s="398"/>
      <c r="CI949" s="398">
        <v>57.148000000000003</v>
      </c>
      <c r="CJ949" s="398">
        <v>80.007000000000005</v>
      </c>
      <c r="CK949" s="398">
        <v>91.436000000000007</v>
      </c>
      <c r="CL949" s="398">
        <v>102.866</v>
      </c>
      <c r="CM949" s="398">
        <v>114.295</v>
      </c>
      <c r="CN949" s="398">
        <v>125.72499999999999</v>
      </c>
      <c r="CO949" s="398">
        <v>137.154</v>
      </c>
      <c r="CP949" s="398"/>
      <c r="CQ949" s="398"/>
      <c r="CR949" s="398"/>
      <c r="CS949" s="398"/>
      <c r="CT949" s="398"/>
      <c r="CU949" s="398"/>
      <c r="CV949" s="398"/>
      <c r="CW949" s="398"/>
      <c r="CX949" s="398"/>
      <c r="CY949" s="398"/>
      <c r="CZ949" s="398"/>
      <c r="DA949" s="398"/>
      <c r="DB949" s="398"/>
      <c r="DC949" s="398"/>
      <c r="DD949" s="398"/>
      <c r="DE949" s="393"/>
      <c r="DF949" s="393"/>
      <c r="DG949" s="393"/>
      <c r="DH949" s="393"/>
      <c r="DI949" s="393"/>
      <c r="DJ949" s="393"/>
      <c r="DK949" s="897"/>
    </row>
    <row r="950" spans="1:115" ht="51" x14ac:dyDescent="0.2">
      <c r="A950" s="295">
        <v>946</v>
      </c>
      <c r="B950" s="390" t="s">
        <v>5349</v>
      </c>
      <c r="C950" s="390"/>
      <c r="D950" s="391" t="s">
        <v>5350</v>
      </c>
      <c r="E950" s="704" t="s">
        <v>5351</v>
      </c>
      <c r="F950" s="393" t="s">
        <v>1375</v>
      </c>
      <c r="G950" s="393" t="s">
        <v>998</v>
      </c>
      <c r="H950" s="393" t="s">
        <v>1038</v>
      </c>
      <c r="I950" s="392"/>
      <c r="J950" s="392"/>
      <c r="K950" s="392" t="s">
        <v>5279</v>
      </c>
      <c r="L950" s="392" t="s">
        <v>1039</v>
      </c>
      <c r="M950" s="392"/>
      <c r="N950" s="393" t="s">
        <v>44</v>
      </c>
      <c r="O950" s="393" t="s">
        <v>51</v>
      </c>
      <c r="P950" s="393" t="s">
        <v>51</v>
      </c>
      <c r="Q950" s="392" t="s">
        <v>976</v>
      </c>
      <c r="R950" s="392" t="s">
        <v>3339</v>
      </c>
      <c r="S950" s="392" t="s">
        <v>166</v>
      </c>
      <c r="T950" s="394">
        <v>1</v>
      </c>
      <c r="U950" s="395">
        <v>93.686999999999998</v>
      </c>
      <c r="V950" s="395"/>
      <c r="W950" s="453"/>
      <c r="X950" s="394"/>
      <c r="Y950" s="394">
        <v>7</v>
      </c>
      <c r="Z950" s="394">
        <v>21</v>
      </c>
      <c r="AA950" s="395">
        <v>11.711</v>
      </c>
      <c r="AB950" s="452">
        <v>41487</v>
      </c>
      <c r="AC950" s="398">
        <v>0</v>
      </c>
      <c r="AD950" s="398">
        <v>695.33721369863008</v>
      </c>
      <c r="AE950" s="393" t="s">
        <v>54</v>
      </c>
      <c r="AF950" s="417"/>
      <c r="AG950" s="417"/>
      <c r="AH950" s="417"/>
      <c r="AI950" s="394"/>
      <c r="AJ950" s="453"/>
      <c r="AK950" s="453"/>
      <c r="AL950" s="393"/>
      <c r="AM950" s="393"/>
      <c r="AN950" s="417"/>
      <c r="AO950" s="392"/>
      <c r="AP950" s="392"/>
      <c r="AQ950" s="392"/>
      <c r="AR950" s="392" t="s">
        <v>1040</v>
      </c>
      <c r="AS950" s="480"/>
      <c r="AT950" s="453"/>
      <c r="AU950" s="453"/>
      <c r="AV950" s="453"/>
      <c r="AW950" s="453"/>
      <c r="AX950" s="453"/>
      <c r="AY950" s="453"/>
      <c r="AZ950" s="452">
        <v>41456</v>
      </c>
      <c r="BA950" s="393"/>
      <c r="BB950" s="393"/>
      <c r="BC950" s="393" t="b">
        <v>0</v>
      </c>
      <c r="BD950" s="393"/>
      <c r="BE950" s="392"/>
      <c r="BF950" s="394">
        <v>4</v>
      </c>
      <c r="BG950" s="394">
        <v>1</v>
      </c>
      <c r="BH950" s="394">
        <v>6</v>
      </c>
      <c r="BI950" s="394">
        <v>5</v>
      </c>
      <c r="BJ950" s="394">
        <v>9</v>
      </c>
      <c r="BK950" s="394"/>
      <c r="BL950" s="444" t="s">
        <v>6981</v>
      </c>
      <c r="BM950" s="392"/>
      <c r="BN950" s="393"/>
      <c r="BO950" s="393"/>
      <c r="BP950" s="399"/>
      <c r="BQ950" s="400"/>
      <c r="BR950" s="401"/>
      <c r="BS950" s="399"/>
      <c r="BT950" s="394"/>
      <c r="BU950" s="417"/>
      <c r="BV950" s="399"/>
      <c r="BW950" s="393" t="s">
        <v>3117</v>
      </c>
      <c r="BX950" s="392" t="s">
        <v>4364</v>
      </c>
      <c r="BY950" s="393" t="s">
        <v>7227</v>
      </c>
      <c r="BZ950" s="393"/>
      <c r="CA950" s="441"/>
      <c r="CB950" s="400"/>
      <c r="CC950" s="398"/>
      <c r="CD950" s="398"/>
      <c r="CE950" s="398"/>
      <c r="CF950" s="398"/>
      <c r="CG950" s="398"/>
      <c r="CH950" s="398"/>
      <c r="CI950" s="398">
        <v>52.887999999999998</v>
      </c>
      <c r="CJ950" s="398">
        <v>74.043000000000006</v>
      </c>
      <c r="CK950" s="398">
        <v>84.620999999999995</v>
      </c>
      <c r="CL950" s="398">
        <v>95.197999999999993</v>
      </c>
      <c r="CM950" s="398">
        <v>105.776</v>
      </c>
      <c r="CN950" s="398">
        <v>116.35299999999999</v>
      </c>
      <c r="CO950" s="398">
        <v>126.931</v>
      </c>
      <c r="CP950" s="398"/>
      <c r="CQ950" s="398"/>
      <c r="CR950" s="398"/>
      <c r="CS950" s="398"/>
      <c r="CT950" s="398"/>
      <c r="CU950" s="398"/>
      <c r="CV950" s="398"/>
      <c r="CW950" s="398"/>
      <c r="CX950" s="398"/>
      <c r="CY950" s="398"/>
      <c r="CZ950" s="398"/>
      <c r="DA950" s="398"/>
      <c r="DB950" s="398"/>
      <c r="DC950" s="398"/>
      <c r="DD950" s="398"/>
      <c r="DE950" s="393"/>
      <c r="DF950" s="393"/>
      <c r="DG950" s="393"/>
      <c r="DH950" s="393"/>
      <c r="DI950" s="393"/>
      <c r="DJ950" s="393"/>
      <c r="DK950" s="897"/>
    </row>
    <row r="951" spans="1:115" ht="51" x14ac:dyDescent="0.2">
      <c r="A951" s="295">
        <v>947</v>
      </c>
      <c r="B951" s="390" t="s">
        <v>5352</v>
      </c>
      <c r="C951" s="390"/>
      <c r="D951" s="391" t="s">
        <v>5353</v>
      </c>
      <c r="E951" s="704" t="s">
        <v>5354</v>
      </c>
      <c r="F951" s="393" t="s">
        <v>1375</v>
      </c>
      <c r="G951" s="393" t="s">
        <v>998</v>
      </c>
      <c r="H951" s="393" t="s">
        <v>1038</v>
      </c>
      <c r="I951" s="392"/>
      <c r="J951" s="392"/>
      <c r="K951" s="392" t="s">
        <v>5279</v>
      </c>
      <c r="L951" s="392" t="s">
        <v>1039</v>
      </c>
      <c r="M951" s="392"/>
      <c r="N951" s="393" t="s">
        <v>44</v>
      </c>
      <c r="O951" s="393" t="s">
        <v>51</v>
      </c>
      <c r="P951" s="393" t="s">
        <v>51</v>
      </c>
      <c r="Q951" s="392" t="s">
        <v>976</v>
      </c>
      <c r="R951" s="392" t="s">
        <v>3339</v>
      </c>
      <c r="S951" s="392" t="s">
        <v>166</v>
      </c>
      <c r="T951" s="394">
        <v>1</v>
      </c>
      <c r="U951" s="395">
        <v>102.47799999999999</v>
      </c>
      <c r="V951" s="395"/>
      <c r="W951" s="453"/>
      <c r="X951" s="394"/>
      <c r="Y951" s="394">
        <v>7</v>
      </c>
      <c r="Z951" s="394">
        <v>21</v>
      </c>
      <c r="AA951" s="395">
        <v>12.81</v>
      </c>
      <c r="AB951" s="452">
        <v>41487</v>
      </c>
      <c r="AC951" s="398">
        <v>0</v>
      </c>
      <c r="AD951" s="398">
        <v>760.58329315068488</v>
      </c>
      <c r="AE951" s="393" t="s">
        <v>54</v>
      </c>
      <c r="AF951" s="417"/>
      <c r="AG951" s="417"/>
      <c r="AH951" s="417"/>
      <c r="AI951" s="394"/>
      <c r="AJ951" s="453"/>
      <c r="AK951" s="453"/>
      <c r="AL951" s="393"/>
      <c r="AM951" s="393"/>
      <c r="AN951" s="417"/>
      <c r="AO951" s="392"/>
      <c r="AP951" s="392"/>
      <c r="AQ951" s="392"/>
      <c r="AR951" s="392" t="s">
        <v>1040</v>
      </c>
      <c r="AS951" s="480"/>
      <c r="AT951" s="453"/>
      <c r="AU951" s="453"/>
      <c r="AV951" s="453"/>
      <c r="AW951" s="453"/>
      <c r="AX951" s="453"/>
      <c r="AY951" s="453"/>
      <c r="AZ951" s="452">
        <v>41456</v>
      </c>
      <c r="BA951" s="393"/>
      <c r="BB951" s="393"/>
      <c r="BC951" s="393" t="b">
        <v>0</v>
      </c>
      <c r="BD951" s="393"/>
      <c r="BE951" s="392"/>
      <c r="BF951" s="394">
        <v>4</v>
      </c>
      <c r="BG951" s="394">
        <v>1</v>
      </c>
      <c r="BH951" s="394">
        <v>6</v>
      </c>
      <c r="BI951" s="394">
        <v>5</v>
      </c>
      <c r="BJ951" s="394">
        <v>9</v>
      </c>
      <c r="BK951" s="394"/>
      <c r="BL951" s="444" t="s">
        <v>6981</v>
      </c>
      <c r="BM951" s="392"/>
      <c r="BN951" s="393"/>
      <c r="BO951" s="393"/>
      <c r="BP951" s="399"/>
      <c r="BQ951" s="400"/>
      <c r="BR951" s="401"/>
      <c r="BS951" s="399"/>
      <c r="BT951" s="394"/>
      <c r="BU951" s="417"/>
      <c r="BV951" s="399"/>
      <c r="BW951" s="393" t="s">
        <v>3117</v>
      </c>
      <c r="BX951" s="392" t="s">
        <v>4364</v>
      </c>
      <c r="BY951" s="393" t="s">
        <v>7227</v>
      </c>
      <c r="BZ951" s="393"/>
      <c r="CA951" s="441"/>
      <c r="CB951" s="400"/>
      <c r="CC951" s="398"/>
      <c r="CD951" s="398"/>
      <c r="CE951" s="398"/>
      <c r="CF951" s="398"/>
      <c r="CG951" s="398"/>
      <c r="CH951" s="398"/>
      <c r="CI951" s="398">
        <v>57.850999999999999</v>
      </c>
      <c r="CJ951" s="398">
        <v>80.991</v>
      </c>
      <c r="CK951" s="398">
        <v>92.561000000000007</v>
      </c>
      <c r="CL951" s="398">
        <v>104.131</v>
      </c>
      <c r="CM951" s="398">
        <v>115.70099999999999</v>
      </c>
      <c r="CN951" s="398">
        <v>127.271</v>
      </c>
      <c r="CO951" s="398">
        <v>138.84100000000001</v>
      </c>
      <c r="CP951" s="398"/>
      <c r="CQ951" s="398"/>
      <c r="CR951" s="398"/>
      <c r="CS951" s="398"/>
      <c r="CT951" s="398"/>
      <c r="CU951" s="398"/>
      <c r="CV951" s="398"/>
      <c r="CW951" s="398"/>
      <c r="CX951" s="398"/>
      <c r="CY951" s="398"/>
      <c r="CZ951" s="398"/>
      <c r="DA951" s="398"/>
      <c r="DB951" s="398"/>
      <c r="DC951" s="398"/>
      <c r="DD951" s="398"/>
      <c r="DE951" s="393"/>
      <c r="DF951" s="393"/>
      <c r="DG951" s="393"/>
      <c r="DH951" s="393"/>
      <c r="DI951" s="393"/>
      <c r="DJ951" s="393"/>
      <c r="DK951" s="897"/>
    </row>
    <row r="952" spans="1:115" ht="51" x14ac:dyDescent="0.2">
      <c r="A952" s="295">
        <v>948</v>
      </c>
      <c r="B952" s="390" t="s">
        <v>5355</v>
      </c>
      <c r="C952" s="390"/>
      <c r="D952" s="391" t="s">
        <v>5356</v>
      </c>
      <c r="E952" s="704" t="s">
        <v>5357</v>
      </c>
      <c r="F952" s="393" t="s">
        <v>1375</v>
      </c>
      <c r="G952" s="393" t="s">
        <v>998</v>
      </c>
      <c r="H952" s="393" t="s">
        <v>1381</v>
      </c>
      <c r="I952" s="392"/>
      <c r="J952" s="392"/>
      <c r="K952" s="392" t="s">
        <v>5358</v>
      </c>
      <c r="L952" s="392" t="s">
        <v>1039</v>
      </c>
      <c r="M952" s="392"/>
      <c r="N952" s="393" t="s">
        <v>44</v>
      </c>
      <c r="O952" s="393" t="s">
        <v>51</v>
      </c>
      <c r="P952" s="393" t="s">
        <v>51</v>
      </c>
      <c r="Q952" s="392" t="s">
        <v>976</v>
      </c>
      <c r="R952" s="392" t="s">
        <v>3339</v>
      </c>
      <c r="S952" s="392" t="s">
        <v>166</v>
      </c>
      <c r="T952" s="394">
        <v>1</v>
      </c>
      <c r="U952" s="395">
        <v>23.231000000000002</v>
      </c>
      <c r="V952" s="395"/>
      <c r="W952" s="453"/>
      <c r="X952" s="394"/>
      <c r="Y952" s="394">
        <v>7</v>
      </c>
      <c r="Z952" s="394">
        <v>21</v>
      </c>
      <c r="AA952" s="395">
        <v>1.659</v>
      </c>
      <c r="AB952" s="452">
        <v>41487</v>
      </c>
      <c r="AC952" s="398">
        <v>0</v>
      </c>
      <c r="AD952" s="398">
        <v>172.41857260273974</v>
      </c>
      <c r="AE952" s="393" t="s">
        <v>54</v>
      </c>
      <c r="AF952" s="417"/>
      <c r="AG952" s="417"/>
      <c r="AH952" s="417"/>
      <c r="AI952" s="394"/>
      <c r="AJ952" s="453"/>
      <c r="AK952" s="453"/>
      <c r="AL952" s="393"/>
      <c r="AM952" s="393"/>
      <c r="AN952" s="417"/>
      <c r="AO952" s="392"/>
      <c r="AP952" s="392"/>
      <c r="AQ952" s="392"/>
      <c r="AR952" s="392" t="s">
        <v>1040</v>
      </c>
      <c r="AS952" s="480"/>
      <c r="AT952" s="453"/>
      <c r="AU952" s="453"/>
      <c r="AV952" s="453"/>
      <c r="AW952" s="453"/>
      <c r="AX952" s="453"/>
      <c r="AY952" s="453"/>
      <c r="AZ952" s="452">
        <v>41456</v>
      </c>
      <c r="BA952" s="393"/>
      <c r="BB952" s="393"/>
      <c r="BC952" s="393" t="b">
        <v>0</v>
      </c>
      <c r="BD952" s="393"/>
      <c r="BE952" s="392"/>
      <c r="BF952" s="394">
        <v>4</v>
      </c>
      <c r="BG952" s="394">
        <v>1</v>
      </c>
      <c r="BH952" s="394">
        <v>6</v>
      </c>
      <c r="BI952" s="394">
        <v>5</v>
      </c>
      <c r="BJ952" s="394">
        <v>9</v>
      </c>
      <c r="BK952" s="394"/>
      <c r="BL952" s="444" t="s">
        <v>6981</v>
      </c>
      <c r="BM952" s="392"/>
      <c r="BN952" s="393"/>
      <c r="BO952" s="393"/>
      <c r="BP952" s="399"/>
      <c r="BQ952" s="400"/>
      <c r="BR952" s="401"/>
      <c r="BS952" s="399"/>
      <c r="BT952" s="394"/>
      <c r="BU952" s="417"/>
      <c r="BV952" s="399"/>
      <c r="BW952" s="393" t="s">
        <v>3117</v>
      </c>
      <c r="BX952" s="392" t="s">
        <v>4364</v>
      </c>
      <c r="BY952" s="393" t="s">
        <v>7227</v>
      </c>
      <c r="BZ952" s="393"/>
      <c r="CA952" s="441"/>
      <c r="CB952" s="400"/>
      <c r="CC952" s="398"/>
      <c r="CD952" s="398"/>
      <c r="CE952" s="398"/>
      <c r="CF952" s="398"/>
      <c r="CG952" s="398"/>
      <c r="CH952" s="398"/>
      <c r="CI952" s="398">
        <v>15.487</v>
      </c>
      <c r="CJ952" s="398">
        <v>23.231000000000002</v>
      </c>
      <c r="CK952" s="398">
        <v>23.231000000000002</v>
      </c>
      <c r="CL952" s="398">
        <v>23.231000000000002</v>
      </c>
      <c r="CM952" s="398">
        <v>23.231000000000002</v>
      </c>
      <c r="CN952" s="398">
        <v>23.231000000000002</v>
      </c>
      <c r="CO952" s="398">
        <v>30.975000000000001</v>
      </c>
      <c r="CP952" s="398"/>
      <c r="CQ952" s="398"/>
      <c r="CR952" s="398"/>
      <c r="CS952" s="398"/>
      <c r="CT952" s="398"/>
      <c r="CU952" s="398"/>
      <c r="CV952" s="398"/>
      <c r="CW952" s="398"/>
      <c r="CX952" s="398"/>
      <c r="CY952" s="398"/>
      <c r="CZ952" s="398"/>
      <c r="DA952" s="398"/>
      <c r="DB952" s="398"/>
      <c r="DC952" s="398"/>
      <c r="DD952" s="398"/>
      <c r="DE952" s="393"/>
      <c r="DF952" s="393"/>
      <c r="DG952" s="393"/>
      <c r="DH952" s="393"/>
      <c r="DI952" s="393"/>
      <c r="DJ952" s="393"/>
      <c r="DK952" s="897"/>
    </row>
    <row r="953" spans="1:115" ht="51" x14ac:dyDescent="0.2">
      <c r="A953" s="295">
        <v>949</v>
      </c>
      <c r="B953" s="390" t="s">
        <v>5359</v>
      </c>
      <c r="C953" s="390"/>
      <c r="D953" s="391" t="s">
        <v>5360</v>
      </c>
      <c r="E953" s="704" t="s">
        <v>5361</v>
      </c>
      <c r="F953" s="393" t="s">
        <v>1375</v>
      </c>
      <c r="G953" s="393" t="s">
        <v>998</v>
      </c>
      <c r="H953" s="393" t="s">
        <v>1381</v>
      </c>
      <c r="I953" s="392"/>
      <c r="J953" s="392"/>
      <c r="K953" s="392" t="s">
        <v>5362</v>
      </c>
      <c r="L953" s="392" t="s">
        <v>1039</v>
      </c>
      <c r="M953" s="392"/>
      <c r="N953" s="393" t="s">
        <v>44</v>
      </c>
      <c r="O953" s="393" t="s">
        <v>51</v>
      </c>
      <c r="P953" s="393" t="s">
        <v>51</v>
      </c>
      <c r="Q953" s="392" t="s">
        <v>976</v>
      </c>
      <c r="R953" s="392" t="s">
        <v>3339</v>
      </c>
      <c r="S953" s="392" t="s">
        <v>166</v>
      </c>
      <c r="T953" s="394">
        <v>1</v>
      </c>
      <c r="U953" s="395">
        <v>26.460999999999999</v>
      </c>
      <c r="V953" s="395"/>
      <c r="W953" s="453"/>
      <c r="X953" s="394"/>
      <c r="Y953" s="394">
        <v>7</v>
      </c>
      <c r="Z953" s="394">
        <v>21</v>
      </c>
      <c r="AA953" s="395">
        <v>1.89</v>
      </c>
      <c r="AB953" s="452">
        <v>41487</v>
      </c>
      <c r="AC953" s="398">
        <v>0</v>
      </c>
      <c r="AD953" s="398">
        <v>196.39136712328767</v>
      </c>
      <c r="AE953" s="393" t="s">
        <v>54</v>
      </c>
      <c r="AF953" s="417"/>
      <c r="AG953" s="417"/>
      <c r="AH953" s="417"/>
      <c r="AI953" s="394"/>
      <c r="AJ953" s="453"/>
      <c r="AK953" s="453"/>
      <c r="AL953" s="393"/>
      <c r="AM953" s="393"/>
      <c r="AN953" s="417"/>
      <c r="AO953" s="392"/>
      <c r="AP953" s="392"/>
      <c r="AQ953" s="392"/>
      <c r="AR953" s="392" t="s">
        <v>1040</v>
      </c>
      <c r="AS953" s="480"/>
      <c r="AT953" s="453"/>
      <c r="AU953" s="453"/>
      <c r="AV953" s="453"/>
      <c r="AW953" s="453"/>
      <c r="AX953" s="453"/>
      <c r="AY953" s="453"/>
      <c r="AZ953" s="452">
        <v>41456</v>
      </c>
      <c r="BA953" s="393"/>
      <c r="BB953" s="393"/>
      <c r="BC953" s="393" t="b">
        <v>0</v>
      </c>
      <c r="BD953" s="393"/>
      <c r="BE953" s="392"/>
      <c r="BF953" s="394">
        <v>4</v>
      </c>
      <c r="BG953" s="394">
        <v>1</v>
      </c>
      <c r="BH953" s="394">
        <v>6</v>
      </c>
      <c r="BI953" s="394">
        <v>5</v>
      </c>
      <c r="BJ953" s="394">
        <v>9</v>
      </c>
      <c r="BK953" s="394"/>
      <c r="BL953" s="444" t="s">
        <v>6981</v>
      </c>
      <c r="BM953" s="392"/>
      <c r="BN953" s="393"/>
      <c r="BO953" s="393"/>
      <c r="BP953" s="399"/>
      <c r="BQ953" s="400"/>
      <c r="BR953" s="401"/>
      <c r="BS953" s="399"/>
      <c r="BT953" s="394"/>
      <c r="BU953" s="417"/>
      <c r="BV953" s="399"/>
      <c r="BW953" s="393" t="s">
        <v>3117</v>
      </c>
      <c r="BX953" s="392" t="s">
        <v>4364</v>
      </c>
      <c r="BY953" s="393" t="s">
        <v>7227</v>
      </c>
      <c r="BZ953" s="393"/>
      <c r="CA953" s="441"/>
      <c r="CB953" s="400"/>
      <c r="CC953" s="398"/>
      <c r="CD953" s="398"/>
      <c r="CE953" s="398"/>
      <c r="CF953" s="398"/>
      <c r="CG953" s="398"/>
      <c r="CH953" s="398"/>
      <c r="CI953" s="398">
        <v>17.640999999999998</v>
      </c>
      <c r="CJ953" s="398">
        <v>26.460999999999999</v>
      </c>
      <c r="CK953" s="398">
        <v>26.460999999999999</v>
      </c>
      <c r="CL953" s="398">
        <v>26.460999999999999</v>
      </c>
      <c r="CM953" s="398">
        <v>26.460999999999999</v>
      </c>
      <c r="CN953" s="398">
        <v>26.460999999999999</v>
      </c>
      <c r="CO953" s="398">
        <v>35.280999999999999</v>
      </c>
      <c r="CP953" s="398"/>
      <c r="CQ953" s="398"/>
      <c r="CR953" s="398"/>
      <c r="CS953" s="398"/>
      <c r="CT953" s="398"/>
      <c r="CU953" s="398"/>
      <c r="CV953" s="398"/>
      <c r="CW953" s="398"/>
      <c r="CX953" s="398"/>
      <c r="CY953" s="398"/>
      <c r="CZ953" s="398"/>
      <c r="DA953" s="398"/>
      <c r="DB953" s="398"/>
      <c r="DC953" s="398"/>
      <c r="DD953" s="398"/>
      <c r="DE953" s="393"/>
      <c r="DF953" s="393"/>
      <c r="DG953" s="393"/>
      <c r="DH953" s="393"/>
      <c r="DI953" s="393"/>
      <c r="DJ953" s="393"/>
      <c r="DK953" s="897"/>
    </row>
    <row r="954" spans="1:115" ht="51" x14ac:dyDescent="0.2">
      <c r="A954" s="295">
        <v>950</v>
      </c>
      <c r="B954" s="390" t="s">
        <v>5363</v>
      </c>
      <c r="C954" s="390"/>
      <c r="D954" s="391" t="s">
        <v>5364</v>
      </c>
      <c r="E954" s="704" t="s">
        <v>5365</v>
      </c>
      <c r="F954" s="393" t="s">
        <v>1375</v>
      </c>
      <c r="G954" s="393" t="s">
        <v>998</v>
      </c>
      <c r="H954" s="393" t="s">
        <v>1381</v>
      </c>
      <c r="I954" s="392"/>
      <c r="J954" s="392"/>
      <c r="K954" s="392" t="s">
        <v>5366</v>
      </c>
      <c r="L954" s="392" t="s">
        <v>1039</v>
      </c>
      <c r="M954" s="392"/>
      <c r="N954" s="393" t="s">
        <v>44</v>
      </c>
      <c r="O954" s="393" t="s">
        <v>51</v>
      </c>
      <c r="P954" s="393" t="s">
        <v>51</v>
      </c>
      <c r="Q954" s="392" t="s">
        <v>976</v>
      </c>
      <c r="R954" s="392" t="s">
        <v>3339</v>
      </c>
      <c r="S954" s="392" t="s">
        <v>166</v>
      </c>
      <c r="T954" s="394">
        <v>1</v>
      </c>
      <c r="U954" s="395">
        <v>23.515999999999998</v>
      </c>
      <c r="V954" s="395"/>
      <c r="W954" s="453"/>
      <c r="X954" s="394"/>
      <c r="Y954" s="394">
        <v>7</v>
      </c>
      <c r="Z954" s="394">
        <v>21</v>
      </c>
      <c r="AA954" s="395">
        <v>1.68</v>
      </c>
      <c r="AB954" s="452">
        <v>41487</v>
      </c>
      <c r="AC954" s="398">
        <v>0</v>
      </c>
      <c r="AD954" s="398">
        <v>174.53381917808218</v>
      </c>
      <c r="AE954" s="393" t="s">
        <v>54</v>
      </c>
      <c r="AF954" s="417"/>
      <c r="AG954" s="417"/>
      <c r="AH954" s="417"/>
      <c r="AI954" s="394"/>
      <c r="AJ954" s="453"/>
      <c r="AK954" s="453"/>
      <c r="AL954" s="393"/>
      <c r="AM954" s="393"/>
      <c r="AN954" s="417"/>
      <c r="AO954" s="392"/>
      <c r="AP954" s="392"/>
      <c r="AQ954" s="392"/>
      <c r="AR954" s="392" t="s">
        <v>1040</v>
      </c>
      <c r="AS954" s="480"/>
      <c r="AT954" s="453"/>
      <c r="AU954" s="453"/>
      <c r="AV954" s="453"/>
      <c r="AW954" s="453"/>
      <c r="AX954" s="453"/>
      <c r="AY954" s="453"/>
      <c r="AZ954" s="452">
        <v>41456</v>
      </c>
      <c r="BA954" s="393"/>
      <c r="BB954" s="393"/>
      <c r="BC954" s="393" t="b">
        <v>0</v>
      </c>
      <c r="BD954" s="393"/>
      <c r="BE954" s="392"/>
      <c r="BF954" s="394">
        <v>4</v>
      </c>
      <c r="BG954" s="394">
        <v>1</v>
      </c>
      <c r="BH954" s="394">
        <v>6</v>
      </c>
      <c r="BI954" s="394">
        <v>5</v>
      </c>
      <c r="BJ954" s="394">
        <v>9</v>
      </c>
      <c r="BK954" s="394"/>
      <c r="BL954" s="444" t="s">
        <v>6981</v>
      </c>
      <c r="BM954" s="392"/>
      <c r="BN954" s="393"/>
      <c r="BO954" s="393"/>
      <c r="BP954" s="399"/>
      <c r="BQ954" s="400"/>
      <c r="BR954" s="401"/>
      <c r="BS954" s="399"/>
      <c r="BT954" s="394"/>
      <c r="BU954" s="417"/>
      <c r="BV954" s="399"/>
      <c r="BW954" s="393" t="s">
        <v>3117</v>
      </c>
      <c r="BX954" s="392" t="s">
        <v>4364</v>
      </c>
      <c r="BY954" s="393" t="s">
        <v>7227</v>
      </c>
      <c r="BZ954" s="393"/>
      <c r="CA954" s="441"/>
      <c r="CB954" s="400"/>
      <c r="CC954" s="398"/>
      <c r="CD954" s="398"/>
      <c r="CE954" s="398"/>
      <c r="CF954" s="398"/>
      <c r="CG954" s="398"/>
      <c r="CH954" s="398"/>
      <c r="CI954" s="398">
        <v>15.677</v>
      </c>
      <c r="CJ954" s="398">
        <v>23.515999999999998</v>
      </c>
      <c r="CK954" s="398">
        <v>23.515999999999998</v>
      </c>
      <c r="CL954" s="398">
        <v>23.515999999999998</v>
      </c>
      <c r="CM954" s="398">
        <v>23.515999999999998</v>
      </c>
      <c r="CN954" s="398">
        <v>23.515999999999998</v>
      </c>
      <c r="CO954" s="398">
        <v>31.353999999999999</v>
      </c>
      <c r="CP954" s="398"/>
      <c r="CQ954" s="398"/>
      <c r="CR954" s="398"/>
      <c r="CS954" s="398"/>
      <c r="CT954" s="398"/>
      <c r="CU954" s="398"/>
      <c r="CV954" s="398"/>
      <c r="CW954" s="398"/>
      <c r="CX954" s="398"/>
      <c r="CY954" s="398"/>
      <c r="CZ954" s="398"/>
      <c r="DA954" s="398"/>
      <c r="DB954" s="398"/>
      <c r="DC954" s="398"/>
      <c r="DD954" s="398"/>
      <c r="DE954" s="393"/>
      <c r="DF954" s="393"/>
      <c r="DG954" s="393"/>
      <c r="DH954" s="393"/>
      <c r="DI954" s="393"/>
      <c r="DJ954" s="393"/>
      <c r="DK954" s="897"/>
    </row>
    <row r="955" spans="1:115" ht="51" x14ac:dyDescent="0.2">
      <c r="A955" s="295">
        <v>951</v>
      </c>
      <c r="B955" s="390" t="s">
        <v>5367</v>
      </c>
      <c r="C955" s="390"/>
      <c r="D955" s="391" t="s">
        <v>5368</v>
      </c>
      <c r="E955" s="704" t="s">
        <v>5369</v>
      </c>
      <c r="F955" s="393" t="s">
        <v>1375</v>
      </c>
      <c r="G955" s="393" t="s">
        <v>998</v>
      </c>
      <c r="H955" s="393" t="s">
        <v>218</v>
      </c>
      <c r="I955" s="392"/>
      <c r="J955" s="392"/>
      <c r="K955" s="392" t="s">
        <v>5370</v>
      </c>
      <c r="L955" s="392" t="s">
        <v>1039</v>
      </c>
      <c r="M955" s="392"/>
      <c r="N955" s="393" t="s">
        <v>44</v>
      </c>
      <c r="O955" s="393" t="s">
        <v>51</v>
      </c>
      <c r="P955" s="393" t="s">
        <v>51</v>
      </c>
      <c r="Q955" s="392" t="s">
        <v>976</v>
      </c>
      <c r="R955" s="392" t="s">
        <v>3339</v>
      </c>
      <c r="S955" s="392" t="s">
        <v>166</v>
      </c>
      <c r="T955" s="394">
        <v>1</v>
      </c>
      <c r="U955" s="395">
        <v>38.341000000000001</v>
      </c>
      <c r="V955" s="395"/>
      <c r="W955" s="453"/>
      <c r="X955" s="394"/>
      <c r="Y955" s="394">
        <v>7</v>
      </c>
      <c r="Z955" s="394">
        <v>21</v>
      </c>
      <c r="AA955" s="395">
        <v>2.7389999999999999</v>
      </c>
      <c r="AB955" s="452">
        <v>41487</v>
      </c>
      <c r="AC955" s="398">
        <v>0</v>
      </c>
      <c r="AD955" s="398">
        <v>284.56375068493151</v>
      </c>
      <c r="AE955" s="393" t="s">
        <v>54</v>
      </c>
      <c r="AF955" s="417"/>
      <c r="AG955" s="417">
        <v>27.221</v>
      </c>
      <c r="AH955" s="417">
        <v>27.221</v>
      </c>
      <c r="AI955" s="394">
        <v>1</v>
      </c>
      <c r="AJ955" s="453"/>
      <c r="AK955" s="453">
        <v>42857</v>
      </c>
      <c r="AL955" s="393"/>
      <c r="AM955" s="393"/>
      <c r="AN955" s="417"/>
      <c r="AO955" s="392"/>
      <c r="AP955" s="392"/>
      <c r="AQ955" s="392"/>
      <c r="AR955" s="392" t="s">
        <v>1040</v>
      </c>
      <c r="AS955" s="480"/>
      <c r="AT955" s="453"/>
      <c r="AU955" s="453"/>
      <c r="AV955" s="453"/>
      <c r="AW955" s="453"/>
      <c r="AX955" s="453"/>
      <c r="AY955" s="453"/>
      <c r="AZ955" s="452">
        <v>41456</v>
      </c>
      <c r="BA955" s="393"/>
      <c r="BB955" s="393"/>
      <c r="BC955" s="393" t="b">
        <v>0</v>
      </c>
      <c r="BD955" s="393"/>
      <c r="BE955" s="392"/>
      <c r="BF955" s="394">
        <v>4</v>
      </c>
      <c r="BG955" s="394">
        <v>1</v>
      </c>
      <c r="BH955" s="394">
        <v>6</v>
      </c>
      <c r="BI955" s="394">
        <v>5</v>
      </c>
      <c r="BJ955" s="394">
        <v>9</v>
      </c>
      <c r="BK955" s="394"/>
      <c r="BL955" s="444" t="s">
        <v>6981</v>
      </c>
      <c r="BM955" s="392"/>
      <c r="BN955" s="393"/>
      <c r="BO955" s="393"/>
      <c r="BP955" s="399"/>
      <c r="BQ955" s="400"/>
      <c r="BR955" s="401"/>
      <c r="BS955" s="399"/>
      <c r="BT955" s="394"/>
      <c r="BU955" s="417"/>
      <c r="BV955" s="399"/>
      <c r="BW955" s="393" t="s">
        <v>3117</v>
      </c>
      <c r="BX955" s="392" t="s">
        <v>4364</v>
      </c>
      <c r="BY955" s="393" t="s">
        <v>7227</v>
      </c>
      <c r="BZ955" s="393"/>
      <c r="CA955" s="441"/>
      <c r="CB955" s="400"/>
      <c r="CC955" s="398"/>
      <c r="CD955" s="398"/>
      <c r="CE955" s="398"/>
      <c r="CF955" s="398"/>
      <c r="CG955" s="398"/>
      <c r="CH955" s="398"/>
      <c r="CI955" s="398">
        <v>25.561</v>
      </c>
      <c r="CJ955" s="398">
        <v>38.341000000000001</v>
      </c>
      <c r="CK955" s="398">
        <v>38.341000000000001</v>
      </c>
      <c r="CL955" s="398">
        <v>38.341000000000001</v>
      </c>
      <c r="CM955" s="398">
        <v>38.341000000000001</v>
      </c>
      <c r="CN955" s="398">
        <v>38.341000000000001</v>
      </c>
      <c r="CO955" s="398">
        <v>51.122</v>
      </c>
      <c r="CP955" s="398"/>
      <c r="CQ955" s="398"/>
      <c r="CR955" s="398"/>
      <c r="CS955" s="398"/>
      <c r="CT955" s="398"/>
      <c r="CU955" s="398"/>
      <c r="CV955" s="398"/>
      <c r="CW955" s="398"/>
      <c r="CX955" s="398"/>
      <c r="CY955" s="398"/>
      <c r="CZ955" s="398"/>
      <c r="DA955" s="398"/>
      <c r="DB955" s="398"/>
      <c r="DC955" s="398"/>
      <c r="DD955" s="398"/>
      <c r="DE955" s="393"/>
      <c r="DF955" s="393"/>
      <c r="DG955" s="393"/>
      <c r="DH955" s="393"/>
      <c r="DI955" s="393"/>
      <c r="DJ955" s="393"/>
      <c r="DK955" s="897"/>
    </row>
    <row r="956" spans="1:115" ht="51" x14ac:dyDescent="0.2">
      <c r="A956" s="295">
        <v>952</v>
      </c>
      <c r="B956" s="390" t="s">
        <v>5371</v>
      </c>
      <c r="C956" s="390"/>
      <c r="D956" s="391" t="s">
        <v>5372</v>
      </c>
      <c r="E956" s="704" t="s">
        <v>5373</v>
      </c>
      <c r="F956" s="393" t="s">
        <v>1375</v>
      </c>
      <c r="G956" s="393" t="s">
        <v>998</v>
      </c>
      <c r="H956" s="393" t="s">
        <v>218</v>
      </c>
      <c r="I956" s="392"/>
      <c r="J956" s="392"/>
      <c r="K956" s="392" t="s">
        <v>5374</v>
      </c>
      <c r="L956" s="392" t="s">
        <v>1039</v>
      </c>
      <c r="M956" s="392"/>
      <c r="N956" s="393" t="s">
        <v>44</v>
      </c>
      <c r="O956" s="393" t="s">
        <v>51</v>
      </c>
      <c r="P956" s="393" t="s">
        <v>51</v>
      </c>
      <c r="Q956" s="392" t="s">
        <v>976</v>
      </c>
      <c r="R956" s="392" t="s">
        <v>3339</v>
      </c>
      <c r="S956" s="392" t="s">
        <v>166</v>
      </c>
      <c r="T956" s="394">
        <v>1</v>
      </c>
      <c r="U956" s="395">
        <v>37.436</v>
      </c>
      <c r="V956" s="395"/>
      <c r="W956" s="453"/>
      <c r="X956" s="394"/>
      <c r="Y956" s="394">
        <v>7</v>
      </c>
      <c r="Z956" s="394">
        <v>21</v>
      </c>
      <c r="AA956" s="395">
        <v>2.6739999999999999</v>
      </c>
      <c r="AB956" s="452">
        <v>41487</v>
      </c>
      <c r="AC956" s="398">
        <v>0</v>
      </c>
      <c r="AD956" s="398">
        <v>277.84691506849316</v>
      </c>
      <c r="AE956" s="393" t="s">
        <v>54</v>
      </c>
      <c r="AF956" s="417"/>
      <c r="AG956" s="417"/>
      <c r="AH956" s="417"/>
      <c r="AI956" s="394"/>
      <c r="AJ956" s="453"/>
      <c r="AK956" s="453"/>
      <c r="AL956" s="393"/>
      <c r="AM956" s="393"/>
      <c r="AN956" s="417"/>
      <c r="AO956" s="392"/>
      <c r="AP956" s="392"/>
      <c r="AQ956" s="392"/>
      <c r="AR956" s="392" t="s">
        <v>1040</v>
      </c>
      <c r="AS956" s="480"/>
      <c r="AT956" s="453"/>
      <c r="AU956" s="453"/>
      <c r="AV956" s="453"/>
      <c r="AW956" s="453"/>
      <c r="AX956" s="453"/>
      <c r="AY956" s="453"/>
      <c r="AZ956" s="452">
        <v>41456</v>
      </c>
      <c r="BA956" s="393"/>
      <c r="BB956" s="393"/>
      <c r="BC956" s="393" t="b">
        <v>0</v>
      </c>
      <c r="BD956" s="393"/>
      <c r="BE956" s="392"/>
      <c r="BF956" s="394">
        <v>4</v>
      </c>
      <c r="BG956" s="394">
        <v>1</v>
      </c>
      <c r="BH956" s="394">
        <v>6</v>
      </c>
      <c r="BI956" s="394">
        <v>5</v>
      </c>
      <c r="BJ956" s="394">
        <v>9</v>
      </c>
      <c r="BK956" s="394"/>
      <c r="BL956" s="444" t="s">
        <v>6981</v>
      </c>
      <c r="BM956" s="392"/>
      <c r="BN956" s="393"/>
      <c r="BO956" s="393"/>
      <c r="BP956" s="399"/>
      <c r="BQ956" s="400"/>
      <c r="BR956" s="401"/>
      <c r="BS956" s="399"/>
      <c r="BT956" s="394"/>
      <c r="BU956" s="417"/>
      <c r="BV956" s="399"/>
      <c r="BW956" s="393" t="s">
        <v>3117</v>
      </c>
      <c r="BX956" s="392" t="s">
        <v>4364</v>
      </c>
      <c r="BY956" s="393" t="s">
        <v>7227</v>
      </c>
      <c r="BZ956" s="393"/>
      <c r="CA956" s="441"/>
      <c r="CB956" s="400"/>
      <c r="CC956" s="398"/>
      <c r="CD956" s="398"/>
      <c r="CE956" s="398"/>
      <c r="CF956" s="398"/>
      <c r="CG956" s="398"/>
      <c r="CH956" s="398"/>
      <c r="CI956" s="398">
        <v>24.957000000000001</v>
      </c>
      <c r="CJ956" s="398">
        <v>37.436</v>
      </c>
      <c r="CK956" s="398">
        <v>37.436</v>
      </c>
      <c r="CL956" s="398">
        <v>37.436</v>
      </c>
      <c r="CM956" s="398">
        <v>37.436</v>
      </c>
      <c r="CN956" s="398">
        <v>37.436</v>
      </c>
      <c r="CO956" s="398">
        <v>49.914999999999999</v>
      </c>
      <c r="CP956" s="398"/>
      <c r="CQ956" s="398"/>
      <c r="CR956" s="398"/>
      <c r="CS956" s="398"/>
      <c r="CT956" s="398"/>
      <c r="CU956" s="398"/>
      <c r="CV956" s="398"/>
      <c r="CW956" s="398"/>
      <c r="CX956" s="398"/>
      <c r="CY956" s="398"/>
      <c r="CZ956" s="398"/>
      <c r="DA956" s="398"/>
      <c r="DB956" s="398"/>
      <c r="DC956" s="398"/>
      <c r="DD956" s="398"/>
      <c r="DE956" s="393"/>
      <c r="DF956" s="393"/>
      <c r="DG956" s="393"/>
      <c r="DH956" s="393"/>
      <c r="DI956" s="393"/>
      <c r="DJ956" s="393"/>
      <c r="DK956" s="897"/>
    </row>
    <row r="957" spans="1:115" ht="51" x14ac:dyDescent="0.2">
      <c r="A957" s="295">
        <v>953</v>
      </c>
      <c r="B957" s="390" t="s">
        <v>5375</v>
      </c>
      <c r="C957" s="390"/>
      <c r="D957" s="391" t="s">
        <v>5376</v>
      </c>
      <c r="E957" s="704" t="s">
        <v>5377</v>
      </c>
      <c r="F957" s="393" t="s">
        <v>1375</v>
      </c>
      <c r="G957" s="393" t="s">
        <v>998</v>
      </c>
      <c r="H957" s="393" t="s">
        <v>218</v>
      </c>
      <c r="I957" s="392"/>
      <c r="J957" s="392"/>
      <c r="K957" s="392" t="s">
        <v>5378</v>
      </c>
      <c r="L957" s="392" t="s">
        <v>1039</v>
      </c>
      <c r="M957" s="392"/>
      <c r="N957" s="393" t="s">
        <v>44</v>
      </c>
      <c r="O957" s="393" t="s">
        <v>51</v>
      </c>
      <c r="P957" s="393" t="s">
        <v>51</v>
      </c>
      <c r="Q957" s="392" t="s">
        <v>976</v>
      </c>
      <c r="R957" s="392" t="s">
        <v>3339</v>
      </c>
      <c r="S957" s="392" t="s">
        <v>166</v>
      </c>
      <c r="T957" s="394">
        <v>1</v>
      </c>
      <c r="U957" s="395">
        <v>38.100999999999999</v>
      </c>
      <c r="V957" s="395"/>
      <c r="W957" s="453"/>
      <c r="X957" s="394"/>
      <c r="Y957" s="394">
        <v>7</v>
      </c>
      <c r="Z957" s="394">
        <v>21</v>
      </c>
      <c r="AA957" s="395">
        <v>2.7210000000000001</v>
      </c>
      <c r="AB957" s="452">
        <v>41487</v>
      </c>
      <c r="AC957" s="398">
        <v>0</v>
      </c>
      <c r="AD957" s="398">
        <v>282.78249041095887</v>
      </c>
      <c r="AE957" s="393" t="s">
        <v>54</v>
      </c>
      <c r="AF957" s="417"/>
      <c r="AG957" s="417">
        <v>2.7E-2</v>
      </c>
      <c r="AH957" s="417">
        <v>2.7E-2</v>
      </c>
      <c r="AI957" s="394">
        <v>1</v>
      </c>
      <c r="AJ957" s="453"/>
      <c r="AK957" s="453">
        <v>42857</v>
      </c>
      <c r="AL957" s="393"/>
      <c r="AM957" s="393"/>
      <c r="AN957" s="417"/>
      <c r="AO957" s="392"/>
      <c r="AP957" s="392"/>
      <c r="AQ957" s="392"/>
      <c r="AR957" s="392" t="s">
        <v>1040</v>
      </c>
      <c r="AS957" s="480"/>
      <c r="AT957" s="453"/>
      <c r="AU957" s="453"/>
      <c r="AV957" s="453"/>
      <c r="AW957" s="453"/>
      <c r="AX957" s="453"/>
      <c r="AY957" s="453"/>
      <c r="AZ957" s="452">
        <v>41456</v>
      </c>
      <c r="BA957" s="393"/>
      <c r="BB957" s="393"/>
      <c r="BC957" s="393" t="b">
        <v>0</v>
      </c>
      <c r="BD957" s="393"/>
      <c r="BE957" s="392"/>
      <c r="BF957" s="394">
        <v>4</v>
      </c>
      <c r="BG957" s="394">
        <v>1</v>
      </c>
      <c r="BH957" s="394">
        <v>6</v>
      </c>
      <c r="BI957" s="394">
        <v>5</v>
      </c>
      <c r="BJ957" s="394">
        <v>9</v>
      </c>
      <c r="BK957" s="394"/>
      <c r="BL957" s="444" t="s">
        <v>6981</v>
      </c>
      <c r="BM957" s="392"/>
      <c r="BN957" s="393"/>
      <c r="BO957" s="393"/>
      <c r="BP957" s="399"/>
      <c r="BQ957" s="400"/>
      <c r="BR957" s="401"/>
      <c r="BS957" s="399"/>
      <c r="BT957" s="394"/>
      <c r="BU957" s="417"/>
      <c r="BV957" s="399"/>
      <c r="BW957" s="393" t="s">
        <v>3117</v>
      </c>
      <c r="BX957" s="392" t="s">
        <v>4364</v>
      </c>
      <c r="BY957" s="393" t="s">
        <v>7227</v>
      </c>
      <c r="BZ957" s="393"/>
      <c r="CA957" s="441"/>
      <c r="CB957" s="400"/>
      <c r="CC957" s="398"/>
      <c r="CD957" s="398"/>
      <c r="CE957" s="398"/>
      <c r="CF957" s="398"/>
      <c r="CG957" s="398"/>
      <c r="CH957" s="398"/>
      <c r="CI957" s="398">
        <v>25.401</v>
      </c>
      <c r="CJ957" s="398">
        <v>38.100999999999999</v>
      </c>
      <c r="CK957" s="398">
        <v>38.100999999999999</v>
      </c>
      <c r="CL957" s="398">
        <v>38.100999999999999</v>
      </c>
      <c r="CM957" s="398">
        <v>38.100999999999999</v>
      </c>
      <c r="CN957" s="398">
        <v>38.100999999999999</v>
      </c>
      <c r="CO957" s="398">
        <v>50.801000000000002</v>
      </c>
      <c r="CP957" s="398"/>
      <c r="CQ957" s="398"/>
      <c r="CR957" s="398"/>
      <c r="CS957" s="398"/>
      <c r="CT957" s="398"/>
      <c r="CU957" s="398"/>
      <c r="CV957" s="398"/>
      <c r="CW957" s="398"/>
      <c r="CX957" s="398"/>
      <c r="CY957" s="398"/>
      <c r="CZ957" s="398"/>
      <c r="DA957" s="398"/>
      <c r="DB957" s="398"/>
      <c r="DC957" s="398"/>
      <c r="DD957" s="398"/>
      <c r="DE957" s="393"/>
      <c r="DF957" s="393"/>
      <c r="DG957" s="393"/>
      <c r="DH957" s="393"/>
      <c r="DI957" s="393"/>
      <c r="DJ957" s="393"/>
      <c r="DK957" s="897"/>
    </row>
    <row r="958" spans="1:115" ht="51" x14ac:dyDescent="0.2">
      <c r="A958" s="295">
        <v>954</v>
      </c>
      <c r="B958" s="390" t="s">
        <v>5379</v>
      </c>
      <c r="C958" s="390"/>
      <c r="D958" s="391" t="s">
        <v>5380</v>
      </c>
      <c r="E958" s="704" t="s">
        <v>5381</v>
      </c>
      <c r="F958" s="393" t="s">
        <v>1375</v>
      </c>
      <c r="G958" s="393" t="s">
        <v>998</v>
      </c>
      <c r="H958" s="393" t="s">
        <v>218</v>
      </c>
      <c r="I958" s="392"/>
      <c r="J958" s="392"/>
      <c r="K958" s="392" t="s">
        <v>5382</v>
      </c>
      <c r="L958" s="392" t="s">
        <v>1039</v>
      </c>
      <c r="M958" s="392"/>
      <c r="N958" s="393" t="s">
        <v>44</v>
      </c>
      <c r="O958" s="393" t="s">
        <v>51</v>
      </c>
      <c r="P958" s="393" t="s">
        <v>51</v>
      </c>
      <c r="Q958" s="392" t="s">
        <v>976</v>
      </c>
      <c r="R958" s="392" t="s">
        <v>3339</v>
      </c>
      <c r="S958" s="392" t="s">
        <v>166</v>
      </c>
      <c r="T958" s="394">
        <v>1</v>
      </c>
      <c r="U958" s="395">
        <v>37.241999999999997</v>
      </c>
      <c r="V958" s="395"/>
      <c r="W958" s="453"/>
      <c r="X958" s="394"/>
      <c r="Y958" s="394">
        <v>7</v>
      </c>
      <c r="Z958" s="394">
        <v>21</v>
      </c>
      <c r="AA958" s="395">
        <v>2.66</v>
      </c>
      <c r="AB958" s="452">
        <v>41487</v>
      </c>
      <c r="AC958" s="398">
        <v>0</v>
      </c>
      <c r="AD958" s="398">
        <v>276.40706301369863</v>
      </c>
      <c r="AE958" s="393" t="s">
        <v>54</v>
      </c>
      <c r="AF958" s="417"/>
      <c r="AG958" s="417"/>
      <c r="AH958" s="417"/>
      <c r="AI958" s="394"/>
      <c r="AJ958" s="453"/>
      <c r="AK958" s="453"/>
      <c r="AL958" s="393"/>
      <c r="AM958" s="393"/>
      <c r="AN958" s="417"/>
      <c r="AO958" s="392"/>
      <c r="AP958" s="392"/>
      <c r="AQ958" s="392"/>
      <c r="AR958" s="392" t="s">
        <v>1040</v>
      </c>
      <c r="AS958" s="480"/>
      <c r="AT958" s="453"/>
      <c r="AU958" s="453"/>
      <c r="AV958" s="453"/>
      <c r="AW958" s="453"/>
      <c r="AX958" s="453"/>
      <c r="AY958" s="453"/>
      <c r="AZ958" s="452">
        <v>41456</v>
      </c>
      <c r="BA958" s="393"/>
      <c r="BB958" s="393"/>
      <c r="BC958" s="393" t="b">
        <v>0</v>
      </c>
      <c r="BD958" s="393"/>
      <c r="BE958" s="392"/>
      <c r="BF958" s="394">
        <v>4</v>
      </c>
      <c r="BG958" s="394">
        <v>1</v>
      </c>
      <c r="BH958" s="394">
        <v>6</v>
      </c>
      <c r="BI958" s="394">
        <v>5</v>
      </c>
      <c r="BJ958" s="394">
        <v>9</v>
      </c>
      <c r="BK958" s="394"/>
      <c r="BL958" s="444" t="s">
        <v>6981</v>
      </c>
      <c r="BM958" s="392"/>
      <c r="BN958" s="393"/>
      <c r="BO958" s="393"/>
      <c r="BP958" s="399"/>
      <c r="BQ958" s="400"/>
      <c r="BR958" s="401"/>
      <c r="BS958" s="399"/>
      <c r="BT958" s="394"/>
      <c r="BU958" s="417"/>
      <c r="BV958" s="399"/>
      <c r="BW958" s="393" t="s">
        <v>3117</v>
      </c>
      <c r="BX958" s="392" t="s">
        <v>4364</v>
      </c>
      <c r="BY958" s="393" t="s">
        <v>7227</v>
      </c>
      <c r="BZ958" s="393"/>
      <c r="CA958" s="441"/>
      <c r="CB958" s="400"/>
      <c r="CC958" s="398"/>
      <c r="CD958" s="398"/>
      <c r="CE958" s="398"/>
      <c r="CF958" s="398"/>
      <c r="CG958" s="398"/>
      <c r="CH958" s="398"/>
      <c r="CI958" s="398">
        <v>24.827999999999999</v>
      </c>
      <c r="CJ958" s="398">
        <v>37.241999999999997</v>
      </c>
      <c r="CK958" s="398">
        <v>37.241999999999997</v>
      </c>
      <c r="CL958" s="398">
        <v>37.241999999999997</v>
      </c>
      <c r="CM958" s="398">
        <v>37.241999999999997</v>
      </c>
      <c r="CN958" s="398">
        <v>37.241999999999997</v>
      </c>
      <c r="CO958" s="398">
        <v>49.655999999999999</v>
      </c>
      <c r="CP958" s="398"/>
      <c r="CQ958" s="398"/>
      <c r="CR958" s="398"/>
      <c r="CS958" s="398"/>
      <c r="CT958" s="398"/>
      <c r="CU958" s="398"/>
      <c r="CV958" s="398"/>
      <c r="CW958" s="398"/>
      <c r="CX958" s="398"/>
      <c r="CY958" s="398"/>
      <c r="CZ958" s="398"/>
      <c r="DA958" s="398"/>
      <c r="DB958" s="398"/>
      <c r="DC958" s="398"/>
      <c r="DD958" s="398"/>
      <c r="DE958" s="393"/>
      <c r="DF958" s="393"/>
      <c r="DG958" s="393"/>
      <c r="DH958" s="393"/>
      <c r="DI958" s="393"/>
      <c r="DJ958" s="393"/>
      <c r="DK958" s="897"/>
    </row>
    <row r="959" spans="1:115" ht="51" x14ac:dyDescent="0.2">
      <c r="A959" s="295">
        <v>955</v>
      </c>
      <c r="B959" s="390" t="s">
        <v>5383</v>
      </c>
      <c r="C959" s="390"/>
      <c r="D959" s="391" t="s">
        <v>5384</v>
      </c>
      <c r="E959" s="704" t="s">
        <v>5385</v>
      </c>
      <c r="F959" s="393" t="s">
        <v>1375</v>
      </c>
      <c r="G959" s="393" t="s">
        <v>998</v>
      </c>
      <c r="H959" s="393" t="s">
        <v>218</v>
      </c>
      <c r="I959" s="392"/>
      <c r="J959" s="392"/>
      <c r="K959" s="392" t="s">
        <v>5386</v>
      </c>
      <c r="L959" s="392" t="s">
        <v>1039</v>
      </c>
      <c r="M959" s="392"/>
      <c r="N959" s="393" t="s">
        <v>44</v>
      </c>
      <c r="O959" s="393" t="s">
        <v>51</v>
      </c>
      <c r="P959" s="393" t="s">
        <v>51</v>
      </c>
      <c r="Q959" s="392" t="s">
        <v>976</v>
      </c>
      <c r="R959" s="392" t="s">
        <v>3339</v>
      </c>
      <c r="S959" s="392" t="s">
        <v>166</v>
      </c>
      <c r="T959" s="394">
        <v>1</v>
      </c>
      <c r="U959" s="395">
        <v>37.393999999999998</v>
      </c>
      <c r="V959" s="395"/>
      <c r="W959" s="453"/>
      <c r="X959" s="394"/>
      <c r="Y959" s="394">
        <v>7</v>
      </c>
      <c r="Z959" s="394">
        <v>21</v>
      </c>
      <c r="AA959" s="395">
        <v>2.1349999999999998</v>
      </c>
      <c r="AB959" s="452">
        <v>41487</v>
      </c>
      <c r="AC959" s="398">
        <v>0</v>
      </c>
      <c r="AD959" s="398">
        <v>277.53519452054792</v>
      </c>
      <c r="AE959" s="393" t="s">
        <v>54</v>
      </c>
      <c r="AF959" s="417"/>
      <c r="AG959" s="417">
        <v>6.7000000000000004E-2</v>
      </c>
      <c r="AH959" s="417">
        <v>6.7000000000000004E-2</v>
      </c>
      <c r="AI959" s="394">
        <v>1</v>
      </c>
      <c r="AJ959" s="453"/>
      <c r="AK959" s="453">
        <v>42857</v>
      </c>
      <c r="AL959" s="393"/>
      <c r="AM959" s="393"/>
      <c r="AN959" s="417"/>
      <c r="AO959" s="392"/>
      <c r="AP959" s="392"/>
      <c r="AQ959" s="392"/>
      <c r="AR959" s="392" t="s">
        <v>1040</v>
      </c>
      <c r="AS959" s="480"/>
      <c r="AT959" s="453"/>
      <c r="AU959" s="453"/>
      <c r="AV959" s="453"/>
      <c r="AW959" s="453"/>
      <c r="AX959" s="453"/>
      <c r="AY959" s="453"/>
      <c r="AZ959" s="452">
        <v>41456</v>
      </c>
      <c r="BA959" s="393"/>
      <c r="BB959" s="393"/>
      <c r="BC959" s="393" t="b">
        <v>0</v>
      </c>
      <c r="BD959" s="393"/>
      <c r="BE959" s="392"/>
      <c r="BF959" s="394">
        <v>4</v>
      </c>
      <c r="BG959" s="394">
        <v>1</v>
      </c>
      <c r="BH959" s="394">
        <v>6</v>
      </c>
      <c r="BI959" s="394">
        <v>5</v>
      </c>
      <c r="BJ959" s="394">
        <v>9</v>
      </c>
      <c r="BK959" s="394"/>
      <c r="BL959" s="444" t="s">
        <v>6981</v>
      </c>
      <c r="BM959" s="392"/>
      <c r="BN959" s="393"/>
      <c r="BO959" s="393"/>
      <c r="BP959" s="399"/>
      <c r="BQ959" s="400"/>
      <c r="BR959" s="401"/>
      <c r="BS959" s="399"/>
      <c r="BT959" s="394"/>
      <c r="BU959" s="417"/>
      <c r="BV959" s="399"/>
      <c r="BW959" s="393" t="s">
        <v>3117</v>
      </c>
      <c r="BX959" s="392" t="s">
        <v>4364</v>
      </c>
      <c r="BY959" s="393" t="s">
        <v>7227</v>
      </c>
      <c r="BZ959" s="393"/>
      <c r="CA959" s="441"/>
      <c r="CB959" s="400"/>
      <c r="CC959" s="398"/>
      <c r="CD959" s="398"/>
      <c r="CE959" s="398"/>
      <c r="CF959" s="398"/>
      <c r="CG959" s="398"/>
      <c r="CH959" s="398"/>
      <c r="CI959" s="398">
        <v>29.93</v>
      </c>
      <c r="CJ959" s="398">
        <v>37.393999999999998</v>
      </c>
      <c r="CK959" s="398">
        <v>37.393999999999998</v>
      </c>
      <c r="CL959" s="398">
        <v>37.393999999999998</v>
      </c>
      <c r="CM959" s="398">
        <v>37.393999999999998</v>
      </c>
      <c r="CN959" s="398">
        <v>37.393999999999998</v>
      </c>
      <c r="CO959" s="398">
        <v>49.859000000000002</v>
      </c>
      <c r="CP959" s="398"/>
      <c r="CQ959" s="398"/>
      <c r="CR959" s="398"/>
      <c r="CS959" s="398"/>
      <c r="CT959" s="398"/>
      <c r="CU959" s="398"/>
      <c r="CV959" s="398"/>
      <c r="CW959" s="398"/>
      <c r="CX959" s="398"/>
      <c r="CY959" s="398"/>
      <c r="CZ959" s="398"/>
      <c r="DA959" s="398"/>
      <c r="DB959" s="398"/>
      <c r="DC959" s="398"/>
      <c r="DD959" s="398"/>
      <c r="DE959" s="393"/>
      <c r="DF959" s="393"/>
      <c r="DG959" s="393"/>
      <c r="DH959" s="393"/>
      <c r="DI959" s="393"/>
      <c r="DJ959" s="393"/>
      <c r="DK959" s="897"/>
    </row>
    <row r="960" spans="1:115" ht="51" x14ac:dyDescent="0.2">
      <c r="A960" s="295">
        <v>956</v>
      </c>
      <c r="B960" s="390" t="s">
        <v>5387</v>
      </c>
      <c r="C960" s="390"/>
      <c r="D960" s="391" t="s">
        <v>5388</v>
      </c>
      <c r="E960" s="704" t="s">
        <v>5389</v>
      </c>
      <c r="F960" s="393" t="s">
        <v>1375</v>
      </c>
      <c r="G960" s="393" t="s">
        <v>998</v>
      </c>
      <c r="H960" s="393" t="s">
        <v>218</v>
      </c>
      <c r="I960" s="392"/>
      <c r="J960" s="392"/>
      <c r="K960" s="392" t="s">
        <v>5390</v>
      </c>
      <c r="L960" s="392" t="s">
        <v>1039</v>
      </c>
      <c r="M960" s="392"/>
      <c r="N960" s="393" t="s">
        <v>44</v>
      </c>
      <c r="O960" s="393" t="s">
        <v>51</v>
      </c>
      <c r="P960" s="393" t="s">
        <v>51</v>
      </c>
      <c r="Q960" s="392" t="s">
        <v>976</v>
      </c>
      <c r="R960" s="392" t="s">
        <v>3339</v>
      </c>
      <c r="S960" s="392" t="s">
        <v>166</v>
      </c>
      <c r="T960" s="394">
        <v>1</v>
      </c>
      <c r="U960" s="395">
        <v>36.881999999999998</v>
      </c>
      <c r="V960" s="395"/>
      <c r="W960" s="453"/>
      <c r="X960" s="394"/>
      <c r="Y960" s="394">
        <v>7</v>
      </c>
      <c r="Z960" s="394">
        <v>21</v>
      </c>
      <c r="AA960" s="395">
        <v>2.6339999999999999</v>
      </c>
      <c r="AB960" s="452">
        <v>41487</v>
      </c>
      <c r="AC960" s="398">
        <v>0</v>
      </c>
      <c r="AD960" s="398">
        <v>273.73517260273968</v>
      </c>
      <c r="AE960" s="393" t="s">
        <v>54</v>
      </c>
      <c r="AF960" s="417"/>
      <c r="AG960" s="417"/>
      <c r="AH960" s="417"/>
      <c r="AI960" s="394"/>
      <c r="AJ960" s="453"/>
      <c r="AK960" s="453"/>
      <c r="AL960" s="393"/>
      <c r="AM960" s="393"/>
      <c r="AN960" s="417"/>
      <c r="AO960" s="392"/>
      <c r="AP960" s="392"/>
      <c r="AQ960" s="392"/>
      <c r="AR960" s="392" t="s">
        <v>1040</v>
      </c>
      <c r="AS960" s="480"/>
      <c r="AT960" s="453"/>
      <c r="AU960" s="453"/>
      <c r="AV960" s="453"/>
      <c r="AW960" s="453"/>
      <c r="AX960" s="453"/>
      <c r="AY960" s="453"/>
      <c r="AZ960" s="452">
        <v>41456</v>
      </c>
      <c r="BA960" s="393"/>
      <c r="BB960" s="393"/>
      <c r="BC960" s="393" t="b">
        <v>0</v>
      </c>
      <c r="BD960" s="393"/>
      <c r="BE960" s="392"/>
      <c r="BF960" s="394">
        <v>4</v>
      </c>
      <c r="BG960" s="394">
        <v>1</v>
      </c>
      <c r="BH960" s="394">
        <v>6</v>
      </c>
      <c r="BI960" s="394">
        <v>5</v>
      </c>
      <c r="BJ960" s="394">
        <v>9</v>
      </c>
      <c r="BK960" s="394"/>
      <c r="BL960" s="444" t="s">
        <v>6981</v>
      </c>
      <c r="BM960" s="392"/>
      <c r="BN960" s="393"/>
      <c r="BO960" s="393"/>
      <c r="BP960" s="399"/>
      <c r="BQ960" s="400"/>
      <c r="BR960" s="401"/>
      <c r="BS960" s="399"/>
      <c r="BT960" s="394"/>
      <c r="BU960" s="417"/>
      <c r="BV960" s="399"/>
      <c r="BW960" s="393" t="s">
        <v>3117</v>
      </c>
      <c r="BX960" s="392" t="s">
        <v>4364</v>
      </c>
      <c r="BY960" s="393" t="s">
        <v>7227</v>
      </c>
      <c r="BZ960" s="393"/>
      <c r="CA960" s="441"/>
      <c r="CB960" s="400"/>
      <c r="CC960" s="398"/>
      <c r="CD960" s="398"/>
      <c r="CE960" s="398"/>
      <c r="CF960" s="398"/>
      <c r="CG960" s="398"/>
      <c r="CH960" s="398"/>
      <c r="CI960" s="398">
        <v>24.588000000000001</v>
      </c>
      <c r="CJ960" s="398">
        <v>36.881999999999998</v>
      </c>
      <c r="CK960" s="398">
        <v>36.881999999999998</v>
      </c>
      <c r="CL960" s="398">
        <v>36.881999999999998</v>
      </c>
      <c r="CM960" s="398">
        <v>36.881999999999998</v>
      </c>
      <c r="CN960" s="398">
        <v>36.881999999999998</v>
      </c>
      <c r="CO960" s="398">
        <v>49.176000000000002</v>
      </c>
      <c r="CP960" s="398"/>
      <c r="CQ960" s="398"/>
      <c r="CR960" s="398"/>
      <c r="CS960" s="398"/>
      <c r="CT960" s="398"/>
      <c r="CU960" s="398"/>
      <c r="CV960" s="398"/>
      <c r="CW960" s="398"/>
      <c r="CX960" s="398"/>
      <c r="CY960" s="398"/>
      <c r="CZ960" s="398"/>
      <c r="DA960" s="398"/>
      <c r="DB960" s="398"/>
      <c r="DC960" s="398"/>
      <c r="DD960" s="398"/>
      <c r="DE960" s="393"/>
      <c r="DF960" s="393"/>
      <c r="DG960" s="393"/>
      <c r="DH960" s="393"/>
      <c r="DI960" s="393"/>
      <c r="DJ960" s="393"/>
      <c r="DK960" s="897"/>
    </row>
    <row r="961" spans="1:115" ht="51" x14ac:dyDescent="0.2">
      <c r="A961" s="295">
        <v>957</v>
      </c>
      <c r="B961" s="390" t="s">
        <v>5391</v>
      </c>
      <c r="C961" s="390"/>
      <c r="D961" s="391" t="s">
        <v>5392</v>
      </c>
      <c r="E961" s="704" t="s">
        <v>5393</v>
      </c>
      <c r="F961" s="393" t="s">
        <v>1375</v>
      </c>
      <c r="G961" s="393" t="s">
        <v>998</v>
      </c>
      <c r="H961" s="393" t="s">
        <v>218</v>
      </c>
      <c r="I961" s="392"/>
      <c r="J961" s="392"/>
      <c r="K961" s="392" t="s">
        <v>5394</v>
      </c>
      <c r="L961" s="392" t="s">
        <v>1039</v>
      </c>
      <c r="M961" s="392"/>
      <c r="N961" s="393" t="s">
        <v>44</v>
      </c>
      <c r="O961" s="393" t="s">
        <v>51</v>
      </c>
      <c r="P961" s="393" t="s">
        <v>51</v>
      </c>
      <c r="Q961" s="392" t="s">
        <v>976</v>
      </c>
      <c r="R961" s="392" t="s">
        <v>3339</v>
      </c>
      <c r="S961" s="392" t="s">
        <v>166</v>
      </c>
      <c r="T961" s="394">
        <v>1</v>
      </c>
      <c r="U961" s="395">
        <v>36.552999999999997</v>
      </c>
      <c r="V961" s="395"/>
      <c r="W961" s="453"/>
      <c r="X961" s="394"/>
      <c r="Y961" s="394">
        <v>7</v>
      </c>
      <c r="Z961" s="394">
        <v>21</v>
      </c>
      <c r="AA961" s="395">
        <v>2.6110000000000002</v>
      </c>
      <c r="AB961" s="452">
        <v>41487</v>
      </c>
      <c r="AC961" s="398">
        <v>0</v>
      </c>
      <c r="AD961" s="398">
        <v>271.29336164383557</v>
      </c>
      <c r="AE961" s="393" t="s">
        <v>54</v>
      </c>
      <c r="AF961" s="417"/>
      <c r="AG961" s="417"/>
      <c r="AH961" s="417"/>
      <c r="AI961" s="394"/>
      <c r="AJ961" s="453"/>
      <c r="AK961" s="453"/>
      <c r="AL961" s="393"/>
      <c r="AM961" s="393"/>
      <c r="AN961" s="417"/>
      <c r="AO961" s="392"/>
      <c r="AP961" s="392"/>
      <c r="AQ961" s="392"/>
      <c r="AR961" s="392" t="s">
        <v>1040</v>
      </c>
      <c r="AS961" s="480"/>
      <c r="AT961" s="397"/>
      <c r="AU961" s="397"/>
      <c r="AV961" s="453"/>
      <c r="AW961" s="453"/>
      <c r="AX961" s="453"/>
      <c r="AY961" s="453"/>
      <c r="AZ961" s="452">
        <v>41456</v>
      </c>
      <c r="BA961" s="393"/>
      <c r="BB961" s="393"/>
      <c r="BC961" s="393" t="b">
        <v>0</v>
      </c>
      <c r="BD961" s="393"/>
      <c r="BE961" s="392"/>
      <c r="BF961" s="394">
        <v>4</v>
      </c>
      <c r="BG961" s="394">
        <v>1</v>
      </c>
      <c r="BH961" s="394">
        <v>6</v>
      </c>
      <c r="BI961" s="394">
        <v>5</v>
      </c>
      <c r="BJ961" s="394">
        <v>9</v>
      </c>
      <c r="BK961" s="394"/>
      <c r="BL961" s="444" t="s">
        <v>6981</v>
      </c>
      <c r="BM961" s="392"/>
      <c r="BN961" s="393"/>
      <c r="BO961" s="393"/>
      <c r="BP961" s="399"/>
      <c r="BQ961" s="400"/>
      <c r="BR961" s="401"/>
      <c r="BS961" s="399"/>
      <c r="BT961" s="394"/>
      <c r="BU961" s="417"/>
      <c r="BV961" s="399"/>
      <c r="BW961" s="393" t="s">
        <v>3117</v>
      </c>
      <c r="BX961" s="392" t="s">
        <v>4364</v>
      </c>
      <c r="BY961" s="393" t="s">
        <v>7227</v>
      </c>
      <c r="BZ961" s="393"/>
      <c r="CA961" s="441"/>
      <c r="CB961" s="400"/>
      <c r="CC961" s="398"/>
      <c r="CD961" s="398"/>
      <c r="CE961" s="398"/>
      <c r="CF961" s="398"/>
      <c r="CG961" s="398"/>
      <c r="CH961" s="398"/>
      <c r="CI961" s="398">
        <v>24.369</v>
      </c>
      <c r="CJ961" s="398">
        <v>36.533000000000001</v>
      </c>
      <c r="CK961" s="398">
        <v>36.533000000000001</v>
      </c>
      <c r="CL961" s="398">
        <v>36.533000000000001</v>
      </c>
      <c r="CM961" s="398">
        <v>36.533000000000001</v>
      </c>
      <c r="CN961" s="398">
        <v>36.533000000000001</v>
      </c>
      <c r="CO961" s="398">
        <v>48.738</v>
      </c>
      <c r="CP961" s="398"/>
      <c r="CQ961" s="398"/>
      <c r="CR961" s="398"/>
      <c r="CS961" s="398"/>
      <c r="CT961" s="398"/>
      <c r="CU961" s="398"/>
      <c r="CV961" s="398"/>
      <c r="CW961" s="398"/>
      <c r="CX961" s="398"/>
      <c r="CY961" s="398"/>
      <c r="CZ961" s="398"/>
      <c r="DA961" s="398"/>
      <c r="DB961" s="398"/>
      <c r="DC961" s="398"/>
      <c r="DD961" s="398"/>
      <c r="DE961" s="393"/>
      <c r="DF961" s="393"/>
      <c r="DG961" s="393"/>
      <c r="DH961" s="393"/>
      <c r="DI961" s="393"/>
      <c r="DJ961" s="393"/>
      <c r="DK961" s="897"/>
    </row>
    <row r="962" spans="1:115" ht="76.5" x14ac:dyDescent="0.2">
      <c r="A962" s="295">
        <v>958</v>
      </c>
      <c r="B962" s="390" t="s">
        <v>5395</v>
      </c>
      <c r="C962" s="390"/>
      <c r="D962" s="391" t="s">
        <v>5396</v>
      </c>
      <c r="E962" s="704" t="s">
        <v>5397</v>
      </c>
      <c r="F962" s="393" t="s">
        <v>1375</v>
      </c>
      <c r="G962" s="393" t="s">
        <v>998</v>
      </c>
      <c r="H962" s="393" t="s">
        <v>218</v>
      </c>
      <c r="I962" s="392"/>
      <c r="J962" s="392"/>
      <c r="K962" s="392" t="s">
        <v>5398</v>
      </c>
      <c r="L962" s="392" t="s">
        <v>1039</v>
      </c>
      <c r="M962" s="392"/>
      <c r="N962" s="393" t="s">
        <v>44</v>
      </c>
      <c r="O962" s="393" t="s">
        <v>51</v>
      </c>
      <c r="P962" s="393" t="s">
        <v>51</v>
      </c>
      <c r="Q962" s="392" t="s">
        <v>976</v>
      </c>
      <c r="R962" s="392" t="s">
        <v>3339</v>
      </c>
      <c r="S962" s="392" t="s">
        <v>166</v>
      </c>
      <c r="T962" s="394">
        <v>1</v>
      </c>
      <c r="U962" s="395">
        <v>34.664999999999999</v>
      </c>
      <c r="V962" s="395"/>
      <c r="W962" s="453"/>
      <c r="X962" s="394"/>
      <c r="Y962" s="394">
        <v>7</v>
      </c>
      <c r="Z962" s="394">
        <v>21</v>
      </c>
      <c r="AA962" s="395">
        <v>2.476</v>
      </c>
      <c r="AB962" s="452">
        <v>41487</v>
      </c>
      <c r="AC962" s="398">
        <v>0</v>
      </c>
      <c r="AD962" s="398">
        <v>257.2807808219178</v>
      </c>
      <c r="AE962" s="393" t="s">
        <v>54</v>
      </c>
      <c r="AF962" s="417"/>
      <c r="AG962" s="417">
        <v>19.446999999999999</v>
      </c>
      <c r="AH962" s="417">
        <v>19.446999999999999</v>
      </c>
      <c r="AI962" s="394">
        <v>1</v>
      </c>
      <c r="AJ962" s="453"/>
      <c r="AK962" s="453">
        <v>42857</v>
      </c>
      <c r="AL962" s="393"/>
      <c r="AM962" s="393"/>
      <c r="AN962" s="417"/>
      <c r="AO962" s="392"/>
      <c r="AP962" s="392"/>
      <c r="AQ962" s="392"/>
      <c r="AR962" s="392" t="s">
        <v>1040</v>
      </c>
      <c r="AS962" s="480"/>
      <c r="AT962" s="453"/>
      <c r="AU962" s="453"/>
      <c r="AV962" s="453"/>
      <c r="AW962" s="453"/>
      <c r="AX962" s="453"/>
      <c r="AY962" s="453"/>
      <c r="AZ962" s="452">
        <v>41456</v>
      </c>
      <c r="BA962" s="393"/>
      <c r="BB962" s="393"/>
      <c r="BC962" s="393" t="b">
        <v>0</v>
      </c>
      <c r="BD962" s="393"/>
      <c r="BE962" s="392"/>
      <c r="BF962" s="394">
        <v>4</v>
      </c>
      <c r="BG962" s="394">
        <v>1</v>
      </c>
      <c r="BH962" s="394">
        <v>6</v>
      </c>
      <c r="BI962" s="394">
        <v>5</v>
      </c>
      <c r="BJ962" s="394">
        <v>9</v>
      </c>
      <c r="BK962" s="394"/>
      <c r="BL962" s="444" t="s">
        <v>6981</v>
      </c>
      <c r="BM962" s="392"/>
      <c r="BN962" s="393"/>
      <c r="BO962" s="393"/>
      <c r="BP962" s="399"/>
      <c r="BQ962" s="400"/>
      <c r="BR962" s="401"/>
      <c r="BS962" s="399"/>
      <c r="BT962" s="394"/>
      <c r="BU962" s="417"/>
      <c r="BV962" s="399"/>
      <c r="BW962" s="393" t="s">
        <v>3117</v>
      </c>
      <c r="BX962" s="392" t="s">
        <v>4364</v>
      </c>
      <c r="BY962" s="393" t="s">
        <v>7227</v>
      </c>
      <c r="BZ962" s="393"/>
      <c r="CA962" s="441"/>
      <c r="CB962" s="400"/>
      <c r="CC962" s="398"/>
      <c r="CD962" s="398"/>
      <c r="CE962" s="398"/>
      <c r="CF962" s="398"/>
      <c r="CG962" s="398"/>
      <c r="CH962" s="398"/>
      <c r="CI962" s="398">
        <v>23.11</v>
      </c>
      <c r="CJ962" s="398">
        <v>34.664999999999999</v>
      </c>
      <c r="CK962" s="398">
        <v>34.664999999999999</v>
      </c>
      <c r="CL962" s="398">
        <v>34.664999999999999</v>
      </c>
      <c r="CM962" s="398">
        <v>34.664999999999999</v>
      </c>
      <c r="CN962" s="398">
        <v>34.664999999999999</v>
      </c>
      <c r="CO962" s="398">
        <v>46.22</v>
      </c>
      <c r="CP962" s="398"/>
      <c r="CQ962" s="398"/>
      <c r="CR962" s="398"/>
      <c r="CS962" s="398"/>
      <c r="CT962" s="398"/>
      <c r="CU962" s="398"/>
      <c r="CV962" s="398"/>
      <c r="CW962" s="398"/>
      <c r="CX962" s="398"/>
      <c r="CY962" s="398"/>
      <c r="CZ962" s="398"/>
      <c r="DA962" s="398"/>
      <c r="DB962" s="398"/>
      <c r="DC962" s="398"/>
      <c r="DD962" s="398"/>
      <c r="DE962" s="393"/>
      <c r="DF962" s="393"/>
      <c r="DG962" s="393"/>
      <c r="DH962" s="393"/>
      <c r="DI962" s="393"/>
      <c r="DJ962" s="393"/>
      <c r="DK962" s="897"/>
    </row>
    <row r="963" spans="1:115" ht="51" x14ac:dyDescent="0.2">
      <c r="A963" s="295">
        <v>959</v>
      </c>
      <c r="B963" s="390" t="s">
        <v>5399</v>
      </c>
      <c r="C963" s="390"/>
      <c r="D963" s="391" t="s">
        <v>5400</v>
      </c>
      <c r="E963" s="704" t="s">
        <v>5401</v>
      </c>
      <c r="F963" s="393" t="s">
        <v>1375</v>
      </c>
      <c r="G963" s="393" t="s">
        <v>1361</v>
      </c>
      <c r="H963" s="393" t="s">
        <v>504</v>
      </c>
      <c r="I963" s="392"/>
      <c r="J963" s="392"/>
      <c r="K963" s="392" t="s">
        <v>4808</v>
      </c>
      <c r="L963" s="392" t="s">
        <v>1039</v>
      </c>
      <c r="M963" s="392"/>
      <c r="N963" s="393" t="s">
        <v>44</v>
      </c>
      <c r="O963" s="393" t="s">
        <v>51</v>
      </c>
      <c r="P963" s="393" t="s">
        <v>51</v>
      </c>
      <c r="Q963" s="392" t="s">
        <v>976</v>
      </c>
      <c r="R963" s="392" t="s">
        <v>3339</v>
      </c>
      <c r="S963" s="392" t="s">
        <v>166</v>
      </c>
      <c r="T963" s="394">
        <v>1</v>
      </c>
      <c r="U963" s="395">
        <v>24.137</v>
      </c>
      <c r="V963" s="395"/>
      <c r="W963" s="453"/>
      <c r="X963" s="394"/>
      <c r="Y963" s="394">
        <v>7</v>
      </c>
      <c r="Z963" s="394">
        <v>21</v>
      </c>
      <c r="AA963" s="395">
        <v>1.724</v>
      </c>
      <c r="AB963" s="452">
        <v>41487</v>
      </c>
      <c r="AC963" s="398">
        <v>0</v>
      </c>
      <c r="AD963" s="398">
        <v>179.1428301369863</v>
      </c>
      <c r="AE963" s="393" t="s">
        <v>54</v>
      </c>
      <c r="AF963" s="417"/>
      <c r="AG963" s="417"/>
      <c r="AH963" s="417"/>
      <c r="AI963" s="394"/>
      <c r="AJ963" s="453"/>
      <c r="AK963" s="453"/>
      <c r="AL963" s="393"/>
      <c r="AM963" s="393"/>
      <c r="AN963" s="417"/>
      <c r="AO963" s="392"/>
      <c r="AP963" s="392"/>
      <c r="AQ963" s="392"/>
      <c r="AR963" s="392" t="s">
        <v>1040</v>
      </c>
      <c r="AS963" s="480"/>
      <c r="AT963" s="453"/>
      <c r="AU963" s="453"/>
      <c r="AV963" s="453"/>
      <c r="AW963" s="453"/>
      <c r="AX963" s="453"/>
      <c r="AY963" s="453"/>
      <c r="AZ963" s="452">
        <v>41456</v>
      </c>
      <c r="BA963" s="393"/>
      <c r="BB963" s="393"/>
      <c r="BC963" s="393" t="b">
        <v>0</v>
      </c>
      <c r="BD963" s="393"/>
      <c r="BE963" s="392"/>
      <c r="BF963" s="394">
        <v>4</v>
      </c>
      <c r="BG963" s="394">
        <v>1</v>
      </c>
      <c r="BH963" s="394">
        <v>6</v>
      </c>
      <c r="BI963" s="394">
        <v>5</v>
      </c>
      <c r="BJ963" s="394">
        <v>9</v>
      </c>
      <c r="BK963" s="394"/>
      <c r="BL963" s="444" t="s">
        <v>6981</v>
      </c>
      <c r="BM963" s="392"/>
      <c r="BN963" s="393"/>
      <c r="BO963" s="393"/>
      <c r="BP963" s="399"/>
      <c r="BQ963" s="400"/>
      <c r="BR963" s="401"/>
      <c r="BS963" s="399"/>
      <c r="BT963" s="394"/>
      <c r="BU963" s="417"/>
      <c r="BV963" s="399"/>
      <c r="BW963" s="393" t="s">
        <v>3117</v>
      </c>
      <c r="BX963" s="392" t="s">
        <v>4364</v>
      </c>
      <c r="BY963" s="393" t="s">
        <v>7227</v>
      </c>
      <c r="BZ963" s="393"/>
      <c r="CA963" s="441"/>
      <c r="CB963" s="400"/>
      <c r="CC963" s="398"/>
      <c r="CD963" s="398"/>
      <c r="CE963" s="398"/>
      <c r="CF963" s="398"/>
      <c r="CG963" s="398"/>
      <c r="CH963" s="398"/>
      <c r="CI963" s="398">
        <v>16.091000000000001</v>
      </c>
      <c r="CJ963" s="398">
        <v>24.137</v>
      </c>
      <c r="CK963" s="398">
        <v>24.137</v>
      </c>
      <c r="CL963" s="398">
        <v>24.137</v>
      </c>
      <c r="CM963" s="398">
        <v>24.137</v>
      </c>
      <c r="CN963" s="398">
        <v>24.137</v>
      </c>
      <c r="CO963" s="398">
        <v>32.183</v>
      </c>
      <c r="CP963" s="398"/>
      <c r="CQ963" s="398"/>
      <c r="CR963" s="398"/>
      <c r="CS963" s="398"/>
      <c r="CT963" s="398"/>
      <c r="CU963" s="398"/>
      <c r="CV963" s="398"/>
      <c r="CW963" s="398"/>
      <c r="CX963" s="398"/>
      <c r="CY963" s="398"/>
      <c r="CZ963" s="398"/>
      <c r="DA963" s="398"/>
      <c r="DB963" s="398"/>
      <c r="DC963" s="398"/>
      <c r="DD963" s="398"/>
      <c r="DE963" s="393"/>
      <c r="DF963" s="393"/>
      <c r="DG963" s="393"/>
      <c r="DH963" s="393"/>
      <c r="DI963" s="393"/>
      <c r="DJ963" s="393"/>
      <c r="DK963" s="897"/>
    </row>
    <row r="964" spans="1:115" ht="51" x14ac:dyDescent="0.2">
      <c r="A964" s="295">
        <v>960</v>
      </c>
      <c r="B964" s="390" t="s">
        <v>5402</v>
      </c>
      <c r="C964" s="390"/>
      <c r="D964" s="391" t="s">
        <v>5403</v>
      </c>
      <c r="E964" s="704" t="s">
        <v>5404</v>
      </c>
      <c r="F964" s="393" t="s">
        <v>1375</v>
      </c>
      <c r="G964" s="393" t="s">
        <v>998</v>
      </c>
      <c r="H964" s="393" t="s">
        <v>1387</v>
      </c>
      <c r="I964" s="392"/>
      <c r="J964" s="392"/>
      <c r="K964" s="392" t="s">
        <v>5405</v>
      </c>
      <c r="L964" s="392" t="s">
        <v>1039</v>
      </c>
      <c r="M964" s="392"/>
      <c r="N964" s="393" t="s">
        <v>44</v>
      </c>
      <c r="O964" s="393" t="s">
        <v>51</v>
      </c>
      <c r="P964" s="393" t="s">
        <v>51</v>
      </c>
      <c r="Q964" s="392" t="s">
        <v>976</v>
      </c>
      <c r="R964" s="392" t="s">
        <v>3339</v>
      </c>
      <c r="S964" s="392" t="s">
        <v>166</v>
      </c>
      <c r="T964" s="394">
        <v>1</v>
      </c>
      <c r="U964" s="395">
        <v>37.384</v>
      </c>
      <c r="V964" s="395"/>
      <c r="W964" s="453"/>
      <c r="X964" s="394"/>
      <c r="Y964" s="394">
        <v>7</v>
      </c>
      <c r="Z964" s="394">
        <v>21</v>
      </c>
      <c r="AA964" s="395">
        <v>2.67</v>
      </c>
      <c r="AB964" s="452">
        <v>41487</v>
      </c>
      <c r="AC964" s="398">
        <v>0</v>
      </c>
      <c r="AD964" s="398">
        <v>277.46097534246576</v>
      </c>
      <c r="AE964" s="393" t="s">
        <v>54</v>
      </c>
      <c r="AF964" s="417"/>
      <c r="AG964" s="417"/>
      <c r="AH964" s="417"/>
      <c r="AI964" s="394"/>
      <c r="AJ964" s="453"/>
      <c r="AK964" s="453"/>
      <c r="AL964" s="393"/>
      <c r="AM964" s="393"/>
      <c r="AN964" s="417"/>
      <c r="AO964" s="392"/>
      <c r="AP964" s="392"/>
      <c r="AQ964" s="392"/>
      <c r="AR964" s="392" t="s">
        <v>1040</v>
      </c>
      <c r="AS964" s="480"/>
      <c r="AT964" s="453"/>
      <c r="AU964" s="453"/>
      <c r="AV964" s="453"/>
      <c r="AW964" s="453"/>
      <c r="AX964" s="453"/>
      <c r="AY964" s="453"/>
      <c r="AZ964" s="452">
        <v>41456</v>
      </c>
      <c r="BA964" s="393"/>
      <c r="BB964" s="393"/>
      <c r="BC964" s="393" t="b">
        <v>0</v>
      </c>
      <c r="BD964" s="393"/>
      <c r="BE964" s="392"/>
      <c r="BF964" s="394">
        <v>4</v>
      </c>
      <c r="BG964" s="394">
        <v>1</v>
      </c>
      <c r="BH964" s="394">
        <v>6</v>
      </c>
      <c r="BI964" s="394">
        <v>5</v>
      </c>
      <c r="BJ964" s="394">
        <v>9</v>
      </c>
      <c r="BK964" s="394"/>
      <c r="BL964" s="444" t="s">
        <v>6981</v>
      </c>
      <c r="BM964" s="392"/>
      <c r="BN964" s="393"/>
      <c r="BO964" s="393"/>
      <c r="BP964" s="399"/>
      <c r="BQ964" s="400"/>
      <c r="BR964" s="401"/>
      <c r="BS964" s="399"/>
      <c r="BT964" s="394"/>
      <c r="BU964" s="417"/>
      <c r="BV964" s="399"/>
      <c r="BW964" s="393" t="s">
        <v>3117</v>
      </c>
      <c r="BX964" s="392" t="s">
        <v>4364</v>
      </c>
      <c r="BY964" s="393" t="s">
        <v>7227</v>
      </c>
      <c r="BZ964" s="393"/>
      <c r="CA964" s="441"/>
      <c r="CB964" s="400"/>
      <c r="CC964" s="398"/>
      <c r="CD964" s="398"/>
      <c r="CE964" s="398"/>
      <c r="CF964" s="398"/>
      <c r="CG964" s="398"/>
      <c r="CH964" s="398"/>
      <c r="CI964" s="398">
        <v>24.922999999999998</v>
      </c>
      <c r="CJ964" s="398">
        <v>37.384</v>
      </c>
      <c r="CK964" s="398">
        <v>37.384</v>
      </c>
      <c r="CL964" s="398">
        <v>37.384</v>
      </c>
      <c r="CM964" s="398">
        <v>37.384</v>
      </c>
      <c r="CN964" s="398">
        <v>37.384</v>
      </c>
      <c r="CO964" s="398">
        <v>49.844999999999999</v>
      </c>
      <c r="CP964" s="398"/>
      <c r="CQ964" s="398"/>
      <c r="CR964" s="398"/>
      <c r="CS964" s="398"/>
      <c r="CT964" s="398"/>
      <c r="CU964" s="398"/>
      <c r="CV964" s="398"/>
      <c r="CW964" s="398"/>
      <c r="CX964" s="398"/>
      <c r="CY964" s="398"/>
      <c r="CZ964" s="398"/>
      <c r="DA964" s="398"/>
      <c r="DB964" s="398"/>
      <c r="DC964" s="398"/>
      <c r="DD964" s="398"/>
      <c r="DE964" s="393"/>
      <c r="DF964" s="393"/>
      <c r="DG964" s="393"/>
      <c r="DH964" s="393"/>
      <c r="DI964" s="393"/>
      <c r="DJ964" s="393"/>
      <c r="DK964" s="897"/>
    </row>
    <row r="965" spans="1:115" ht="76.5" x14ac:dyDescent="0.2">
      <c r="A965" s="295">
        <v>961</v>
      </c>
      <c r="B965" s="390" t="s">
        <v>5406</v>
      </c>
      <c r="C965" s="390"/>
      <c r="D965" s="391" t="s">
        <v>5407</v>
      </c>
      <c r="E965" s="704" t="s">
        <v>5408</v>
      </c>
      <c r="F965" s="393" t="s">
        <v>1375</v>
      </c>
      <c r="G965" s="393" t="s">
        <v>998</v>
      </c>
      <c r="H965" s="393" t="s">
        <v>1387</v>
      </c>
      <c r="I965" s="392"/>
      <c r="J965" s="392"/>
      <c r="K965" s="392" t="s">
        <v>5409</v>
      </c>
      <c r="L965" s="392" t="s">
        <v>1039</v>
      </c>
      <c r="M965" s="392"/>
      <c r="N965" s="393" t="s">
        <v>44</v>
      </c>
      <c r="O965" s="393" t="s">
        <v>51</v>
      </c>
      <c r="P965" s="393" t="s">
        <v>51</v>
      </c>
      <c r="Q965" s="392" t="s">
        <v>976</v>
      </c>
      <c r="R965" s="392" t="s">
        <v>3339</v>
      </c>
      <c r="S965" s="392" t="s">
        <v>166</v>
      </c>
      <c r="T965" s="394">
        <v>1</v>
      </c>
      <c r="U965" s="395">
        <v>26.853000000000002</v>
      </c>
      <c r="V965" s="395"/>
      <c r="W965" s="453"/>
      <c r="X965" s="394"/>
      <c r="Y965" s="394">
        <v>7</v>
      </c>
      <c r="Z965" s="394">
        <v>21</v>
      </c>
      <c r="AA965" s="395">
        <v>2.2400000000000002</v>
      </c>
      <c r="AB965" s="452">
        <v>41487</v>
      </c>
      <c r="AC965" s="398">
        <v>0</v>
      </c>
      <c r="AD965" s="398">
        <v>199.30075890410959</v>
      </c>
      <c r="AE965" s="393" t="s">
        <v>54</v>
      </c>
      <c r="AF965" s="417"/>
      <c r="AG965" s="417"/>
      <c r="AH965" s="417"/>
      <c r="AI965" s="394"/>
      <c r="AJ965" s="453"/>
      <c r="AK965" s="453"/>
      <c r="AL965" s="393"/>
      <c r="AM965" s="393"/>
      <c r="AN965" s="417"/>
      <c r="AO965" s="392"/>
      <c r="AP965" s="392"/>
      <c r="AQ965" s="392"/>
      <c r="AR965" s="392" t="s">
        <v>1040</v>
      </c>
      <c r="AS965" s="480"/>
      <c r="AT965" s="453"/>
      <c r="AU965" s="453"/>
      <c r="AV965" s="453"/>
      <c r="AW965" s="453"/>
      <c r="AX965" s="453"/>
      <c r="AY965" s="453"/>
      <c r="AZ965" s="452">
        <v>41456</v>
      </c>
      <c r="BA965" s="393"/>
      <c r="BB965" s="393"/>
      <c r="BC965" s="393" t="b">
        <v>0</v>
      </c>
      <c r="BD965" s="393"/>
      <c r="BE965" s="392"/>
      <c r="BF965" s="394">
        <v>4</v>
      </c>
      <c r="BG965" s="394">
        <v>1</v>
      </c>
      <c r="BH965" s="394">
        <v>6</v>
      </c>
      <c r="BI965" s="394">
        <v>5</v>
      </c>
      <c r="BJ965" s="394">
        <v>9</v>
      </c>
      <c r="BK965" s="394"/>
      <c r="BL965" s="444" t="s">
        <v>6981</v>
      </c>
      <c r="BM965" s="392"/>
      <c r="BN965" s="393"/>
      <c r="BO965" s="393"/>
      <c r="BP965" s="399"/>
      <c r="BQ965" s="400"/>
      <c r="BR965" s="401"/>
      <c r="BS965" s="399"/>
      <c r="BT965" s="394"/>
      <c r="BU965" s="417"/>
      <c r="BV965" s="399"/>
      <c r="BW965" s="393" t="s">
        <v>3117</v>
      </c>
      <c r="BX965" s="392" t="s">
        <v>4364</v>
      </c>
      <c r="BY965" s="393" t="s">
        <v>7227</v>
      </c>
      <c r="BZ965" s="393"/>
      <c r="CA965" s="441"/>
      <c r="CB965" s="400"/>
      <c r="CC965" s="398"/>
      <c r="CD965" s="398"/>
      <c r="CE965" s="398"/>
      <c r="CF965" s="398"/>
      <c r="CG965" s="398"/>
      <c r="CH965" s="398"/>
      <c r="CI965" s="398">
        <v>17.902000000000001</v>
      </c>
      <c r="CJ965" s="398">
        <v>26.853000000000002</v>
      </c>
      <c r="CK965" s="398">
        <v>26.853000000000002</v>
      </c>
      <c r="CL965" s="398">
        <v>26.853000000000002</v>
      </c>
      <c r="CM965" s="398">
        <v>26.853000000000002</v>
      </c>
      <c r="CN965" s="398">
        <v>26.853000000000002</v>
      </c>
      <c r="CO965" s="398">
        <v>38.804000000000002</v>
      </c>
      <c r="CP965" s="398"/>
      <c r="CQ965" s="398"/>
      <c r="CR965" s="398"/>
      <c r="CS965" s="398"/>
      <c r="CT965" s="398"/>
      <c r="CU965" s="398"/>
      <c r="CV965" s="398"/>
      <c r="CW965" s="398"/>
      <c r="CX965" s="398"/>
      <c r="CY965" s="398"/>
      <c r="CZ965" s="398"/>
      <c r="DA965" s="398"/>
      <c r="DB965" s="398"/>
      <c r="DC965" s="398"/>
      <c r="DD965" s="398"/>
      <c r="DE965" s="393"/>
      <c r="DF965" s="393"/>
      <c r="DG965" s="393"/>
      <c r="DH965" s="393"/>
      <c r="DI965" s="393"/>
      <c r="DJ965" s="393"/>
      <c r="DK965" s="897"/>
    </row>
    <row r="966" spans="1:115" ht="51" x14ac:dyDescent="0.2">
      <c r="A966" s="295">
        <v>962</v>
      </c>
      <c r="B966" s="390" t="s">
        <v>5410</v>
      </c>
      <c r="C966" s="390"/>
      <c r="D966" s="391" t="s">
        <v>5411</v>
      </c>
      <c r="E966" s="704" t="s">
        <v>5412</v>
      </c>
      <c r="F966" s="393" t="s">
        <v>1375</v>
      </c>
      <c r="G966" s="393" t="s">
        <v>1670</v>
      </c>
      <c r="H966" s="393" t="s">
        <v>1048</v>
      </c>
      <c r="I966" s="392"/>
      <c r="J966" s="392"/>
      <c r="K966" s="392" t="s">
        <v>5413</v>
      </c>
      <c r="L966" s="392" t="s">
        <v>1039</v>
      </c>
      <c r="M966" s="392"/>
      <c r="N966" s="393" t="s">
        <v>44</v>
      </c>
      <c r="O966" s="393" t="s">
        <v>51</v>
      </c>
      <c r="P966" s="393" t="s">
        <v>51</v>
      </c>
      <c r="Q966" s="392" t="s">
        <v>976</v>
      </c>
      <c r="R966" s="392" t="s">
        <v>3339</v>
      </c>
      <c r="S966" s="392" t="s">
        <v>166</v>
      </c>
      <c r="T966" s="394">
        <v>1</v>
      </c>
      <c r="U966" s="395">
        <v>26.638999999999999</v>
      </c>
      <c r="V966" s="395"/>
      <c r="W966" s="453"/>
      <c r="X966" s="394"/>
      <c r="Y966" s="394">
        <v>7</v>
      </c>
      <c r="Z966" s="394">
        <v>21</v>
      </c>
      <c r="AA966" s="395">
        <v>1.903</v>
      </c>
      <c r="AB966" s="452">
        <v>41487</v>
      </c>
      <c r="AC966" s="398">
        <v>0</v>
      </c>
      <c r="AD966" s="398">
        <v>197.71246849315065</v>
      </c>
      <c r="AE966" s="393" t="s">
        <v>54</v>
      </c>
      <c r="AF966" s="417"/>
      <c r="AG966" s="417"/>
      <c r="AH966" s="417"/>
      <c r="AI966" s="394"/>
      <c r="AJ966" s="453"/>
      <c r="AK966" s="453"/>
      <c r="AL966" s="393"/>
      <c r="AM966" s="393"/>
      <c r="AN966" s="417"/>
      <c r="AO966" s="392"/>
      <c r="AP966" s="392"/>
      <c r="AQ966" s="392"/>
      <c r="AR966" s="392" t="s">
        <v>1040</v>
      </c>
      <c r="AS966" s="480"/>
      <c r="AT966" s="453"/>
      <c r="AU966" s="453"/>
      <c r="AV966" s="453"/>
      <c r="AW966" s="453"/>
      <c r="AX966" s="453"/>
      <c r="AY966" s="453"/>
      <c r="AZ966" s="452">
        <v>41456</v>
      </c>
      <c r="BA966" s="393"/>
      <c r="BB966" s="393"/>
      <c r="BC966" s="393" t="b">
        <v>0</v>
      </c>
      <c r="BD966" s="393"/>
      <c r="BE966" s="392"/>
      <c r="BF966" s="394">
        <v>4</v>
      </c>
      <c r="BG966" s="394">
        <v>1</v>
      </c>
      <c r="BH966" s="394">
        <v>6</v>
      </c>
      <c r="BI966" s="394">
        <v>5</v>
      </c>
      <c r="BJ966" s="394">
        <v>9</v>
      </c>
      <c r="BK966" s="394"/>
      <c r="BL966" s="444" t="s">
        <v>6981</v>
      </c>
      <c r="BM966" s="392"/>
      <c r="BN966" s="393"/>
      <c r="BO966" s="393"/>
      <c r="BP966" s="399"/>
      <c r="BQ966" s="400"/>
      <c r="BR966" s="401"/>
      <c r="BS966" s="399"/>
      <c r="BT966" s="394"/>
      <c r="BU966" s="417"/>
      <c r="BV966" s="399"/>
      <c r="BW966" s="393" t="s">
        <v>3117</v>
      </c>
      <c r="BX966" s="392" t="s">
        <v>4364</v>
      </c>
      <c r="BY966" s="393" t="s">
        <v>7227</v>
      </c>
      <c r="BZ966" s="393"/>
      <c r="CA966" s="441"/>
      <c r="CB966" s="400"/>
      <c r="CC966" s="398"/>
      <c r="CD966" s="398"/>
      <c r="CE966" s="398"/>
      <c r="CF966" s="398"/>
      <c r="CG966" s="398"/>
      <c r="CH966" s="398"/>
      <c r="CI966" s="398">
        <v>17.760000000000002</v>
      </c>
      <c r="CJ966" s="398">
        <v>26.638999999999999</v>
      </c>
      <c r="CK966" s="398">
        <v>26.638999999999999</v>
      </c>
      <c r="CL966" s="398">
        <v>26.638999999999999</v>
      </c>
      <c r="CM966" s="398">
        <v>26.638999999999999</v>
      </c>
      <c r="CN966" s="398">
        <v>26.638999999999999</v>
      </c>
      <c r="CO966" s="398">
        <v>35.518999999999998</v>
      </c>
      <c r="CP966" s="398"/>
      <c r="CQ966" s="398"/>
      <c r="CR966" s="398"/>
      <c r="CS966" s="398"/>
      <c r="CT966" s="398"/>
      <c r="CU966" s="398"/>
      <c r="CV966" s="398"/>
      <c r="CW966" s="398"/>
      <c r="CX966" s="398"/>
      <c r="CY966" s="398"/>
      <c r="CZ966" s="398"/>
      <c r="DA966" s="398"/>
      <c r="DB966" s="398"/>
      <c r="DC966" s="398"/>
      <c r="DD966" s="398"/>
      <c r="DE966" s="393"/>
      <c r="DF966" s="393"/>
      <c r="DG966" s="393"/>
      <c r="DH966" s="393"/>
      <c r="DI966" s="393"/>
      <c r="DJ966" s="393"/>
      <c r="DK966" s="897"/>
    </row>
    <row r="967" spans="1:115" ht="51" x14ac:dyDescent="0.2">
      <c r="A967" s="295">
        <v>963</v>
      </c>
      <c r="B967" s="390" t="s">
        <v>5414</v>
      </c>
      <c r="C967" s="390"/>
      <c r="D967" s="391" t="s">
        <v>5415</v>
      </c>
      <c r="E967" s="704" t="s">
        <v>5416</v>
      </c>
      <c r="F967" s="393" t="s">
        <v>1375</v>
      </c>
      <c r="G967" s="393" t="s">
        <v>1670</v>
      </c>
      <c r="H967" s="393" t="s">
        <v>1048</v>
      </c>
      <c r="I967" s="392"/>
      <c r="J967" s="392"/>
      <c r="K967" s="392" t="s">
        <v>5417</v>
      </c>
      <c r="L967" s="392" t="s">
        <v>1039</v>
      </c>
      <c r="M967" s="392"/>
      <c r="N967" s="393" t="s">
        <v>44</v>
      </c>
      <c r="O967" s="393" t="s">
        <v>51</v>
      </c>
      <c r="P967" s="393" t="s">
        <v>51</v>
      </c>
      <c r="Q967" s="392" t="s">
        <v>976</v>
      </c>
      <c r="R967" s="392" t="s">
        <v>3339</v>
      </c>
      <c r="S967" s="392" t="s">
        <v>166</v>
      </c>
      <c r="T967" s="394">
        <v>1</v>
      </c>
      <c r="U967" s="395">
        <v>23.882000000000001</v>
      </c>
      <c r="V967" s="395"/>
      <c r="W967" s="453"/>
      <c r="X967" s="394"/>
      <c r="Y967" s="394">
        <v>7</v>
      </c>
      <c r="Z967" s="394">
        <v>21</v>
      </c>
      <c r="AA967" s="395">
        <v>1.706</v>
      </c>
      <c r="AB967" s="452">
        <v>41487</v>
      </c>
      <c r="AC967" s="398">
        <v>0</v>
      </c>
      <c r="AD967" s="398">
        <v>177.25024109589043</v>
      </c>
      <c r="AE967" s="393" t="s">
        <v>54</v>
      </c>
      <c r="AF967" s="417"/>
      <c r="AG967" s="417"/>
      <c r="AH967" s="417"/>
      <c r="AI967" s="394"/>
      <c r="AJ967" s="453"/>
      <c r="AK967" s="453"/>
      <c r="AL967" s="393"/>
      <c r="AM967" s="393"/>
      <c r="AN967" s="417"/>
      <c r="AO967" s="392"/>
      <c r="AP967" s="392"/>
      <c r="AQ967" s="392"/>
      <c r="AR967" s="392" t="s">
        <v>1040</v>
      </c>
      <c r="AS967" s="480"/>
      <c r="AT967" s="397"/>
      <c r="AU967" s="397"/>
      <c r="AV967" s="453"/>
      <c r="AW967" s="453"/>
      <c r="AX967" s="453"/>
      <c r="AY967" s="453"/>
      <c r="AZ967" s="452">
        <v>41456</v>
      </c>
      <c r="BA967" s="393"/>
      <c r="BB967" s="393"/>
      <c r="BC967" s="393" t="b">
        <v>0</v>
      </c>
      <c r="BD967" s="393"/>
      <c r="BE967" s="392"/>
      <c r="BF967" s="394">
        <v>4</v>
      </c>
      <c r="BG967" s="394">
        <v>1</v>
      </c>
      <c r="BH967" s="394">
        <v>6</v>
      </c>
      <c r="BI967" s="394">
        <v>5</v>
      </c>
      <c r="BJ967" s="394">
        <v>9</v>
      </c>
      <c r="BK967" s="394"/>
      <c r="BL967" s="444" t="s">
        <v>6981</v>
      </c>
      <c r="BM967" s="392"/>
      <c r="BN967" s="393"/>
      <c r="BO967" s="393"/>
      <c r="BP967" s="399"/>
      <c r="BQ967" s="400"/>
      <c r="BR967" s="401"/>
      <c r="BS967" s="399"/>
      <c r="BT967" s="394"/>
      <c r="BU967" s="417"/>
      <c r="BV967" s="399"/>
      <c r="BW967" s="393" t="s">
        <v>3117</v>
      </c>
      <c r="BX967" s="392" t="s">
        <v>4364</v>
      </c>
      <c r="BY967" s="393" t="s">
        <v>7227</v>
      </c>
      <c r="BZ967" s="393"/>
      <c r="CA967" s="441"/>
      <c r="CB967" s="400"/>
      <c r="CC967" s="398"/>
      <c r="CD967" s="398"/>
      <c r="CE967" s="398"/>
      <c r="CF967" s="398"/>
      <c r="CG967" s="398"/>
      <c r="CH967" s="398"/>
      <c r="CI967" s="398">
        <v>15.920999999999999</v>
      </c>
      <c r="CJ967" s="398">
        <v>23.882000000000001</v>
      </c>
      <c r="CK967" s="398">
        <v>23.882000000000001</v>
      </c>
      <c r="CL967" s="398">
        <v>23.882000000000001</v>
      </c>
      <c r="CM967" s="398">
        <v>23.882000000000001</v>
      </c>
      <c r="CN967" s="398">
        <v>23.882000000000001</v>
      </c>
      <c r="CO967" s="398">
        <v>31.841999999999999</v>
      </c>
      <c r="CP967" s="398"/>
      <c r="CQ967" s="398"/>
      <c r="CR967" s="398"/>
      <c r="CS967" s="398"/>
      <c r="CT967" s="398"/>
      <c r="CU967" s="398"/>
      <c r="CV967" s="398"/>
      <c r="CW967" s="398"/>
      <c r="CX967" s="398"/>
      <c r="CY967" s="398"/>
      <c r="CZ967" s="398"/>
      <c r="DA967" s="398"/>
      <c r="DB967" s="398"/>
      <c r="DC967" s="398"/>
      <c r="DD967" s="398"/>
      <c r="DE967" s="393"/>
      <c r="DF967" s="393"/>
      <c r="DG967" s="393"/>
      <c r="DH967" s="393"/>
      <c r="DI967" s="393"/>
      <c r="DJ967" s="393"/>
      <c r="DK967" s="897"/>
    </row>
    <row r="968" spans="1:115" ht="51" x14ac:dyDescent="0.2">
      <c r="A968" s="295">
        <v>964</v>
      </c>
      <c r="B968" s="390" t="s">
        <v>5418</v>
      </c>
      <c r="C968" s="390"/>
      <c r="D968" s="391" t="s">
        <v>5419</v>
      </c>
      <c r="E968" s="704" t="s">
        <v>5420</v>
      </c>
      <c r="F968" s="393" t="s">
        <v>1375</v>
      </c>
      <c r="G968" s="393" t="s">
        <v>998</v>
      </c>
      <c r="H968" s="393" t="s">
        <v>245</v>
      </c>
      <c r="I968" s="392"/>
      <c r="J968" s="392"/>
      <c r="K968" s="392" t="s">
        <v>5421</v>
      </c>
      <c r="L968" s="392" t="s">
        <v>1039</v>
      </c>
      <c r="M968" s="392"/>
      <c r="N968" s="393" t="s">
        <v>44</v>
      </c>
      <c r="O968" s="393" t="s">
        <v>51</v>
      </c>
      <c r="P968" s="393" t="s">
        <v>51</v>
      </c>
      <c r="Q968" s="392" t="s">
        <v>976</v>
      </c>
      <c r="R968" s="392" t="s">
        <v>3339</v>
      </c>
      <c r="S968" s="392" t="s">
        <v>166</v>
      </c>
      <c r="T968" s="394">
        <v>1</v>
      </c>
      <c r="U968" s="395">
        <v>30.821999999999999</v>
      </c>
      <c r="V968" s="395"/>
      <c r="W968" s="453"/>
      <c r="X968" s="394"/>
      <c r="Y968" s="394">
        <v>7</v>
      </c>
      <c r="Z968" s="394">
        <v>21</v>
      </c>
      <c r="AA968" s="395">
        <v>2.202</v>
      </c>
      <c r="AB968" s="452">
        <v>41487</v>
      </c>
      <c r="AC968" s="398">
        <v>0</v>
      </c>
      <c r="AD968" s="398">
        <v>228.75835068493149</v>
      </c>
      <c r="AE968" s="393" t="s">
        <v>54</v>
      </c>
      <c r="AF968" s="417"/>
      <c r="AG968" s="417"/>
      <c r="AH968" s="417"/>
      <c r="AI968" s="394"/>
      <c r="AJ968" s="453"/>
      <c r="AK968" s="453"/>
      <c r="AL968" s="393"/>
      <c r="AM968" s="393"/>
      <c r="AN968" s="417"/>
      <c r="AO968" s="392"/>
      <c r="AP968" s="392"/>
      <c r="AQ968" s="392"/>
      <c r="AR968" s="392" t="s">
        <v>1040</v>
      </c>
      <c r="AS968" s="480"/>
      <c r="AT968" s="397"/>
      <c r="AU968" s="397"/>
      <c r="AV968" s="453"/>
      <c r="AW968" s="453"/>
      <c r="AX968" s="453"/>
      <c r="AY968" s="453"/>
      <c r="AZ968" s="452">
        <v>41456</v>
      </c>
      <c r="BA968" s="393"/>
      <c r="BB968" s="393"/>
      <c r="BC968" s="393" t="b">
        <v>0</v>
      </c>
      <c r="BD968" s="393"/>
      <c r="BE968" s="392"/>
      <c r="BF968" s="394">
        <v>4</v>
      </c>
      <c r="BG968" s="394">
        <v>1</v>
      </c>
      <c r="BH968" s="394">
        <v>6</v>
      </c>
      <c r="BI968" s="394">
        <v>5</v>
      </c>
      <c r="BJ968" s="394">
        <v>9</v>
      </c>
      <c r="BK968" s="394"/>
      <c r="BL968" s="444" t="s">
        <v>6981</v>
      </c>
      <c r="BM968" s="392"/>
      <c r="BN968" s="393"/>
      <c r="BO968" s="393"/>
      <c r="BP968" s="399"/>
      <c r="BQ968" s="400"/>
      <c r="BR968" s="401"/>
      <c r="BS968" s="399"/>
      <c r="BT968" s="394"/>
      <c r="BU968" s="417"/>
      <c r="BV968" s="399"/>
      <c r="BW968" s="393" t="s">
        <v>3117</v>
      </c>
      <c r="BX968" s="392" t="s">
        <v>4364</v>
      </c>
      <c r="BY968" s="393" t="s">
        <v>7227</v>
      </c>
      <c r="BZ968" s="393"/>
      <c r="CA968" s="441"/>
      <c r="CB968" s="400"/>
      <c r="CC968" s="398"/>
      <c r="CD968" s="398"/>
      <c r="CE968" s="398"/>
      <c r="CF968" s="398"/>
      <c r="CG968" s="398"/>
      <c r="CH968" s="398"/>
      <c r="CI968" s="398">
        <v>20.547999999999998</v>
      </c>
      <c r="CJ968" s="398">
        <v>30.821999999999999</v>
      </c>
      <c r="CK968" s="398">
        <v>30.821999999999999</v>
      </c>
      <c r="CL968" s="398">
        <v>30.821999999999999</v>
      </c>
      <c r="CM968" s="398">
        <v>30.821999999999999</v>
      </c>
      <c r="CN968" s="398">
        <v>30.821999999999999</v>
      </c>
      <c r="CO968" s="398">
        <v>41.095999999999997</v>
      </c>
      <c r="CP968" s="398"/>
      <c r="CQ968" s="398"/>
      <c r="CR968" s="398"/>
      <c r="CS968" s="398"/>
      <c r="CT968" s="398"/>
      <c r="CU968" s="398"/>
      <c r="CV968" s="398"/>
      <c r="CW968" s="398"/>
      <c r="CX968" s="398"/>
      <c r="CY968" s="398"/>
      <c r="CZ968" s="398"/>
      <c r="DA968" s="398"/>
      <c r="DB968" s="398"/>
      <c r="DC968" s="398"/>
      <c r="DD968" s="398"/>
      <c r="DE968" s="393"/>
      <c r="DF968" s="393"/>
      <c r="DG968" s="393"/>
      <c r="DH968" s="393"/>
      <c r="DI968" s="393"/>
      <c r="DJ968" s="393"/>
      <c r="DK968" s="897"/>
    </row>
    <row r="969" spans="1:115" ht="51" x14ac:dyDescent="0.2">
      <c r="A969" s="295">
        <v>965</v>
      </c>
      <c r="B969" s="390" t="s">
        <v>5422</v>
      </c>
      <c r="C969" s="390"/>
      <c r="D969" s="391" t="s">
        <v>5423</v>
      </c>
      <c r="E969" s="704" t="s">
        <v>5424</v>
      </c>
      <c r="F969" s="393" t="s">
        <v>1375</v>
      </c>
      <c r="G969" s="393" t="s">
        <v>998</v>
      </c>
      <c r="H969" s="393" t="s">
        <v>1085</v>
      </c>
      <c r="I969" s="392"/>
      <c r="J969" s="392"/>
      <c r="K969" s="392" t="s">
        <v>5425</v>
      </c>
      <c r="L969" s="392" t="s">
        <v>1039</v>
      </c>
      <c r="M969" s="392"/>
      <c r="N969" s="393" t="s">
        <v>44</v>
      </c>
      <c r="O969" s="393" t="s">
        <v>51</v>
      </c>
      <c r="P969" s="393" t="s">
        <v>51</v>
      </c>
      <c r="Q969" s="392" t="s">
        <v>976</v>
      </c>
      <c r="R969" s="392" t="s">
        <v>3339</v>
      </c>
      <c r="S969" s="392" t="s">
        <v>166</v>
      </c>
      <c r="T969" s="394">
        <v>1</v>
      </c>
      <c r="U969" s="395">
        <v>32.963000000000001</v>
      </c>
      <c r="V969" s="395"/>
      <c r="W969" s="453"/>
      <c r="X969" s="394"/>
      <c r="Y969" s="394">
        <v>7</v>
      </c>
      <c r="Z969" s="394">
        <v>21</v>
      </c>
      <c r="AA969" s="395">
        <v>2.355</v>
      </c>
      <c r="AB969" s="452">
        <v>41487</v>
      </c>
      <c r="AC969" s="398">
        <v>0</v>
      </c>
      <c r="AD969" s="398">
        <v>244.64867671232878</v>
      </c>
      <c r="AE969" s="393" t="s">
        <v>54</v>
      </c>
      <c r="AF969" s="417"/>
      <c r="AG969" s="417"/>
      <c r="AH969" s="417"/>
      <c r="AI969" s="394"/>
      <c r="AJ969" s="453"/>
      <c r="AK969" s="453"/>
      <c r="AL969" s="393"/>
      <c r="AM969" s="393"/>
      <c r="AN969" s="417"/>
      <c r="AO969" s="392"/>
      <c r="AP969" s="392"/>
      <c r="AQ969" s="392"/>
      <c r="AR969" s="392" t="s">
        <v>1040</v>
      </c>
      <c r="AS969" s="480"/>
      <c r="AT969" s="453"/>
      <c r="AU969" s="453"/>
      <c r="AV969" s="453"/>
      <c r="AW969" s="453"/>
      <c r="AX969" s="453"/>
      <c r="AY969" s="453"/>
      <c r="AZ969" s="452">
        <v>41456</v>
      </c>
      <c r="BA969" s="393"/>
      <c r="BB969" s="393"/>
      <c r="BC969" s="393" t="b">
        <v>0</v>
      </c>
      <c r="BD969" s="393"/>
      <c r="BE969" s="392"/>
      <c r="BF969" s="394">
        <v>4</v>
      </c>
      <c r="BG969" s="394">
        <v>1</v>
      </c>
      <c r="BH969" s="394">
        <v>6</v>
      </c>
      <c r="BI969" s="394">
        <v>5</v>
      </c>
      <c r="BJ969" s="394">
        <v>9</v>
      </c>
      <c r="BK969" s="394"/>
      <c r="BL969" s="444" t="s">
        <v>6981</v>
      </c>
      <c r="BM969" s="392"/>
      <c r="BN969" s="393"/>
      <c r="BO969" s="393"/>
      <c r="BP969" s="399"/>
      <c r="BQ969" s="400"/>
      <c r="BR969" s="401"/>
      <c r="BS969" s="399"/>
      <c r="BT969" s="394"/>
      <c r="BU969" s="417"/>
      <c r="BV969" s="399"/>
      <c r="BW969" s="393" t="s">
        <v>3117</v>
      </c>
      <c r="BX969" s="392" t="s">
        <v>4364</v>
      </c>
      <c r="BY969" s="393" t="s">
        <v>7227</v>
      </c>
      <c r="BZ969" s="393"/>
      <c r="CA969" s="441"/>
      <c r="CB969" s="400"/>
      <c r="CC969" s="398"/>
      <c r="CD969" s="398"/>
      <c r="CE969" s="398"/>
      <c r="CF969" s="398"/>
      <c r="CG969" s="398"/>
      <c r="CH969" s="398"/>
      <c r="CI969" s="398">
        <v>21.975000000000001</v>
      </c>
      <c r="CJ969" s="398">
        <v>32.963000000000001</v>
      </c>
      <c r="CK969" s="398">
        <v>32.963000000000001</v>
      </c>
      <c r="CL969" s="398">
        <v>32.963000000000001</v>
      </c>
      <c r="CM969" s="398">
        <v>32.963000000000001</v>
      </c>
      <c r="CN969" s="398">
        <v>32.963000000000001</v>
      </c>
      <c r="CO969" s="398">
        <v>43.951000000000001</v>
      </c>
      <c r="CP969" s="398"/>
      <c r="CQ969" s="398"/>
      <c r="CR969" s="398"/>
      <c r="CS969" s="398"/>
      <c r="CT969" s="398"/>
      <c r="CU969" s="398"/>
      <c r="CV969" s="398"/>
      <c r="CW969" s="398"/>
      <c r="CX969" s="398"/>
      <c r="CY969" s="398"/>
      <c r="CZ969" s="398"/>
      <c r="DA969" s="398"/>
      <c r="DB969" s="398"/>
      <c r="DC969" s="398"/>
      <c r="DD969" s="398"/>
      <c r="DE969" s="393"/>
      <c r="DF969" s="393"/>
      <c r="DG969" s="393"/>
      <c r="DH969" s="393"/>
      <c r="DI969" s="393"/>
      <c r="DJ969" s="393"/>
      <c r="DK969" s="897"/>
    </row>
    <row r="970" spans="1:115" ht="51" x14ac:dyDescent="0.2">
      <c r="A970" s="295">
        <v>966</v>
      </c>
      <c r="B970" s="390" t="s">
        <v>6684</v>
      </c>
      <c r="C970" s="390"/>
      <c r="D970" s="391" t="s">
        <v>6685</v>
      </c>
      <c r="E970" s="704" t="s">
        <v>6686</v>
      </c>
      <c r="F970" s="393" t="s">
        <v>1375</v>
      </c>
      <c r="G970" s="393" t="s">
        <v>998</v>
      </c>
      <c r="H970" s="393" t="s">
        <v>1038</v>
      </c>
      <c r="I970" s="392"/>
      <c r="J970" s="392"/>
      <c r="K970" s="392" t="s">
        <v>1038</v>
      </c>
      <c r="L970" s="392" t="s">
        <v>1039</v>
      </c>
      <c r="M970" s="392"/>
      <c r="N970" s="393" t="s">
        <v>44</v>
      </c>
      <c r="O970" s="393" t="s">
        <v>51</v>
      </c>
      <c r="P970" s="393" t="s">
        <v>51</v>
      </c>
      <c r="Q970" s="392" t="s">
        <v>976</v>
      </c>
      <c r="R970" s="392" t="s">
        <v>3339</v>
      </c>
      <c r="S970" s="392" t="s">
        <v>166</v>
      </c>
      <c r="T970" s="394">
        <v>1</v>
      </c>
      <c r="U970" s="395">
        <v>88.903000000000006</v>
      </c>
      <c r="V970" s="395"/>
      <c r="W970" s="453"/>
      <c r="X970" s="394"/>
      <c r="Y970" s="394">
        <v>7</v>
      </c>
      <c r="Z970" s="394">
        <v>21</v>
      </c>
      <c r="AA970" s="395">
        <v>11.113</v>
      </c>
      <c r="AB970" s="452">
        <v>41730</v>
      </c>
      <c r="AC970" s="398"/>
      <c r="AD970" s="398">
        <v>600.64328219178083</v>
      </c>
      <c r="AE970" s="393" t="s">
        <v>54</v>
      </c>
      <c r="AF970" s="417"/>
      <c r="AG970" s="417">
        <v>29.273</v>
      </c>
      <c r="AH970" s="417">
        <v>29.273</v>
      </c>
      <c r="AI970" s="394">
        <v>1</v>
      </c>
      <c r="AJ970" s="453"/>
      <c r="AK970" s="453">
        <v>42857</v>
      </c>
      <c r="AL970" s="393"/>
      <c r="AM970" s="393"/>
      <c r="AN970" s="417"/>
      <c r="AO970" s="392"/>
      <c r="AP970" s="392"/>
      <c r="AQ970" s="392"/>
      <c r="AR970" s="392" t="s">
        <v>1040</v>
      </c>
      <c r="AS970" s="480"/>
      <c r="AT970" s="453"/>
      <c r="AU970" s="453"/>
      <c r="AV970" s="453"/>
      <c r="AW970" s="453"/>
      <c r="AX970" s="453"/>
      <c r="AY970" s="453"/>
      <c r="AZ970" s="452">
        <v>41787</v>
      </c>
      <c r="BA970" s="393"/>
      <c r="BB970" s="393"/>
      <c r="BC970" s="393" t="b">
        <v>0</v>
      </c>
      <c r="BD970" s="393"/>
      <c r="BE970" s="392"/>
      <c r="BF970" s="394">
        <v>4</v>
      </c>
      <c r="BG970" s="394">
        <v>1</v>
      </c>
      <c r="BH970" s="394">
        <v>6</v>
      </c>
      <c r="BI970" s="394">
        <v>5</v>
      </c>
      <c r="BJ970" s="394">
        <v>9</v>
      </c>
      <c r="BK970" s="394"/>
      <c r="BL970" s="444" t="s">
        <v>6981</v>
      </c>
      <c r="BM970" s="392"/>
      <c r="BN970" s="393"/>
      <c r="BO970" s="393"/>
      <c r="BP970" s="399"/>
      <c r="BQ970" s="400"/>
      <c r="BR970" s="401"/>
      <c r="BS970" s="399"/>
      <c r="BT970" s="394"/>
      <c r="BU970" s="417"/>
      <c r="BV970" s="399"/>
      <c r="BW970" s="393" t="s">
        <v>3117</v>
      </c>
      <c r="BX970" s="392" t="s">
        <v>4364</v>
      </c>
      <c r="BY970" s="393" t="s">
        <v>7227</v>
      </c>
      <c r="BZ970" s="393"/>
      <c r="CA970" s="441"/>
      <c r="CB970" s="400"/>
      <c r="CC970" s="398"/>
      <c r="CD970" s="398"/>
      <c r="CE970" s="398"/>
      <c r="CF970" s="398"/>
      <c r="CG970" s="398"/>
      <c r="CH970" s="398"/>
      <c r="CI970" s="398"/>
      <c r="CJ970" s="398">
        <v>50.186999999999998</v>
      </c>
      <c r="CK970" s="398">
        <v>70.262</v>
      </c>
      <c r="CL970" s="398">
        <v>80.3</v>
      </c>
      <c r="CM970" s="398">
        <v>90.337000000000003</v>
      </c>
      <c r="CN970" s="398">
        <v>100.375</v>
      </c>
      <c r="CO970" s="398">
        <v>110.41200000000001</v>
      </c>
      <c r="CP970" s="398">
        <v>120.45</v>
      </c>
      <c r="CQ970" s="398"/>
      <c r="CR970" s="398"/>
      <c r="CS970" s="398"/>
      <c r="CT970" s="398"/>
      <c r="CU970" s="398"/>
      <c r="CV970" s="398"/>
      <c r="CW970" s="398"/>
      <c r="CX970" s="398"/>
      <c r="CY970" s="398"/>
      <c r="CZ970" s="398"/>
      <c r="DA970" s="398"/>
      <c r="DB970" s="398"/>
      <c r="DC970" s="398"/>
      <c r="DD970" s="398"/>
      <c r="DE970" s="393"/>
      <c r="DF970" s="393"/>
      <c r="DG970" s="393"/>
      <c r="DH970" s="393"/>
      <c r="DI970" s="393"/>
      <c r="DJ970" s="393"/>
      <c r="DK970" s="897"/>
    </row>
    <row r="971" spans="1:115" ht="51" x14ac:dyDescent="0.2">
      <c r="A971" s="295">
        <v>967</v>
      </c>
      <c r="B971" s="390" t="s">
        <v>6687</v>
      </c>
      <c r="C971" s="390"/>
      <c r="D971" s="391" t="s">
        <v>6688</v>
      </c>
      <c r="E971" s="704" t="s">
        <v>6689</v>
      </c>
      <c r="F971" s="393" t="s">
        <v>1375</v>
      </c>
      <c r="G971" s="393" t="s">
        <v>1668</v>
      </c>
      <c r="H971" s="393" t="s">
        <v>1700</v>
      </c>
      <c r="I971" s="392"/>
      <c r="J971" s="392"/>
      <c r="K971" s="392" t="s">
        <v>1700</v>
      </c>
      <c r="L971" s="392" t="s">
        <v>1039</v>
      </c>
      <c r="M971" s="392"/>
      <c r="N971" s="393" t="s">
        <v>44</v>
      </c>
      <c r="O971" s="393" t="s">
        <v>51</v>
      </c>
      <c r="P971" s="393" t="s">
        <v>51</v>
      </c>
      <c r="Q971" s="392" t="s">
        <v>976</v>
      </c>
      <c r="R971" s="392" t="s">
        <v>3339</v>
      </c>
      <c r="S971" s="392" t="s">
        <v>166</v>
      </c>
      <c r="T971" s="394">
        <v>1</v>
      </c>
      <c r="U971" s="395">
        <v>82.956000000000003</v>
      </c>
      <c r="V971" s="395"/>
      <c r="W971" s="453"/>
      <c r="X971" s="394"/>
      <c r="Y971" s="394">
        <v>7</v>
      </c>
      <c r="Z971" s="394">
        <v>21</v>
      </c>
      <c r="AA971" s="395">
        <v>10.37</v>
      </c>
      <c r="AB971" s="452">
        <v>41760</v>
      </c>
      <c r="AC971" s="398"/>
      <c r="AD971" s="398">
        <v>553.64607123287681</v>
      </c>
      <c r="AE971" s="393" t="s">
        <v>54</v>
      </c>
      <c r="AF971" s="417"/>
      <c r="AG971" s="417"/>
      <c r="AH971" s="417"/>
      <c r="AI971" s="394"/>
      <c r="AJ971" s="453"/>
      <c r="AK971" s="453"/>
      <c r="AL971" s="393"/>
      <c r="AM971" s="393"/>
      <c r="AN971" s="417"/>
      <c r="AO971" s="392"/>
      <c r="AP971" s="392"/>
      <c r="AQ971" s="392"/>
      <c r="AR971" s="392" t="s">
        <v>1040</v>
      </c>
      <c r="AS971" s="480"/>
      <c r="AT971" s="453"/>
      <c r="AU971" s="453"/>
      <c r="AV971" s="453"/>
      <c r="AW971" s="453"/>
      <c r="AX971" s="453"/>
      <c r="AY971" s="453"/>
      <c r="AZ971" s="452">
        <v>41787</v>
      </c>
      <c r="BA971" s="393"/>
      <c r="BB971" s="393"/>
      <c r="BC971" s="393" t="b">
        <v>0</v>
      </c>
      <c r="BD971" s="393"/>
      <c r="BE971" s="392"/>
      <c r="BF971" s="394">
        <v>4</v>
      </c>
      <c r="BG971" s="394">
        <v>1</v>
      </c>
      <c r="BH971" s="394">
        <v>6</v>
      </c>
      <c r="BI971" s="394">
        <v>5</v>
      </c>
      <c r="BJ971" s="394">
        <v>9</v>
      </c>
      <c r="BK971" s="394"/>
      <c r="BL971" s="444" t="s">
        <v>6981</v>
      </c>
      <c r="BM971" s="392"/>
      <c r="BN971" s="393"/>
      <c r="BO971" s="393"/>
      <c r="BP971" s="399"/>
      <c r="BQ971" s="400"/>
      <c r="BR971" s="401"/>
      <c r="BS971" s="399"/>
      <c r="BT971" s="394"/>
      <c r="BU971" s="417"/>
      <c r="BV971" s="399"/>
      <c r="BW971" s="393" t="s">
        <v>3117</v>
      </c>
      <c r="BX971" s="392" t="s">
        <v>4364</v>
      </c>
      <c r="BY971" s="393" t="s">
        <v>7227</v>
      </c>
      <c r="BZ971" s="393"/>
      <c r="CA971" s="441"/>
      <c r="CB971" s="400"/>
      <c r="CC971" s="398"/>
      <c r="CD971" s="398"/>
      <c r="CE971" s="398"/>
      <c r="CF971" s="398"/>
      <c r="CG971" s="398"/>
      <c r="CH971" s="398"/>
      <c r="CI971" s="398"/>
      <c r="CJ971" s="398">
        <v>46.83</v>
      </c>
      <c r="CK971" s="398">
        <v>65.561999999999998</v>
      </c>
      <c r="CL971" s="398">
        <v>74.927999999999997</v>
      </c>
      <c r="CM971" s="398">
        <v>84.293999999999997</v>
      </c>
      <c r="CN971" s="398">
        <v>93.66</v>
      </c>
      <c r="CO971" s="398">
        <v>103.026</v>
      </c>
      <c r="CP971" s="398">
        <v>112.392</v>
      </c>
      <c r="CQ971" s="398"/>
      <c r="CR971" s="398"/>
      <c r="CS971" s="398"/>
      <c r="CT971" s="398"/>
      <c r="CU971" s="398"/>
      <c r="CV971" s="398"/>
      <c r="CW971" s="398"/>
      <c r="CX971" s="398"/>
      <c r="CY971" s="398"/>
      <c r="CZ971" s="398"/>
      <c r="DA971" s="398"/>
      <c r="DB971" s="398"/>
      <c r="DC971" s="398"/>
      <c r="DD971" s="398"/>
      <c r="DE971" s="393"/>
      <c r="DF971" s="393"/>
      <c r="DG971" s="393"/>
      <c r="DH971" s="393"/>
      <c r="DI971" s="393"/>
      <c r="DJ971" s="393"/>
      <c r="DK971" s="897"/>
    </row>
    <row r="972" spans="1:115" ht="51" x14ac:dyDescent="0.2">
      <c r="A972" s="295">
        <v>968</v>
      </c>
      <c r="B972" s="390" t="s">
        <v>6690</v>
      </c>
      <c r="C972" s="390"/>
      <c r="D972" s="391" t="s">
        <v>6691</v>
      </c>
      <c r="E972" s="704" t="s">
        <v>6692</v>
      </c>
      <c r="F972" s="393" t="s">
        <v>1375</v>
      </c>
      <c r="G972" s="393" t="s">
        <v>998</v>
      </c>
      <c r="H972" s="393" t="s">
        <v>1381</v>
      </c>
      <c r="I972" s="392"/>
      <c r="J972" s="392"/>
      <c r="K972" s="392" t="s">
        <v>1381</v>
      </c>
      <c r="L972" s="392" t="s">
        <v>1039</v>
      </c>
      <c r="M972" s="392"/>
      <c r="N972" s="393" t="s">
        <v>44</v>
      </c>
      <c r="O972" s="393" t="s">
        <v>51</v>
      </c>
      <c r="P972" s="393" t="s">
        <v>51</v>
      </c>
      <c r="Q972" s="392" t="s">
        <v>976</v>
      </c>
      <c r="R972" s="392" t="s">
        <v>3339</v>
      </c>
      <c r="S972" s="392" t="s">
        <v>166</v>
      </c>
      <c r="T972" s="394">
        <v>1</v>
      </c>
      <c r="U972" s="395">
        <v>84.305999999999997</v>
      </c>
      <c r="V972" s="395"/>
      <c r="W972" s="453"/>
      <c r="X972" s="394"/>
      <c r="Y972" s="394">
        <v>7</v>
      </c>
      <c r="Z972" s="394">
        <v>21</v>
      </c>
      <c r="AA972" s="395">
        <v>10.538</v>
      </c>
      <c r="AB972" s="452">
        <v>41760</v>
      </c>
      <c r="AC972" s="398"/>
      <c r="AD972" s="398">
        <v>562.65593424657538</v>
      </c>
      <c r="AE972" s="393" t="s">
        <v>54</v>
      </c>
      <c r="AF972" s="417"/>
      <c r="AG972" s="417"/>
      <c r="AH972" s="417"/>
      <c r="AI972" s="394"/>
      <c r="AJ972" s="453"/>
      <c r="AK972" s="453"/>
      <c r="AL972" s="393"/>
      <c r="AM972" s="393"/>
      <c r="AN972" s="417"/>
      <c r="AO972" s="392"/>
      <c r="AP972" s="392"/>
      <c r="AQ972" s="392"/>
      <c r="AR972" s="392" t="s">
        <v>1040</v>
      </c>
      <c r="AS972" s="480"/>
      <c r="AT972" s="453"/>
      <c r="AU972" s="453"/>
      <c r="AV972" s="453"/>
      <c r="AW972" s="453"/>
      <c r="AX972" s="453"/>
      <c r="AY972" s="453"/>
      <c r="AZ972" s="452">
        <v>41787</v>
      </c>
      <c r="BA972" s="393"/>
      <c r="BB972" s="393"/>
      <c r="BC972" s="393" t="b">
        <v>0</v>
      </c>
      <c r="BD972" s="393"/>
      <c r="BE972" s="392"/>
      <c r="BF972" s="394">
        <v>4</v>
      </c>
      <c r="BG972" s="394">
        <v>1</v>
      </c>
      <c r="BH972" s="394">
        <v>6</v>
      </c>
      <c r="BI972" s="394">
        <v>5</v>
      </c>
      <c r="BJ972" s="394">
        <v>9</v>
      </c>
      <c r="BK972" s="394"/>
      <c r="BL972" s="444" t="s">
        <v>6981</v>
      </c>
      <c r="BM972" s="392"/>
      <c r="BN972" s="393"/>
      <c r="BO972" s="393"/>
      <c r="BP972" s="399"/>
      <c r="BQ972" s="400"/>
      <c r="BR972" s="401"/>
      <c r="BS972" s="399"/>
      <c r="BT972" s="394"/>
      <c r="BU972" s="417"/>
      <c r="BV972" s="399"/>
      <c r="BW972" s="393" t="s">
        <v>3117</v>
      </c>
      <c r="BX972" s="392" t="s">
        <v>4364</v>
      </c>
      <c r="BY972" s="393" t="s">
        <v>7227</v>
      </c>
      <c r="BZ972" s="393"/>
      <c r="CA972" s="441"/>
      <c r="CB972" s="400"/>
      <c r="CC972" s="398"/>
      <c r="CD972" s="398"/>
      <c r="CE972" s="398"/>
      <c r="CF972" s="398"/>
      <c r="CG972" s="398"/>
      <c r="CH972" s="398"/>
      <c r="CI972" s="398"/>
      <c r="CJ972" s="398">
        <v>47.591999999999999</v>
      </c>
      <c r="CK972" s="398">
        <v>66.629000000000005</v>
      </c>
      <c r="CL972" s="398">
        <v>76.147999999999996</v>
      </c>
      <c r="CM972" s="398">
        <v>85.665999999999997</v>
      </c>
      <c r="CN972" s="398">
        <v>95.185000000000002</v>
      </c>
      <c r="CO972" s="398">
        <v>104.703</v>
      </c>
      <c r="CP972" s="398">
        <v>114.22199999999999</v>
      </c>
      <c r="CQ972" s="398"/>
      <c r="CR972" s="398"/>
      <c r="CS972" s="398"/>
      <c r="CT972" s="398"/>
      <c r="CU972" s="398"/>
      <c r="CV972" s="398"/>
      <c r="CW972" s="398"/>
      <c r="CX972" s="398"/>
      <c r="CY972" s="398"/>
      <c r="CZ972" s="398"/>
      <c r="DA972" s="398"/>
      <c r="DB972" s="398"/>
      <c r="DC972" s="398"/>
      <c r="DD972" s="398"/>
      <c r="DE972" s="393"/>
      <c r="DF972" s="393"/>
      <c r="DG972" s="393"/>
      <c r="DH972" s="393"/>
      <c r="DI972" s="393"/>
      <c r="DJ972" s="393"/>
      <c r="DK972" s="897"/>
    </row>
    <row r="973" spans="1:115" ht="51" x14ac:dyDescent="0.2">
      <c r="A973" s="295">
        <v>969</v>
      </c>
      <c r="B973" s="390" t="s">
        <v>6693</v>
      </c>
      <c r="C973" s="390"/>
      <c r="D973" s="391" t="s">
        <v>6694</v>
      </c>
      <c r="E973" s="704" t="s">
        <v>6695</v>
      </c>
      <c r="F973" s="393" t="s">
        <v>1375</v>
      </c>
      <c r="G973" s="393" t="s">
        <v>1670</v>
      </c>
      <c r="H973" s="393" t="s">
        <v>1008</v>
      </c>
      <c r="I973" s="392"/>
      <c r="J973" s="392"/>
      <c r="K973" s="392" t="s">
        <v>1008</v>
      </c>
      <c r="L973" s="392" t="s">
        <v>1039</v>
      </c>
      <c r="M973" s="392"/>
      <c r="N973" s="393" t="s">
        <v>44</v>
      </c>
      <c r="O973" s="393" t="s">
        <v>51</v>
      </c>
      <c r="P973" s="393" t="s">
        <v>51</v>
      </c>
      <c r="Q973" s="392" t="s">
        <v>976</v>
      </c>
      <c r="R973" s="392" t="s">
        <v>3339</v>
      </c>
      <c r="S973" s="392" t="s">
        <v>166</v>
      </c>
      <c r="T973" s="394">
        <v>1</v>
      </c>
      <c r="U973" s="395">
        <v>111.401</v>
      </c>
      <c r="V973" s="395"/>
      <c r="W973" s="453"/>
      <c r="X973" s="394"/>
      <c r="Y973" s="394">
        <v>7</v>
      </c>
      <c r="Z973" s="394">
        <v>21</v>
      </c>
      <c r="AA973" s="395">
        <v>13.925000000000001</v>
      </c>
      <c r="AB973" s="452">
        <v>41760</v>
      </c>
      <c r="AC973" s="398"/>
      <c r="AD973" s="398">
        <v>743.48722191780826</v>
      </c>
      <c r="AE973" s="393" t="s">
        <v>54</v>
      </c>
      <c r="AF973" s="417"/>
      <c r="AG973" s="417"/>
      <c r="AH973" s="417"/>
      <c r="AI973" s="394"/>
      <c r="AJ973" s="453"/>
      <c r="AK973" s="453"/>
      <c r="AL973" s="393"/>
      <c r="AM973" s="393"/>
      <c r="AN973" s="417"/>
      <c r="AO973" s="392"/>
      <c r="AP973" s="392"/>
      <c r="AQ973" s="392"/>
      <c r="AR973" s="392" t="s">
        <v>1040</v>
      </c>
      <c r="AS973" s="480"/>
      <c r="AT973" s="453"/>
      <c r="AU973" s="453"/>
      <c r="AV973" s="453"/>
      <c r="AW973" s="453"/>
      <c r="AX973" s="453"/>
      <c r="AY973" s="453"/>
      <c r="AZ973" s="452">
        <v>41787</v>
      </c>
      <c r="BA973" s="393"/>
      <c r="BB973" s="393"/>
      <c r="BC973" s="393" t="b">
        <v>0</v>
      </c>
      <c r="BD973" s="393"/>
      <c r="BE973" s="392"/>
      <c r="BF973" s="394">
        <v>4</v>
      </c>
      <c r="BG973" s="394">
        <v>1</v>
      </c>
      <c r="BH973" s="394">
        <v>6</v>
      </c>
      <c r="BI973" s="394">
        <v>5</v>
      </c>
      <c r="BJ973" s="394">
        <v>9</v>
      </c>
      <c r="BK973" s="394"/>
      <c r="BL973" s="444" t="s">
        <v>6981</v>
      </c>
      <c r="BM973" s="392"/>
      <c r="BN973" s="393"/>
      <c r="BO973" s="393"/>
      <c r="BP973" s="399"/>
      <c r="BQ973" s="400"/>
      <c r="BR973" s="401"/>
      <c r="BS973" s="399"/>
      <c r="BT973" s="394"/>
      <c r="BU973" s="417"/>
      <c r="BV973" s="399"/>
      <c r="BW973" s="393" t="s">
        <v>3117</v>
      </c>
      <c r="BX973" s="392" t="s">
        <v>4364</v>
      </c>
      <c r="BY973" s="393" t="s">
        <v>7227</v>
      </c>
      <c r="BZ973" s="393"/>
      <c r="CA973" s="441"/>
      <c r="CB973" s="400"/>
      <c r="CC973" s="398"/>
      <c r="CD973" s="398"/>
      <c r="CE973" s="398"/>
      <c r="CF973" s="398"/>
      <c r="CG973" s="398"/>
      <c r="CH973" s="398"/>
      <c r="CI973" s="398"/>
      <c r="CJ973" s="398">
        <v>62.887999999999998</v>
      </c>
      <c r="CK973" s="398">
        <v>88.043000000000006</v>
      </c>
      <c r="CL973" s="398">
        <v>100.62</v>
      </c>
      <c r="CM973" s="398">
        <v>113.19799999999999</v>
      </c>
      <c r="CN973" s="398">
        <v>125.776</v>
      </c>
      <c r="CO973" s="398">
        <v>138.35300000000001</v>
      </c>
      <c r="CP973" s="398">
        <v>150.93100000000001</v>
      </c>
      <c r="CQ973" s="398"/>
      <c r="CR973" s="398"/>
      <c r="CS973" s="398"/>
      <c r="CT973" s="398"/>
      <c r="CU973" s="398"/>
      <c r="CV973" s="398"/>
      <c r="CW973" s="398"/>
      <c r="CX973" s="398"/>
      <c r="CY973" s="398"/>
      <c r="CZ973" s="398"/>
      <c r="DA973" s="398"/>
      <c r="DB973" s="398"/>
      <c r="DC973" s="398"/>
      <c r="DD973" s="398"/>
      <c r="DE973" s="393"/>
      <c r="DF973" s="393"/>
      <c r="DG973" s="393"/>
      <c r="DH973" s="393"/>
      <c r="DI973" s="393"/>
      <c r="DJ973" s="393"/>
      <c r="DK973" s="897"/>
    </row>
    <row r="974" spans="1:115" ht="51" x14ac:dyDescent="0.2">
      <c r="A974" s="295">
        <v>970</v>
      </c>
      <c r="B974" s="390" t="s">
        <v>6696</v>
      </c>
      <c r="C974" s="390"/>
      <c r="D974" s="391" t="s">
        <v>6697</v>
      </c>
      <c r="E974" s="704" t="s">
        <v>6698</v>
      </c>
      <c r="F974" s="393" t="s">
        <v>1375</v>
      </c>
      <c r="G974" s="393" t="s">
        <v>1670</v>
      </c>
      <c r="H974" s="393" t="s">
        <v>991</v>
      </c>
      <c r="I974" s="392"/>
      <c r="J974" s="392"/>
      <c r="K974" s="392" t="s">
        <v>6699</v>
      </c>
      <c r="L974" s="392" t="s">
        <v>1039</v>
      </c>
      <c r="M974" s="392"/>
      <c r="N974" s="393" t="s">
        <v>44</v>
      </c>
      <c r="O974" s="393" t="s">
        <v>51</v>
      </c>
      <c r="P974" s="393" t="s">
        <v>51</v>
      </c>
      <c r="Q974" s="392" t="s">
        <v>976</v>
      </c>
      <c r="R974" s="392" t="s">
        <v>3339</v>
      </c>
      <c r="S974" s="392" t="s">
        <v>166</v>
      </c>
      <c r="T974" s="394">
        <v>1</v>
      </c>
      <c r="U974" s="395">
        <v>97.334000000000003</v>
      </c>
      <c r="V974" s="395"/>
      <c r="W974" s="453"/>
      <c r="X974" s="394"/>
      <c r="Y974" s="394">
        <v>7</v>
      </c>
      <c r="Z974" s="394">
        <v>21</v>
      </c>
      <c r="AA974" s="395">
        <v>12.167</v>
      </c>
      <c r="AB974" s="452">
        <v>41760</v>
      </c>
      <c r="AC974" s="398"/>
      <c r="AD974" s="398">
        <v>649.60444931506856</v>
      </c>
      <c r="AE974" s="393" t="s">
        <v>54</v>
      </c>
      <c r="AF974" s="417"/>
      <c r="AG974" s="417"/>
      <c r="AH974" s="417"/>
      <c r="AI974" s="394"/>
      <c r="AJ974" s="453"/>
      <c r="AK974" s="453"/>
      <c r="AL974" s="393"/>
      <c r="AM974" s="393"/>
      <c r="AN974" s="417"/>
      <c r="AO974" s="392"/>
      <c r="AP974" s="392"/>
      <c r="AQ974" s="392"/>
      <c r="AR974" s="392" t="s">
        <v>1040</v>
      </c>
      <c r="AS974" s="480"/>
      <c r="AT974" s="453"/>
      <c r="AU974" s="453"/>
      <c r="AV974" s="453"/>
      <c r="AW974" s="453"/>
      <c r="AX974" s="453"/>
      <c r="AY974" s="453"/>
      <c r="AZ974" s="452">
        <v>41787</v>
      </c>
      <c r="BA974" s="393"/>
      <c r="BB974" s="393"/>
      <c r="BC974" s="393" t="b">
        <v>0</v>
      </c>
      <c r="BD974" s="393"/>
      <c r="BE974" s="392"/>
      <c r="BF974" s="394">
        <v>4</v>
      </c>
      <c r="BG974" s="394">
        <v>1</v>
      </c>
      <c r="BH974" s="394">
        <v>6</v>
      </c>
      <c r="BI974" s="394">
        <v>5</v>
      </c>
      <c r="BJ974" s="394">
        <v>9</v>
      </c>
      <c r="BK974" s="394"/>
      <c r="BL974" s="444" t="s">
        <v>6981</v>
      </c>
      <c r="BM974" s="392"/>
      <c r="BN974" s="393"/>
      <c r="BO974" s="393"/>
      <c r="BP974" s="399"/>
      <c r="BQ974" s="400"/>
      <c r="BR974" s="401"/>
      <c r="BS974" s="399"/>
      <c r="BT974" s="394"/>
      <c r="BU974" s="417"/>
      <c r="BV974" s="399"/>
      <c r="BW974" s="393" t="s">
        <v>3117</v>
      </c>
      <c r="BX974" s="392" t="s">
        <v>4364</v>
      </c>
      <c r="BY974" s="393" t="s">
        <v>7227</v>
      </c>
      <c r="BZ974" s="393"/>
      <c r="CA974" s="441"/>
      <c r="CB974" s="400"/>
      <c r="CC974" s="398"/>
      <c r="CD974" s="398"/>
      <c r="CE974" s="398"/>
      <c r="CF974" s="398"/>
      <c r="CG974" s="398"/>
      <c r="CH974" s="398"/>
      <c r="CI974" s="398"/>
      <c r="CJ974" s="398">
        <v>54.947000000000003</v>
      </c>
      <c r="CK974" s="398">
        <v>76.926000000000002</v>
      </c>
      <c r="CL974" s="398">
        <v>87.915000000000006</v>
      </c>
      <c r="CM974" s="398">
        <v>98.903999999999996</v>
      </c>
      <c r="CN974" s="398">
        <v>109.89400000000001</v>
      </c>
      <c r="CO974" s="398">
        <v>120.883</v>
      </c>
      <c r="CP974" s="398">
        <v>131.87200000000001</v>
      </c>
      <c r="CQ974" s="398"/>
      <c r="CR974" s="398"/>
      <c r="CS974" s="398"/>
      <c r="CT974" s="398"/>
      <c r="CU974" s="398"/>
      <c r="CV974" s="398"/>
      <c r="CW974" s="398"/>
      <c r="CX974" s="398"/>
      <c r="CY974" s="398"/>
      <c r="CZ974" s="398"/>
      <c r="DA974" s="398"/>
      <c r="DB974" s="398"/>
      <c r="DC974" s="398"/>
      <c r="DD974" s="398"/>
      <c r="DE974" s="393"/>
      <c r="DF974" s="393"/>
      <c r="DG974" s="393"/>
      <c r="DH974" s="393"/>
      <c r="DI974" s="393"/>
      <c r="DJ974" s="393"/>
      <c r="DK974" s="897"/>
    </row>
    <row r="975" spans="1:115" ht="51" x14ac:dyDescent="0.2">
      <c r="A975" s="295">
        <v>971</v>
      </c>
      <c r="B975" s="390" t="s">
        <v>6700</v>
      </c>
      <c r="C975" s="390"/>
      <c r="D975" s="391" t="s">
        <v>6701</v>
      </c>
      <c r="E975" s="704" t="s">
        <v>6702</v>
      </c>
      <c r="F975" s="393" t="s">
        <v>1375</v>
      </c>
      <c r="G975" s="393" t="s">
        <v>998</v>
      </c>
      <c r="H975" s="393" t="s">
        <v>218</v>
      </c>
      <c r="I975" s="392"/>
      <c r="J975" s="392"/>
      <c r="K975" s="392" t="s">
        <v>218</v>
      </c>
      <c r="L975" s="392" t="s">
        <v>1039</v>
      </c>
      <c r="M975" s="392"/>
      <c r="N975" s="393" t="s">
        <v>44</v>
      </c>
      <c r="O975" s="393" t="s">
        <v>51</v>
      </c>
      <c r="P975" s="393" t="s">
        <v>51</v>
      </c>
      <c r="Q975" s="392" t="s">
        <v>976</v>
      </c>
      <c r="R975" s="392" t="s">
        <v>3339</v>
      </c>
      <c r="S975" s="392" t="s">
        <v>166</v>
      </c>
      <c r="T975" s="394">
        <v>1</v>
      </c>
      <c r="U975" s="395">
        <v>103.777</v>
      </c>
      <c r="V975" s="395"/>
      <c r="W975" s="453"/>
      <c r="X975" s="394"/>
      <c r="Y975" s="394">
        <v>7</v>
      </c>
      <c r="Z975" s="394">
        <v>21</v>
      </c>
      <c r="AA975" s="395">
        <v>12.972</v>
      </c>
      <c r="AB975" s="452">
        <v>41760</v>
      </c>
      <c r="AC975" s="398"/>
      <c r="AD975" s="398">
        <v>692.60485479452052</v>
      </c>
      <c r="AE975" s="393" t="s">
        <v>54</v>
      </c>
      <c r="AF975" s="417"/>
      <c r="AG975" s="417">
        <v>65.001000000000005</v>
      </c>
      <c r="AH975" s="417">
        <v>65.001000000000005</v>
      </c>
      <c r="AI975" s="394">
        <v>1</v>
      </c>
      <c r="AJ975" s="453"/>
      <c r="AK975" s="453">
        <v>42857</v>
      </c>
      <c r="AL975" s="393"/>
      <c r="AM975" s="393"/>
      <c r="AN975" s="417"/>
      <c r="AO975" s="392"/>
      <c r="AP975" s="392"/>
      <c r="AQ975" s="392"/>
      <c r="AR975" s="392" t="s">
        <v>1040</v>
      </c>
      <c r="AS975" s="480"/>
      <c r="AT975" s="453"/>
      <c r="AU975" s="453"/>
      <c r="AV975" s="453"/>
      <c r="AW975" s="453"/>
      <c r="AX975" s="453"/>
      <c r="AY975" s="453"/>
      <c r="AZ975" s="452">
        <v>41787</v>
      </c>
      <c r="BA975" s="393"/>
      <c r="BB975" s="393"/>
      <c r="BC975" s="393" t="b">
        <v>0</v>
      </c>
      <c r="BD975" s="393"/>
      <c r="BE975" s="392"/>
      <c r="BF975" s="394">
        <v>4</v>
      </c>
      <c r="BG975" s="394">
        <v>1</v>
      </c>
      <c r="BH975" s="394">
        <v>6</v>
      </c>
      <c r="BI975" s="394">
        <v>5</v>
      </c>
      <c r="BJ975" s="394">
        <v>9</v>
      </c>
      <c r="BK975" s="394"/>
      <c r="BL975" s="444" t="s">
        <v>6981</v>
      </c>
      <c r="BM975" s="392"/>
      <c r="BN975" s="393"/>
      <c r="BO975" s="393"/>
      <c r="BP975" s="399"/>
      <c r="BQ975" s="400"/>
      <c r="BR975" s="401"/>
      <c r="BS975" s="399"/>
      <c r="BT975" s="394"/>
      <c r="BU975" s="417"/>
      <c r="BV975" s="399"/>
      <c r="BW975" s="393" t="s">
        <v>3117</v>
      </c>
      <c r="BX975" s="392" t="s">
        <v>4364</v>
      </c>
      <c r="BY975" s="393" t="s">
        <v>7227</v>
      </c>
      <c r="BZ975" s="393"/>
      <c r="CA975" s="441"/>
      <c r="CB975" s="400"/>
      <c r="CC975" s="398"/>
      <c r="CD975" s="398"/>
      <c r="CE975" s="398"/>
      <c r="CF975" s="398"/>
      <c r="CG975" s="398"/>
      <c r="CH975" s="398"/>
      <c r="CI975" s="398"/>
      <c r="CJ975" s="398">
        <v>58.584000000000003</v>
      </c>
      <c r="CK975" s="398">
        <v>82.016999999999996</v>
      </c>
      <c r="CL975" s="398">
        <v>93.733999999999995</v>
      </c>
      <c r="CM975" s="398">
        <v>105.45099999999999</v>
      </c>
      <c r="CN975" s="398">
        <v>117.167</v>
      </c>
      <c r="CO975" s="398">
        <v>128.88399999999999</v>
      </c>
      <c r="CP975" s="398">
        <v>140.601</v>
      </c>
      <c r="CQ975" s="398"/>
      <c r="CR975" s="398"/>
      <c r="CS975" s="398"/>
      <c r="CT975" s="398"/>
      <c r="CU975" s="398"/>
      <c r="CV975" s="398"/>
      <c r="CW975" s="398"/>
      <c r="CX975" s="398"/>
      <c r="CY975" s="398"/>
      <c r="CZ975" s="398"/>
      <c r="DA975" s="398"/>
      <c r="DB975" s="398"/>
      <c r="DC975" s="398"/>
      <c r="DD975" s="398"/>
      <c r="DE975" s="393"/>
      <c r="DF975" s="393"/>
      <c r="DG975" s="393"/>
      <c r="DH975" s="393"/>
      <c r="DI975" s="393"/>
      <c r="DJ975" s="393"/>
      <c r="DK975" s="897"/>
    </row>
    <row r="976" spans="1:115" ht="51" x14ac:dyDescent="0.2">
      <c r="A976" s="295">
        <v>972</v>
      </c>
      <c r="B976" s="390" t="s">
        <v>6703</v>
      </c>
      <c r="C976" s="390"/>
      <c r="D976" s="391" t="s">
        <v>6704</v>
      </c>
      <c r="E976" s="704" t="s">
        <v>6705</v>
      </c>
      <c r="F976" s="393" t="s">
        <v>1375</v>
      </c>
      <c r="G976" s="393" t="s">
        <v>1670</v>
      </c>
      <c r="H976" s="393" t="s">
        <v>1383</v>
      </c>
      <c r="I976" s="392"/>
      <c r="J976" s="392"/>
      <c r="K976" s="392" t="s">
        <v>1383</v>
      </c>
      <c r="L976" s="392" t="s">
        <v>1039</v>
      </c>
      <c r="M976" s="392"/>
      <c r="N976" s="393" t="s">
        <v>44</v>
      </c>
      <c r="O976" s="393" t="s">
        <v>51</v>
      </c>
      <c r="P976" s="393" t="s">
        <v>51</v>
      </c>
      <c r="Q976" s="392" t="s">
        <v>976</v>
      </c>
      <c r="R976" s="392" t="s">
        <v>3339</v>
      </c>
      <c r="S976" s="392" t="s">
        <v>166</v>
      </c>
      <c r="T976" s="394">
        <v>1</v>
      </c>
      <c r="U976" s="395">
        <v>102.65900000000001</v>
      </c>
      <c r="V976" s="395"/>
      <c r="W976" s="453"/>
      <c r="X976" s="394"/>
      <c r="Y976" s="394">
        <v>7</v>
      </c>
      <c r="Z976" s="394">
        <v>21</v>
      </c>
      <c r="AA976" s="395">
        <v>12.832000000000001</v>
      </c>
      <c r="AB976" s="452">
        <v>41760</v>
      </c>
      <c r="AC976" s="398"/>
      <c r="AD976" s="398">
        <v>685.14335342465756</v>
      </c>
      <c r="AE976" s="393" t="s">
        <v>54</v>
      </c>
      <c r="AF976" s="417"/>
      <c r="AG976" s="417"/>
      <c r="AH976" s="417"/>
      <c r="AI976" s="394"/>
      <c r="AJ976" s="453"/>
      <c r="AK976" s="453"/>
      <c r="AL976" s="393"/>
      <c r="AM976" s="393"/>
      <c r="AN976" s="417"/>
      <c r="AO976" s="392"/>
      <c r="AP976" s="392"/>
      <c r="AQ976" s="392"/>
      <c r="AR976" s="392" t="s">
        <v>1040</v>
      </c>
      <c r="AS976" s="480"/>
      <c r="AT976" s="453"/>
      <c r="AU976" s="453"/>
      <c r="AV976" s="453"/>
      <c r="AW976" s="453"/>
      <c r="AX976" s="453"/>
      <c r="AY976" s="453"/>
      <c r="AZ976" s="452">
        <v>41787</v>
      </c>
      <c r="BA976" s="393"/>
      <c r="BB976" s="393"/>
      <c r="BC976" s="393" t="b">
        <v>0</v>
      </c>
      <c r="BD976" s="393"/>
      <c r="BE976" s="392"/>
      <c r="BF976" s="394">
        <v>4</v>
      </c>
      <c r="BG976" s="394">
        <v>1</v>
      </c>
      <c r="BH976" s="394">
        <v>6</v>
      </c>
      <c r="BI976" s="394">
        <v>5</v>
      </c>
      <c r="BJ976" s="394">
        <v>9</v>
      </c>
      <c r="BK976" s="394"/>
      <c r="BL976" s="444" t="s">
        <v>6981</v>
      </c>
      <c r="BM976" s="392"/>
      <c r="BN976" s="393"/>
      <c r="BO976" s="393"/>
      <c r="BP976" s="399"/>
      <c r="BQ976" s="400"/>
      <c r="BR976" s="401"/>
      <c r="BS976" s="399"/>
      <c r="BT976" s="394"/>
      <c r="BU976" s="417"/>
      <c r="BV976" s="399"/>
      <c r="BW976" s="393" t="s">
        <v>3117</v>
      </c>
      <c r="BX976" s="392" t="s">
        <v>4364</v>
      </c>
      <c r="BY976" s="393" t="s">
        <v>7227</v>
      </c>
      <c r="BZ976" s="393"/>
      <c r="CA976" s="441"/>
      <c r="CB976" s="400"/>
      <c r="CC976" s="398"/>
      <c r="CD976" s="398"/>
      <c r="CE976" s="398"/>
      <c r="CF976" s="398"/>
      <c r="CG976" s="398"/>
      <c r="CH976" s="398"/>
      <c r="CI976" s="398"/>
      <c r="CJ976" s="398">
        <v>57.953000000000003</v>
      </c>
      <c r="CK976" s="398">
        <v>81.134</v>
      </c>
      <c r="CL976" s="398">
        <v>92.724999999999994</v>
      </c>
      <c r="CM976" s="398">
        <v>104.315</v>
      </c>
      <c r="CN976" s="398">
        <v>115.90600000000001</v>
      </c>
      <c r="CO976" s="398">
        <v>127.496</v>
      </c>
      <c r="CP976" s="398">
        <v>139.08699999999999</v>
      </c>
      <c r="CQ976" s="398"/>
      <c r="CR976" s="398"/>
      <c r="CS976" s="398"/>
      <c r="CT976" s="398"/>
      <c r="CU976" s="398"/>
      <c r="CV976" s="398"/>
      <c r="CW976" s="398"/>
      <c r="CX976" s="398"/>
      <c r="CY976" s="398"/>
      <c r="CZ976" s="398"/>
      <c r="DA976" s="398"/>
      <c r="DB976" s="398"/>
      <c r="DC976" s="398"/>
      <c r="DD976" s="398"/>
      <c r="DE976" s="393"/>
      <c r="DF976" s="393"/>
      <c r="DG976" s="393"/>
      <c r="DH976" s="393"/>
      <c r="DI976" s="393"/>
      <c r="DJ976" s="393"/>
      <c r="DK976" s="897"/>
    </row>
    <row r="977" spans="1:115" ht="51" x14ac:dyDescent="0.2">
      <c r="A977" s="295">
        <v>973</v>
      </c>
      <c r="B977" s="390" t="s">
        <v>6706</v>
      </c>
      <c r="C977" s="390"/>
      <c r="D977" s="391" t="s">
        <v>6707</v>
      </c>
      <c r="E977" s="704" t="s">
        <v>6708</v>
      </c>
      <c r="F977" s="393" t="s">
        <v>1375</v>
      </c>
      <c r="G977" s="393" t="s">
        <v>998</v>
      </c>
      <c r="H977" s="393" t="s">
        <v>504</v>
      </c>
      <c r="I977" s="392"/>
      <c r="J977" s="392"/>
      <c r="K977" s="392" t="s">
        <v>504</v>
      </c>
      <c r="L977" s="392" t="s">
        <v>1039</v>
      </c>
      <c r="M977" s="392"/>
      <c r="N977" s="393" t="s">
        <v>44</v>
      </c>
      <c r="O977" s="393" t="s">
        <v>51</v>
      </c>
      <c r="P977" s="393" t="s">
        <v>51</v>
      </c>
      <c r="Q977" s="392" t="s">
        <v>976</v>
      </c>
      <c r="R977" s="392" t="s">
        <v>3339</v>
      </c>
      <c r="S977" s="392" t="s">
        <v>166</v>
      </c>
      <c r="T977" s="394">
        <v>1</v>
      </c>
      <c r="U977" s="395">
        <v>88.055999999999997</v>
      </c>
      <c r="V977" s="395"/>
      <c r="W977" s="453"/>
      <c r="X977" s="394"/>
      <c r="Y977" s="394">
        <v>7</v>
      </c>
      <c r="Z977" s="394">
        <v>21</v>
      </c>
      <c r="AA977" s="395">
        <v>11.007</v>
      </c>
      <c r="AB977" s="452">
        <v>41760</v>
      </c>
      <c r="AC977" s="398"/>
      <c r="AD977" s="398">
        <v>587.6833315068493</v>
      </c>
      <c r="AE977" s="393" t="s">
        <v>54</v>
      </c>
      <c r="AF977" s="417"/>
      <c r="AG977" s="417"/>
      <c r="AH977" s="417"/>
      <c r="AI977" s="394"/>
      <c r="AJ977" s="453"/>
      <c r="AK977" s="453"/>
      <c r="AL977" s="393"/>
      <c r="AM977" s="393"/>
      <c r="AN977" s="417"/>
      <c r="AO977" s="392"/>
      <c r="AP977" s="392"/>
      <c r="AQ977" s="392"/>
      <c r="AR977" s="392" t="s">
        <v>1040</v>
      </c>
      <c r="AS977" s="480"/>
      <c r="AT977" s="453"/>
      <c r="AU977" s="453"/>
      <c r="AV977" s="453"/>
      <c r="AW977" s="453"/>
      <c r="AX977" s="453"/>
      <c r="AY977" s="453"/>
      <c r="AZ977" s="452">
        <v>41787</v>
      </c>
      <c r="BA977" s="393"/>
      <c r="BB977" s="393"/>
      <c r="BC977" s="393" t="b">
        <v>0</v>
      </c>
      <c r="BD977" s="393"/>
      <c r="BE977" s="392"/>
      <c r="BF977" s="394">
        <v>4</v>
      </c>
      <c r="BG977" s="394">
        <v>1</v>
      </c>
      <c r="BH977" s="394">
        <v>6</v>
      </c>
      <c r="BI977" s="394">
        <v>5</v>
      </c>
      <c r="BJ977" s="394">
        <v>9</v>
      </c>
      <c r="BK977" s="394"/>
      <c r="BL977" s="444" t="s">
        <v>6981</v>
      </c>
      <c r="BM977" s="392"/>
      <c r="BN977" s="393"/>
      <c r="BO977" s="393"/>
      <c r="BP977" s="399"/>
      <c r="BQ977" s="400"/>
      <c r="BR977" s="401"/>
      <c r="BS977" s="399"/>
      <c r="BT977" s="394"/>
      <c r="BU977" s="417"/>
      <c r="BV977" s="399"/>
      <c r="BW977" s="393" t="s">
        <v>3117</v>
      </c>
      <c r="BX977" s="392" t="s">
        <v>4364</v>
      </c>
      <c r="BY977" s="393" t="s">
        <v>7227</v>
      </c>
      <c r="BZ977" s="393"/>
      <c r="CA977" s="441"/>
      <c r="CB977" s="400"/>
      <c r="CC977" s="398"/>
      <c r="CD977" s="398"/>
      <c r="CE977" s="398"/>
      <c r="CF977" s="398"/>
      <c r="CG977" s="398"/>
      <c r="CH977" s="398"/>
      <c r="CI977" s="398"/>
      <c r="CJ977" s="398">
        <v>49.709000000000003</v>
      </c>
      <c r="CK977" s="398">
        <v>69.593000000000004</v>
      </c>
      <c r="CL977" s="398">
        <v>79.534000000000006</v>
      </c>
      <c r="CM977" s="398">
        <v>89.475999999999999</v>
      </c>
      <c r="CN977" s="398">
        <v>99.418000000000006</v>
      </c>
      <c r="CO977" s="398">
        <v>109.36</v>
      </c>
      <c r="CP977" s="398">
        <v>119.30200000000001</v>
      </c>
      <c r="CQ977" s="398"/>
      <c r="CR977" s="398"/>
      <c r="CS977" s="398"/>
      <c r="CT977" s="398"/>
      <c r="CU977" s="398"/>
      <c r="CV977" s="398"/>
      <c r="CW977" s="398"/>
      <c r="CX977" s="398"/>
      <c r="CY977" s="398"/>
      <c r="CZ977" s="398"/>
      <c r="DA977" s="398"/>
      <c r="DB977" s="398"/>
      <c r="DC977" s="398"/>
      <c r="DD977" s="398"/>
      <c r="DE977" s="393"/>
      <c r="DF977" s="393"/>
      <c r="DG977" s="393"/>
      <c r="DH977" s="393"/>
      <c r="DI977" s="393"/>
      <c r="DJ977" s="393"/>
      <c r="DK977" s="897"/>
    </row>
    <row r="978" spans="1:115" ht="51" x14ac:dyDescent="0.2">
      <c r="A978" s="295">
        <v>974</v>
      </c>
      <c r="B978" s="390" t="s">
        <v>6709</v>
      </c>
      <c r="C978" s="390"/>
      <c r="D978" s="391" t="s">
        <v>6710</v>
      </c>
      <c r="E978" s="704" t="s">
        <v>6711</v>
      </c>
      <c r="F978" s="393" t="s">
        <v>1375</v>
      </c>
      <c r="G978" s="393" t="s">
        <v>998</v>
      </c>
      <c r="H978" s="393" t="s">
        <v>1387</v>
      </c>
      <c r="I978" s="392"/>
      <c r="J978" s="392"/>
      <c r="K978" s="392" t="s">
        <v>1387</v>
      </c>
      <c r="L978" s="392" t="s">
        <v>1039</v>
      </c>
      <c r="M978" s="392"/>
      <c r="N978" s="393" t="s">
        <v>44</v>
      </c>
      <c r="O978" s="393" t="s">
        <v>51</v>
      </c>
      <c r="P978" s="393" t="s">
        <v>51</v>
      </c>
      <c r="Q978" s="392" t="s">
        <v>976</v>
      </c>
      <c r="R978" s="392" t="s">
        <v>3339</v>
      </c>
      <c r="S978" s="392" t="s">
        <v>166</v>
      </c>
      <c r="T978" s="394">
        <v>1</v>
      </c>
      <c r="U978" s="395">
        <v>98.581000000000003</v>
      </c>
      <c r="V978" s="395"/>
      <c r="W978" s="453"/>
      <c r="X978" s="394"/>
      <c r="Y978" s="394">
        <v>7</v>
      </c>
      <c r="Z978" s="394">
        <v>21</v>
      </c>
      <c r="AA978" s="395">
        <v>12.323</v>
      </c>
      <c r="AB978" s="452">
        <v>41760</v>
      </c>
      <c r="AC978" s="398"/>
      <c r="AD978" s="398">
        <v>657.92689315068503</v>
      </c>
      <c r="AE978" s="393" t="s">
        <v>54</v>
      </c>
      <c r="AF978" s="417"/>
      <c r="AG978" s="417"/>
      <c r="AH978" s="417"/>
      <c r="AI978" s="394"/>
      <c r="AJ978" s="453"/>
      <c r="AK978" s="453"/>
      <c r="AL978" s="393"/>
      <c r="AM978" s="393"/>
      <c r="AN978" s="417"/>
      <c r="AO978" s="392"/>
      <c r="AP978" s="392"/>
      <c r="AQ978" s="392"/>
      <c r="AR978" s="392" t="s">
        <v>1040</v>
      </c>
      <c r="AS978" s="480"/>
      <c r="AT978" s="453"/>
      <c r="AU978" s="453"/>
      <c r="AV978" s="453"/>
      <c r="AW978" s="453"/>
      <c r="AX978" s="453"/>
      <c r="AY978" s="453"/>
      <c r="AZ978" s="452">
        <v>41787</v>
      </c>
      <c r="BA978" s="393"/>
      <c r="BB978" s="393"/>
      <c r="BC978" s="393" t="b">
        <v>0</v>
      </c>
      <c r="BD978" s="393"/>
      <c r="BE978" s="392"/>
      <c r="BF978" s="394">
        <v>4</v>
      </c>
      <c r="BG978" s="394">
        <v>1</v>
      </c>
      <c r="BH978" s="394">
        <v>6</v>
      </c>
      <c r="BI978" s="394">
        <v>5</v>
      </c>
      <c r="BJ978" s="394">
        <v>9</v>
      </c>
      <c r="BK978" s="394"/>
      <c r="BL978" s="444" t="s">
        <v>6981</v>
      </c>
      <c r="BM978" s="392"/>
      <c r="BN978" s="393"/>
      <c r="BO978" s="393"/>
      <c r="BP978" s="399"/>
      <c r="BQ978" s="400"/>
      <c r="BR978" s="401"/>
      <c r="BS978" s="399"/>
      <c r="BT978" s="394"/>
      <c r="BU978" s="417"/>
      <c r="BV978" s="399"/>
      <c r="BW978" s="393" t="s">
        <v>3117</v>
      </c>
      <c r="BX978" s="392" t="s">
        <v>4364</v>
      </c>
      <c r="BY978" s="393" t="s">
        <v>7227</v>
      </c>
      <c r="BZ978" s="393"/>
      <c r="CA978" s="441"/>
      <c r="CB978" s="400"/>
      <c r="CC978" s="398"/>
      <c r="CD978" s="398"/>
      <c r="CE978" s="398"/>
      <c r="CF978" s="398"/>
      <c r="CG978" s="398"/>
      <c r="CH978" s="398"/>
      <c r="CI978" s="398"/>
      <c r="CJ978" s="398">
        <v>55.65</v>
      </c>
      <c r="CK978" s="398">
        <v>77.91</v>
      </c>
      <c r="CL978" s="398">
        <v>89.040999999999997</v>
      </c>
      <c r="CM978" s="398">
        <v>100.17100000000001</v>
      </c>
      <c r="CN978" s="398">
        <v>111.301</v>
      </c>
      <c r="CO978" s="398">
        <v>122.431</v>
      </c>
      <c r="CP978" s="398">
        <v>133.56100000000001</v>
      </c>
      <c r="CQ978" s="398"/>
      <c r="CR978" s="398"/>
      <c r="CS978" s="398"/>
      <c r="CT978" s="398"/>
      <c r="CU978" s="398"/>
      <c r="CV978" s="398"/>
      <c r="CW978" s="398"/>
      <c r="CX978" s="398"/>
      <c r="CY978" s="398"/>
      <c r="CZ978" s="398"/>
      <c r="DA978" s="398"/>
      <c r="DB978" s="398"/>
      <c r="DC978" s="398"/>
      <c r="DD978" s="398"/>
      <c r="DE978" s="393"/>
      <c r="DF978" s="393"/>
      <c r="DG978" s="393"/>
      <c r="DH978" s="393"/>
      <c r="DI978" s="393"/>
      <c r="DJ978" s="393"/>
      <c r="DK978" s="897"/>
    </row>
    <row r="979" spans="1:115" ht="51" x14ac:dyDescent="0.2">
      <c r="A979" s="295">
        <v>975</v>
      </c>
      <c r="B979" s="390" t="s">
        <v>6712</v>
      </c>
      <c r="C979" s="390"/>
      <c r="D979" s="391" t="s">
        <v>6713</v>
      </c>
      <c r="E979" s="704" t="s">
        <v>6714</v>
      </c>
      <c r="F979" s="393" t="s">
        <v>1375</v>
      </c>
      <c r="G979" s="393" t="s">
        <v>1361</v>
      </c>
      <c r="H979" s="393" t="s">
        <v>1596</v>
      </c>
      <c r="I979" s="392"/>
      <c r="J979" s="392"/>
      <c r="K979" s="392" t="s">
        <v>1596</v>
      </c>
      <c r="L979" s="392" t="s">
        <v>1039</v>
      </c>
      <c r="M979" s="392"/>
      <c r="N979" s="393" t="s">
        <v>44</v>
      </c>
      <c r="O979" s="393" t="s">
        <v>51</v>
      </c>
      <c r="P979" s="393" t="s">
        <v>51</v>
      </c>
      <c r="Q979" s="392" t="s">
        <v>976</v>
      </c>
      <c r="R979" s="392" t="s">
        <v>3339</v>
      </c>
      <c r="S979" s="392" t="s">
        <v>166</v>
      </c>
      <c r="T979" s="394">
        <v>1</v>
      </c>
      <c r="U979" s="395">
        <v>60.390999999999998</v>
      </c>
      <c r="V979" s="395"/>
      <c r="W979" s="453"/>
      <c r="X979" s="394"/>
      <c r="Y979" s="394">
        <v>7</v>
      </c>
      <c r="Z979" s="394">
        <v>21</v>
      </c>
      <c r="AA979" s="395">
        <v>7.5490000000000004</v>
      </c>
      <c r="AB979" s="452">
        <v>41760</v>
      </c>
      <c r="AC979" s="398"/>
      <c r="AD979" s="398">
        <v>403.04787945205476</v>
      </c>
      <c r="AE979" s="393" t="s">
        <v>54</v>
      </c>
      <c r="AF979" s="417"/>
      <c r="AG979" s="417"/>
      <c r="AH979" s="417"/>
      <c r="AI979" s="394"/>
      <c r="AJ979" s="453"/>
      <c r="AK979" s="453"/>
      <c r="AL979" s="393"/>
      <c r="AM979" s="393"/>
      <c r="AN979" s="417"/>
      <c r="AO979" s="392"/>
      <c r="AP979" s="392"/>
      <c r="AQ979" s="392"/>
      <c r="AR979" s="392" t="s">
        <v>1040</v>
      </c>
      <c r="AS979" s="480"/>
      <c r="AT979" s="453"/>
      <c r="AU979" s="453"/>
      <c r="AV979" s="453"/>
      <c r="AW979" s="453"/>
      <c r="AX979" s="453"/>
      <c r="AY979" s="453"/>
      <c r="AZ979" s="452">
        <v>41787</v>
      </c>
      <c r="BA979" s="393"/>
      <c r="BB979" s="393"/>
      <c r="BC979" s="393" t="b">
        <v>0</v>
      </c>
      <c r="BD979" s="393"/>
      <c r="BE979" s="392"/>
      <c r="BF979" s="394">
        <v>4</v>
      </c>
      <c r="BG979" s="394">
        <v>1</v>
      </c>
      <c r="BH979" s="394">
        <v>6</v>
      </c>
      <c r="BI979" s="394">
        <v>5</v>
      </c>
      <c r="BJ979" s="394">
        <v>9</v>
      </c>
      <c r="BK979" s="394"/>
      <c r="BL979" s="444" t="s">
        <v>6981</v>
      </c>
      <c r="BM979" s="392"/>
      <c r="BN979" s="393"/>
      <c r="BO979" s="393"/>
      <c r="BP979" s="399"/>
      <c r="BQ979" s="400"/>
      <c r="BR979" s="401"/>
      <c r="BS979" s="399"/>
      <c r="BT979" s="394"/>
      <c r="BU979" s="417"/>
      <c r="BV979" s="399"/>
      <c r="BW979" s="393" t="s">
        <v>3117</v>
      </c>
      <c r="BX979" s="392" t="s">
        <v>4364</v>
      </c>
      <c r="BY979" s="393" t="s">
        <v>7227</v>
      </c>
      <c r="BZ979" s="393"/>
      <c r="CA979" s="441"/>
      <c r="CB979" s="400"/>
      <c r="CC979" s="398"/>
      <c r="CD979" s="398"/>
      <c r="CE979" s="398"/>
      <c r="CF979" s="398"/>
      <c r="CG979" s="398"/>
      <c r="CH979" s="398"/>
      <c r="CI979" s="398"/>
      <c r="CJ979" s="398">
        <v>34.091999999999999</v>
      </c>
      <c r="CK979" s="398">
        <v>47.728999999999999</v>
      </c>
      <c r="CL979" s="398">
        <v>54.546999999999997</v>
      </c>
      <c r="CM979" s="398">
        <v>61.365000000000002</v>
      </c>
      <c r="CN979" s="398">
        <v>68.183999999999997</v>
      </c>
      <c r="CO979" s="398">
        <v>75.001999999999995</v>
      </c>
      <c r="CP979" s="398">
        <v>81.820999999999998</v>
      </c>
      <c r="CQ979" s="398"/>
      <c r="CR979" s="398"/>
      <c r="CS979" s="398"/>
      <c r="CT979" s="398"/>
      <c r="CU979" s="398"/>
      <c r="CV979" s="398"/>
      <c r="CW979" s="398"/>
      <c r="CX979" s="398"/>
      <c r="CY979" s="398"/>
      <c r="CZ979" s="398"/>
      <c r="DA979" s="398"/>
      <c r="DB979" s="398"/>
      <c r="DC979" s="398"/>
      <c r="DD979" s="398"/>
      <c r="DE979" s="393"/>
      <c r="DF979" s="393"/>
      <c r="DG979" s="393"/>
      <c r="DH979" s="393"/>
      <c r="DI979" s="393"/>
      <c r="DJ979" s="393"/>
      <c r="DK979" s="897"/>
    </row>
    <row r="980" spans="1:115" ht="51" x14ac:dyDescent="0.2">
      <c r="A980" s="295">
        <v>976</v>
      </c>
      <c r="B980" s="390" t="s">
        <v>6715</v>
      </c>
      <c r="C980" s="390"/>
      <c r="D980" s="391" t="s">
        <v>6716</v>
      </c>
      <c r="E980" s="704" t="s">
        <v>6717</v>
      </c>
      <c r="F980" s="393" t="s">
        <v>1375</v>
      </c>
      <c r="G980" s="393" t="s">
        <v>1670</v>
      </c>
      <c r="H980" s="393" t="s">
        <v>1048</v>
      </c>
      <c r="I980" s="392"/>
      <c r="J980" s="392"/>
      <c r="K980" s="392" t="s">
        <v>1048</v>
      </c>
      <c r="L980" s="392" t="s">
        <v>1039</v>
      </c>
      <c r="M980" s="392"/>
      <c r="N980" s="393" t="s">
        <v>44</v>
      </c>
      <c r="O980" s="393" t="s">
        <v>51</v>
      </c>
      <c r="P980" s="393" t="s">
        <v>51</v>
      </c>
      <c r="Q980" s="392" t="s">
        <v>976</v>
      </c>
      <c r="R980" s="392" t="s">
        <v>3339</v>
      </c>
      <c r="S980" s="392" t="s">
        <v>166</v>
      </c>
      <c r="T980" s="394">
        <v>1</v>
      </c>
      <c r="U980" s="395">
        <v>83.984999999999999</v>
      </c>
      <c r="V980" s="395"/>
      <c r="W980" s="453"/>
      <c r="X980" s="394"/>
      <c r="Y980" s="394">
        <v>7</v>
      </c>
      <c r="Z980" s="394">
        <v>21</v>
      </c>
      <c r="AA980" s="395">
        <v>10.497999999999999</v>
      </c>
      <c r="AB980" s="452">
        <v>41730</v>
      </c>
      <c r="AC980" s="398"/>
      <c r="AD980" s="398">
        <v>567.41646575342463</v>
      </c>
      <c r="AE980" s="393" t="s">
        <v>54</v>
      </c>
      <c r="AF980" s="417"/>
      <c r="AG980" s="417"/>
      <c r="AH980" s="417"/>
      <c r="AI980" s="394"/>
      <c r="AJ980" s="453"/>
      <c r="AK980" s="453"/>
      <c r="AL980" s="393"/>
      <c r="AM980" s="393"/>
      <c r="AN980" s="417"/>
      <c r="AO980" s="392"/>
      <c r="AP980" s="392"/>
      <c r="AQ980" s="392"/>
      <c r="AR980" s="392" t="s">
        <v>1040</v>
      </c>
      <c r="AS980" s="480"/>
      <c r="AT980" s="453"/>
      <c r="AU980" s="453"/>
      <c r="AV980" s="453"/>
      <c r="AW980" s="453"/>
      <c r="AX980" s="453"/>
      <c r="AY980" s="453"/>
      <c r="AZ980" s="452">
        <v>41787</v>
      </c>
      <c r="BA980" s="393"/>
      <c r="BB980" s="393"/>
      <c r="BC980" s="393" t="b">
        <v>0</v>
      </c>
      <c r="BD980" s="393"/>
      <c r="BE980" s="392"/>
      <c r="BF980" s="394">
        <v>4</v>
      </c>
      <c r="BG980" s="394">
        <v>1</v>
      </c>
      <c r="BH980" s="394">
        <v>6</v>
      </c>
      <c r="BI980" s="394">
        <v>5</v>
      </c>
      <c r="BJ980" s="394">
        <v>9</v>
      </c>
      <c r="BK980" s="394"/>
      <c r="BL980" s="444" t="s">
        <v>6981</v>
      </c>
      <c r="BM980" s="392"/>
      <c r="BN980" s="393"/>
      <c r="BO980" s="393"/>
      <c r="BP980" s="399"/>
      <c r="BQ980" s="400"/>
      <c r="BR980" s="401"/>
      <c r="BS980" s="399"/>
      <c r="BT980" s="394"/>
      <c r="BU980" s="417"/>
      <c r="BV980" s="399"/>
      <c r="BW980" s="393" t="s">
        <v>3117</v>
      </c>
      <c r="BX980" s="392" t="s">
        <v>4364</v>
      </c>
      <c r="BY980" s="393" t="s">
        <v>7227</v>
      </c>
      <c r="BZ980" s="393"/>
      <c r="CA980" s="441"/>
      <c r="CB980" s="400"/>
      <c r="CC980" s="398"/>
      <c r="CD980" s="398"/>
      <c r="CE980" s="398"/>
      <c r="CF980" s="398"/>
      <c r="CG980" s="398"/>
      <c r="CH980" s="398"/>
      <c r="CI980" s="398"/>
      <c r="CJ980" s="398">
        <v>47.411000000000001</v>
      </c>
      <c r="CK980" s="398">
        <v>66.375</v>
      </c>
      <c r="CL980" s="398">
        <v>75.858000000000004</v>
      </c>
      <c r="CM980" s="398">
        <v>85.34</v>
      </c>
      <c r="CN980" s="398">
        <v>94.822000000000003</v>
      </c>
      <c r="CO980" s="398">
        <v>104.304</v>
      </c>
      <c r="CP980" s="398">
        <v>113.786</v>
      </c>
      <c r="CQ980" s="398"/>
      <c r="CR980" s="398"/>
      <c r="CS980" s="398"/>
      <c r="CT980" s="398"/>
      <c r="CU980" s="398"/>
      <c r="CV980" s="398"/>
      <c r="CW980" s="398"/>
      <c r="CX980" s="398"/>
      <c r="CY980" s="398"/>
      <c r="CZ980" s="398"/>
      <c r="DA980" s="398"/>
      <c r="DB980" s="398"/>
      <c r="DC980" s="398"/>
      <c r="DD980" s="398"/>
      <c r="DE980" s="393"/>
      <c r="DF980" s="393"/>
      <c r="DG980" s="393"/>
      <c r="DH980" s="393"/>
      <c r="DI980" s="393"/>
      <c r="DJ980" s="393"/>
      <c r="DK980" s="897"/>
    </row>
    <row r="981" spans="1:115" ht="51" x14ac:dyDescent="0.2">
      <c r="A981" s="295">
        <v>977</v>
      </c>
      <c r="B981" s="390" t="s">
        <v>6718</v>
      </c>
      <c r="C981" s="390"/>
      <c r="D981" s="391" t="s">
        <v>6719</v>
      </c>
      <c r="E981" s="704" t="s">
        <v>6720</v>
      </c>
      <c r="F981" s="393" t="s">
        <v>1375</v>
      </c>
      <c r="G981" s="393" t="s">
        <v>998</v>
      </c>
      <c r="H981" s="393" t="s">
        <v>1059</v>
      </c>
      <c r="I981" s="392"/>
      <c r="J981" s="392"/>
      <c r="K981" s="392" t="s">
        <v>1059</v>
      </c>
      <c r="L981" s="392" t="s">
        <v>1039</v>
      </c>
      <c r="M981" s="392"/>
      <c r="N981" s="393" t="s">
        <v>44</v>
      </c>
      <c r="O981" s="393" t="s">
        <v>51</v>
      </c>
      <c r="P981" s="393" t="s">
        <v>51</v>
      </c>
      <c r="Q981" s="392" t="s">
        <v>976</v>
      </c>
      <c r="R981" s="392" t="s">
        <v>3339</v>
      </c>
      <c r="S981" s="392" t="s">
        <v>166</v>
      </c>
      <c r="T981" s="394">
        <v>1</v>
      </c>
      <c r="U981" s="395">
        <v>124.88200000000001</v>
      </c>
      <c r="V981" s="395"/>
      <c r="W981" s="453"/>
      <c r="X981" s="394"/>
      <c r="Y981" s="394">
        <v>7</v>
      </c>
      <c r="Z981" s="394">
        <v>21</v>
      </c>
      <c r="AA981" s="395">
        <v>15.61</v>
      </c>
      <c r="AB981" s="452">
        <v>41760</v>
      </c>
      <c r="AC981" s="398"/>
      <c r="AD981" s="398">
        <v>833.45904657534254</v>
      </c>
      <c r="AE981" s="393" t="s">
        <v>54</v>
      </c>
      <c r="AF981" s="417"/>
      <c r="AG981" s="417"/>
      <c r="AH981" s="417"/>
      <c r="AI981" s="394"/>
      <c r="AJ981" s="453"/>
      <c r="AK981" s="453"/>
      <c r="AL981" s="393"/>
      <c r="AM981" s="393"/>
      <c r="AN981" s="417"/>
      <c r="AO981" s="392"/>
      <c r="AP981" s="392"/>
      <c r="AQ981" s="392"/>
      <c r="AR981" s="392" t="s">
        <v>1040</v>
      </c>
      <c r="AS981" s="480"/>
      <c r="AT981" s="397"/>
      <c r="AU981" s="397"/>
      <c r="AV981" s="453"/>
      <c r="AW981" s="453"/>
      <c r="AX981" s="453"/>
      <c r="AY981" s="453"/>
      <c r="AZ981" s="452">
        <v>41787</v>
      </c>
      <c r="BA981" s="393"/>
      <c r="BB981" s="393"/>
      <c r="BC981" s="393" t="b">
        <v>0</v>
      </c>
      <c r="BD981" s="393"/>
      <c r="BE981" s="392"/>
      <c r="BF981" s="394">
        <v>4</v>
      </c>
      <c r="BG981" s="394">
        <v>1</v>
      </c>
      <c r="BH981" s="394">
        <v>6</v>
      </c>
      <c r="BI981" s="394">
        <v>5</v>
      </c>
      <c r="BJ981" s="394">
        <v>9</v>
      </c>
      <c r="BK981" s="394"/>
      <c r="BL981" s="444" t="s">
        <v>6981</v>
      </c>
      <c r="BM981" s="392"/>
      <c r="BN981" s="393"/>
      <c r="BO981" s="393"/>
      <c r="BP981" s="399"/>
      <c r="BQ981" s="400"/>
      <c r="BR981" s="401"/>
      <c r="BS981" s="399"/>
      <c r="BT981" s="394"/>
      <c r="BU981" s="417"/>
      <c r="BV981" s="399"/>
      <c r="BW981" s="393" t="s">
        <v>3117</v>
      </c>
      <c r="BX981" s="392" t="s">
        <v>4364</v>
      </c>
      <c r="BY981" s="393" t="s">
        <v>7227</v>
      </c>
      <c r="BZ981" s="393"/>
      <c r="CA981" s="441"/>
      <c r="CB981" s="400"/>
      <c r="CC981" s="398"/>
      <c r="CD981" s="398"/>
      <c r="CE981" s="398"/>
      <c r="CF981" s="398"/>
      <c r="CG981" s="398"/>
      <c r="CH981" s="398"/>
      <c r="CI981" s="398"/>
      <c r="CJ981" s="398">
        <v>70.498000000000005</v>
      </c>
      <c r="CK981" s="398">
        <v>98.697000000000003</v>
      </c>
      <c r="CL981" s="398">
        <v>112.797</v>
      </c>
      <c r="CM981" s="398">
        <v>126.89700000000001</v>
      </c>
      <c r="CN981" s="398">
        <v>140.99600000000001</v>
      </c>
      <c r="CO981" s="398">
        <v>155.096</v>
      </c>
      <c r="CP981" s="398">
        <v>169.19499999999999</v>
      </c>
      <c r="CQ981" s="398"/>
      <c r="CR981" s="398"/>
      <c r="CS981" s="398"/>
      <c r="CT981" s="398"/>
      <c r="CU981" s="398"/>
      <c r="CV981" s="398"/>
      <c r="CW981" s="398"/>
      <c r="CX981" s="398"/>
      <c r="CY981" s="398"/>
      <c r="CZ981" s="398"/>
      <c r="DA981" s="398"/>
      <c r="DB981" s="398"/>
      <c r="DC981" s="398"/>
      <c r="DD981" s="398"/>
      <c r="DE981" s="393"/>
      <c r="DF981" s="393"/>
      <c r="DG981" s="393"/>
      <c r="DH981" s="393"/>
      <c r="DI981" s="393"/>
      <c r="DJ981" s="393"/>
      <c r="DK981" s="897"/>
    </row>
    <row r="982" spans="1:115" ht="51" x14ac:dyDescent="0.2">
      <c r="A982" s="295">
        <v>978</v>
      </c>
      <c r="B982" s="390" t="s">
        <v>6721</v>
      </c>
      <c r="C982" s="390"/>
      <c r="D982" s="391" t="s">
        <v>6722</v>
      </c>
      <c r="E982" s="704" t="s">
        <v>6723</v>
      </c>
      <c r="F982" s="393" t="s">
        <v>1375</v>
      </c>
      <c r="G982" s="393" t="s">
        <v>1670</v>
      </c>
      <c r="H982" s="393" t="s">
        <v>1389</v>
      </c>
      <c r="I982" s="392"/>
      <c r="J982" s="392"/>
      <c r="K982" s="392" t="s">
        <v>1389</v>
      </c>
      <c r="L982" s="392" t="s">
        <v>1039</v>
      </c>
      <c r="M982" s="392"/>
      <c r="N982" s="393" t="s">
        <v>44</v>
      </c>
      <c r="O982" s="393" t="s">
        <v>51</v>
      </c>
      <c r="P982" s="393" t="s">
        <v>51</v>
      </c>
      <c r="Q982" s="392" t="s">
        <v>976</v>
      </c>
      <c r="R982" s="392" t="s">
        <v>3339</v>
      </c>
      <c r="S982" s="392" t="s">
        <v>166</v>
      </c>
      <c r="T982" s="394">
        <v>1</v>
      </c>
      <c r="U982" s="395">
        <v>111.884</v>
      </c>
      <c r="V982" s="395"/>
      <c r="W982" s="453"/>
      <c r="X982" s="394"/>
      <c r="Y982" s="394">
        <v>7</v>
      </c>
      <c r="Z982" s="394">
        <v>21</v>
      </c>
      <c r="AA982" s="395">
        <v>13.986000000000001</v>
      </c>
      <c r="AB982" s="452">
        <v>41760</v>
      </c>
      <c r="AC982" s="398"/>
      <c r="AD982" s="398">
        <v>746.71075068493155</v>
      </c>
      <c r="AE982" s="393" t="s">
        <v>54</v>
      </c>
      <c r="AF982" s="417"/>
      <c r="AG982" s="417"/>
      <c r="AH982" s="417"/>
      <c r="AI982" s="394"/>
      <c r="AJ982" s="453"/>
      <c r="AK982" s="453"/>
      <c r="AL982" s="393"/>
      <c r="AM982" s="393"/>
      <c r="AN982" s="417"/>
      <c r="AO982" s="392"/>
      <c r="AP982" s="392"/>
      <c r="AQ982" s="392"/>
      <c r="AR982" s="392" t="s">
        <v>1040</v>
      </c>
      <c r="AS982" s="480"/>
      <c r="AT982" s="453"/>
      <c r="AU982" s="453"/>
      <c r="AV982" s="453"/>
      <c r="AW982" s="453"/>
      <c r="AX982" s="453"/>
      <c r="AY982" s="453"/>
      <c r="AZ982" s="452">
        <v>41787</v>
      </c>
      <c r="BA982" s="393"/>
      <c r="BB982" s="393"/>
      <c r="BC982" s="393" t="b">
        <v>0</v>
      </c>
      <c r="BD982" s="393"/>
      <c r="BE982" s="392"/>
      <c r="BF982" s="394">
        <v>4</v>
      </c>
      <c r="BG982" s="394">
        <v>1</v>
      </c>
      <c r="BH982" s="394">
        <v>6</v>
      </c>
      <c r="BI982" s="394">
        <v>5</v>
      </c>
      <c r="BJ982" s="394">
        <v>9</v>
      </c>
      <c r="BK982" s="394"/>
      <c r="BL982" s="444" t="s">
        <v>6981</v>
      </c>
      <c r="BM982" s="392"/>
      <c r="BN982" s="393"/>
      <c r="BO982" s="393"/>
      <c r="BP982" s="399"/>
      <c r="BQ982" s="400"/>
      <c r="BR982" s="401"/>
      <c r="BS982" s="399"/>
      <c r="BT982" s="394"/>
      <c r="BU982" s="417"/>
      <c r="BV982" s="399"/>
      <c r="BW982" s="393" t="s">
        <v>3117</v>
      </c>
      <c r="BX982" s="392" t="s">
        <v>4364</v>
      </c>
      <c r="BY982" s="393" t="s">
        <v>7227</v>
      </c>
      <c r="BZ982" s="393"/>
      <c r="CA982" s="441"/>
      <c r="CB982" s="400"/>
      <c r="CC982" s="398"/>
      <c r="CD982" s="398"/>
      <c r="CE982" s="398"/>
      <c r="CF982" s="398"/>
      <c r="CG982" s="398"/>
      <c r="CH982" s="398"/>
      <c r="CI982" s="398"/>
      <c r="CJ982" s="398">
        <v>63.16</v>
      </c>
      <c r="CK982" s="398">
        <v>88.424999999999997</v>
      </c>
      <c r="CL982" s="398">
        <v>101.057</v>
      </c>
      <c r="CM982" s="398">
        <v>113.68899999999999</v>
      </c>
      <c r="CN982" s="398">
        <v>126.321</v>
      </c>
      <c r="CO982" s="398">
        <v>138.953</v>
      </c>
      <c r="CP982" s="398">
        <v>151.58500000000001</v>
      </c>
      <c r="CQ982" s="398"/>
      <c r="CR982" s="398"/>
      <c r="CS982" s="398"/>
      <c r="CT982" s="398"/>
      <c r="CU982" s="398"/>
      <c r="CV982" s="398"/>
      <c r="CW982" s="398"/>
      <c r="CX982" s="398"/>
      <c r="CY982" s="398"/>
      <c r="CZ982" s="398"/>
      <c r="DA982" s="398"/>
      <c r="DB982" s="398"/>
      <c r="DC982" s="398"/>
      <c r="DD982" s="398"/>
      <c r="DE982" s="393"/>
      <c r="DF982" s="393"/>
      <c r="DG982" s="393"/>
      <c r="DH982" s="393"/>
      <c r="DI982" s="393"/>
      <c r="DJ982" s="393"/>
      <c r="DK982" s="897"/>
    </row>
    <row r="983" spans="1:115" ht="51" x14ac:dyDescent="0.2">
      <c r="A983" s="295">
        <v>979</v>
      </c>
      <c r="B983" s="390" t="s">
        <v>6724</v>
      </c>
      <c r="C983" s="390"/>
      <c r="D983" s="391" t="s">
        <v>6725</v>
      </c>
      <c r="E983" s="704" t="s">
        <v>6726</v>
      </c>
      <c r="F983" s="393" t="s">
        <v>1375</v>
      </c>
      <c r="G983" s="393" t="s">
        <v>998</v>
      </c>
      <c r="H983" s="393" t="s">
        <v>245</v>
      </c>
      <c r="I983" s="392"/>
      <c r="J983" s="392"/>
      <c r="K983" s="392" t="s">
        <v>245</v>
      </c>
      <c r="L983" s="392" t="s">
        <v>1039</v>
      </c>
      <c r="M983" s="392"/>
      <c r="N983" s="393" t="s">
        <v>44</v>
      </c>
      <c r="O983" s="393" t="s">
        <v>51</v>
      </c>
      <c r="P983" s="393" t="s">
        <v>51</v>
      </c>
      <c r="Q983" s="392" t="s">
        <v>976</v>
      </c>
      <c r="R983" s="392" t="s">
        <v>3339</v>
      </c>
      <c r="S983" s="392" t="s">
        <v>166</v>
      </c>
      <c r="T983" s="394">
        <v>1</v>
      </c>
      <c r="U983" s="395">
        <v>73.593000000000004</v>
      </c>
      <c r="V983" s="395"/>
      <c r="W983" s="453"/>
      <c r="X983" s="394"/>
      <c r="Y983" s="394">
        <v>7</v>
      </c>
      <c r="Z983" s="394">
        <v>21</v>
      </c>
      <c r="AA983" s="395">
        <v>9.1989999999999998</v>
      </c>
      <c r="AB983" s="452">
        <v>41760</v>
      </c>
      <c r="AC983" s="398"/>
      <c r="AD983" s="398">
        <v>491.15766575342468</v>
      </c>
      <c r="AE983" s="393" t="s">
        <v>54</v>
      </c>
      <c r="AF983" s="417"/>
      <c r="AG983" s="417"/>
      <c r="AH983" s="417"/>
      <c r="AI983" s="394"/>
      <c r="AJ983" s="453"/>
      <c r="AK983" s="453"/>
      <c r="AL983" s="393"/>
      <c r="AM983" s="393"/>
      <c r="AN983" s="417"/>
      <c r="AO983" s="392"/>
      <c r="AP983" s="392"/>
      <c r="AQ983" s="392"/>
      <c r="AR983" s="392" t="s">
        <v>1040</v>
      </c>
      <c r="AS983" s="480"/>
      <c r="AT983" s="453"/>
      <c r="AU983" s="453"/>
      <c r="AV983" s="453"/>
      <c r="AW983" s="453"/>
      <c r="AX983" s="453"/>
      <c r="AY983" s="453"/>
      <c r="AZ983" s="452">
        <v>41787</v>
      </c>
      <c r="BA983" s="393"/>
      <c r="BB983" s="393"/>
      <c r="BC983" s="393" t="b">
        <v>0</v>
      </c>
      <c r="BD983" s="393"/>
      <c r="BE983" s="392"/>
      <c r="BF983" s="394">
        <v>4</v>
      </c>
      <c r="BG983" s="394">
        <v>1</v>
      </c>
      <c r="BH983" s="394">
        <v>6</v>
      </c>
      <c r="BI983" s="394">
        <v>5</v>
      </c>
      <c r="BJ983" s="394">
        <v>9</v>
      </c>
      <c r="BK983" s="394"/>
      <c r="BL983" s="444" t="s">
        <v>6981</v>
      </c>
      <c r="BM983" s="392"/>
      <c r="BN983" s="393"/>
      <c r="BO983" s="393"/>
      <c r="BP983" s="399"/>
      <c r="BQ983" s="400"/>
      <c r="BR983" s="401"/>
      <c r="BS983" s="399"/>
      <c r="BT983" s="394"/>
      <c r="BU983" s="417"/>
      <c r="BV983" s="399"/>
      <c r="BW983" s="393" t="s">
        <v>3117</v>
      </c>
      <c r="BX983" s="392" t="s">
        <v>4364</v>
      </c>
      <c r="BY983" s="393" t="s">
        <v>7227</v>
      </c>
      <c r="BZ983" s="393"/>
      <c r="CA983" s="441"/>
      <c r="CB983" s="400"/>
      <c r="CC983" s="398"/>
      <c r="CD983" s="398"/>
      <c r="CE983" s="398"/>
      <c r="CF983" s="398"/>
      <c r="CG983" s="398"/>
      <c r="CH983" s="398"/>
      <c r="CI983" s="398"/>
      <c r="CJ983" s="398">
        <v>41.543999999999997</v>
      </c>
      <c r="CK983" s="398">
        <v>58.161999999999999</v>
      </c>
      <c r="CL983" s="398">
        <v>66.471000000000004</v>
      </c>
      <c r="CM983" s="398">
        <v>74.78</v>
      </c>
      <c r="CN983" s="398">
        <v>83.088999999999999</v>
      </c>
      <c r="CO983" s="398">
        <v>91.397999999999996</v>
      </c>
      <c r="CP983" s="398">
        <v>99.706999999999994</v>
      </c>
      <c r="CQ983" s="398"/>
      <c r="CR983" s="398"/>
      <c r="CS983" s="398"/>
      <c r="CT983" s="398"/>
      <c r="CU983" s="398"/>
      <c r="CV983" s="398"/>
      <c r="CW983" s="398"/>
      <c r="CX983" s="398"/>
      <c r="CY983" s="398"/>
      <c r="CZ983" s="398"/>
      <c r="DA983" s="398"/>
      <c r="DB983" s="398"/>
      <c r="DC983" s="398"/>
      <c r="DD983" s="398"/>
      <c r="DE983" s="393"/>
      <c r="DF983" s="393"/>
      <c r="DG983" s="393"/>
      <c r="DH983" s="393"/>
      <c r="DI983" s="393"/>
      <c r="DJ983" s="393"/>
      <c r="DK983" s="897"/>
    </row>
    <row r="984" spans="1:115" ht="51" x14ac:dyDescent="0.2">
      <c r="A984" s="295">
        <v>980</v>
      </c>
      <c r="B984" s="390" t="s">
        <v>6727</v>
      </c>
      <c r="C984" s="390"/>
      <c r="D984" s="391" t="s">
        <v>6728</v>
      </c>
      <c r="E984" s="704" t="s">
        <v>6729</v>
      </c>
      <c r="F984" s="393" t="s">
        <v>1375</v>
      </c>
      <c r="G984" s="393" t="s">
        <v>998</v>
      </c>
      <c r="H984" s="393" t="s">
        <v>1085</v>
      </c>
      <c r="I984" s="392"/>
      <c r="J984" s="392"/>
      <c r="K984" s="392" t="s">
        <v>1085</v>
      </c>
      <c r="L984" s="392" t="s">
        <v>1039</v>
      </c>
      <c r="M984" s="392"/>
      <c r="N984" s="393" t="s">
        <v>44</v>
      </c>
      <c r="O984" s="393" t="s">
        <v>51</v>
      </c>
      <c r="P984" s="393" t="s">
        <v>51</v>
      </c>
      <c r="Q984" s="392" t="s">
        <v>976</v>
      </c>
      <c r="R984" s="392" t="s">
        <v>3339</v>
      </c>
      <c r="S984" s="392" t="s">
        <v>166</v>
      </c>
      <c r="T984" s="394">
        <v>1</v>
      </c>
      <c r="U984" s="395">
        <v>97.305999999999997</v>
      </c>
      <c r="V984" s="395"/>
      <c r="W984" s="453"/>
      <c r="X984" s="394"/>
      <c r="Y984" s="394">
        <v>7</v>
      </c>
      <c r="Z984" s="394">
        <v>21</v>
      </c>
      <c r="AA984" s="395">
        <v>12.163</v>
      </c>
      <c r="AB984" s="452">
        <v>41760</v>
      </c>
      <c r="AC984" s="398"/>
      <c r="AD984" s="398">
        <v>649.41757808219177</v>
      </c>
      <c r="AE984" s="393" t="s">
        <v>54</v>
      </c>
      <c r="AF984" s="417"/>
      <c r="AG984" s="417"/>
      <c r="AH984" s="417"/>
      <c r="AI984" s="394"/>
      <c r="AJ984" s="453"/>
      <c r="AK984" s="453"/>
      <c r="AL984" s="393"/>
      <c r="AM984" s="393"/>
      <c r="AN984" s="417"/>
      <c r="AO984" s="392"/>
      <c r="AP984" s="392"/>
      <c r="AQ984" s="392"/>
      <c r="AR984" s="392" t="s">
        <v>1040</v>
      </c>
      <c r="AS984" s="480"/>
      <c r="AT984" s="453"/>
      <c r="AU984" s="453"/>
      <c r="AV984" s="453"/>
      <c r="AW984" s="453"/>
      <c r="AX984" s="453"/>
      <c r="AY984" s="453"/>
      <c r="AZ984" s="452">
        <v>41787</v>
      </c>
      <c r="BA984" s="393"/>
      <c r="BB984" s="393"/>
      <c r="BC984" s="393" t="b">
        <v>0</v>
      </c>
      <c r="BD984" s="393"/>
      <c r="BE984" s="392"/>
      <c r="BF984" s="394">
        <v>4</v>
      </c>
      <c r="BG984" s="394">
        <v>1</v>
      </c>
      <c r="BH984" s="394">
        <v>6</v>
      </c>
      <c r="BI984" s="394">
        <v>5</v>
      </c>
      <c r="BJ984" s="394">
        <v>9</v>
      </c>
      <c r="BK984" s="394"/>
      <c r="BL984" s="444" t="s">
        <v>6981</v>
      </c>
      <c r="BM984" s="392"/>
      <c r="BN984" s="393"/>
      <c r="BO984" s="393"/>
      <c r="BP984" s="399"/>
      <c r="BQ984" s="400"/>
      <c r="BR984" s="401"/>
      <c r="BS984" s="399"/>
      <c r="BT984" s="394"/>
      <c r="BU984" s="417"/>
      <c r="BV984" s="399"/>
      <c r="BW984" s="393" t="s">
        <v>3117</v>
      </c>
      <c r="BX984" s="392" t="s">
        <v>4364</v>
      </c>
      <c r="BY984" s="393" t="s">
        <v>7227</v>
      </c>
      <c r="BZ984" s="393"/>
      <c r="CA984" s="441"/>
      <c r="CB984" s="400"/>
      <c r="CC984" s="398"/>
      <c r="CD984" s="398"/>
      <c r="CE984" s="398"/>
      <c r="CF984" s="398"/>
      <c r="CG984" s="398"/>
      <c r="CH984" s="398"/>
      <c r="CI984" s="398"/>
      <c r="CJ984" s="398">
        <v>54.930999999999997</v>
      </c>
      <c r="CK984" s="398">
        <v>76.903000000000006</v>
      </c>
      <c r="CL984" s="398">
        <v>87.888999999999996</v>
      </c>
      <c r="CM984" s="398">
        <v>98.875</v>
      </c>
      <c r="CN984" s="398">
        <v>109.861</v>
      </c>
      <c r="CO984" s="398">
        <v>120.84699999999999</v>
      </c>
      <c r="CP984" s="398">
        <v>131.833</v>
      </c>
      <c r="CQ984" s="398"/>
      <c r="CR984" s="398"/>
      <c r="CS984" s="398"/>
      <c r="CT984" s="398"/>
      <c r="CU984" s="398"/>
      <c r="CV984" s="398"/>
      <c r="CW984" s="398"/>
      <c r="CX984" s="398"/>
      <c r="CY984" s="398"/>
      <c r="CZ984" s="398"/>
      <c r="DA984" s="398"/>
      <c r="DB984" s="398"/>
      <c r="DC984" s="398"/>
      <c r="DD984" s="398"/>
      <c r="DE984" s="393"/>
      <c r="DF984" s="393"/>
      <c r="DG984" s="393"/>
      <c r="DH984" s="393"/>
      <c r="DI984" s="393"/>
      <c r="DJ984" s="393"/>
      <c r="DK984" s="897"/>
    </row>
    <row r="985" spans="1:115" ht="51" x14ac:dyDescent="0.2">
      <c r="A985" s="295">
        <v>981</v>
      </c>
      <c r="B985" s="390" t="s">
        <v>6730</v>
      </c>
      <c r="C985" s="390"/>
      <c r="D985" s="391" t="s">
        <v>6731</v>
      </c>
      <c r="E985" s="704" t="s">
        <v>6732</v>
      </c>
      <c r="F985" s="393" t="s">
        <v>1375</v>
      </c>
      <c r="G985" s="393" t="s">
        <v>998</v>
      </c>
      <c r="H985" s="393" t="s">
        <v>1392</v>
      </c>
      <c r="I985" s="392"/>
      <c r="J985" s="392"/>
      <c r="K985" s="392" t="s">
        <v>1392</v>
      </c>
      <c r="L985" s="392" t="s">
        <v>1039</v>
      </c>
      <c r="M985" s="392"/>
      <c r="N985" s="393" t="s">
        <v>44</v>
      </c>
      <c r="O985" s="393" t="s">
        <v>51</v>
      </c>
      <c r="P985" s="393" t="s">
        <v>51</v>
      </c>
      <c r="Q985" s="392" t="s">
        <v>976</v>
      </c>
      <c r="R985" s="392" t="s">
        <v>3339</v>
      </c>
      <c r="S985" s="392" t="s">
        <v>166</v>
      </c>
      <c r="T985" s="394">
        <v>1</v>
      </c>
      <c r="U985" s="395">
        <v>122.05</v>
      </c>
      <c r="V985" s="395"/>
      <c r="W985" s="453"/>
      <c r="X985" s="394"/>
      <c r="Y985" s="394">
        <v>7</v>
      </c>
      <c r="Z985" s="394">
        <v>21</v>
      </c>
      <c r="AA985" s="395">
        <v>15.256</v>
      </c>
      <c r="AB985" s="452">
        <v>41760</v>
      </c>
      <c r="AC985" s="398"/>
      <c r="AD985" s="398">
        <v>814.55835616438355</v>
      </c>
      <c r="AE985" s="393" t="s">
        <v>54</v>
      </c>
      <c r="AF985" s="417"/>
      <c r="AG985" s="417"/>
      <c r="AH985" s="417"/>
      <c r="AI985" s="394"/>
      <c r="AJ985" s="453"/>
      <c r="AK985" s="453"/>
      <c r="AL985" s="393"/>
      <c r="AM985" s="393"/>
      <c r="AN985" s="417"/>
      <c r="AO985" s="392"/>
      <c r="AP985" s="392"/>
      <c r="AQ985" s="392"/>
      <c r="AR985" s="392" t="s">
        <v>1040</v>
      </c>
      <c r="AS985" s="480"/>
      <c r="AT985" s="453"/>
      <c r="AU985" s="453"/>
      <c r="AV985" s="453"/>
      <c r="AW985" s="453"/>
      <c r="AX985" s="453"/>
      <c r="AY985" s="453"/>
      <c r="AZ985" s="452">
        <v>41787</v>
      </c>
      <c r="BA985" s="393"/>
      <c r="BB985" s="393"/>
      <c r="BC985" s="393" t="b">
        <v>0</v>
      </c>
      <c r="BD985" s="393"/>
      <c r="BE985" s="392"/>
      <c r="BF985" s="394">
        <v>4</v>
      </c>
      <c r="BG985" s="394">
        <v>1</v>
      </c>
      <c r="BH985" s="394">
        <v>6</v>
      </c>
      <c r="BI985" s="394">
        <v>5</v>
      </c>
      <c r="BJ985" s="394">
        <v>9</v>
      </c>
      <c r="BK985" s="394"/>
      <c r="BL985" s="444" t="s">
        <v>6981</v>
      </c>
      <c r="BM985" s="392"/>
      <c r="BN985" s="393"/>
      <c r="BO985" s="393"/>
      <c r="BP985" s="399"/>
      <c r="BQ985" s="400"/>
      <c r="BR985" s="401"/>
      <c r="BS985" s="399"/>
      <c r="BT985" s="394"/>
      <c r="BU985" s="417"/>
      <c r="BV985" s="399"/>
      <c r="BW985" s="393" t="s">
        <v>3117</v>
      </c>
      <c r="BX985" s="392" t="s">
        <v>4364</v>
      </c>
      <c r="BY985" s="393" t="s">
        <v>7227</v>
      </c>
      <c r="BZ985" s="393"/>
      <c r="CA985" s="441"/>
      <c r="CB985" s="400"/>
      <c r="CC985" s="398"/>
      <c r="CD985" s="398"/>
      <c r="CE985" s="398"/>
      <c r="CF985" s="398"/>
      <c r="CG985" s="398"/>
      <c r="CH985" s="398"/>
      <c r="CI985" s="398"/>
      <c r="CJ985" s="398">
        <v>68.899000000000001</v>
      </c>
      <c r="CK985" s="398">
        <v>96.459000000000003</v>
      </c>
      <c r="CL985" s="398">
        <v>110.239</v>
      </c>
      <c r="CM985" s="398">
        <v>124.01900000000001</v>
      </c>
      <c r="CN985" s="398">
        <v>137.79900000000001</v>
      </c>
      <c r="CO985" s="398">
        <v>151.57900000000001</v>
      </c>
      <c r="CP985" s="398">
        <v>165.35900000000001</v>
      </c>
      <c r="CQ985" s="398"/>
      <c r="CR985" s="398"/>
      <c r="CS985" s="398"/>
      <c r="CT985" s="398"/>
      <c r="CU985" s="398"/>
      <c r="CV985" s="398"/>
      <c r="CW985" s="398"/>
      <c r="CX985" s="398"/>
      <c r="CY985" s="398"/>
      <c r="CZ985" s="398"/>
      <c r="DA985" s="398"/>
      <c r="DB985" s="398"/>
      <c r="DC985" s="398"/>
      <c r="DD985" s="398"/>
      <c r="DE985" s="393"/>
      <c r="DF985" s="393"/>
      <c r="DG985" s="393"/>
      <c r="DH985" s="393"/>
      <c r="DI985" s="393"/>
      <c r="DJ985" s="393"/>
      <c r="DK985" s="897"/>
    </row>
    <row r="986" spans="1:115" ht="51" x14ac:dyDescent="0.2">
      <c r="A986" s="295">
        <v>982</v>
      </c>
      <c r="B986" s="390" t="s">
        <v>6733</v>
      </c>
      <c r="C986" s="390"/>
      <c r="D986" s="391" t="s">
        <v>6734</v>
      </c>
      <c r="E986" s="704" t="s">
        <v>6735</v>
      </c>
      <c r="F986" s="393" t="s">
        <v>1375</v>
      </c>
      <c r="G986" s="393" t="s">
        <v>998</v>
      </c>
      <c r="H986" s="393" t="s">
        <v>6736</v>
      </c>
      <c r="I986" s="392"/>
      <c r="J986" s="392"/>
      <c r="K986" s="392" t="s">
        <v>6736</v>
      </c>
      <c r="L986" s="392" t="s">
        <v>1039</v>
      </c>
      <c r="M986" s="392"/>
      <c r="N986" s="393" t="s">
        <v>44</v>
      </c>
      <c r="O986" s="393" t="s">
        <v>51</v>
      </c>
      <c r="P986" s="393" t="s">
        <v>51</v>
      </c>
      <c r="Q986" s="392" t="s">
        <v>976</v>
      </c>
      <c r="R986" s="392" t="s">
        <v>3339</v>
      </c>
      <c r="S986" s="392" t="s">
        <v>166</v>
      </c>
      <c r="T986" s="394">
        <v>1</v>
      </c>
      <c r="U986" s="395">
        <v>91.528000000000006</v>
      </c>
      <c r="V986" s="395"/>
      <c r="W986" s="453"/>
      <c r="X986" s="394"/>
      <c r="Y986" s="394">
        <v>7</v>
      </c>
      <c r="Z986" s="394">
        <v>21</v>
      </c>
      <c r="AA986" s="395">
        <v>11.441000000000001</v>
      </c>
      <c r="AB986" s="452">
        <v>41821</v>
      </c>
      <c r="AC986" s="398"/>
      <c r="AD986" s="398">
        <v>595.55890410958909</v>
      </c>
      <c r="AE986" s="393" t="s">
        <v>54</v>
      </c>
      <c r="AF986" s="417"/>
      <c r="AG986" s="417"/>
      <c r="AH986" s="417"/>
      <c r="AI986" s="394"/>
      <c r="AJ986" s="453"/>
      <c r="AK986" s="453"/>
      <c r="AL986" s="393"/>
      <c r="AM986" s="393"/>
      <c r="AN986" s="417"/>
      <c r="AO986" s="392"/>
      <c r="AP986" s="392"/>
      <c r="AQ986" s="392"/>
      <c r="AR986" s="392" t="s">
        <v>1040</v>
      </c>
      <c r="AS986" s="480"/>
      <c r="AT986" s="453"/>
      <c r="AU986" s="453"/>
      <c r="AV986" s="453"/>
      <c r="AW986" s="453"/>
      <c r="AX986" s="453"/>
      <c r="AY986" s="453"/>
      <c r="AZ986" s="452">
        <v>41989</v>
      </c>
      <c r="BA986" s="393"/>
      <c r="BB986" s="393"/>
      <c r="BC986" s="393" t="b">
        <v>0</v>
      </c>
      <c r="BD986" s="393"/>
      <c r="BE986" s="392"/>
      <c r="BF986" s="394">
        <v>4</v>
      </c>
      <c r="BG986" s="394">
        <v>1</v>
      </c>
      <c r="BH986" s="394">
        <v>6</v>
      </c>
      <c r="BI986" s="394">
        <v>5</v>
      </c>
      <c r="BJ986" s="394">
        <v>9</v>
      </c>
      <c r="BK986" s="394"/>
      <c r="BL986" s="444" t="s">
        <v>6981</v>
      </c>
      <c r="BM986" s="392"/>
      <c r="BN986" s="393"/>
      <c r="BO986" s="393"/>
      <c r="BP986" s="399"/>
      <c r="BQ986" s="400"/>
      <c r="BR986" s="401"/>
      <c r="BS986" s="399"/>
      <c r="BT986" s="394"/>
      <c r="BU986" s="417"/>
      <c r="BV986" s="399"/>
      <c r="BW986" s="393" t="s">
        <v>3117</v>
      </c>
      <c r="BX986" s="392" t="s">
        <v>4364</v>
      </c>
      <c r="BY986" s="393" t="s">
        <v>7227</v>
      </c>
      <c r="BZ986" s="393"/>
      <c r="CA986" s="441"/>
      <c r="CB986" s="400"/>
      <c r="CC986" s="398"/>
      <c r="CD986" s="398"/>
      <c r="CE986" s="398"/>
      <c r="CF986" s="398"/>
      <c r="CG986" s="398"/>
      <c r="CH986" s="398"/>
      <c r="CI986" s="398"/>
      <c r="CJ986" s="398">
        <v>51.668999999999997</v>
      </c>
      <c r="CK986" s="398">
        <v>72.337000000000003</v>
      </c>
      <c r="CL986" s="398">
        <v>82.67</v>
      </c>
      <c r="CM986" s="398">
        <v>93.004000000000005</v>
      </c>
      <c r="CN986" s="398">
        <v>103.33799999999999</v>
      </c>
      <c r="CO986" s="398">
        <v>113.672</v>
      </c>
      <c r="CP986" s="398">
        <v>124.006</v>
      </c>
      <c r="CQ986" s="398"/>
      <c r="CR986" s="398"/>
      <c r="CS986" s="398"/>
      <c r="CT986" s="398"/>
      <c r="CU986" s="398"/>
      <c r="CV986" s="398"/>
      <c r="CW986" s="398"/>
      <c r="CX986" s="398"/>
      <c r="CY986" s="398"/>
      <c r="CZ986" s="398"/>
      <c r="DA986" s="398"/>
      <c r="DB986" s="398"/>
      <c r="DC986" s="398"/>
      <c r="DD986" s="398"/>
      <c r="DE986" s="393"/>
      <c r="DF986" s="393"/>
      <c r="DG986" s="393"/>
      <c r="DH986" s="393"/>
      <c r="DI986" s="393"/>
      <c r="DJ986" s="393"/>
      <c r="DK986" s="897"/>
    </row>
    <row r="987" spans="1:115" ht="51" x14ac:dyDescent="0.2">
      <c r="A987" s="295">
        <v>983</v>
      </c>
      <c r="B987" s="390" t="s">
        <v>6737</v>
      </c>
      <c r="C987" s="390"/>
      <c r="D987" s="391" t="s">
        <v>6738</v>
      </c>
      <c r="E987" s="704" t="s">
        <v>6739</v>
      </c>
      <c r="F987" s="393" t="s">
        <v>1375</v>
      </c>
      <c r="G987" s="393" t="s">
        <v>1361</v>
      </c>
      <c r="H987" s="393" t="s">
        <v>137</v>
      </c>
      <c r="I987" s="392"/>
      <c r="J987" s="392"/>
      <c r="K987" s="392" t="s">
        <v>137</v>
      </c>
      <c r="L987" s="392" t="s">
        <v>1039</v>
      </c>
      <c r="M987" s="392"/>
      <c r="N987" s="393" t="s">
        <v>44</v>
      </c>
      <c r="O987" s="393" t="s">
        <v>51</v>
      </c>
      <c r="P987" s="393" t="s">
        <v>51</v>
      </c>
      <c r="Q987" s="392" t="s">
        <v>976</v>
      </c>
      <c r="R987" s="392" t="s">
        <v>3339</v>
      </c>
      <c r="S987" s="392" t="s">
        <v>166</v>
      </c>
      <c r="T987" s="394">
        <v>1</v>
      </c>
      <c r="U987" s="395">
        <v>81.944000000000003</v>
      </c>
      <c r="V987" s="395"/>
      <c r="W987" s="453"/>
      <c r="X987" s="394"/>
      <c r="Y987" s="394">
        <v>7</v>
      </c>
      <c r="Z987" s="394">
        <v>21</v>
      </c>
      <c r="AA987" s="395">
        <v>10.243</v>
      </c>
      <c r="AB987" s="452">
        <v>42005</v>
      </c>
      <c r="AC987" s="398"/>
      <c r="AD987" s="398">
        <v>491.88850410958906</v>
      </c>
      <c r="AE987" s="393" t="s">
        <v>54</v>
      </c>
      <c r="AF987" s="417"/>
      <c r="AG987" s="417"/>
      <c r="AH987" s="417"/>
      <c r="AI987" s="394"/>
      <c r="AJ987" s="453"/>
      <c r="AK987" s="453"/>
      <c r="AL987" s="393"/>
      <c r="AM987" s="393"/>
      <c r="AN987" s="417"/>
      <c r="AO987" s="392"/>
      <c r="AP987" s="392"/>
      <c r="AQ987" s="392"/>
      <c r="AR987" s="392" t="s">
        <v>1040</v>
      </c>
      <c r="AS987" s="480"/>
      <c r="AT987" s="453"/>
      <c r="AU987" s="453"/>
      <c r="AV987" s="453"/>
      <c r="AW987" s="453"/>
      <c r="AX987" s="453"/>
      <c r="AY987" s="453"/>
      <c r="AZ987" s="452">
        <v>41989</v>
      </c>
      <c r="BA987" s="393"/>
      <c r="BB987" s="393"/>
      <c r="BC987" s="393" t="b">
        <v>0</v>
      </c>
      <c r="BD987" s="393"/>
      <c r="BE987" s="392"/>
      <c r="BF987" s="394">
        <v>4</v>
      </c>
      <c r="BG987" s="394">
        <v>1</v>
      </c>
      <c r="BH987" s="394">
        <v>6</v>
      </c>
      <c r="BI987" s="394">
        <v>5</v>
      </c>
      <c r="BJ987" s="394">
        <v>9</v>
      </c>
      <c r="BK987" s="394"/>
      <c r="BL987" s="444" t="s">
        <v>6981</v>
      </c>
      <c r="BM987" s="392"/>
      <c r="BN987" s="393"/>
      <c r="BO987" s="393"/>
      <c r="BP987" s="399"/>
      <c r="BQ987" s="400"/>
      <c r="BR987" s="401"/>
      <c r="BS987" s="399"/>
      <c r="BT987" s="394"/>
      <c r="BU987" s="417"/>
      <c r="BV987" s="399"/>
      <c r="BW987" s="393" t="s">
        <v>3117</v>
      </c>
      <c r="BX987" s="392" t="s">
        <v>4364</v>
      </c>
      <c r="BY987" s="393" t="s">
        <v>7227</v>
      </c>
      <c r="BZ987" s="393"/>
      <c r="CA987" s="441"/>
      <c r="CB987" s="400"/>
      <c r="CC987" s="398"/>
      <c r="CD987" s="398"/>
      <c r="CE987" s="398"/>
      <c r="CF987" s="398"/>
      <c r="CG987" s="398"/>
      <c r="CH987" s="398"/>
      <c r="CI987" s="398"/>
      <c r="CJ987" s="398">
        <v>46.259</v>
      </c>
      <c r="CK987" s="398">
        <v>64.762</v>
      </c>
      <c r="CL987" s="398">
        <v>74.013999999999996</v>
      </c>
      <c r="CM987" s="398">
        <v>83.266000000000005</v>
      </c>
      <c r="CN987" s="398">
        <v>92.518000000000001</v>
      </c>
      <c r="CO987" s="398">
        <v>101.77</v>
      </c>
      <c r="CP987" s="398">
        <v>111.021</v>
      </c>
      <c r="CQ987" s="398"/>
      <c r="CR987" s="398"/>
      <c r="CS987" s="398"/>
      <c r="CT987" s="398"/>
      <c r="CU987" s="398"/>
      <c r="CV987" s="398"/>
      <c r="CW987" s="398"/>
      <c r="CX987" s="398"/>
      <c r="CY987" s="398"/>
      <c r="CZ987" s="398"/>
      <c r="DA987" s="398"/>
      <c r="DB987" s="398"/>
      <c r="DC987" s="398"/>
      <c r="DD987" s="398"/>
      <c r="DE987" s="393"/>
      <c r="DF987" s="393"/>
      <c r="DG987" s="393"/>
      <c r="DH987" s="393"/>
      <c r="DI987" s="393"/>
      <c r="DJ987" s="393"/>
      <c r="DK987" s="897"/>
    </row>
    <row r="988" spans="1:115" ht="38.25" x14ac:dyDescent="0.2">
      <c r="A988" s="295">
        <v>984</v>
      </c>
      <c r="B988" s="390" t="s">
        <v>8216</v>
      </c>
      <c r="C988" s="390"/>
      <c r="D988" s="391" t="s">
        <v>8217</v>
      </c>
      <c r="E988" s="705" t="s">
        <v>8224</v>
      </c>
      <c r="F988" s="393" t="s">
        <v>1375</v>
      </c>
      <c r="G988" s="393" t="s">
        <v>998</v>
      </c>
      <c r="H988" s="393" t="s">
        <v>1038</v>
      </c>
      <c r="I988" s="392"/>
      <c r="J988" s="392"/>
      <c r="K988" s="428" t="s">
        <v>8228</v>
      </c>
      <c r="L988" s="392" t="s">
        <v>1039</v>
      </c>
      <c r="M988" s="392"/>
      <c r="N988" s="393" t="s">
        <v>44</v>
      </c>
      <c r="O988" s="393" t="s">
        <v>51</v>
      </c>
      <c r="P988" s="393" t="s">
        <v>51</v>
      </c>
      <c r="Q988" s="392" t="s">
        <v>976</v>
      </c>
      <c r="R988" s="428" t="s">
        <v>8229</v>
      </c>
      <c r="S988" s="428" t="s">
        <v>166</v>
      </c>
      <c r="T988" s="394">
        <v>1</v>
      </c>
      <c r="U988" s="395">
        <v>300</v>
      </c>
      <c r="V988" s="395"/>
      <c r="W988" s="453"/>
      <c r="X988" s="394"/>
      <c r="Y988" s="394">
        <v>7</v>
      </c>
      <c r="Z988" s="394">
        <v>21</v>
      </c>
      <c r="AA988" s="395"/>
      <c r="AB988" s="452">
        <v>42585</v>
      </c>
      <c r="AC988" s="398"/>
      <c r="AD988" s="398">
        <v>1324.1095890410959</v>
      </c>
      <c r="AE988" s="475" t="s">
        <v>54</v>
      </c>
      <c r="AF988" s="417"/>
      <c r="AG988" s="417"/>
      <c r="AH988" s="417"/>
      <c r="AI988" s="394"/>
      <c r="AJ988" s="453"/>
      <c r="AK988" s="453"/>
      <c r="AL988" s="393"/>
      <c r="AM988" s="393"/>
      <c r="AN988" s="417"/>
      <c r="AO988" s="392"/>
      <c r="AP988" s="392"/>
      <c r="AQ988" s="392"/>
      <c r="AR988" s="428" t="s">
        <v>1040</v>
      </c>
      <c r="AS988" s="480"/>
      <c r="AT988" s="453"/>
      <c r="AU988" s="453"/>
      <c r="AV988" s="453"/>
      <c r="AW988" s="453"/>
      <c r="AX988" s="453"/>
      <c r="AY988" s="453"/>
      <c r="AZ988" s="452">
        <v>42585</v>
      </c>
      <c r="BA988" s="393"/>
      <c r="BB988" s="393"/>
      <c r="BC988" s="393" t="b">
        <v>0</v>
      </c>
      <c r="BD988" s="393"/>
      <c r="BE988" s="392"/>
      <c r="BF988" s="394">
        <v>4</v>
      </c>
      <c r="BG988" s="394">
        <v>1</v>
      </c>
      <c r="BH988" s="394">
        <v>6</v>
      </c>
      <c r="BI988" s="394">
        <v>5</v>
      </c>
      <c r="BJ988" s="394">
        <v>9</v>
      </c>
      <c r="BK988" s="394"/>
      <c r="BL988" s="444" t="s">
        <v>6981</v>
      </c>
      <c r="BM988" s="392"/>
      <c r="BN988" s="393"/>
      <c r="BO988" s="393"/>
      <c r="BP988" s="399"/>
      <c r="BQ988" s="400"/>
      <c r="BR988" s="401"/>
      <c r="BS988" s="399"/>
      <c r="BT988" s="394"/>
      <c r="BU988" s="417"/>
      <c r="BV988" s="399"/>
      <c r="BW988" s="475" t="s">
        <v>3117</v>
      </c>
      <c r="BX988" s="428" t="s">
        <v>4364</v>
      </c>
      <c r="BY988" s="393"/>
      <c r="BZ988" s="393"/>
      <c r="CA988" s="441"/>
      <c r="CB988" s="400"/>
      <c r="CC988" s="398"/>
      <c r="CD988" s="398"/>
      <c r="CE988" s="398"/>
      <c r="CF988" s="398"/>
      <c r="CG988" s="398"/>
      <c r="CH988" s="398"/>
      <c r="CI988" s="398"/>
      <c r="CJ988" s="398"/>
      <c r="CK988" s="398">
        <v>150</v>
      </c>
      <c r="CL988" s="398">
        <v>300</v>
      </c>
      <c r="CM988" s="398">
        <v>310</v>
      </c>
      <c r="CN988" s="398">
        <v>310</v>
      </c>
      <c r="CO988" s="398">
        <v>310</v>
      </c>
      <c r="CP988" s="398">
        <v>310</v>
      </c>
      <c r="CQ988" s="398">
        <v>310</v>
      </c>
      <c r="CR988" s="398"/>
      <c r="CS988" s="398"/>
      <c r="CT988" s="398"/>
      <c r="CU988" s="398"/>
      <c r="CV988" s="398"/>
      <c r="CW988" s="398"/>
      <c r="CX988" s="398"/>
      <c r="CY988" s="398"/>
      <c r="CZ988" s="398"/>
      <c r="DA988" s="398"/>
      <c r="DB988" s="398"/>
      <c r="DC988" s="398"/>
      <c r="DD988" s="398"/>
      <c r="DE988" s="393"/>
      <c r="DF988" s="393"/>
      <c r="DG988" s="393"/>
      <c r="DH988" s="393"/>
      <c r="DI988" s="393"/>
      <c r="DJ988" s="393"/>
      <c r="DK988" s="897"/>
    </row>
    <row r="989" spans="1:115" ht="38.25" x14ac:dyDescent="0.2">
      <c r="A989" s="295">
        <v>985</v>
      </c>
      <c r="B989" s="390" t="s">
        <v>8218</v>
      </c>
      <c r="C989" s="390"/>
      <c r="D989" s="391" t="s">
        <v>8219</v>
      </c>
      <c r="E989" s="709" t="s">
        <v>8225</v>
      </c>
      <c r="F989" s="393" t="s">
        <v>1375</v>
      </c>
      <c r="G989" s="393" t="s">
        <v>998</v>
      </c>
      <c r="H989" s="393" t="s">
        <v>1038</v>
      </c>
      <c r="I989" s="392"/>
      <c r="J989" s="392"/>
      <c r="K989" s="560" t="s">
        <v>8228</v>
      </c>
      <c r="L989" s="392" t="s">
        <v>1039</v>
      </c>
      <c r="M989" s="563"/>
      <c r="N989" s="393" t="s">
        <v>44</v>
      </c>
      <c r="O989" s="393" t="s">
        <v>51</v>
      </c>
      <c r="P989" s="393" t="s">
        <v>51</v>
      </c>
      <c r="Q989" s="392" t="s">
        <v>976</v>
      </c>
      <c r="R989" s="560" t="s">
        <v>8229</v>
      </c>
      <c r="S989" s="560" t="s">
        <v>166</v>
      </c>
      <c r="T989" s="564">
        <v>1</v>
      </c>
      <c r="U989" s="565">
        <v>300</v>
      </c>
      <c r="V989" s="565"/>
      <c r="W989" s="566"/>
      <c r="X989" s="564"/>
      <c r="Y989" s="564">
        <v>7</v>
      </c>
      <c r="Z989" s="564">
        <v>21</v>
      </c>
      <c r="AA989" s="565"/>
      <c r="AB989" s="567">
        <v>43101</v>
      </c>
      <c r="AC989" s="568"/>
      <c r="AD989" s="568">
        <v>900</v>
      </c>
      <c r="AE989" s="562" t="s">
        <v>54</v>
      </c>
      <c r="AF989" s="569"/>
      <c r="AG989" s="569"/>
      <c r="AH989" s="569"/>
      <c r="AI989" s="564"/>
      <c r="AJ989" s="566"/>
      <c r="AK989" s="566"/>
      <c r="AL989" s="561"/>
      <c r="AM989" s="561"/>
      <c r="AN989" s="569"/>
      <c r="AO989" s="563"/>
      <c r="AP989" s="563"/>
      <c r="AQ989" s="563"/>
      <c r="AR989" s="560" t="s">
        <v>1040</v>
      </c>
      <c r="AS989" s="576"/>
      <c r="AT989" s="566"/>
      <c r="AU989" s="566"/>
      <c r="AV989" s="566"/>
      <c r="AW989" s="566"/>
      <c r="AX989" s="566"/>
      <c r="AY989" s="566"/>
      <c r="AZ989" s="567">
        <v>42585</v>
      </c>
      <c r="BA989" s="561"/>
      <c r="BB989" s="561"/>
      <c r="BC989" s="561" t="b">
        <v>0</v>
      </c>
      <c r="BD989" s="561"/>
      <c r="BE989" s="563"/>
      <c r="BF989" s="394">
        <v>4</v>
      </c>
      <c r="BG989" s="394">
        <v>1</v>
      </c>
      <c r="BH989" s="394">
        <v>6</v>
      </c>
      <c r="BI989" s="394">
        <v>5</v>
      </c>
      <c r="BJ989" s="394">
        <v>9</v>
      </c>
      <c r="BK989" s="394"/>
      <c r="BL989" s="444" t="s">
        <v>6981</v>
      </c>
      <c r="BM989" s="563"/>
      <c r="BN989" s="561"/>
      <c r="BO989" s="561"/>
      <c r="BP989" s="571"/>
      <c r="BQ989" s="572"/>
      <c r="BR989" s="573"/>
      <c r="BS989" s="571"/>
      <c r="BT989" s="564"/>
      <c r="BU989" s="569"/>
      <c r="BV989" s="571"/>
      <c r="BW989" s="562" t="s">
        <v>3117</v>
      </c>
      <c r="BX989" s="560" t="s">
        <v>4364</v>
      </c>
      <c r="BY989" s="561"/>
      <c r="BZ989" s="561"/>
      <c r="CA989" s="574"/>
      <c r="CB989" s="572"/>
      <c r="CC989" s="568"/>
      <c r="CD989" s="568"/>
      <c r="CE989" s="568"/>
      <c r="CF989" s="568"/>
      <c r="CG989" s="568"/>
      <c r="CH989" s="568"/>
      <c r="CI989" s="568"/>
      <c r="CJ989" s="568"/>
      <c r="CK989" s="568"/>
      <c r="CL989" s="568"/>
      <c r="CM989" s="568"/>
      <c r="CN989" s="568">
        <v>150</v>
      </c>
      <c r="CO989" s="568">
        <v>300</v>
      </c>
      <c r="CP989" s="568">
        <v>310</v>
      </c>
      <c r="CQ989" s="568">
        <v>310</v>
      </c>
      <c r="CR989" s="568">
        <v>310</v>
      </c>
      <c r="CS989" s="568">
        <v>310</v>
      </c>
      <c r="CT989" s="568">
        <v>310</v>
      </c>
      <c r="CU989" s="568"/>
      <c r="CV989" s="568"/>
      <c r="CW989" s="568"/>
      <c r="CX989" s="568"/>
      <c r="CY989" s="568"/>
      <c r="CZ989" s="568"/>
      <c r="DA989" s="568"/>
      <c r="DB989" s="568"/>
      <c r="DC989" s="568"/>
      <c r="DD989" s="568"/>
      <c r="DE989" s="561"/>
      <c r="DF989" s="561"/>
      <c r="DG989" s="561"/>
      <c r="DH989" s="561"/>
      <c r="DI989" s="561"/>
      <c r="DJ989" s="561"/>
      <c r="DK989" s="897"/>
    </row>
    <row r="990" spans="1:115" ht="38.25" x14ac:dyDescent="0.2">
      <c r="A990" s="295">
        <v>986</v>
      </c>
      <c r="B990" s="390" t="s">
        <v>8220</v>
      </c>
      <c r="C990" s="390"/>
      <c r="D990" s="391" t="s">
        <v>8221</v>
      </c>
      <c r="E990" s="709" t="s">
        <v>8226</v>
      </c>
      <c r="F990" s="393" t="s">
        <v>1375</v>
      </c>
      <c r="G990" s="393" t="s">
        <v>998</v>
      </c>
      <c r="H990" s="393" t="s">
        <v>1038</v>
      </c>
      <c r="I990" s="563"/>
      <c r="J990" s="563"/>
      <c r="K990" s="560" t="s">
        <v>8228</v>
      </c>
      <c r="L990" s="392" t="s">
        <v>1039</v>
      </c>
      <c r="M990" s="563"/>
      <c r="N990" s="393" t="s">
        <v>44</v>
      </c>
      <c r="O990" s="393" t="s">
        <v>51</v>
      </c>
      <c r="P990" s="393" t="s">
        <v>51</v>
      </c>
      <c r="Q990" s="392" t="s">
        <v>976</v>
      </c>
      <c r="R990" s="560" t="s">
        <v>8229</v>
      </c>
      <c r="S990" s="560" t="s">
        <v>166</v>
      </c>
      <c r="T990" s="564">
        <v>1</v>
      </c>
      <c r="U990" s="565">
        <v>300</v>
      </c>
      <c r="V990" s="565"/>
      <c r="W990" s="566"/>
      <c r="X990" s="564"/>
      <c r="Y990" s="564">
        <v>7</v>
      </c>
      <c r="Z990" s="564">
        <v>21</v>
      </c>
      <c r="AA990" s="565"/>
      <c r="AB990" s="567">
        <v>43466</v>
      </c>
      <c r="AC990" s="568"/>
      <c r="AD990" s="568">
        <v>600</v>
      </c>
      <c r="AE990" s="562" t="s">
        <v>54</v>
      </c>
      <c r="AF990" s="569"/>
      <c r="AG990" s="569"/>
      <c r="AH990" s="569"/>
      <c r="AI990" s="564"/>
      <c r="AJ990" s="566"/>
      <c r="AK990" s="566"/>
      <c r="AL990" s="561"/>
      <c r="AM990" s="561"/>
      <c r="AN990" s="569"/>
      <c r="AO990" s="563"/>
      <c r="AP990" s="563"/>
      <c r="AQ990" s="563"/>
      <c r="AR990" s="560" t="s">
        <v>1040</v>
      </c>
      <c r="AS990" s="576"/>
      <c r="AT990" s="566"/>
      <c r="AU990" s="566"/>
      <c r="AV990" s="566"/>
      <c r="AW990" s="566"/>
      <c r="AX990" s="566"/>
      <c r="AY990" s="566"/>
      <c r="AZ990" s="567">
        <v>42585</v>
      </c>
      <c r="BA990" s="561"/>
      <c r="BB990" s="561"/>
      <c r="BC990" s="561" t="b">
        <v>0</v>
      </c>
      <c r="BD990" s="561"/>
      <c r="BE990" s="563"/>
      <c r="BF990" s="394">
        <v>4</v>
      </c>
      <c r="BG990" s="394">
        <v>1</v>
      </c>
      <c r="BH990" s="394">
        <v>6</v>
      </c>
      <c r="BI990" s="394">
        <v>5</v>
      </c>
      <c r="BJ990" s="394">
        <v>9</v>
      </c>
      <c r="BK990" s="394"/>
      <c r="BL990" s="444" t="s">
        <v>6981</v>
      </c>
      <c r="BM990" s="563"/>
      <c r="BN990" s="561"/>
      <c r="BO990" s="561"/>
      <c r="BP990" s="571"/>
      <c r="BQ990" s="572"/>
      <c r="BR990" s="573"/>
      <c r="BS990" s="571"/>
      <c r="BT990" s="564"/>
      <c r="BU990" s="569"/>
      <c r="BV990" s="571"/>
      <c r="BW990" s="562" t="s">
        <v>3117</v>
      </c>
      <c r="BX990" s="560" t="s">
        <v>4364</v>
      </c>
      <c r="BY990" s="561"/>
      <c r="BZ990" s="561"/>
      <c r="CA990" s="574"/>
      <c r="CB990" s="572"/>
      <c r="CC990" s="568"/>
      <c r="CD990" s="568"/>
      <c r="CE990" s="568"/>
      <c r="CF990" s="568"/>
      <c r="CG990" s="568"/>
      <c r="CH990" s="568"/>
      <c r="CI990" s="568"/>
      <c r="CJ990" s="568"/>
      <c r="CK990" s="568"/>
      <c r="CL990" s="568"/>
      <c r="CM990" s="568"/>
      <c r="CN990" s="568"/>
      <c r="CO990" s="568">
        <v>150</v>
      </c>
      <c r="CP990" s="568">
        <v>300</v>
      </c>
      <c r="CQ990" s="568">
        <v>310</v>
      </c>
      <c r="CR990" s="568">
        <v>310</v>
      </c>
      <c r="CS990" s="568">
        <v>310</v>
      </c>
      <c r="CT990" s="568">
        <v>310</v>
      </c>
      <c r="CU990" s="568">
        <v>310</v>
      </c>
      <c r="CV990" s="568"/>
      <c r="CW990" s="568"/>
      <c r="CX990" s="568"/>
      <c r="CY990" s="568"/>
      <c r="CZ990" s="568"/>
      <c r="DA990" s="568"/>
      <c r="DB990" s="568"/>
      <c r="DC990" s="568"/>
      <c r="DD990" s="568"/>
      <c r="DE990" s="561"/>
      <c r="DF990" s="561"/>
      <c r="DG990" s="561"/>
      <c r="DH990" s="561"/>
      <c r="DI990" s="561"/>
      <c r="DJ990" s="561"/>
      <c r="DK990" s="897"/>
    </row>
    <row r="991" spans="1:115" ht="38.25" x14ac:dyDescent="0.2">
      <c r="A991" s="295">
        <v>987</v>
      </c>
      <c r="B991" s="390" t="s">
        <v>8222</v>
      </c>
      <c r="C991" s="390"/>
      <c r="D991" s="391" t="s">
        <v>8223</v>
      </c>
      <c r="E991" s="709" t="s">
        <v>8227</v>
      </c>
      <c r="F991" s="393" t="s">
        <v>1375</v>
      </c>
      <c r="G991" s="393" t="s">
        <v>998</v>
      </c>
      <c r="H991" s="393" t="s">
        <v>1038</v>
      </c>
      <c r="I991" s="563"/>
      <c r="J991" s="563"/>
      <c r="K991" s="560" t="s">
        <v>8228</v>
      </c>
      <c r="L991" s="392" t="s">
        <v>1039</v>
      </c>
      <c r="M991" s="563"/>
      <c r="N991" s="393" t="s">
        <v>44</v>
      </c>
      <c r="O991" s="393" t="s">
        <v>51</v>
      </c>
      <c r="P991" s="393" t="s">
        <v>51</v>
      </c>
      <c r="Q991" s="392" t="s">
        <v>976</v>
      </c>
      <c r="R991" s="560" t="s">
        <v>8229</v>
      </c>
      <c r="S991" s="560" t="s">
        <v>166</v>
      </c>
      <c r="T991" s="564">
        <v>1</v>
      </c>
      <c r="U991" s="565">
        <v>300</v>
      </c>
      <c r="V991" s="565"/>
      <c r="W991" s="566"/>
      <c r="X991" s="564"/>
      <c r="Y991" s="564">
        <v>7</v>
      </c>
      <c r="Z991" s="564">
        <v>21</v>
      </c>
      <c r="AA991" s="565"/>
      <c r="AB991" s="567">
        <v>43831</v>
      </c>
      <c r="AC991" s="568"/>
      <c r="AD991" s="568">
        <v>300</v>
      </c>
      <c r="AE991" s="562" t="s">
        <v>54</v>
      </c>
      <c r="AF991" s="569"/>
      <c r="AG991" s="569"/>
      <c r="AH991" s="569"/>
      <c r="AI991" s="564"/>
      <c r="AJ991" s="566"/>
      <c r="AK991" s="566"/>
      <c r="AL991" s="561"/>
      <c r="AM991" s="561"/>
      <c r="AN991" s="569"/>
      <c r="AO991" s="563"/>
      <c r="AP991" s="563"/>
      <c r="AQ991" s="563"/>
      <c r="AR991" s="560" t="s">
        <v>1040</v>
      </c>
      <c r="AS991" s="576"/>
      <c r="AT991" s="566"/>
      <c r="AU991" s="566"/>
      <c r="AV991" s="566"/>
      <c r="AW991" s="566"/>
      <c r="AX991" s="566"/>
      <c r="AY991" s="566"/>
      <c r="AZ991" s="567">
        <v>42585</v>
      </c>
      <c r="BA991" s="561"/>
      <c r="BB991" s="561"/>
      <c r="BC991" s="561" t="b">
        <v>0</v>
      </c>
      <c r="BD991" s="561"/>
      <c r="BE991" s="563"/>
      <c r="BF991" s="394">
        <v>4</v>
      </c>
      <c r="BG991" s="394">
        <v>1</v>
      </c>
      <c r="BH991" s="394">
        <v>6</v>
      </c>
      <c r="BI991" s="394">
        <v>5</v>
      </c>
      <c r="BJ991" s="394">
        <v>9</v>
      </c>
      <c r="BK991" s="394"/>
      <c r="BL991" s="444" t="s">
        <v>6981</v>
      </c>
      <c r="BM991" s="563"/>
      <c r="BN991" s="561"/>
      <c r="BO991" s="561"/>
      <c r="BP991" s="571"/>
      <c r="BQ991" s="572"/>
      <c r="BR991" s="573"/>
      <c r="BS991" s="571"/>
      <c r="BT991" s="564"/>
      <c r="BU991" s="569"/>
      <c r="BV991" s="571"/>
      <c r="BW991" s="562" t="s">
        <v>3117</v>
      </c>
      <c r="BX991" s="560" t="s">
        <v>4364</v>
      </c>
      <c r="BY991" s="561"/>
      <c r="BZ991" s="561"/>
      <c r="CA991" s="574"/>
      <c r="CB991" s="572"/>
      <c r="CC991" s="568"/>
      <c r="CD991" s="568"/>
      <c r="CE991" s="568"/>
      <c r="CF991" s="568"/>
      <c r="CG991" s="568"/>
      <c r="CH991" s="568"/>
      <c r="CI991" s="568"/>
      <c r="CJ991" s="568"/>
      <c r="CK991" s="568"/>
      <c r="CL991" s="568"/>
      <c r="CM991" s="568"/>
      <c r="CN991" s="568"/>
      <c r="CO991" s="568"/>
      <c r="CP991" s="568">
        <v>150</v>
      </c>
      <c r="CQ991" s="568">
        <v>300</v>
      </c>
      <c r="CR991" s="568">
        <v>310</v>
      </c>
      <c r="CS991" s="568">
        <v>310</v>
      </c>
      <c r="CT991" s="568">
        <v>310</v>
      </c>
      <c r="CU991" s="568">
        <v>310</v>
      </c>
      <c r="CV991" s="568">
        <v>310</v>
      </c>
      <c r="CW991" s="568"/>
      <c r="CX991" s="568"/>
      <c r="CY991" s="568"/>
      <c r="CZ991" s="568"/>
      <c r="DA991" s="568"/>
      <c r="DB991" s="568"/>
      <c r="DC991" s="568"/>
      <c r="DD991" s="568"/>
      <c r="DE991" s="561"/>
      <c r="DF991" s="561"/>
      <c r="DG991" s="561"/>
      <c r="DH991" s="561"/>
      <c r="DI991" s="561"/>
      <c r="DJ991" s="561"/>
      <c r="DK991" s="897"/>
    </row>
    <row r="992" spans="1:115" ht="25.5" x14ac:dyDescent="0.2">
      <c r="A992" s="295">
        <v>988</v>
      </c>
      <c r="B992" s="390" t="s">
        <v>9335</v>
      </c>
      <c r="C992" s="390"/>
      <c r="D992" s="391" t="s">
        <v>9336</v>
      </c>
      <c r="E992" s="709" t="s">
        <v>9339</v>
      </c>
      <c r="F992" s="393" t="s">
        <v>1375</v>
      </c>
      <c r="G992" s="393" t="s">
        <v>998</v>
      </c>
      <c r="H992" s="393" t="s">
        <v>218</v>
      </c>
      <c r="I992" s="563"/>
      <c r="J992" s="563"/>
      <c r="K992" s="560" t="s">
        <v>9341</v>
      </c>
      <c r="L992" s="428" t="s">
        <v>1039</v>
      </c>
      <c r="M992" s="563"/>
      <c r="N992" s="475" t="s">
        <v>44</v>
      </c>
      <c r="O992" s="393" t="s">
        <v>51</v>
      </c>
      <c r="P992" s="393" t="s">
        <v>51</v>
      </c>
      <c r="Q992" s="392" t="s">
        <v>976</v>
      </c>
      <c r="R992" s="560" t="s">
        <v>9342</v>
      </c>
      <c r="S992" s="560" t="s">
        <v>166</v>
      </c>
      <c r="T992" s="564">
        <v>1</v>
      </c>
      <c r="U992" s="565">
        <v>21.491</v>
      </c>
      <c r="V992" s="565"/>
      <c r="W992" s="566"/>
      <c r="X992" s="564"/>
      <c r="Y992" s="564">
        <v>7</v>
      </c>
      <c r="Z992" s="564">
        <v>21</v>
      </c>
      <c r="AA992" s="565"/>
      <c r="AB992" s="567">
        <v>43040</v>
      </c>
      <c r="AC992" s="568"/>
      <c r="AD992" s="568">
        <v>68.064646575342465</v>
      </c>
      <c r="AE992" s="562" t="s">
        <v>54</v>
      </c>
      <c r="AF992" s="569"/>
      <c r="AG992" s="569"/>
      <c r="AH992" s="569"/>
      <c r="AI992" s="564"/>
      <c r="AJ992" s="566"/>
      <c r="AK992" s="566"/>
      <c r="AL992" s="561"/>
      <c r="AM992" s="561"/>
      <c r="AN992" s="569"/>
      <c r="AO992" s="563"/>
      <c r="AP992" s="563"/>
      <c r="AQ992" s="563"/>
      <c r="AR992" s="560" t="s">
        <v>1040</v>
      </c>
      <c r="AS992" s="576"/>
      <c r="AT992" s="566"/>
      <c r="AU992" s="566"/>
      <c r="AV992" s="566"/>
      <c r="AW992" s="566"/>
      <c r="AX992" s="566"/>
      <c r="AY992" s="566"/>
      <c r="AZ992" s="567">
        <v>43040</v>
      </c>
      <c r="BA992" s="561"/>
      <c r="BB992" s="561"/>
      <c r="BC992" s="561" t="b">
        <v>0</v>
      </c>
      <c r="BD992" s="561"/>
      <c r="BE992" s="563"/>
      <c r="BF992" s="394">
        <v>4</v>
      </c>
      <c r="BG992" s="394">
        <v>1</v>
      </c>
      <c r="BH992" s="394">
        <v>6</v>
      </c>
      <c r="BI992" s="394">
        <v>5</v>
      </c>
      <c r="BJ992" s="394">
        <v>9</v>
      </c>
      <c r="BK992" s="394"/>
      <c r="BL992" s="444" t="s">
        <v>6981</v>
      </c>
      <c r="BM992" s="563"/>
      <c r="BN992" s="561"/>
      <c r="BO992" s="561"/>
      <c r="BP992" s="571"/>
      <c r="BQ992" s="572"/>
      <c r="BR992" s="573"/>
      <c r="BS992" s="571"/>
      <c r="BT992" s="564"/>
      <c r="BU992" s="569"/>
      <c r="BV992" s="571"/>
      <c r="BW992" s="562" t="s">
        <v>3117</v>
      </c>
      <c r="BX992" s="560" t="s">
        <v>4364</v>
      </c>
      <c r="BY992" s="561"/>
      <c r="BZ992" s="561"/>
      <c r="CA992" s="574"/>
      <c r="CB992" s="572"/>
      <c r="CC992" s="568"/>
      <c r="CD992" s="568"/>
      <c r="CE992" s="568"/>
      <c r="CF992" s="568"/>
      <c r="CG992" s="568"/>
      <c r="CH992" s="568"/>
      <c r="CI992" s="568"/>
      <c r="CJ992" s="568"/>
      <c r="CK992" s="568"/>
      <c r="CL992" s="568"/>
      <c r="CM992" s="568">
        <v>21.491</v>
      </c>
      <c r="CN992" s="568">
        <v>21.491</v>
      </c>
      <c r="CO992" s="568">
        <v>21.491</v>
      </c>
      <c r="CP992" s="568">
        <v>21.491</v>
      </c>
      <c r="CQ992" s="568">
        <v>21.491</v>
      </c>
      <c r="CR992" s="568">
        <v>21.491</v>
      </c>
      <c r="CS992" s="568">
        <v>21.491</v>
      </c>
      <c r="CT992" s="568"/>
      <c r="CU992" s="568"/>
      <c r="CV992" s="568"/>
      <c r="CW992" s="568"/>
      <c r="CX992" s="568"/>
      <c r="CY992" s="568"/>
      <c r="CZ992" s="568"/>
      <c r="DA992" s="568"/>
      <c r="DB992" s="568"/>
      <c r="DC992" s="568"/>
      <c r="DD992" s="568"/>
      <c r="DE992" s="561"/>
      <c r="DF992" s="561"/>
      <c r="DG992" s="561"/>
      <c r="DH992" s="561"/>
      <c r="DI992" s="561"/>
      <c r="DJ992" s="561"/>
      <c r="DK992" s="897"/>
    </row>
    <row r="993" spans="1:115" ht="25.5" x14ac:dyDescent="0.2">
      <c r="A993" s="295">
        <v>989</v>
      </c>
      <c r="B993" s="390" t="s">
        <v>9337</v>
      </c>
      <c r="C993" s="390"/>
      <c r="D993" s="391" t="s">
        <v>9338</v>
      </c>
      <c r="E993" s="709" t="s">
        <v>9340</v>
      </c>
      <c r="F993" s="393" t="s">
        <v>1375</v>
      </c>
      <c r="G993" s="393" t="s">
        <v>998</v>
      </c>
      <c r="H993" s="393" t="s">
        <v>218</v>
      </c>
      <c r="I993" s="563"/>
      <c r="J993" s="563"/>
      <c r="K993" s="560" t="s">
        <v>9341</v>
      </c>
      <c r="L993" s="560" t="s">
        <v>1039</v>
      </c>
      <c r="M993" s="563"/>
      <c r="N993" s="562" t="s">
        <v>44</v>
      </c>
      <c r="O993" s="393" t="s">
        <v>51</v>
      </c>
      <c r="P993" s="393" t="s">
        <v>51</v>
      </c>
      <c r="Q993" s="392" t="s">
        <v>976</v>
      </c>
      <c r="R993" s="560" t="s">
        <v>9343</v>
      </c>
      <c r="S993" s="560" t="s">
        <v>166</v>
      </c>
      <c r="T993" s="564">
        <v>1</v>
      </c>
      <c r="U993" s="565">
        <v>107.45699999999999</v>
      </c>
      <c r="V993" s="565"/>
      <c r="W993" s="566"/>
      <c r="X993" s="564"/>
      <c r="Y993" s="564">
        <v>7</v>
      </c>
      <c r="Z993" s="564">
        <v>21</v>
      </c>
      <c r="AA993" s="565"/>
      <c r="AB993" s="567">
        <v>43040</v>
      </c>
      <c r="AC993" s="568"/>
      <c r="AD993" s="568">
        <v>340.32956712328763</v>
      </c>
      <c r="AE993" s="562" t="s">
        <v>54</v>
      </c>
      <c r="AF993" s="569"/>
      <c r="AG993" s="569"/>
      <c r="AH993" s="569"/>
      <c r="AI993" s="564"/>
      <c r="AJ993" s="566"/>
      <c r="AK993" s="566"/>
      <c r="AL993" s="561"/>
      <c r="AM993" s="561"/>
      <c r="AN993" s="569"/>
      <c r="AO993" s="563"/>
      <c r="AP993" s="563"/>
      <c r="AQ993" s="563"/>
      <c r="AR993" s="560" t="s">
        <v>1040</v>
      </c>
      <c r="AS993" s="576"/>
      <c r="AT993" s="566"/>
      <c r="AU993" s="566"/>
      <c r="AV993" s="566"/>
      <c r="AW993" s="566"/>
      <c r="AX993" s="566"/>
      <c r="AY993" s="566"/>
      <c r="AZ993" s="567">
        <v>43040</v>
      </c>
      <c r="BA993" s="561"/>
      <c r="BB993" s="561"/>
      <c r="BC993" s="561" t="b">
        <v>0</v>
      </c>
      <c r="BD993" s="561"/>
      <c r="BE993" s="563"/>
      <c r="BF993" s="394">
        <v>4</v>
      </c>
      <c r="BG993" s="394">
        <v>1</v>
      </c>
      <c r="BH993" s="394">
        <v>6</v>
      </c>
      <c r="BI993" s="394">
        <v>5</v>
      </c>
      <c r="BJ993" s="394">
        <v>9</v>
      </c>
      <c r="BK993" s="394"/>
      <c r="BL993" s="444" t="s">
        <v>6981</v>
      </c>
      <c r="BM993" s="563"/>
      <c r="BN993" s="561"/>
      <c r="BO993" s="561"/>
      <c r="BP993" s="571"/>
      <c r="BQ993" s="572"/>
      <c r="BR993" s="573"/>
      <c r="BS993" s="571"/>
      <c r="BT993" s="564"/>
      <c r="BU993" s="569"/>
      <c r="BV993" s="571"/>
      <c r="BW993" s="799" t="s">
        <v>3117</v>
      </c>
      <c r="BX993" s="560" t="s">
        <v>4364</v>
      </c>
      <c r="BY993" s="561"/>
      <c r="BZ993" s="561"/>
      <c r="CA993" s="574"/>
      <c r="CB993" s="572"/>
      <c r="CC993" s="568"/>
      <c r="CD993" s="568"/>
      <c r="CE993" s="568"/>
      <c r="CF993" s="568"/>
      <c r="CG993" s="568"/>
      <c r="CH993" s="568"/>
      <c r="CI993" s="568"/>
      <c r="CJ993" s="568"/>
      <c r="CK993" s="568"/>
      <c r="CL993" s="568"/>
      <c r="CM993" s="568">
        <v>107.45699999999999</v>
      </c>
      <c r="CN993" s="568">
        <v>107.45699999999999</v>
      </c>
      <c r="CO993" s="568">
        <v>107.45699999999999</v>
      </c>
      <c r="CP993" s="568">
        <v>107.45699999999999</v>
      </c>
      <c r="CQ993" s="568">
        <v>107.45699999999999</v>
      </c>
      <c r="CR993" s="568">
        <v>107.45699999999999</v>
      </c>
      <c r="CS993" s="568">
        <v>107.45699999999999</v>
      </c>
      <c r="CT993" s="568"/>
      <c r="CU993" s="568"/>
      <c r="CV993" s="568"/>
      <c r="CW993" s="568"/>
      <c r="CX993" s="568"/>
      <c r="CY993" s="568"/>
      <c r="CZ993" s="568"/>
      <c r="DA993" s="568"/>
      <c r="DB993" s="568"/>
      <c r="DC993" s="568"/>
      <c r="DD993" s="568"/>
      <c r="DE993" s="561"/>
      <c r="DF993" s="561"/>
      <c r="DG993" s="561"/>
      <c r="DH993" s="561"/>
      <c r="DI993" s="561"/>
      <c r="DJ993" s="561"/>
      <c r="DK993" s="897"/>
    </row>
    <row r="994" spans="1:115" ht="25.5" x14ac:dyDescent="0.2">
      <c r="A994" s="295">
        <v>990</v>
      </c>
      <c r="B994" s="390" t="s">
        <v>9437</v>
      </c>
      <c r="C994" s="390"/>
      <c r="D994" s="391" t="s">
        <v>9438</v>
      </c>
      <c r="E994" s="709" t="s">
        <v>9439</v>
      </c>
      <c r="F994" s="393" t="s">
        <v>1375</v>
      </c>
      <c r="G994" s="393" t="s">
        <v>998</v>
      </c>
      <c r="H994" s="393" t="s">
        <v>218</v>
      </c>
      <c r="I994" s="563"/>
      <c r="J994" s="563"/>
      <c r="K994" s="560" t="s">
        <v>218</v>
      </c>
      <c r="L994" s="560" t="s">
        <v>1039</v>
      </c>
      <c r="M994" s="563"/>
      <c r="N994" s="562" t="s">
        <v>44</v>
      </c>
      <c r="O994" s="393" t="s">
        <v>51</v>
      </c>
      <c r="P994" s="393" t="s">
        <v>51</v>
      </c>
      <c r="Q994" s="392" t="s">
        <v>976</v>
      </c>
      <c r="R994" s="560" t="s">
        <v>9343</v>
      </c>
      <c r="S994" s="560" t="s">
        <v>166</v>
      </c>
      <c r="T994" s="564">
        <v>1</v>
      </c>
      <c r="U994" s="565">
        <v>103.673</v>
      </c>
      <c r="V994" s="565"/>
      <c r="W994" s="566"/>
      <c r="X994" s="564"/>
      <c r="Y994" s="564">
        <v>7</v>
      </c>
      <c r="Z994" s="564">
        <v>21</v>
      </c>
      <c r="AA994" s="565"/>
      <c r="AB994" s="567">
        <v>43174</v>
      </c>
      <c r="AC994" s="568"/>
      <c r="AD994" s="568">
        <v>290.28440000000001</v>
      </c>
      <c r="AE994" s="562" t="s">
        <v>54</v>
      </c>
      <c r="AF994" s="569"/>
      <c r="AG994" s="569"/>
      <c r="AH994" s="569"/>
      <c r="AI994" s="564"/>
      <c r="AJ994" s="566"/>
      <c r="AK994" s="566"/>
      <c r="AL994" s="561"/>
      <c r="AM994" s="561"/>
      <c r="AN994" s="569"/>
      <c r="AO994" s="563"/>
      <c r="AP994" s="563"/>
      <c r="AQ994" s="563"/>
      <c r="AR994" s="560" t="s">
        <v>1040</v>
      </c>
      <c r="AS994" s="576"/>
      <c r="AT994" s="566"/>
      <c r="AU994" s="566"/>
      <c r="AV994" s="566"/>
      <c r="AW994" s="566"/>
      <c r="AX994" s="566"/>
      <c r="AY994" s="566"/>
      <c r="AZ994" s="567">
        <v>43136</v>
      </c>
      <c r="BA994" s="561"/>
      <c r="BB994" s="561"/>
      <c r="BC994" s="561" t="b">
        <v>0</v>
      </c>
      <c r="BD994" s="561"/>
      <c r="BE994" s="563"/>
      <c r="BF994" s="394">
        <v>4</v>
      </c>
      <c r="BG994" s="394">
        <v>1</v>
      </c>
      <c r="BH994" s="394">
        <v>6</v>
      </c>
      <c r="BI994" s="394">
        <v>5</v>
      </c>
      <c r="BJ994" s="394">
        <v>9</v>
      </c>
      <c r="BK994" s="394"/>
      <c r="BL994" s="444" t="s">
        <v>6981</v>
      </c>
      <c r="BM994" s="563"/>
      <c r="BN994" s="561"/>
      <c r="BO994" s="561"/>
      <c r="BP994" s="571"/>
      <c r="BQ994" s="572"/>
      <c r="BR994" s="573"/>
      <c r="BS994" s="571"/>
      <c r="BT994" s="564"/>
      <c r="BU994" s="569"/>
      <c r="BV994" s="571"/>
      <c r="BW994" s="799" t="s">
        <v>3117</v>
      </c>
      <c r="BX994" s="560" t="s">
        <v>4364</v>
      </c>
      <c r="BY994" s="561"/>
      <c r="BZ994" s="561"/>
      <c r="CA994" s="574"/>
      <c r="CB994" s="572"/>
      <c r="CC994" s="568"/>
      <c r="CD994" s="568"/>
      <c r="CE994" s="568"/>
      <c r="CF994" s="568"/>
      <c r="CG994" s="568"/>
      <c r="CH994" s="568"/>
      <c r="CI994" s="568"/>
      <c r="CJ994" s="568"/>
      <c r="CK994" s="568"/>
      <c r="CL994" s="568"/>
      <c r="CM994" s="568"/>
      <c r="CN994" s="568">
        <v>103.673</v>
      </c>
      <c r="CO994" s="568">
        <v>103.673</v>
      </c>
      <c r="CP994" s="568">
        <v>103.673</v>
      </c>
      <c r="CQ994" s="568">
        <v>103.673</v>
      </c>
      <c r="CR994" s="568">
        <v>103.673</v>
      </c>
      <c r="CS994" s="568">
        <v>103.673</v>
      </c>
      <c r="CT994" s="568">
        <v>103.673</v>
      </c>
      <c r="CU994" s="568"/>
      <c r="CV994" s="568"/>
      <c r="CW994" s="568"/>
      <c r="CX994" s="568"/>
      <c r="CY994" s="568"/>
      <c r="CZ994" s="568"/>
      <c r="DA994" s="568"/>
      <c r="DB994" s="568"/>
      <c r="DC994" s="568"/>
      <c r="DD994" s="568"/>
      <c r="DE994" s="561"/>
      <c r="DF994" s="561"/>
      <c r="DG994" s="561"/>
      <c r="DH994" s="561"/>
      <c r="DI994" s="561"/>
      <c r="DJ994" s="561"/>
      <c r="DK994" s="897"/>
    </row>
    <row r="995" spans="1:115" ht="51" x14ac:dyDescent="0.2">
      <c r="A995" s="295">
        <v>991</v>
      </c>
      <c r="B995" s="390" t="s">
        <v>1033</v>
      </c>
      <c r="C995" s="424" t="s">
        <v>7605</v>
      </c>
      <c r="D995" s="391" t="s">
        <v>5137</v>
      </c>
      <c r="E995" s="843" t="s">
        <v>1034</v>
      </c>
      <c r="F995" s="393" t="s">
        <v>1375</v>
      </c>
      <c r="G995" s="393" t="s">
        <v>998</v>
      </c>
      <c r="H995" s="393" t="s">
        <v>218</v>
      </c>
      <c r="I995" s="563"/>
      <c r="J995" s="563" t="s">
        <v>2194</v>
      </c>
      <c r="K995" s="563"/>
      <c r="L995" s="563" t="s">
        <v>992</v>
      </c>
      <c r="M995" s="563" t="s">
        <v>3340</v>
      </c>
      <c r="N995" s="561" t="s">
        <v>44</v>
      </c>
      <c r="O995" s="393" t="s">
        <v>51</v>
      </c>
      <c r="P995" s="393" t="s">
        <v>51</v>
      </c>
      <c r="Q995" s="392" t="s">
        <v>976</v>
      </c>
      <c r="R995" s="563" t="s">
        <v>3339</v>
      </c>
      <c r="S995" s="563" t="s">
        <v>977</v>
      </c>
      <c r="T995" s="564">
        <v>7</v>
      </c>
      <c r="U995" s="565">
        <v>236.15300000000002</v>
      </c>
      <c r="V995" s="565"/>
      <c r="W995" s="567">
        <v>40890</v>
      </c>
      <c r="X995" s="564">
        <v>28</v>
      </c>
      <c r="Y995" s="564"/>
      <c r="Z995" s="564"/>
      <c r="AA995" s="565"/>
      <c r="AB995" s="566"/>
      <c r="AC995" s="568">
        <v>0.56499999999999995</v>
      </c>
      <c r="AD995" s="568">
        <v>2361.5300000000002</v>
      </c>
      <c r="AE995" s="561" t="s">
        <v>660</v>
      </c>
      <c r="AF995" s="569">
        <f>SUM(AF996:AF999)</f>
        <v>0</v>
      </c>
      <c r="AG995" s="569">
        <f>SUM(AG996:AG999)</f>
        <v>215.66300000000001</v>
      </c>
      <c r="AH995" s="569">
        <v>215.66300000000001</v>
      </c>
      <c r="AI995" s="564">
        <v>1</v>
      </c>
      <c r="AJ995" s="567">
        <v>42293</v>
      </c>
      <c r="AK995" s="566">
        <v>43032</v>
      </c>
      <c r="AL995" s="561"/>
      <c r="AM995" s="561"/>
      <c r="AN995" s="569"/>
      <c r="AO995" s="560" t="s">
        <v>133</v>
      </c>
      <c r="AP995" s="560" t="s">
        <v>8084</v>
      </c>
      <c r="AQ995" s="560"/>
      <c r="AR995" s="563" t="s">
        <v>368</v>
      </c>
      <c r="AS995" s="578">
        <v>40890</v>
      </c>
      <c r="AT995" s="566"/>
      <c r="AU995" s="566"/>
      <c r="AV995" s="567">
        <v>41130</v>
      </c>
      <c r="AW995" s="567">
        <v>41249</v>
      </c>
      <c r="AX995" s="567">
        <v>41303</v>
      </c>
      <c r="AY995" s="567">
        <v>41249</v>
      </c>
      <c r="AZ995" s="566"/>
      <c r="BA995" s="561"/>
      <c r="BB995" s="561" t="s">
        <v>3116</v>
      </c>
      <c r="BC995" s="561" t="b">
        <v>0</v>
      </c>
      <c r="BD995" s="561" t="s">
        <v>3116</v>
      </c>
      <c r="BE995" s="563"/>
      <c r="BF995" s="394">
        <v>5</v>
      </c>
      <c r="BG995" s="394">
        <v>4</v>
      </c>
      <c r="BH995" s="394">
        <v>1</v>
      </c>
      <c r="BI995" s="394">
        <v>6</v>
      </c>
      <c r="BJ995" s="394">
        <v>8</v>
      </c>
      <c r="BK995" s="394">
        <v>10</v>
      </c>
      <c r="BL995" s="444"/>
      <c r="BM995" s="563"/>
      <c r="BN995" s="561"/>
      <c r="BO995" s="561"/>
      <c r="BP995" s="571"/>
      <c r="BQ995" s="572"/>
      <c r="BR995" s="573"/>
      <c r="BS995" s="571">
        <v>0</v>
      </c>
      <c r="BT995" s="564"/>
      <c r="BU995" s="569"/>
      <c r="BV995" s="571"/>
      <c r="BW995" s="561"/>
      <c r="BX995" s="563"/>
      <c r="BY995" s="561"/>
      <c r="BZ995" s="561"/>
      <c r="CA995" s="574"/>
      <c r="CB995" s="572"/>
      <c r="CC995" s="568"/>
      <c r="CD995" s="568"/>
      <c r="CE995" s="568"/>
      <c r="CF995" s="568"/>
      <c r="CG995" s="568"/>
      <c r="CH995" s="568"/>
      <c r="CI995" s="568"/>
      <c r="CJ995" s="568"/>
      <c r="CK995" s="568"/>
      <c r="CL995" s="568"/>
      <c r="CM995" s="568"/>
      <c r="CN995" s="568"/>
      <c r="CO995" s="568"/>
      <c r="CP995" s="568"/>
      <c r="CQ995" s="568"/>
      <c r="CR995" s="568"/>
      <c r="CS995" s="568"/>
      <c r="CT995" s="568"/>
      <c r="CU995" s="568"/>
      <c r="CV995" s="568"/>
      <c r="CW995" s="568"/>
      <c r="CX995" s="568"/>
      <c r="CY995" s="568"/>
      <c r="CZ995" s="568"/>
      <c r="DA995" s="568"/>
      <c r="DB995" s="568"/>
      <c r="DC995" s="568"/>
      <c r="DD995" s="568"/>
      <c r="DE995" s="561"/>
      <c r="DF995" s="561"/>
      <c r="DG995" s="561"/>
      <c r="DH995" s="561"/>
      <c r="DI995" s="561"/>
      <c r="DJ995" s="561"/>
      <c r="DK995" s="896" t="s">
        <v>9715</v>
      </c>
    </row>
    <row r="996" spans="1:115" ht="25.5" x14ac:dyDescent="0.2">
      <c r="A996" s="295">
        <v>992</v>
      </c>
      <c r="B996" s="390" t="s">
        <v>2777</v>
      </c>
      <c r="C996" s="390"/>
      <c r="D996" s="391" t="s">
        <v>4475</v>
      </c>
      <c r="E996" s="704" t="s">
        <v>1035</v>
      </c>
      <c r="F996" s="393" t="s">
        <v>1375</v>
      </c>
      <c r="G996" s="393" t="s">
        <v>998</v>
      </c>
      <c r="H996" s="393" t="s">
        <v>218</v>
      </c>
      <c r="I996" s="392"/>
      <c r="J996" s="392"/>
      <c r="K996" s="392" t="s">
        <v>159</v>
      </c>
      <c r="L996" s="392" t="s">
        <v>992</v>
      </c>
      <c r="M996" s="392"/>
      <c r="N996" s="393" t="s">
        <v>44</v>
      </c>
      <c r="O996" s="393" t="s">
        <v>51</v>
      </c>
      <c r="P996" s="393" t="s">
        <v>51</v>
      </c>
      <c r="Q996" s="392" t="s">
        <v>976</v>
      </c>
      <c r="R996" s="392" t="s">
        <v>3341</v>
      </c>
      <c r="S996" s="392" t="s">
        <v>977</v>
      </c>
      <c r="T996" s="394">
        <v>1</v>
      </c>
      <c r="U996" s="395">
        <v>13.555999999999999</v>
      </c>
      <c r="V996" s="395"/>
      <c r="W996" s="453"/>
      <c r="X996" s="394"/>
      <c r="Y996" s="394">
        <v>10</v>
      </c>
      <c r="Z996" s="394">
        <v>21</v>
      </c>
      <c r="AA996" s="395">
        <v>0</v>
      </c>
      <c r="AB996" s="452">
        <v>41258</v>
      </c>
      <c r="AC996" s="398">
        <v>0.56499999999999995</v>
      </c>
      <c r="AD996" s="398">
        <v>135.56</v>
      </c>
      <c r="AE996" s="393" t="s">
        <v>660</v>
      </c>
      <c r="AF996" s="417"/>
      <c r="AG996" s="417"/>
      <c r="AH996" s="417">
        <f>SUM(AH997:AH999)</f>
        <v>215.66300000000001</v>
      </c>
      <c r="AI996" s="394"/>
      <c r="AJ996" s="452">
        <v>42293</v>
      </c>
      <c r="AK996" s="452">
        <v>42735</v>
      </c>
      <c r="AL996" s="393"/>
      <c r="AM996" s="393"/>
      <c r="AN996" s="417"/>
      <c r="AO996" s="428" t="s">
        <v>133</v>
      </c>
      <c r="AP996" s="428" t="s">
        <v>8084</v>
      </c>
      <c r="AQ996" s="392"/>
      <c r="AR996" s="392" t="s">
        <v>368</v>
      </c>
      <c r="AS996" s="479">
        <v>40890</v>
      </c>
      <c r="AT996" s="453"/>
      <c r="AU996" s="453"/>
      <c r="AV996" s="452">
        <v>41130</v>
      </c>
      <c r="AW996" s="453"/>
      <c r="AX996" s="453"/>
      <c r="AY996" s="453"/>
      <c r="AZ996" s="452">
        <v>41249</v>
      </c>
      <c r="BA996" s="393"/>
      <c r="BB996" s="393"/>
      <c r="BC996" s="393" t="b">
        <v>0</v>
      </c>
      <c r="BD996" s="393"/>
      <c r="BE996" s="392"/>
      <c r="BF996" s="394">
        <v>5</v>
      </c>
      <c r="BG996" s="394">
        <v>4</v>
      </c>
      <c r="BH996" s="394">
        <v>1</v>
      </c>
      <c r="BI996" s="394">
        <v>6</v>
      </c>
      <c r="BJ996" s="394">
        <v>8</v>
      </c>
      <c r="BK996" s="394">
        <v>10</v>
      </c>
      <c r="BL996" s="444" t="s">
        <v>6982</v>
      </c>
      <c r="BM996" s="392" t="s">
        <v>3330</v>
      </c>
      <c r="BN996" s="393" t="s">
        <v>3303</v>
      </c>
      <c r="BO996" s="393"/>
      <c r="BP996" s="399"/>
      <c r="BQ996" s="400"/>
      <c r="BR996" s="401"/>
      <c r="BS996" s="399"/>
      <c r="BT996" s="394"/>
      <c r="BU996" s="417"/>
      <c r="BV996" s="399">
        <v>52.5</v>
      </c>
      <c r="BW996" s="393" t="s">
        <v>3117</v>
      </c>
      <c r="BX996" s="392" t="s">
        <v>4364</v>
      </c>
      <c r="BY996" s="393" t="s">
        <v>7224</v>
      </c>
      <c r="BZ996" s="393"/>
      <c r="CA996" s="441" t="s">
        <v>1664</v>
      </c>
      <c r="CB996" s="400"/>
      <c r="CC996" s="398"/>
      <c r="CD996" s="398"/>
      <c r="CE996" s="398"/>
      <c r="CF996" s="398"/>
      <c r="CG996" s="398"/>
      <c r="CH996" s="398">
        <v>6.6</v>
      </c>
      <c r="CI996" s="398">
        <v>13.2</v>
      </c>
      <c r="CJ996" s="398">
        <v>13.555999999999999</v>
      </c>
      <c r="CK996" s="398">
        <v>13.555999999999999</v>
      </c>
      <c r="CL996" s="398">
        <v>13.555999999999999</v>
      </c>
      <c r="CM996" s="398">
        <v>13.555999999999999</v>
      </c>
      <c r="CN996" s="398">
        <v>13.555999999999999</v>
      </c>
      <c r="CO996" s="398">
        <v>13.555999999999999</v>
      </c>
      <c r="CP996" s="398">
        <v>13.555999999999999</v>
      </c>
      <c r="CQ996" s="398">
        <v>13.555999999999999</v>
      </c>
      <c r="CR996" s="398">
        <v>12.991</v>
      </c>
      <c r="CS996" s="398"/>
      <c r="CT996" s="398"/>
      <c r="CU996" s="398"/>
      <c r="CV996" s="398"/>
      <c r="CW996" s="398"/>
      <c r="CX996" s="398"/>
      <c r="CY996" s="398"/>
      <c r="CZ996" s="398"/>
      <c r="DA996" s="398"/>
      <c r="DB996" s="398"/>
      <c r="DC996" s="398"/>
      <c r="DD996" s="398"/>
      <c r="DE996" s="393"/>
      <c r="DF996" s="393"/>
      <c r="DG996" s="393"/>
      <c r="DH996" s="393"/>
      <c r="DI996" s="393"/>
      <c r="DJ996" s="393"/>
      <c r="DK996" s="897"/>
    </row>
    <row r="997" spans="1:115" ht="25.5" x14ac:dyDescent="0.2">
      <c r="A997" s="295">
        <v>993</v>
      </c>
      <c r="B997" s="390" t="s">
        <v>5621</v>
      </c>
      <c r="C997" s="390"/>
      <c r="D997" s="391" t="s">
        <v>5622</v>
      </c>
      <c r="E997" s="704" t="s">
        <v>5623</v>
      </c>
      <c r="F997" s="393" t="s">
        <v>1375</v>
      </c>
      <c r="G997" s="393" t="s">
        <v>998</v>
      </c>
      <c r="H997" s="393" t="s">
        <v>218</v>
      </c>
      <c r="I997" s="392"/>
      <c r="J997" s="392"/>
      <c r="K997" s="392" t="s">
        <v>159</v>
      </c>
      <c r="L997" s="392" t="s">
        <v>992</v>
      </c>
      <c r="M997" s="392"/>
      <c r="N997" s="393" t="s">
        <v>44</v>
      </c>
      <c r="O997" s="393" t="s">
        <v>51</v>
      </c>
      <c r="P997" s="393" t="s">
        <v>51</v>
      </c>
      <c r="Q997" s="392" t="s">
        <v>976</v>
      </c>
      <c r="R997" s="392" t="s">
        <v>5624</v>
      </c>
      <c r="S997" s="392" t="s">
        <v>977</v>
      </c>
      <c r="T997" s="394">
        <v>1</v>
      </c>
      <c r="U997" s="395">
        <v>43.063000000000002</v>
      </c>
      <c r="V997" s="395"/>
      <c r="W997" s="453"/>
      <c r="X997" s="394"/>
      <c r="Y997" s="394">
        <v>10</v>
      </c>
      <c r="Z997" s="394">
        <v>10</v>
      </c>
      <c r="AA997" s="395">
        <v>0</v>
      </c>
      <c r="AB997" s="452">
        <v>41640</v>
      </c>
      <c r="AC997" s="398">
        <v>0</v>
      </c>
      <c r="AD997" s="398">
        <v>430.63</v>
      </c>
      <c r="AE997" s="393" t="s">
        <v>660</v>
      </c>
      <c r="AF997" s="417"/>
      <c r="AG997" s="417">
        <f>32.272+46.003+42.368</f>
        <v>120.643</v>
      </c>
      <c r="AH997" s="417">
        <v>120.643</v>
      </c>
      <c r="AI997" s="394">
        <v>1</v>
      </c>
      <c r="AJ997" s="452">
        <v>42293</v>
      </c>
      <c r="AK997" s="452">
        <v>42735</v>
      </c>
      <c r="AL997" s="393"/>
      <c r="AM997" s="393"/>
      <c r="AN997" s="417"/>
      <c r="AO997" s="428" t="s">
        <v>133</v>
      </c>
      <c r="AP997" s="392"/>
      <c r="AQ997" s="392"/>
      <c r="AR997" s="392" t="s">
        <v>368</v>
      </c>
      <c r="AS997" s="479">
        <v>40890</v>
      </c>
      <c r="AT997" s="453"/>
      <c r="AU997" s="453"/>
      <c r="AV997" s="453"/>
      <c r="AW997" s="453"/>
      <c r="AX997" s="453"/>
      <c r="AY997" s="453"/>
      <c r="AZ997" s="452">
        <v>41576</v>
      </c>
      <c r="BA997" s="393"/>
      <c r="BB997" s="393"/>
      <c r="BC997" s="393" t="b">
        <v>0</v>
      </c>
      <c r="BD997" s="393"/>
      <c r="BE997" s="392"/>
      <c r="BF997" s="394">
        <v>5</v>
      </c>
      <c r="BG997" s="394">
        <v>4</v>
      </c>
      <c r="BH997" s="394">
        <v>1</v>
      </c>
      <c r="BI997" s="394">
        <v>6</v>
      </c>
      <c r="BJ997" s="394">
        <v>8</v>
      </c>
      <c r="BK997" s="394">
        <v>10</v>
      </c>
      <c r="BL997" s="444" t="s">
        <v>6982</v>
      </c>
      <c r="BM997" s="392" t="s">
        <v>3330</v>
      </c>
      <c r="BN997" s="393" t="s">
        <v>3303</v>
      </c>
      <c r="BO997" s="393"/>
      <c r="BP997" s="399"/>
      <c r="BQ997" s="400"/>
      <c r="BR997" s="401"/>
      <c r="BS997" s="399"/>
      <c r="BT997" s="394"/>
      <c r="BU997" s="417"/>
      <c r="BV997" s="399"/>
      <c r="BW997" s="393" t="s">
        <v>3117</v>
      </c>
      <c r="BX997" s="392" t="s">
        <v>4364</v>
      </c>
      <c r="BY997" s="393" t="s">
        <v>7224</v>
      </c>
      <c r="BZ997" s="393"/>
      <c r="CA997" s="441"/>
      <c r="CB997" s="400"/>
      <c r="CC997" s="398"/>
      <c r="CD997" s="398"/>
      <c r="CE997" s="398"/>
      <c r="CF997" s="398"/>
      <c r="CG997" s="398"/>
      <c r="CH997" s="398"/>
      <c r="CI997" s="398"/>
      <c r="CJ997" s="398">
        <v>28.515000000000001</v>
      </c>
      <c r="CK997" s="398">
        <v>43.063000000000002</v>
      </c>
      <c r="CL997" s="398">
        <v>43.063000000000002</v>
      </c>
      <c r="CM997" s="398">
        <v>43.063000000000002</v>
      </c>
      <c r="CN997" s="398">
        <v>43.063000000000002</v>
      </c>
      <c r="CO997" s="398">
        <v>43.063000000000002</v>
      </c>
      <c r="CP997" s="398">
        <v>43.063000000000002</v>
      </c>
      <c r="CQ997" s="398">
        <v>43.063000000000002</v>
      </c>
      <c r="CR997" s="398">
        <v>43.063000000000002</v>
      </c>
      <c r="CS997" s="398">
        <v>29.097000000000001</v>
      </c>
      <c r="CT997" s="398"/>
      <c r="CU997" s="398"/>
      <c r="CV997" s="398"/>
      <c r="CW997" s="398"/>
      <c r="CX997" s="398"/>
      <c r="CY997" s="398"/>
      <c r="CZ997" s="398"/>
      <c r="DA997" s="398"/>
      <c r="DB997" s="398"/>
      <c r="DC997" s="398"/>
      <c r="DD997" s="398"/>
      <c r="DE997" s="393"/>
      <c r="DF997" s="393"/>
      <c r="DG997" s="393"/>
      <c r="DH997" s="393"/>
      <c r="DI997" s="393"/>
      <c r="DJ997" s="393"/>
      <c r="DK997" s="897"/>
    </row>
    <row r="998" spans="1:115" ht="25.5" x14ac:dyDescent="0.2">
      <c r="A998" s="295">
        <v>994</v>
      </c>
      <c r="B998" s="390" t="s">
        <v>5715</v>
      </c>
      <c r="C998" s="390"/>
      <c r="D998" s="391" t="s">
        <v>5716</v>
      </c>
      <c r="E998" s="704" t="s">
        <v>5717</v>
      </c>
      <c r="F998" s="393" t="s">
        <v>1375</v>
      </c>
      <c r="G998" s="393" t="s">
        <v>998</v>
      </c>
      <c r="H998" s="393" t="s">
        <v>218</v>
      </c>
      <c r="I998" s="392"/>
      <c r="J998" s="392"/>
      <c r="K998" s="392" t="s">
        <v>159</v>
      </c>
      <c r="L998" s="392" t="s">
        <v>992</v>
      </c>
      <c r="M998" s="392"/>
      <c r="N998" s="393" t="s">
        <v>44</v>
      </c>
      <c r="O998" s="393" t="s">
        <v>51</v>
      </c>
      <c r="P998" s="393" t="s">
        <v>51</v>
      </c>
      <c r="Q998" s="392" t="s">
        <v>976</v>
      </c>
      <c r="R998" s="392" t="s">
        <v>5718</v>
      </c>
      <c r="S998" s="392" t="s">
        <v>977</v>
      </c>
      <c r="T998" s="394">
        <v>1</v>
      </c>
      <c r="U998" s="395">
        <v>42.811</v>
      </c>
      <c r="V998" s="395"/>
      <c r="W998" s="453"/>
      <c r="X998" s="394"/>
      <c r="Y998" s="394">
        <v>10</v>
      </c>
      <c r="Z998" s="394">
        <v>21</v>
      </c>
      <c r="AA998" s="395">
        <v>0</v>
      </c>
      <c r="AB998" s="452">
        <v>41640</v>
      </c>
      <c r="AC998" s="398">
        <v>0</v>
      </c>
      <c r="AD998" s="398">
        <v>428.11</v>
      </c>
      <c r="AE998" s="393" t="s">
        <v>660</v>
      </c>
      <c r="AF998" s="417"/>
      <c r="AG998" s="417">
        <f>34.501</f>
        <v>34.500999999999998</v>
      </c>
      <c r="AH998" s="417">
        <v>34.500999999999998</v>
      </c>
      <c r="AI998" s="394"/>
      <c r="AJ998" s="453">
        <v>43014</v>
      </c>
      <c r="AK998" s="452">
        <v>42735</v>
      </c>
      <c r="AL998" s="393"/>
      <c r="AM998" s="393"/>
      <c r="AN998" s="417"/>
      <c r="AO998" s="392"/>
      <c r="AP998" s="392"/>
      <c r="AQ998" s="392"/>
      <c r="AR998" s="392" t="s">
        <v>368</v>
      </c>
      <c r="AS998" s="479">
        <v>40890</v>
      </c>
      <c r="AT998" s="453"/>
      <c r="AU998" s="453"/>
      <c r="AV998" s="453"/>
      <c r="AW998" s="453"/>
      <c r="AX998" s="453"/>
      <c r="AY998" s="453"/>
      <c r="AZ998" s="452">
        <v>41584</v>
      </c>
      <c r="BA998" s="393"/>
      <c r="BB998" s="393"/>
      <c r="BC998" s="393" t="b">
        <v>0</v>
      </c>
      <c r="BD998" s="393"/>
      <c r="BE998" s="392"/>
      <c r="BF998" s="394">
        <v>5</v>
      </c>
      <c r="BG998" s="394">
        <v>4</v>
      </c>
      <c r="BH998" s="394">
        <v>1</v>
      </c>
      <c r="BI998" s="394">
        <v>6</v>
      </c>
      <c r="BJ998" s="394">
        <v>8</v>
      </c>
      <c r="BK998" s="394">
        <v>10</v>
      </c>
      <c r="BL998" s="444" t="s">
        <v>6982</v>
      </c>
      <c r="BM998" s="392" t="s">
        <v>3330</v>
      </c>
      <c r="BN998" s="393" t="s">
        <v>3303</v>
      </c>
      <c r="BO998" s="393"/>
      <c r="BP998" s="399"/>
      <c r="BQ998" s="400"/>
      <c r="BR998" s="401"/>
      <c r="BS998" s="399"/>
      <c r="BT998" s="394"/>
      <c r="BU998" s="417"/>
      <c r="BV998" s="399"/>
      <c r="BW998" s="393" t="s">
        <v>3117</v>
      </c>
      <c r="BX998" s="392" t="s">
        <v>4364</v>
      </c>
      <c r="BY998" s="393" t="s">
        <v>7224</v>
      </c>
      <c r="BZ998" s="393"/>
      <c r="CA998" s="441"/>
      <c r="CB998" s="400"/>
      <c r="CC998" s="398"/>
      <c r="CD998" s="398"/>
      <c r="CE998" s="398"/>
      <c r="CF998" s="398"/>
      <c r="CG998" s="398"/>
      <c r="CH998" s="398"/>
      <c r="CI998" s="398"/>
      <c r="CJ998" s="398">
        <v>42.811</v>
      </c>
      <c r="CK998" s="398">
        <v>42.811</v>
      </c>
      <c r="CL998" s="398">
        <v>42.811</v>
      </c>
      <c r="CM998" s="398">
        <v>42.811</v>
      </c>
      <c r="CN998" s="398">
        <v>42.811</v>
      </c>
      <c r="CO998" s="398">
        <v>42.811</v>
      </c>
      <c r="CP998" s="398">
        <v>42.811</v>
      </c>
      <c r="CQ998" s="398">
        <v>42.811</v>
      </c>
      <c r="CR998" s="398">
        <v>42.811</v>
      </c>
      <c r="CS998" s="398"/>
      <c r="CT998" s="398"/>
      <c r="CU998" s="398"/>
      <c r="CV998" s="398"/>
      <c r="CW998" s="398"/>
      <c r="CX998" s="398"/>
      <c r="CY998" s="398"/>
      <c r="CZ998" s="398"/>
      <c r="DA998" s="398"/>
      <c r="DB998" s="398"/>
      <c r="DC998" s="398"/>
      <c r="DD998" s="398"/>
      <c r="DE998" s="393"/>
      <c r="DF998" s="393"/>
      <c r="DG998" s="393"/>
      <c r="DH998" s="393"/>
      <c r="DI998" s="393"/>
      <c r="DJ998" s="393"/>
      <c r="DK998" s="897"/>
    </row>
    <row r="999" spans="1:115" ht="25.5" x14ac:dyDescent="0.2">
      <c r="A999" s="295">
        <v>995</v>
      </c>
      <c r="B999" s="390" t="s">
        <v>6030</v>
      </c>
      <c r="C999" s="390"/>
      <c r="D999" s="391" t="s">
        <v>6031</v>
      </c>
      <c r="E999" s="704" t="s">
        <v>6032</v>
      </c>
      <c r="F999" s="393" t="s">
        <v>1375</v>
      </c>
      <c r="G999" s="393" t="s">
        <v>998</v>
      </c>
      <c r="H999" s="393" t="s">
        <v>218</v>
      </c>
      <c r="I999" s="392"/>
      <c r="J999" s="392"/>
      <c r="K999" s="392" t="s">
        <v>159</v>
      </c>
      <c r="L999" s="392" t="s">
        <v>992</v>
      </c>
      <c r="M999" s="392"/>
      <c r="N999" s="393" t="s">
        <v>44</v>
      </c>
      <c r="O999" s="393" t="s">
        <v>51</v>
      </c>
      <c r="P999" s="393" t="s">
        <v>51</v>
      </c>
      <c r="Q999" s="392" t="s">
        <v>976</v>
      </c>
      <c r="R999" s="392" t="s">
        <v>6033</v>
      </c>
      <c r="S999" s="392" t="s">
        <v>977</v>
      </c>
      <c r="T999" s="394">
        <v>1</v>
      </c>
      <c r="U999" s="395">
        <v>43.384</v>
      </c>
      <c r="V999" s="395"/>
      <c r="W999" s="453"/>
      <c r="X999" s="394"/>
      <c r="Y999" s="394">
        <v>10</v>
      </c>
      <c r="Z999" s="394">
        <v>10</v>
      </c>
      <c r="AA999" s="395">
        <v>0</v>
      </c>
      <c r="AB999" s="452">
        <v>41730</v>
      </c>
      <c r="AC999" s="398">
        <v>0</v>
      </c>
      <c r="AD999" s="398">
        <v>433.84000000000003</v>
      </c>
      <c r="AE999" s="393" t="s">
        <v>660</v>
      </c>
      <c r="AF999" s="417"/>
      <c r="AG999" s="417">
        <f>18.282+42.237</f>
        <v>60.519000000000005</v>
      </c>
      <c r="AH999" s="417">
        <v>60.519000000000005</v>
      </c>
      <c r="AI999" s="394"/>
      <c r="AJ999" s="452">
        <v>42293</v>
      </c>
      <c r="AK999" s="452">
        <v>42735</v>
      </c>
      <c r="AL999" s="393"/>
      <c r="AM999" s="393"/>
      <c r="AN999" s="417"/>
      <c r="AO999" s="428" t="s">
        <v>133</v>
      </c>
      <c r="AP999" s="428" t="s">
        <v>8084</v>
      </c>
      <c r="AQ999" s="392"/>
      <c r="AR999" s="392" t="s">
        <v>368</v>
      </c>
      <c r="AS999" s="479">
        <v>40890</v>
      </c>
      <c r="AT999" s="453"/>
      <c r="AU999" s="453"/>
      <c r="AV999" s="453"/>
      <c r="AW999" s="453"/>
      <c r="AX999" s="453"/>
      <c r="AY999" s="453"/>
      <c r="AZ999" s="452">
        <v>41722</v>
      </c>
      <c r="BA999" s="393"/>
      <c r="BB999" s="393"/>
      <c r="BC999" s="393" t="b">
        <v>0</v>
      </c>
      <c r="BD999" s="393"/>
      <c r="BE999" s="392"/>
      <c r="BF999" s="394">
        <v>5</v>
      </c>
      <c r="BG999" s="394">
        <v>4</v>
      </c>
      <c r="BH999" s="394">
        <v>1</v>
      </c>
      <c r="BI999" s="394">
        <v>6</v>
      </c>
      <c r="BJ999" s="394">
        <v>8</v>
      </c>
      <c r="BK999" s="394">
        <v>10</v>
      </c>
      <c r="BL999" s="444" t="s">
        <v>6982</v>
      </c>
      <c r="BM999" s="392" t="s">
        <v>3330</v>
      </c>
      <c r="BN999" s="393" t="s">
        <v>3303</v>
      </c>
      <c r="BO999" s="393"/>
      <c r="BP999" s="399"/>
      <c r="BQ999" s="400"/>
      <c r="BR999" s="401"/>
      <c r="BS999" s="399"/>
      <c r="BT999" s="394"/>
      <c r="BU999" s="417"/>
      <c r="BV999" s="399"/>
      <c r="BW999" s="393" t="s">
        <v>3117</v>
      </c>
      <c r="BX999" s="392" t="s">
        <v>4364</v>
      </c>
      <c r="BY999" s="393" t="s">
        <v>7224</v>
      </c>
      <c r="BZ999" s="393"/>
      <c r="CA999" s="441"/>
      <c r="CB999" s="400"/>
      <c r="CC999" s="398"/>
      <c r="CD999" s="398"/>
      <c r="CE999" s="398"/>
      <c r="CF999" s="398"/>
      <c r="CG999" s="398"/>
      <c r="CH999" s="398"/>
      <c r="CI999" s="398"/>
      <c r="CJ999" s="398">
        <v>32.537999999999997</v>
      </c>
      <c r="CK999" s="398">
        <v>43.384</v>
      </c>
      <c r="CL999" s="398">
        <v>43.384</v>
      </c>
      <c r="CM999" s="398">
        <v>43.384</v>
      </c>
      <c r="CN999" s="398">
        <v>43.384</v>
      </c>
      <c r="CO999" s="398">
        <v>43.384</v>
      </c>
      <c r="CP999" s="398">
        <v>43.384</v>
      </c>
      <c r="CQ999" s="398">
        <v>43.384</v>
      </c>
      <c r="CR999" s="398">
        <v>43.384</v>
      </c>
      <c r="CS999" s="398">
        <v>43.384</v>
      </c>
      <c r="CT999" s="398"/>
      <c r="CU999" s="398"/>
      <c r="CV999" s="398"/>
      <c r="CW999" s="398"/>
      <c r="CX999" s="398"/>
      <c r="CY999" s="398"/>
      <c r="CZ999" s="398"/>
      <c r="DA999" s="398"/>
      <c r="DB999" s="398"/>
      <c r="DC999" s="398"/>
      <c r="DD999" s="398"/>
      <c r="DE999" s="393"/>
      <c r="DF999" s="393"/>
      <c r="DG999" s="393"/>
      <c r="DH999" s="393"/>
      <c r="DI999" s="393"/>
      <c r="DJ999" s="393"/>
      <c r="DK999" s="897"/>
    </row>
    <row r="1000" spans="1:115" ht="25.5" x14ac:dyDescent="0.2">
      <c r="A1000" s="295">
        <v>996</v>
      </c>
      <c r="B1000" s="390" t="s">
        <v>9326</v>
      </c>
      <c r="C1000" s="390"/>
      <c r="D1000" s="391" t="s">
        <v>9327</v>
      </c>
      <c r="E1000" s="705" t="s">
        <v>9332</v>
      </c>
      <c r="F1000" s="393" t="s">
        <v>1375</v>
      </c>
      <c r="G1000" s="393" t="s">
        <v>998</v>
      </c>
      <c r="H1000" s="393" t="s">
        <v>218</v>
      </c>
      <c r="I1000" s="392"/>
      <c r="J1000" s="392"/>
      <c r="K1000" s="392" t="s">
        <v>159</v>
      </c>
      <c r="L1000" s="392" t="s">
        <v>992</v>
      </c>
      <c r="M1000" s="392"/>
      <c r="N1000" s="393" t="s">
        <v>44</v>
      </c>
      <c r="O1000" s="393" t="s">
        <v>51</v>
      </c>
      <c r="P1000" s="393" t="s">
        <v>51</v>
      </c>
      <c r="Q1000" s="392" t="s">
        <v>976</v>
      </c>
      <c r="R1000" s="392" t="s">
        <v>6033</v>
      </c>
      <c r="S1000" s="392" t="s">
        <v>977</v>
      </c>
      <c r="T1000" s="394">
        <v>1</v>
      </c>
      <c r="U1000" s="395">
        <v>31.113</v>
      </c>
      <c r="V1000" s="395"/>
      <c r="W1000" s="453"/>
      <c r="X1000" s="394"/>
      <c r="Y1000" s="394">
        <v>10</v>
      </c>
      <c r="Z1000" s="394">
        <v>10</v>
      </c>
      <c r="AA1000" s="395">
        <v>0</v>
      </c>
      <c r="AB1000" s="452">
        <v>43045</v>
      </c>
      <c r="AC1000" s="398">
        <v>0</v>
      </c>
      <c r="AD1000" s="398">
        <v>311.13</v>
      </c>
      <c r="AE1000" s="393" t="s">
        <v>660</v>
      </c>
      <c r="AF1000" s="417"/>
      <c r="AG1000" s="417"/>
      <c r="AH1000" s="417"/>
      <c r="AI1000" s="394"/>
      <c r="AJ1000" s="452"/>
      <c r="AK1000" s="452"/>
      <c r="AL1000" s="393"/>
      <c r="AM1000" s="393"/>
      <c r="AN1000" s="417"/>
      <c r="AO1000" s="428" t="s">
        <v>133</v>
      </c>
      <c r="AP1000" s="428" t="s">
        <v>8084</v>
      </c>
      <c r="AQ1000" s="392"/>
      <c r="AR1000" s="392" t="s">
        <v>368</v>
      </c>
      <c r="AS1000" s="479">
        <v>40890</v>
      </c>
      <c r="AT1000" s="453"/>
      <c r="AU1000" s="453"/>
      <c r="AV1000" s="453"/>
      <c r="AW1000" s="453"/>
      <c r="AX1000" s="453"/>
      <c r="AY1000" s="453"/>
      <c r="AZ1000" s="452">
        <v>43045</v>
      </c>
      <c r="BA1000" s="393"/>
      <c r="BB1000" s="393"/>
      <c r="BC1000" s="393" t="b">
        <v>0</v>
      </c>
      <c r="BD1000" s="393"/>
      <c r="BE1000" s="392"/>
      <c r="BF1000" s="394">
        <v>5</v>
      </c>
      <c r="BG1000" s="394">
        <v>4</v>
      </c>
      <c r="BH1000" s="394">
        <v>1</v>
      </c>
      <c r="BI1000" s="394">
        <v>6</v>
      </c>
      <c r="BJ1000" s="394">
        <v>8</v>
      </c>
      <c r="BK1000" s="394">
        <v>10</v>
      </c>
      <c r="BL1000" s="444" t="s">
        <v>6982</v>
      </c>
      <c r="BM1000" s="392" t="s">
        <v>3330</v>
      </c>
      <c r="BN1000" s="393" t="s">
        <v>3303</v>
      </c>
      <c r="BO1000" s="393"/>
      <c r="BP1000" s="399"/>
      <c r="BQ1000" s="400"/>
      <c r="BR1000" s="401"/>
      <c r="BS1000" s="399"/>
      <c r="BT1000" s="394"/>
      <c r="BU1000" s="417"/>
      <c r="BV1000" s="399"/>
      <c r="BW1000" s="393" t="s">
        <v>3117</v>
      </c>
      <c r="BX1000" s="392" t="s">
        <v>4364</v>
      </c>
      <c r="BY1000" s="393" t="s">
        <v>7224</v>
      </c>
      <c r="BZ1000" s="393"/>
      <c r="CA1000" s="441"/>
      <c r="CB1000" s="400"/>
      <c r="CC1000" s="398"/>
      <c r="CD1000" s="398"/>
      <c r="CE1000" s="398"/>
      <c r="CF1000" s="398"/>
      <c r="CG1000" s="398"/>
      <c r="CH1000" s="398"/>
      <c r="CI1000" s="398"/>
      <c r="CJ1000" s="398"/>
      <c r="CK1000" s="398"/>
      <c r="CL1000" s="398"/>
      <c r="CM1000" s="398">
        <v>6.9059999999999997</v>
      </c>
      <c r="CN1000" s="398">
        <v>43.46</v>
      </c>
      <c r="CO1000" s="398">
        <v>43.46</v>
      </c>
      <c r="CP1000" s="398">
        <v>43.46</v>
      </c>
      <c r="CQ1000" s="398">
        <v>43.46</v>
      </c>
      <c r="CR1000" s="398">
        <v>43.46</v>
      </c>
      <c r="CS1000" s="398">
        <v>43.46</v>
      </c>
      <c r="CT1000" s="398">
        <v>43.46</v>
      </c>
      <c r="CU1000" s="398"/>
      <c r="CV1000" s="398"/>
      <c r="CW1000" s="398"/>
      <c r="CX1000" s="398"/>
      <c r="CY1000" s="398"/>
      <c r="CZ1000" s="398"/>
      <c r="DA1000" s="398"/>
      <c r="DB1000" s="398"/>
      <c r="DC1000" s="398"/>
      <c r="DD1000" s="398"/>
      <c r="DE1000" s="393"/>
      <c r="DF1000" s="393"/>
      <c r="DG1000" s="393"/>
      <c r="DH1000" s="393"/>
      <c r="DI1000" s="393"/>
      <c r="DJ1000" s="393"/>
      <c r="DK1000" s="897"/>
    </row>
    <row r="1001" spans="1:115" ht="25.5" x14ac:dyDescent="0.2">
      <c r="A1001" s="295">
        <v>997</v>
      </c>
      <c r="B1001" s="390" t="s">
        <v>9328</v>
      </c>
      <c r="C1001" s="390"/>
      <c r="D1001" s="391" t="s">
        <v>9329</v>
      </c>
      <c r="E1001" s="709" t="s">
        <v>9333</v>
      </c>
      <c r="F1001" s="393" t="s">
        <v>1375</v>
      </c>
      <c r="G1001" s="393" t="s">
        <v>998</v>
      </c>
      <c r="H1001" s="393" t="s">
        <v>218</v>
      </c>
      <c r="I1001" s="563"/>
      <c r="J1001" s="563"/>
      <c r="K1001" s="428" t="s">
        <v>159</v>
      </c>
      <c r="L1001" s="392" t="s">
        <v>992</v>
      </c>
      <c r="M1001" s="563"/>
      <c r="N1001" s="393" t="s">
        <v>44</v>
      </c>
      <c r="O1001" s="393" t="s">
        <v>51</v>
      </c>
      <c r="P1001" s="393" t="s">
        <v>51</v>
      </c>
      <c r="Q1001" s="392" t="s">
        <v>976</v>
      </c>
      <c r="R1001" s="428" t="s">
        <v>6033</v>
      </c>
      <c r="S1001" s="392" t="s">
        <v>977</v>
      </c>
      <c r="T1001" s="394">
        <v>1</v>
      </c>
      <c r="U1001" s="565">
        <v>31.113</v>
      </c>
      <c r="V1001" s="565"/>
      <c r="W1001" s="566"/>
      <c r="X1001" s="564"/>
      <c r="Y1001" s="564">
        <v>10</v>
      </c>
      <c r="Z1001" s="564">
        <v>10</v>
      </c>
      <c r="AA1001" s="395">
        <v>0</v>
      </c>
      <c r="AB1001" s="567">
        <v>43045</v>
      </c>
      <c r="AC1001" s="398">
        <v>0</v>
      </c>
      <c r="AD1001" s="568">
        <v>311.13</v>
      </c>
      <c r="AE1001" s="393" t="s">
        <v>660</v>
      </c>
      <c r="AF1001" s="569"/>
      <c r="AG1001" s="569"/>
      <c r="AH1001" s="569"/>
      <c r="AI1001" s="564"/>
      <c r="AJ1001" s="567"/>
      <c r="AK1001" s="567"/>
      <c r="AL1001" s="561"/>
      <c r="AM1001" s="561"/>
      <c r="AN1001" s="569"/>
      <c r="AO1001" s="428" t="s">
        <v>133</v>
      </c>
      <c r="AP1001" s="428" t="s">
        <v>8084</v>
      </c>
      <c r="AQ1001" s="563"/>
      <c r="AR1001" s="392" t="s">
        <v>368</v>
      </c>
      <c r="AS1001" s="479">
        <v>40890</v>
      </c>
      <c r="AT1001" s="566"/>
      <c r="AU1001" s="566"/>
      <c r="AV1001" s="566"/>
      <c r="AW1001" s="566"/>
      <c r="AX1001" s="566"/>
      <c r="AY1001" s="566"/>
      <c r="AZ1001" s="567">
        <v>43045</v>
      </c>
      <c r="BA1001" s="561"/>
      <c r="BB1001" s="561"/>
      <c r="BC1001" s="393" t="b">
        <v>0</v>
      </c>
      <c r="BD1001" s="561"/>
      <c r="BE1001" s="563"/>
      <c r="BF1001" s="394">
        <v>5</v>
      </c>
      <c r="BG1001" s="394">
        <v>4</v>
      </c>
      <c r="BH1001" s="394">
        <v>1</v>
      </c>
      <c r="BI1001" s="394">
        <v>6</v>
      </c>
      <c r="BJ1001" s="394">
        <v>8</v>
      </c>
      <c r="BK1001" s="394">
        <v>10</v>
      </c>
      <c r="BL1001" s="444" t="s">
        <v>6982</v>
      </c>
      <c r="BM1001" s="392" t="s">
        <v>3330</v>
      </c>
      <c r="BN1001" s="393" t="s">
        <v>3303</v>
      </c>
      <c r="BO1001" s="561"/>
      <c r="BP1001" s="571"/>
      <c r="BQ1001" s="572"/>
      <c r="BR1001" s="573"/>
      <c r="BS1001" s="571"/>
      <c r="BT1001" s="564"/>
      <c r="BU1001" s="569"/>
      <c r="BV1001" s="571"/>
      <c r="BW1001" s="393" t="s">
        <v>3117</v>
      </c>
      <c r="BX1001" s="392" t="s">
        <v>4364</v>
      </c>
      <c r="BY1001" s="393" t="s">
        <v>7224</v>
      </c>
      <c r="BZ1001" s="561"/>
      <c r="CA1001" s="574"/>
      <c r="CB1001" s="572"/>
      <c r="CC1001" s="568"/>
      <c r="CD1001" s="568"/>
      <c r="CE1001" s="568"/>
      <c r="CF1001" s="568"/>
      <c r="CG1001" s="568"/>
      <c r="CH1001" s="568"/>
      <c r="CI1001" s="568"/>
      <c r="CJ1001" s="568"/>
      <c r="CK1001" s="568"/>
      <c r="CL1001" s="568"/>
      <c r="CM1001" s="568">
        <v>6.9059999999999997</v>
      </c>
      <c r="CN1001" s="568">
        <v>43.46</v>
      </c>
      <c r="CO1001" s="568">
        <v>43.46</v>
      </c>
      <c r="CP1001" s="568">
        <v>43.46</v>
      </c>
      <c r="CQ1001" s="568">
        <v>43.46</v>
      </c>
      <c r="CR1001" s="568">
        <v>43.46</v>
      </c>
      <c r="CS1001" s="568">
        <v>43.46</v>
      </c>
      <c r="CT1001" s="568">
        <v>43.46</v>
      </c>
      <c r="CU1001" s="568"/>
      <c r="CV1001" s="568"/>
      <c r="CW1001" s="568"/>
      <c r="CX1001" s="568"/>
      <c r="CY1001" s="568"/>
      <c r="CZ1001" s="568"/>
      <c r="DA1001" s="568"/>
      <c r="DB1001" s="568"/>
      <c r="DC1001" s="568"/>
      <c r="DD1001" s="568"/>
      <c r="DE1001" s="561"/>
      <c r="DF1001" s="561"/>
      <c r="DG1001" s="561"/>
      <c r="DH1001" s="561"/>
      <c r="DI1001" s="561"/>
      <c r="DJ1001" s="561"/>
      <c r="DK1001" s="897"/>
    </row>
    <row r="1002" spans="1:115" ht="25.5" x14ac:dyDescent="0.2">
      <c r="A1002" s="295">
        <v>998</v>
      </c>
      <c r="B1002" s="390" t="s">
        <v>9330</v>
      </c>
      <c r="C1002" s="390"/>
      <c r="D1002" s="391" t="s">
        <v>9331</v>
      </c>
      <c r="E1002" s="709" t="s">
        <v>9334</v>
      </c>
      <c r="F1002" s="393" t="s">
        <v>1375</v>
      </c>
      <c r="G1002" s="393" t="s">
        <v>998</v>
      </c>
      <c r="H1002" s="393" t="s">
        <v>218</v>
      </c>
      <c r="I1002" s="563"/>
      <c r="J1002" s="563"/>
      <c r="K1002" s="560" t="s">
        <v>159</v>
      </c>
      <c r="L1002" s="392" t="s">
        <v>992</v>
      </c>
      <c r="M1002" s="563"/>
      <c r="N1002" s="393" t="s">
        <v>44</v>
      </c>
      <c r="O1002" s="393" t="s">
        <v>51</v>
      </c>
      <c r="P1002" s="393" t="s">
        <v>51</v>
      </c>
      <c r="Q1002" s="392" t="s">
        <v>976</v>
      </c>
      <c r="R1002" s="560" t="s">
        <v>6033</v>
      </c>
      <c r="S1002" s="392" t="s">
        <v>977</v>
      </c>
      <c r="T1002" s="394">
        <v>1</v>
      </c>
      <c r="U1002" s="565">
        <v>31.113</v>
      </c>
      <c r="V1002" s="565"/>
      <c r="W1002" s="566"/>
      <c r="X1002" s="564"/>
      <c r="Y1002" s="564">
        <v>10</v>
      </c>
      <c r="Z1002" s="564">
        <v>10</v>
      </c>
      <c r="AA1002" s="395">
        <v>0</v>
      </c>
      <c r="AB1002" s="567">
        <v>43045</v>
      </c>
      <c r="AC1002" s="398">
        <v>0</v>
      </c>
      <c r="AD1002" s="568">
        <v>311.13</v>
      </c>
      <c r="AE1002" s="393" t="s">
        <v>660</v>
      </c>
      <c r="AF1002" s="569"/>
      <c r="AG1002" s="569"/>
      <c r="AH1002" s="569"/>
      <c r="AI1002" s="564"/>
      <c r="AJ1002" s="567"/>
      <c r="AK1002" s="567"/>
      <c r="AL1002" s="561"/>
      <c r="AM1002" s="561"/>
      <c r="AN1002" s="569"/>
      <c r="AO1002" s="428" t="s">
        <v>133</v>
      </c>
      <c r="AP1002" s="428" t="s">
        <v>8084</v>
      </c>
      <c r="AQ1002" s="563"/>
      <c r="AR1002" s="392" t="s">
        <v>368</v>
      </c>
      <c r="AS1002" s="479">
        <v>40890</v>
      </c>
      <c r="AT1002" s="566"/>
      <c r="AU1002" s="566"/>
      <c r="AV1002" s="566"/>
      <c r="AW1002" s="566"/>
      <c r="AX1002" s="566"/>
      <c r="AY1002" s="566"/>
      <c r="AZ1002" s="567">
        <v>43045</v>
      </c>
      <c r="BA1002" s="561"/>
      <c r="BB1002" s="561"/>
      <c r="BC1002" s="393" t="b">
        <v>0</v>
      </c>
      <c r="BD1002" s="561"/>
      <c r="BE1002" s="563"/>
      <c r="BF1002" s="394">
        <v>5</v>
      </c>
      <c r="BG1002" s="394">
        <v>4</v>
      </c>
      <c r="BH1002" s="394">
        <v>1</v>
      </c>
      <c r="BI1002" s="394">
        <v>6</v>
      </c>
      <c r="BJ1002" s="394">
        <v>8</v>
      </c>
      <c r="BK1002" s="394">
        <v>10</v>
      </c>
      <c r="BL1002" s="444" t="s">
        <v>6982</v>
      </c>
      <c r="BM1002" s="392" t="s">
        <v>3330</v>
      </c>
      <c r="BN1002" s="393" t="s">
        <v>3303</v>
      </c>
      <c r="BO1002" s="561"/>
      <c r="BP1002" s="571"/>
      <c r="BQ1002" s="572"/>
      <c r="BR1002" s="573"/>
      <c r="BS1002" s="571"/>
      <c r="BT1002" s="564"/>
      <c r="BU1002" s="569"/>
      <c r="BV1002" s="571"/>
      <c r="BW1002" s="393" t="s">
        <v>3117</v>
      </c>
      <c r="BX1002" s="392" t="s">
        <v>4364</v>
      </c>
      <c r="BY1002" s="393" t="s">
        <v>7224</v>
      </c>
      <c r="BZ1002" s="561"/>
      <c r="CA1002" s="574"/>
      <c r="CB1002" s="572"/>
      <c r="CC1002" s="568"/>
      <c r="CD1002" s="568"/>
      <c r="CE1002" s="568"/>
      <c r="CF1002" s="568"/>
      <c r="CG1002" s="568"/>
      <c r="CH1002" s="568"/>
      <c r="CI1002" s="568"/>
      <c r="CJ1002" s="568"/>
      <c r="CK1002" s="568"/>
      <c r="CL1002" s="568"/>
      <c r="CM1002" s="568">
        <v>6.9059999999999997</v>
      </c>
      <c r="CN1002" s="568">
        <v>43.46</v>
      </c>
      <c r="CO1002" s="568">
        <v>43.46</v>
      </c>
      <c r="CP1002" s="568">
        <v>43.46</v>
      </c>
      <c r="CQ1002" s="568">
        <v>43.46</v>
      </c>
      <c r="CR1002" s="568">
        <v>43.46</v>
      </c>
      <c r="CS1002" s="568">
        <v>43.46</v>
      </c>
      <c r="CT1002" s="568">
        <v>43.46</v>
      </c>
      <c r="CU1002" s="568"/>
      <c r="CV1002" s="568"/>
      <c r="CW1002" s="568"/>
      <c r="CX1002" s="568"/>
      <c r="CY1002" s="568"/>
      <c r="CZ1002" s="568"/>
      <c r="DA1002" s="568"/>
      <c r="DB1002" s="568"/>
      <c r="DC1002" s="568"/>
      <c r="DD1002" s="568"/>
      <c r="DE1002" s="561"/>
      <c r="DF1002" s="561"/>
      <c r="DG1002" s="561"/>
      <c r="DH1002" s="561"/>
      <c r="DI1002" s="561"/>
      <c r="DJ1002" s="561"/>
      <c r="DK1002" s="897"/>
    </row>
    <row r="1003" spans="1:115" ht="38.25" x14ac:dyDescent="0.2">
      <c r="A1003" s="295">
        <v>999</v>
      </c>
      <c r="B1003" s="390" t="s">
        <v>1006</v>
      </c>
      <c r="C1003" s="424" t="s">
        <v>7606</v>
      </c>
      <c r="D1003" s="391" t="s">
        <v>5138</v>
      </c>
      <c r="E1003" s="843" t="s">
        <v>1007</v>
      </c>
      <c r="F1003" s="393" t="s">
        <v>1375</v>
      </c>
      <c r="G1003" s="393" t="s">
        <v>1670</v>
      </c>
      <c r="H1003" s="393" t="s">
        <v>1008</v>
      </c>
      <c r="I1003" s="563"/>
      <c r="J1003" s="563" t="s">
        <v>2195</v>
      </c>
      <c r="K1003" s="563"/>
      <c r="L1003" s="392" t="s">
        <v>992</v>
      </c>
      <c r="M1003" s="563" t="s">
        <v>3342</v>
      </c>
      <c r="N1003" s="393" t="s">
        <v>44</v>
      </c>
      <c r="O1003" s="393" t="s">
        <v>51</v>
      </c>
      <c r="P1003" s="393" t="s">
        <v>51</v>
      </c>
      <c r="Q1003" s="392" t="s">
        <v>976</v>
      </c>
      <c r="R1003" s="563"/>
      <c r="S1003" s="392" t="s">
        <v>977</v>
      </c>
      <c r="T1003" s="394">
        <v>6</v>
      </c>
      <c r="U1003" s="565">
        <v>240.05899999999997</v>
      </c>
      <c r="V1003" s="565"/>
      <c r="W1003" s="567">
        <v>40890</v>
      </c>
      <c r="X1003" s="564">
        <v>28</v>
      </c>
      <c r="Y1003" s="564"/>
      <c r="Z1003" s="564"/>
      <c r="AA1003" s="395"/>
      <c r="AB1003" s="566"/>
      <c r="AC1003" s="398">
        <v>0.64500000000000002</v>
      </c>
      <c r="AD1003" s="568">
        <v>2370.3992493150686</v>
      </c>
      <c r="AE1003" s="393" t="s">
        <v>660</v>
      </c>
      <c r="AF1003" s="569">
        <f>SUM(AF1004:AF1009)</f>
        <v>0.45800000000000002</v>
      </c>
      <c r="AG1003" s="569">
        <f>SUM(AG1004:AG1009)</f>
        <v>130.977</v>
      </c>
      <c r="AH1003" s="569">
        <v>131.435</v>
      </c>
      <c r="AI1003" s="564">
        <v>1</v>
      </c>
      <c r="AJ1003" s="567">
        <v>42012</v>
      </c>
      <c r="AK1003" s="566">
        <v>42667</v>
      </c>
      <c r="AL1003" s="561"/>
      <c r="AM1003" s="561"/>
      <c r="AN1003" s="569"/>
      <c r="AO1003" s="428" t="s">
        <v>133</v>
      </c>
      <c r="AP1003" s="428" t="s">
        <v>8084</v>
      </c>
      <c r="AQ1003" s="560"/>
      <c r="AR1003" s="392" t="s">
        <v>368</v>
      </c>
      <c r="AS1003" s="479">
        <v>40890</v>
      </c>
      <c r="AT1003" s="566"/>
      <c r="AU1003" s="566"/>
      <c r="AV1003" s="567">
        <v>41033</v>
      </c>
      <c r="AW1003" s="567">
        <v>41249</v>
      </c>
      <c r="AX1003" s="566"/>
      <c r="AY1003" s="567">
        <v>41249</v>
      </c>
      <c r="AZ1003" s="566"/>
      <c r="BA1003" s="561"/>
      <c r="BB1003" s="561" t="s">
        <v>3116</v>
      </c>
      <c r="BC1003" s="393" t="b">
        <v>0</v>
      </c>
      <c r="BD1003" s="561" t="s">
        <v>3116</v>
      </c>
      <c r="BE1003" s="563"/>
      <c r="BF1003" s="394">
        <v>5</v>
      </c>
      <c r="BG1003" s="394">
        <v>4</v>
      </c>
      <c r="BH1003" s="394">
        <v>1</v>
      </c>
      <c r="BI1003" s="394">
        <v>6</v>
      </c>
      <c r="BJ1003" s="394">
        <v>8</v>
      </c>
      <c r="BK1003" s="394">
        <v>10</v>
      </c>
      <c r="BL1003" s="444"/>
      <c r="BM1003" s="392"/>
      <c r="BN1003" s="393"/>
      <c r="BO1003" s="561"/>
      <c r="BP1003" s="571"/>
      <c r="BQ1003" s="572"/>
      <c r="BR1003" s="573"/>
      <c r="BS1003" s="571">
        <v>0</v>
      </c>
      <c r="BT1003" s="564"/>
      <c r="BU1003" s="569"/>
      <c r="BV1003" s="571"/>
      <c r="BW1003" s="393"/>
      <c r="BX1003" s="392"/>
      <c r="BY1003" s="393"/>
      <c r="BZ1003" s="561"/>
      <c r="CA1003" s="574"/>
      <c r="CB1003" s="572"/>
      <c r="CC1003" s="568"/>
      <c r="CD1003" s="568"/>
      <c r="CE1003" s="568"/>
      <c r="CF1003" s="568"/>
      <c r="CG1003" s="568"/>
      <c r="CH1003" s="568"/>
      <c r="CI1003" s="568"/>
      <c r="CJ1003" s="568"/>
      <c r="CK1003" s="568"/>
      <c r="CL1003" s="568"/>
      <c r="CM1003" s="568"/>
      <c r="CN1003" s="568"/>
      <c r="CO1003" s="568"/>
      <c r="CP1003" s="568"/>
      <c r="CQ1003" s="568"/>
      <c r="CR1003" s="568"/>
      <c r="CS1003" s="568"/>
      <c r="CT1003" s="568"/>
      <c r="CU1003" s="568"/>
      <c r="CV1003" s="568"/>
      <c r="CW1003" s="568"/>
      <c r="CX1003" s="568"/>
      <c r="CY1003" s="568"/>
      <c r="CZ1003" s="568"/>
      <c r="DA1003" s="568"/>
      <c r="DB1003" s="568"/>
      <c r="DC1003" s="568"/>
      <c r="DD1003" s="568"/>
      <c r="DE1003" s="561"/>
      <c r="DF1003" s="561"/>
      <c r="DG1003" s="561"/>
      <c r="DH1003" s="561"/>
      <c r="DI1003" s="561"/>
      <c r="DJ1003" s="561"/>
      <c r="DK1003" s="896" t="s">
        <v>9716</v>
      </c>
    </row>
    <row r="1004" spans="1:115" ht="25.5" x14ac:dyDescent="0.2">
      <c r="A1004" s="295">
        <v>1000</v>
      </c>
      <c r="B1004" s="390" t="s">
        <v>2778</v>
      </c>
      <c r="C1004" s="390"/>
      <c r="D1004" s="391" t="s">
        <v>4476</v>
      </c>
      <c r="E1004" s="704" t="s">
        <v>1009</v>
      </c>
      <c r="F1004" s="393" t="s">
        <v>1375</v>
      </c>
      <c r="G1004" s="393" t="s">
        <v>1670</v>
      </c>
      <c r="H1004" s="393" t="s">
        <v>1008</v>
      </c>
      <c r="I1004" s="392"/>
      <c r="J1004" s="392"/>
      <c r="K1004" s="392" t="s">
        <v>159</v>
      </c>
      <c r="L1004" s="392" t="s">
        <v>992</v>
      </c>
      <c r="M1004" s="392"/>
      <c r="N1004" s="393" t="s">
        <v>44</v>
      </c>
      <c r="O1004" s="393" t="s">
        <v>51</v>
      </c>
      <c r="P1004" s="393" t="s">
        <v>51</v>
      </c>
      <c r="Q1004" s="392" t="s">
        <v>976</v>
      </c>
      <c r="R1004" s="392" t="s">
        <v>3343</v>
      </c>
      <c r="S1004" s="392" t="s">
        <v>977</v>
      </c>
      <c r="T1004" s="394">
        <v>1</v>
      </c>
      <c r="U1004" s="395">
        <v>15.477</v>
      </c>
      <c r="V1004" s="395"/>
      <c r="W1004" s="453"/>
      <c r="X1004" s="394"/>
      <c r="Y1004" s="394">
        <v>7</v>
      </c>
      <c r="Z1004" s="394">
        <v>21</v>
      </c>
      <c r="AA1004" s="395">
        <v>0</v>
      </c>
      <c r="AB1004" s="452">
        <v>41258</v>
      </c>
      <c r="AC1004" s="398">
        <v>0.64500000000000002</v>
      </c>
      <c r="AD1004" s="398">
        <v>124.57924931506849</v>
      </c>
      <c r="AE1004" s="393" t="s">
        <v>660</v>
      </c>
      <c r="AF1004" s="417">
        <v>0.45800000000000002</v>
      </c>
      <c r="AG1004" s="417">
        <f>12.014+13.314+15.477+15.477</f>
        <v>56.281999999999996</v>
      </c>
      <c r="AH1004" s="417">
        <v>56.739999999999995</v>
      </c>
      <c r="AI1004" s="394">
        <v>1</v>
      </c>
      <c r="AJ1004" s="452">
        <v>42012</v>
      </c>
      <c r="AK1004" s="453">
        <v>42667</v>
      </c>
      <c r="AL1004" s="393"/>
      <c r="AM1004" s="393"/>
      <c r="AN1004" s="417"/>
      <c r="AO1004" s="428" t="s">
        <v>133</v>
      </c>
      <c r="AP1004" s="428" t="s">
        <v>8084</v>
      </c>
      <c r="AQ1004" s="392"/>
      <c r="AR1004" s="392" t="s">
        <v>368</v>
      </c>
      <c r="AS1004" s="479">
        <v>40890</v>
      </c>
      <c r="AT1004" s="453"/>
      <c r="AU1004" s="453"/>
      <c r="AV1004" s="453"/>
      <c r="AW1004" s="453"/>
      <c r="AX1004" s="453"/>
      <c r="AY1004" s="453"/>
      <c r="AZ1004" s="452">
        <v>41249</v>
      </c>
      <c r="BA1004" s="393"/>
      <c r="BB1004" s="393"/>
      <c r="BC1004" s="393" t="b">
        <v>0</v>
      </c>
      <c r="BD1004" s="393"/>
      <c r="BE1004" s="392"/>
      <c r="BF1004" s="394">
        <v>5</v>
      </c>
      <c r="BG1004" s="394">
        <v>4</v>
      </c>
      <c r="BH1004" s="394">
        <v>1</v>
      </c>
      <c r="BI1004" s="394">
        <v>6</v>
      </c>
      <c r="BJ1004" s="394">
        <v>8</v>
      </c>
      <c r="BK1004" s="394">
        <v>10</v>
      </c>
      <c r="BL1004" s="444" t="s">
        <v>6982</v>
      </c>
      <c r="BM1004" s="392" t="s">
        <v>3330</v>
      </c>
      <c r="BN1004" s="393" t="s">
        <v>3303</v>
      </c>
      <c r="BO1004" s="393"/>
      <c r="BP1004" s="399"/>
      <c r="BQ1004" s="400"/>
      <c r="BR1004" s="401"/>
      <c r="BS1004" s="399"/>
      <c r="BT1004" s="394"/>
      <c r="BU1004" s="417"/>
      <c r="BV1004" s="399">
        <v>52</v>
      </c>
      <c r="BW1004" s="393" t="s">
        <v>3117</v>
      </c>
      <c r="BX1004" s="392" t="s">
        <v>4364</v>
      </c>
      <c r="BY1004" s="393" t="s">
        <v>7224</v>
      </c>
      <c r="BZ1004" s="393"/>
      <c r="CA1004" s="441" t="s">
        <v>1664</v>
      </c>
      <c r="CB1004" s="400"/>
      <c r="CC1004" s="398"/>
      <c r="CD1004" s="398"/>
      <c r="CE1004" s="398"/>
      <c r="CF1004" s="398"/>
      <c r="CG1004" s="398"/>
      <c r="CH1004" s="398">
        <v>5.5149999999999997</v>
      </c>
      <c r="CI1004" s="398">
        <v>11.03</v>
      </c>
      <c r="CJ1004" s="398">
        <v>15.477</v>
      </c>
      <c r="CK1004" s="398">
        <v>15.477</v>
      </c>
      <c r="CL1004" s="398">
        <v>15.477</v>
      </c>
      <c r="CM1004" s="398">
        <v>15.477</v>
      </c>
      <c r="CN1004" s="398">
        <v>15.477</v>
      </c>
      <c r="CO1004" s="398">
        <v>15.477</v>
      </c>
      <c r="CP1004" s="398">
        <v>15.477</v>
      </c>
      <c r="CQ1004" s="398">
        <v>15.477</v>
      </c>
      <c r="CR1004" s="398">
        <v>14.832000000000001</v>
      </c>
      <c r="CS1004" s="398"/>
      <c r="CT1004" s="398"/>
      <c r="CU1004" s="398"/>
      <c r="CV1004" s="398"/>
      <c r="CW1004" s="398"/>
      <c r="CX1004" s="398"/>
      <c r="CY1004" s="398"/>
      <c r="CZ1004" s="398"/>
      <c r="DA1004" s="398"/>
      <c r="DB1004" s="398"/>
      <c r="DC1004" s="398"/>
      <c r="DD1004" s="398"/>
      <c r="DE1004" s="393"/>
      <c r="DF1004" s="393"/>
      <c r="DG1004" s="393"/>
      <c r="DH1004" s="393"/>
      <c r="DI1004" s="393"/>
      <c r="DJ1004" s="393"/>
      <c r="DK1004" s="897"/>
    </row>
    <row r="1005" spans="1:115" ht="25.5" x14ac:dyDescent="0.2">
      <c r="A1005" s="295">
        <v>1001</v>
      </c>
      <c r="B1005" s="390" t="s">
        <v>5753</v>
      </c>
      <c r="C1005" s="390"/>
      <c r="D1005" s="391" t="s">
        <v>5625</v>
      </c>
      <c r="E1005" s="704" t="s">
        <v>5626</v>
      </c>
      <c r="F1005" s="393" t="s">
        <v>1375</v>
      </c>
      <c r="G1005" s="393" t="s">
        <v>1670</v>
      </c>
      <c r="H1005" s="393" t="s">
        <v>1008</v>
      </c>
      <c r="I1005" s="392"/>
      <c r="J1005" s="392" t="s">
        <v>1008</v>
      </c>
      <c r="K1005" s="392" t="s">
        <v>5627</v>
      </c>
      <c r="L1005" s="392" t="s">
        <v>992</v>
      </c>
      <c r="M1005" s="392"/>
      <c r="N1005" s="393" t="s">
        <v>44</v>
      </c>
      <c r="O1005" s="393" t="s">
        <v>51</v>
      </c>
      <c r="P1005" s="393" t="s">
        <v>51</v>
      </c>
      <c r="Q1005" s="392" t="s">
        <v>976</v>
      </c>
      <c r="R1005" s="392" t="s">
        <v>5628</v>
      </c>
      <c r="S1005" s="392" t="s">
        <v>977</v>
      </c>
      <c r="T1005" s="394">
        <v>1</v>
      </c>
      <c r="U1005" s="395">
        <v>47.008000000000003</v>
      </c>
      <c r="V1005" s="395"/>
      <c r="W1005" s="453"/>
      <c r="X1005" s="394"/>
      <c r="Y1005" s="394">
        <v>10</v>
      </c>
      <c r="Z1005" s="394">
        <v>21</v>
      </c>
      <c r="AA1005" s="395">
        <v>0</v>
      </c>
      <c r="AB1005" s="452">
        <v>41579</v>
      </c>
      <c r="AC1005" s="398">
        <v>0</v>
      </c>
      <c r="AD1005" s="398">
        <v>470.08000000000004</v>
      </c>
      <c r="AE1005" s="393" t="s">
        <v>660</v>
      </c>
      <c r="AF1005" s="417"/>
      <c r="AG1005" s="417"/>
      <c r="AH1005" s="417">
        <f>+SUM(AF1005:AG1005)</f>
        <v>0</v>
      </c>
      <c r="AI1005" s="394"/>
      <c r="AJ1005" s="453"/>
      <c r="AK1005" s="452"/>
      <c r="AL1005" s="393"/>
      <c r="AM1005" s="393"/>
      <c r="AN1005" s="417"/>
      <c r="AO1005" s="428"/>
      <c r="AP1005" s="392"/>
      <c r="AQ1005" s="392"/>
      <c r="AR1005" s="392" t="s">
        <v>368</v>
      </c>
      <c r="AS1005" s="479">
        <v>40890</v>
      </c>
      <c r="AT1005" s="453"/>
      <c r="AU1005" s="453"/>
      <c r="AV1005" s="453"/>
      <c r="AW1005" s="453"/>
      <c r="AX1005" s="453"/>
      <c r="AY1005" s="453"/>
      <c r="AZ1005" s="452">
        <v>41568</v>
      </c>
      <c r="BA1005" s="393"/>
      <c r="BB1005" s="393" t="s">
        <v>3147</v>
      </c>
      <c r="BC1005" s="393" t="b">
        <v>0</v>
      </c>
      <c r="BD1005" s="393"/>
      <c r="BE1005" s="392"/>
      <c r="BF1005" s="394">
        <v>5</v>
      </c>
      <c r="BG1005" s="394">
        <v>4</v>
      </c>
      <c r="BH1005" s="394">
        <v>1</v>
      </c>
      <c r="BI1005" s="394">
        <v>6</v>
      </c>
      <c r="BJ1005" s="394">
        <v>8</v>
      </c>
      <c r="BK1005" s="394">
        <v>10</v>
      </c>
      <c r="BL1005" s="444"/>
      <c r="BM1005" s="392"/>
      <c r="BN1005" s="393"/>
      <c r="BO1005" s="393"/>
      <c r="BP1005" s="399"/>
      <c r="BQ1005" s="400"/>
      <c r="BR1005" s="401"/>
      <c r="BS1005" s="399"/>
      <c r="BT1005" s="394"/>
      <c r="BU1005" s="417"/>
      <c r="BV1005" s="399"/>
      <c r="BW1005" s="393" t="s">
        <v>3117</v>
      </c>
      <c r="BX1005" s="392" t="s">
        <v>4364</v>
      </c>
      <c r="BY1005" s="393" t="s">
        <v>7224</v>
      </c>
      <c r="BZ1005" s="393"/>
      <c r="CA1005" s="441"/>
      <c r="CB1005" s="400"/>
      <c r="CC1005" s="398"/>
      <c r="CD1005" s="398"/>
      <c r="CE1005" s="398"/>
      <c r="CF1005" s="398"/>
      <c r="CG1005" s="398"/>
      <c r="CH1005" s="398"/>
      <c r="CI1005" s="398">
        <v>47.008000000000003</v>
      </c>
      <c r="CJ1005" s="398">
        <v>47.008000000000003</v>
      </c>
      <c r="CK1005" s="398">
        <v>47.008000000000003</v>
      </c>
      <c r="CL1005" s="398">
        <v>47.008000000000003</v>
      </c>
      <c r="CM1005" s="398">
        <v>47.008000000000003</v>
      </c>
      <c r="CN1005" s="398">
        <v>47.008000000000003</v>
      </c>
      <c r="CO1005" s="398">
        <v>47.008000000000003</v>
      </c>
      <c r="CP1005" s="398">
        <v>47.008000000000003</v>
      </c>
      <c r="CQ1005" s="398">
        <v>47.008000000000003</v>
      </c>
      <c r="CR1005" s="398">
        <v>47.008000000000003</v>
      </c>
      <c r="CS1005" s="398"/>
      <c r="CT1005" s="398"/>
      <c r="CU1005" s="398"/>
      <c r="CV1005" s="398"/>
      <c r="CW1005" s="398"/>
      <c r="CX1005" s="398"/>
      <c r="CY1005" s="398"/>
      <c r="CZ1005" s="398"/>
      <c r="DA1005" s="398"/>
      <c r="DB1005" s="398"/>
      <c r="DC1005" s="398"/>
      <c r="DD1005" s="398"/>
      <c r="DE1005" s="393"/>
      <c r="DF1005" s="393"/>
      <c r="DG1005" s="393"/>
      <c r="DH1005" s="393"/>
      <c r="DI1005" s="393"/>
      <c r="DJ1005" s="393"/>
      <c r="DK1005" s="897"/>
    </row>
    <row r="1006" spans="1:115" ht="25.5" x14ac:dyDescent="0.2">
      <c r="A1006" s="295">
        <v>1002</v>
      </c>
      <c r="B1006" s="390" t="s">
        <v>5719</v>
      </c>
      <c r="C1006" s="390"/>
      <c r="D1006" s="391" t="s">
        <v>5720</v>
      </c>
      <c r="E1006" s="704" t="s">
        <v>5721</v>
      </c>
      <c r="F1006" s="393" t="s">
        <v>1375</v>
      </c>
      <c r="G1006" s="393" t="s">
        <v>1670</v>
      </c>
      <c r="H1006" s="393" t="s">
        <v>1008</v>
      </c>
      <c r="I1006" s="392"/>
      <c r="J1006" s="392"/>
      <c r="K1006" s="392" t="s">
        <v>159</v>
      </c>
      <c r="L1006" s="392" t="s">
        <v>992</v>
      </c>
      <c r="M1006" s="392"/>
      <c r="N1006" s="393" t="s">
        <v>44</v>
      </c>
      <c r="O1006" s="393" t="s">
        <v>51</v>
      </c>
      <c r="P1006" s="393" t="s">
        <v>51</v>
      </c>
      <c r="Q1006" s="392" t="s">
        <v>976</v>
      </c>
      <c r="R1006" s="392" t="s">
        <v>5722</v>
      </c>
      <c r="S1006" s="392" t="s">
        <v>977</v>
      </c>
      <c r="T1006" s="394">
        <v>1</v>
      </c>
      <c r="U1006" s="395">
        <v>47.008000000000003</v>
      </c>
      <c r="V1006" s="395"/>
      <c r="W1006" s="453"/>
      <c r="X1006" s="394"/>
      <c r="Y1006" s="394">
        <v>10</v>
      </c>
      <c r="Z1006" s="394">
        <v>21</v>
      </c>
      <c r="AA1006" s="395">
        <v>0</v>
      </c>
      <c r="AB1006" s="452">
        <v>41609</v>
      </c>
      <c r="AC1006" s="398">
        <v>0</v>
      </c>
      <c r="AD1006" s="398">
        <v>470.08000000000004</v>
      </c>
      <c r="AE1006" s="393" t="s">
        <v>660</v>
      </c>
      <c r="AF1006" s="417"/>
      <c r="AG1006" s="417">
        <f>6.528+11.809+14.274</f>
        <v>32.610999999999997</v>
      </c>
      <c r="AH1006" s="417">
        <v>32.610999999999997</v>
      </c>
      <c r="AI1006" s="394"/>
      <c r="AJ1006" s="452">
        <v>42012</v>
      </c>
      <c r="AK1006" s="453">
        <v>42667</v>
      </c>
      <c r="AL1006" s="393"/>
      <c r="AM1006" s="393"/>
      <c r="AN1006" s="417"/>
      <c r="AO1006" s="428" t="s">
        <v>133</v>
      </c>
      <c r="AP1006" s="428" t="s">
        <v>8084</v>
      </c>
      <c r="AQ1006" s="392"/>
      <c r="AR1006" s="392" t="s">
        <v>368</v>
      </c>
      <c r="AS1006" s="479">
        <v>40890</v>
      </c>
      <c r="AT1006" s="453"/>
      <c r="AU1006" s="453"/>
      <c r="AV1006" s="453"/>
      <c r="AW1006" s="453"/>
      <c r="AX1006" s="453"/>
      <c r="AY1006" s="453"/>
      <c r="AZ1006" s="452">
        <v>41586</v>
      </c>
      <c r="BA1006" s="393"/>
      <c r="BB1006" s="393"/>
      <c r="BC1006" s="393" t="b">
        <v>0</v>
      </c>
      <c r="BD1006" s="393"/>
      <c r="BE1006" s="392"/>
      <c r="BF1006" s="394">
        <v>5</v>
      </c>
      <c r="BG1006" s="394">
        <v>4</v>
      </c>
      <c r="BH1006" s="394">
        <v>1</v>
      </c>
      <c r="BI1006" s="394">
        <v>6</v>
      </c>
      <c r="BJ1006" s="394">
        <v>8</v>
      </c>
      <c r="BK1006" s="394">
        <v>10</v>
      </c>
      <c r="BL1006" s="444" t="s">
        <v>6981</v>
      </c>
      <c r="BM1006" s="392" t="s">
        <v>3330</v>
      </c>
      <c r="BN1006" s="393"/>
      <c r="BO1006" s="393"/>
      <c r="BP1006" s="399"/>
      <c r="BQ1006" s="400"/>
      <c r="BR1006" s="401"/>
      <c r="BS1006" s="399"/>
      <c r="BT1006" s="394"/>
      <c r="BU1006" s="417"/>
      <c r="BV1006" s="399"/>
      <c r="BW1006" s="393" t="s">
        <v>3117</v>
      </c>
      <c r="BX1006" s="392" t="s">
        <v>4364</v>
      </c>
      <c r="BY1006" s="393" t="s">
        <v>7224</v>
      </c>
      <c r="BZ1006" s="393"/>
      <c r="CA1006" s="441"/>
      <c r="CB1006" s="400"/>
      <c r="CC1006" s="398"/>
      <c r="CD1006" s="398"/>
      <c r="CE1006" s="398"/>
      <c r="CF1006" s="398"/>
      <c r="CG1006" s="398"/>
      <c r="CH1006" s="398"/>
      <c r="CI1006" s="398">
        <v>47.008000000000003</v>
      </c>
      <c r="CJ1006" s="398">
        <v>47.008000000000003</v>
      </c>
      <c r="CK1006" s="398">
        <v>47.008000000000003</v>
      </c>
      <c r="CL1006" s="398">
        <v>47.008000000000003</v>
      </c>
      <c r="CM1006" s="398">
        <v>47.008000000000003</v>
      </c>
      <c r="CN1006" s="398">
        <v>47.008000000000003</v>
      </c>
      <c r="CO1006" s="398">
        <v>47.008000000000003</v>
      </c>
      <c r="CP1006" s="398"/>
      <c r="CQ1006" s="398"/>
      <c r="CR1006" s="398"/>
      <c r="CS1006" s="398"/>
      <c r="CT1006" s="398"/>
      <c r="CU1006" s="398"/>
      <c r="CV1006" s="398"/>
      <c r="CW1006" s="398"/>
      <c r="CX1006" s="398"/>
      <c r="CY1006" s="398"/>
      <c r="CZ1006" s="398"/>
      <c r="DA1006" s="398"/>
      <c r="DB1006" s="398"/>
      <c r="DC1006" s="398"/>
      <c r="DD1006" s="398"/>
      <c r="DE1006" s="393"/>
      <c r="DF1006" s="393"/>
      <c r="DG1006" s="393"/>
      <c r="DH1006" s="393"/>
      <c r="DI1006" s="393"/>
      <c r="DJ1006" s="393"/>
      <c r="DK1006" s="897"/>
    </row>
    <row r="1007" spans="1:115" ht="25.5" x14ac:dyDescent="0.2">
      <c r="A1007" s="295">
        <v>1003</v>
      </c>
      <c r="B1007" s="390" t="s">
        <v>6529</v>
      </c>
      <c r="C1007" s="390"/>
      <c r="D1007" s="391" t="s">
        <v>6428</v>
      </c>
      <c r="E1007" s="704" t="s">
        <v>6429</v>
      </c>
      <c r="F1007" s="393" t="s">
        <v>1375</v>
      </c>
      <c r="G1007" s="393" t="s">
        <v>1670</v>
      </c>
      <c r="H1007" s="393" t="s">
        <v>1048</v>
      </c>
      <c r="I1007" s="392"/>
      <c r="J1007" s="392"/>
      <c r="K1007" s="392" t="s">
        <v>5627</v>
      </c>
      <c r="L1007" s="392" t="s">
        <v>992</v>
      </c>
      <c r="M1007" s="392"/>
      <c r="N1007" s="393" t="s">
        <v>44</v>
      </c>
      <c r="O1007" s="393" t="s">
        <v>51</v>
      </c>
      <c r="P1007" s="393" t="s">
        <v>51</v>
      </c>
      <c r="Q1007" s="392" t="s">
        <v>976</v>
      </c>
      <c r="R1007" s="392" t="s">
        <v>6430</v>
      </c>
      <c r="S1007" s="392" t="s">
        <v>977</v>
      </c>
      <c r="T1007" s="394">
        <v>1</v>
      </c>
      <c r="U1007" s="395">
        <v>44.158999999999999</v>
      </c>
      <c r="V1007" s="395"/>
      <c r="W1007" s="453"/>
      <c r="X1007" s="394"/>
      <c r="Y1007" s="394">
        <v>10</v>
      </c>
      <c r="Z1007" s="394">
        <v>10</v>
      </c>
      <c r="AA1007" s="395">
        <v>0</v>
      </c>
      <c r="AB1007" s="452">
        <v>41937</v>
      </c>
      <c r="AC1007" s="398"/>
      <c r="AD1007" s="398">
        <v>441.59</v>
      </c>
      <c r="AE1007" s="393" t="s">
        <v>660</v>
      </c>
      <c r="AF1007" s="417"/>
      <c r="AG1007" s="417">
        <f>2.423+2.593</f>
        <v>5.016</v>
      </c>
      <c r="AH1007" s="417">
        <v>5.016</v>
      </c>
      <c r="AI1007" s="394"/>
      <c r="AJ1007" s="453">
        <v>42811</v>
      </c>
      <c r="AK1007" s="453">
        <v>42667</v>
      </c>
      <c r="AL1007" s="393"/>
      <c r="AM1007" s="393"/>
      <c r="AN1007" s="417"/>
      <c r="AO1007" s="392"/>
      <c r="AP1007" s="392"/>
      <c r="AQ1007" s="392"/>
      <c r="AR1007" s="392" t="s">
        <v>368</v>
      </c>
      <c r="AS1007" s="479">
        <v>40890</v>
      </c>
      <c r="AT1007" s="397"/>
      <c r="AU1007" s="397"/>
      <c r="AV1007" s="453">
        <v>41038</v>
      </c>
      <c r="AW1007" s="453"/>
      <c r="AX1007" s="397"/>
      <c r="AY1007" s="453"/>
      <c r="AZ1007" s="452">
        <v>41905</v>
      </c>
      <c r="BA1007" s="393"/>
      <c r="BB1007" s="393"/>
      <c r="BC1007" s="393" t="b">
        <v>0</v>
      </c>
      <c r="BD1007" s="393"/>
      <c r="BE1007" s="392"/>
      <c r="BF1007" s="394">
        <v>5</v>
      </c>
      <c r="BG1007" s="394">
        <v>4</v>
      </c>
      <c r="BH1007" s="394">
        <v>1</v>
      </c>
      <c r="BI1007" s="394">
        <v>6</v>
      </c>
      <c r="BJ1007" s="394">
        <v>8</v>
      </c>
      <c r="BK1007" s="394">
        <v>10</v>
      </c>
      <c r="BL1007" s="444" t="s">
        <v>6981</v>
      </c>
      <c r="BM1007" s="392" t="s">
        <v>3330</v>
      </c>
      <c r="BN1007" s="393"/>
      <c r="BO1007" s="393"/>
      <c r="BP1007" s="399"/>
      <c r="BQ1007" s="400"/>
      <c r="BR1007" s="401"/>
      <c r="BS1007" s="399"/>
      <c r="BT1007" s="394"/>
      <c r="BU1007" s="417"/>
      <c r="BV1007" s="399"/>
      <c r="BW1007" s="393" t="s">
        <v>3117</v>
      </c>
      <c r="BX1007" s="392" t="s">
        <v>4364</v>
      </c>
      <c r="BY1007" s="393" t="s">
        <v>7224</v>
      </c>
      <c r="BZ1007" s="393"/>
      <c r="CA1007" s="441"/>
      <c r="CB1007" s="400"/>
      <c r="CC1007" s="398"/>
      <c r="CD1007" s="398"/>
      <c r="CE1007" s="398"/>
      <c r="CF1007" s="398"/>
      <c r="CG1007" s="398"/>
      <c r="CH1007" s="398"/>
      <c r="CI1007" s="398"/>
      <c r="CJ1007" s="398">
        <v>44.158999999999999</v>
      </c>
      <c r="CK1007" s="398">
        <v>44.158999999999999</v>
      </c>
      <c r="CL1007" s="398">
        <v>44.158999999999999</v>
      </c>
      <c r="CM1007" s="398">
        <v>44.158999999999999</v>
      </c>
      <c r="CN1007" s="398">
        <v>44.158999999999999</v>
      </c>
      <c r="CO1007" s="398">
        <v>44.158999999999999</v>
      </c>
      <c r="CP1007" s="398">
        <v>44.158999999999999</v>
      </c>
      <c r="CQ1007" s="398">
        <v>44.158999999999999</v>
      </c>
      <c r="CR1007" s="398">
        <v>44.158999999999999</v>
      </c>
      <c r="CS1007" s="398">
        <v>44.158999999999999</v>
      </c>
      <c r="CT1007" s="398"/>
      <c r="CU1007" s="398"/>
      <c r="CV1007" s="398"/>
      <c r="CW1007" s="398"/>
      <c r="CX1007" s="398"/>
      <c r="CY1007" s="398"/>
      <c r="CZ1007" s="398"/>
      <c r="DA1007" s="398"/>
      <c r="DB1007" s="398"/>
      <c r="DC1007" s="398"/>
      <c r="DD1007" s="398"/>
      <c r="DE1007" s="393"/>
      <c r="DF1007" s="393"/>
      <c r="DG1007" s="393"/>
      <c r="DH1007" s="393"/>
      <c r="DI1007" s="393"/>
      <c r="DJ1007" s="393"/>
      <c r="DK1007" s="897"/>
    </row>
    <row r="1008" spans="1:115" ht="25.5" x14ac:dyDescent="0.2">
      <c r="A1008" s="295">
        <v>1004</v>
      </c>
      <c r="B1008" s="390" t="s">
        <v>6530</v>
      </c>
      <c r="C1008" s="390"/>
      <c r="D1008" s="391" t="s">
        <v>6431</v>
      </c>
      <c r="E1008" s="704" t="s">
        <v>6432</v>
      </c>
      <c r="F1008" s="393" t="s">
        <v>1375</v>
      </c>
      <c r="G1008" s="393" t="s">
        <v>1670</v>
      </c>
      <c r="H1008" s="393" t="s">
        <v>1048</v>
      </c>
      <c r="I1008" s="392"/>
      <c r="J1008" s="392"/>
      <c r="K1008" s="392" t="s">
        <v>5627</v>
      </c>
      <c r="L1008" s="392" t="s">
        <v>992</v>
      </c>
      <c r="M1008" s="392"/>
      <c r="N1008" s="393" t="s">
        <v>44</v>
      </c>
      <c r="O1008" s="393" t="s">
        <v>51</v>
      </c>
      <c r="P1008" s="393" t="s">
        <v>51</v>
      </c>
      <c r="Q1008" s="392" t="s">
        <v>976</v>
      </c>
      <c r="R1008" s="392" t="s">
        <v>6433</v>
      </c>
      <c r="S1008" s="392" t="s">
        <v>977</v>
      </c>
      <c r="T1008" s="394">
        <v>1</v>
      </c>
      <c r="U1008" s="395">
        <v>44.158999999999999</v>
      </c>
      <c r="V1008" s="395"/>
      <c r="W1008" s="453"/>
      <c r="X1008" s="394"/>
      <c r="Y1008" s="394">
        <v>10</v>
      </c>
      <c r="Z1008" s="394">
        <v>10</v>
      </c>
      <c r="AA1008" s="395">
        <v>0</v>
      </c>
      <c r="AB1008" s="452">
        <v>41937</v>
      </c>
      <c r="AC1008" s="398"/>
      <c r="AD1008" s="398">
        <v>441.59</v>
      </c>
      <c r="AE1008" s="393" t="s">
        <v>660</v>
      </c>
      <c r="AF1008" s="417"/>
      <c r="AG1008" s="417">
        <f>17.617+19.451</f>
        <v>37.067999999999998</v>
      </c>
      <c r="AH1008" s="417">
        <v>37.067999999999998</v>
      </c>
      <c r="AI1008" s="394"/>
      <c r="AJ1008" s="453">
        <v>42811</v>
      </c>
      <c r="AK1008" s="453">
        <v>42667</v>
      </c>
      <c r="AL1008" s="393"/>
      <c r="AM1008" s="393"/>
      <c r="AN1008" s="417"/>
      <c r="AO1008" s="392"/>
      <c r="AP1008" s="392"/>
      <c r="AQ1008" s="392"/>
      <c r="AR1008" s="392" t="s">
        <v>368</v>
      </c>
      <c r="AS1008" s="479">
        <v>40890</v>
      </c>
      <c r="AT1008" s="453"/>
      <c r="AU1008" s="453"/>
      <c r="AV1008" s="453"/>
      <c r="AW1008" s="453"/>
      <c r="AX1008" s="453"/>
      <c r="AY1008" s="453"/>
      <c r="AZ1008" s="452">
        <v>41905</v>
      </c>
      <c r="BA1008" s="393"/>
      <c r="BB1008" s="393"/>
      <c r="BC1008" s="393" t="b">
        <v>0</v>
      </c>
      <c r="BD1008" s="393"/>
      <c r="BE1008" s="392"/>
      <c r="BF1008" s="394">
        <v>5</v>
      </c>
      <c r="BG1008" s="394">
        <v>4</v>
      </c>
      <c r="BH1008" s="394">
        <v>1</v>
      </c>
      <c r="BI1008" s="394">
        <v>6</v>
      </c>
      <c r="BJ1008" s="394">
        <v>8</v>
      </c>
      <c r="BK1008" s="394">
        <v>10</v>
      </c>
      <c r="BL1008" s="444" t="s">
        <v>6981</v>
      </c>
      <c r="BM1008" s="392" t="s">
        <v>3330</v>
      </c>
      <c r="BN1008" s="393"/>
      <c r="BO1008" s="393"/>
      <c r="BP1008" s="399"/>
      <c r="BQ1008" s="400"/>
      <c r="BR1008" s="401"/>
      <c r="BS1008" s="399"/>
      <c r="BT1008" s="394"/>
      <c r="BU1008" s="417"/>
      <c r="BV1008" s="399"/>
      <c r="BW1008" s="393" t="s">
        <v>3117</v>
      </c>
      <c r="BX1008" s="392" t="s">
        <v>4364</v>
      </c>
      <c r="BY1008" s="393" t="s">
        <v>7224</v>
      </c>
      <c r="BZ1008" s="393"/>
      <c r="CA1008" s="441"/>
      <c r="CB1008" s="400"/>
      <c r="CC1008" s="398"/>
      <c r="CD1008" s="398"/>
      <c r="CE1008" s="398"/>
      <c r="CF1008" s="398"/>
      <c r="CG1008" s="398"/>
      <c r="CH1008" s="398"/>
      <c r="CI1008" s="398"/>
      <c r="CJ1008" s="398">
        <v>44.158999999999999</v>
      </c>
      <c r="CK1008" s="398">
        <v>44.158999999999999</v>
      </c>
      <c r="CL1008" s="398">
        <v>44.158999999999999</v>
      </c>
      <c r="CM1008" s="398">
        <v>44.158999999999999</v>
      </c>
      <c r="CN1008" s="398">
        <v>44.158999999999999</v>
      </c>
      <c r="CO1008" s="398">
        <v>44.158999999999999</v>
      </c>
      <c r="CP1008" s="398">
        <v>44.158999999999999</v>
      </c>
      <c r="CQ1008" s="398">
        <v>44.158999999999999</v>
      </c>
      <c r="CR1008" s="398">
        <v>44.158999999999999</v>
      </c>
      <c r="CS1008" s="398">
        <v>44.158999999999999</v>
      </c>
      <c r="CT1008" s="398"/>
      <c r="CU1008" s="398"/>
      <c r="CV1008" s="398"/>
      <c r="CW1008" s="398"/>
      <c r="CX1008" s="398"/>
      <c r="CY1008" s="398"/>
      <c r="CZ1008" s="398"/>
      <c r="DA1008" s="398"/>
      <c r="DB1008" s="398"/>
      <c r="DC1008" s="398"/>
      <c r="DD1008" s="398"/>
      <c r="DE1008" s="393"/>
      <c r="DF1008" s="393"/>
      <c r="DG1008" s="393"/>
      <c r="DH1008" s="393"/>
      <c r="DI1008" s="393"/>
      <c r="DJ1008" s="393"/>
      <c r="DK1008" s="897"/>
    </row>
    <row r="1009" spans="1:115" ht="25.5" x14ac:dyDescent="0.2">
      <c r="A1009" s="295">
        <v>1005</v>
      </c>
      <c r="B1009" s="390" t="s">
        <v>6740</v>
      </c>
      <c r="C1009" s="390"/>
      <c r="D1009" s="391" t="s">
        <v>6741</v>
      </c>
      <c r="E1009" s="704" t="s">
        <v>6742</v>
      </c>
      <c r="F1009" s="393" t="s">
        <v>1375</v>
      </c>
      <c r="G1009" s="393" t="s">
        <v>1670</v>
      </c>
      <c r="H1009" s="393" t="s">
        <v>1383</v>
      </c>
      <c r="I1009" s="392"/>
      <c r="J1009" s="392"/>
      <c r="K1009" s="392" t="s">
        <v>5627</v>
      </c>
      <c r="L1009" s="392" t="s">
        <v>992</v>
      </c>
      <c r="M1009" s="392"/>
      <c r="N1009" s="393" t="s">
        <v>44</v>
      </c>
      <c r="O1009" s="393" t="s">
        <v>51</v>
      </c>
      <c r="P1009" s="393" t="s">
        <v>51</v>
      </c>
      <c r="Q1009" s="392" t="s">
        <v>976</v>
      </c>
      <c r="R1009" s="392" t="s">
        <v>6743</v>
      </c>
      <c r="S1009" s="392" t="s">
        <v>977</v>
      </c>
      <c r="T1009" s="394">
        <v>1</v>
      </c>
      <c r="U1009" s="395">
        <v>42.247999999999998</v>
      </c>
      <c r="V1009" s="395"/>
      <c r="W1009" s="453"/>
      <c r="X1009" s="394"/>
      <c r="Y1009" s="394">
        <v>10</v>
      </c>
      <c r="Z1009" s="394">
        <v>7</v>
      </c>
      <c r="AA1009" s="395">
        <v>0</v>
      </c>
      <c r="AB1009" s="452">
        <v>42004</v>
      </c>
      <c r="AC1009" s="398"/>
      <c r="AD1009" s="398">
        <v>422.47999999999996</v>
      </c>
      <c r="AE1009" s="393" t="s">
        <v>660</v>
      </c>
      <c r="AF1009" s="417"/>
      <c r="AG1009" s="417"/>
      <c r="AH1009" s="417">
        <f>+SUM(AF1009:AG1009)</f>
        <v>0</v>
      </c>
      <c r="AI1009" s="394"/>
      <c r="AJ1009" s="453"/>
      <c r="AK1009" s="453"/>
      <c r="AL1009" s="393"/>
      <c r="AM1009" s="393"/>
      <c r="AN1009" s="417"/>
      <c r="AO1009" s="392"/>
      <c r="AP1009" s="392"/>
      <c r="AQ1009" s="392"/>
      <c r="AR1009" s="392" t="s">
        <v>368</v>
      </c>
      <c r="AS1009" s="479">
        <v>40890</v>
      </c>
      <c r="AT1009" s="453"/>
      <c r="AU1009" s="453"/>
      <c r="AV1009" s="453">
        <v>41407</v>
      </c>
      <c r="AW1009" s="453"/>
      <c r="AX1009" s="453"/>
      <c r="AY1009" s="453"/>
      <c r="AZ1009" s="452">
        <v>42004</v>
      </c>
      <c r="BA1009" s="393"/>
      <c r="BB1009" s="393"/>
      <c r="BC1009" s="393" t="b">
        <v>0</v>
      </c>
      <c r="BD1009" s="393"/>
      <c r="BE1009" s="392"/>
      <c r="BF1009" s="394">
        <v>5</v>
      </c>
      <c r="BG1009" s="394">
        <v>4</v>
      </c>
      <c r="BH1009" s="394">
        <v>1</v>
      </c>
      <c r="BI1009" s="394">
        <v>6</v>
      </c>
      <c r="BJ1009" s="394">
        <v>8</v>
      </c>
      <c r="BK1009" s="394">
        <v>10</v>
      </c>
      <c r="BL1009" s="444" t="s">
        <v>6981</v>
      </c>
      <c r="BM1009" s="392" t="s">
        <v>3330</v>
      </c>
      <c r="BN1009" s="393"/>
      <c r="BO1009" s="393"/>
      <c r="BP1009" s="399"/>
      <c r="BQ1009" s="400"/>
      <c r="BR1009" s="401"/>
      <c r="BS1009" s="399"/>
      <c r="BT1009" s="394"/>
      <c r="BU1009" s="417"/>
      <c r="BV1009" s="399"/>
      <c r="BW1009" s="393" t="s">
        <v>3117</v>
      </c>
      <c r="BX1009" s="392" t="s">
        <v>4364</v>
      </c>
      <c r="BY1009" s="393" t="s">
        <v>7224</v>
      </c>
      <c r="BZ1009" s="393"/>
      <c r="CA1009" s="441"/>
      <c r="CB1009" s="400"/>
      <c r="CC1009" s="398"/>
      <c r="CD1009" s="398"/>
      <c r="CE1009" s="398"/>
      <c r="CF1009" s="398"/>
      <c r="CG1009" s="398"/>
      <c r="CH1009" s="398"/>
      <c r="CI1009" s="398"/>
      <c r="CJ1009" s="398"/>
      <c r="CK1009" s="398">
        <v>35.603000000000002</v>
      </c>
      <c r="CL1009" s="398">
        <v>42.987000000000002</v>
      </c>
      <c r="CM1009" s="398">
        <v>42.987000000000002</v>
      </c>
      <c r="CN1009" s="398">
        <v>42.987000000000002</v>
      </c>
      <c r="CO1009" s="398">
        <v>42.987000000000002</v>
      </c>
      <c r="CP1009" s="398">
        <v>42.987000000000002</v>
      </c>
      <c r="CQ1009" s="398">
        <v>42.987000000000002</v>
      </c>
      <c r="CR1009" s="398">
        <v>42.987000000000002</v>
      </c>
      <c r="CS1009" s="398">
        <v>42.987000000000002</v>
      </c>
      <c r="CT1009" s="398">
        <v>42.987000000000002</v>
      </c>
      <c r="CU1009" s="398"/>
      <c r="CV1009" s="398"/>
      <c r="CW1009" s="398"/>
      <c r="CX1009" s="398"/>
      <c r="CY1009" s="398"/>
      <c r="CZ1009" s="398"/>
      <c r="DA1009" s="398"/>
      <c r="DB1009" s="398"/>
      <c r="DC1009" s="398"/>
      <c r="DD1009" s="398"/>
      <c r="DE1009" s="393"/>
      <c r="DF1009" s="393"/>
      <c r="DG1009" s="393"/>
      <c r="DH1009" s="393"/>
      <c r="DI1009" s="393"/>
      <c r="DJ1009" s="393"/>
      <c r="DK1009" s="897"/>
    </row>
    <row r="1010" spans="1:115" ht="51" x14ac:dyDescent="0.2">
      <c r="A1010" s="295">
        <v>1006</v>
      </c>
      <c r="B1010" s="390" t="s">
        <v>76</v>
      </c>
      <c r="C1010" s="424" t="s">
        <v>7607</v>
      </c>
      <c r="D1010" s="391" t="s">
        <v>5139</v>
      </c>
      <c r="E1010" s="704" t="s">
        <v>77</v>
      </c>
      <c r="F1010" s="393" t="s">
        <v>1352</v>
      </c>
      <c r="G1010" s="393" t="s">
        <v>1672</v>
      </c>
      <c r="H1010" s="393" t="s">
        <v>78</v>
      </c>
      <c r="I1010" s="392"/>
      <c r="J1010" s="392" t="s">
        <v>78</v>
      </c>
      <c r="K1010" s="392"/>
      <c r="L1010" s="392" t="s">
        <v>79</v>
      </c>
      <c r="M1010" s="392" t="s">
        <v>3344</v>
      </c>
      <c r="N1010" s="393" t="s">
        <v>44</v>
      </c>
      <c r="O1010" s="393" t="s">
        <v>80</v>
      </c>
      <c r="P1010" s="393" t="s">
        <v>80</v>
      </c>
      <c r="Q1010" s="392" t="s">
        <v>70</v>
      </c>
      <c r="R1010" s="392"/>
      <c r="S1010" s="392" t="s">
        <v>81</v>
      </c>
      <c r="T1010" s="394">
        <v>1</v>
      </c>
      <c r="U1010" s="395">
        <v>11.590999999999999</v>
      </c>
      <c r="V1010" s="395"/>
      <c r="W1010" s="452">
        <v>41153</v>
      </c>
      <c r="X1010" s="394">
        <v>28</v>
      </c>
      <c r="Y1010" s="394"/>
      <c r="Z1010" s="394"/>
      <c r="AA1010" s="395"/>
      <c r="AB1010" s="453"/>
      <c r="AC1010" s="398">
        <v>0</v>
      </c>
      <c r="AD1010" s="398">
        <v>115.91</v>
      </c>
      <c r="AE1010" s="393" t="s">
        <v>82</v>
      </c>
      <c r="AF1010" s="417"/>
      <c r="AG1010" s="417"/>
      <c r="AH1010" s="417">
        <v>0</v>
      </c>
      <c r="AI1010" s="394"/>
      <c r="AJ1010" s="453"/>
      <c r="AK1010" s="453"/>
      <c r="AL1010" s="393"/>
      <c r="AM1010" s="393"/>
      <c r="AN1010" s="417"/>
      <c r="AO1010" s="392"/>
      <c r="AP1010" s="428" t="s">
        <v>7088</v>
      </c>
      <c r="AQ1010" s="392"/>
      <c r="AR1010" s="392" t="s">
        <v>3787</v>
      </c>
      <c r="AS1010" s="479">
        <v>40892</v>
      </c>
      <c r="AT1010" s="453"/>
      <c r="AU1010" s="453"/>
      <c r="AV1010" s="452">
        <v>41043</v>
      </c>
      <c r="AW1010" s="452">
        <v>41274</v>
      </c>
      <c r="AX1010" s="452">
        <v>41453</v>
      </c>
      <c r="AY1010" s="452">
        <v>41274</v>
      </c>
      <c r="AZ1010" s="453"/>
      <c r="BA1010" s="393"/>
      <c r="BB1010" s="393" t="s">
        <v>3147</v>
      </c>
      <c r="BC1010" s="393" t="b">
        <v>1</v>
      </c>
      <c r="BD1010" s="393" t="s">
        <v>3147</v>
      </c>
      <c r="BE1010" s="392"/>
      <c r="BF1010" s="394">
        <v>1</v>
      </c>
      <c r="BG1010" s="394">
        <v>6</v>
      </c>
      <c r="BH1010" s="394">
        <v>9</v>
      </c>
      <c r="BI1010" s="394">
        <v>5</v>
      </c>
      <c r="BJ1010" s="394"/>
      <c r="BK1010" s="394"/>
      <c r="BL1010" s="444"/>
      <c r="BM1010" s="392"/>
      <c r="BN1010" s="393"/>
      <c r="BO1010" s="393"/>
      <c r="BP1010" s="399"/>
      <c r="BQ1010" s="400"/>
      <c r="BR1010" s="401"/>
      <c r="BS1010" s="399">
        <v>0.6</v>
      </c>
      <c r="BT1010" s="394"/>
      <c r="BU1010" s="417"/>
      <c r="BV1010" s="399"/>
      <c r="BW1010" s="393"/>
      <c r="BX1010" s="392"/>
      <c r="BY1010" s="393"/>
      <c r="BZ1010" s="393"/>
      <c r="CA1010" s="441"/>
      <c r="CB1010" s="400"/>
      <c r="CC1010" s="398"/>
      <c r="CD1010" s="398"/>
      <c r="CE1010" s="398"/>
      <c r="CF1010" s="398"/>
      <c r="CG1010" s="398"/>
      <c r="CH1010" s="398"/>
      <c r="CI1010" s="398"/>
      <c r="CJ1010" s="398"/>
      <c r="CK1010" s="398"/>
      <c r="CL1010" s="398"/>
      <c r="CM1010" s="398"/>
      <c r="CN1010" s="398"/>
      <c r="CO1010" s="398"/>
      <c r="CP1010" s="398"/>
      <c r="CQ1010" s="398"/>
      <c r="CR1010" s="398"/>
      <c r="CS1010" s="398"/>
      <c r="CT1010" s="398"/>
      <c r="CU1010" s="398"/>
      <c r="CV1010" s="398"/>
      <c r="CW1010" s="398"/>
      <c r="CX1010" s="398"/>
      <c r="CY1010" s="398"/>
      <c r="CZ1010" s="398"/>
      <c r="DA1010" s="398"/>
      <c r="DB1010" s="398"/>
      <c r="DC1010" s="398"/>
      <c r="DD1010" s="398"/>
      <c r="DE1010" s="393"/>
      <c r="DF1010" s="393"/>
      <c r="DG1010" s="393"/>
      <c r="DH1010" s="393"/>
      <c r="DI1010" s="393"/>
      <c r="DJ1010" s="393"/>
      <c r="DK1010" s="896" t="s">
        <v>9749</v>
      </c>
    </row>
    <row r="1011" spans="1:115" ht="25.5" x14ac:dyDescent="0.2">
      <c r="A1011" s="295">
        <v>1007</v>
      </c>
      <c r="B1011" s="390" t="s">
        <v>2779</v>
      </c>
      <c r="C1011" s="390"/>
      <c r="D1011" s="391" t="s">
        <v>5140</v>
      </c>
      <c r="E1011" s="704" t="s">
        <v>83</v>
      </c>
      <c r="F1011" s="393" t="s">
        <v>1352</v>
      </c>
      <c r="G1011" s="393" t="s">
        <v>1672</v>
      </c>
      <c r="H1011" s="393" t="s">
        <v>78</v>
      </c>
      <c r="I1011" s="392"/>
      <c r="J1011" s="392"/>
      <c r="K1011" s="392" t="s">
        <v>2196</v>
      </c>
      <c r="L1011" s="392" t="s">
        <v>79</v>
      </c>
      <c r="M1011" s="392"/>
      <c r="N1011" s="393" t="s">
        <v>44</v>
      </c>
      <c r="O1011" s="393" t="s">
        <v>80</v>
      </c>
      <c r="P1011" s="393" t="s">
        <v>80</v>
      </c>
      <c r="Q1011" s="392" t="s">
        <v>70</v>
      </c>
      <c r="R1011" s="392" t="s">
        <v>3345</v>
      </c>
      <c r="S1011" s="392" t="s">
        <v>81</v>
      </c>
      <c r="T1011" s="394">
        <v>1</v>
      </c>
      <c r="U1011" s="395">
        <v>11.590999999999999</v>
      </c>
      <c r="V1011" s="395"/>
      <c r="W1011" s="453"/>
      <c r="X1011" s="394"/>
      <c r="Y1011" s="394">
        <v>10</v>
      </c>
      <c r="Z1011" s="394">
        <v>15</v>
      </c>
      <c r="AA1011" s="395">
        <v>0.14000000000000001</v>
      </c>
      <c r="AB1011" s="452">
        <v>41334</v>
      </c>
      <c r="AC1011" s="398">
        <v>0</v>
      </c>
      <c r="AD1011" s="398">
        <v>115.91</v>
      </c>
      <c r="AE1011" s="393" t="s">
        <v>82</v>
      </c>
      <c r="AF1011" s="417"/>
      <c r="AG1011" s="417"/>
      <c r="AH1011" s="417"/>
      <c r="AI1011" s="394"/>
      <c r="AJ1011" s="453"/>
      <c r="AK1011" s="453"/>
      <c r="AL1011" s="393"/>
      <c r="AM1011" s="393"/>
      <c r="AN1011" s="417"/>
      <c r="AO1011" s="392"/>
      <c r="AP1011" s="428" t="s">
        <v>7088</v>
      </c>
      <c r="AQ1011" s="392"/>
      <c r="AR1011" s="392" t="s">
        <v>3787</v>
      </c>
      <c r="AS1011" s="479">
        <v>40892</v>
      </c>
      <c r="AT1011" s="453"/>
      <c r="AU1011" s="453"/>
      <c r="AV1011" s="453"/>
      <c r="AW1011" s="453"/>
      <c r="AX1011" s="453"/>
      <c r="AY1011" s="453"/>
      <c r="AZ1011" s="452">
        <v>41274</v>
      </c>
      <c r="BA1011" s="393"/>
      <c r="BB1011" s="393"/>
      <c r="BC1011" s="393" t="b">
        <v>0</v>
      </c>
      <c r="BD1011" s="393"/>
      <c r="BE1011" s="392"/>
      <c r="BF1011" s="394">
        <v>1</v>
      </c>
      <c r="BG1011" s="394">
        <v>6</v>
      </c>
      <c r="BH1011" s="394">
        <v>9</v>
      </c>
      <c r="BI1011" s="394">
        <v>5</v>
      </c>
      <c r="BJ1011" s="394"/>
      <c r="BK1011" s="394"/>
      <c r="BL1011" s="444" t="s">
        <v>6981</v>
      </c>
      <c r="BM1011" s="392"/>
      <c r="BN1011" s="393"/>
      <c r="BO1011" s="393"/>
      <c r="BP1011" s="399"/>
      <c r="BQ1011" s="400"/>
      <c r="BR1011" s="401"/>
      <c r="BS1011" s="399">
        <v>0.6</v>
      </c>
      <c r="BT1011" s="394">
        <v>2323</v>
      </c>
      <c r="BU1011" s="417">
        <v>0.72499999999999998</v>
      </c>
      <c r="BV1011" s="399"/>
      <c r="BW1011" s="393" t="s">
        <v>3117</v>
      </c>
      <c r="BX1011" s="392" t="s">
        <v>1447</v>
      </c>
      <c r="BY1011" s="393"/>
      <c r="BZ1011" s="393"/>
      <c r="CA1011" s="441" t="s">
        <v>1662</v>
      </c>
      <c r="CB1011" s="400">
        <v>4</v>
      </c>
      <c r="CC1011" s="398"/>
      <c r="CD1011" s="398"/>
      <c r="CE1011" s="398"/>
      <c r="CF1011" s="398"/>
      <c r="CG1011" s="398"/>
      <c r="CH1011" s="398"/>
      <c r="CI1011" s="398">
        <v>8.2799999999999994</v>
      </c>
      <c r="CJ1011" s="398">
        <v>11.59</v>
      </c>
      <c r="CK1011" s="398">
        <v>12.304</v>
      </c>
      <c r="CL1011" s="398">
        <v>13.013999999999999</v>
      </c>
      <c r="CM1011" s="398">
        <v>13.714</v>
      </c>
      <c r="CN1011" s="398">
        <v>12.87</v>
      </c>
      <c r="CO1011" s="398">
        <v>12.084</v>
      </c>
      <c r="CP1011" s="398">
        <v>11.352</v>
      </c>
      <c r="CQ1011" s="398">
        <v>10.669</v>
      </c>
      <c r="CR1011" s="398">
        <v>10.032999999999999</v>
      </c>
      <c r="CS1011" s="398">
        <v>1.573</v>
      </c>
      <c r="CT1011" s="398"/>
      <c r="CU1011" s="398"/>
      <c r="CV1011" s="398"/>
      <c r="CW1011" s="398"/>
      <c r="CX1011" s="398"/>
      <c r="CY1011" s="398"/>
      <c r="CZ1011" s="398"/>
      <c r="DA1011" s="398"/>
      <c r="DB1011" s="398"/>
      <c r="DC1011" s="398"/>
      <c r="DD1011" s="398"/>
      <c r="DE1011" s="393"/>
      <c r="DF1011" s="393"/>
      <c r="DG1011" s="393"/>
      <c r="DH1011" s="393"/>
      <c r="DI1011" s="393"/>
      <c r="DJ1011" s="393"/>
      <c r="DK1011" s="897"/>
    </row>
    <row r="1012" spans="1:115" ht="63.75" x14ac:dyDescent="0.2">
      <c r="A1012" s="295">
        <v>1008</v>
      </c>
      <c r="B1012" s="390" t="s">
        <v>259</v>
      </c>
      <c r="C1012" s="424" t="s">
        <v>7608</v>
      </c>
      <c r="D1012" s="391" t="s">
        <v>5141</v>
      </c>
      <c r="E1012" s="707" t="s">
        <v>260</v>
      </c>
      <c r="F1012" s="404" t="s">
        <v>1352</v>
      </c>
      <c r="G1012" s="404" t="s">
        <v>1672</v>
      </c>
      <c r="H1012" s="404" t="s">
        <v>261</v>
      </c>
      <c r="I1012" s="403"/>
      <c r="J1012" s="403" t="s">
        <v>261</v>
      </c>
      <c r="K1012" s="403"/>
      <c r="L1012" s="403" t="s">
        <v>262</v>
      </c>
      <c r="M1012" s="403" t="s">
        <v>3346</v>
      </c>
      <c r="N1012" s="404" t="s">
        <v>1333</v>
      </c>
      <c r="O1012" s="404" t="s">
        <v>34</v>
      </c>
      <c r="P1012" s="404" t="s">
        <v>34</v>
      </c>
      <c r="Q1012" s="403" t="s">
        <v>255</v>
      </c>
      <c r="R1012" s="403"/>
      <c r="S1012" s="403" t="s">
        <v>256</v>
      </c>
      <c r="T1012" s="405">
        <v>1</v>
      </c>
      <c r="U1012" s="406">
        <v>1.0209999999999999</v>
      </c>
      <c r="V1012" s="406"/>
      <c r="W1012" s="456">
        <v>41126</v>
      </c>
      <c r="X1012" s="405">
        <v>28</v>
      </c>
      <c r="Y1012" s="405"/>
      <c r="Z1012" s="405"/>
      <c r="AA1012" s="406"/>
      <c r="AB1012" s="455"/>
      <c r="AC1012" s="407">
        <v>0.42499999999999999</v>
      </c>
      <c r="AD1012" s="407">
        <v>10.209999999999999</v>
      </c>
      <c r="AE1012" s="404" t="s">
        <v>72</v>
      </c>
      <c r="AF1012" s="418"/>
      <c r="AG1012" s="418"/>
      <c r="AH1012" s="418">
        <v>0</v>
      </c>
      <c r="AI1012" s="405"/>
      <c r="AJ1012" s="455"/>
      <c r="AK1012" s="455"/>
      <c r="AL1012" s="404"/>
      <c r="AM1012" s="404"/>
      <c r="AN1012" s="418"/>
      <c r="AO1012" s="403"/>
      <c r="AP1012" s="403" t="s">
        <v>7057</v>
      </c>
      <c r="AQ1012" s="403"/>
      <c r="AR1012" s="403" t="s">
        <v>262</v>
      </c>
      <c r="AS1012" s="482">
        <v>40892</v>
      </c>
      <c r="AT1012" s="455"/>
      <c r="AU1012" s="455" t="s">
        <v>2682</v>
      </c>
      <c r="AV1012" s="456">
        <v>40441</v>
      </c>
      <c r="AW1012" s="456">
        <v>41184</v>
      </c>
      <c r="AX1012" s="456">
        <v>41243</v>
      </c>
      <c r="AY1012" s="455"/>
      <c r="AZ1012" s="455"/>
      <c r="BA1012" s="404"/>
      <c r="BB1012" s="404" t="s">
        <v>3147</v>
      </c>
      <c r="BC1012" s="404" t="b">
        <v>0</v>
      </c>
      <c r="BD1012" s="404" t="s">
        <v>3116</v>
      </c>
      <c r="BE1012" s="403"/>
      <c r="BF1012" s="405">
        <v>5</v>
      </c>
      <c r="BG1012" s="405">
        <v>9</v>
      </c>
      <c r="BH1012" s="405"/>
      <c r="BI1012" s="405"/>
      <c r="BJ1012" s="405"/>
      <c r="BK1012" s="405"/>
      <c r="BL1012" s="446"/>
      <c r="BM1012" s="403"/>
      <c r="BN1012" s="404"/>
      <c r="BO1012" s="404"/>
      <c r="BP1012" s="408"/>
      <c r="BQ1012" s="409"/>
      <c r="BR1012" s="410"/>
      <c r="BS1012" s="408">
        <v>0</v>
      </c>
      <c r="BT1012" s="405"/>
      <c r="BU1012" s="418"/>
      <c r="BV1012" s="408"/>
      <c r="BW1012" s="404"/>
      <c r="BX1012" s="403"/>
      <c r="BY1012" s="404"/>
      <c r="BZ1012" s="404"/>
      <c r="CA1012" s="443"/>
      <c r="CB1012" s="409"/>
      <c r="CC1012" s="407"/>
      <c r="CD1012" s="407"/>
      <c r="CE1012" s="407"/>
      <c r="CF1012" s="407"/>
      <c r="CG1012" s="407"/>
      <c r="CH1012" s="407"/>
      <c r="CI1012" s="407"/>
      <c r="CJ1012" s="407"/>
      <c r="CK1012" s="407"/>
      <c r="CL1012" s="407"/>
      <c r="CM1012" s="407"/>
      <c r="CN1012" s="407"/>
      <c r="CO1012" s="407"/>
      <c r="CP1012" s="407"/>
      <c r="CQ1012" s="407"/>
      <c r="CR1012" s="407"/>
      <c r="CS1012" s="407"/>
      <c r="CT1012" s="407"/>
      <c r="CU1012" s="407"/>
      <c r="CV1012" s="407"/>
      <c r="CW1012" s="407"/>
      <c r="CX1012" s="407"/>
      <c r="CY1012" s="407"/>
      <c r="CZ1012" s="407"/>
      <c r="DA1012" s="407"/>
      <c r="DB1012" s="407"/>
      <c r="DC1012" s="407"/>
      <c r="DD1012" s="407"/>
      <c r="DE1012" s="404"/>
      <c r="DF1012" s="404"/>
      <c r="DG1012" s="404"/>
      <c r="DH1012" s="404"/>
      <c r="DI1012" s="404"/>
      <c r="DJ1012" s="404"/>
      <c r="DK1012" s="896" t="s">
        <v>9729</v>
      </c>
    </row>
    <row r="1013" spans="1:115" ht="51" x14ac:dyDescent="0.2">
      <c r="A1013" s="295">
        <v>1009</v>
      </c>
      <c r="B1013" s="390" t="s">
        <v>2780</v>
      </c>
      <c r="C1013" s="390"/>
      <c r="D1013" s="391" t="s">
        <v>4251</v>
      </c>
      <c r="E1013" s="707" t="s">
        <v>263</v>
      </c>
      <c r="F1013" s="404" t="s">
        <v>1352</v>
      </c>
      <c r="G1013" s="404" t="s">
        <v>1672</v>
      </c>
      <c r="H1013" s="404" t="s">
        <v>261</v>
      </c>
      <c r="I1013" s="403"/>
      <c r="J1013" s="403"/>
      <c r="K1013" s="403" t="s">
        <v>2197</v>
      </c>
      <c r="L1013" s="403" t="s">
        <v>262</v>
      </c>
      <c r="M1013" s="403"/>
      <c r="N1013" s="404" t="s">
        <v>1333</v>
      </c>
      <c r="O1013" s="404" t="s">
        <v>34</v>
      </c>
      <c r="P1013" s="404" t="s">
        <v>34</v>
      </c>
      <c r="Q1013" s="403" t="s">
        <v>255</v>
      </c>
      <c r="R1013" s="403" t="s">
        <v>3347</v>
      </c>
      <c r="S1013" s="403" t="s">
        <v>256</v>
      </c>
      <c r="T1013" s="405">
        <v>1</v>
      </c>
      <c r="U1013" s="406">
        <v>1.0209999999999999</v>
      </c>
      <c r="V1013" s="406"/>
      <c r="W1013" s="455"/>
      <c r="X1013" s="405"/>
      <c r="Y1013" s="405">
        <v>10</v>
      </c>
      <c r="Z1013" s="405">
        <v>10</v>
      </c>
      <c r="AA1013" s="406">
        <v>0</v>
      </c>
      <c r="AB1013" s="456">
        <v>41126</v>
      </c>
      <c r="AC1013" s="407">
        <v>0.42499999999999999</v>
      </c>
      <c r="AD1013" s="407">
        <v>10.209999999999999</v>
      </c>
      <c r="AE1013" s="404" t="s">
        <v>72</v>
      </c>
      <c r="AF1013" s="418"/>
      <c r="AG1013" s="418"/>
      <c r="AH1013" s="418"/>
      <c r="AI1013" s="405"/>
      <c r="AJ1013" s="455"/>
      <c r="AK1013" s="455"/>
      <c r="AL1013" s="404"/>
      <c r="AM1013" s="404"/>
      <c r="AN1013" s="418"/>
      <c r="AO1013" s="403"/>
      <c r="AP1013" s="403" t="s">
        <v>7057</v>
      </c>
      <c r="AQ1013" s="403"/>
      <c r="AR1013" s="403" t="s">
        <v>262</v>
      </c>
      <c r="AS1013" s="482">
        <v>40892</v>
      </c>
      <c r="AT1013" s="455"/>
      <c r="AU1013" s="455" t="s">
        <v>1058</v>
      </c>
      <c r="AV1013" s="455"/>
      <c r="AW1013" s="455"/>
      <c r="AX1013" s="455"/>
      <c r="AY1013" s="455"/>
      <c r="AZ1013" s="455"/>
      <c r="BA1013" s="404" t="s">
        <v>6984</v>
      </c>
      <c r="BB1013" s="404"/>
      <c r="BC1013" s="404" t="b">
        <v>0</v>
      </c>
      <c r="BD1013" s="404"/>
      <c r="BE1013" s="403"/>
      <c r="BF1013" s="405">
        <v>5</v>
      </c>
      <c r="BG1013" s="405">
        <v>9</v>
      </c>
      <c r="BH1013" s="405">
        <v>7</v>
      </c>
      <c r="BI1013" s="405"/>
      <c r="BJ1013" s="405"/>
      <c r="BK1013" s="405"/>
      <c r="BL1013" s="446" t="s">
        <v>6981</v>
      </c>
      <c r="BM1013" s="403"/>
      <c r="BN1013" s="404"/>
      <c r="BO1013" s="404"/>
      <c r="BP1013" s="408"/>
      <c r="BQ1013" s="409"/>
      <c r="BR1013" s="410"/>
      <c r="BS1013" s="408"/>
      <c r="BT1013" s="405"/>
      <c r="BU1013" s="418">
        <v>0.45115</v>
      </c>
      <c r="BV1013" s="408"/>
      <c r="BW1013" s="404" t="s">
        <v>3117</v>
      </c>
      <c r="BX1013" s="403" t="s">
        <v>1449</v>
      </c>
      <c r="BY1013" s="404"/>
      <c r="BZ1013" s="404"/>
      <c r="CA1013" s="443"/>
      <c r="CB1013" s="409"/>
      <c r="CC1013" s="407"/>
      <c r="CD1013" s="407"/>
      <c r="CE1013" s="407"/>
      <c r="CF1013" s="407"/>
      <c r="CG1013" s="407"/>
      <c r="CH1013" s="407">
        <v>0.95899999999999996</v>
      </c>
      <c r="CI1013" s="407">
        <v>0.95899999999999996</v>
      </c>
      <c r="CJ1013" s="407">
        <v>0.95899999999999996</v>
      </c>
      <c r="CK1013" s="407">
        <v>0.95899999999999996</v>
      </c>
      <c r="CL1013" s="407">
        <v>0.95899999999999996</v>
      </c>
      <c r="CM1013" s="407">
        <v>0.95899999999999996</v>
      </c>
      <c r="CN1013" s="407">
        <v>0.95899999999999996</v>
      </c>
      <c r="CO1013" s="407">
        <v>0.95899999999999996</v>
      </c>
      <c r="CP1013" s="407">
        <v>0.95899999999999996</v>
      </c>
      <c r="CQ1013" s="407">
        <v>0.95899999999999996</v>
      </c>
      <c r="CR1013" s="407"/>
      <c r="CS1013" s="407"/>
      <c r="CT1013" s="407"/>
      <c r="CU1013" s="407"/>
      <c r="CV1013" s="407"/>
      <c r="CW1013" s="407"/>
      <c r="CX1013" s="407"/>
      <c r="CY1013" s="407"/>
      <c r="CZ1013" s="407"/>
      <c r="DA1013" s="407"/>
      <c r="DB1013" s="407"/>
      <c r="DC1013" s="407"/>
      <c r="DD1013" s="407"/>
      <c r="DE1013" s="404"/>
      <c r="DF1013" s="404"/>
      <c r="DG1013" s="404"/>
      <c r="DH1013" s="404"/>
      <c r="DI1013" s="404"/>
      <c r="DJ1013" s="404"/>
      <c r="DK1013" s="897"/>
    </row>
    <row r="1014" spans="1:115" ht="51" x14ac:dyDescent="0.2">
      <c r="A1014" s="295">
        <v>1010</v>
      </c>
      <c r="B1014" s="390" t="s">
        <v>808</v>
      </c>
      <c r="C1014" s="424" t="s">
        <v>7609</v>
      </c>
      <c r="D1014" s="391" t="s">
        <v>5142</v>
      </c>
      <c r="E1014" s="704" t="s">
        <v>717</v>
      </c>
      <c r="F1014" s="393" t="s">
        <v>1340</v>
      </c>
      <c r="G1014" s="393" t="s">
        <v>1677</v>
      </c>
      <c r="H1014" s="393" t="s">
        <v>718</v>
      </c>
      <c r="I1014" s="392"/>
      <c r="J1014" s="392" t="s">
        <v>809</v>
      </c>
      <c r="K1014" s="392"/>
      <c r="L1014" s="392" t="s">
        <v>724</v>
      </c>
      <c r="M1014" s="392" t="s">
        <v>3190</v>
      </c>
      <c r="N1014" s="393" t="s">
        <v>44</v>
      </c>
      <c r="O1014" s="393" t="s">
        <v>289</v>
      </c>
      <c r="P1014" s="393" t="s">
        <v>289</v>
      </c>
      <c r="Q1014" s="392" t="s">
        <v>721</v>
      </c>
      <c r="R1014" s="392"/>
      <c r="S1014" s="392" t="s">
        <v>291</v>
      </c>
      <c r="T1014" s="394">
        <v>1</v>
      </c>
      <c r="U1014" s="395">
        <v>5.9880000000000004</v>
      </c>
      <c r="V1014" s="395"/>
      <c r="W1014" s="452">
        <v>40680</v>
      </c>
      <c r="X1014" s="394">
        <v>28</v>
      </c>
      <c r="Y1014" s="394"/>
      <c r="Z1014" s="394"/>
      <c r="AA1014" s="395"/>
      <c r="AB1014" s="453"/>
      <c r="AC1014" s="398">
        <v>0</v>
      </c>
      <c r="AD1014" s="398">
        <v>47.920405479452057</v>
      </c>
      <c r="AE1014" s="393" t="s">
        <v>37</v>
      </c>
      <c r="AF1014" s="417"/>
      <c r="AG1014" s="417"/>
      <c r="AH1014" s="417">
        <v>0</v>
      </c>
      <c r="AI1014" s="394"/>
      <c r="AJ1014" s="453"/>
      <c r="AK1014" s="453"/>
      <c r="AL1014" s="393"/>
      <c r="AM1014" s="393"/>
      <c r="AN1014" s="417"/>
      <c r="AO1014" s="392"/>
      <c r="AP1014" s="392" t="s">
        <v>55</v>
      </c>
      <c r="AQ1014" s="392"/>
      <c r="AR1014" s="392" t="s">
        <v>722</v>
      </c>
      <c r="AS1014" s="479">
        <v>40892</v>
      </c>
      <c r="AT1014" s="453"/>
      <c r="AU1014" s="453" t="s">
        <v>716</v>
      </c>
      <c r="AV1014" s="452">
        <v>41019</v>
      </c>
      <c r="AW1014" s="452">
        <v>41115</v>
      </c>
      <c r="AX1014" s="452">
        <v>41156</v>
      </c>
      <c r="AY1014" s="452">
        <v>41115</v>
      </c>
      <c r="AZ1014" s="453"/>
      <c r="BA1014" s="393"/>
      <c r="BB1014" s="393" t="s">
        <v>3147</v>
      </c>
      <c r="BC1014" s="393" t="b">
        <v>1</v>
      </c>
      <c r="BD1014" s="393" t="s">
        <v>3147</v>
      </c>
      <c r="BE1014" s="392"/>
      <c r="BF1014" s="394">
        <v>4</v>
      </c>
      <c r="BG1014" s="394"/>
      <c r="BH1014" s="394"/>
      <c r="BI1014" s="394"/>
      <c r="BJ1014" s="394"/>
      <c r="BK1014" s="394"/>
      <c r="BL1014" s="444"/>
      <c r="BM1014" s="392"/>
      <c r="BN1014" s="393"/>
      <c r="BO1014" s="393"/>
      <c r="BP1014" s="399"/>
      <c r="BQ1014" s="400"/>
      <c r="BR1014" s="401"/>
      <c r="BS1014" s="399">
        <v>2</v>
      </c>
      <c r="BT1014" s="394"/>
      <c r="BU1014" s="417"/>
      <c r="BV1014" s="399"/>
      <c r="BW1014" s="393"/>
      <c r="BX1014" s="392"/>
      <c r="BY1014" s="475" t="s">
        <v>7224</v>
      </c>
      <c r="BZ1014" s="393"/>
      <c r="CA1014" s="441"/>
      <c r="CB1014" s="400"/>
      <c r="CC1014" s="398"/>
      <c r="CD1014" s="398"/>
      <c r="CE1014" s="398"/>
      <c r="CF1014" s="398"/>
      <c r="CG1014" s="398"/>
      <c r="CH1014" s="398"/>
      <c r="CI1014" s="398"/>
      <c r="CJ1014" s="398"/>
      <c r="CK1014" s="398"/>
      <c r="CL1014" s="398"/>
      <c r="CM1014" s="398"/>
      <c r="CN1014" s="398"/>
      <c r="CO1014" s="398"/>
      <c r="CP1014" s="398"/>
      <c r="CQ1014" s="398"/>
      <c r="CR1014" s="398"/>
      <c r="CS1014" s="398"/>
      <c r="CT1014" s="398"/>
      <c r="CU1014" s="398"/>
      <c r="CV1014" s="398"/>
      <c r="CW1014" s="398"/>
      <c r="CX1014" s="398"/>
      <c r="CY1014" s="398"/>
      <c r="CZ1014" s="398"/>
      <c r="DA1014" s="398"/>
      <c r="DB1014" s="398"/>
      <c r="DC1014" s="398"/>
      <c r="DD1014" s="398"/>
      <c r="DE1014" s="393"/>
      <c r="DF1014" s="393"/>
      <c r="DG1014" s="393"/>
      <c r="DH1014" s="393"/>
      <c r="DI1014" s="393"/>
      <c r="DJ1014" s="393"/>
      <c r="DK1014" s="896" t="s">
        <v>9700</v>
      </c>
    </row>
    <row r="1015" spans="1:115" ht="38.25" x14ac:dyDescent="0.2">
      <c r="A1015" s="295">
        <v>1011</v>
      </c>
      <c r="B1015" s="390" t="s">
        <v>2781</v>
      </c>
      <c r="C1015" s="390"/>
      <c r="D1015" s="391" t="s">
        <v>3348</v>
      </c>
      <c r="E1015" s="704" t="s">
        <v>723</v>
      </c>
      <c r="F1015" s="393" t="s">
        <v>1340</v>
      </c>
      <c r="G1015" s="393" t="s">
        <v>1677</v>
      </c>
      <c r="H1015" s="393" t="s">
        <v>718</v>
      </c>
      <c r="I1015" s="392"/>
      <c r="J1015" s="392"/>
      <c r="K1015" s="392" t="s">
        <v>2198</v>
      </c>
      <c r="L1015" s="392" t="s">
        <v>724</v>
      </c>
      <c r="M1015" s="392"/>
      <c r="N1015" s="393" t="s">
        <v>44</v>
      </c>
      <c r="O1015" s="393" t="s">
        <v>289</v>
      </c>
      <c r="P1015" s="393" t="s">
        <v>289</v>
      </c>
      <c r="Q1015" s="392" t="s">
        <v>721</v>
      </c>
      <c r="R1015" s="392" t="s">
        <v>3349</v>
      </c>
      <c r="S1015" s="392" t="s">
        <v>291</v>
      </c>
      <c r="T1015" s="394">
        <v>1</v>
      </c>
      <c r="U1015" s="395">
        <v>5.9880000000000004</v>
      </c>
      <c r="V1015" s="395"/>
      <c r="W1015" s="453"/>
      <c r="X1015" s="394"/>
      <c r="Y1015" s="394">
        <v>7</v>
      </c>
      <c r="Z1015" s="394">
        <v>30</v>
      </c>
      <c r="AA1015" s="395">
        <v>0.29099999999999998</v>
      </c>
      <c r="AB1015" s="452">
        <v>41275</v>
      </c>
      <c r="AC1015" s="398">
        <v>0</v>
      </c>
      <c r="AD1015" s="398">
        <v>47.920405479452057</v>
      </c>
      <c r="AE1015" s="393" t="s">
        <v>37</v>
      </c>
      <c r="AF1015" s="417"/>
      <c r="AG1015" s="417"/>
      <c r="AH1015" s="417"/>
      <c r="AI1015" s="394"/>
      <c r="AJ1015" s="453"/>
      <c r="AK1015" s="453"/>
      <c r="AL1015" s="393"/>
      <c r="AM1015" s="393"/>
      <c r="AN1015" s="417"/>
      <c r="AO1015" s="392"/>
      <c r="AP1015" s="392" t="s">
        <v>55</v>
      </c>
      <c r="AQ1015" s="392"/>
      <c r="AR1015" s="392" t="s">
        <v>722</v>
      </c>
      <c r="AS1015" s="479">
        <v>40892</v>
      </c>
      <c r="AT1015" s="453"/>
      <c r="AU1015" s="453" t="s">
        <v>2708</v>
      </c>
      <c r="AV1015" s="453"/>
      <c r="AW1015" s="453"/>
      <c r="AX1015" s="453"/>
      <c r="AY1015" s="453"/>
      <c r="AZ1015" s="452">
        <v>41115</v>
      </c>
      <c r="BA1015" s="393"/>
      <c r="BB1015" s="393"/>
      <c r="BC1015" s="393" t="b">
        <v>0</v>
      </c>
      <c r="BD1015" s="393"/>
      <c r="BE1015" s="392"/>
      <c r="BF1015" s="394">
        <v>4</v>
      </c>
      <c r="BG1015" s="394"/>
      <c r="BH1015" s="394"/>
      <c r="BI1015" s="394"/>
      <c r="BJ1015" s="394"/>
      <c r="BK1015" s="394"/>
      <c r="BL1015" s="444" t="s">
        <v>6981</v>
      </c>
      <c r="BM1015" s="392"/>
      <c r="BN1015" s="393"/>
      <c r="BO1015" s="393"/>
      <c r="BP1015" s="399"/>
      <c r="BQ1015" s="400"/>
      <c r="BR1015" s="401"/>
      <c r="BS1015" s="399">
        <v>2</v>
      </c>
      <c r="BT1015" s="394">
        <v>10189</v>
      </c>
      <c r="BU1015" s="417">
        <v>0.58799999999999997</v>
      </c>
      <c r="BV1015" s="399"/>
      <c r="BW1015" s="393" t="s">
        <v>3117</v>
      </c>
      <c r="BX1015" s="392" t="s">
        <v>3942</v>
      </c>
      <c r="BY1015" s="475" t="s">
        <v>7224</v>
      </c>
      <c r="BZ1015" s="393"/>
      <c r="CA1015" s="441" t="s">
        <v>1662</v>
      </c>
      <c r="CB1015" s="400">
        <v>3</v>
      </c>
      <c r="CC1015" s="398"/>
      <c r="CD1015" s="398"/>
      <c r="CE1015" s="398"/>
      <c r="CF1015" s="398"/>
      <c r="CG1015" s="398"/>
      <c r="CH1015" s="398"/>
      <c r="CI1015" s="398">
        <v>5.1479999999999997</v>
      </c>
      <c r="CJ1015" s="398">
        <v>5.4059999999999997</v>
      </c>
      <c r="CK1015" s="398">
        <v>5.6760000000000002</v>
      </c>
      <c r="CL1015" s="398">
        <v>5.96</v>
      </c>
      <c r="CM1015" s="398">
        <v>6.258</v>
      </c>
      <c r="CN1015" s="398">
        <v>6.5709999999999997</v>
      </c>
      <c r="CO1015" s="398">
        <v>6.899</v>
      </c>
      <c r="CP1015" s="398"/>
      <c r="CQ1015" s="398"/>
      <c r="CR1015" s="398"/>
      <c r="CS1015" s="398"/>
      <c r="CT1015" s="398"/>
      <c r="CU1015" s="398"/>
      <c r="CV1015" s="398"/>
      <c r="CW1015" s="398"/>
      <c r="CX1015" s="398"/>
      <c r="CY1015" s="398"/>
      <c r="CZ1015" s="398"/>
      <c r="DA1015" s="398"/>
      <c r="DB1015" s="398"/>
      <c r="DC1015" s="398"/>
      <c r="DD1015" s="398"/>
      <c r="DE1015" s="393"/>
      <c r="DF1015" s="393"/>
      <c r="DG1015" s="393"/>
      <c r="DH1015" s="393"/>
      <c r="DI1015" s="393"/>
      <c r="DJ1015" s="393"/>
      <c r="DK1015" s="897"/>
    </row>
    <row r="1016" spans="1:115" ht="51" x14ac:dyDescent="0.2">
      <c r="A1016" s="295">
        <v>1012</v>
      </c>
      <c r="B1016" s="390" t="s">
        <v>329</v>
      </c>
      <c r="C1016" s="424" t="s">
        <v>7610</v>
      </c>
      <c r="D1016" s="391"/>
      <c r="E1016" s="706" t="s">
        <v>330</v>
      </c>
      <c r="F1016" s="390" t="s">
        <v>1352</v>
      </c>
      <c r="G1016" s="390" t="s">
        <v>1671</v>
      </c>
      <c r="H1016" s="390" t="s">
        <v>117</v>
      </c>
      <c r="I1016" s="402"/>
      <c r="J1016" s="402" t="s">
        <v>2199</v>
      </c>
      <c r="K1016" s="402"/>
      <c r="L1016" s="402" t="s">
        <v>331</v>
      </c>
      <c r="M1016" s="402" t="s">
        <v>3350</v>
      </c>
      <c r="N1016" s="390" t="s">
        <v>33</v>
      </c>
      <c r="O1016" s="390" t="s">
        <v>139</v>
      </c>
      <c r="P1016" s="390" t="s">
        <v>139</v>
      </c>
      <c r="Q1016" s="402" t="s">
        <v>332</v>
      </c>
      <c r="R1016" s="402"/>
      <c r="S1016" s="402" t="s">
        <v>333</v>
      </c>
      <c r="T1016" s="411">
        <v>1</v>
      </c>
      <c r="U1016" s="412">
        <v>55.624000000000002</v>
      </c>
      <c r="V1016" s="412"/>
      <c r="W1016" s="457">
        <v>40940</v>
      </c>
      <c r="X1016" s="411">
        <v>28</v>
      </c>
      <c r="Y1016" s="411"/>
      <c r="Z1016" s="411"/>
      <c r="AA1016" s="412"/>
      <c r="AB1016" s="454"/>
      <c r="AC1016" s="413">
        <v>27.978871999999999</v>
      </c>
      <c r="AD1016" s="413">
        <v>556.24</v>
      </c>
      <c r="AE1016" s="390" t="s">
        <v>72</v>
      </c>
      <c r="AF1016" s="419"/>
      <c r="AG1016" s="419"/>
      <c r="AH1016" s="419">
        <v>0</v>
      </c>
      <c r="AI1016" s="411"/>
      <c r="AJ1016" s="454"/>
      <c r="AK1016" s="454"/>
      <c r="AL1016" s="390"/>
      <c r="AM1016" s="390"/>
      <c r="AN1016" s="419"/>
      <c r="AO1016" s="402"/>
      <c r="AP1016" s="402" t="s">
        <v>7072</v>
      </c>
      <c r="AQ1016" s="402"/>
      <c r="AR1016" s="402" t="s">
        <v>334</v>
      </c>
      <c r="AS1016" s="481">
        <v>40892</v>
      </c>
      <c r="AT1016" s="454"/>
      <c r="AU1016" s="454"/>
      <c r="AV1016" s="454"/>
      <c r="AW1016" s="454"/>
      <c r="AX1016" s="454"/>
      <c r="AY1016" s="454"/>
      <c r="AZ1016" s="454"/>
      <c r="BA1016" s="390"/>
      <c r="BB1016" s="390" t="s">
        <v>3147</v>
      </c>
      <c r="BC1016" s="390" t="b">
        <v>1</v>
      </c>
      <c r="BD1016" s="390" t="s">
        <v>3116</v>
      </c>
      <c r="BE1016" s="402"/>
      <c r="BF1016" s="411">
        <v>1</v>
      </c>
      <c r="BG1016" s="411">
        <v>5</v>
      </c>
      <c r="BH1016" s="411"/>
      <c r="BI1016" s="411"/>
      <c r="BJ1016" s="411"/>
      <c r="BK1016" s="411"/>
      <c r="BL1016" s="445"/>
      <c r="BM1016" s="402"/>
      <c r="BN1016" s="390"/>
      <c r="BO1016" s="390"/>
      <c r="BP1016" s="414"/>
      <c r="BQ1016" s="415"/>
      <c r="BR1016" s="416"/>
      <c r="BS1016" s="414">
        <v>0</v>
      </c>
      <c r="BT1016" s="411"/>
      <c r="BU1016" s="419"/>
      <c r="BV1016" s="414"/>
      <c r="BW1016" s="390"/>
      <c r="BX1016" s="402"/>
      <c r="BY1016" s="390"/>
      <c r="BZ1016" s="390"/>
      <c r="CA1016" s="442"/>
      <c r="CB1016" s="415"/>
      <c r="CC1016" s="413"/>
      <c r="CD1016" s="413"/>
      <c r="CE1016" s="413"/>
      <c r="CF1016" s="413"/>
      <c r="CG1016" s="413"/>
      <c r="CH1016" s="413"/>
      <c r="CI1016" s="413"/>
      <c r="CJ1016" s="413"/>
      <c r="CK1016" s="413"/>
      <c r="CL1016" s="413"/>
      <c r="CM1016" s="413"/>
      <c r="CN1016" s="413"/>
      <c r="CO1016" s="413"/>
      <c r="CP1016" s="413"/>
      <c r="CQ1016" s="413"/>
      <c r="CR1016" s="413"/>
      <c r="CS1016" s="413"/>
      <c r="CT1016" s="413"/>
      <c r="CU1016" s="413"/>
      <c r="CV1016" s="413"/>
      <c r="CW1016" s="413"/>
      <c r="CX1016" s="413"/>
      <c r="CY1016" s="413"/>
      <c r="CZ1016" s="413"/>
      <c r="DA1016" s="413"/>
      <c r="DB1016" s="413"/>
      <c r="DC1016" s="413"/>
      <c r="DD1016" s="413"/>
      <c r="DE1016" s="390"/>
      <c r="DF1016" s="390"/>
      <c r="DG1016" s="390"/>
      <c r="DH1016" s="390"/>
      <c r="DI1016" s="390"/>
      <c r="DJ1016" s="390"/>
      <c r="DK1016" s="897"/>
    </row>
    <row r="1017" spans="1:115" ht="25.5" x14ac:dyDescent="0.2">
      <c r="A1017" s="295">
        <v>1013</v>
      </c>
      <c r="B1017" s="390" t="s">
        <v>2782</v>
      </c>
      <c r="C1017" s="390"/>
      <c r="D1017" s="391"/>
      <c r="E1017" s="706" t="s">
        <v>335</v>
      </c>
      <c r="F1017" s="390" t="s">
        <v>1352</v>
      </c>
      <c r="G1017" s="390" t="s">
        <v>1671</v>
      </c>
      <c r="H1017" s="390" t="s">
        <v>117</v>
      </c>
      <c r="I1017" s="402"/>
      <c r="J1017" s="402"/>
      <c r="K1017" s="402" t="s">
        <v>2126</v>
      </c>
      <c r="L1017" s="402" t="s">
        <v>331</v>
      </c>
      <c r="M1017" s="402"/>
      <c r="N1017" s="390" t="s">
        <v>33</v>
      </c>
      <c r="O1017" s="390" t="s">
        <v>139</v>
      </c>
      <c r="P1017" s="390" t="s">
        <v>139</v>
      </c>
      <c r="Q1017" s="402" t="s">
        <v>332</v>
      </c>
      <c r="R1017" s="402" t="s">
        <v>3351</v>
      </c>
      <c r="S1017" s="402" t="s">
        <v>333</v>
      </c>
      <c r="T1017" s="411">
        <v>1</v>
      </c>
      <c r="U1017" s="412">
        <v>55.624000000000002</v>
      </c>
      <c r="V1017" s="412"/>
      <c r="W1017" s="454"/>
      <c r="X1017" s="411"/>
      <c r="Y1017" s="411">
        <v>10</v>
      </c>
      <c r="Z1017" s="411">
        <v>30</v>
      </c>
      <c r="AA1017" s="412">
        <v>0</v>
      </c>
      <c r="AB1017" s="457">
        <v>41091</v>
      </c>
      <c r="AC1017" s="413">
        <v>27.978871999999999</v>
      </c>
      <c r="AD1017" s="413">
        <v>556.24</v>
      </c>
      <c r="AE1017" s="390" t="s">
        <v>72</v>
      </c>
      <c r="AF1017" s="419"/>
      <c r="AG1017" s="419"/>
      <c r="AH1017" s="419"/>
      <c r="AI1017" s="411"/>
      <c r="AJ1017" s="454"/>
      <c r="AK1017" s="454"/>
      <c r="AL1017" s="390"/>
      <c r="AM1017" s="390"/>
      <c r="AN1017" s="419"/>
      <c r="AO1017" s="402"/>
      <c r="AP1017" s="402" t="s">
        <v>7072</v>
      </c>
      <c r="AQ1017" s="402"/>
      <c r="AR1017" s="402" t="s">
        <v>334</v>
      </c>
      <c r="AS1017" s="481">
        <v>40892</v>
      </c>
      <c r="AT1017" s="454"/>
      <c r="AU1017" s="454"/>
      <c r="AV1017" s="454"/>
      <c r="AW1017" s="454"/>
      <c r="AX1017" s="454"/>
      <c r="AY1017" s="454"/>
      <c r="AZ1017" s="454"/>
      <c r="BA1017" s="390"/>
      <c r="BB1017" s="390"/>
      <c r="BC1017" s="390" t="b">
        <v>0</v>
      </c>
      <c r="BD1017" s="390"/>
      <c r="BE1017" s="402"/>
      <c r="BF1017" s="411">
        <v>1</v>
      </c>
      <c r="BG1017" s="411">
        <v>5</v>
      </c>
      <c r="BH1017" s="411"/>
      <c r="BI1017" s="411"/>
      <c r="BJ1017" s="411"/>
      <c r="BK1017" s="411"/>
      <c r="BL1017" s="445" t="s">
        <v>6981</v>
      </c>
      <c r="BM1017" s="402"/>
      <c r="BN1017" s="390"/>
      <c r="BO1017" s="390"/>
      <c r="BP1017" s="414"/>
      <c r="BQ1017" s="415"/>
      <c r="BR1017" s="416"/>
      <c r="BS1017" s="414"/>
      <c r="BT1017" s="411"/>
      <c r="BU1017" s="419">
        <v>0.74944999999999995</v>
      </c>
      <c r="BV1017" s="414"/>
      <c r="BW1017" s="390" t="s">
        <v>3117</v>
      </c>
      <c r="BX1017" s="402" t="s">
        <v>4364</v>
      </c>
      <c r="BY1017" s="390" t="s">
        <v>7224</v>
      </c>
      <c r="BZ1017" s="390"/>
      <c r="CA1017" s="442" t="s">
        <v>1662</v>
      </c>
      <c r="CB1017" s="415">
        <v>3</v>
      </c>
      <c r="CC1017" s="413"/>
      <c r="CD1017" s="413"/>
      <c r="CE1017" s="413"/>
      <c r="CF1017" s="413"/>
      <c r="CG1017" s="413"/>
      <c r="CH1017" s="413">
        <v>27.812000000000001</v>
      </c>
      <c r="CI1017" s="413">
        <v>55.624000000000002</v>
      </c>
      <c r="CJ1017" s="413">
        <v>55.624000000000002</v>
      </c>
      <c r="CK1017" s="413">
        <v>55.624000000000002</v>
      </c>
      <c r="CL1017" s="413">
        <v>55.624000000000002</v>
      </c>
      <c r="CM1017" s="413">
        <v>55.624000000000002</v>
      </c>
      <c r="CN1017" s="413">
        <v>55.624000000000002</v>
      </c>
      <c r="CO1017" s="413">
        <v>55.624000000000002</v>
      </c>
      <c r="CP1017" s="413">
        <v>55.624000000000002</v>
      </c>
      <c r="CQ1017" s="413">
        <v>55.624000000000002</v>
      </c>
      <c r="CR1017" s="413">
        <v>27.812000000000001</v>
      </c>
      <c r="CS1017" s="413"/>
      <c r="CT1017" s="413"/>
      <c r="CU1017" s="413"/>
      <c r="CV1017" s="413"/>
      <c r="CW1017" s="413"/>
      <c r="CX1017" s="413"/>
      <c r="CY1017" s="413"/>
      <c r="CZ1017" s="413"/>
      <c r="DA1017" s="413"/>
      <c r="DB1017" s="413"/>
      <c r="DC1017" s="413"/>
      <c r="DD1017" s="413"/>
      <c r="DE1017" s="390"/>
      <c r="DF1017" s="390"/>
      <c r="DG1017" s="390"/>
      <c r="DH1017" s="390"/>
      <c r="DI1017" s="390"/>
      <c r="DJ1017" s="390"/>
      <c r="DK1017" s="897"/>
    </row>
    <row r="1018" spans="1:115" ht="63.75" x14ac:dyDescent="0.2">
      <c r="A1018" s="295">
        <v>1014</v>
      </c>
      <c r="B1018" s="390" t="s">
        <v>693</v>
      </c>
      <c r="C1018" s="424" t="s">
        <v>7611</v>
      </c>
      <c r="D1018" s="391" t="s">
        <v>5582</v>
      </c>
      <c r="E1018" s="704" t="s">
        <v>694</v>
      </c>
      <c r="F1018" s="393" t="s">
        <v>1340</v>
      </c>
      <c r="G1018" s="393" t="s">
        <v>1677</v>
      </c>
      <c r="H1018" s="393" t="s">
        <v>695</v>
      </c>
      <c r="I1018" s="392" t="s">
        <v>253</v>
      </c>
      <c r="J1018" s="392" t="s">
        <v>696</v>
      </c>
      <c r="K1018" s="392"/>
      <c r="L1018" s="392" t="s">
        <v>697</v>
      </c>
      <c r="M1018" s="392" t="s">
        <v>3352</v>
      </c>
      <c r="N1018" s="393" t="s">
        <v>44</v>
      </c>
      <c r="O1018" s="393" t="s">
        <v>69</v>
      </c>
      <c r="P1018" s="393" t="s">
        <v>69</v>
      </c>
      <c r="Q1018" s="392" t="s">
        <v>690</v>
      </c>
      <c r="R1018" s="392"/>
      <c r="S1018" s="392" t="s">
        <v>698</v>
      </c>
      <c r="T1018" s="394">
        <v>1</v>
      </c>
      <c r="U1018" s="395">
        <v>14.236000000000001</v>
      </c>
      <c r="V1018" s="395"/>
      <c r="W1018" s="452">
        <v>40897</v>
      </c>
      <c r="X1018" s="394">
        <v>28</v>
      </c>
      <c r="Y1018" s="394"/>
      <c r="Z1018" s="394"/>
      <c r="AA1018" s="395"/>
      <c r="AB1018" s="453"/>
      <c r="AC1018" s="398">
        <v>0</v>
      </c>
      <c r="AD1018" s="398">
        <v>115.13608767123287</v>
      </c>
      <c r="AE1018" s="393" t="s">
        <v>225</v>
      </c>
      <c r="AF1018" s="417"/>
      <c r="AG1018" s="417"/>
      <c r="AH1018" s="417">
        <v>0</v>
      </c>
      <c r="AI1018" s="394"/>
      <c r="AJ1018" s="453"/>
      <c r="AK1018" s="453"/>
      <c r="AL1018" s="393"/>
      <c r="AM1018" s="393"/>
      <c r="AN1018" s="417"/>
      <c r="AO1018" s="392"/>
      <c r="AP1018" s="392" t="s">
        <v>55</v>
      </c>
      <c r="AQ1018" s="392"/>
      <c r="AR1018" s="392" t="s">
        <v>697</v>
      </c>
      <c r="AS1018" s="479">
        <v>40897</v>
      </c>
      <c r="AT1018" s="453"/>
      <c r="AU1018" s="453"/>
      <c r="AV1018" s="452">
        <v>41141</v>
      </c>
      <c r="AW1018" s="452">
        <v>41271</v>
      </c>
      <c r="AX1018" s="452">
        <v>41542</v>
      </c>
      <c r="AY1018" s="452">
        <v>41438</v>
      </c>
      <c r="AZ1018" s="453"/>
      <c r="BA1018" s="393"/>
      <c r="BB1018" s="393" t="s">
        <v>3147</v>
      </c>
      <c r="BC1018" s="393" t="b">
        <v>0</v>
      </c>
      <c r="BD1018" s="393" t="s">
        <v>3147</v>
      </c>
      <c r="BE1018" s="392"/>
      <c r="BF1018" s="394">
        <v>1</v>
      </c>
      <c r="BG1018" s="394">
        <v>2</v>
      </c>
      <c r="BH1018" s="394">
        <v>6</v>
      </c>
      <c r="BI1018" s="394">
        <v>5</v>
      </c>
      <c r="BJ1018" s="394">
        <v>9</v>
      </c>
      <c r="BK1018" s="394"/>
      <c r="BL1018" s="444"/>
      <c r="BM1018" s="392"/>
      <c r="BN1018" s="393"/>
      <c r="BO1018" s="393"/>
      <c r="BP1018" s="399"/>
      <c r="BQ1018" s="400"/>
      <c r="BR1018" s="401"/>
      <c r="BS1018" s="399">
        <v>0</v>
      </c>
      <c r="BT1018" s="394"/>
      <c r="BU1018" s="417"/>
      <c r="BV1018" s="399"/>
      <c r="BW1018" s="393"/>
      <c r="BX1018" s="392"/>
      <c r="BY1018" s="393"/>
      <c r="BZ1018" s="393"/>
      <c r="CA1018" s="441"/>
      <c r="CB1018" s="400"/>
      <c r="CC1018" s="398"/>
      <c r="CD1018" s="398"/>
      <c r="CE1018" s="398"/>
      <c r="CF1018" s="398"/>
      <c r="CG1018" s="398"/>
      <c r="CH1018" s="398"/>
      <c r="CI1018" s="398"/>
      <c r="CJ1018" s="398"/>
      <c r="CK1018" s="398"/>
      <c r="CL1018" s="398"/>
      <c r="CM1018" s="398"/>
      <c r="CN1018" s="398"/>
      <c r="CO1018" s="398"/>
      <c r="CP1018" s="398"/>
      <c r="CQ1018" s="398"/>
      <c r="CR1018" s="398"/>
      <c r="CS1018" s="398"/>
      <c r="CT1018" s="398"/>
      <c r="CU1018" s="398"/>
      <c r="CV1018" s="398"/>
      <c r="CW1018" s="398"/>
      <c r="CX1018" s="398"/>
      <c r="CY1018" s="398"/>
      <c r="CZ1018" s="398"/>
      <c r="DA1018" s="398"/>
      <c r="DB1018" s="398"/>
      <c r="DC1018" s="398"/>
      <c r="DD1018" s="398"/>
      <c r="DE1018" s="393"/>
      <c r="DF1018" s="393"/>
      <c r="DG1018" s="393"/>
      <c r="DH1018" s="393"/>
      <c r="DI1018" s="393"/>
      <c r="DJ1018" s="393"/>
      <c r="DK1018" s="896" t="s">
        <v>9701</v>
      </c>
    </row>
    <row r="1019" spans="1:115" ht="38.25" x14ac:dyDescent="0.2">
      <c r="A1019" s="295">
        <v>1015</v>
      </c>
      <c r="B1019" s="390" t="s">
        <v>2783</v>
      </c>
      <c r="C1019" s="390"/>
      <c r="D1019" s="391" t="s">
        <v>5583</v>
      </c>
      <c r="E1019" s="704" t="s">
        <v>699</v>
      </c>
      <c r="F1019" s="393" t="s">
        <v>1340</v>
      </c>
      <c r="G1019" s="393" t="s">
        <v>1677</v>
      </c>
      <c r="H1019" s="393" t="s">
        <v>695</v>
      </c>
      <c r="I1019" s="392"/>
      <c r="J1019" s="392"/>
      <c r="K1019" s="392" t="s">
        <v>2200</v>
      </c>
      <c r="L1019" s="392" t="s">
        <v>697</v>
      </c>
      <c r="M1019" s="392"/>
      <c r="N1019" s="393" t="s">
        <v>44</v>
      </c>
      <c r="O1019" s="393" t="s">
        <v>69</v>
      </c>
      <c r="P1019" s="393" t="s">
        <v>69</v>
      </c>
      <c r="Q1019" s="392" t="s">
        <v>690</v>
      </c>
      <c r="R1019" s="392" t="s">
        <v>3353</v>
      </c>
      <c r="S1019" s="392" t="s">
        <v>698</v>
      </c>
      <c r="T1019" s="394">
        <v>1</v>
      </c>
      <c r="U1019" s="395">
        <v>14.236000000000001</v>
      </c>
      <c r="V1019" s="395"/>
      <c r="W1019" s="453"/>
      <c r="X1019" s="394"/>
      <c r="Y1019" s="394">
        <v>7</v>
      </c>
      <c r="Z1019" s="394">
        <v>25</v>
      </c>
      <c r="AA1019" s="395">
        <v>0.32500000000000001</v>
      </c>
      <c r="AB1019" s="452">
        <v>41244</v>
      </c>
      <c r="AC1019" s="398"/>
      <c r="AD1019" s="398">
        <v>115.13608767123287</v>
      </c>
      <c r="AE1019" s="393" t="s">
        <v>225</v>
      </c>
      <c r="AF1019" s="417"/>
      <c r="AG1019" s="417"/>
      <c r="AH1019" s="417"/>
      <c r="AI1019" s="394"/>
      <c r="AJ1019" s="453"/>
      <c r="AK1019" s="453"/>
      <c r="AL1019" s="393"/>
      <c r="AM1019" s="393"/>
      <c r="AN1019" s="417"/>
      <c r="AO1019" s="392"/>
      <c r="AP1019" s="392" t="s">
        <v>55</v>
      </c>
      <c r="AQ1019" s="392"/>
      <c r="AR1019" s="392" t="s">
        <v>697</v>
      </c>
      <c r="AS1019" s="479">
        <v>40897</v>
      </c>
      <c r="AT1019" s="453"/>
      <c r="AU1019" s="453"/>
      <c r="AV1019" s="453"/>
      <c r="AW1019" s="453"/>
      <c r="AX1019" s="453"/>
      <c r="AY1019" s="453"/>
      <c r="AZ1019" s="452">
        <v>41438</v>
      </c>
      <c r="BA1019" s="393"/>
      <c r="BB1019" s="393"/>
      <c r="BC1019" s="393" t="b">
        <v>0</v>
      </c>
      <c r="BD1019" s="393"/>
      <c r="BE1019" s="392"/>
      <c r="BF1019" s="394">
        <v>1</v>
      </c>
      <c r="BG1019" s="394">
        <v>2</v>
      </c>
      <c r="BH1019" s="394">
        <v>6</v>
      </c>
      <c r="BI1019" s="394">
        <v>5</v>
      </c>
      <c r="BJ1019" s="394">
        <v>9</v>
      </c>
      <c r="BK1019" s="394"/>
      <c r="BL1019" s="444" t="s">
        <v>6981</v>
      </c>
      <c r="BM1019" s="392"/>
      <c r="BN1019" s="393"/>
      <c r="BO1019" s="393"/>
      <c r="BP1019" s="399"/>
      <c r="BQ1019" s="400"/>
      <c r="BR1019" s="401"/>
      <c r="BS1019" s="399"/>
      <c r="BT1019" s="394"/>
      <c r="BU1019" s="417"/>
      <c r="BV1019" s="399"/>
      <c r="BW1019" s="393" t="s">
        <v>3117</v>
      </c>
      <c r="BX1019" s="392" t="s">
        <v>1447</v>
      </c>
      <c r="BY1019" s="393"/>
      <c r="BZ1019" s="393"/>
      <c r="CA1019" s="441" t="s">
        <v>1663</v>
      </c>
      <c r="CB1019" s="400">
        <v>4</v>
      </c>
      <c r="CC1019" s="398"/>
      <c r="CD1019" s="398"/>
      <c r="CE1019" s="398"/>
      <c r="CF1019" s="398"/>
      <c r="CG1019" s="398"/>
      <c r="CH1019" s="398">
        <v>3.2429999999999999</v>
      </c>
      <c r="CI1019" s="398">
        <v>13.169</v>
      </c>
      <c r="CJ1019" s="398">
        <v>13.952</v>
      </c>
      <c r="CK1019" s="398">
        <v>14.54</v>
      </c>
      <c r="CL1019" s="398">
        <v>14.54</v>
      </c>
      <c r="CM1019" s="398">
        <v>14.54</v>
      </c>
      <c r="CN1019" s="398">
        <v>14.54</v>
      </c>
      <c r="CO1019" s="398">
        <v>10.904999999999999</v>
      </c>
      <c r="CP1019" s="398"/>
      <c r="CQ1019" s="398"/>
      <c r="CR1019" s="398"/>
      <c r="CS1019" s="398"/>
      <c r="CT1019" s="398"/>
      <c r="CU1019" s="398"/>
      <c r="CV1019" s="398"/>
      <c r="CW1019" s="398"/>
      <c r="CX1019" s="398"/>
      <c r="CY1019" s="398"/>
      <c r="CZ1019" s="398"/>
      <c r="DA1019" s="398"/>
      <c r="DB1019" s="398"/>
      <c r="DC1019" s="398"/>
      <c r="DD1019" s="398"/>
      <c r="DE1019" s="393"/>
      <c r="DF1019" s="393"/>
      <c r="DG1019" s="393"/>
      <c r="DH1019" s="393"/>
      <c r="DI1019" s="393"/>
      <c r="DJ1019" s="393"/>
      <c r="DK1019" s="897"/>
    </row>
    <row r="1020" spans="1:115" ht="51" x14ac:dyDescent="0.2">
      <c r="A1020" s="295">
        <v>1016</v>
      </c>
      <c r="B1020" s="390" t="s">
        <v>557</v>
      </c>
      <c r="C1020" s="424" t="s">
        <v>7612</v>
      </c>
      <c r="D1020" s="391" t="s">
        <v>5143</v>
      </c>
      <c r="E1020" s="705" t="s">
        <v>1979</v>
      </c>
      <c r="F1020" s="393" t="s">
        <v>1352</v>
      </c>
      <c r="G1020" s="393" t="s">
        <v>1673</v>
      </c>
      <c r="H1020" s="393" t="s">
        <v>42</v>
      </c>
      <c r="I1020" s="392"/>
      <c r="J1020" s="392" t="s">
        <v>42</v>
      </c>
      <c r="K1020" s="392"/>
      <c r="L1020" s="392" t="s">
        <v>553</v>
      </c>
      <c r="M1020" s="392" t="s">
        <v>3354</v>
      </c>
      <c r="N1020" s="393" t="s">
        <v>44</v>
      </c>
      <c r="O1020" s="393" t="s">
        <v>34</v>
      </c>
      <c r="P1020" s="393" t="s">
        <v>34</v>
      </c>
      <c r="Q1020" s="392" t="s">
        <v>554</v>
      </c>
      <c r="R1020" s="392"/>
      <c r="S1020" s="392" t="s">
        <v>256</v>
      </c>
      <c r="T1020" s="394">
        <v>1</v>
      </c>
      <c r="U1020" s="395">
        <v>6.258</v>
      </c>
      <c r="V1020" s="395"/>
      <c r="W1020" s="452">
        <v>41244</v>
      </c>
      <c r="X1020" s="394">
        <v>28</v>
      </c>
      <c r="Y1020" s="394"/>
      <c r="Z1020" s="394"/>
      <c r="AA1020" s="395"/>
      <c r="AB1020" s="453"/>
      <c r="AC1020" s="398">
        <v>0.52100000000000002</v>
      </c>
      <c r="AD1020" s="398">
        <v>62.58</v>
      </c>
      <c r="AE1020" s="393" t="s">
        <v>397</v>
      </c>
      <c r="AF1020" s="417"/>
      <c r="AG1020" s="417"/>
      <c r="AH1020" s="417">
        <v>0</v>
      </c>
      <c r="AI1020" s="394"/>
      <c r="AJ1020" s="453"/>
      <c r="AK1020" s="453"/>
      <c r="AL1020" s="393"/>
      <c r="AM1020" s="393"/>
      <c r="AN1020" s="417"/>
      <c r="AO1020" s="392"/>
      <c r="AP1020" s="428" t="s">
        <v>8096</v>
      </c>
      <c r="AQ1020" s="392"/>
      <c r="AR1020" s="392" t="s">
        <v>555</v>
      </c>
      <c r="AS1020" s="479">
        <v>40897</v>
      </c>
      <c r="AT1020" s="453"/>
      <c r="AU1020" s="453" t="s">
        <v>552</v>
      </c>
      <c r="AV1020" s="452">
        <v>40801</v>
      </c>
      <c r="AW1020" s="452">
        <v>41212</v>
      </c>
      <c r="AX1020" s="452">
        <v>41279</v>
      </c>
      <c r="AY1020" s="452">
        <v>41212</v>
      </c>
      <c r="AZ1020" s="453"/>
      <c r="BA1020" s="393"/>
      <c r="BB1020" s="393" t="s">
        <v>3116</v>
      </c>
      <c r="BC1020" s="393" t="b">
        <v>0</v>
      </c>
      <c r="BD1020" s="393" t="s">
        <v>3116</v>
      </c>
      <c r="BE1020" s="392"/>
      <c r="BF1020" s="394">
        <v>2</v>
      </c>
      <c r="BG1020" s="394">
        <v>4</v>
      </c>
      <c r="BH1020" s="394">
        <v>5</v>
      </c>
      <c r="BI1020" s="394">
        <v>7</v>
      </c>
      <c r="BJ1020" s="394"/>
      <c r="BK1020" s="394"/>
      <c r="BL1020" s="444"/>
      <c r="BM1020" s="392"/>
      <c r="BN1020" s="393"/>
      <c r="BO1020" s="393"/>
      <c r="BP1020" s="399"/>
      <c r="BQ1020" s="400"/>
      <c r="BR1020" s="401"/>
      <c r="BS1020" s="399">
        <v>0</v>
      </c>
      <c r="BT1020" s="394"/>
      <c r="BU1020" s="417"/>
      <c r="BV1020" s="399"/>
      <c r="BW1020" s="393"/>
      <c r="BX1020" s="392"/>
      <c r="BY1020" s="393"/>
      <c r="BZ1020" s="393"/>
      <c r="CA1020" s="441"/>
      <c r="CB1020" s="400"/>
      <c r="CC1020" s="398"/>
      <c r="CD1020" s="398"/>
      <c r="CE1020" s="398"/>
      <c r="CF1020" s="398"/>
      <c r="CG1020" s="398"/>
      <c r="CH1020" s="398"/>
      <c r="CI1020" s="398"/>
      <c r="CJ1020" s="398"/>
      <c r="CK1020" s="398"/>
      <c r="CL1020" s="398"/>
      <c r="CM1020" s="398"/>
      <c r="CN1020" s="398"/>
      <c r="CO1020" s="398"/>
      <c r="CP1020" s="398"/>
      <c r="CQ1020" s="398"/>
      <c r="CR1020" s="398"/>
      <c r="CS1020" s="398"/>
      <c r="CT1020" s="398"/>
      <c r="CU1020" s="398"/>
      <c r="CV1020" s="398"/>
      <c r="CW1020" s="398"/>
      <c r="CX1020" s="398"/>
      <c r="CY1020" s="398"/>
      <c r="CZ1020" s="398"/>
      <c r="DA1020" s="398"/>
      <c r="DB1020" s="398"/>
      <c r="DC1020" s="398"/>
      <c r="DD1020" s="398"/>
      <c r="DE1020" s="393"/>
      <c r="DF1020" s="393"/>
      <c r="DG1020" s="393"/>
      <c r="DH1020" s="393"/>
      <c r="DI1020" s="393"/>
      <c r="DJ1020" s="393"/>
      <c r="DK1020" s="896" t="s">
        <v>9711</v>
      </c>
    </row>
    <row r="1021" spans="1:115" ht="38.25" x14ac:dyDescent="0.2">
      <c r="A1021" s="295">
        <v>1017</v>
      </c>
      <c r="B1021" s="390" t="s">
        <v>2784</v>
      </c>
      <c r="C1021" s="390"/>
      <c r="D1021" s="391" t="s">
        <v>4477</v>
      </c>
      <c r="E1021" s="704" t="s">
        <v>558</v>
      </c>
      <c r="F1021" s="393" t="s">
        <v>1352</v>
      </c>
      <c r="G1021" s="393" t="s">
        <v>1673</v>
      </c>
      <c r="H1021" s="393" t="s">
        <v>42</v>
      </c>
      <c r="I1021" s="392"/>
      <c r="J1021" s="392"/>
      <c r="K1021" s="392" t="s">
        <v>159</v>
      </c>
      <c r="L1021" s="392" t="s">
        <v>553</v>
      </c>
      <c r="M1021" s="392"/>
      <c r="N1021" s="393" t="s">
        <v>44</v>
      </c>
      <c r="O1021" s="393" t="s">
        <v>34</v>
      </c>
      <c r="P1021" s="393" t="s">
        <v>34</v>
      </c>
      <c r="Q1021" s="392" t="s">
        <v>554</v>
      </c>
      <c r="R1021" s="392" t="s">
        <v>3355</v>
      </c>
      <c r="S1021" s="392" t="s">
        <v>256</v>
      </c>
      <c r="T1021" s="394">
        <v>1</v>
      </c>
      <c r="U1021" s="395">
        <v>6.258</v>
      </c>
      <c r="V1021" s="395"/>
      <c r="W1021" s="453"/>
      <c r="X1021" s="394"/>
      <c r="Y1021" s="394">
        <v>10</v>
      </c>
      <c r="Z1021" s="394">
        <v>10</v>
      </c>
      <c r="AA1021" s="395">
        <v>6.8879999999999999</v>
      </c>
      <c r="AB1021" s="452">
        <v>41244</v>
      </c>
      <c r="AC1021" s="398">
        <v>0.52100000000000002</v>
      </c>
      <c r="AD1021" s="398">
        <v>62.58</v>
      </c>
      <c r="AE1021" s="393" t="s">
        <v>397</v>
      </c>
      <c r="AF1021" s="417"/>
      <c r="AG1021" s="417"/>
      <c r="AH1021" s="417"/>
      <c r="AI1021" s="394"/>
      <c r="AJ1021" s="453"/>
      <c r="AK1021" s="453"/>
      <c r="AL1021" s="393"/>
      <c r="AM1021" s="393"/>
      <c r="AN1021" s="417"/>
      <c r="AO1021" s="392"/>
      <c r="AP1021" s="428" t="s">
        <v>8096</v>
      </c>
      <c r="AQ1021" s="392"/>
      <c r="AR1021" s="392" t="s">
        <v>555</v>
      </c>
      <c r="AS1021" s="479">
        <v>40897</v>
      </c>
      <c r="AT1021" s="453"/>
      <c r="AU1021" s="453" t="s">
        <v>2691</v>
      </c>
      <c r="AV1021" s="453"/>
      <c r="AW1021" s="453"/>
      <c r="AX1021" s="453"/>
      <c r="AY1021" s="453"/>
      <c r="AZ1021" s="452">
        <v>41212</v>
      </c>
      <c r="BA1021" s="393"/>
      <c r="BB1021" s="393"/>
      <c r="BC1021" s="393" t="b">
        <v>0</v>
      </c>
      <c r="BD1021" s="393"/>
      <c r="BE1021" s="392"/>
      <c r="BF1021" s="394">
        <v>2</v>
      </c>
      <c r="BG1021" s="394">
        <v>4</v>
      </c>
      <c r="BH1021" s="394">
        <v>5</v>
      </c>
      <c r="BI1021" s="394">
        <v>7</v>
      </c>
      <c r="BJ1021" s="394"/>
      <c r="BK1021" s="394"/>
      <c r="BL1021" s="444" t="s">
        <v>6981</v>
      </c>
      <c r="BM1021" s="392"/>
      <c r="BN1021" s="393"/>
      <c r="BO1021" s="393"/>
      <c r="BP1021" s="399"/>
      <c r="BQ1021" s="400"/>
      <c r="BR1021" s="401"/>
      <c r="BS1021" s="399"/>
      <c r="BT1021" s="394"/>
      <c r="BU1021" s="417">
        <v>0.90300000000000002</v>
      </c>
      <c r="BV1021" s="399"/>
      <c r="BW1021" s="393" t="s">
        <v>3117</v>
      </c>
      <c r="BX1021" s="392" t="s">
        <v>3185</v>
      </c>
      <c r="BY1021" s="393"/>
      <c r="BZ1021" s="393"/>
      <c r="CA1021" s="441"/>
      <c r="CB1021" s="400"/>
      <c r="CC1021" s="398"/>
      <c r="CD1021" s="398"/>
      <c r="CE1021" s="398"/>
      <c r="CF1021" s="398"/>
      <c r="CG1021" s="398"/>
      <c r="CH1021" s="398">
        <v>15.571</v>
      </c>
      <c r="CI1021" s="398">
        <v>46.712000000000003</v>
      </c>
      <c r="CJ1021" s="398">
        <v>77.853999999999999</v>
      </c>
      <c r="CK1021" s="398">
        <v>77.853999999999999</v>
      </c>
      <c r="CL1021" s="398">
        <v>77.853999999999999</v>
      </c>
      <c r="CM1021" s="398">
        <v>77.853999999999999</v>
      </c>
      <c r="CN1021" s="398">
        <v>77.853999999999999</v>
      </c>
      <c r="CO1021" s="398">
        <v>77.853999999999999</v>
      </c>
      <c r="CP1021" s="398">
        <v>77.853999999999999</v>
      </c>
      <c r="CQ1021" s="398">
        <v>77.853999999999999</v>
      </c>
      <c r="CR1021" s="398"/>
      <c r="CS1021" s="398"/>
      <c r="CT1021" s="398"/>
      <c r="CU1021" s="398"/>
      <c r="CV1021" s="398"/>
      <c r="CW1021" s="398"/>
      <c r="CX1021" s="398"/>
      <c r="CY1021" s="398"/>
      <c r="CZ1021" s="398"/>
      <c r="DA1021" s="398"/>
      <c r="DB1021" s="398"/>
      <c r="DC1021" s="398"/>
      <c r="DD1021" s="398"/>
      <c r="DE1021" s="393"/>
      <c r="DF1021" s="393"/>
      <c r="DG1021" s="393"/>
      <c r="DH1021" s="393"/>
      <c r="DI1021" s="393"/>
      <c r="DJ1021" s="393"/>
      <c r="DK1021" s="897"/>
    </row>
    <row r="1022" spans="1:115" ht="63.75" x14ac:dyDescent="0.2">
      <c r="A1022" s="295">
        <v>1018</v>
      </c>
      <c r="B1022" s="390" t="s">
        <v>1134</v>
      </c>
      <c r="C1022" s="424" t="s">
        <v>7613</v>
      </c>
      <c r="D1022" s="391" t="s">
        <v>5144</v>
      </c>
      <c r="E1022" s="704" t="s">
        <v>1135</v>
      </c>
      <c r="F1022" s="393" t="s">
        <v>1352</v>
      </c>
      <c r="G1022" s="393" t="s">
        <v>1672</v>
      </c>
      <c r="H1022" s="393" t="s">
        <v>301</v>
      </c>
      <c r="I1022" s="392"/>
      <c r="J1022" s="392" t="s">
        <v>301</v>
      </c>
      <c r="K1022" s="392"/>
      <c r="L1022" s="392" t="s">
        <v>1136</v>
      </c>
      <c r="M1022" s="392" t="s">
        <v>3356</v>
      </c>
      <c r="N1022" s="393" t="s">
        <v>44</v>
      </c>
      <c r="O1022" s="393" t="s">
        <v>69</v>
      </c>
      <c r="P1022" s="393" t="s">
        <v>69</v>
      </c>
      <c r="Q1022" s="392" t="s">
        <v>1111</v>
      </c>
      <c r="R1022" s="392"/>
      <c r="S1022" s="392" t="s">
        <v>1137</v>
      </c>
      <c r="T1022" s="394">
        <v>1</v>
      </c>
      <c r="U1022" s="395">
        <v>21.279</v>
      </c>
      <c r="V1022" s="395"/>
      <c r="W1022" s="452">
        <v>41167</v>
      </c>
      <c r="X1022" s="394">
        <v>28</v>
      </c>
      <c r="Y1022" s="394"/>
      <c r="Z1022" s="394"/>
      <c r="AA1022" s="395"/>
      <c r="AB1022" s="453"/>
      <c r="AC1022" s="398">
        <v>0</v>
      </c>
      <c r="AD1022" s="398">
        <v>155.3075506849315</v>
      </c>
      <c r="AE1022" s="393" t="s">
        <v>660</v>
      </c>
      <c r="AF1022" s="417"/>
      <c r="AG1022" s="417"/>
      <c r="AH1022" s="417">
        <v>0</v>
      </c>
      <c r="AI1022" s="394"/>
      <c r="AJ1022" s="453"/>
      <c r="AK1022" s="453"/>
      <c r="AL1022" s="393"/>
      <c r="AM1022" s="393"/>
      <c r="AN1022" s="417"/>
      <c r="AO1022" s="392"/>
      <c r="AP1022" s="392" t="s">
        <v>55</v>
      </c>
      <c r="AQ1022" s="392"/>
      <c r="AR1022" s="392" t="s">
        <v>1138</v>
      </c>
      <c r="AS1022" s="479">
        <v>40898</v>
      </c>
      <c r="AT1022" s="453"/>
      <c r="AU1022" s="453"/>
      <c r="AV1022" s="452">
        <v>41116</v>
      </c>
      <c r="AW1022" s="452">
        <v>41155</v>
      </c>
      <c r="AX1022" s="452">
        <v>41256</v>
      </c>
      <c r="AY1022" s="452">
        <v>41157</v>
      </c>
      <c r="AZ1022" s="453"/>
      <c r="BA1022" s="393"/>
      <c r="BB1022" s="393" t="s">
        <v>3147</v>
      </c>
      <c r="BC1022" s="393" t="b">
        <v>0</v>
      </c>
      <c r="BD1022" s="393" t="s">
        <v>3310</v>
      </c>
      <c r="BE1022" s="392"/>
      <c r="BF1022" s="394">
        <v>1</v>
      </c>
      <c r="BG1022" s="394">
        <v>3</v>
      </c>
      <c r="BH1022" s="394">
        <v>5</v>
      </c>
      <c r="BI1022" s="394">
        <v>7</v>
      </c>
      <c r="BJ1022" s="394">
        <v>9</v>
      </c>
      <c r="BK1022" s="394">
        <v>11</v>
      </c>
      <c r="BL1022" s="444"/>
      <c r="BM1022" s="392"/>
      <c r="BN1022" s="393"/>
      <c r="BO1022" s="393"/>
      <c r="BP1022" s="399"/>
      <c r="BQ1022" s="400"/>
      <c r="BR1022" s="401"/>
      <c r="BS1022" s="399">
        <v>1.4</v>
      </c>
      <c r="BT1022" s="394"/>
      <c r="BU1022" s="417"/>
      <c r="BV1022" s="399"/>
      <c r="BW1022" s="393"/>
      <c r="BX1022" s="392"/>
      <c r="BY1022" s="393"/>
      <c r="BZ1022" s="393"/>
      <c r="CA1022" s="441"/>
      <c r="CB1022" s="400"/>
      <c r="CC1022" s="398"/>
      <c r="CD1022" s="398"/>
      <c r="CE1022" s="398"/>
      <c r="CF1022" s="398"/>
      <c r="CG1022" s="398"/>
      <c r="CH1022" s="398"/>
      <c r="CI1022" s="398"/>
      <c r="CJ1022" s="398"/>
      <c r="CK1022" s="398"/>
      <c r="CL1022" s="398"/>
      <c r="CM1022" s="398"/>
      <c r="CN1022" s="398"/>
      <c r="CO1022" s="398"/>
      <c r="CP1022" s="398"/>
      <c r="CQ1022" s="398"/>
      <c r="CR1022" s="398"/>
      <c r="CS1022" s="398"/>
      <c r="CT1022" s="398"/>
      <c r="CU1022" s="398"/>
      <c r="CV1022" s="398"/>
      <c r="CW1022" s="398"/>
      <c r="CX1022" s="398"/>
      <c r="CY1022" s="398"/>
      <c r="CZ1022" s="398"/>
      <c r="DA1022" s="398"/>
      <c r="DB1022" s="398"/>
      <c r="DC1022" s="398"/>
      <c r="DD1022" s="398"/>
      <c r="DE1022" s="393"/>
      <c r="DF1022" s="393"/>
      <c r="DG1022" s="393"/>
      <c r="DH1022" s="393"/>
      <c r="DI1022" s="393"/>
      <c r="DJ1022" s="393"/>
      <c r="DK1022" s="896" t="s">
        <v>9732</v>
      </c>
    </row>
    <row r="1023" spans="1:115" ht="51" x14ac:dyDescent="0.2">
      <c r="A1023" s="295">
        <v>1019</v>
      </c>
      <c r="B1023" s="390" t="s">
        <v>2785</v>
      </c>
      <c r="C1023" s="390"/>
      <c r="D1023" s="391" t="s">
        <v>4395</v>
      </c>
      <c r="E1023" s="704" t="s">
        <v>1139</v>
      </c>
      <c r="F1023" s="393" t="s">
        <v>1352</v>
      </c>
      <c r="G1023" s="393" t="s">
        <v>1672</v>
      </c>
      <c r="H1023" s="393" t="s">
        <v>301</v>
      </c>
      <c r="I1023" s="392"/>
      <c r="J1023" s="392"/>
      <c r="K1023" s="392" t="s">
        <v>301</v>
      </c>
      <c r="L1023" s="392" t="s">
        <v>1136</v>
      </c>
      <c r="M1023" s="392"/>
      <c r="N1023" s="393" t="s">
        <v>44</v>
      </c>
      <c r="O1023" s="393" t="s">
        <v>69</v>
      </c>
      <c r="P1023" s="393" t="s">
        <v>69</v>
      </c>
      <c r="Q1023" s="392" t="s">
        <v>1111</v>
      </c>
      <c r="R1023" s="392" t="s">
        <v>3357</v>
      </c>
      <c r="S1023" s="392" t="s">
        <v>1137</v>
      </c>
      <c r="T1023" s="394">
        <v>1</v>
      </c>
      <c r="U1023" s="395">
        <v>21.279</v>
      </c>
      <c r="V1023" s="395"/>
      <c r="W1023" s="453"/>
      <c r="X1023" s="394"/>
      <c r="Y1023" s="394">
        <v>7</v>
      </c>
      <c r="Z1023" s="394">
        <v>25</v>
      </c>
      <c r="AA1023" s="395">
        <v>0</v>
      </c>
      <c r="AB1023" s="452">
        <v>41532</v>
      </c>
      <c r="AC1023" s="398">
        <v>0</v>
      </c>
      <c r="AD1023" s="398">
        <v>155.3075506849315</v>
      </c>
      <c r="AE1023" s="393" t="s">
        <v>660</v>
      </c>
      <c r="AF1023" s="417"/>
      <c r="AG1023" s="417"/>
      <c r="AH1023" s="417"/>
      <c r="AI1023" s="394"/>
      <c r="AJ1023" s="453"/>
      <c r="AK1023" s="453"/>
      <c r="AL1023" s="393"/>
      <c r="AM1023" s="393"/>
      <c r="AN1023" s="417"/>
      <c r="AO1023" s="392"/>
      <c r="AP1023" s="392" t="s">
        <v>55</v>
      </c>
      <c r="AQ1023" s="392"/>
      <c r="AR1023" s="392" t="s">
        <v>1138</v>
      </c>
      <c r="AS1023" s="479">
        <v>40898</v>
      </c>
      <c r="AT1023" s="453"/>
      <c r="AU1023" s="453"/>
      <c r="AV1023" s="453"/>
      <c r="AW1023" s="453"/>
      <c r="AX1023" s="453"/>
      <c r="AY1023" s="453"/>
      <c r="AZ1023" s="452">
        <v>41157</v>
      </c>
      <c r="BA1023" s="393"/>
      <c r="BB1023" s="393"/>
      <c r="BC1023" s="393" t="b">
        <v>0</v>
      </c>
      <c r="BD1023" s="393"/>
      <c r="BE1023" s="392"/>
      <c r="BF1023" s="394">
        <v>1</v>
      </c>
      <c r="BG1023" s="394">
        <v>3</v>
      </c>
      <c r="BH1023" s="394">
        <v>5</v>
      </c>
      <c r="BI1023" s="394">
        <v>7</v>
      </c>
      <c r="BJ1023" s="394">
        <v>9</v>
      </c>
      <c r="BK1023" s="394">
        <v>11</v>
      </c>
      <c r="BL1023" s="444" t="s">
        <v>6981</v>
      </c>
      <c r="BM1023" s="392"/>
      <c r="BN1023" s="393"/>
      <c r="BO1023" s="393"/>
      <c r="BP1023" s="399"/>
      <c r="BQ1023" s="400"/>
      <c r="BR1023" s="401"/>
      <c r="BS1023" s="399">
        <v>1.4</v>
      </c>
      <c r="BT1023" s="394">
        <v>5723</v>
      </c>
      <c r="BU1023" s="417">
        <v>0.59799999999999998</v>
      </c>
      <c r="BV1023" s="399"/>
      <c r="BW1023" s="393" t="s">
        <v>3117</v>
      </c>
      <c r="BX1023" s="392" t="s">
        <v>1448</v>
      </c>
      <c r="BY1023" s="393"/>
      <c r="BZ1023" s="393"/>
      <c r="CA1023" s="441" t="s">
        <v>1662</v>
      </c>
      <c r="CB1023" s="400">
        <v>3</v>
      </c>
      <c r="CC1023" s="398"/>
      <c r="CD1023" s="398"/>
      <c r="CE1023" s="398"/>
      <c r="CF1023" s="398"/>
      <c r="CG1023" s="398"/>
      <c r="CH1023" s="398"/>
      <c r="CI1023" s="398">
        <v>23.588000000000001</v>
      </c>
      <c r="CJ1023" s="398">
        <v>23.588000000000001</v>
      </c>
      <c r="CK1023" s="398">
        <v>23.588000000000001</v>
      </c>
      <c r="CL1023" s="398">
        <v>23.588000000000001</v>
      </c>
      <c r="CM1023" s="398">
        <v>23.588000000000001</v>
      </c>
      <c r="CN1023" s="398">
        <v>23.588000000000001</v>
      </c>
      <c r="CO1023" s="398">
        <v>23.588000000000001</v>
      </c>
      <c r="CP1023" s="398"/>
      <c r="CQ1023" s="398"/>
      <c r="CR1023" s="398"/>
      <c r="CS1023" s="398"/>
      <c r="CT1023" s="398"/>
      <c r="CU1023" s="398"/>
      <c r="CV1023" s="398"/>
      <c r="CW1023" s="398"/>
      <c r="CX1023" s="398"/>
      <c r="CY1023" s="398"/>
      <c r="CZ1023" s="398"/>
      <c r="DA1023" s="398"/>
      <c r="DB1023" s="398"/>
      <c r="DC1023" s="398"/>
      <c r="DD1023" s="398"/>
      <c r="DE1023" s="393"/>
      <c r="DF1023" s="393"/>
      <c r="DG1023" s="393"/>
      <c r="DH1023" s="393"/>
      <c r="DI1023" s="393"/>
      <c r="DJ1023" s="393"/>
      <c r="DK1023" s="897"/>
    </row>
    <row r="1024" spans="1:115" ht="51" x14ac:dyDescent="0.2">
      <c r="A1024" s="295">
        <v>1020</v>
      </c>
      <c r="B1024" s="390" t="s">
        <v>804</v>
      </c>
      <c r="C1024" s="424" t="s">
        <v>7614</v>
      </c>
      <c r="D1024" s="391"/>
      <c r="E1024" s="707" t="s">
        <v>805</v>
      </c>
      <c r="F1024" s="404" t="s">
        <v>1352</v>
      </c>
      <c r="G1024" s="404" t="s">
        <v>1672</v>
      </c>
      <c r="H1024" s="404" t="s">
        <v>78</v>
      </c>
      <c r="I1024" s="403"/>
      <c r="J1024" s="403" t="s">
        <v>78</v>
      </c>
      <c r="K1024" s="403"/>
      <c r="L1024" s="403" t="s">
        <v>79</v>
      </c>
      <c r="M1024" s="403" t="s">
        <v>3358</v>
      </c>
      <c r="N1024" s="404" t="s">
        <v>3142</v>
      </c>
      <c r="O1024" s="404" t="s">
        <v>289</v>
      </c>
      <c r="P1024" s="404" t="s">
        <v>289</v>
      </c>
      <c r="Q1024" s="403" t="s">
        <v>721</v>
      </c>
      <c r="R1024" s="403"/>
      <c r="S1024" s="403" t="s">
        <v>291</v>
      </c>
      <c r="T1024" s="405">
        <v>1</v>
      </c>
      <c r="U1024" s="406">
        <v>25.382999999999999</v>
      </c>
      <c r="V1024" s="406"/>
      <c r="W1024" s="456">
        <v>41061</v>
      </c>
      <c r="X1024" s="405">
        <v>28</v>
      </c>
      <c r="Y1024" s="405"/>
      <c r="Z1024" s="405"/>
      <c r="AA1024" s="406"/>
      <c r="AB1024" s="455"/>
      <c r="AC1024" s="407">
        <v>25.306851000000002</v>
      </c>
      <c r="AD1024" s="407">
        <v>228.51654246575342</v>
      </c>
      <c r="AE1024" s="404" t="s">
        <v>96</v>
      </c>
      <c r="AF1024" s="418"/>
      <c r="AG1024" s="418"/>
      <c r="AH1024" s="418">
        <v>0</v>
      </c>
      <c r="AI1024" s="405"/>
      <c r="AJ1024" s="455"/>
      <c r="AK1024" s="455"/>
      <c r="AL1024" s="404"/>
      <c r="AM1024" s="404"/>
      <c r="AN1024" s="418"/>
      <c r="AO1024" s="403"/>
      <c r="AP1024" s="403" t="s">
        <v>7088</v>
      </c>
      <c r="AQ1024" s="403"/>
      <c r="AR1024" s="403" t="s">
        <v>3787</v>
      </c>
      <c r="AS1024" s="482">
        <v>40899</v>
      </c>
      <c r="AT1024" s="455"/>
      <c r="AU1024" s="455"/>
      <c r="AV1024" s="455"/>
      <c r="AW1024" s="455"/>
      <c r="AX1024" s="455"/>
      <c r="AY1024" s="455"/>
      <c r="AZ1024" s="455"/>
      <c r="BA1024" s="404"/>
      <c r="BB1024" s="404" t="s">
        <v>3147</v>
      </c>
      <c r="BC1024" s="404" t="b">
        <v>0</v>
      </c>
      <c r="BD1024" s="404" t="s">
        <v>3147</v>
      </c>
      <c r="BE1024" s="403"/>
      <c r="BF1024" s="405">
        <v>5</v>
      </c>
      <c r="BG1024" s="405">
        <v>10</v>
      </c>
      <c r="BH1024" s="405">
        <v>9</v>
      </c>
      <c r="BI1024" s="405">
        <v>7</v>
      </c>
      <c r="BJ1024" s="405">
        <v>8</v>
      </c>
      <c r="BK1024" s="405"/>
      <c r="BL1024" s="446"/>
      <c r="BM1024" s="403"/>
      <c r="BN1024" s="404"/>
      <c r="BO1024" s="404"/>
      <c r="BP1024" s="408"/>
      <c r="BQ1024" s="409"/>
      <c r="BR1024" s="410"/>
      <c r="BS1024" s="408">
        <v>6</v>
      </c>
      <c r="BT1024" s="405"/>
      <c r="BU1024" s="418"/>
      <c r="BV1024" s="408"/>
      <c r="BW1024" s="404"/>
      <c r="BX1024" s="403"/>
      <c r="BY1024" s="404"/>
      <c r="BZ1024" s="404"/>
      <c r="CA1024" s="443"/>
      <c r="CB1024" s="409"/>
      <c r="CC1024" s="407"/>
      <c r="CD1024" s="407"/>
      <c r="CE1024" s="407"/>
      <c r="CF1024" s="407"/>
      <c r="CG1024" s="407"/>
      <c r="CH1024" s="407"/>
      <c r="CI1024" s="407"/>
      <c r="CJ1024" s="407"/>
      <c r="CK1024" s="407"/>
      <c r="CL1024" s="407"/>
      <c r="CM1024" s="407"/>
      <c r="CN1024" s="407"/>
      <c r="CO1024" s="407"/>
      <c r="CP1024" s="407"/>
      <c r="CQ1024" s="407"/>
      <c r="CR1024" s="407"/>
      <c r="CS1024" s="407"/>
      <c r="CT1024" s="407"/>
      <c r="CU1024" s="407"/>
      <c r="CV1024" s="407"/>
      <c r="CW1024" s="407"/>
      <c r="CX1024" s="407"/>
      <c r="CY1024" s="407"/>
      <c r="CZ1024" s="407"/>
      <c r="DA1024" s="407"/>
      <c r="DB1024" s="407"/>
      <c r="DC1024" s="407"/>
      <c r="DD1024" s="407"/>
      <c r="DE1024" s="404"/>
      <c r="DF1024" s="404"/>
      <c r="DG1024" s="404"/>
      <c r="DH1024" s="404"/>
      <c r="DI1024" s="404"/>
      <c r="DJ1024" s="404"/>
      <c r="DK1024" s="897"/>
    </row>
    <row r="1025" spans="1:115" ht="25.5" x14ac:dyDescent="0.2">
      <c r="A1025" s="295">
        <v>1021</v>
      </c>
      <c r="B1025" s="390" t="s">
        <v>2786</v>
      </c>
      <c r="C1025" s="390"/>
      <c r="D1025" s="391"/>
      <c r="E1025" s="707" t="s">
        <v>756</v>
      </c>
      <c r="F1025" s="404" t="s">
        <v>1352</v>
      </c>
      <c r="G1025" s="404" t="s">
        <v>1672</v>
      </c>
      <c r="H1025" s="404" t="s">
        <v>78</v>
      </c>
      <c r="I1025" s="403"/>
      <c r="J1025" s="403"/>
      <c r="K1025" s="403" t="s">
        <v>2158</v>
      </c>
      <c r="L1025" s="403" t="s">
        <v>79</v>
      </c>
      <c r="M1025" s="403"/>
      <c r="N1025" s="404" t="s">
        <v>3142</v>
      </c>
      <c r="O1025" s="404" t="s">
        <v>289</v>
      </c>
      <c r="P1025" s="404" t="s">
        <v>289</v>
      </c>
      <c r="Q1025" s="403" t="s">
        <v>721</v>
      </c>
      <c r="R1025" s="403" t="s">
        <v>3359</v>
      </c>
      <c r="S1025" s="403" t="s">
        <v>291</v>
      </c>
      <c r="T1025" s="405">
        <v>1</v>
      </c>
      <c r="U1025" s="406">
        <v>25.382999999999999</v>
      </c>
      <c r="V1025" s="406"/>
      <c r="W1025" s="455"/>
      <c r="X1025" s="405"/>
      <c r="Y1025" s="405">
        <v>7</v>
      </c>
      <c r="Z1025" s="405">
        <v>20</v>
      </c>
      <c r="AA1025" s="406">
        <v>0</v>
      </c>
      <c r="AB1025" s="456">
        <v>40910</v>
      </c>
      <c r="AC1025" s="407">
        <v>25.306851000000002</v>
      </c>
      <c r="AD1025" s="407">
        <v>228.51654246575342</v>
      </c>
      <c r="AE1025" s="404" t="s">
        <v>96</v>
      </c>
      <c r="AF1025" s="418"/>
      <c r="AG1025" s="418"/>
      <c r="AH1025" s="418"/>
      <c r="AI1025" s="405"/>
      <c r="AJ1025" s="455"/>
      <c r="AK1025" s="455"/>
      <c r="AL1025" s="404"/>
      <c r="AM1025" s="404"/>
      <c r="AN1025" s="418"/>
      <c r="AO1025" s="403"/>
      <c r="AP1025" s="403" t="s">
        <v>7088</v>
      </c>
      <c r="AQ1025" s="403"/>
      <c r="AR1025" s="403" t="s">
        <v>3787</v>
      </c>
      <c r="AS1025" s="482">
        <v>40899</v>
      </c>
      <c r="AT1025" s="455"/>
      <c r="AU1025" s="455"/>
      <c r="AV1025" s="455"/>
      <c r="AW1025" s="455"/>
      <c r="AX1025" s="455"/>
      <c r="AY1025" s="455"/>
      <c r="AZ1025" s="455"/>
      <c r="BA1025" s="404"/>
      <c r="BB1025" s="404"/>
      <c r="BC1025" s="404" t="b">
        <v>0</v>
      </c>
      <c r="BD1025" s="404"/>
      <c r="BE1025" s="403"/>
      <c r="BF1025" s="405">
        <v>5</v>
      </c>
      <c r="BG1025" s="405">
        <v>10</v>
      </c>
      <c r="BH1025" s="405">
        <v>9</v>
      </c>
      <c r="BI1025" s="405">
        <v>7</v>
      </c>
      <c r="BJ1025" s="405">
        <v>8</v>
      </c>
      <c r="BK1025" s="405"/>
      <c r="BL1025" s="446" t="s">
        <v>6981</v>
      </c>
      <c r="BM1025" s="403"/>
      <c r="BN1025" s="404"/>
      <c r="BO1025" s="404"/>
      <c r="BP1025" s="408"/>
      <c r="BQ1025" s="409"/>
      <c r="BR1025" s="410"/>
      <c r="BS1025" s="408">
        <v>6</v>
      </c>
      <c r="BT1025" s="405">
        <v>34164</v>
      </c>
      <c r="BU1025" s="418">
        <v>0.74299999999999999</v>
      </c>
      <c r="BV1025" s="408"/>
      <c r="BW1025" s="404" t="s">
        <v>3117</v>
      </c>
      <c r="BX1025" s="403" t="s">
        <v>1447</v>
      </c>
      <c r="BY1025" s="404"/>
      <c r="BZ1025" s="404"/>
      <c r="CA1025" s="443" t="s">
        <v>1662</v>
      </c>
      <c r="CB1025" s="409">
        <v>3</v>
      </c>
      <c r="CC1025" s="407"/>
      <c r="CD1025" s="407"/>
      <c r="CE1025" s="407"/>
      <c r="CF1025" s="407"/>
      <c r="CG1025" s="407"/>
      <c r="CH1025" s="407">
        <v>25.382999999999999</v>
      </c>
      <c r="CI1025" s="407">
        <v>25.382999999999999</v>
      </c>
      <c r="CJ1025" s="407">
        <v>25.382999999999999</v>
      </c>
      <c r="CK1025" s="407">
        <v>25.382999999999999</v>
      </c>
      <c r="CL1025" s="407">
        <v>25.382999999999999</v>
      </c>
      <c r="CM1025" s="407">
        <v>25.382999999999999</v>
      </c>
      <c r="CN1025" s="407">
        <v>25.382999999999999</v>
      </c>
      <c r="CO1025" s="407"/>
      <c r="CP1025" s="407"/>
      <c r="CQ1025" s="407"/>
      <c r="CR1025" s="407"/>
      <c r="CS1025" s="407"/>
      <c r="CT1025" s="407"/>
      <c r="CU1025" s="407"/>
      <c r="CV1025" s="407"/>
      <c r="CW1025" s="407"/>
      <c r="CX1025" s="407"/>
      <c r="CY1025" s="407"/>
      <c r="CZ1025" s="407"/>
      <c r="DA1025" s="407"/>
      <c r="DB1025" s="407"/>
      <c r="DC1025" s="407"/>
      <c r="DD1025" s="407"/>
      <c r="DE1025" s="404"/>
      <c r="DF1025" s="404"/>
      <c r="DG1025" s="404"/>
      <c r="DH1025" s="404"/>
      <c r="DI1025" s="404"/>
      <c r="DJ1025" s="404"/>
      <c r="DK1025" s="897"/>
    </row>
    <row r="1026" spans="1:115" ht="51" x14ac:dyDescent="0.2">
      <c r="A1026" s="295">
        <v>1022</v>
      </c>
      <c r="B1026" s="390" t="s">
        <v>806</v>
      </c>
      <c r="C1026" s="424" t="s">
        <v>7615</v>
      </c>
      <c r="D1026" s="391" t="s">
        <v>5145</v>
      </c>
      <c r="E1026" s="704" t="s">
        <v>807</v>
      </c>
      <c r="F1026" s="393" t="s">
        <v>1340</v>
      </c>
      <c r="G1026" s="393" t="s">
        <v>1677</v>
      </c>
      <c r="H1026" s="393" t="s">
        <v>667</v>
      </c>
      <c r="I1026" s="392"/>
      <c r="J1026" s="392" t="s">
        <v>667</v>
      </c>
      <c r="K1026" s="392"/>
      <c r="L1026" s="392" t="s">
        <v>774</v>
      </c>
      <c r="M1026" s="392" t="s">
        <v>3360</v>
      </c>
      <c r="N1026" s="393" t="s">
        <v>44</v>
      </c>
      <c r="O1026" s="393" t="s">
        <v>289</v>
      </c>
      <c r="P1026" s="393" t="s">
        <v>289</v>
      </c>
      <c r="Q1026" s="392" t="s">
        <v>721</v>
      </c>
      <c r="R1026" s="392"/>
      <c r="S1026" s="392" t="s">
        <v>650</v>
      </c>
      <c r="T1026" s="394">
        <v>1</v>
      </c>
      <c r="U1026" s="395">
        <v>89.998000000000005</v>
      </c>
      <c r="V1026" s="395"/>
      <c r="W1026" s="452">
        <v>40835</v>
      </c>
      <c r="X1026" s="394">
        <v>28</v>
      </c>
      <c r="Y1026" s="394"/>
      <c r="Z1026" s="394"/>
      <c r="AA1026" s="395"/>
      <c r="AB1026" s="453"/>
      <c r="AC1026" s="398">
        <v>0</v>
      </c>
      <c r="AD1026" s="398">
        <v>540.23456986301369</v>
      </c>
      <c r="AE1026" s="393" t="s">
        <v>225</v>
      </c>
      <c r="AF1026" s="417"/>
      <c r="AG1026" s="417"/>
      <c r="AH1026" s="417">
        <v>0</v>
      </c>
      <c r="AI1026" s="394"/>
      <c r="AJ1026" s="453"/>
      <c r="AK1026" s="453"/>
      <c r="AL1026" s="393"/>
      <c r="AM1026" s="393"/>
      <c r="AN1026" s="417"/>
      <c r="AO1026" s="392"/>
      <c r="AP1026" s="428" t="s">
        <v>55</v>
      </c>
      <c r="AQ1026" s="392"/>
      <c r="AR1026" s="392" t="s">
        <v>3788</v>
      </c>
      <c r="AS1026" s="479">
        <v>40899</v>
      </c>
      <c r="AT1026" s="453"/>
      <c r="AU1026" s="453"/>
      <c r="AV1026" s="452">
        <v>40968</v>
      </c>
      <c r="AW1026" s="452">
        <v>41096</v>
      </c>
      <c r="AX1026" s="452">
        <v>41165</v>
      </c>
      <c r="AY1026" s="452">
        <v>41103</v>
      </c>
      <c r="AZ1026" s="453"/>
      <c r="BA1026" s="393"/>
      <c r="BB1026" s="393" t="s">
        <v>3147</v>
      </c>
      <c r="BC1026" s="393" t="b">
        <v>0</v>
      </c>
      <c r="BD1026" s="393" t="s">
        <v>3147</v>
      </c>
      <c r="BE1026" s="392"/>
      <c r="BF1026" s="394">
        <v>9</v>
      </c>
      <c r="BG1026" s="394">
        <v>8</v>
      </c>
      <c r="BH1026" s="394">
        <v>10</v>
      </c>
      <c r="BI1026" s="394">
        <v>11</v>
      </c>
      <c r="BJ1026" s="394"/>
      <c r="BK1026" s="394"/>
      <c r="BL1026" s="444"/>
      <c r="BM1026" s="392"/>
      <c r="BN1026" s="393"/>
      <c r="BO1026" s="393"/>
      <c r="BP1026" s="399"/>
      <c r="BQ1026" s="400"/>
      <c r="BR1026" s="401"/>
      <c r="BS1026" s="399">
        <v>19.8</v>
      </c>
      <c r="BT1026" s="394"/>
      <c r="BU1026" s="417"/>
      <c r="BV1026" s="399"/>
      <c r="BW1026" s="393"/>
      <c r="BX1026" s="392"/>
      <c r="BY1026" s="393"/>
      <c r="BZ1026" s="393"/>
      <c r="CA1026" s="441"/>
      <c r="CB1026" s="400"/>
      <c r="CC1026" s="398"/>
      <c r="CD1026" s="398"/>
      <c r="CE1026" s="398"/>
      <c r="CF1026" s="398"/>
      <c r="CG1026" s="398"/>
      <c r="CH1026" s="398"/>
      <c r="CI1026" s="398"/>
      <c r="CJ1026" s="398"/>
      <c r="CK1026" s="398"/>
      <c r="CL1026" s="398"/>
      <c r="CM1026" s="398"/>
      <c r="CN1026" s="398"/>
      <c r="CO1026" s="398"/>
      <c r="CP1026" s="398"/>
      <c r="CQ1026" s="398"/>
      <c r="CR1026" s="398"/>
      <c r="CS1026" s="398"/>
      <c r="CT1026" s="398"/>
      <c r="CU1026" s="398"/>
      <c r="CV1026" s="398"/>
      <c r="CW1026" s="398"/>
      <c r="CX1026" s="398"/>
      <c r="CY1026" s="398"/>
      <c r="CZ1026" s="398"/>
      <c r="DA1026" s="398"/>
      <c r="DB1026" s="398"/>
      <c r="DC1026" s="398"/>
      <c r="DD1026" s="398"/>
      <c r="DE1026" s="393"/>
      <c r="DF1026" s="393"/>
      <c r="DG1026" s="393"/>
      <c r="DH1026" s="393"/>
      <c r="DI1026" s="393"/>
      <c r="DJ1026" s="393"/>
      <c r="DK1026" s="896" t="s">
        <v>9730</v>
      </c>
    </row>
    <row r="1027" spans="1:115" ht="25.5" x14ac:dyDescent="0.2">
      <c r="A1027" s="295">
        <v>1023</v>
      </c>
      <c r="B1027" s="390" t="s">
        <v>2787</v>
      </c>
      <c r="C1027" s="390"/>
      <c r="D1027" s="391" t="s">
        <v>3361</v>
      </c>
      <c r="E1027" s="704" t="s">
        <v>1989</v>
      </c>
      <c r="F1027" s="393" t="s">
        <v>1340</v>
      </c>
      <c r="G1027" s="393" t="s">
        <v>1677</v>
      </c>
      <c r="H1027" s="393" t="s">
        <v>667</v>
      </c>
      <c r="I1027" s="392"/>
      <c r="J1027" s="392"/>
      <c r="K1027" s="392" t="s">
        <v>2201</v>
      </c>
      <c r="L1027" s="392" t="s">
        <v>774</v>
      </c>
      <c r="M1027" s="392"/>
      <c r="N1027" s="393" t="s">
        <v>44</v>
      </c>
      <c r="O1027" s="393" t="s">
        <v>289</v>
      </c>
      <c r="P1027" s="393" t="s">
        <v>289</v>
      </c>
      <c r="Q1027" s="392" t="s">
        <v>721</v>
      </c>
      <c r="R1027" s="392" t="s">
        <v>3362</v>
      </c>
      <c r="S1027" s="392" t="s">
        <v>650</v>
      </c>
      <c r="T1027" s="394">
        <v>1</v>
      </c>
      <c r="U1027" s="395">
        <v>89.998000000000005</v>
      </c>
      <c r="V1027" s="395"/>
      <c r="W1027" s="453"/>
      <c r="X1027" s="394"/>
      <c r="Y1027" s="394">
        <v>7</v>
      </c>
      <c r="Z1027" s="394">
        <v>40</v>
      </c>
      <c r="AA1027" s="395">
        <v>0</v>
      </c>
      <c r="AB1027" s="452">
        <v>42005</v>
      </c>
      <c r="AC1027" s="398">
        <v>0</v>
      </c>
      <c r="AD1027" s="398">
        <v>540.23456986301369</v>
      </c>
      <c r="AE1027" s="393" t="s">
        <v>225</v>
      </c>
      <c r="AF1027" s="417"/>
      <c r="AG1027" s="417"/>
      <c r="AH1027" s="417"/>
      <c r="AI1027" s="394"/>
      <c r="AJ1027" s="453"/>
      <c r="AK1027" s="453"/>
      <c r="AL1027" s="393"/>
      <c r="AM1027" s="393"/>
      <c r="AN1027" s="417"/>
      <c r="AO1027" s="392"/>
      <c r="AP1027" s="428" t="s">
        <v>55</v>
      </c>
      <c r="AQ1027" s="392"/>
      <c r="AR1027" s="392" t="s">
        <v>3788</v>
      </c>
      <c r="AS1027" s="479">
        <v>40899</v>
      </c>
      <c r="AT1027" s="453"/>
      <c r="AU1027" s="453"/>
      <c r="AV1027" s="453"/>
      <c r="AW1027" s="453"/>
      <c r="AX1027" s="453"/>
      <c r="AY1027" s="453"/>
      <c r="AZ1027" s="452">
        <v>41103</v>
      </c>
      <c r="BA1027" s="393"/>
      <c r="BB1027" s="393"/>
      <c r="BC1027" s="393" t="b">
        <v>0</v>
      </c>
      <c r="BD1027" s="393"/>
      <c r="BE1027" s="392"/>
      <c r="BF1027" s="394">
        <v>9</v>
      </c>
      <c r="BG1027" s="394">
        <v>8</v>
      </c>
      <c r="BH1027" s="394">
        <v>10</v>
      </c>
      <c r="BI1027" s="394">
        <v>11</v>
      </c>
      <c r="BJ1027" s="394"/>
      <c r="BK1027" s="394"/>
      <c r="BL1027" s="444" t="s">
        <v>6981</v>
      </c>
      <c r="BM1027" s="392"/>
      <c r="BN1027" s="393"/>
      <c r="BO1027" s="393"/>
      <c r="BP1027" s="399"/>
      <c r="BQ1027" s="400"/>
      <c r="BR1027" s="401"/>
      <c r="BS1027" s="399">
        <v>19.8</v>
      </c>
      <c r="BT1027" s="394">
        <v>136489</v>
      </c>
      <c r="BU1027" s="417">
        <v>0.65674999999999994</v>
      </c>
      <c r="BV1027" s="399"/>
      <c r="BW1027" s="393" t="s">
        <v>3117</v>
      </c>
      <c r="BX1027" s="392"/>
      <c r="BY1027" s="393"/>
      <c r="BZ1027" s="393"/>
      <c r="CA1027" s="441" t="s">
        <v>1662</v>
      </c>
      <c r="CB1027" s="400">
        <v>3</v>
      </c>
      <c r="CC1027" s="398"/>
      <c r="CD1027" s="398"/>
      <c r="CE1027" s="398"/>
      <c r="CF1027" s="398"/>
      <c r="CG1027" s="398"/>
      <c r="CH1027" s="398"/>
      <c r="CI1027" s="398"/>
      <c r="CJ1027" s="398"/>
      <c r="CK1027" s="398">
        <v>89.638999999999996</v>
      </c>
      <c r="CL1027" s="398">
        <v>89.638999999999996</v>
      </c>
      <c r="CM1027" s="398">
        <v>89.638999999999996</v>
      </c>
      <c r="CN1027" s="398">
        <v>89.638999999999996</v>
      </c>
      <c r="CO1027" s="398">
        <v>89.638999999999996</v>
      </c>
      <c r="CP1027" s="398">
        <v>89.638999999999996</v>
      </c>
      <c r="CQ1027" s="398">
        <v>89.638999999999996</v>
      </c>
      <c r="CR1027" s="398"/>
      <c r="CS1027" s="398"/>
      <c r="CT1027" s="398"/>
      <c r="CU1027" s="398"/>
      <c r="CV1027" s="398"/>
      <c r="CW1027" s="398"/>
      <c r="CX1027" s="398"/>
      <c r="CY1027" s="398"/>
      <c r="CZ1027" s="398"/>
      <c r="DA1027" s="398"/>
      <c r="DB1027" s="398"/>
      <c r="DC1027" s="398"/>
      <c r="DD1027" s="398"/>
      <c r="DE1027" s="393"/>
      <c r="DF1027" s="393"/>
      <c r="DG1027" s="393"/>
      <c r="DH1027" s="393"/>
      <c r="DI1027" s="393"/>
      <c r="DJ1027" s="393"/>
      <c r="DK1027" s="897"/>
    </row>
    <row r="1028" spans="1:115" ht="229.5" x14ac:dyDescent="0.2">
      <c r="A1028" s="295">
        <v>1024</v>
      </c>
      <c r="B1028" s="390" t="s">
        <v>485</v>
      </c>
      <c r="C1028" s="424" t="s">
        <v>7616</v>
      </c>
      <c r="D1028" s="391"/>
      <c r="E1028" s="707" t="s">
        <v>486</v>
      </c>
      <c r="F1028" s="404" t="s">
        <v>1352</v>
      </c>
      <c r="G1028" s="404" t="s">
        <v>1672</v>
      </c>
      <c r="H1028" s="404" t="s">
        <v>78</v>
      </c>
      <c r="I1028" s="403" t="s">
        <v>4091</v>
      </c>
      <c r="J1028" s="403" t="s">
        <v>487</v>
      </c>
      <c r="K1028" s="403"/>
      <c r="L1028" s="403" t="s">
        <v>488</v>
      </c>
      <c r="M1028" s="403" t="s">
        <v>3363</v>
      </c>
      <c r="N1028" s="404" t="s">
        <v>3142</v>
      </c>
      <c r="O1028" s="404" t="s">
        <v>827</v>
      </c>
      <c r="P1028" s="404" t="s">
        <v>51</v>
      </c>
      <c r="Q1028" s="403" t="s">
        <v>828</v>
      </c>
      <c r="R1028" s="403"/>
      <c r="S1028" s="403" t="s">
        <v>483</v>
      </c>
      <c r="T1028" s="405">
        <v>1</v>
      </c>
      <c r="U1028" s="406">
        <v>44.183</v>
      </c>
      <c r="V1028" s="406"/>
      <c r="W1028" s="456">
        <v>40899</v>
      </c>
      <c r="X1028" s="405">
        <v>28</v>
      </c>
      <c r="Y1028" s="405"/>
      <c r="Z1028" s="405"/>
      <c r="AA1028" s="406"/>
      <c r="AB1028" s="455"/>
      <c r="AC1028" s="407">
        <v>40.427444999999999</v>
      </c>
      <c r="AD1028" s="407">
        <v>394.13656986301368</v>
      </c>
      <c r="AE1028" s="404" t="s">
        <v>133</v>
      </c>
      <c r="AF1028" s="418"/>
      <c r="AG1028" s="418"/>
      <c r="AH1028" s="418">
        <v>0</v>
      </c>
      <c r="AI1028" s="405"/>
      <c r="AJ1028" s="455"/>
      <c r="AK1028" s="455"/>
      <c r="AL1028" s="404"/>
      <c r="AM1028" s="404"/>
      <c r="AN1028" s="418"/>
      <c r="AO1028" s="403"/>
      <c r="AP1028" s="403" t="s">
        <v>7057</v>
      </c>
      <c r="AQ1028" s="403"/>
      <c r="AR1028" s="403" t="s">
        <v>3781</v>
      </c>
      <c r="AS1028" s="482">
        <v>40900</v>
      </c>
      <c r="AT1028" s="455"/>
      <c r="AU1028" s="455"/>
      <c r="AV1028" s="455"/>
      <c r="AW1028" s="455"/>
      <c r="AX1028" s="455"/>
      <c r="AY1028" s="455"/>
      <c r="AZ1028" s="455"/>
      <c r="BA1028" s="404"/>
      <c r="BB1028" s="404" t="s">
        <v>3147</v>
      </c>
      <c r="BC1028" s="404" t="b">
        <v>0</v>
      </c>
      <c r="BD1028" s="404" t="s">
        <v>3147</v>
      </c>
      <c r="BE1028" s="403"/>
      <c r="BF1028" s="405">
        <v>1</v>
      </c>
      <c r="BG1028" s="405">
        <v>6</v>
      </c>
      <c r="BH1028" s="405">
        <v>9</v>
      </c>
      <c r="BI1028" s="405">
        <v>5</v>
      </c>
      <c r="BJ1028" s="405">
        <v>8</v>
      </c>
      <c r="BK1028" s="405">
        <v>11</v>
      </c>
      <c r="BL1028" s="446"/>
      <c r="BM1028" s="403"/>
      <c r="BN1028" s="404"/>
      <c r="BO1028" s="404"/>
      <c r="BP1028" s="408"/>
      <c r="BQ1028" s="409"/>
      <c r="BR1028" s="410"/>
      <c r="BS1028" s="408">
        <v>0</v>
      </c>
      <c r="BT1028" s="405"/>
      <c r="BU1028" s="418"/>
      <c r="BV1028" s="408"/>
      <c r="BW1028" s="404"/>
      <c r="BX1028" s="403"/>
      <c r="BY1028" s="404"/>
      <c r="BZ1028" s="404"/>
      <c r="CA1028" s="443"/>
      <c r="CB1028" s="409"/>
      <c r="CC1028" s="407"/>
      <c r="CD1028" s="407"/>
      <c r="CE1028" s="407"/>
      <c r="CF1028" s="407"/>
      <c r="CG1028" s="407"/>
      <c r="CH1028" s="407"/>
      <c r="CI1028" s="407"/>
      <c r="CJ1028" s="407"/>
      <c r="CK1028" s="407"/>
      <c r="CL1028" s="407"/>
      <c r="CM1028" s="407"/>
      <c r="CN1028" s="407"/>
      <c r="CO1028" s="407"/>
      <c r="CP1028" s="407"/>
      <c r="CQ1028" s="407"/>
      <c r="CR1028" s="407"/>
      <c r="CS1028" s="407"/>
      <c r="CT1028" s="407"/>
      <c r="CU1028" s="407"/>
      <c r="CV1028" s="407"/>
      <c r="CW1028" s="407"/>
      <c r="CX1028" s="407"/>
      <c r="CY1028" s="407"/>
      <c r="CZ1028" s="407"/>
      <c r="DA1028" s="407"/>
      <c r="DB1028" s="407"/>
      <c r="DC1028" s="407"/>
      <c r="DD1028" s="407"/>
      <c r="DE1028" s="404"/>
      <c r="DF1028" s="404"/>
      <c r="DG1028" s="404"/>
      <c r="DH1028" s="404"/>
      <c r="DI1028" s="404"/>
      <c r="DJ1028" s="404"/>
      <c r="DK1028" s="897"/>
    </row>
    <row r="1029" spans="1:115" ht="25.5" x14ac:dyDescent="0.2">
      <c r="A1029" s="295">
        <v>1025</v>
      </c>
      <c r="B1029" s="390" t="s">
        <v>2788</v>
      </c>
      <c r="C1029" s="390"/>
      <c r="D1029" s="391"/>
      <c r="E1029" s="707" t="s">
        <v>489</v>
      </c>
      <c r="F1029" s="404" t="s">
        <v>1352</v>
      </c>
      <c r="G1029" s="404" t="s">
        <v>1672</v>
      </c>
      <c r="H1029" s="404" t="s">
        <v>78</v>
      </c>
      <c r="I1029" s="403"/>
      <c r="J1029" s="403"/>
      <c r="K1029" s="403" t="s">
        <v>490</v>
      </c>
      <c r="L1029" s="403" t="s">
        <v>488</v>
      </c>
      <c r="M1029" s="403"/>
      <c r="N1029" s="404" t="s">
        <v>3142</v>
      </c>
      <c r="O1029" s="404" t="s">
        <v>827</v>
      </c>
      <c r="P1029" s="404" t="s">
        <v>51</v>
      </c>
      <c r="Q1029" s="403" t="s">
        <v>828</v>
      </c>
      <c r="R1029" s="403" t="s">
        <v>3364</v>
      </c>
      <c r="S1029" s="403" t="s">
        <v>483</v>
      </c>
      <c r="T1029" s="405">
        <v>1</v>
      </c>
      <c r="U1029" s="406">
        <v>44.183</v>
      </c>
      <c r="V1029" s="406"/>
      <c r="W1029" s="455"/>
      <c r="X1029" s="405"/>
      <c r="Y1029" s="405">
        <v>7</v>
      </c>
      <c r="Z1029" s="405">
        <v>28</v>
      </c>
      <c r="AA1029" s="406">
        <v>5.6660000000000004</v>
      </c>
      <c r="AB1029" s="456">
        <v>40940</v>
      </c>
      <c r="AC1029" s="407">
        <v>40.427444999999999</v>
      </c>
      <c r="AD1029" s="407">
        <v>394.13656986301368</v>
      </c>
      <c r="AE1029" s="404" t="s">
        <v>133</v>
      </c>
      <c r="AF1029" s="418"/>
      <c r="AG1029" s="418"/>
      <c r="AH1029" s="418"/>
      <c r="AI1029" s="405"/>
      <c r="AJ1029" s="455"/>
      <c r="AK1029" s="455"/>
      <c r="AL1029" s="404"/>
      <c r="AM1029" s="404"/>
      <c r="AN1029" s="418"/>
      <c r="AO1029" s="403"/>
      <c r="AP1029" s="403" t="s">
        <v>7057</v>
      </c>
      <c r="AQ1029" s="403"/>
      <c r="AR1029" s="403" t="s">
        <v>3781</v>
      </c>
      <c r="AS1029" s="482">
        <v>40900</v>
      </c>
      <c r="AT1029" s="455"/>
      <c r="AU1029" s="455"/>
      <c r="AV1029" s="455"/>
      <c r="AW1029" s="455"/>
      <c r="AX1029" s="455"/>
      <c r="AY1029" s="455"/>
      <c r="AZ1029" s="455"/>
      <c r="BA1029" s="404"/>
      <c r="BB1029" s="404"/>
      <c r="BC1029" s="404" t="b">
        <v>0</v>
      </c>
      <c r="BD1029" s="404"/>
      <c r="BE1029" s="403"/>
      <c r="BF1029" s="405">
        <v>1</v>
      </c>
      <c r="BG1029" s="405">
        <v>6</v>
      </c>
      <c r="BH1029" s="405">
        <v>9</v>
      </c>
      <c r="BI1029" s="405">
        <v>5</v>
      </c>
      <c r="BJ1029" s="405">
        <v>8</v>
      </c>
      <c r="BK1029" s="405">
        <v>11</v>
      </c>
      <c r="BL1029" s="446" t="s">
        <v>1451</v>
      </c>
      <c r="BM1029" s="403" t="s">
        <v>829</v>
      </c>
      <c r="BN1029" s="404"/>
      <c r="BO1029" s="404"/>
      <c r="BP1029" s="408"/>
      <c r="BQ1029" s="409"/>
      <c r="BR1029" s="410"/>
      <c r="BS1029" s="408"/>
      <c r="BT1029" s="405"/>
      <c r="BU1029" s="418"/>
      <c r="BV1029" s="408"/>
      <c r="BW1029" s="404" t="s">
        <v>3117</v>
      </c>
      <c r="BX1029" s="403"/>
      <c r="BY1029" s="404"/>
      <c r="BZ1029" s="404"/>
      <c r="CA1029" s="443"/>
      <c r="CB1029" s="409"/>
      <c r="CC1029" s="407"/>
      <c r="CD1029" s="407"/>
      <c r="CE1029" s="407"/>
      <c r="CF1029" s="407"/>
      <c r="CG1029" s="407"/>
      <c r="CH1029" s="407">
        <v>20.236000000000001</v>
      </c>
      <c r="CI1029" s="407">
        <v>42.494999999999997</v>
      </c>
      <c r="CJ1029" s="407">
        <v>44.619</v>
      </c>
      <c r="CK1029" s="407">
        <v>46.85</v>
      </c>
      <c r="CL1029" s="407">
        <v>49.192999999999998</v>
      </c>
      <c r="CM1029" s="407">
        <v>51.652999999999999</v>
      </c>
      <c r="CN1029" s="407">
        <v>54.234999999999999</v>
      </c>
      <c r="CO1029" s="407"/>
      <c r="CP1029" s="407"/>
      <c r="CQ1029" s="407"/>
      <c r="CR1029" s="407"/>
      <c r="CS1029" s="407"/>
      <c r="CT1029" s="407"/>
      <c r="CU1029" s="407"/>
      <c r="CV1029" s="407"/>
      <c r="CW1029" s="407"/>
      <c r="CX1029" s="407"/>
      <c r="CY1029" s="407"/>
      <c r="CZ1029" s="407"/>
      <c r="DA1029" s="407"/>
      <c r="DB1029" s="407"/>
      <c r="DC1029" s="407"/>
      <c r="DD1029" s="407"/>
      <c r="DE1029" s="404"/>
      <c r="DF1029" s="404"/>
      <c r="DG1029" s="404"/>
      <c r="DH1029" s="404"/>
      <c r="DI1029" s="404"/>
      <c r="DJ1029" s="404"/>
      <c r="DK1029" s="897"/>
    </row>
    <row r="1030" spans="1:115" ht="255" x14ac:dyDescent="0.2">
      <c r="A1030" s="295">
        <v>1026</v>
      </c>
      <c r="B1030" s="390" t="s">
        <v>481</v>
      </c>
      <c r="C1030" s="424" t="s">
        <v>7617</v>
      </c>
      <c r="D1030" s="391" t="s">
        <v>5146</v>
      </c>
      <c r="E1030" s="704" t="s">
        <v>482</v>
      </c>
      <c r="F1030" s="393" t="s">
        <v>1352</v>
      </c>
      <c r="G1030" s="393" t="s">
        <v>1673</v>
      </c>
      <c r="H1030" s="393" t="s">
        <v>42</v>
      </c>
      <c r="I1030" s="392" t="s">
        <v>2203</v>
      </c>
      <c r="J1030" s="392" t="s">
        <v>4092</v>
      </c>
      <c r="K1030" s="392"/>
      <c r="L1030" s="392" t="s">
        <v>3781</v>
      </c>
      <c r="M1030" s="392" t="s">
        <v>3365</v>
      </c>
      <c r="N1030" s="393" t="s">
        <v>44</v>
      </c>
      <c r="O1030" s="393" t="s">
        <v>827</v>
      </c>
      <c r="P1030" s="393" t="s">
        <v>51</v>
      </c>
      <c r="Q1030" s="392" t="s">
        <v>828</v>
      </c>
      <c r="R1030" s="392"/>
      <c r="S1030" s="392" t="s">
        <v>483</v>
      </c>
      <c r="T1030" s="394">
        <v>1</v>
      </c>
      <c r="U1030" s="395">
        <v>3.968</v>
      </c>
      <c r="V1030" s="395"/>
      <c r="W1030" s="452">
        <v>41123</v>
      </c>
      <c r="X1030" s="394">
        <v>28</v>
      </c>
      <c r="Y1030" s="394"/>
      <c r="Z1030" s="394"/>
      <c r="AA1030" s="395"/>
      <c r="AB1030" s="453"/>
      <c r="AC1030" s="398">
        <v>0</v>
      </c>
      <c r="AD1030" s="398">
        <v>31.841841095890409</v>
      </c>
      <c r="AE1030" s="393" t="s">
        <v>133</v>
      </c>
      <c r="AF1030" s="417"/>
      <c r="AG1030" s="417"/>
      <c r="AH1030" s="417">
        <v>0</v>
      </c>
      <c r="AI1030" s="394"/>
      <c r="AJ1030" s="453"/>
      <c r="AK1030" s="453"/>
      <c r="AL1030" s="393"/>
      <c r="AM1030" s="393"/>
      <c r="AN1030" s="417"/>
      <c r="AO1030" s="392"/>
      <c r="AP1030" s="428" t="s">
        <v>55</v>
      </c>
      <c r="AQ1030" s="392"/>
      <c r="AR1030" s="392" t="s">
        <v>3781</v>
      </c>
      <c r="AS1030" s="479">
        <v>40900</v>
      </c>
      <c r="AT1030" s="453"/>
      <c r="AU1030" s="453"/>
      <c r="AV1030" s="452">
        <v>41194</v>
      </c>
      <c r="AW1030" s="452">
        <v>41267</v>
      </c>
      <c r="AX1030" s="452">
        <v>41355</v>
      </c>
      <c r="AY1030" s="452">
        <v>41267</v>
      </c>
      <c r="AZ1030" s="453"/>
      <c r="BA1030" s="393"/>
      <c r="BB1030" s="393" t="s">
        <v>3147</v>
      </c>
      <c r="BC1030" s="393" t="b">
        <v>0</v>
      </c>
      <c r="BD1030" s="393" t="s">
        <v>3147</v>
      </c>
      <c r="BE1030" s="392"/>
      <c r="BF1030" s="394">
        <v>1</v>
      </c>
      <c r="BG1030" s="394">
        <v>6</v>
      </c>
      <c r="BH1030" s="394">
        <v>9</v>
      </c>
      <c r="BI1030" s="394">
        <v>5</v>
      </c>
      <c r="BJ1030" s="394">
        <v>8</v>
      </c>
      <c r="BK1030" s="394">
        <v>11</v>
      </c>
      <c r="BL1030" s="444"/>
      <c r="BM1030" s="392"/>
      <c r="BN1030" s="393"/>
      <c r="BO1030" s="393"/>
      <c r="BP1030" s="399"/>
      <c r="BQ1030" s="400"/>
      <c r="BR1030" s="401"/>
      <c r="BS1030" s="399">
        <v>0</v>
      </c>
      <c r="BT1030" s="394"/>
      <c r="BU1030" s="417"/>
      <c r="BV1030" s="399"/>
      <c r="BW1030" s="393"/>
      <c r="BX1030" s="392"/>
      <c r="BY1030" s="475" t="s">
        <v>7227</v>
      </c>
      <c r="BZ1030" s="393"/>
      <c r="CA1030" s="441"/>
      <c r="CB1030" s="400"/>
      <c r="CC1030" s="398"/>
      <c r="CD1030" s="398"/>
      <c r="CE1030" s="398"/>
      <c r="CF1030" s="398"/>
      <c r="CG1030" s="398"/>
      <c r="CH1030" s="398"/>
      <c r="CI1030" s="398"/>
      <c r="CJ1030" s="398"/>
      <c r="CK1030" s="398"/>
      <c r="CL1030" s="398"/>
      <c r="CM1030" s="398"/>
      <c r="CN1030" s="398"/>
      <c r="CO1030" s="398"/>
      <c r="CP1030" s="398"/>
      <c r="CQ1030" s="398"/>
      <c r="CR1030" s="398"/>
      <c r="CS1030" s="398"/>
      <c r="CT1030" s="398"/>
      <c r="CU1030" s="398"/>
      <c r="CV1030" s="398"/>
      <c r="CW1030" s="398"/>
      <c r="CX1030" s="398"/>
      <c r="CY1030" s="398"/>
      <c r="CZ1030" s="398"/>
      <c r="DA1030" s="398"/>
      <c r="DB1030" s="398"/>
      <c r="DC1030" s="398"/>
      <c r="DD1030" s="398"/>
      <c r="DE1030" s="393"/>
      <c r="DF1030" s="393"/>
      <c r="DG1030" s="393"/>
      <c r="DH1030" s="393"/>
      <c r="DI1030" s="393"/>
      <c r="DJ1030" s="393"/>
      <c r="DK1030" s="896" t="s">
        <v>9701</v>
      </c>
    </row>
    <row r="1031" spans="1:115" ht="51" x14ac:dyDescent="0.2">
      <c r="A1031" s="295">
        <v>1027</v>
      </c>
      <c r="B1031" s="390" t="s">
        <v>2789</v>
      </c>
      <c r="C1031" s="390"/>
      <c r="D1031" s="391" t="s">
        <v>4614</v>
      </c>
      <c r="E1031" s="704" t="s">
        <v>484</v>
      </c>
      <c r="F1031" s="393" t="s">
        <v>1352</v>
      </c>
      <c r="G1031" s="393" t="s">
        <v>1673</v>
      </c>
      <c r="H1031" s="393" t="s">
        <v>42</v>
      </c>
      <c r="I1031" s="392"/>
      <c r="J1031" s="392"/>
      <c r="K1031" s="392" t="s">
        <v>2202</v>
      </c>
      <c r="L1031" s="392" t="s">
        <v>3781</v>
      </c>
      <c r="M1031" s="392"/>
      <c r="N1031" s="393" t="s">
        <v>44</v>
      </c>
      <c r="O1031" s="393" t="s">
        <v>827</v>
      </c>
      <c r="P1031" s="393" t="s">
        <v>51</v>
      </c>
      <c r="Q1031" s="392" t="s">
        <v>828</v>
      </c>
      <c r="R1031" s="392" t="s">
        <v>3366</v>
      </c>
      <c r="S1031" s="392" t="s">
        <v>483</v>
      </c>
      <c r="T1031" s="394">
        <v>1</v>
      </c>
      <c r="U1031" s="395">
        <v>3.968</v>
      </c>
      <c r="V1031" s="395"/>
      <c r="W1031" s="453"/>
      <c r="X1031" s="394"/>
      <c r="Y1031" s="394">
        <v>7</v>
      </c>
      <c r="Z1031" s="394">
        <v>28</v>
      </c>
      <c r="AA1031" s="395">
        <v>3.8330000000000002</v>
      </c>
      <c r="AB1031" s="452">
        <v>41267</v>
      </c>
      <c r="AC1031" s="398">
        <v>0</v>
      </c>
      <c r="AD1031" s="398">
        <v>31.841841095890409</v>
      </c>
      <c r="AE1031" s="393" t="s">
        <v>133</v>
      </c>
      <c r="AF1031" s="417"/>
      <c r="AG1031" s="417"/>
      <c r="AH1031" s="417"/>
      <c r="AI1031" s="394"/>
      <c r="AJ1031" s="453"/>
      <c r="AK1031" s="453"/>
      <c r="AL1031" s="393"/>
      <c r="AM1031" s="393"/>
      <c r="AN1031" s="417"/>
      <c r="AO1031" s="392"/>
      <c r="AP1031" s="428" t="s">
        <v>55</v>
      </c>
      <c r="AQ1031" s="392"/>
      <c r="AR1031" s="392" t="s">
        <v>3781</v>
      </c>
      <c r="AS1031" s="479">
        <v>40900</v>
      </c>
      <c r="AT1031" s="397"/>
      <c r="AU1031" s="397"/>
      <c r="AV1031" s="453"/>
      <c r="AW1031" s="453"/>
      <c r="AX1031" s="453"/>
      <c r="AY1031" s="453"/>
      <c r="AZ1031" s="452">
        <v>41267</v>
      </c>
      <c r="BA1031" s="393"/>
      <c r="BB1031" s="393"/>
      <c r="BC1031" s="393" t="b">
        <v>0</v>
      </c>
      <c r="BD1031" s="393"/>
      <c r="BE1031" s="392"/>
      <c r="BF1031" s="394">
        <v>1</v>
      </c>
      <c r="BG1031" s="394">
        <v>6</v>
      </c>
      <c r="BH1031" s="394">
        <v>9</v>
      </c>
      <c r="BI1031" s="394">
        <v>5</v>
      </c>
      <c r="BJ1031" s="394">
        <v>8</v>
      </c>
      <c r="BK1031" s="394">
        <v>11</v>
      </c>
      <c r="BL1031" s="444" t="s">
        <v>1451</v>
      </c>
      <c r="BM1031" s="392" t="s">
        <v>3367</v>
      </c>
      <c r="BN1031" s="393" t="s">
        <v>3303</v>
      </c>
      <c r="BO1031" s="393"/>
      <c r="BP1031" s="399"/>
      <c r="BQ1031" s="400"/>
      <c r="BR1031" s="401"/>
      <c r="BS1031" s="399"/>
      <c r="BT1031" s="394"/>
      <c r="BU1031" s="417"/>
      <c r="BV1031" s="399"/>
      <c r="BW1031" s="393" t="s">
        <v>3117</v>
      </c>
      <c r="BX1031" s="392"/>
      <c r="BY1031" s="475" t="s">
        <v>7227</v>
      </c>
      <c r="BZ1031" s="393"/>
      <c r="CA1031" s="441"/>
      <c r="CB1031" s="400"/>
      <c r="CC1031" s="398"/>
      <c r="CD1031" s="398"/>
      <c r="CE1031" s="398"/>
      <c r="CF1031" s="398"/>
      <c r="CG1031" s="398"/>
      <c r="CH1031" s="398">
        <v>14</v>
      </c>
      <c r="CI1031" s="398">
        <v>24</v>
      </c>
      <c r="CJ1031" s="398">
        <v>24</v>
      </c>
      <c r="CK1031" s="398">
        <v>24</v>
      </c>
      <c r="CL1031" s="398">
        <v>24</v>
      </c>
      <c r="CM1031" s="398">
        <v>24</v>
      </c>
      <c r="CN1031" s="398">
        <v>24</v>
      </c>
      <c r="CO1031" s="398">
        <v>24</v>
      </c>
      <c r="CP1031" s="398"/>
      <c r="CQ1031" s="398"/>
      <c r="CR1031" s="398"/>
      <c r="CS1031" s="398"/>
      <c r="CT1031" s="398"/>
      <c r="CU1031" s="398"/>
      <c r="CV1031" s="398"/>
      <c r="CW1031" s="398"/>
      <c r="CX1031" s="398"/>
      <c r="CY1031" s="398"/>
      <c r="CZ1031" s="398"/>
      <c r="DA1031" s="398"/>
      <c r="DB1031" s="398"/>
      <c r="DC1031" s="398"/>
      <c r="DD1031" s="398"/>
      <c r="DE1031" s="393"/>
      <c r="DF1031" s="393"/>
      <c r="DG1031" s="393"/>
      <c r="DH1031" s="393"/>
      <c r="DI1031" s="393"/>
      <c r="DJ1031" s="393"/>
      <c r="DK1031" s="897"/>
    </row>
    <row r="1032" spans="1:115" ht="38.25" x14ac:dyDescent="0.2">
      <c r="A1032" s="295">
        <v>1028</v>
      </c>
      <c r="B1032" s="390" t="s">
        <v>887</v>
      </c>
      <c r="C1032" s="424" t="s">
        <v>7618</v>
      </c>
      <c r="D1032" s="391" t="s">
        <v>5147</v>
      </c>
      <c r="E1032" s="704" t="s">
        <v>888</v>
      </c>
      <c r="F1032" s="393" t="s">
        <v>1375</v>
      </c>
      <c r="G1032" s="393" t="s">
        <v>1361</v>
      </c>
      <c r="H1032" s="393" t="s">
        <v>137</v>
      </c>
      <c r="I1032" s="392"/>
      <c r="J1032" s="392" t="s">
        <v>137</v>
      </c>
      <c r="K1032" s="392"/>
      <c r="L1032" s="392" t="s">
        <v>3787</v>
      </c>
      <c r="M1032" s="392" t="s">
        <v>3368</v>
      </c>
      <c r="N1032" s="393" t="s">
        <v>44</v>
      </c>
      <c r="O1032" s="393" t="s">
        <v>827</v>
      </c>
      <c r="P1032" s="393" t="s">
        <v>827</v>
      </c>
      <c r="Q1032" s="392" t="s">
        <v>836</v>
      </c>
      <c r="R1032" s="392"/>
      <c r="S1032" s="392" t="s">
        <v>889</v>
      </c>
      <c r="T1032" s="394">
        <v>1</v>
      </c>
      <c r="U1032" s="395">
        <v>15.022</v>
      </c>
      <c r="V1032" s="395"/>
      <c r="W1032" s="452">
        <v>41122</v>
      </c>
      <c r="X1032" s="394">
        <v>28</v>
      </c>
      <c r="Y1032" s="394"/>
      <c r="Z1032" s="394"/>
      <c r="AA1032" s="395"/>
      <c r="AB1032" s="453"/>
      <c r="AC1032" s="398">
        <v>0</v>
      </c>
      <c r="AD1032" s="398">
        <v>121.69877808219179</v>
      </c>
      <c r="AE1032" s="393" t="s">
        <v>133</v>
      </c>
      <c r="AF1032" s="417"/>
      <c r="AG1032" s="417"/>
      <c r="AH1032" s="417">
        <v>0</v>
      </c>
      <c r="AI1032" s="394"/>
      <c r="AJ1032" s="453"/>
      <c r="AK1032" s="453"/>
      <c r="AL1032" s="393"/>
      <c r="AM1032" s="393"/>
      <c r="AN1032" s="417"/>
      <c r="AO1032" s="392"/>
      <c r="AP1032" s="392" t="s">
        <v>55</v>
      </c>
      <c r="AQ1032" s="392"/>
      <c r="AR1032" s="392" t="s">
        <v>3787</v>
      </c>
      <c r="AS1032" s="479">
        <v>40900</v>
      </c>
      <c r="AT1032" s="453"/>
      <c r="AU1032" s="453"/>
      <c r="AV1032" s="452">
        <v>41129</v>
      </c>
      <c r="AW1032" s="452">
        <v>41229</v>
      </c>
      <c r="AX1032" s="452">
        <v>41362</v>
      </c>
      <c r="AY1032" s="452">
        <v>41239</v>
      </c>
      <c r="AZ1032" s="453"/>
      <c r="BA1032" s="393"/>
      <c r="BB1032" s="393" t="s">
        <v>3116</v>
      </c>
      <c r="BC1032" s="393" t="b">
        <v>1</v>
      </c>
      <c r="BD1032" s="393" t="s">
        <v>3116</v>
      </c>
      <c r="BE1032" s="392"/>
      <c r="BF1032" s="394">
        <v>5</v>
      </c>
      <c r="BG1032" s="394">
        <v>1</v>
      </c>
      <c r="BH1032" s="394"/>
      <c r="BI1032" s="394"/>
      <c r="BJ1032" s="394"/>
      <c r="BK1032" s="394"/>
      <c r="BL1032" s="444"/>
      <c r="BM1032" s="392"/>
      <c r="BN1032" s="393"/>
      <c r="BO1032" s="393"/>
      <c r="BP1032" s="399"/>
      <c r="BQ1032" s="400"/>
      <c r="BR1032" s="401"/>
      <c r="BS1032" s="399">
        <v>7.5</v>
      </c>
      <c r="BT1032" s="394"/>
      <c r="BU1032" s="417"/>
      <c r="BV1032" s="399"/>
      <c r="BW1032" s="393"/>
      <c r="BX1032" s="392"/>
      <c r="BY1032" s="475" t="s">
        <v>7227</v>
      </c>
      <c r="BZ1032" s="393"/>
      <c r="CA1032" s="441"/>
      <c r="CB1032" s="400"/>
      <c r="CC1032" s="398"/>
      <c r="CD1032" s="398"/>
      <c r="CE1032" s="398"/>
      <c r="CF1032" s="398"/>
      <c r="CG1032" s="398"/>
      <c r="CH1032" s="398"/>
      <c r="CI1032" s="398"/>
      <c r="CJ1032" s="398"/>
      <c r="CK1032" s="398"/>
      <c r="CL1032" s="398"/>
      <c r="CM1032" s="398"/>
      <c r="CN1032" s="398"/>
      <c r="CO1032" s="398"/>
      <c r="CP1032" s="398"/>
      <c r="CQ1032" s="398"/>
      <c r="CR1032" s="398"/>
      <c r="CS1032" s="398"/>
      <c r="CT1032" s="398"/>
      <c r="CU1032" s="398"/>
      <c r="CV1032" s="398"/>
      <c r="CW1032" s="398"/>
      <c r="CX1032" s="398"/>
      <c r="CY1032" s="398"/>
      <c r="CZ1032" s="398"/>
      <c r="DA1032" s="398"/>
      <c r="DB1032" s="398"/>
      <c r="DC1032" s="398"/>
      <c r="DD1032" s="398"/>
      <c r="DE1032" s="393"/>
      <c r="DF1032" s="393"/>
      <c r="DG1032" s="393"/>
      <c r="DH1032" s="393"/>
      <c r="DI1032" s="393"/>
      <c r="DJ1032" s="393"/>
      <c r="DK1032" s="896" t="s">
        <v>9701</v>
      </c>
    </row>
    <row r="1033" spans="1:115" ht="25.5" x14ac:dyDescent="0.2">
      <c r="A1033" s="295">
        <v>1029</v>
      </c>
      <c r="B1033" s="390" t="s">
        <v>2790</v>
      </c>
      <c r="C1033" s="390"/>
      <c r="D1033" s="391" t="s">
        <v>4615</v>
      </c>
      <c r="E1033" s="704" t="s">
        <v>890</v>
      </c>
      <c r="F1033" s="393" t="s">
        <v>1375</v>
      </c>
      <c r="G1033" s="393" t="s">
        <v>1361</v>
      </c>
      <c r="H1033" s="393" t="s">
        <v>137</v>
      </c>
      <c r="I1033" s="392"/>
      <c r="J1033" s="392"/>
      <c r="K1033" s="392" t="s">
        <v>2147</v>
      </c>
      <c r="L1033" s="392" t="s">
        <v>3787</v>
      </c>
      <c r="M1033" s="392"/>
      <c r="N1033" s="393" t="s">
        <v>44</v>
      </c>
      <c r="O1033" s="393" t="s">
        <v>827</v>
      </c>
      <c r="P1033" s="393" t="s">
        <v>827</v>
      </c>
      <c r="Q1033" s="392" t="s">
        <v>836</v>
      </c>
      <c r="R1033" s="392" t="s">
        <v>3369</v>
      </c>
      <c r="S1033" s="392" t="s">
        <v>889</v>
      </c>
      <c r="T1033" s="394">
        <v>1</v>
      </c>
      <c r="U1033" s="395">
        <v>15.022</v>
      </c>
      <c r="V1033" s="395"/>
      <c r="W1033" s="453"/>
      <c r="X1033" s="394"/>
      <c r="Y1033" s="394">
        <v>7</v>
      </c>
      <c r="Z1033" s="394">
        <v>30</v>
      </c>
      <c r="AA1033" s="395">
        <v>4</v>
      </c>
      <c r="AB1033" s="452">
        <v>41239</v>
      </c>
      <c r="AC1033" s="398">
        <v>0</v>
      </c>
      <c r="AD1033" s="398">
        <v>121.69877808219179</v>
      </c>
      <c r="AE1033" s="393" t="s">
        <v>133</v>
      </c>
      <c r="AF1033" s="417"/>
      <c r="AG1033" s="417"/>
      <c r="AH1033" s="417"/>
      <c r="AI1033" s="394"/>
      <c r="AJ1033" s="453"/>
      <c r="AK1033" s="453"/>
      <c r="AL1033" s="393"/>
      <c r="AM1033" s="393"/>
      <c r="AN1033" s="417"/>
      <c r="AO1033" s="392"/>
      <c r="AP1033" s="392" t="s">
        <v>55</v>
      </c>
      <c r="AQ1033" s="392"/>
      <c r="AR1033" s="392" t="s">
        <v>3787</v>
      </c>
      <c r="AS1033" s="479">
        <v>40900</v>
      </c>
      <c r="AT1033" s="453"/>
      <c r="AU1033" s="453"/>
      <c r="AV1033" s="453"/>
      <c r="AW1033" s="453"/>
      <c r="AX1033" s="453"/>
      <c r="AY1033" s="453"/>
      <c r="AZ1033" s="452">
        <v>41239</v>
      </c>
      <c r="BA1033" s="393"/>
      <c r="BB1033" s="393"/>
      <c r="BC1033" s="393" t="b">
        <v>0</v>
      </c>
      <c r="BD1033" s="393"/>
      <c r="BE1033" s="392"/>
      <c r="BF1033" s="394">
        <v>1</v>
      </c>
      <c r="BG1033" s="394">
        <v>6</v>
      </c>
      <c r="BH1033" s="394"/>
      <c r="BI1033" s="394"/>
      <c r="BJ1033" s="394"/>
      <c r="BK1033" s="394"/>
      <c r="BL1033" s="444" t="s">
        <v>6981</v>
      </c>
      <c r="BM1033" s="392"/>
      <c r="BN1033" s="393"/>
      <c r="BO1033" s="393"/>
      <c r="BP1033" s="399"/>
      <c r="BQ1033" s="400"/>
      <c r="BR1033" s="401"/>
      <c r="BS1033" s="399">
        <v>7.5</v>
      </c>
      <c r="BT1033" s="394">
        <v>11826</v>
      </c>
      <c r="BU1033" s="417">
        <v>0.98824999999999996</v>
      </c>
      <c r="BV1033" s="399"/>
      <c r="BW1033" s="393" t="s">
        <v>3117</v>
      </c>
      <c r="BX1033" s="392"/>
      <c r="BY1033" s="475" t="s">
        <v>7227</v>
      </c>
      <c r="BZ1033" s="393"/>
      <c r="CA1033" s="441"/>
      <c r="CB1033" s="400"/>
      <c r="CC1033" s="398"/>
      <c r="CD1033" s="398"/>
      <c r="CE1033" s="398"/>
      <c r="CF1033" s="398"/>
      <c r="CG1033" s="398"/>
      <c r="CH1033" s="398"/>
      <c r="CI1033" s="398">
        <v>2.3380000000000001</v>
      </c>
      <c r="CJ1033" s="398">
        <v>7.0090000000000003</v>
      </c>
      <c r="CK1033" s="398">
        <v>11.683999999999999</v>
      </c>
      <c r="CL1033" s="398">
        <v>16.356999999999999</v>
      </c>
      <c r="CM1033" s="398">
        <v>21.03</v>
      </c>
      <c r="CN1033" s="398">
        <v>23.367999999999999</v>
      </c>
      <c r="CO1033" s="398">
        <v>23.367999999999999</v>
      </c>
      <c r="CP1033" s="398"/>
      <c r="CQ1033" s="398"/>
      <c r="CR1033" s="398"/>
      <c r="CS1033" s="398"/>
      <c r="CT1033" s="398"/>
      <c r="CU1033" s="398"/>
      <c r="CV1033" s="398"/>
      <c r="CW1033" s="398"/>
      <c r="CX1033" s="398"/>
      <c r="CY1033" s="398"/>
      <c r="CZ1033" s="398"/>
      <c r="DA1033" s="398"/>
      <c r="DB1033" s="398"/>
      <c r="DC1033" s="398"/>
      <c r="DD1033" s="398"/>
      <c r="DE1033" s="393"/>
      <c r="DF1033" s="393"/>
      <c r="DG1033" s="393"/>
      <c r="DH1033" s="393"/>
      <c r="DI1033" s="393"/>
      <c r="DJ1033" s="393"/>
      <c r="DK1033" s="897"/>
    </row>
    <row r="1034" spans="1:115" ht="38.25" x14ac:dyDescent="0.2">
      <c r="A1034" s="295">
        <v>1030</v>
      </c>
      <c r="B1034" s="390" t="s">
        <v>221</v>
      </c>
      <c r="C1034" s="424" t="s">
        <v>7619</v>
      </c>
      <c r="D1034" s="391" t="s">
        <v>5148</v>
      </c>
      <c r="E1034" s="705" t="s">
        <v>222</v>
      </c>
      <c r="F1034" s="393" t="s">
        <v>1375</v>
      </c>
      <c r="G1034" s="393" t="s">
        <v>998</v>
      </c>
      <c r="H1034" s="393" t="s">
        <v>218</v>
      </c>
      <c r="I1034" s="392"/>
      <c r="J1034" s="392" t="s">
        <v>218</v>
      </c>
      <c r="K1034" s="392"/>
      <c r="L1034" s="392" t="s">
        <v>223</v>
      </c>
      <c r="M1034" s="392" t="s">
        <v>3370</v>
      </c>
      <c r="N1034" s="393" t="s">
        <v>44</v>
      </c>
      <c r="O1034" s="393" t="s">
        <v>69</v>
      </c>
      <c r="P1034" s="393" t="s">
        <v>69</v>
      </c>
      <c r="Q1034" s="392" t="s">
        <v>172</v>
      </c>
      <c r="R1034" s="392"/>
      <c r="S1034" s="392" t="s">
        <v>224</v>
      </c>
      <c r="T1034" s="394">
        <v>1</v>
      </c>
      <c r="U1034" s="395">
        <v>45.155999999999999</v>
      </c>
      <c r="V1034" s="395"/>
      <c r="W1034" s="452">
        <v>40901</v>
      </c>
      <c r="X1034" s="394">
        <v>28</v>
      </c>
      <c r="Y1034" s="394"/>
      <c r="Z1034" s="394"/>
      <c r="AA1034" s="395"/>
      <c r="AB1034" s="453"/>
      <c r="AC1034" s="398">
        <v>0</v>
      </c>
      <c r="AD1034" s="398">
        <v>367.31003835616434</v>
      </c>
      <c r="AE1034" s="393" t="s">
        <v>225</v>
      </c>
      <c r="AF1034" s="417"/>
      <c r="AG1034" s="417"/>
      <c r="AH1034" s="417">
        <v>0</v>
      </c>
      <c r="AI1034" s="394"/>
      <c r="AJ1034" s="453"/>
      <c r="AK1034" s="453"/>
      <c r="AL1034" s="393"/>
      <c r="AM1034" s="393"/>
      <c r="AN1034" s="417">
        <f>1.235</f>
        <v>1.2350000000000001</v>
      </c>
      <c r="AO1034" s="392"/>
      <c r="AP1034" s="428" t="s">
        <v>8094</v>
      </c>
      <c r="AQ1034" s="392"/>
      <c r="AR1034" s="392" t="s">
        <v>236</v>
      </c>
      <c r="AS1034" s="479">
        <v>40901</v>
      </c>
      <c r="AT1034" s="453"/>
      <c r="AU1034" s="453"/>
      <c r="AV1034" s="452">
        <v>41085</v>
      </c>
      <c r="AW1034" s="452">
        <v>41198</v>
      </c>
      <c r="AX1034" s="452">
        <v>41339</v>
      </c>
      <c r="AY1034" s="452">
        <v>41264</v>
      </c>
      <c r="AZ1034" s="453"/>
      <c r="BA1034" s="393"/>
      <c r="BB1034" s="393" t="s">
        <v>3147</v>
      </c>
      <c r="BC1034" s="393" t="b">
        <v>0</v>
      </c>
      <c r="BD1034" s="393" t="s">
        <v>3147</v>
      </c>
      <c r="BE1034" s="392"/>
      <c r="BF1034" s="394">
        <v>4</v>
      </c>
      <c r="BG1034" s="394">
        <v>2</v>
      </c>
      <c r="BH1034" s="394">
        <v>1</v>
      </c>
      <c r="BI1034" s="394">
        <v>6</v>
      </c>
      <c r="BJ1034" s="394">
        <v>9</v>
      </c>
      <c r="BK1034" s="394">
        <v>7</v>
      </c>
      <c r="BL1034" s="444"/>
      <c r="BM1034" s="392"/>
      <c r="BN1034" s="393"/>
      <c r="BO1034" s="393"/>
      <c r="BP1034" s="399"/>
      <c r="BQ1034" s="400"/>
      <c r="BR1034" s="401"/>
      <c r="BS1034" s="399">
        <v>0</v>
      </c>
      <c r="BT1034" s="394"/>
      <c r="BU1034" s="417"/>
      <c r="BV1034" s="399"/>
      <c r="BW1034" s="393"/>
      <c r="BX1034" s="392"/>
      <c r="BY1034" s="393"/>
      <c r="BZ1034" s="393" t="s">
        <v>3165</v>
      </c>
      <c r="CA1034" s="441"/>
      <c r="CB1034" s="400"/>
      <c r="CC1034" s="398"/>
      <c r="CD1034" s="398"/>
      <c r="CE1034" s="398"/>
      <c r="CF1034" s="398"/>
      <c r="CG1034" s="398"/>
      <c r="CH1034" s="398"/>
      <c r="CI1034" s="398"/>
      <c r="CJ1034" s="398"/>
      <c r="CK1034" s="398"/>
      <c r="CL1034" s="398"/>
      <c r="CM1034" s="398"/>
      <c r="CN1034" s="398"/>
      <c r="CO1034" s="398"/>
      <c r="CP1034" s="398"/>
      <c r="CQ1034" s="398"/>
      <c r="CR1034" s="398"/>
      <c r="CS1034" s="398"/>
      <c r="CT1034" s="398"/>
      <c r="CU1034" s="398"/>
      <c r="CV1034" s="398"/>
      <c r="CW1034" s="398"/>
      <c r="CX1034" s="398"/>
      <c r="CY1034" s="398"/>
      <c r="CZ1034" s="398"/>
      <c r="DA1034" s="398"/>
      <c r="DB1034" s="398"/>
      <c r="DC1034" s="398"/>
      <c r="DD1034" s="398"/>
      <c r="DE1034" s="393"/>
      <c r="DF1034" s="393"/>
      <c r="DG1034" s="393"/>
      <c r="DH1034" s="393"/>
      <c r="DI1034" s="393"/>
      <c r="DJ1034" s="393"/>
      <c r="DK1034" s="896" t="s">
        <v>9703</v>
      </c>
    </row>
    <row r="1035" spans="1:115" ht="25.5" x14ac:dyDescent="0.2">
      <c r="A1035" s="295">
        <v>1031</v>
      </c>
      <c r="B1035" s="390" t="s">
        <v>2791</v>
      </c>
      <c r="C1035" s="390"/>
      <c r="D1035" s="391" t="s">
        <v>4616</v>
      </c>
      <c r="E1035" s="704" t="s">
        <v>226</v>
      </c>
      <c r="F1035" s="393" t="s">
        <v>1375</v>
      </c>
      <c r="G1035" s="393" t="s">
        <v>998</v>
      </c>
      <c r="H1035" s="393" t="s">
        <v>218</v>
      </c>
      <c r="I1035" s="392"/>
      <c r="J1035" s="392"/>
      <c r="K1035" s="392" t="s">
        <v>159</v>
      </c>
      <c r="L1035" s="392" t="s">
        <v>223</v>
      </c>
      <c r="M1035" s="392"/>
      <c r="N1035" s="393" t="s">
        <v>44</v>
      </c>
      <c r="O1035" s="393" t="s">
        <v>69</v>
      </c>
      <c r="P1035" s="393" t="s">
        <v>69</v>
      </c>
      <c r="Q1035" s="392" t="s">
        <v>172</v>
      </c>
      <c r="R1035" s="392" t="s">
        <v>3371</v>
      </c>
      <c r="S1035" s="392" t="s">
        <v>224</v>
      </c>
      <c r="T1035" s="394">
        <v>1</v>
      </c>
      <c r="U1035" s="395">
        <v>45.155999999999999</v>
      </c>
      <c r="V1035" s="395"/>
      <c r="W1035" s="453"/>
      <c r="X1035" s="394"/>
      <c r="Y1035" s="394">
        <v>7</v>
      </c>
      <c r="Z1035" s="394">
        <v>21</v>
      </c>
      <c r="AA1035" s="395">
        <v>0</v>
      </c>
      <c r="AB1035" s="452">
        <v>41227</v>
      </c>
      <c r="AC1035" s="398">
        <v>0</v>
      </c>
      <c r="AD1035" s="398">
        <v>367.31003835616434</v>
      </c>
      <c r="AE1035" s="393" t="s">
        <v>225</v>
      </c>
      <c r="AF1035" s="417"/>
      <c r="AG1035" s="417"/>
      <c r="AH1035" s="417"/>
      <c r="AI1035" s="394"/>
      <c r="AJ1035" s="453"/>
      <c r="AK1035" s="453"/>
      <c r="AL1035" s="393"/>
      <c r="AM1035" s="393"/>
      <c r="AN1035" s="417"/>
      <c r="AO1035" s="392"/>
      <c r="AP1035" s="428" t="s">
        <v>8094</v>
      </c>
      <c r="AQ1035" s="392"/>
      <c r="AR1035" s="392" t="s">
        <v>236</v>
      </c>
      <c r="AS1035" s="479">
        <v>40901</v>
      </c>
      <c r="AT1035" s="453"/>
      <c r="AU1035" s="453"/>
      <c r="AV1035" s="453"/>
      <c r="AW1035" s="453"/>
      <c r="AX1035" s="453"/>
      <c r="AY1035" s="453"/>
      <c r="AZ1035" s="452">
        <v>41264</v>
      </c>
      <c r="BA1035" s="393"/>
      <c r="BB1035" s="393"/>
      <c r="BC1035" s="393" t="b">
        <v>0</v>
      </c>
      <c r="BD1035" s="393"/>
      <c r="BE1035" s="392"/>
      <c r="BF1035" s="394">
        <v>4</v>
      </c>
      <c r="BG1035" s="394">
        <v>2</v>
      </c>
      <c r="BH1035" s="394">
        <v>1</v>
      </c>
      <c r="BI1035" s="394">
        <v>6</v>
      </c>
      <c r="BJ1035" s="394">
        <v>9</v>
      </c>
      <c r="BK1035" s="394">
        <v>7</v>
      </c>
      <c r="BL1035" s="444" t="s">
        <v>6981</v>
      </c>
      <c r="BM1035" s="392"/>
      <c r="BN1035" s="393"/>
      <c r="BO1035" s="393"/>
      <c r="BP1035" s="399"/>
      <c r="BQ1035" s="400"/>
      <c r="BR1035" s="401"/>
      <c r="BS1035" s="399"/>
      <c r="BT1035" s="394"/>
      <c r="BU1035" s="417"/>
      <c r="BV1035" s="399"/>
      <c r="BW1035" s="393" t="s">
        <v>3117</v>
      </c>
      <c r="BX1035" s="392" t="s">
        <v>4364</v>
      </c>
      <c r="BY1035" s="393" t="s">
        <v>7224</v>
      </c>
      <c r="BZ1035" s="393" t="s">
        <v>3165</v>
      </c>
      <c r="CA1035" s="441"/>
      <c r="CB1035" s="400"/>
      <c r="CC1035" s="398"/>
      <c r="CD1035" s="398"/>
      <c r="CE1035" s="398"/>
      <c r="CF1035" s="398"/>
      <c r="CG1035" s="398"/>
      <c r="CH1035" s="398">
        <v>24.315000000000001</v>
      </c>
      <c r="CI1035" s="398">
        <v>48.628999999999998</v>
      </c>
      <c r="CJ1035" s="398">
        <v>48.628999999999998</v>
      </c>
      <c r="CK1035" s="398">
        <v>48.628999999999998</v>
      </c>
      <c r="CL1035" s="398">
        <v>48.628999999999998</v>
      </c>
      <c r="CM1035" s="398">
        <v>48.628999999999998</v>
      </c>
      <c r="CN1035" s="398">
        <v>48.628999999999998</v>
      </c>
      <c r="CO1035" s="398"/>
      <c r="CP1035" s="398"/>
      <c r="CQ1035" s="398"/>
      <c r="CR1035" s="398"/>
      <c r="CS1035" s="398"/>
      <c r="CT1035" s="398"/>
      <c r="CU1035" s="398"/>
      <c r="CV1035" s="398"/>
      <c r="CW1035" s="398"/>
      <c r="CX1035" s="398"/>
      <c r="CY1035" s="398"/>
      <c r="CZ1035" s="398"/>
      <c r="DA1035" s="398"/>
      <c r="DB1035" s="398"/>
      <c r="DC1035" s="398"/>
      <c r="DD1035" s="398"/>
      <c r="DE1035" s="393"/>
      <c r="DF1035" s="393"/>
      <c r="DG1035" s="393"/>
      <c r="DH1035" s="393"/>
      <c r="DI1035" s="393"/>
      <c r="DJ1035" s="393"/>
      <c r="DK1035" s="897"/>
    </row>
    <row r="1036" spans="1:115" ht="38.25" x14ac:dyDescent="0.2">
      <c r="A1036" s="295">
        <v>1032</v>
      </c>
      <c r="B1036" s="390" t="s">
        <v>231</v>
      </c>
      <c r="C1036" s="424" t="s">
        <v>7620</v>
      </c>
      <c r="D1036" s="391" t="s">
        <v>5149</v>
      </c>
      <c r="E1036" s="704" t="s">
        <v>232</v>
      </c>
      <c r="F1036" s="393" t="s">
        <v>1340</v>
      </c>
      <c r="G1036" s="393" t="s">
        <v>1359</v>
      </c>
      <c r="H1036" s="393" t="s">
        <v>233</v>
      </c>
      <c r="I1036" s="392"/>
      <c r="J1036" s="392" t="s">
        <v>233</v>
      </c>
      <c r="K1036" s="392"/>
      <c r="L1036" s="392" t="s">
        <v>234</v>
      </c>
      <c r="M1036" s="392" t="s">
        <v>3372</v>
      </c>
      <c r="N1036" s="393" t="s">
        <v>44</v>
      </c>
      <c r="O1036" s="393" t="s">
        <v>69</v>
      </c>
      <c r="P1036" s="393" t="s">
        <v>69</v>
      </c>
      <c r="Q1036" s="392" t="s">
        <v>172</v>
      </c>
      <c r="R1036" s="392"/>
      <c r="S1036" s="392" t="s">
        <v>235</v>
      </c>
      <c r="T1036" s="394">
        <v>1</v>
      </c>
      <c r="U1036" s="395">
        <v>10.0144</v>
      </c>
      <c r="V1036" s="395"/>
      <c r="W1036" s="452">
        <v>40904</v>
      </c>
      <c r="X1036" s="394">
        <v>28</v>
      </c>
      <c r="Y1036" s="394"/>
      <c r="Z1036" s="394"/>
      <c r="AA1036" s="395"/>
      <c r="AB1036" s="453"/>
      <c r="AC1036" s="398">
        <v>3.3380000000000001</v>
      </c>
      <c r="AD1036" s="398">
        <v>83.489915616438367</v>
      </c>
      <c r="AE1036" s="393" t="s">
        <v>225</v>
      </c>
      <c r="AF1036" s="417"/>
      <c r="AG1036" s="417"/>
      <c r="AH1036" s="417">
        <v>0</v>
      </c>
      <c r="AI1036" s="394"/>
      <c r="AJ1036" s="453"/>
      <c r="AK1036" s="453"/>
      <c r="AL1036" s="393"/>
      <c r="AM1036" s="393"/>
      <c r="AN1036" s="417"/>
      <c r="AO1036" s="392"/>
      <c r="AP1036" s="392" t="s">
        <v>7089</v>
      </c>
      <c r="AQ1036" s="392"/>
      <c r="AR1036" s="392" t="s">
        <v>236</v>
      </c>
      <c r="AS1036" s="479">
        <v>40904</v>
      </c>
      <c r="AT1036" s="453"/>
      <c r="AU1036" s="453"/>
      <c r="AV1036" s="452">
        <v>41017</v>
      </c>
      <c r="AW1036" s="452">
        <v>41114</v>
      </c>
      <c r="AX1036" s="453"/>
      <c r="AY1036" s="452">
        <v>41115</v>
      </c>
      <c r="AZ1036" s="453"/>
      <c r="BA1036" s="393"/>
      <c r="BB1036" s="393" t="s">
        <v>3147</v>
      </c>
      <c r="BC1036" s="393" t="b">
        <v>0</v>
      </c>
      <c r="BD1036" s="393" t="s">
        <v>3147</v>
      </c>
      <c r="BE1036" s="392" t="s">
        <v>6245</v>
      </c>
      <c r="BF1036" s="394">
        <v>1</v>
      </c>
      <c r="BG1036" s="394">
        <v>6</v>
      </c>
      <c r="BH1036" s="394">
        <v>4</v>
      </c>
      <c r="BI1036" s="394">
        <v>9</v>
      </c>
      <c r="BJ1036" s="394">
        <v>8</v>
      </c>
      <c r="BK1036" s="394">
        <v>2</v>
      </c>
      <c r="BL1036" s="444"/>
      <c r="BM1036" s="392"/>
      <c r="BN1036" s="393"/>
      <c r="BO1036" s="393"/>
      <c r="BP1036" s="399"/>
      <c r="BQ1036" s="400"/>
      <c r="BR1036" s="401"/>
      <c r="BS1036" s="399">
        <v>0</v>
      </c>
      <c r="BT1036" s="394"/>
      <c r="BU1036" s="417"/>
      <c r="BV1036" s="399"/>
      <c r="BW1036" s="393"/>
      <c r="BX1036" s="392"/>
      <c r="BY1036" s="393"/>
      <c r="BZ1036" s="393"/>
      <c r="CA1036" s="441"/>
      <c r="CB1036" s="400"/>
      <c r="CC1036" s="398"/>
      <c r="CD1036" s="398"/>
      <c r="CE1036" s="398"/>
      <c r="CF1036" s="398"/>
      <c r="CG1036" s="398"/>
      <c r="CH1036" s="398"/>
      <c r="CI1036" s="398"/>
      <c r="CJ1036" s="398"/>
      <c r="CK1036" s="398"/>
      <c r="CL1036" s="398"/>
      <c r="CM1036" s="398"/>
      <c r="CN1036" s="398"/>
      <c r="CO1036" s="398"/>
      <c r="CP1036" s="398"/>
      <c r="CQ1036" s="398"/>
      <c r="CR1036" s="398"/>
      <c r="CS1036" s="398"/>
      <c r="CT1036" s="398"/>
      <c r="CU1036" s="398"/>
      <c r="CV1036" s="398"/>
      <c r="CW1036" s="398"/>
      <c r="CX1036" s="398"/>
      <c r="CY1036" s="398"/>
      <c r="CZ1036" s="398"/>
      <c r="DA1036" s="398"/>
      <c r="DB1036" s="398"/>
      <c r="DC1036" s="398"/>
      <c r="DD1036" s="398"/>
      <c r="DE1036" s="393"/>
      <c r="DF1036" s="393"/>
      <c r="DG1036" s="393"/>
      <c r="DH1036" s="393"/>
      <c r="DI1036" s="393"/>
      <c r="DJ1036" s="393"/>
      <c r="DK1036" s="896" t="s">
        <v>9711</v>
      </c>
    </row>
    <row r="1037" spans="1:115" ht="51" x14ac:dyDescent="0.2">
      <c r="A1037" s="295">
        <v>1033</v>
      </c>
      <c r="B1037" s="390" t="s">
        <v>2792</v>
      </c>
      <c r="C1037" s="390"/>
      <c r="D1037" s="391" t="s">
        <v>3373</v>
      </c>
      <c r="E1037" s="704" t="s">
        <v>237</v>
      </c>
      <c r="F1037" s="393" t="s">
        <v>1340</v>
      </c>
      <c r="G1037" s="393" t="s">
        <v>1359</v>
      </c>
      <c r="H1037" s="393" t="s">
        <v>233</v>
      </c>
      <c r="I1037" s="392"/>
      <c r="J1037" s="392"/>
      <c r="K1037" s="392" t="s">
        <v>2204</v>
      </c>
      <c r="L1037" s="392" t="s">
        <v>234</v>
      </c>
      <c r="M1037" s="392"/>
      <c r="N1037" s="393" t="s">
        <v>44</v>
      </c>
      <c r="O1037" s="393" t="s">
        <v>69</v>
      </c>
      <c r="P1037" s="393" t="s">
        <v>69</v>
      </c>
      <c r="Q1037" s="392" t="s">
        <v>172</v>
      </c>
      <c r="R1037" s="392" t="s">
        <v>3374</v>
      </c>
      <c r="S1037" s="392" t="s">
        <v>235</v>
      </c>
      <c r="T1037" s="394">
        <v>1</v>
      </c>
      <c r="U1037" s="395">
        <v>10.0144</v>
      </c>
      <c r="V1037" s="395"/>
      <c r="W1037" s="453"/>
      <c r="X1037" s="394"/>
      <c r="Y1037" s="394">
        <v>7</v>
      </c>
      <c r="Z1037" s="394">
        <v>21</v>
      </c>
      <c r="AA1037" s="395">
        <v>1.9</v>
      </c>
      <c r="AB1037" s="452">
        <v>41153</v>
      </c>
      <c r="AC1037" s="398">
        <v>3.3380000000000001</v>
      </c>
      <c r="AD1037" s="398">
        <v>83.489915616438367</v>
      </c>
      <c r="AE1037" s="393" t="s">
        <v>225</v>
      </c>
      <c r="AF1037" s="417"/>
      <c r="AG1037" s="417"/>
      <c r="AH1037" s="417"/>
      <c r="AI1037" s="394"/>
      <c r="AJ1037" s="453"/>
      <c r="AK1037" s="453"/>
      <c r="AL1037" s="393"/>
      <c r="AM1037" s="393"/>
      <c r="AN1037" s="417"/>
      <c r="AO1037" s="392"/>
      <c r="AP1037" s="392" t="s">
        <v>7089</v>
      </c>
      <c r="AQ1037" s="392"/>
      <c r="AR1037" s="392" t="s">
        <v>236</v>
      </c>
      <c r="AS1037" s="479">
        <v>40904</v>
      </c>
      <c r="AT1037" s="453"/>
      <c r="AU1037" s="453"/>
      <c r="AV1037" s="453"/>
      <c r="AW1037" s="453"/>
      <c r="AX1037" s="453"/>
      <c r="AY1037" s="453"/>
      <c r="AZ1037" s="452">
        <v>41115</v>
      </c>
      <c r="BA1037" s="393"/>
      <c r="BB1037" s="393"/>
      <c r="BC1037" s="393" t="b">
        <v>0</v>
      </c>
      <c r="BD1037" s="393"/>
      <c r="BE1037" s="392"/>
      <c r="BF1037" s="394">
        <v>1</v>
      </c>
      <c r="BG1037" s="394">
        <v>6</v>
      </c>
      <c r="BH1037" s="394">
        <v>4</v>
      </c>
      <c r="BI1037" s="394">
        <v>9</v>
      </c>
      <c r="BJ1037" s="394">
        <v>8</v>
      </c>
      <c r="BK1037" s="394">
        <v>2</v>
      </c>
      <c r="BL1037" s="444" t="s">
        <v>6981</v>
      </c>
      <c r="BM1037" s="392"/>
      <c r="BN1037" s="393"/>
      <c r="BO1037" s="393"/>
      <c r="BP1037" s="399"/>
      <c r="BQ1037" s="400"/>
      <c r="BR1037" s="401"/>
      <c r="BS1037" s="399"/>
      <c r="BT1037" s="394"/>
      <c r="BU1037" s="417"/>
      <c r="BV1037" s="399"/>
      <c r="BW1037" s="393" t="s">
        <v>3117</v>
      </c>
      <c r="BX1037" s="392" t="s">
        <v>4364</v>
      </c>
      <c r="BY1037" s="393" t="s">
        <v>7224</v>
      </c>
      <c r="BZ1037" s="393"/>
      <c r="CA1037" s="441"/>
      <c r="CB1037" s="400"/>
      <c r="CC1037" s="398"/>
      <c r="CD1037" s="398"/>
      <c r="CE1037" s="398"/>
      <c r="CF1037" s="398"/>
      <c r="CG1037" s="398"/>
      <c r="CH1037" s="398">
        <v>1.748</v>
      </c>
      <c r="CI1037" s="398">
        <v>5.8259999999999996</v>
      </c>
      <c r="CJ1037" s="398">
        <v>13.108000000000001</v>
      </c>
      <c r="CK1037" s="398">
        <v>13.108000000000001</v>
      </c>
      <c r="CL1037" s="398">
        <v>13.108000000000001</v>
      </c>
      <c r="CM1037" s="398">
        <v>13.108000000000001</v>
      </c>
      <c r="CN1037" s="398">
        <v>13.108000000000001</v>
      </c>
      <c r="CO1037" s="398"/>
      <c r="CP1037" s="398"/>
      <c r="CQ1037" s="398"/>
      <c r="CR1037" s="398"/>
      <c r="CS1037" s="398"/>
      <c r="CT1037" s="398"/>
      <c r="CU1037" s="398"/>
      <c r="CV1037" s="398"/>
      <c r="CW1037" s="398"/>
      <c r="CX1037" s="398"/>
      <c r="CY1037" s="398"/>
      <c r="CZ1037" s="398"/>
      <c r="DA1037" s="398"/>
      <c r="DB1037" s="398"/>
      <c r="DC1037" s="398"/>
      <c r="DD1037" s="398"/>
      <c r="DE1037" s="393"/>
      <c r="DF1037" s="393"/>
      <c r="DG1037" s="393"/>
      <c r="DH1037" s="393"/>
      <c r="DI1037" s="393"/>
      <c r="DJ1037" s="393"/>
      <c r="DK1037" s="897"/>
    </row>
    <row r="1038" spans="1:115" ht="51" x14ac:dyDescent="0.2">
      <c r="A1038" s="295">
        <v>1034</v>
      </c>
      <c r="B1038" s="390" t="s">
        <v>1172</v>
      </c>
      <c r="C1038" s="424" t="s">
        <v>7621</v>
      </c>
      <c r="D1038" s="391" t="s">
        <v>5150</v>
      </c>
      <c r="E1038" s="704" t="s">
        <v>1990</v>
      </c>
      <c r="F1038" s="393" t="s">
        <v>1340</v>
      </c>
      <c r="G1038" s="393" t="s">
        <v>1359</v>
      </c>
      <c r="H1038" s="393" t="s">
        <v>233</v>
      </c>
      <c r="I1038" s="392" t="s">
        <v>667</v>
      </c>
      <c r="J1038" s="392" t="s">
        <v>1173</v>
      </c>
      <c r="K1038" s="392"/>
      <c r="L1038" s="392" t="s">
        <v>3785</v>
      </c>
      <c r="M1038" s="392" t="s">
        <v>3375</v>
      </c>
      <c r="N1038" s="393" t="s">
        <v>44</v>
      </c>
      <c r="O1038" s="393" t="s">
        <v>1155</v>
      </c>
      <c r="P1038" s="393" t="s">
        <v>1155</v>
      </c>
      <c r="Q1038" s="392" t="s">
        <v>1155</v>
      </c>
      <c r="R1038" s="392"/>
      <c r="S1038" s="392" t="s">
        <v>650</v>
      </c>
      <c r="T1038" s="394">
        <v>1</v>
      </c>
      <c r="U1038" s="395">
        <v>109.533</v>
      </c>
      <c r="V1038" s="395"/>
      <c r="W1038" s="452">
        <v>41263</v>
      </c>
      <c r="X1038" s="394">
        <v>28</v>
      </c>
      <c r="Y1038" s="394"/>
      <c r="Z1038" s="394"/>
      <c r="AA1038" s="395"/>
      <c r="AB1038" s="453"/>
      <c r="AC1038" s="398">
        <v>0</v>
      </c>
      <c r="AD1038" s="398">
        <v>849.85604383561645</v>
      </c>
      <c r="AE1038" s="393" t="s">
        <v>660</v>
      </c>
      <c r="AF1038" s="417"/>
      <c r="AG1038" s="417"/>
      <c r="AH1038" s="417">
        <v>0</v>
      </c>
      <c r="AI1038" s="394"/>
      <c r="AJ1038" s="453"/>
      <c r="AK1038" s="453"/>
      <c r="AL1038" s="393"/>
      <c r="AM1038" s="393"/>
      <c r="AN1038" s="417"/>
      <c r="AO1038" s="392"/>
      <c r="AP1038" s="428" t="s">
        <v>8092</v>
      </c>
      <c r="AQ1038" s="392"/>
      <c r="AR1038" s="392" t="s">
        <v>3785</v>
      </c>
      <c r="AS1038" s="479">
        <v>40905</v>
      </c>
      <c r="AT1038" s="453"/>
      <c r="AU1038" s="453"/>
      <c r="AV1038" s="452">
        <v>40940</v>
      </c>
      <c r="AW1038" s="452">
        <v>41261</v>
      </c>
      <c r="AX1038" s="453"/>
      <c r="AY1038" s="452">
        <v>41358</v>
      </c>
      <c r="AZ1038" s="453"/>
      <c r="BA1038" s="393" t="s">
        <v>6984</v>
      </c>
      <c r="BB1038" s="393" t="s">
        <v>3147</v>
      </c>
      <c r="BC1038" s="393" t="b">
        <v>1</v>
      </c>
      <c r="BD1038" s="393" t="s">
        <v>3147</v>
      </c>
      <c r="BE1038" s="392"/>
      <c r="BF1038" s="394">
        <v>5</v>
      </c>
      <c r="BG1038" s="394">
        <v>9</v>
      </c>
      <c r="BH1038" s="394">
        <v>12</v>
      </c>
      <c r="BI1038" s="394">
        <v>10</v>
      </c>
      <c r="BJ1038" s="394">
        <v>11</v>
      </c>
      <c r="BK1038" s="394"/>
      <c r="BL1038" s="444"/>
      <c r="BM1038" s="392"/>
      <c r="BN1038" s="393"/>
      <c r="BO1038" s="393"/>
      <c r="BP1038" s="399"/>
      <c r="BQ1038" s="400"/>
      <c r="BR1038" s="401"/>
      <c r="BS1038" s="399">
        <v>39.6</v>
      </c>
      <c r="BT1038" s="394"/>
      <c r="BU1038" s="417"/>
      <c r="BV1038" s="399"/>
      <c r="BW1038" s="393"/>
      <c r="BX1038" s="392"/>
      <c r="BY1038" s="393"/>
      <c r="BZ1038" s="393"/>
      <c r="CA1038" s="441"/>
      <c r="CB1038" s="400"/>
      <c r="CC1038" s="398"/>
      <c r="CD1038" s="398"/>
      <c r="CE1038" s="398"/>
      <c r="CF1038" s="398"/>
      <c r="CG1038" s="398"/>
      <c r="CH1038" s="398"/>
      <c r="CI1038" s="398"/>
      <c r="CJ1038" s="398"/>
      <c r="CK1038" s="398"/>
      <c r="CL1038" s="398"/>
      <c r="CM1038" s="398"/>
      <c r="CN1038" s="398"/>
      <c r="CO1038" s="398"/>
      <c r="CP1038" s="398"/>
      <c r="CQ1038" s="398"/>
      <c r="CR1038" s="398"/>
      <c r="CS1038" s="398"/>
      <c r="CT1038" s="398"/>
      <c r="CU1038" s="398"/>
      <c r="CV1038" s="398"/>
      <c r="CW1038" s="398"/>
      <c r="CX1038" s="398"/>
      <c r="CY1038" s="398"/>
      <c r="CZ1038" s="398"/>
      <c r="DA1038" s="398"/>
      <c r="DB1038" s="398"/>
      <c r="DC1038" s="398"/>
      <c r="DD1038" s="398"/>
      <c r="DE1038" s="393"/>
      <c r="DF1038" s="393"/>
      <c r="DG1038" s="393"/>
      <c r="DH1038" s="393"/>
      <c r="DI1038" s="393"/>
      <c r="DJ1038" s="393"/>
      <c r="DK1038" s="896" t="s">
        <v>9702</v>
      </c>
    </row>
    <row r="1039" spans="1:115" ht="25.5" x14ac:dyDescent="0.2">
      <c r="A1039" s="295">
        <v>1035</v>
      </c>
      <c r="B1039" s="390" t="s">
        <v>2793</v>
      </c>
      <c r="C1039" s="390"/>
      <c r="D1039" s="391" t="s">
        <v>4617</v>
      </c>
      <c r="E1039" s="704" t="s">
        <v>1170</v>
      </c>
      <c r="F1039" s="393" t="s">
        <v>1340</v>
      </c>
      <c r="G1039" s="393" t="s">
        <v>1359</v>
      </c>
      <c r="H1039" s="393" t="s">
        <v>233</v>
      </c>
      <c r="I1039" s="392"/>
      <c r="J1039" s="392"/>
      <c r="K1039" s="392" t="s">
        <v>1171</v>
      </c>
      <c r="L1039" s="392" t="s">
        <v>3785</v>
      </c>
      <c r="M1039" s="392"/>
      <c r="N1039" s="393" t="s">
        <v>44</v>
      </c>
      <c r="O1039" s="393" t="s">
        <v>1155</v>
      </c>
      <c r="P1039" s="393" t="s">
        <v>1155</v>
      </c>
      <c r="Q1039" s="392" t="s">
        <v>1155</v>
      </c>
      <c r="R1039" s="392" t="s">
        <v>3376</v>
      </c>
      <c r="S1039" s="392" t="s">
        <v>650</v>
      </c>
      <c r="T1039" s="394">
        <v>1</v>
      </c>
      <c r="U1039" s="395">
        <v>109.533</v>
      </c>
      <c r="V1039" s="395"/>
      <c r="W1039" s="453"/>
      <c r="X1039" s="394"/>
      <c r="Y1039" s="394">
        <v>7</v>
      </c>
      <c r="Z1039" s="394">
        <v>20</v>
      </c>
      <c r="AA1039" s="395">
        <v>0</v>
      </c>
      <c r="AB1039" s="452">
        <v>41364</v>
      </c>
      <c r="AC1039" s="398">
        <v>0</v>
      </c>
      <c r="AD1039" s="398">
        <v>849.85604383561645</v>
      </c>
      <c r="AE1039" s="393" t="s">
        <v>660</v>
      </c>
      <c r="AF1039" s="417"/>
      <c r="AG1039" s="417"/>
      <c r="AH1039" s="417"/>
      <c r="AI1039" s="394"/>
      <c r="AJ1039" s="453"/>
      <c r="AK1039" s="453"/>
      <c r="AL1039" s="393"/>
      <c r="AM1039" s="393"/>
      <c r="AN1039" s="417"/>
      <c r="AO1039" s="392"/>
      <c r="AP1039" s="428" t="s">
        <v>8092</v>
      </c>
      <c r="AQ1039" s="392"/>
      <c r="AR1039" s="392" t="s">
        <v>3785</v>
      </c>
      <c r="AS1039" s="479">
        <v>40905</v>
      </c>
      <c r="AT1039" s="453"/>
      <c r="AU1039" s="453"/>
      <c r="AV1039" s="453"/>
      <c r="AW1039" s="453"/>
      <c r="AX1039" s="453"/>
      <c r="AY1039" s="453"/>
      <c r="AZ1039" s="452">
        <v>41358</v>
      </c>
      <c r="BA1039" s="393" t="s">
        <v>6984</v>
      </c>
      <c r="BB1039" s="393"/>
      <c r="BC1039" s="393" t="b">
        <v>0</v>
      </c>
      <c r="BD1039" s="393"/>
      <c r="BE1039" s="392"/>
      <c r="BF1039" s="394">
        <v>5</v>
      </c>
      <c r="BG1039" s="394">
        <v>9</v>
      </c>
      <c r="BH1039" s="394">
        <v>12</v>
      </c>
      <c r="BI1039" s="394">
        <v>10</v>
      </c>
      <c r="BJ1039" s="394">
        <v>11</v>
      </c>
      <c r="BK1039" s="394"/>
      <c r="BL1039" s="444" t="s">
        <v>1451</v>
      </c>
      <c r="BM1039" s="392" t="s">
        <v>3377</v>
      </c>
      <c r="BN1039" s="393" t="s">
        <v>3378</v>
      </c>
      <c r="BO1039" s="393"/>
      <c r="BP1039" s="399"/>
      <c r="BQ1039" s="400"/>
      <c r="BR1039" s="401"/>
      <c r="BS1039" s="399">
        <v>39.6</v>
      </c>
      <c r="BT1039" s="394">
        <v>158242</v>
      </c>
      <c r="BU1039" s="417">
        <v>0.69199999999999995</v>
      </c>
      <c r="BV1039" s="399"/>
      <c r="BW1039" s="393" t="s">
        <v>3117</v>
      </c>
      <c r="BX1039" s="392"/>
      <c r="BY1039" s="393"/>
      <c r="BZ1039" s="393"/>
      <c r="CA1039" s="441" t="s">
        <v>1662</v>
      </c>
      <c r="CB1039" s="400">
        <v>3</v>
      </c>
      <c r="CC1039" s="398"/>
      <c r="CD1039" s="398"/>
      <c r="CE1039" s="398"/>
      <c r="CF1039" s="398"/>
      <c r="CG1039" s="398"/>
      <c r="CH1039" s="398"/>
      <c r="CI1039" s="398">
        <v>80.531000000000006</v>
      </c>
      <c r="CJ1039" s="398">
        <v>107.375</v>
      </c>
      <c r="CK1039" s="398">
        <v>107.375</v>
      </c>
      <c r="CL1039" s="398">
        <v>107.375</v>
      </c>
      <c r="CM1039" s="398">
        <v>107.375</v>
      </c>
      <c r="CN1039" s="398">
        <v>107.375</v>
      </c>
      <c r="CO1039" s="398">
        <v>107.375</v>
      </c>
      <c r="CP1039" s="398"/>
      <c r="CQ1039" s="398"/>
      <c r="CR1039" s="398"/>
      <c r="CS1039" s="398"/>
      <c r="CT1039" s="398"/>
      <c r="CU1039" s="398"/>
      <c r="CV1039" s="398"/>
      <c r="CW1039" s="398"/>
      <c r="CX1039" s="398"/>
      <c r="CY1039" s="398"/>
      <c r="CZ1039" s="398"/>
      <c r="DA1039" s="398"/>
      <c r="DB1039" s="398"/>
      <c r="DC1039" s="398"/>
      <c r="DD1039" s="398"/>
      <c r="DE1039" s="393"/>
      <c r="DF1039" s="393"/>
      <c r="DG1039" s="393"/>
      <c r="DH1039" s="393"/>
      <c r="DI1039" s="393"/>
      <c r="DJ1039" s="393"/>
      <c r="DK1039" s="897"/>
    </row>
    <row r="1040" spans="1:115" ht="51" x14ac:dyDescent="0.2">
      <c r="A1040" s="295">
        <v>1036</v>
      </c>
      <c r="B1040" s="390" t="s">
        <v>304</v>
      </c>
      <c r="C1040" s="424" t="s">
        <v>7622</v>
      </c>
      <c r="D1040" s="391" t="s">
        <v>7002</v>
      </c>
      <c r="E1040" s="708" t="s">
        <v>305</v>
      </c>
      <c r="F1040" s="404" t="s">
        <v>1375</v>
      </c>
      <c r="G1040" s="404" t="s">
        <v>1361</v>
      </c>
      <c r="H1040" s="404" t="s">
        <v>137</v>
      </c>
      <c r="I1040" s="403"/>
      <c r="J1040" s="403" t="s">
        <v>137</v>
      </c>
      <c r="K1040" s="403"/>
      <c r="L1040" s="403" t="s">
        <v>306</v>
      </c>
      <c r="M1040" s="403" t="s">
        <v>3379</v>
      </c>
      <c r="N1040" s="459" t="s">
        <v>4659</v>
      </c>
      <c r="O1040" s="404" t="s">
        <v>45</v>
      </c>
      <c r="P1040" s="404" t="s">
        <v>45</v>
      </c>
      <c r="Q1040" s="403" t="s">
        <v>307</v>
      </c>
      <c r="R1040" s="403"/>
      <c r="S1040" s="403" t="s">
        <v>308</v>
      </c>
      <c r="T1040" s="405">
        <v>1</v>
      </c>
      <c r="U1040" s="406">
        <v>62.302999999999997</v>
      </c>
      <c r="V1040" s="406"/>
      <c r="W1040" s="456">
        <v>41183</v>
      </c>
      <c r="X1040" s="405">
        <v>28</v>
      </c>
      <c r="Y1040" s="405"/>
      <c r="Z1040" s="405"/>
      <c r="AA1040" s="406"/>
      <c r="AB1040" s="455"/>
      <c r="AC1040" s="407">
        <v>0</v>
      </c>
      <c r="AD1040" s="407">
        <v>483.23230958904111</v>
      </c>
      <c r="AE1040" s="404" t="s">
        <v>309</v>
      </c>
      <c r="AF1040" s="418"/>
      <c r="AG1040" s="418"/>
      <c r="AH1040" s="418">
        <v>0</v>
      </c>
      <c r="AI1040" s="405"/>
      <c r="AJ1040" s="455"/>
      <c r="AK1040" s="455"/>
      <c r="AL1040" s="404"/>
      <c r="AM1040" s="404"/>
      <c r="AN1040" s="418"/>
      <c r="AO1040" s="403"/>
      <c r="AP1040" s="403" t="s">
        <v>55</v>
      </c>
      <c r="AQ1040" s="403"/>
      <c r="AR1040" s="403" t="s">
        <v>306</v>
      </c>
      <c r="AS1040" s="482">
        <v>40906</v>
      </c>
      <c r="AT1040" s="455"/>
      <c r="AU1040" s="455"/>
      <c r="AV1040" s="455"/>
      <c r="AW1040" s="455"/>
      <c r="AX1040" s="455"/>
      <c r="AY1040" s="455"/>
      <c r="AZ1040" s="455"/>
      <c r="BA1040" s="404"/>
      <c r="BB1040" s="404" t="s">
        <v>3147</v>
      </c>
      <c r="BC1040" s="404" t="b">
        <v>0</v>
      </c>
      <c r="BD1040" s="404" t="s">
        <v>3147</v>
      </c>
      <c r="BE1040" s="403"/>
      <c r="BF1040" s="405">
        <v>5</v>
      </c>
      <c r="BG1040" s="405">
        <v>9</v>
      </c>
      <c r="BH1040" s="405">
        <v>11</v>
      </c>
      <c r="BI1040" s="405">
        <v>7</v>
      </c>
      <c r="BJ1040" s="405"/>
      <c r="BK1040" s="405"/>
      <c r="BL1040" s="446"/>
      <c r="BM1040" s="403"/>
      <c r="BN1040" s="404"/>
      <c r="BO1040" s="404"/>
      <c r="BP1040" s="408"/>
      <c r="BQ1040" s="409"/>
      <c r="BR1040" s="410"/>
      <c r="BS1040" s="408">
        <v>10.51</v>
      </c>
      <c r="BT1040" s="405"/>
      <c r="BU1040" s="418"/>
      <c r="BV1040" s="408"/>
      <c r="BW1040" s="404"/>
      <c r="BX1040" s="403"/>
      <c r="BY1040" s="404"/>
      <c r="BZ1040" s="404"/>
      <c r="CA1040" s="443"/>
      <c r="CB1040" s="409"/>
      <c r="CC1040" s="407"/>
      <c r="CD1040" s="407"/>
      <c r="CE1040" s="407"/>
      <c r="CF1040" s="407"/>
      <c r="CG1040" s="407"/>
      <c r="CH1040" s="407"/>
      <c r="CI1040" s="407"/>
      <c r="CJ1040" s="407"/>
      <c r="CK1040" s="407"/>
      <c r="CL1040" s="407"/>
      <c r="CM1040" s="407"/>
      <c r="CN1040" s="407"/>
      <c r="CO1040" s="407"/>
      <c r="CP1040" s="407"/>
      <c r="CQ1040" s="407"/>
      <c r="CR1040" s="407"/>
      <c r="CS1040" s="407"/>
      <c r="CT1040" s="407"/>
      <c r="CU1040" s="407"/>
      <c r="CV1040" s="407"/>
      <c r="CW1040" s="407"/>
      <c r="CX1040" s="407"/>
      <c r="CY1040" s="407"/>
      <c r="CZ1040" s="407"/>
      <c r="DA1040" s="407"/>
      <c r="DB1040" s="407"/>
      <c r="DC1040" s="407"/>
      <c r="DD1040" s="407"/>
      <c r="DE1040" s="404"/>
      <c r="DF1040" s="404"/>
      <c r="DG1040" s="404"/>
      <c r="DH1040" s="404"/>
      <c r="DI1040" s="404"/>
      <c r="DJ1040" s="404"/>
      <c r="DK1040" s="896" t="s">
        <v>9701</v>
      </c>
    </row>
    <row r="1041" spans="1:115" ht="25.5" x14ac:dyDescent="0.2">
      <c r="A1041" s="295">
        <v>1037</v>
      </c>
      <c r="B1041" s="390" t="s">
        <v>2794</v>
      </c>
      <c r="C1041" s="390"/>
      <c r="D1041" s="391" t="s">
        <v>7003</v>
      </c>
      <c r="E1041" s="707" t="s">
        <v>310</v>
      </c>
      <c r="F1041" s="404" t="s">
        <v>1375</v>
      </c>
      <c r="G1041" s="404" t="s">
        <v>1361</v>
      </c>
      <c r="H1041" s="404" t="s">
        <v>137</v>
      </c>
      <c r="I1041" s="403"/>
      <c r="J1041" s="403"/>
      <c r="K1041" s="403" t="s">
        <v>2205</v>
      </c>
      <c r="L1041" s="403" t="s">
        <v>306</v>
      </c>
      <c r="M1041" s="403"/>
      <c r="N1041" s="459" t="s">
        <v>4659</v>
      </c>
      <c r="O1041" s="404" t="s">
        <v>45</v>
      </c>
      <c r="P1041" s="404" t="s">
        <v>45</v>
      </c>
      <c r="Q1041" s="403" t="s">
        <v>307</v>
      </c>
      <c r="R1041" s="403" t="s">
        <v>3380</v>
      </c>
      <c r="S1041" s="403" t="s">
        <v>308</v>
      </c>
      <c r="T1041" s="405">
        <v>1</v>
      </c>
      <c r="U1041" s="406">
        <v>62.302999999999997</v>
      </c>
      <c r="V1041" s="406"/>
      <c r="W1041" s="455"/>
      <c r="X1041" s="405"/>
      <c r="Y1041" s="405">
        <v>7</v>
      </c>
      <c r="Z1041" s="405">
        <v>25</v>
      </c>
      <c r="AA1041" s="406">
        <v>3.25</v>
      </c>
      <c r="AB1041" s="456">
        <v>41365</v>
      </c>
      <c r="AC1041" s="407">
        <v>0</v>
      </c>
      <c r="AD1041" s="407">
        <v>483.23230958904111</v>
      </c>
      <c r="AE1041" s="404" t="s">
        <v>309</v>
      </c>
      <c r="AF1041" s="418"/>
      <c r="AG1041" s="418"/>
      <c r="AH1041" s="418"/>
      <c r="AI1041" s="405"/>
      <c r="AJ1041" s="455"/>
      <c r="AK1041" s="455"/>
      <c r="AL1041" s="404"/>
      <c r="AM1041" s="404"/>
      <c r="AN1041" s="418"/>
      <c r="AO1041" s="403"/>
      <c r="AP1041" s="403" t="s">
        <v>55</v>
      </c>
      <c r="AQ1041" s="403"/>
      <c r="AR1041" s="403" t="s">
        <v>306</v>
      </c>
      <c r="AS1041" s="482">
        <v>40906</v>
      </c>
      <c r="AT1041" s="455"/>
      <c r="AU1041" s="455"/>
      <c r="AV1041" s="455"/>
      <c r="AW1041" s="455"/>
      <c r="AX1041" s="455"/>
      <c r="AY1041" s="455"/>
      <c r="AZ1041" s="455"/>
      <c r="BA1041" s="404"/>
      <c r="BB1041" s="404"/>
      <c r="BC1041" s="404" t="b">
        <v>0</v>
      </c>
      <c r="BD1041" s="404"/>
      <c r="BE1041" s="403"/>
      <c r="BF1041" s="405">
        <v>5</v>
      </c>
      <c r="BG1041" s="405">
        <v>9</v>
      </c>
      <c r="BH1041" s="405">
        <v>11</v>
      </c>
      <c r="BI1041" s="405">
        <v>7</v>
      </c>
      <c r="BJ1041" s="405"/>
      <c r="BK1041" s="405"/>
      <c r="BL1041" s="446" t="s">
        <v>6985</v>
      </c>
      <c r="BM1041" s="403"/>
      <c r="BN1041" s="404"/>
      <c r="BO1041" s="404"/>
      <c r="BP1041" s="408"/>
      <c r="BQ1041" s="409"/>
      <c r="BR1041" s="410"/>
      <c r="BS1041" s="408">
        <v>10.51</v>
      </c>
      <c r="BT1041" s="405">
        <v>76669</v>
      </c>
      <c r="BU1041" s="418">
        <v>1.0169999999999999</v>
      </c>
      <c r="BV1041" s="408"/>
      <c r="BW1041" s="404" t="s">
        <v>3165</v>
      </c>
      <c r="BX1041" s="403" t="s">
        <v>1447</v>
      </c>
      <c r="BY1041" s="404"/>
      <c r="BZ1041" s="404"/>
      <c r="CA1041" s="443" t="s">
        <v>1662</v>
      </c>
      <c r="CB1041" s="409">
        <v>3</v>
      </c>
      <c r="CC1041" s="407"/>
      <c r="CD1041" s="407"/>
      <c r="CE1041" s="407"/>
      <c r="CF1041" s="407"/>
      <c r="CG1041" s="407"/>
      <c r="CH1041" s="407"/>
      <c r="CI1041" s="407">
        <v>58.48</v>
      </c>
      <c r="CJ1041" s="407">
        <v>77.972999999999999</v>
      </c>
      <c r="CK1041" s="407">
        <v>77.972999999999999</v>
      </c>
      <c r="CL1041" s="407">
        <v>77.972999999999999</v>
      </c>
      <c r="CM1041" s="407">
        <v>77.972999999999999</v>
      </c>
      <c r="CN1041" s="407">
        <v>77.972999999999999</v>
      </c>
      <c r="CO1041" s="407">
        <v>77.972999999999999</v>
      </c>
      <c r="CP1041" s="407"/>
      <c r="CQ1041" s="407"/>
      <c r="CR1041" s="407"/>
      <c r="CS1041" s="407"/>
      <c r="CT1041" s="407"/>
      <c r="CU1041" s="407"/>
      <c r="CV1041" s="407"/>
      <c r="CW1041" s="407"/>
      <c r="CX1041" s="407"/>
      <c r="CY1041" s="407"/>
      <c r="CZ1041" s="407"/>
      <c r="DA1041" s="407"/>
      <c r="DB1041" s="407"/>
      <c r="DC1041" s="407"/>
      <c r="DD1041" s="407"/>
      <c r="DE1041" s="404"/>
      <c r="DF1041" s="404"/>
      <c r="DG1041" s="404"/>
      <c r="DH1041" s="404"/>
      <c r="DI1041" s="404"/>
      <c r="DJ1041" s="404"/>
      <c r="DK1041" s="897"/>
    </row>
    <row r="1042" spans="1:115" ht="51" x14ac:dyDescent="0.2">
      <c r="A1042" s="295">
        <v>1038</v>
      </c>
      <c r="B1042" s="390" t="s">
        <v>616</v>
      </c>
      <c r="C1042" s="424" t="s">
        <v>7623</v>
      </c>
      <c r="D1042" s="391" t="s">
        <v>5791</v>
      </c>
      <c r="E1042" s="705" t="s">
        <v>617</v>
      </c>
      <c r="F1042" s="393" t="s">
        <v>1352</v>
      </c>
      <c r="G1042" s="393" t="s">
        <v>1671</v>
      </c>
      <c r="H1042" s="393" t="s">
        <v>117</v>
      </c>
      <c r="I1042" s="392"/>
      <c r="J1042" s="392" t="s">
        <v>2206</v>
      </c>
      <c r="K1042" s="392"/>
      <c r="L1042" s="392" t="s">
        <v>618</v>
      </c>
      <c r="M1042" s="392" t="s">
        <v>3319</v>
      </c>
      <c r="N1042" s="393" t="s">
        <v>44</v>
      </c>
      <c r="O1042" s="393" t="s">
        <v>69</v>
      </c>
      <c r="P1042" s="393" t="s">
        <v>69</v>
      </c>
      <c r="Q1042" s="392" t="s">
        <v>572</v>
      </c>
      <c r="R1042" s="392"/>
      <c r="S1042" s="428" t="s">
        <v>573</v>
      </c>
      <c r="T1042" s="394">
        <v>1</v>
      </c>
      <c r="U1042" s="395">
        <v>4.2169999999999996</v>
      </c>
      <c r="V1042" s="395"/>
      <c r="W1042" s="452">
        <v>41153</v>
      </c>
      <c r="X1042" s="394">
        <v>28</v>
      </c>
      <c r="Y1042" s="394"/>
      <c r="Z1042" s="394"/>
      <c r="AA1042" s="395"/>
      <c r="AB1042" s="453"/>
      <c r="AC1042" s="398">
        <v>2.01132</v>
      </c>
      <c r="AD1042" s="398">
        <v>35.15707123287671</v>
      </c>
      <c r="AE1042" s="393" t="s">
        <v>446</v>
      </c>
      <c r="AF1042" s="417"/>
      <c r="AG1042" s="417"/>
      <c r="AH1042" s="417">
        <v>0</v>
      </c>
      <c r="AI1042" s="394"/>
      <c r="AJ1042" s="453"/>
      <c r="AK1042" s="453"/>
      <c r="AL1042" s="393"/>
      <c r="AM1042" s="393"/>
      <c r="AN1042" s="417"/>
      <c r="AO1042" s="392"/>
      <c r="AP1042" s="392" t="s">
        <v>7078</v>
      </c>
      <c r="AQ1042" s="392"/>
      <c r="AR1042" s="392" t="s">
        <v>4093</v>
      </c>
      <c r="AS1042" s="479">
        <v>40908</v>
      </c>
      <c r="AT1042" s="453"/>
      <c r="AU1042" s="453"/>
      <c r="AV1042" s="452">
        <v>41122</v>
      </c>
      <c r="AW1042" s="452">
        <v>41593</v>
      </c>
      <c r="AX1042" s="452">
        <v>41657</v>
      </c>
      <c r="AY1042" s="452">
        <v>41593</v>
      </c>
      <c r="AZ1042" s="453"/>
      <c r="BA1042" s="393"/>
      <c r="BB1042" s="393" t="s">
        <v>3147</v>
      </c>
      <c r="BC1042" s="393" t="b">
        <v>0</v>
      </c>
      <c r="BD1042" s="393" t="s">
        <v>3116</v>
      </c>
      <c r="BE1042" s="392"/>
      <c r="BF1042" s="394">
        <v>5</v>
      </c>
      <c r="BG1042" s="394">
        <v>6</v>
      </c>
      <c r="BH1042" s="394">
        <v>8</v>
      </c>
      <c r="BI1042" s="394">
        <v>9</v>
      </c>
      <c r="BJ1042" s="394">
        <v>11</v>
      </c>
      <c r="BK1042" s="394"/>
      <c r="BL1042" s="444"/>
      <c r="BM1042" s="392"/>
      <c r="BN1042" s="393"/>
      <c r="BO1042" s="393"/>
      <c r="BP1042" s="399"/>
      <c r="BQ1042" s="400"/>
      <c r="BR1042" s="401"/>
      <c r="BS1042" s="399">
        <v>0</v>
      </c>
      <c r="BT1042" s="394"/>
      <c r="BU1042" s="417"/>
      <c r="BV1042" s="399"/>
      <c r="BW1042" s="393"/>
      <c r="BX1042" s="392"/>
      <c r="BY1042" s="393"/>
      <c r="BZ1042" s="393"/>
      <c r="CA1042" s="441"/>
      <c r="CB1042" s="400"/>
      <c r="CC1042" s="398"/>
      <c r="CD1042" s="398"/>
      <c r="CE1042" s="398"/>
      <c r="CF1042" s="398"/>
      <c r="CG1042" s="398"/>
      <c r="CH1042" s="398"/>
      <c r="CI1042" s="398"/>
      <c r="CJ1042" s="398"/>
      <c r="CK1042" s="398"/>
      <c r="CL1042" s="398"/>
      <c r="CM1042" s="398"/>
      <c r="CN1042" s="398"/>
      <c r="CO1042" s="398"/>
      <c r="CP1042" s="398"/>
      <c r="CQ1042" s="398"/>
      <c r="CR1042" s="398"/>
      <c r="CS1042" s="398"/>
      <c r="CT1042" s="398"/>
      <c r="CU1042" s="398"/>
      <c r="CV1042" s="398"/>
      <c r="CW1042" s="398"/>
      <c r="CX1042" s="398"/>
      <c r="CY1042" s="398"/>
      <c r="CZ1042" s="398"/>
      <c r="DA1042" s="398"/>
      <c r="DB1042" s="398"/>
      <c r="DC1042" s="398"/>
      <c r="DD1042" s="398"/>
      <c r="DE1042" s="393"/>
      <c r="DF1042" s="393"/>
      <c r="DG1042" s="393"/>
      <c r="DH1042" s="393"/>
      <c r="DI1042" s="393"/>
      <c r="DJ1042" s="393"/>
      <c r="DK1042" s="896" t="s">
        <v>9746</v>
      </c>
    </row>
    <row r="1043" spans="1:115" ht="25.5" x14ac:dyDescent="0.2">
      <c r="A1043" s="295">
        <v>1039</v>
      </c>
      <c r="B1043" s="390" t="s">
        <v>2795</v>
      </c>
      <c r="C1043" s="390"/>
      <c r="D1043" s="391" t="s">
        <v>5792</v>
      </c>
      <c r="E1043" s="704" t="s">
        <v>619</v>
      </c>
      <c r="F1043" s="393" t="s">
        <v>1352</v>
      </c>
      <c r="G1043" s="393" t="s">
        <v>1671</v>
      </c>
      <c r="H1043" s="393" t="s">
        <v>117</v>
      </c>
      <c r="I1043" s="392"/>
      <c r="J1043" s="392"/>
      <c r="K1043" s="392" t="s">
        <v>2175</v>
      </c>
      <c r="L1043" s="392" t="s">
        <v>618</v>
      </c>
      <c r="M1043" s="392"/>
      <c r="N1043" s="393" t="s">
        <v>44</v>
      </c>
      <c r="O1043" s="393" t="s">
        <v>69</v>
      </c>
      <c r="P1043" s="393" t="s">
        <v>69</v>
      </c>
      <c r="Q1043" s="392" t="s">
        <v>572</v>
      </c>
      <c r="R1043" s="392" t="s">
        <v>4094</v>
      </c>
      <c r="S1043" s="428" t="s">
        <v>573</v>
      </c>
      <c r="T1043" s="394">
        <v>1</v>
      </c>
      <c r="U1043" s="395">
        <v>4.2169999999999996</v>
      </c>
      <c r="V1043" s="395"/>
      <c r="W1043" s="453"/>
      <c r="X1043" s="394"/>
      <c r="Y1043" s="394">
        <v>7</v>
      </c>
      <c r="Z1043" s="394">
        <v>15</v>
      </c>
      <c r="AA1043" s="395">
        <v>0</v>
      </c>
      <c r="AB1043" s="452">
        <v>41153</v>
      </c>
      <c r="AC1043" s="398">
        <v>2.01132</v>
      </c>
      <c r="AD1043" s="398">
        <v>35.15707123287671</v>
      </c>
      <c r="AE1043" s="393" t="s">
        <v>446</v>
      </c>
      <c r="AF1043" s="417"/>
      <c r="AG1043" s="417"/>
      <c r="AH1043" s="417"/>
      <c r="AI1043" s="394"/>
      <c r="AJ1043" s="453"/>
      <c r="AK1043" s="453"/>
      <c r="AL1043" s="393"/>
      <c r="AM1043" s="393"/>
      <c r="AN1043" s="417"/>
      <c r="AO1043" s="392"/>
      <c r="AP1043" s="392" t="s">
        <v>7078</v>
      </c>
      <c r="AQ1043" s="392"/>
      <c r="AR1043" s="392" t="s">
        <v>206</v>
      </c>
      <c r="AS1043" s="479">
        <v>40908</v>
      </c>
      <c r="AT1043" s="453"/>
      <c r="AU1043" s="453"/>
      <c r="AV1043" s="453"/>
      <c r="AW1043" s="453"/>
      <c r="AX1043" s="453"/>
      <c r="AY1043" s="453"/>
      <c r="AZ1043" s="452">
        <v>41593</v>
      </c>
      <c r="BA1043" s="393"/>
      <c r="BB1043" s="393"/>
      <c r="BC1043" s="393" t="b">
        <v>0</v>
      </c>
      <c r="BD1043" s="393"/>
      <c r="BE1043" s="392"/>
      <c r="BF1043" s="394">
        <v>5</v>
      </c>
      <c r="BG1043" s="394">
        <v>6</v>
      </c>
      <c r="BH1043" s="394">
        <v>8</v>
      </c>
      <c r="BI1043" s="394">
        <v>9</v>
      </c>
      <c r="BJ1043" s="394">
        <v>11</v>
      </c>
      <c r="BK1043" s="394"/>
      <c r="BL1043" s="444" t="s">
        <v>6983</v>
      </c>
      <c r="BM1043" s="392"/>
      <c r="BN1043" s="393"/>
      <c r="BO1043" s="393"/>
      <c r="BP1043" s="399"/>
      <c r="BQ1043" s="400"/>
      <c r="BR1043" s="401"/>
      <c r="BS1043" s="399"/>
      <c r="BT1043" s="394"/>
      <c r="BU1043" s="417">
        <v>0.81145</v>
      </c>
      <c r="BV1043" s="399"/>
      <c r="BW1043" s="393" t="s">
        <v>3117</v>
      </c>
      <c r="BX1043" s="392" t="s">
        <v>1447</v>
      </c>
      <c r="BY1043" s="393"/>
      <c r="BZ1043" s="393"/>
      <c r="CA1043" s="441" t="s">
        <v>1662</v>
      </c>
      <c r="CB1043" s="400">
        <v>3</v>
      </c>
      <c r="CC1043" s="398"/>
      <c r="CD1043" s="398"/>
      <c r="CE1043" s="398"/>
      <c r="CF1043" s="398"/>
      <c r="CG1043" s="398"/>
      <c r="CH1043" s="398">
        <v>2.0019999999999998</v>
      </c>
      <c r="CI1043" s="398">
        <v>6.04</v>
      </c>
      <c r="CJ1043" s="398">
        <v>6.04</v>
      </c>
      <c r="CK1043" s="398">
        <v>6.04</v>
      </c>
      <c r="CL1043" s="398">
        <v>6.04</v>
      </c>
      <c r="CM1043" s="398">
        <v>6.04</v>
      </c>
      <c r="CN1043" s="398">
        <v>6.04</v>
      </c>
      <c r="CO1043" s="398">
        <v>4.0380000000000003</v>
      </c>
      <c r="CP1043" s="398"/>
      <c r="CQ1043" s="398"/>
      <c r="CR1043" s="398"/>
      <c r="CS1043" s="398"/>
      <c r="CT1043" s="398"/>
      <c r="CU1043" s="398"/>
      <c r="CV1043" s="398"/>
      <c r="CW1043" s="398"/>
      <c r="CX1043" s="398"/>
      <c r="CY1043" s="398"/>
      <c r="CZ1043" s="398"/>
      <c r="DA1043" s="398"/>
      <c r="DB1043" s="398"/>
      <c r="DC1043" s="398"/>
      <c r="DD1043" s="398"/>
      <c r="DE1043" s="393"/>
      <c r="DF1043" s="393"/>
      <c r="DG1043" s="393"/>
      <c r="DH1043" s="393"/>
      <c r="DI1043" s="393"/>
      <c r="DJ1043" s="393"/>
      <c r="DK1043" s="897"/>
    </row>
    <row r="1044" spans="1:115" ht="89.25" x14ac:dyDescent="0.2">
      <c r="A1044" s="295">
        <v>1040</v>
      </c>
      <c r="B1044" s="390" t="s">
        <v>812</v>
      </c>
      <c r="C1044" s="424" t="s">
        <v>7624</v>
      </c>
      <c r="D1044" s="391" t="s">
        <v>5151</v>
      </c>
      <c r="E1044" s="704" t="s">
        <v>813</v>
      </c>
      <c r="F1044" s="393" t="s">
        <v>1340</v>
      </c>
      <c r="G1044" s="393" t="s">
        <v>1677</v>
      </c>
      <c r="H1044" s="393" t="s">
        <v>667</v>
      </c>
      <c r="I1044" s="392"/>
      <c r="J1044" s="392" t="s">
        <v>667</v>
      </c>
      <c r="K1044" s="392"/>
      <c r="L1044" s="392" t="s">
        <v>776</v>
      </c>
      <c r="M1044" s="392" t="s">
        <v>3381</v>
      </c>
      <c r="N1044" s="393" t="s">
        <v>44</v>
      </c>
      <c r="O1044" s="393" t="s">
        <v>289</v>
      </c>
      <c r="P1044" s="393" t="s">
        <v>289</v>
      </c>
      <c r="Q1044" s="392" t="s">
        <v>721</v>
      </c>
      <c r="R1044" s="392"/>
      <c r="S1044" s="392" t="s">
        <v>650</v>
      </c>
      <c r="T1044" s="394">
        <v>1</v>
      </c>
      <c r="U1044" s="395">
        <v>36.222000000000001</v>
      </c>
      <c r="V1044" s="395"/>
      <c r="W1044" s="452">
        <v>41227</v>
      </c>
      <c r="X1044" s="394">
        <v>28</v>
      </c>
      <c r="Y1044" s="394"/>
      <c r="Z1044" s="394"/>
      <c r="AA1044" s="395"/>
      <c r="AB1044" s="453"/>
      <c r="AC1044" s="398">
        <v>0</v>
      </c>
      <c r="AD1044" s="398">
        <v>217.43123835616439</v>
      </c>
      <c r="AE1044" s="393" t="s">
        <v>397</v>
      </c>
      <c r="AF1044" s="417"/>
      <c r="AG1044" s="417"/>
      <c r="AH1044" s="417">
        <v>0</v>
      </c>
      <c r="AI1044" s="394"/>
      <c r="AJ1044" s="453"/>
      <c r="AK1044" s="453"/>
      <c r="AL1044" s="393"/>
      <c r="AM1044" s="393"/>
      <c r="AN1044" s="417"/>
      <c r="AO1044" s="392"/>
      <c r="AP1044" s="392" t="s">
        <v>55</v>
      </c>
      <c r="AQ1044" s="392"/>
      <c r="AR1044" s="392" t="s">
        <v>3784</v>
      </c>
      <c r="AS1044" s="479">
        <v>40914</v>
      </c>
      <c r="AT1044" s="453"/>
      <c r="AU1044" s="453"/>
      <c r="AV1044" s="452">
        <v>41009</v>
      </c>
      <c r="AW1044" s="452">
        <v>41222</v>
      </c>
      <c r="AX1044" s="452">
        <v>41262</v>
      </c>
      <c r="AY1044" s="452">
        <v>41227</v>
      </c>
      <c r="AZ1044" s="453"/>
      <c r="BA1044" s="393"/>
      <c r="BB1044" s="393" t="s">
        <v>3147</v>
      </c>
      <c r="BC1044" s="393" t="b">
        <v>0</v>
      </c>
      <c r="BD1044" s="393" t="s">
        <v>3147</v>
      </c>
      <c r="BE1044" s="392"/>
      <c r="BF1044" s="394">
        <v>5</v>
      </c>
      <c r="BG1044" s="394">
        <v>8</v>
      </c>
      <c r="BH1044" s="394">
        <v>9</v>
      </c>
      <c r="BI1044" s="394"/>
      <c r="BJ1044" s="394"/>
      <c r="BK1044" s="394"/>
      <c r="BL1044" s="444"/>
      <c r="BM1044" s="392"/>
      <c r="BN1044" s="393"/>
      <c r="BO1044" s="393"/>
      <c r="BP1044" s="399"/>
      <c r="BQ1044" s="400"/>
      <c r="BR1044" s="401"/>
      <c r="BS1044" s="399">
        <v>8.4</v>
      </c>
      <c r="BT1044" s="394"/>
      <c r="BU1044" s="417"/>
      <c r="BV1044" s="399"/>
      <c r="BW1044" s="393"/>
      <c r="BX1044" s="392"/>
      <c r="BY1044" s="393"/>
      <c r="BZ1044" s="393"/>
      <c r="CA1044" s="441"/>
      <c r="CB1044" s="400"/>
      <c r="CC1044" s="398"/>
      <c r="CD1044" s="398"/>
      <c r="CE1044" s="398"/>
      <c r="CF1044" s="398"/>
      <c r="CG1044" s="398"/>
      <c r="CH1044" s="398"/>
      <c r="CI1044" s="398"/>
      <c r="CJ1044" s="398"/>
      <c r="CK1044" s="398"/>
      <c r="CL1044" s="398"/>
      <c r="CM1044" s="398"/>
      <c r="CN1044" s="398"/>
      <c r="CO1044" s="398"/>
      <c r="CP1044" s="398"/>
      <c r="CQ1044" s="398"/>
      <c r="CR1044" s="398"/>
      <c r="CS1044" s="398"/>
      <c r="CT1044" s="398"/>
      <c r="CU1044" s="398"/>
      <c r="CV1044" s="398"/>
      <c r="CW1044" s="398"/>
      <c r="CX1044" s="398"/>
      <c r="CY1044" s="398"/>
      <c r="CZ1044" s="398"/>
      <c r="DA1044" s="398"/>
      <c r="DB1044" s="398"/>
      <c r="DC1044" s="398"/>
      <c r="DD1044" s="398"/>
      <c r="DE1044" s="393"/>
      <c r="DF1044" s="393"/>
      <c r="DG1044" s="393"/>
      <c r="DH1044" s="393"/>
      <c r="DI1044" s="393"/>
      <c r="DJ1044" s="393"/>
      <c r="DK1044" s="896" t="s">
        <v>9700</v>
      </c>
    </row>
    <row r="1045" spans="1:115" ht="25.5" x14ac:dyDescent="0.2">
      <c r="A1045" s="295">
        <v>1041</v>
      </c>
      <c r="B1045" s="390" t="s">
        <v>2796</v>
      </c>
      <c r="C1045" s="390"/>
      <c r="D1045" s="391" t="s">
        <v>4396</v>
      </c>
      <c r="E1045" s="704" t="s">
        <v>775</v>
      </c>
      <c r="F1045" s="393" t="s">
        <v>1340</v>
      </c>
      <c r="G1045" s="393" t="s">
        <v>1677</v>
      </c>
      <c r="H1045" s="393" t="s">
        <v>667</v>
      </c>
      <c r="I1045" s="392"/>
      <c r="J1045" s="392"/>
      <c r="K1045" s="392" t="s">
        <v>2207</v>
      </c>
      <c r="L1045" s="392" t="s">
        <v>776</v>
      </c>
      <c r="M1045" s="392"/>
      <c r="N1045" s="393" t="s">
        <v>44</v>
      </c>
      <c r="O1045" s="393" t="s">
        <v>289</v>
      </c>
      <c r="P1045" s="393" t="s">
        <v>289</v>
      </c>
      <c r="Q1045" s="392" t="s">
        <v>721</v>
      </c>
      <c r="R1045" s="392" t="s">
        <v>3382</v>
      </c>
      <c r="S1045" s="392" t="s">
        <v>650</v>
      </c>
      <c r="T1045" s="394">
        <v>1</v>
      </c>
      <c r="U1045" s="395">
        <v>36.222000000000001</v>
      </c>
      <c r="V1045" s="395"/>
      <c r="W1045" s="453"/>
      <c r="X1045" s="394"/>
      <c r="Y1045" s="394">
        <v>7</v>
      </c>
      <c r="Z1045" s="394">
        <v>40</v>
      </c>
      <c r="AA1045" s="395">
        <v>0</v>
      </c>
      <c r="AB1045" s="452">
        <v>42005</v>
      </c>
      <c r="AC1045" s="398">
        <v>0</v>
      </c>
      <c r="AD1045" s="398">
        <v>217.43123835616439</v>
      </c>
      <c r="AE1045" s="393" t="s">
        <v>397</v>
      </c>
      <c r="AF1045" s="417"/>
      <c r="AG1045" s="417"/>
      <c r="AH1045" s="417"/>
      <c r="AI1045" s="394"/>
      <c r="AJ1045" s="453"/>
      <c r="AK1045" s="453"/>
      <c r="AL1045" s="393"/>
      <c r="AM1045" s="393"/>
      <c r="AN1045" s="417"/>
      <c r="AO1045" s="392"/>
      <c r="AP1045" s="392" t="s">
        <v>55</v>
      </c>
      <c r="AQ1045" s="392"/>
      <c r="AR1045" s="392" t="s">
        <v>3784</v>
      </c>
      <c r="AS1045" s="479">
        <v>40914</v>
      </c>
      <c r="AT1045" s="453"/>
      <c r="AU1045" s="453"/>
      <c r="AV1045" s="453"/>
      <c r="AW1045" s="453"/>
      <c r="AX1045" s="453"/>
      <c r="AY1045" s="453"/>
      <c r="AZ1045" s="452">
        <v>41227</v>
      </c>
      <c r="BA1045" s="393"/>
      <c r="BB1045" s="393"/>
      <c r="BC1045" s="393" t="b">
        <v>0</v>
      </c>
      <c r="BD1045" s="393"/>
      <c r="BE1045" s="392"/>
      <c r="BF1045" s="394">
        <v>5</v>
      </c>
      <c r="BG1045" s="394">
        <v>8</v>
      </c>
      <c r="BH1045" s="394">
        <v>9</v>
      </c>
      <c r="BI1045" s="394">
        <v>12</v>
      </c>
      <c r="BJ1045" s="394"/>
      <c r="BK1045" s="394"/>
      <c r="BL1045" s="444" t="s">
        <v>6981</v>
      </c>
      <c r="BM1045" s="392"/>
      <c r="BN1045" s="393"/>
      <c r="BO1045" s="393"/>
      <c r="BP1045" s="399"/>
      <c r="BQ1045" s="400"/>
      <c r="BR1045" s="401"/>
      <c r="BS1045" s="399">
        <v>8.4</v>
      </c>
      <c r="BT1045" s="394">
        <v>55154</v>
      </c>
      <c r="BU1045" s="417">
        <v>0.65649999999999997</v>
      </c>
      <c r="BV1045" s="399"/>
      <c r="BW1045" s="393" t="s">
        <v>3117</v>
      </c>
      <c r="BX1045" s="392" t="s">
        <v>1447</v>
      </c>
      <c r="BY1045" s="393"/>
      <c r="BZ1045" s="393"/>
      <c r="CA1045" s="441" t="s">
        <v>1662</v>
      </c>
      <c r="CB1045" s="400">
        <v>3</v>
      </c>
      <c r="CC1045" s="398"/>
      <c r="CD1045" s="398"/>
      <c r="CE1045" s="398"/>
      <c r="CF1045" s="398"/>
      <c r="CG1045" s="398"/>
      <c r="CH1045" s="398"/>
      <c r="CI1045" s="398"/>
      <c r="CJ1045" s="398"/>
      <c r="CK1045" s="398">
        <v>36.222000000000001</v>
      </c>
      <c r="CL1045" s="398">
        <v>36.222000000000001</v>
      </c>
      <c r="CM1045" s="398">
        <v>36.222000000000001</v>
      </c>
      <c r="CN1045" s="398">
        <v>36.222000000000001</v>
      </c>
      <c r="CO1045" s="398">
        <v>36.222000000000001</v>
      </c>
      <c r="CP1045" s="398">
        <v>36.222000000000001</v>
      </c>
      <c r="CQ1045" s="398">
        <v>36.222000000000001</v>
      </c>
      <c r="CR1045" s="398"/>
      <c r="CS1045" s="398"/>
      <c r="CT1045" s="398"/>
      <c r="CU1045" s="398"/>
      <c r="CV1045" s="398"/>
      <c r="CW1045" s="398"/>
      <c r="CX1045" s="398"/>
      <c r="CY1045" s="398"/>
      <c r="CZ1045" s="398"/>
      <c r="DA1045" s="398"/>
      <c r="DB1045" s="398"/>
      <c r="DC1045" s="398"/>
      <c r="DD1045" s="398"/>
      <c r="DE1045" s="393"/>
      <c r="DF1045" s="393"/>
      <c r="DG1045" s="393"/>
      <c r="DH1045" s="393"/>
      <c r="DI1045" s="393"/>
      <c r="DJ1045" s="393"/>
      <c r="DK1045" s="897"/>
    </row>
    <row r="1046" spans="1:115" ht="51" x14ac:dyDescent="0.2">
      <c r="A1046" s="295">
        <v>1042</v>
      </c>
      <c r="B1046" s="390" t="s">
        <v>814</v>
      </c>
      <c r="C1046" s="424" t="s">
        <v>7625</v>
      </c>
      <c r="D1046" s="391"/>
      <c r="E1046" s="708" t="s">
        <v>815</v>
      </c>
      <c r="F1046" s="404" t="s">
        <v>1375</v>
      </c>
      <c r="G1046" s="404" t="s">
        <v>998</v>
      </c>
      <c r="H1046" s="404" t="s">
        <v>245</v>
      </c>
      <c r="I1046" s="403" t="s">
        <v>4095</v>
      </c>
      <c r="J1046" s="403" t="s">
        <v>816</v>
      </c>
      <c r="K1046" s="403"/>
      <c r="L1046" s="403" t="s">
        <v>815</v>
      </c>
      <c r="M1046" s="403" t="s">
        <v>3383</v>
      </c>
      <c r="N1046" s="404" t="s">
        <v>2412</v>
      </c>
      <c r="O1046" s="404" t="s">
        <v>5030</v>
      </c>
      <c r="P1046" s="404" t="s">
        <v>5030</v>
      </c>
      <c r="Q1046" s="403" t="s">
        <v>1834</v>
      </c>
      <c r="R1046" s="403"/>
      <c r="S1046" s="486" t="s">
        <v>4400</v>
      </c>
      <c r="T1046" s="405"/>
      <c r="U1046" s="406"/>
      <c r="V1046" s="406"/>
      <c r="W1046" s="456">
        <v>40878</v>
      </c>
      <c r="X1046" s="405">
        <v>28</v>
      </c>
      <c r="Y1046" s="405"/>
      <c r="Z1046" s="405"/>
      <c r="AA1046" s="406"/>
      <c r="AB1046" s="455"/>
      <c r="AC1046" s="407"/>
      <c r="AD1046" s="407"/>
      <c r="AE1046" s="404" t="s">
        <v>133</v>
      </c>
      <c r="AF1046" s="418"/>
      <c r="AG1046" s="418"/>
      <c r="AH1046" s="418"/>
      <c r="AI1046" s="405"/>
      <c r="AJ1046" s="455"/>
      <c r="AK1046" s="455"/>
      <c r="AL1046" s="404"/>
      <c r="AM1046" s="404"/>
      <c r="AN1046" s="418"/>
      <c r="AO1046" s="403"/>
      <c r="AP1046" s="403" t="s">
        <v>55</v>
      </c>
      <c r="AQ1046" s="403"/>
      <c r="AR1046" s="403" t="s">
        <v>220</v>
      </c>
      <c r="AS1046" s="482">
        <v>40914</v>
      </c>
      <c r="AT1046" s="456">
        <v>41074</v>
      </c>
      <c r="AU1046" s="455"/>
      <c r="AV1046" s="455"/>
      <c r="AW1046" s="455"/>
      <c r="AX1046" s="455"/>
      <c r="AY1046" s="455"/>
      <c r="AZ1046" s="455"/>
      <c r="BA1046" s="404"/>
      <c r="BB1046" s="404" t="s">
        <v>3147</v>
      </c>
      <c r="BC1046" s="404" t="b">
        <v>1</v>
      </c>
      <c r="BD1046" s="404" t="s">
        <v>3147</v>
      </c>
      <c r="BE1046" s="403"/>
      <c r="BF1046" s="405">
        <v>4</v>
      </c>
      <c r="BG1046" s="405">
        <v>5</v>
      </c>
      <c r="BH1046" s="405">
        <v>9</v>
      </c>
      <c r="BI1046" s="405">
        <v>10</v>
      </c>
      <c r="BJ1046" s="405">
        <v>7</v>
      </c>
      <c r="BK1046" s="405">
        <v>8</v>
      </c>
      <c r="BL1046" s="446"/>
      <c r="BM1046" s="403"/>
      <c r="BN1046" s="404"/>
      <c r="BO1046" s="404"/>
      <c r="BP1046" s="408"/>
      <c r="BQ1046" s="409"/>
      <c r="BR1046" s="410"/>
      <c r="BS1046" s="408"/>
      <c r="BT1046" s="405"/>
      <c r="BU1046" s="418"/>
      <c r="BV1046" s="408"/>
      <c r="BW1046" s="404"/>
      <c r="BX1046" s="403"/>
      <c r="BY1046" s="404"/>
      <c r="BZ1046" s="404"/>
      <c r="CA1046" s="443"/>
      <c r="CB1046" s="409"/>
      <c r="CC1046" s="407"/>
      <c r="CD1046" s="407"/>
      <c r="CE1046" s="407"/>
      <c r="CF1046" s="407"/>
      <c r="CG1046" s="407"/>
      <c r="CH1046" s="407"/>
      <c r="CI1046" s="407"/>
      <c r="CJ1046" s="407"/>
      <c r="CK1046" s="407"/>
      <c r="CL1046" s="407"/>
      <c r="CM1046" s="407"/>
      <c r="CN1046" s="407"/>
      <c r="CO1046" s="407"/>
      <c r="CP1046" s="407"/>
      <c r="CQ1046" s="407"/>
      <c r="CR1046" s="407"/>
      <c r="CS1046" s="407"/>
      <c r="CT1046" s="407"/>
      <c r="CU1046" s="407"/>
      <c r="CV1046" s="407"/>
      <c r="CW1046" s="407"/>
      <c r="CX1046" s="407"/>
      <c r="CY1046" s="407"/>
      <c r="CZ1046" s="407"/>
      <c r="DA1046" s="407"/>
      <c r="DB1046" s="407"/>
      <c r="DC1046" s="407"/>
      <c r="DD1046" s="407"/>
      <c r="DE1046" s="404"/>
      <c r="DF1046" s="404"/>
      <c r="DG1046" s="404"/>
      <c r="DH1046" s="404"/>
      <c r="DI1046" s="404"/>
      <c r="DJ1046" s="404"/>
      <c r="DK1046" s="897"/>
    </row>
    <row r="1047" spans="1:115" ht="38.25" x14ac:dyDescent="0.2">
      <c r="A1047" s="295">
        <v>1043</v>
      </c>
      <c r="B1047" s="390" t="s">
        <v>2797</v>
      </c>
      <c r="C1047" s="390"/>
      <c r="D1047" s="391"/>
      <c r="E1047" s="707" t="s">
        <v>791</v>
      </c>
      <c r="F1047" s="404" t="s">
        <v>1375</v>
      </c>
      <c r="G1047" s="404" t="s">
        <v>998</v>
      </c>
      <c r="H1047" s="404" t="s">
        <v>245</v>
      </c>
      <c r="I1047" s="403"/>
      <c r="J1047" s="403"/>
      <c r="K1047" s="403" t="s">
        <v>2150</v>
      </c>
      <c r="L1047" s="403" t="s">
        <v>815</v>
      </c>
      <c r="M1047" s="403"/>
      <c r="N1047" s="404" t="s">
        <v>2412</v>
      </c>
      <c r="O1047" s="404" t="s">
        <v>289</v>
      </c>
      <c r="P1047" s="404" t="s">
        <v>289</v>
      </c>
      <c r="Q1047" s="403" t="s">
        <v>721</v>
      </c>
      <c r="R1047" s="403" t="s">
        <v>3384</v>
      </c>
      <c r="S1047" s="486" t="s">
        <v>4400</v>
      </c>
      <c r="T1047" s="405">
        <v>1</v>
      </c>
      <c r="U1047" s="406">
        <v>4.8</v>
      </c>
      <c r="V1047" s="406"/>
      <c r="W1047" s="455"/>
      <c r="X1047" s="405"/>
      <c r="Y1047" s="405">
        <v>7</v>
      </c>
      <c r="Z1047" s="405">
        <v>21</v>
      </c>
      <c r="AA1047" s="406">
        <v>0</v>
      </c>
      <c r="AB1047" s="456">
        <v>40940</v>
      </c>
      <c r="AC1047" s="407">
        <v>4.3920000000000003</v>
      </c>
      <c r="AD1047" s="407">
        <v>42.8186301369863</v>
      </c>
      <c r="AE1047" s="404" t="s">
        <v>133</v>
      </c>
      <c r="AF1047" s="418"/>
      <c r="AG1047" s="418"/>
      <c r="AH1047" s="418"/>
      <c r="AI1047" s="405"/>
      <c r="AJ1047" s="455"/>
      <c r="AK1047" s="455"/>
      <c r="AL1047" s="404"/>
      <c r="AM1047" s="404"/>
      <c r="AN1047" s="418"/>
      <c r="AO1047" s="403"/>
      <c r="AP1047" s="403" t="s">
        <v>55</v>
      </c>
      <c r="AQ1047" s="403"/>
      <c r="AR1047" s="403" t="s">
        <v>220</v>
      </c>
      <c r="AS1047" s="482">
        <v>40914</v>
      </c>
      <c r="AT1047" s="456">
        <v>41074</v>
      </c>
      <c r="AU1047" s="455"/>
      <c r="AV1047" s="455"/>
      <c r="AW1047" s="455"/>
      <c r="AX1047" s="455"/>
      <c r="AY1047" s="455"/>
      <c r="AZ1047" s="455"/>
      <c r="BA1047" s="404"/>
      <c r="BB1047" s="404"/>
      <c r="BC1047" s="404" t="b">
        <v>0</v>
      </c>
      <c r="BD1047" s="404"/>
      <c r="BE1047" s="403"/>
      <c r="BF1047" s="405">
        <v>4</v>
      </c>
      <c r="BG1047" s="405">
        <v>5</v>
      </c>
      <c r="BH1047" s="405">
        <v>9</v>
      </c>
      <c r="BI1047" s="405">
        <v>10</v>
      </c>
      <c r="BJ1047" s="405">
        <v>7</v>
      </c>
      <c r="BK1047" s="405">
        <v>8</v>
      </c>
      <c r="BL1047" s="446" t="s">
        <v>6982</v>
      </c>
      <c r="BM1047" s="403"/>
      <c r="BN1047" s="404"/>
      <c r="BO1047" s="404"/>
      <c r="BP1047" s="408"/>
      <c r="BQ1047" s="409"/>
      <c r="BR1047" s="410"/>
      <c r="BS1047" s="408">
        <v>1.18</v>
      </c>
      <c r="BT1047" s="405">
        <v>6750</v>
      </c>
      <c r="BU1047" s="418">
        <v>0.71</v>
      </c>
      <c r="BV1047" s="408"/>
      <c r="BW1047" s="404" t="s">
        <v>3117</v>
      </c>
      <c r="BX1047" s="403" t="s">
        <v>1520</v>
      </c>
      <c r="BY1047" s="404"/>
      <c r="BZ1047" s="404"/>
      <c r="CA1047" s="443"/>
      <c r="CB1047" s="409"/>
      <c r="CC1047" s="407"/>
      <c r="CD1047" s="407"/>
      <c r="CE1047" s="407"/>
      <c r="CF1047" s="407"/>
      <c r="CG1047" s="407"/>
      <c r="CH1047" s="407">
        <v>2.4</v>
      </c>
      <c r="CI1047" s="407">
        <v>4.8</v>
      </c>
      <c r="CJ1047" s="407">
        <v>4.8</v>
      </c>
      <c r="CK1047" s="407">
        <v>4.8</v>
      </c>
      <c r="CL1047" s="407">
        <v>4.8</v>
      </c>
      <c r="CM1047" s="407">
        <v>4.8</v>
      </c>
      <c r="CN1047" s="407">
        <v>2.4</v>
      </c>
      <c r="CO1047" s="407"/>
      <c r="CP1047" s="407"/>
      <c r="CQ1047" s="407"/>
      <c r="CR1047" s="407"/>
      <c r="CS1047" s="407"/>
      <c r="CT1047" s="407"/>
      <c r="CU1047" s="407"/>
      <c r="CV1047" s="407"/>
      <c r="CW1047" s="407"/>
      <c r="CX1047" s="407"/>
      <c r="CY1047" s="407"/>
      <c r="CZ1047" s="407"/>
      <c r="DA1047" s="407"/>
      <c r="DB1047" s="407"/>
      <c r="DC1047" s="407"/>
      <c r="DD1047" s="407"/>
      <c r="DE1047" s="404"/>
      <c r="DF1047" s="404"/>
      <c r="DG1047" s="404"/>
      <c r="DH1047" s="404"/>
      <c r="DI1047" s="404"/>
      <c r="DJ1047" s="404"/>
      <c r="DK1047" s="897"/>
    </row>
    <row r="1048" spans="1:115" ht="38.25" x14ac:dyDescent="0.2">
      <c r="A1048" s="295">
        <v>1044</v>
      </c>
      <c r="B1048" s="390" t="s">
        <v>1161</v>
      </c>
      <c r="C1048" s="424" t="s">
        <v>7626</v>
      </c>
      <c r="D1048" s="391" t="s">
        <v>5152</v>
      </c>
      <c r="E1048" s="704" t="s">
        <v>1162</v>
      </c>
      <c r="F1048" s="393" t="s">
        <v>1340</v>
      </c>
      <c r="G1048" s="393" t="s">
        <v>1677</v>
      </c>
      <c r="H1048" s="393" t="s">
        <v>718</v>
      </c>
      <c r="I1048" s="392"/>
      <c r="J1048" s="392" t="s">
        <v>727</v>
      </c>
      <c r="K1048" s="392"/>
      <c r="L1048" s="392" t="s">
        <v>1163</v>
      </c>
      <c r="M1048" s="392" t="s">
        <v>3385</v>
      </c>
      <c r="N1048" s="393" t="s">
        <v>44</v>
      </c>
      <c r="O1048" s="393" t="s">
        <v>1155</v>
      </c>
      <c r="P1048" s="393" t="s">
        <v>1155</v>
      </c>
      <c r="Q1048" s="392" t="s">
        <v>1155</v>
      </c>
      <c r="R1048" s="392"/>
      <c r="S1048" s="392" t="s">
        <v>650</v>
      </c>
      <c r="T1048" s="394">
        <v>1</v>
      </c>
      <c r="U1048" s="395">
        <v>19</v>
      </c>
      <c r="V1048" s="395"/>
      <c r="W1048" s="452">
        <v>40917</v>
      </c>
      <c r="X1048" s="394">
        <v>28</v>
      </c>
      <c r="Y1048" s="394"/>
      <c r="Z1048" s="394"/>
      <c r="AA1048" s="395"/>
      <c r="AB1048" s="453"/>
      <c r="AC1048" s="398">
        <v>0</v>
      </c>
      <c r="AD1048" s="398">
        <v>139.35068493150686</v>
      </c>
      <c r="AE1048" s="393" t="s">
        <v>72</v>
      </c>
      <c r="AF1048" s="417"/>
      <c r="AG1048" s="417"/>
      <c r="AH1048" s="417">
        <v>0</v>
      </c>
      <c r="AI1048" s="394"/>
      <c r="AJ1048" s="453"/>
      <c r="AK1048" s="453"/>
      <c r="AL1048" s="393"/>
      <c r="AM1048" s="393"/>
      <c r="AN1048" s="417"/>
      <c r="AO1048" s="392"/>
      <c r="AP1048" s="392" t="s">
        <v>55</v>
      </c>
      <c r="AQ1048" s="392"/>
      <c r="AR1048" s="392" t="s">
        <v>1164</v>
      </c>
      <c r="AS1048" s="479">
        <v>40917</v>
      </c>
      <c r="AT1048" s="453"/>
      <c r="AU1048" s="453"/>
      <c r="AV1048" s="452">
        <v>41039</v>
      </c>
      <c r="AW1048" s="452">
        <v>41199</v>
      </c>
      <c r="AX1048" s="452">
        <v>41264</v>
      </c>
      <c r="AY1048" s="452">
        <v>41206</v>
      </c>
      <c r="AZ1048" s="453"/>
      <c r="BA1048" s="393"/>
      <c r="BB1048" s="393" t="s">
        <v>3147</v>
      </c>
      <c r="BC1048" s="393" t="b">
        <v>1</v>
      </c>
      <c r="BD1048" s="393" t="s">
        <v>3147</v>
      </c>
      <c r="BE1048" s="392"/>
      <c r="BF1048" s="394">
        <v>4</v>
      </c>
      <c r="BG1048" s="394">
        <v>9</v>
      </c>
      <c r="BH1048" s="394"/>
      <c r="BI1048" s="394"/>
      <c r="BJ1048" s="394"/>
      <c r="BK1048" s="394"/>
      <c r="BL1048" s="444"/>
      <c r="BM1048" s="392"/>
      <c r="BN1048" s="393"/>
      <c r="BO1048" s="393"/>
      <c r="BP1048" s="399"/>
      <c r="BQ1048" s="400"/>
      <c r="BR1048" s="401"/>
      <c r="BS1048" s="399">
        <v>9</v>
      </c>
      <c r="BT1048" s="394"/>
      <c r="BU1048" s="417"/>
      <c r="BV1048" s="399"/>
      <c r="BW1048" s="393"/>
      <c r="BX1048" s="392"/>
      <c r="BY1048" s="393"/>
      <c r="BZ1048" s="393"/>
      <c r="CA1048" s="441"/>
      <c r="CB1048" s="400"/>
      <c r="CC1048" s="398"/>
      <c r="CD1048" s="398"/>
      <c r="CE1048" s="398"/>
      <c r="CF1048" s="398"/>
      <c r="CG1048" s="398"/>
      <c r="CH1048" s="398"/>
      <c r="CI1048" s="398"/>
      <c r="CJ1048" s="398"/>
      <c r="CK1048" s="398"/>
      <c r="CL1048" s="398"/>
      <c r="CM1048" s="398"/>
      <c r="CN1048" s="398"/>
      <c r="CO1048" s="398"/>
      <c r="CP1048" s="398"/>
      <c r="CQ1048" s="398"/>
      <c r="CR1048" s="398"/>
      <c r="CS1048" s="398"/>
      <c r="CT1048" s="398"/>
      <c r="CU1048" s="398"/>
      <c r="CV1048" s="398"/>
      <c r="CW1048" s="398"/>
      <c r="CX1048" s="398"/>
      <c r="CY1048" s="398"/>
      <c r="CZ1048" s="398"/>
      <c r="DA1048" s="398"/>
      <c r="DB1048" s="398"/>
      <c r="DC1048" s="398"/>
      <c r="DD1048" s="398"/>
      <c r="DE1048" s="393"/>
      <c r="DF1048" s="393"/>
      <c r="DG1048" s="393"/>
      <c r="DH1048" s="393"/>
      <c r="DI1048" s="393"/>
      <c r="DJ1048" s="393"/>
      <c r="DK1048" s="896" t="s">
        <v>9700</v>
      </c>
    </row>
    <row r="1049" spans="1:115" ht="25.5" x14ac:dyDescent="0.2">
      <c r="A1049" s="295">
        <v>1045</v>
      </c>
      <c r="B1049" s="390" t="s">
        <v>2798</v>
      </c>
      <c r="C1049" s="390"/>
      <c r="D1049" s="391" t="s">
        <v>4397</v>
      </c>
      <c r="E1049" s="704" t="s">
        <v>1165</v>
      </c>
      <c r="F1049" s="393" t="s">
        <v>1340</v>
      </c>
      <c r="G1049" s="393" t="s">
        <v>1677</v>
      </c>
      <c r="H1049" s="393" t="s">
        <v>718</v>
      </c>
      <c r="I1049" s="392"/>
      <c r="J1049" s="392"/>
      <c r="K1049" s="392" t="s">
        <v>2208</v>
      </c>
      <c r="L1049" s="392" t="s">
        <v>1163</v>
      </c>
      <c r="M1049" s="392"/>
      <c r="N1049" s="393" t="s">
        <v>44</v>
      </c>
      <c r="O1049" s="393" t="s">
        <v>1155</v>
      </c>
      <c r="P1049" s="393" t="s">
        <v>1155</v>
      </c>
      <c r="Q1049" s="392" t="s">
        <v>1155</v>
      </c>
      <c r="R1049" s="392" t="s">
        <v>3386</v>
      </c>
      <c r="S1049" s="392" t="s">
        <v>650</v>
      </c>
      <c r="T1049" s="394">
        <v>1</v>
      </c>
      <c r="U1049" s="395">
        <v>19</v>
      </c>
      <c r="V1049" s="395"/>
      <c r="W1049" s="453"/>
      <c r="X1049" s="394"/>
      <c r="Y1049" s="394">
        <v>7</v>
      </c>
      <c r="Z1049" s="394">
        <v>20</v>
      </c>
      <c r="AA1049" s="395">
        <v>0</v>
      </c>
      <c r="AB1049" s="452">
        <v>41519</v>
      </c>
      <c r="AC1049" s="398"/>
      <c r="AD1049" s="398">
        <v>139.35068493150686</v>
      </c>
      <c r="AE1049" s="393" t="s">
        <v>72</v>
      </c>
      <c r="AF1049" s="417"/>
      <c r="AG1049" s="417"/>
      <c r="AH1049" s="417"/>
      <c r="AI1049" s="394"/>
      <c r="AJ1049" s="453"/>
      <c r="AK1049" s="453"/>
      <c r="AL1049" s="393"/>
      <c r="AM1049" s="393"/>
      <c r="AN1049" s="417"/>
      <c r="AO1049" s="392"/>
      <c r="AP1049" s="392" t="s">
        <v>55</v>
      </c>
      <c r="AQ1049" s="392"/>
      <c r="AR1049" s="392" t="s">
        <v>1164</v>
      </c>
      <c r="AS1049" s="479">
        <v>40917</v>
      </c>
      <c r="AT1049" s="453"/>
      <c r="AU1049" s="453"/>
      <c r="AV1049" s="453"/>
      <c r="AW1049" s="453"/>
      <c r="AX1049" s="453"/>
      <c r="AY1049" s="453"/>
      <c r="AZ1049" s="452">
        <v>41206</v>
      </c>
      <c r="BA1049" s="393"/>
      <c r="BB1049" s="393"/>
      <c r="BC1049" s="393" t="b">
        <v>0</v>
      </c>
      <c r="BD1049" s="393"/>
      <c r="BE1049" s="392"/>
      <c r="BF1049" s="394">
        <v>4</v>
      </c>
      <c r="BG1049" s="394">
        <v>9</v>
      </c>
      <c r="BH1049" s="394"/>
      <c r="BI1049" s="394"/>
      <c r="BJ1049" s="394"/>
      <c r="BK1049" s="394"/>
      <c r="BL1049" s="444" t="s">
        <v>1451</v>
      </c>
      <c r="BM1049" s="392" t="s">
        <v>3377</v>
      </c>
      <c r="BN1049" s="393" t="s">
        <v>3378</v>
      </c>
      <c r="BO1049" s="393"/>
      <c r="BP1049" s="399"/>
      <c r="BQ1049" s="400"/>
      <c r="BR1049" s="401"/>
      <c r="BS1049" s="399">
        <v>9</v>
      </c>
      <c r="BT1049" s="394">
        <v>26400</v>
      </c>
      <c r="BU1049" s="417">
        <v>0.71970000000000001</v>
      </c>
      <c r="BV1049" s="399"/>
      <c r="BW1049" s="393" t="s">
        <v>3117</v>
      </c>
      <c r="BX1049" s="392"/>
      <c r="BY1049" s="393"/>
      <c r="BZ1049" s="393"/>
      <c r="CA1049" s="441" t="s">
        <v>1662</v>
      </c>
      <c r="CB1049" s="400">
        <v>3</v>
      </c>
      <c r="CC1049" s="398"/>
      <c r="CD1049" s="398"/>
      <c r="CE1049" s="398"/>
      <c r="CF1049" s="398"/>
      <c r="CG1049" s="398"/>
      <c r="CH1049" s="398"/>
      <c r="CI1049" s="398">
        <v>19</v>
      </c>
      <c r="CJ1049" s="398">
        <v>19</v>
      </c>
      <c r="CK1049" s="398">
        <v>19</v>
      </c>
      <c r="CL1049" s="398">
        <v>19</v>
      </c>
      <c r="CM1049" s="398">
        <v>19</v>
      </c>
      <c r="CN1049" s="398">
        <v>19</v>
      </c>
      <c r="CO1049" s="398">
        <v>19</v>
      </c>
      <c r="CP1049" s="398"/>
      <c r="CQ1049" s="398"/>
      <c r="CR1049" s="398"/>
      <c r="CS1049" s="398"/>
      <c r="CT1049" s="398"/>
      <c r="CU1049" s="398"/>
      <c r="CV1049" s="398"/>
      <c r="CW1049" s="398"/>
      <c r="CX1049" s="398"/>
      <c r="CY1049" s="398"/>
      <c r="CZ1049" s="398"/>
      <c r="DA1049" s="398"/>
      <c r="DB1049" s="398"/>
      <c r="DC1049" s="398"/>
      <c r="DD1049" s="398"/>
      <c r="DE1049" s="393"/>
      <c r="DF1049" s="393"/>
      <c r="DG1049" s="393"/>
      <c r="DH1049" s="393"/>
      <c r="DI1049" s="393"/>
      <c r="DJ1049" s="393"/>
      <c r="DK1049" s="897"/>
    </row>
    <row r="1050" spans="1:115" ht="178.5" x14ac:dyDescent="0.2">
      <c r="A1050" s="295">
        <v>1046</v>
      </c>
      <c r="B1050" s="390" t="s">
        <v>832</v>
      </c>
      <c r="C1050" s="424" t="s">
        <v>7627</v>
      </c>
      <c r="D1050" s="391"/>
      <c r="E1050" s="707" t="s">
        <v>833</v>
      </c>
      <c r="F1050" s="404" t="s">
        <v>1375</v>
      </c>
      <c r="G1050" s="404" t="s">
        <v>1361</v>
      </c>
      <c r="H1050" s="404" t="s">
        <v>841</v>
      </c>
      <c r="I1050" s="403" t="s">
        <v>4096</v>
      </c>
      <c r="J1050" s="403" t="s">
        <v>834</v>
      </c>
      <c r="K1050" s="403"/>
      <c r="L1050" s="403" t="s">
        <v>835</v>
      </c>
      <c r="M1050" s="403" t="s">
        <v>3387</v>
      </c>
      <c r="N1050" s="404" t="s">
        <v>3142</v>
      </c>
      <c r="O1050" s="404" t="s">
        <v>827</v>
      </c>
      <c r="P1050" s="404" t="s">
        <v>51</v>
      </c>
      <c r="Q1050" s="403" t="s">
        <v>828</v>
      </c>
      <c r="R1050" s="403"/>
      <c r="S1050" s="403" t="s">
        <v>483</v>
      </c>
      <c r="T1050" s="405">
        <v>1</v>
      </c>
      <c r="U1050" s="406">
        <v>60</v>
      </c>
      <c r="V1050" s="406"/>
      <c r="W1050" s="456">
        <v>40912</v>
      </c>
      <c r="X1050" s="405">
        <v>28</v>
      </c>
      <c r="Y1050" s="405"/>
      <c r="Z1050" s="405"/>
      <c r="AA1050" s="406"/>
      <c r="AB1050" s="455"/>
      <c r="AC1050" s="407">
        <v>59.1</v>
      </c>
      <c r="AD1050" s="407">
        <v>539.83561643835617</v>
      </c>
      <c r="AE1050" s="404" t="s">
        <v>72</v>
      </c>
      <c r="AF1050" s="418"/>
      <c r="AG1050" s="418"/>
      <c r="AH1050" s="418">
        <v>0</v>
      </c>
      <c r="AI1050" s="405"/>
      <c r="AJ1050" s="455"/>
      <c r="AK1050" s="455"/>
      <c r="AL1050" s="404"/>
      <c r="AM1050" s="404"/>
      <c r="AN1050" s="418"/>
      <c r="AO1050" s="403"/>
      <c r="AP1050" s="403" t="s">
        <v>55</v>
      </c>
      <c r="AQ1050" s="403"/>
      <c r="AR1050" s="403" t="s">
        <v>837</v>
      </c>
      <c r="AS1050" s="482">
        <v>40917</v>
      </c>
      <c r="AT1050" s="455"/>
      <c r="AU1050" s="455"/>
      <c r="AV1050" s="455"/>
      <c r="AW1050" s="455"/>
      <c r="AX1050" s="455"/>
      <c r="AY1050" s="455"/>
      <c r="AZ1050" s="455"/>
      <c r="BA1050" s="404"/>
      <c r="BB1050" s="404" t="s">
        <v>3147</v>
      </c>
      <c r="BC1050" s="404" t="b">
        <v>0</v>
      </c>
      <c r="BD1050" s="404" t="s">
        <v>3147</v>
      </c>
      <c r="BE1050" s="403"/>
      <c r="BF1050" s="405">
        <v>1</v>
      </c>
      <c r="BG1050" s="405">
        <v>6</v>
      </c>
      <c r="BH1050" s="405">
        <v>9</v>
      </c>
      <c r="BI1050" s="405">
        <v>8</v>
      </c>
      <c r="BJ1050" s="405">
        <v>7</v>
      </c>
      <c r="BK1050" s="405"/>
      <c r="BL1050" s="446"/>
      <c r="BM1050" s="403"/>
      <c r="BN1050" s="404"/>
      <c r="BO1050" s="404"/>
      <c r="BP1050" s="408"/>
      <c r="BQ1050" s="409"/>
      <c r="BR1050" s="410"/>
      <c r="BS1050" s="408">
        <v>0</v>
      </c>
      <c r="BT1050" s="405"/>
      <c r="BU1050" s="418"/>
      <c r="BV1050" s="408"/>
      <c r="BW1050" s="404"/>
      <c r="BX1050" s="403"/>
      <c r="BY1050" s="404"/>
      <c r="BZ1050" s="404"/>
      <c r="CA1050" s="443"/>
      <c r="CB1050" s="409"/>
      <c r="CC1050" s="407"/>
      <c r="CD1050" s="407"/>
      <c r="CE1050" s="407"/>
      <c r="CF1050" s="407"/>
      <c r="CG1050" s="407"/>
      <c r="CH1050" s="407"/>
      <c r="CI1050" s="407"/>
      <c r="CJ1050" s="407"/>
      <c r="CK1050" s="407"/>
      <c r="CL1050" s="407"/>
      <c r="CM1050" s="407"/>
      <c r="CN1050" s="407"/>
      <c r="CO1050" s="407"/>
      <c r="CP1050" s="407"/>
      <c r="CQ1050" s="407"/>
      <c r="CR1050" s="407"/>
      <c r="CS1050" s="407"/>
      <c r="CT1050" s="407"/>
      <c r="CU1050" s="407"/>
      <c r="CV1050" s="407"/>
      <c r="CW1050" s="407"/>
      <c r="CX1050" s="407"/>
      <c r="CY1050" s="407"/>
      <c r="CZ1050" s="407"/>
      <c r="DA1050" s="407"/>
      <c r="DB1050" s="407"/>
      <c r="DC1050" s="407"/>
      <c r="DD1050" s="407"/>
      <c r="DE1050" s="404"/>
      <c r="DF1050" s="404"/>
      <c r="DG1050" s="404"/>
      <c r="DH1050" s="404"/>
      <c r="DI1050" s="404"/>
      <c r="DJ1050" s="404"/>
      <c r="DK1050" s="897"/>
    </row>
    <row r="1051" spans="1:115" ht="25.5" x14ac:dyDescent="0.2">
      <c r="A1051" s="295">
        <v>1047</v>
      </c>
      <c r="B1051" s="390" t="s">
        <v>2799</v>
      </c>
      <c r="C1051" s="390"/>
      <c r="D1051" s="391"/>
      <c r="E1051" s="707" t="s">
        <v>840</v>
      </c>
      <c r="F1051" s="404" t="s">
        <v>1375</v>
      </c>
      <c r="G1051" s="404" t="s">
        <v>1668</v>
      </c>
      <c r="H1051" s="404" t="s">
        <v>841</v>
      </c>
      <c r="I1051" s="403"/>
      <c r="J1051" s="403"/>
      <c r="K1051" s="403" t="s">
        <v>841</v>
      </c>
      <c r="L1051" s="403" t="s">
        <v>835</v>
      </c>
      <c r="M1051" s="403"/>
      <c r="N1051" s="404" t="s">
        <v>3142</v>
      </c>
      <c r="O1051" s="404" t="s">
        <v>827</v>
      </c>
      <c r="P1051" s="404" t="s">
        <v>51</v>
      </c>
      <c r="Q1051" s="403" t="s">
        <v>828</v>
      </c>
      <c r="R1051" s="403" t="s">
        <v>3388</v>
      </c>
      <c r="S1051" s="403" t="s">
        <v>483</v>
      </c>
      <c r="T1051" s="405">
        <v>1</v>
      </c>
      <c r="U1051" s="406">
        <v>60</v>
      </c>
      <c r="V1051" s="406"/>
      <c r="W1051" s="455"/>
      <c r="X1051" s="405"/>
      <c r="Y1051" s="405">
        <v>7</v>
      </c>
      <c r="Z1051" s="405">
        <v>28</v>
      </c>
      <c r="AA1051" s="406">
        <v>0</v>
      </c>
      <c r="AB1051" s="456">
        <v>40912</v>
      </c>
      <c r="AC1051" s="407">
        <v>59.1</v>
      </c>
      <c r="AD1051" s="407">
        <v>539.83561643835617</v>
      </c>
      <c r="AE1051" s="404" t="s">
        <v>72</v>
      </c>
      <c r="AF1051" s="418"/>
      <c r="AG1051" s="418"/>
      <c r="AH1051" s="418"/>
      <c r="AI1051" s="405"/>
      <c r="AJ1051" s="455"/>
      <c r="AK1051" s="455"/>
      <c r="AL1051" s="404"/>
      <c r="AM1051" s="404"/>
      <c r="AN1051" s="418"/>
      <c r="AO1051" s="403"/>
      <c r="AP1051" s="403" t="s">
        <v>55</v>
      </c>
      <c r="AQ1051" s="403"/>
      <c r="AR1051" s="403" t="s">
        <v>837</v>
      </c>
      <c r="AS1051" s="482">
        <v>40917</v>
      </c>
      <c r="AT1051" s="455"/>
      <c r="AU1051" s="455"/>
      <c r="AV1051" s="455"/>
      <c r="AW1051" s="455"/>
      <c r="AX1051" s="455"/>
      <c r="AY1051" s="455"/>
      <c r="AZ1051" s="455"/>
      <c r="BA1051" s="404"/>
      <c r="BB1051" s="404"/>
      <c r="BC1051" s="404" t="b">
        <v>0</v>
      </c>
      <c r="BD1051" s="404"/>
      <c r="BE1051" s="403"/>
      <c r="BF1051" s="405">
        <v>1</v>
      </c>
      <c r="BG1051" s="405">
        <v>6</v>
      </c>
      <c r="BH1051" s="405">
        <v>9</v>
      </c>
      <c r="BI1051" s="405">
        <v>8</v>
      </c>
      <c r="BJ1051" s="405">
        <v>7</v>
      </c>
      <c r="BK1051" s="405"/>
      <c r="BL1051" s="446" t="s">
        <v>6981</v>
      </c>
      <c r="BM1051" s="403"/>
      <c r="BN1051" s="404"/>
      <c r="BO1051" s="404"/>
      <c r="BP1051" s="408"/>
      <c r="BQ1051" s="409"/>
      <c r="BR1051" s="410"/>
      <c r="BS1051" s="408"/>
      <c r="BT1051" s="405"/>
      <c r="BU1051" s="418"/>
      <c r="BV1051" s="408"/>
      <c r="BW1051" s="404" t="s">
        <v>3117</v>
      </c>
      <c r="BX1051" s="403" t="s">
        <v>3177</v>
      </c>
      <c r="BY1051" s="404"/>
      <c r="BZ1051" s="404"/>
      <c r="CA1051" s="443" t="s">
        <v>1664</v>
      </c>
      <c r="CB1051" s="409"/>
      <c r="CC1051" s="407"/>
      <c r="CD1051" s="407"/>
      <c r="CE1051" s="407"/>
      <c r="CF1051" s="407"/>
      <c r="CG1051" s="407"/>
      <c r="CH1051" s="407">
        <v>60</v>
      </c>
      <c r="CI1051" s="407">
        <v>60</v>
      </c>
      <c r="CJ1051" s="407">
        <v>60</v>
      </c>
      <c r="CK1051" s="407">
        <v>60</v>
      </c>
      <c r="CL1051" s="407">
        <v>60</v>
      </c>
      <c r="CM1051" s="407">
        <v>60</v>
      </c>
      <c r="CN1051" s="407">
        <v>60</v>
      </c>
      <c r="CO1051" s="407"/>
      <c r="CP1051" s="407"/>
      <c r="CQ1051" s="407"/>
      <c r="CR1051" s="407"/>
      <c r="CS1051" s="407"/>
      <c r="CT1051" s="407"/>
      <c r="CU1051" s="407"/>
      <c r="CV1051" s="407"/>
      <c r="CW1051" s="407"/>
      <c r="CX1051" s="407"/>
      <c r="CY1051" s="407"/>
      <c r="CZ1051" s="407"/>
      <c r="DA1051" s="407"/>
      <c r="DB1051" s="407"/>
      <c r="DC1051" s="407"/>
      <c r="DD1051" s="407"/>
      <c r="DE1051" s="404"/>
      <c r="DF1051" s="404"/>
      <c r="DG1051" s="404"/>
      <c r="DH1051" s="404"/>
      <c r="DI1051" s="404"/>
      <c r="DJ1051" s="404"/>
      <c r="DK1051" s="897"/>
    </row>
    <row r="1052" spans="1:115" ht="63.75" x14ac:dyDescent="0.2">
      <c r="A1052" s="295">
        <v>1048</v>
      </c>
      <c r="B1052" s="390" t="s">
        <v>620</v>
      </c>
      <c r="C1052" s="424" t="s">
        <v>7628</v>
      </c>
      <c r="D1052" s="391" t="s">
        <v>5153</v>
      </c>
      <c r="E1052" s="704" t="s">
        <v>621</v>
      </c>
      <c r="F1052" s="393" t="s">
        <v>1352</v>
      </c>
      <c r="G1052" s="393" t="s">
        <v>1671</v>
      </c>
      <c r="H1052" s="393" t="s">
        <v>117</v>
      </c>
      <c r="I1052" s="392"/>
      <c r="J1052" s="392" t="s">
        <v>433</v>
      </c>
      <c r="K1052" s="392"/>
      <c r="L1052" s="392" t="s">
        <v>622</v>
      </c>
      <c r="M1052" s="392" t="s">
        <v>3389</v>
      </c>
      <c r="N1052" s="393" t="s">
        <v>44</v>
      </c>
      <c r="O1052" s="393" t="s">
        <v>69</v>
      </c>
      <c r="P1052" s="393" t="s">
        <v>69</v>
      </c>
      <c r="Q1052" s="392" t="s">
        <v>572</v>
      </c>
      <c r="R1052" s="392"/>
      <c r="S1052" s="392" t="s">
        <v>623</v>
      </c>
      <c r="T1052" s="394">
        <v>1</v>
      </c>
      <c r="U1052" s="395">
        <v>1.587</v>
      </c>
      <c r="V1052" s="395"/>
      <c r="W1052" s="452">
        <v>41228</v>
      </c>
      <c r="X1052" s="394">
        <v>28</v>
      </c>
      <c r="Y1052" s="394"/>
      <c r="Z1052" s="394"/>
      <c r="AA1052" s="395"/>
      <c r="AB1052" s="453"/>
      <c r="AC1052" s="398">
        <v>0</v>
      </c>
      <c r="AD1052" s="398">
        <v>12.700347945205477</v>
      </c>
      <c r="AE1052" s="393" t="s">
        <v>47</v>
      </c>
      <c r="AF1052" s="417"/>
      <c r="AG1052" s="417"/>
      <c r="AH1052" s="417">
        <v>0</v>
      </c>
      <c r="AI1052" s="394"/>
      <c r="AJ1052" s="453"/>
      <c r="AK1052" s="453"/>
      <c r="AL1052" s="393"/>
      <c r="AM1052" s="393"/>
      <c r="AN1052" s="417"/>
      <c r="AO1052" s="392"/>
      <c r="AP1052" s="392" t="s">
        <v>7090</v>
      </c>
      <c r="AQ1052" s="392"/>
      <c r="AR1052" s="392" t="s">
        <v>624</v>
      </c>
      <c r="AS1052" s="479">
        <v>40918</v>
      </c>
      <c r="AT1052" s="453"/>
      <c r="AU1052" s="453"/>
      <c r="AV1052" s="452">
        <v>40940</v>
      </c>
      <c r="AW1052" s="452">
        <v>41232</v>
      </c>
      <c r="AX1052" s="452">
        <v>41285</v>
      </c>
      <c r="AY1052" s="452">
        <v>41232</v>
      </c>
      <c r="AZ1052" s="453"/>
      <c r="BA1052" s="393"/>
      <c r="BB1052" s="393" t="s">
        <v>3147</v>
      </c>
      <c r="BC1052" s="393" t="b">
        <v>1</v>
      </c>
      <c r="BD1052" s="393" t="s">
        <v>3116</v>
      </c>
      <c r="BE1052" s="392"/>
      <c r="BF1052" s="394">
        <v>5</v>
      </c>
      <c r="BG1052" s="394">
        <v>6</v>
      </c>
      <c r="BH1052" s="394">
        <v>1</v>
      </c>
      <c r="BI1052" s="394">
        <v>9</v>
      </c>
      <c r="BJ1052" s="394">
        <v>8</v>
      </c>
      <c r="BK1052" s="394"/>
      <c r="BL1052" s="444"/>
      <c r="BM1052" s="392"/>
      <c r="BN1052" s="393"/>
      <c r="BO1052" s="393"/>
      <c r="BP1052" s="399"/>
      <c r="BQ1052" s="400"/>
      <c r="BR1052" s="401"/>
      <c r="BS1052" s="399">
        <v>0</v>
      </c>
      <c r="BT1052" s="394"/>
      <c r="BU1052" s="417"/>
      <c r="BV1052" s="399"/>
      <c r="BW1052" s="393"/>
      <c r="BX1052" s="392"/>
      <c r="BY1052" s="475" t="s">
        <v>7224</v>
      </c>
      <c r="BZ1052" s="393"/>
      <c r="CA1052" s="441"/>
      <c r="CB1052" s="400"/>
      <c r="CC1052" s="398"/>
      <c r="CD1052" s="398"/>
      <c r="CE1052" s="398"/>
      <c r="CF1052" s="398"/>
      <c r="CG1052" s="398"/>
      <c r="CH1052" s="398"/>
      <c r="CI1052" s="398"/>
      <c r="CJ1052" s="398"/>
      <c r="CK1052" s="398"/>
      <c r="CL1052" s="398"/>
      <c r="CM1052" s="398"/>
      <c r="CN1052" s="398"/>
      <c r="CO1052" s="398"/>
      <c r="CP1052" s="398"/>
      <c r="CQ1052" s="398"/>
      <c r="CR1052" s="398"/>
      <c r="CS1052" s="398"/>
      <c r="CT1052" s="398"/>
      <c r="CU1052" s="398"/>
      <c r="CV1052" s="398"/>
      <c r="CW1052" s="398"/>
      <c r="CX1052" s="398"/>
      <c r="CY1052" s="398"/>
      <c r="CZ1052" s="398"/>
      <c r="DA1052" s="398"/>
      <c r="DB1052" s="398"/>
      <c r="DC1052" s="398"/>
      <c r="DD1052" s="398"/>
      <c r="DE1052" s="393"/>
      <c r="DF1052" s="393"/>
      <c r="DG1052" s="393"/>
      <c r="DH1052" s="393"/>
      <c r="DI1052" s="393"/>
      <c r="DJ1052" s="393"/>
      <c r="DK1052" s="896" t="s">
        <v>9702</v>
      </c>
    </row>
    <row r="1053" spans="1:115" ht="25.5" x14ac:dyDescent="0.2">
      <c r="A1053" s="295">
        <v>1049</v>
      </c>
      <c r="B1053" s="390" t="s">
        <v>2800</v>
      </c>
      <c r="C1053" s="390"/>
      <c r="D1053" s="391" t="s">
        <v>4478</v>
      </c>
      <c r="E1053" s="704" t="s">
        <v>625</v>
      </c>
      <c r="F1053" s="393" t="s">
        <v>1352</v>
      </c>
      <c r="G1053" s="393" t="s">
        <v>1671</v>
      </c>
      <c r="H1053" s="393" t="s">
        <v>117</v>
      </c>
      <c r="I1053" s="392"/>
      <c r="J1053" s="392"/>
      <c r="K1053" s="392" t="s">
        <v>2209</v>
      </c>
      <c r="L1053" s="392" t="s">
        <v>622</v>
      </c>
      <c r="M1053" s="392"/>
      <c r="N1053" s="393" t="s">
        <v>44</v>
      </c>
      <c r="O1053" s="393" t="s">
        <v>69</v>
      </c>
      <c r="P1053" s="393" t="s">
        <v>69</v>
      </c>
      <c r="Q1053" s="392" t="s">
        <v>572</v>
      </c>
      <c r="R1053" s="392" t="s">
        <v>3390</v>
      </c>
      <c r="S1053" s="392" t="s">
        <v>623</v>
      </c>
      <c r="T1053" s="394">
        <v>1</v>
      </c>
      <c r="U1053" s="395">
        <v>1.587</v>
      </c>
      <c r="V1053" s="395"/>
      <c r="W1053" s="453"/>
      <c r="X1053" s="394"/>
      <c r="Y1053" s="394">
        <v>7</v>
      </c>
      <c r="Z1053" s="394">
        <v>15</v>
      </c>
      <c r="AA1053" s="395">
        <v>0</v>
      </c>
      <c r="AB1053" s="452">
        <v>41275</v>
      </c>
      <c r="AC1053" s="398">
        <v>0</v>
      </c>
      <c r="AD1053" s="398">
        <v>12.700347945205477</v>
      </c>
      <c r="AE1053" s="393" t="s">
        <v>47</v>
      </c>
      <c r="AF1053" s="417"/>
      <c r="AG1053" s="417"/>
      <c r="AH1053" s="417"/>
      <c r="AI1053" s="394"/>
      <c r="AJ1053" s="453"/>
      <c r="AK1053" s="453"/>
      <c r="AL1053" s="393"/>
      <c r="AM1053" s="393"/>
      <c r="AN1053" s="417"/>
      <c r="AO1053" s="392"/>
      <c r="AP1053" s="392" t="s">
        <v>7090</v>
      </c>
      <c r="AQ1053" s="392"/>
      <c r="AR1053" s="392" t="s">
        <v>624</v>
      </c>
      <c r="AS1053" s="479">
        <v>40918</v>
      </c>
      <c r="AT1053" s="397"/>
      <c r="AU1053" s="397"/>
      <c r="AV1053" s="453"/>
      <c r="AW1053" s="453"/>
      <c r="AX1053" s="453"/>
      <c r="AY1053" s="453"/>
      <c r="AZ1053" s="452">
        <v>41232</v>
      </c>
      <c r="BA1053" s="393"/>
      <c r="BB1053" s="393"/>
      <c r="BC1053" s="393" t="b">
        <v>0</v>
      </c>
      <c r="BD1053" s="393"/>
      <c r="BE1053" s="392"/>
      <c r="BF1053" s="394">
        <v>5</v>
      </c>
      <c r="BG1053" s="394">
        <v>6</v>
      </c>
      <c r="BH1053" s="394">
        <v>1</v>
      </c>
      <c r="BI1053" s="394">
        <v>9</v>
      </c>
      <c r="BJ1053" s="394">
        <v>8</v>
      </c>
      <c r="BK1053" s="394"/>
      <c r="BL1053" s="444" t="s">
        <v>6983</v>
      </c>
      <c r="BM1053" s="392"/>
      <c r="BN1053" s="393"/>
      <c r="BO1053" s="393"/>
      <c r="BP1053" s="399"/>
      <c r="BQ1053" s="400"/>
      <c r="BR1053" s="401"/>
      <c r="BS1053" s="399"/>
      <c r="BT1053" s="394"/>
      <c r="BU1053" s="417">
        <v>0.72404999999999997</v>
      </c>
      <c r="BV1053" s="399"/>
      <c r="BW1053" s="393" t="s">
        <v>3117</v>
      </c>
      <c r="BX1053" s="392" t="s">
        <v>1447</v>
      </c>
      <c r="BY1053" s="475" t="s">
        <v>7224</v>
      </c>
      <c r="BZ1053" s="393"/>
      <c r="CA1053" s="441" t="s">
        <v>1662</v>
      </c>
      <c r="CB1053" s="400">
        <v>3</v>
      </c>
      <c r="CC1053" s="398"/>
      <c r="CD1053" s="398"/>
      <c r="CE1053" s="398"/>
      <c r="CF1053" s="398"/>
      <c r="CG1053" s="398"/>
      <c r="CH1053" s="398">
        <v>1.6359999999999999</v>
      </c>
      <c r="CI1053" s="398">
        <v>1.6359999999999999</v>
      </c>
      <c r="CJ1053" s="398">
        <v>1.6359999999999999</v>
      </c>
      <c r="CK1053" s="398">
        <v>1.6359999999999999</v>
      </c>
      <c r="CL1053" s="398">
        <v>1.6359999999999999</v>
      </c>
      <c r="CM1053" s="398">
        <v>1.6359999999999999</v>
      </c>
      <c r="CN1053" s="398">
        <v>1.6359999999999999</v>
      </c>
      <c r="CO1053" s="398"/>
      <c r="CP1053" s="398"/>
      <c r="CQ1053" s="398"/>
      <c r="CR1053" s="398"/>
      <c r="CS1053" s="398"/>
      <c r="CT1053" s="398"/>
      <c r="CU1053" s="398"/>
      <c r="CV1053" s="398"/>
      <c r="CW1053" s="398"/>
      <c r="CX1053" s="398"/>
      <c r="CY1053" s="398"/>
      <c r="CZ1053" s="398"/>
      <c r="DA1053" s="398"/>
      <c r="DB1053" s="398"/>
      <c r="DC1053" s="398"/>
      <c r="DD1053" s="398"/>
      <c r="DE1053" s="393"/>
      <c r="DF1053" s="393"/>
      <c r="DG1053" s="393"/>
      <c r="DH1053" s="393"/>
      <c r="DI1053" s="393"/>
      <c r="DJ1053" s="393"/>
      <c r="DK1053" s="897"/>
    </row>
    <row r="1054" spans="1:115" ht="51" x14ac:dyDescent="0.2">
      <c r="A1054" s="295">
        <v>1050</v>
      </c>
      <c r="B1054" s="390" t="s">
        <v>855</v>
      </c>
      <c r="C1054" s="424" t="s">
        <v>7629</v>
      </c>
      <c r="D1054" s="391" t="s">
        <v>5154</v>
      </c>
      <c r="E1054" s="704" t="s">
        <v>856</v>
      </c>
      <c r="F1054" s="393" t="s">
        <v>1352</v>
      </c>
      <c r="G1054" s="393" t="s">
        <v>1673</v>
      </c>
      <c r="H1054" s="393" t="s">
        <v>42</v>
      </c>
      <c r="I1054" s="392"/>
      <c r="J1054" s="392" t="s">
        <v>42</v>
      </c>
      <c r="K1054" s="392"/>
      <c r="L1054" s="392" t="s">
        <v>857</v>
      </c>
      <c r="M1054" s="392" t="s">
        <v>3391</v>
      </c>
      <c r="N1054" s="393" t="s">
        <v>44</v>
      </c>
      <c r="O1054" s="393" t="s">
        <v>827</v>
      </c>
      <c r="P1054" s="393" t="s">
        <v>827</v>
      </c>
      <c r="Q1054" s="392" t="s">
        <v>836</v>
      </c>
      <c r="R1054" s="392"/>
      <c r="S1054" s="392" t="s">
        <v>291</v>
      </c>
      <c r="T1054" s="394">
        <v>1</v>
      </c>
      <c r="U1054" s="395">
        <v>1.34</v>
      </c>
      <c r="V1054" s="395"/>
      <c r="W1054" s="452">
        <v>41274</v>
      </c>
      <c r="X1054" s="394">
        <v>28</v>
      </c>
      <c r="Y1054" s="394"/>
      <c r="Z1054" s="394"/>
      <c r="AA1054" s="395"/>
      <c r="AB1054" s="453"/>
      <c r="AC1054" s="398">
        <v>0</v>
      </c>
      <c r="AD1054" s="398">
        <v>10.723671232876713</v>
      </c>
      <c r="AE1054" s="393" t="s">
        <v>660</v>
      </c>
      <c r="AF1054" s="417"/>
      <c r="AG1054" s="417"/>
      <c r="AH1054" s="417">
        <v>0</v>
      </c>
      <c r="AI1054" s="394"/>
      <c r="AJ1054" s="453"/>
      <c r="AK1054" s="453"/>
      <c r="AL1054" s="393"/>
      <c r="AM1054" s="393"/>
      <c r="AN1054" s="417"/>
      <c r="AO1054" s="392"/>
      <c r="AP1054" s="428" t="s">
        <v>8092</v>
      </c>
      <c r="AQ1054" s="392"/>
      <c r="AR1054" s="392" t="s">
        <v>3784</v>
      </c>
      <c r="AS1054" s="479">
        <v>40920</v>
      </c>
      <c r="AT1054" s="453"/>
      <c r="AU1054" s="453"/>
      <c r="AV1054" s="452">
        <v>41233</v>
      </c>
      <c r="AW1054" s="452">
        <v>41242</v>
      </c>
      <c r="AX1054" s="452">
        <v>41286</v>
      </c>
      <c r="AY1054" s="452">
        <v>41242</v>
      </c>
      <c r="AZ1054" s="453"/>
      <c r="BA1054" s="393"/>
      <c r="BB1054" s="393" t="s">
        <v>3116</v>
      </c>
      <c r="BC1054" s="393" t="b">
        <v>0</v>
      </c>
      <c r="BD1054" s="393" t="s">
        <v>3147</v>
      </c>
      <c r="BE1054" s="392"/>
      <c r="BF1054" s="394">
        <v>10</v>
      </c>
      <c r="BG1054" s="394">
        <v>9</v>
      </c>
      <c r="BH1054" s="394"/>
      <c r="BI1054" s="394"/>
      <c r="BJ1054" s="394"/>
      <c r="BK1054" s="394"/>
      <c r="BL1054" s="444"/>
      <c r="BM1054" s="392"/>
      <c r="BN1054" s="393"/>
      <c r="BO1054" s="393"/>
      <c r="BP1054" s="399"/>
      <c r="BQ1054" s="400"/>
      <c r="BR1054" s="401"/>
      <c r="BS1054" s="399">
        <v>1</v>
      </c>
      <c r="BT1054" s="394"/>
      <c r="BU1054" s="417"/>
      <c r="BV1054" s="399"/>
      <c r="BW1054" s="393"/>
      <c r="BX1054" s="392"/>
      <c r="BY1054" s="475" t="s">
        <v>7224</v>
      </c>
      <c r="BZ1054" s="393"/>
      <c r="CA1054" s="441"/>
      <c r="CB1054" s="400"/>
      <c r="CC1054" s="398"/>
      <c r="CD1054" s="398"/>
      <c r="CE1054" s="398"/>
      <c r="CF1054" s="398"/>
      <c r="CG1054" s="398"/>
      <c r="CH1054" s="398"/>
      <c r="CI1054" s="398"/>
      <c r="CJ1054" s="398"/>
      <c r="CK1054" s="398"/>
      <c r="CL1054" s="398"/>
      <c r="CM1054" s="398"/>
      <c r="CN1054" s="398"/>
      <c r="CO1054" s="398"/>
      <c r="CP1054" s="398"/>
      <c r="CQ1054" s="398"/>
      <c r="CR1054" s="398"/>
      <c r="CS1054" s="398"/>
      <c r="CT1054" s="398"/>
      <c r="CU1054" s="398"/>
      <c r="CV1054" s="398"/>
      <c r="CW1054" s="398"/>
      <c r="CX1054" s="398"/>
      <c r="CY1054" s="398"/>
      <c r="CZ1054" s="398"/>
      <c r="DA1054" s="398"/>
      <c r="DB1054" s="398"/>
      <c r="DC1054" s="398"/>
      <c r="DD1054" s="398"/>
      <c r="DE1054" s="393"/>
      <c r="DF1054" s="393"/>
      <c r="DG1054" s="393"/>
      <c r="DH1054" s="393"/>
      <c r="DI1054" s="393"/>
      <c r="DJ1054" s="393"/>
      <c r="DK1054" s="896" t="s">
        <v>9727</v>
      </c>
    </row>
    <row r="1055" spans="1:115" ht="25.5" x14ac:dyDescent="0.2">
      <c r="A1055" s="295">
        <v>1051</v>
      </c>
      <c r="B1055" s="390" t="s">
        <v>2801</v>
      </c>
      <c r="C1055" s="390"/>
      <c r="D1055" s="391" t="s">
        <v>4479</v>
      </c>
      <c r="E1055" s="704" t="s">
        <v>858</v>
      </c>
      <c r="F1055" s="393" t="s">
        <v>1352</v>
      </c>
      <c r="G1055" s="393" t="s">
        <v>1673</v>
      </c>
      <c r="H1055" s="393" t="s">
        <v>42</v>
      </c>
      <c r="I1055" s="392"/>
      <c r="J1055" s="392"/>
      <c r="K1055" s="392" t="s">
        <v>2210</v>
      </c>
      <c r="L1055" s="392" t="s">
        <v>857</v>
      </c>
      <c r="M1055" s="392"/>
      <c r="N1055" s="393" t="s">
        <v>44</v>
      </c>
      <c r="O1055" s="393" t="s">
        <v>827</v>
      </c>
      <c r="P1055" s="393" t="s">
        <v>827</v>
      </c>
      <c r="Q1055" s="392" t="s">
        <v>836</v>
      </c>
      <c r="R1055" s="392" t="s">
        <v>3392</v>
      </c>
      <c r="S1055" s="392" t="s">
        <v>291</v>
      </c>
      <c r="T1055" s="394">
        <v>1</v>
      </c>
      <c r="U1055" s="395">
        <v>1.34</v>
      </c>
      <c r="V1055" s="395"/>
      <c r="W1055" s="453"/>
      <c r="X1055" s="394"/>
      <c r="Y1055" s="394">
        <v>7</v>
      </c>
      <c r="Z1055" s="394">
        <v>25</v>
      </c>
      <c r="AA1055" s="395">
        <v>0</v>
      </c>
      <c r="AB1055" s="452">
        <v>41275</v>
      </c>
      <c r="AC1055" s="398">
        <v>0</v>
      </c>
      <c r="AD1055" s="398">
        <v>10.723671232876713</v>
      </c>
      <c r="AE1055" s="393" t="s">
        <v>660</v>
      </c>
      <c r="AF1055" s="417"/>
      <c r="AG1055" s="417"/>
      <c r="AH1055" s="417"/>
      <c r="AI1055" s="394"/>
      <c r="AJ1055" s="453"/>
      <c r="AK1055" s="453"/>
      <c r="AL1055" s="393"/>
      <c r="AM1055" s="393"/>
      <c r="AN1055" s="417"/>
      <c r="AO1055" s="392"/>
      <c r="AP1055" s="428" t="s">
        <v>8092</v>
      </c>
      <c r="AQ1055" s="392"/>
      <c r="AR1055" s="392" t="s">
        <v>3784</v>
      </c>
      <c r="AS1055" s="479">
        <v>40920</v>
      </c>
      <c r="AT1055" s="453"/>
      <c r="AU1055" s="453"/>
      <c r="AV1055" s="453"/>
      <c r="AW1055" s="453"/>
      <c r="AX1055" s="453"/>
      <c r="AY1055" s="453"/>
      <c r="AZ1055" s="452">
        <v>41242</v>
      </c>
      <c r="BA1055" s="393"/>
      <c r="BB1055" s="393"/>
      <c r="BC1055" s="393" t="b">
        <v>0</v>
      </c>
      <c r="BD1055" s="393"/>
      <c r="BE1055" s="392"/>
      <c r="BF1055" s="394">
        <v>10</v>
      </c>
      <c r="BG1055" s="394">
        <v>9</v>
      </c>
      <c r="BH1055" s="394"/>
      <c r="BI1055" s="394"/>
      <c r="BJ1055" s="394"/>
      <c r="BK1055" s="394"/>
      <c r="BL1055" s="444" t="s">
        <v>6981</v>
      </c>
      <c r="BM1055" s="392"/>
      <c r="BN1055" s="393"/>
      <c r="BO1055" s="393"/>
      <c r="BP1055" s="399"/>
      <c r="BQ1055" s="400"/>
      <c r="BR1055" s="401"/>
      <c r="BS1055" s="399">
        <v>1</v>
      </c>
      <c r="BT1055" s="394">
        <v>1664</v>
      </c>
      <c r="BU1055" s="417">
        <v>0.93025000000000002</v>
      </c>
      <c r="BV1055" s="399"/>
      <c r="BW1055" s="393" t="s">
        <v>3117</v>
      </c>
      <c r="BX1055" s="392" t="s">
        <v>1520</v>
      </c>
      <c r="BY1055" s="475" t="s">
        <v>7224</v>
      </c>
      <c r="BZ1055" s="393"/>
      <c r="CA1055" s="441"/>
      <c r="CB1055" s="400"/>
      <c r="CC1055" s="398"/>
      <c r="CD1055" s="398"/>
      <c r="CE1055" s="398"/>
      <c r="CF1055" s="398"/>
      <c r="CG1055" s="398"/>
      <c r="CH1055" s="398"/>
      <c r="CI1055" s="398">
        <v>1.573</v>
      </c>
      <c r="CJ1055" s="398">
        <v>1.573</v>
      </c>
      <c r="CK1055" s="398">
        <v>1.573</v>
      </c>
      <c r="CL1055" s="398">
        <v>1.573</v>
      </c>
      <c r="CM1055" s="398">
        <v>1.573</v>
      </c>
      <c r="CN1055" s="398">
        <v>1.573</v>
      </c>
      <c r="CO1055" s="398">
        <v>1.573</v>
      </c>
      <c r="CP1055" s="398"/>
      <c r="CQ1055" s="398"/>
      <c r="CR1055" s="398"/>
      <c r="CS1055" s="398"/>
      <c r="CT1055" s="398"/>
      <c r="CU1055" s="398"/>
      <c r="CV1055" s="398"/>
      <c r="CW1055" s="398"/>
      <c r="CX1055" s="398"/>
      <c r="CY1055" s="398"/>
      <c r="CZ1055" s="398"/>
      <c r="DA1055" s="398"/>
      <c r="DB1055" s="398"/>
      <c r="DC1055" s="398"/>
      <c r="DD1055" s="398"/>
      <c r="DE1055" s="393"/>
      <c r="DF1055" s="393"/>
      <c r="DG1055" s="393"/>
      <c r="DH1055" s="393"/>
      <c r="DI1055" s="393"/>
      <c r="DJ1055" s="393"/>
      <c r="DK1055" s="897"/>
    </row>
    <row r="1056" spans="1:115" ht="51" x14ac:dyDescent="0.2">
      <c r="A1056" s="295">
        <v>1052</v>
      </c>
      <c r="B1056" s="390" t="s">
        <v>987</v>
      </c>
      <c r="C1056" s="424" t="s">
        <v>7630</v>
      </c>
      <c r="D1056" s="391" t="s">
        <v>6641</v>
      </c>
      <c r="E1056" s="704" t="s">
        <v>982</v>
      </c>
      <c r="F1056" s="393" t="s">
        <v>1375</v>
      </c>
      <c r="G1056" s="393" t="s">
        <v>1668</v>
      </c>
      <c r="H1056" s="393" t="s">
        <v>983</v>
      </c>
      <c r="I1056" s="392"/>
      <c r="J1056" s="392" t="s">
        <v>983</v>
      </c>
      <c r="K1056" s="392"/>
      <c r="L1056" s="392" t="s">
        <v>984</v>
      </c>
      <c r="M1056" s="392" t="s">
        <v>3333</v>
      </c>
      <c r="N1056" s="393" t="s">
        <v>44</v>
      </c>
      <c r="O1056" s="393" t="s">
        <v>51</v>
      </c>
      <c r="P1056" s="393" t="s">
        <v>51</v>
      </c>
      <c r="Q1056" s="392" t="s">
        <v>976</v>
      </c>
      <c r="R1056" s="392"/>
      <c r="S1056" s="392" t="s">
        <v>977</v>
      </c>
      <c r="T1056" s="394">
        <v>1</v>
      </c>
      <c r="U1056" s="395">
        <v>36.167000000000002</v>
      </c>
      <c r="V1056" s="395"/>
      <c r="W1056" s="452">
        <v>41091</v>
      </c>
      <c r="X1056" s="394">
        <v>28</v>
      </c>
      <c r="Y1056" s="394"/>
      <c r="Z1056" s="394"/>
      <c r="AA1056" s="395"/>
      <c r="AB1056" s="453"/>
      <c r="AC1056" s="398">
        <v>22.512267999999999</v>
      </c>
      <c r="AD1056" s="398">
        <v>307.66721917808218</v>
      </c>
      <c r="AE1056" s="393" t="s">
        <v>96</v>
      </c>
      <c r="AF1056" s="417"/>
      <c r="AG1056" s="417"/>
      <c r="AH1056" s="417">
        <v>0</v>
      </c>
      <c r="AI1056" s="394"/>
      <c r="AJ1056" s="453"/>
      <c r="AK1056" s="453"/>
      <c r="AL1056" s="393"/>
      <c r="AM1056" s="393"/>
      <c r="AN1056" s="417"/>
      <c r="AO1056" s="392"/>
      <c r="AP1056" s="392" t="s">
        <v>7085</v>
      </c>
      <c r="AQ1056" s="392"/>
      <c r="AR1056" s="392" t="s">
        <v>988</v>
      </c>
      <c r="AS1056" s="479">
        <v>40920</v>
      </c>
      <c r="AT1056" s="453"/>
      <c r="AU1056" s="453" t="s">
        <v>981</v>
      </c>
      <c r="AV1056" s="452">
        <v>41342</v>
      </c>
      <c r="AW1056" s="452">
        <v>41929</v>
      </c>
      <c r="AX1056" s="452">
        <v>41964</v>
      </c>
      <c r="AY1056" s="452">
        <v>41929</v>
      </c>
      <c r="AZ1056" s="453"/>
      <c r="BA1056" s="393"/>
      <c r="BB1056" s="393" t="s">
        <v>3116</v>
      </c>
      <c r="BC1056" s="393" t="b">
        <v>0</v>
      </c>
      <c r="BD1056" s="393" t="s">
        <v>3147</v>
      </c>
      <c r="BE1056" s="392"/>
      <c r="BF1056" s="394">
        <v>1</v>
      </c>
      <c r="BG1056" s="394">
        <v>6</v>
      </c>
      <c r="BH1056" s="394">
        <v>9</v>
      </c>
      <c r="BI1056" s="394">
        <v>8</v>
      </c>
      <c r="BJ1056" s="394">
        <v>5</v>
      </c>
      <c r="BK1056" s="394"/>
      <c r="BL1056" s="444"/>
      <c r="BM1056" s="392"/>
      <c r="BN1056" s="393"/>
      <c r="BO1056" s="393"/>
      <c r="BP1056" s="399"/>
      <c r="BQ1056" s="400"/>
      <c r="BR1056" s="401"/>
      <c r="BS1056" s="399">
        <v>0</v>
      </c>
      <c r="BT1056" s="394"/>
      <c r="BU1056" s="417"/>
      <c r="BV1056" s="399"/>
      <c r="BW1056" s="393"/>
      <c r="BX1056" s="392"/>
      <c r="BY1056" s="393"/>
      <c r="BZ1056" s="475" t="s">
        <v>3165</v>
      </c>
      <c r="CA1056" s="441"/>
      <c r="CB1056" s="400"/>
      <c r="CC1056" s="398"/>
      <c r="CD1056" s="398"/>
      <c r="CE1056" s="398"/>
      <c r="CF1056" s="398"/>
      <c r="CG1056" s="398"/>
      <c r="CH1056" s="398"/>
      <c r="CI1056" s="398"/>
      <c r="CJ1056" s="398"/>
      <c r="CK1056" s="398"/>
      <c r="CL1056" s="398"/>
      <c r="CM1056" s="398"/>
      <c r="CN1056" s="398"/>
      <c r="CO1056" s="398"/>
      <c r="CP1056" s="398"/>
      <c r="CQ1056" s="398"/>
      <c r="CR1056" s="398"/>
      <c r="CS1056" s="398"/>
      <c r="CT1056" s="398"/>
      <c r="CU1056" s="398"/>
      <c r="CV1056" s="398"/>
      <c r="CW1056" s="398"/>
      <c r="CX1056" s="398"/>
      <c r="CY1056" s="398"/>
      <c r="CZ1056" s="398"/>
      <c r="DA1056" s="398"/>
      <c r="DB1056" s="398"/>
      <c r="DC1056" s="398"/>
      <c r="DD1056" s="398"/>
      <c r="DE1056" s="393"/>
      <c r="DF1056" s="393"/>
      <c r="DG1056" s="393"/>
      <c r="DH1056" s="393"/>
      <c r="DI1056" s="393"/>
      <c r="DJ1056" s="393"/>
      <c r="DK1056" s="896" t="s">
        <v>9755</v>
      </c>
    </row>
    <row r="1057" spans="1:115" ht="38.25" x14ac:dyDescent="0.2">
      <c r="A1057" s="295">
        <v>1053</v>
      </c>
      <c r="B1057" s="390" t="s">
        <v>2802</v>
      </c>
      <c r="C1057" s="390"/>
      <c r="D1057" s="391" t="s">
        <v>6642</v>
      </c>
      <c r="E1057" s="704" t="s">
        <v>986</v>
      </c>
      <c r="F1057" s="393" t="s">
        <v>1375</v>
      </c>
      <c r="G1057" s="393" t="s">
        <v>1668</v>
      </c>
      <c r="H1057" s="393" t="s">
        <v>983</v>
      </c>
      <c r="I1057" s="392"/>
      <c r="J1057" s="392"/>
      <c r="K1057" s="392" t="s">
        <v>2192</v>
      </c>
      <c r="L1057" s="392" t="s">
        <v>984</v>
      </c>
      <c r="M1057" s="392"/>
      <c r="N1057" s="393" t="s">
        <v>44</v>
      </c>
      <c r="O1057" s="393" t="s">
        <v>51</v>
      </c>
      <c r="P1057" s="393" t="s">
        <v>51</v>
      </c>
      <c r="Q1057" s="392" t="s">
        <v>976</v>
      </c>
      <c r="R1057" s="392" t="s">
        <v>3393</v>
      </c>
      <c r="S1057" s="392" t="s">
        <v>977</v>
      </c>
      <c r="T1057" s="394">
        <v>1</v>
      </c>
      <c r="U1057" s="395">
        <v>36.167000000000002</v>
      </c>
      <c r="V1057" s="395"/>
      <c r="W1057" s="453"/>
      <c r="X1057" s="394"/>
      <c r="Y1057" s="394">
        <v>7</v>
      </c>
      <c r="Z1057" s="394">
        <v>21</v>
      </c>
      <c r="AA1057" s="395">
        <v>0</v>
      </c>
      <c r="AB1057" s="452">
        <v>41091</v>
      </c>
      <c r="AC1057" s="398">
        <v>22.512267999999999</v>
      </c>
      <c r="AD1057" s="398">
        <v>307.66721917808218</v>
      </c>
      <c r="AE1057" s="393" t="s">
        <v>96</v>
      </c>
      <c r="AF1057" s="417"/>
      <c r="AG1057" s="417"/>
      <c r="AH1057" s="417"/>
      <c r="AI1057" s="394"/>
      <c r="AJ1057" s="453"/>
      <c r="AK1057" s="453"/>
      <c r="AL1057" s="393"/>
      <c r="AM1057" s="393"/>
      <c r="AN1057" s="417"/>
      <c r="AO1057" s="392"/>
      <c r="AP1057" s="392" t="s">
        <v>7085</v>
      </c>
      <c r="AQ1057" s="392"/>
      <c r="AR1057" s="392" t="s">
        <v>988</v>
      </c>
      <c r="AS1057" s="479">
        <v>40920</v>
      </c>
      <c r="AT1057" s="453"/>
      <c r="AU1057" s="453" t="s">
        <v>2773</v>
      </c>
      <c r="AV1057" s="453"/>
      <c r="AW1057" s="453"/>
      <c r="AX1057" s="453"/>
      <c r="AY1057" s="453"/>
      <c r="AZ1057" s="452">
        <v>41929</v>
      </c>
      <c r="BA1057" s="393"/>
      <c r="BB1057" s="393"/>
      <c r="BC1057" s="393" t="b">
        <v>0</v>
      </c>
      <c r="BD1057" s="393"/>
      <c r="BE1057" s="392"/>
      <c r="BF1057" s="394">
        <v>1</v>
      </c>
      <c r="BG1057" s="394">
        <v>6</v>
      </c>
      <c r="BH1057" s="394">
        <v>9</v>
      </c>
      <c r="BI1057" s="394">
        <v>8</v>
      </c>
      <c r="BJ1057" s="394">
        <v>5</v>
      </c>
      <c r="BK1057" s="394"/>
      <c r="BL1057" s="444" t="s">
        <v>6982</v>
      </c>
      <c r="BM1057" s="392" t="s">
        <v>992</v>
      </c>
      <c r="BN1057" s="393" t="s">
        <v>3303</v>
      </c>
      <c r="BO1057" s="393"/>
      <c r="BP1057" s="399"/>
      <c r="BQ1057" s="400"/>
      <c r="BR1057" s="401"/>
      <c r="BS1057" s="399"/>
      <c r="BT1057" s="394"/>
      <c r="BU1057" s="417"/>
      <c r="BV1057" s="399">
        <v>179.76</v>
      </c>
      <c r="BW1057" s="393" t="s">
        <v>3117</v>
      </c>
      <c r="BX1057" s="392" t="s">
        <v>3714</v>
      </c>
      <c r="BY1057" s="393"/>
      <c r="BZ1057" s="475" t="s">
        <v>3165</v>
      </c>
      <c r="CA1057" s="441" t="s">
        <v>1664</v>
      </c>
      <c r="CB1057" s="400"/>
      <c r="CC1057" s="398"/>
      <c r="CD1057" s="398"/>
      <c r="CE1057" s="398"/>
      <c r="CF1057" s="398"/>
      <c r="CG1057" s="398"/>
      <c r="CH1057" s="398">
        <v>44.756</v>
      </c>
      <c r="CI1057" s="398">
        <v>44.756</v>
      </c>
      <c r="CJ1057" s="398">
        <v>44.756</v>
      </c>
      <c r="CK1057" s="398">
        <v>44.756</v>
      </c>
      <c r="CL1057" s="398">
        <v>44.756</v>
      </c>
      <c r="CM1057" s="398">
        <v>44.756</v>
      </c>
      <c r="CN1057" s="398">
        <v>44.756</v>
      </c>
      <c r="CO1057" s="398"/>
      <c r="CP1057" s="398"/>
      <c r="CQ1057" s="398"/>
      <c r="CR1057" s="398"/>
      <c r="CS1057" s="398"/>
      <c r="CT1057" s="398"/>
      <c r="CU1057" s="398"/>
      <c r="CV1057" s="398"/>
      <c r="CW1057" s="398"/>
      <c r="CX1057" s="398"/>
      <c r="CY1057" s="398"/>
      <c r="CZ1057" s="398"/>
      <c r="DA1057" s="398"/>
      <c r="DB1057" s="398"/>
      <c r="DC1057" s="398"/>
      <c r="DD1057" s="398"/>
      <c r="DE1057" s="393"/>
      <c r="DF1057" s="393"/>
      <c r="DG1057" s="393"/>
      <c r="DH1057" s="393"/>
      <c r="DI1057" s="393"/>
      <c r="DJ1057" s="393"/>
      <c r="DK1057" s="897"/>
    </row>
    <row r="1058" spans="1:115" ht="51" x14ac:dyDescent="0.2">
      <c r="A1058" s="295">
        <v>1054</v>
      </c>
      <c r="B1058" s="390" t="s">
        <v>995</v>
      </c>
      <c r="C1058" s="424" t="s">
        <v>7631</v>
      </c>
      <c r="D1058" s="391" t="s">
        <v>5155</v>
      </c>
      <c r="E1058" s="704" t="s">
        <v>990</v>
      </c>
      <c r="F1058" s="393" t="s">
        <v>1375</v>
      </c>
      <c r="G1058" s="393" t="s">
        <v>1670</v>
      </c>
      <c r="H1058" s="393" t="s">
        <v>991</v>
      </c>
      <c r="I1058" s="392" t="s">
        <v>1378</v>
      </c>
      <c r="J1058" s="392" t="s">
        <v>2211</v>
      </c>
      <c r="K1058" s="392"/>
      <c r="L1058" s="392" t="s">
        <v>992</v>
      </c>
      <c r="M1058" s="392" t="s">
        <v>3328</v>
      </c>
      <c r="N1058" s="393" t="s">
        <v>44</v>
      </c>
      <c r="O1058" s="393" t="s">
        <v>51</v>
      </c>
      <c r="P1058" s="393" t="s">
        <v>51</v>
      </c>
      <c r="Q1058" s="392" t="s">
        <v>976</v>
      </c>
      <c r="R1058" s="392"/>
      <c r="S1058" s="392" t="s">
        <v>977</v>
      </c>
      <c r="T1058" s="394">
        <v>3</v>
      </c>
      <c r="U1058" s="395">
        <v>114.58</v>
      </c>
      <c r="V1058" s="395"/>
      <c r="W1058" s="452">
        <v>40880</v>
      </c>
      <c r="X1058" s="394">
        <v>28</v>
      </c>
      <c r="Y1058" s="394"/>
      <c r="Z1058" s="394"/>
      <c r="AA1058" s="395"/>
      <c r="AB1058" s="453"/>
      <c r="AC1058" s="398">
        <v>0</v>
      </c>
      <c r="AD1058" s="398">
        <v>818.00219178082193</v>
      </c>
      <c r="AE1058" s="393" t="s">
        <v>96</v>
      </c>
      <c r="AF1058" s="417"/>
      <c r="AG1058" s="417"/>
      <c r="AH1058" s="417">
        <v>5.42</v>
      </c>
      <c r="AI1058" s="394"/>
      <c r="AJ1058" s="453"/>
      <c r="AK1058" s="453"/>
      <c r="AL1058" s="393"/>
      <c r="AM1058" s="393"/>
      <c r="AN1058" s="417"/>
      <c r="AO1058" s="392"/>
      <c r="AP1058" s="428" t="s">
        <v>7071</v>
      </c>
      <c r="AQ1058" s="392"/>
      <c r="AR1058" s="392" t="s">
        <v>988</v>
      </c>
      <c r="AS1058" s="479">
        <v>40920</v>
      </c>
      <c r="AT1058" s="453"/>
      <c r="AU1058" s="453"/>
      <c r="AV1058" s="452">
        <v>40980</v>
      </c>
      <c r="AW1058" s="452">
        <v>41255</v>
      </c>
      <c r="AX1058" s="453"/>
      <c r="AY1058" s="452">
        <v>41262</v>
      </c>
      <c r="AZ1058" s="453"/>
      <c r="BA1058" s="393"/>
      <c r="BB1058" s="393" t="s">
        <v>3116</v>
      </c>
      <c r="BC1058" s="393" t="b">
        <v>0</v>
      </c>
      <c r="BD1058" s="393" t="s">
        <v>3147</v>
      </c>
      <c r="BE1058" s="392"/>
      <c r="BF1058" s="394">
        <v>8</v>
      </c>
      <c r="BG1058" s="394">
        <v>1</v>
      </c>
      <c r="BH1058" s="394">
        <v>6</v>
      </c>
      <c r="BI1058" s="394">
        <v>9</v>
      </c>
      <c r="BJ1058" s="394">
        <v>5</v>
      </c>
      <c r="BK1058" s="394"/>
      <c r="BL1058" s="444"/>
      <c r="BM1058" s="392"/>
      <c r="BN1058" s="393"/>
      <c r="BO1058" s="393"/>
      <c r="BP1058" s="399"/>
      <c r="BQ1058" s="400"/>
      <c r="BR1058" s="401"/>
      <c r="BS1058" s="399">
        <v>0</v>
      </c>
      <c r="BT1058" s="394"/>
      <c r="BU1058" s="417"/>
      <c r="BV1058" s="399"/>
      <c r="BW1058" s="393"/>
      <c r="BX1058" s="392"/>
      <c r="BY1058" s="475" t="s">
        <v>7227</v>
      </c>
      <c r="BZ1058" s="475" t="s">
        <v>3165</v>
      </c>
      <c r="CA1058" s="441"/>
      <c r="CB1058" s="400"/>
      <c r="CC1058" s="398"/>
      <c r="CD1058" s="398"/>
      <c r="CE1058" s="398"/>
      <c r="CF1058" s="398"/>
      <c r="CG1058" s="398"/>
      <c r="CH1058" s="398"/>
      <c r="CI1058" s="398"/>
      <c r="CJ1058" s="398"/>
      <c r="CK1058" s="398"/>
      <c r="CL1058" s="398"/>
      <c r="CM1058" s="398"/>
      <c r="CN1058" s="398"/>
      <c r="CO1058" s="398"/>
      <c r="CP1058" s="398"/>
      <c r="CQ1058" s="398"/>
      <c r="CR1058" s="398"/>
      <c r="CS1058" s="398"/>
      <c r="CT1058" s="398"/>
      <c r="CU1058" s="398"/>
      <c r="CV1058" s="398"/>
      <c r="CW1058" s="398"/>
      <c r="CX1058" s="398"/>
      <c r="CY1058" s="398"/>
      <c r="CZ1058" s="398"/>
      <c r="DA1058" s="398"/>
      <c r="DB1058" s="398"/>
      <c r="DC1058" s="398"/>
      <c r="DD1058" s="398"/>
      <c r="DE1058" s="393"/>
      <c r="DF1058" s="393"/>
      <c r="DG1058" s="393"/>
      <c r="DH1058" s="393"/>
      <c r="DI1058" s="393"/>
      <c r="DJ1058" s="393"/>
      <c r="DK1058" s="896" t="s">
        <v>9723</v>
      </c>
    </row>
    <row r="1059" spans="1:115" ht="38.25" x14ac:dyDescent="0.2">
      <c r="A1059" s="295">
        <v>1055</v>
      </c>
      <c r="B1059" s="390" t="s">
        <v>2803</v>
      </c>
      <c r="C1059" s="390"/>
      <c r="D1059" s="391" t="s">
        <v>4618</v>
      </c>
      <c r="E1059" s="704" t="s">
        <v>993</v>
      </c>
      <c r="F1059" s="393" t="s">
        <v>1375</v>
      </c>
      <c r="G1059" s="393" t="s">
        <v>1670</v>
      </c>
      <c r="H1059" s="393" t="s">
        <v>991</v>
      </c>
      <c r="I1059" s="392"/>
      <c r="J1059" s="392"/>
      <c r="K1059" s="392" t="s">
        <v>2212</v>
      </c>
      <c r="L1059" s="392" t="s">
        <v>992</v>
      </c>
      <c r="M1059" s="392"/>
      <c r="N1059" s="393" t="s">
        <v>44</v>
      </c>
      <c r="O1059" s="393" t="s">
        <v>51</v>
      </c>
      <c r="P1059" s="393" t="s">
        <v>51</v>
      </c>
      <c r="Q1059" s="392" t="s">
        <v>976</v>
      </c>
      <c r="R1059" s="392" t="s">
        <v>3394</v>
      </c>
      <c r="S1059" s="392" t="s">
        <v>977</v>
      </c>
      <c r="T1059" s="394">
        <v>1</v>
      </c>
      <c r="U1059" s="395">
        <v>46.716000000000001</v>
      </c>
      <c r="V1059" s="395"/>
      <c r="W1059" s="453"/>
      <c r="X1059" s="394"/>
      <c r="Y1059" s="394">
        <v>7</v>
      </c>
      <c r="Z1059" s="394">
        <v>21</v>
      </c>
      <c r="AA1059" s="395">
        <v>0</v>
      </c>
      <c r="AB1059" s="452">
        <v>41456</v>
      </c>
      <c r="AC1059" s="398">
        <v>0</v>
      </c>
      <c r="AD1059" s="398">
        <v>350.68997260273972</v>
      </c>
      <c r="AE1059" s="393" t="s">
        <v>96</v>
      </c>
      <c r="AF1059" s="417"/>
      <c r="AG1059" s="417"/>
      <c r="AH1059" s="417"/>
      <c r="AI1059" s="394"/>
      <c r="AJ1059" s="453"/>
      <c r="AK1059" s="453"/>
      <c r="AL1059" s="393"/>
      <c r="AM1059" s="393"/>
      <c r="AN1059" s="417"/>
      <c r="AO1059" s="392"/>
      <c r="AP1059" s="428" t="s">
        <v>7071</v>
      </c>
      <c r="AQ1059" s="392"/>
      <c r="AR1059" s="392" t="s">
        <v>988</v>
      </c>
      <c r="AS1059" s="479">
        <v>40920</v>
      </c>
      <c r="AT1059" s="453"/>
      <c r="AU1059" s="453"/>
      <c r="AV1059" s="453"/>
      <c r="AW1059" s="453"/>
      <c r="AX1059" s="453"/>
      <c r="AY1059" s="453"/>
      <c r="AZ1059" s="452">
        <v>41262</v>
      </c>
      <c r="BA1059" s="393"/>
      <c r="BB1059" s="393"/>
      <c r="BC1059" s="393" t="b">
        <v>0</v>
      </c>
      <c r="BD1059" s="393"/>
      <c r="BE1059" s="392"/>
      <c r="BF1059" s="394">
        <v>8</v>
      </c>
      <c r="BG1059" s="394">
        <v>1</v>
      </c>
      <c r="BH1059" s="394">
        <v>6</v>
      </c>
      <c r="BI1059" s="394">
        <v>9</v>
      </c>
      <c r="BJ1059" s="394">
        <v>5</v>
      </c>
      <c r="BK1059" s="394"/>
      <c r="BL1059" s="444" t="s">
        <v>6982</v>
      </c>
      <c r="BM1059" s="392" t="s">
        <v>992</v>
      </c>
      <c r="BN1059" s="393" t="s">
        <v>3303</v>
      </c>
      <c r="BO1059" s="393"/>
      <c r="BP1059" s="399"/>
      <c r="BQ1059" s="400"/>
      <c r="BR1059" s="401"/>
      <c r="BS1059" s="399"/>
      <c r="BT1059" s="394"/>
      <c r="BU1059" s="417"/>
      <c r="BV1059" s="399"/>
      <c r="BW1059" s="393" t="s">
        <v>3117</v>
      </c>
      <c r="BX1059" s="392" t="s">
        <v>3714</v>
      </c>
      <c r="BY1059" s="475" t="s">
        <v>7227</v>
      </c>
      <c r="BZ1059" s="475"/>
      <c r="CA1059" s="441" t="s">
        <v>1664</v>
      </c>
      <c r="CB1059" s="400"/>
      <c r="CC1059" s="398"/>
      <c r="CD1059" s="398"/>
      <c r="CE1059" s="398"/>
      <c r="CF1059" s="398"/>
      <c r="CG1059" s="398"/>
      <c r="CH1059" s="398">
        <v>45.209000000000003</v>
      </c>
      <c r="CI1059" s="398">
        <v>45.209000000000003</v>
      </c>
      <c r="CJ1059" s="398">
        <v>45.209000000000003</v>
      </c>
      <c r="CK1059" s="398">
        <v>45.209000000000003</v>
      </c>
      <c r="CL1059" s="398">
        <v>45.209000000000003</v>
      </c>
      <c r="CM1059" s="398">
        <v>45.209000000000003</v>
      </c>
      <c r="CN1059" s="398">
        <v>45.209000000000003</v>
      </c>
      <c r="CO1059" s="398"/>
      <c r="CP1059" s="398"/>
      <c r="CQ1059" s="398"/>
      <c r="CR1059" s="398"/>
      <c r="CS1059" s="398"/>
      <c r="CT1059" s="398"/>
      <c r="CU1059" s="398"/>
      <c r="CV1059" s="398"/>
      <c r="CW1059" s="398"/>
      <c r="CX1059" s="398"/>
      <c r="CY1059" s="398"/>
      <c r="CZ1059" s="398"/>
      <c r="DA1059" s="398"/>
      <c r="DB1059" s="398"/>
      <c r="DC1059" s="398"/>
      <c r="DD1059" s="398"/>
      <c r="DE1059" s="393"/>
      <c r="DF1059" s="393"/>
      <c r="DG1059" s="393"/>
      <c r="DH1059" s="393"/>
      <c r="DI1059" s="393"/>
      <c r="DJ1059" s="393"/>
      <c r="DK1059" s="897"/>
    </row>
    <row r="1060" spans="1:115" ht="38.25" x14ac:dyDescent="0.2">
      <c r="A1060" s="295">
        <v>1056</v>
      </c>
      <c r="B1060" s="390" t="s">
        <v>5806</v>
      </c>
      <c r="C1060" s="390"/>
      <c r="D1060" s="391" t="s">
        <v>5807</v>
      </c>
      <c r="E1060" s="704" t="s">
        <v>5808</v>
      </c>
      <c r="F1060" s="393" t="s">
        <v>1375</v>
      </c>
      <c r="G1060" s="393" t="s">
        <v>1670</v>
      </c>
      <c r="H1060" s="393" t="s">
        <v>991</v>
      </c>
      <c r="I1060" s="392"/>
      <c r="J1060" s="392"/>
      <c r="K1060" s="392" t="s">
        <v>2212</v>
      </c>
      <c r="L1060" s="392" t="s">
        <v>992</v>
      </c>
      <c r="M1060" s="392"/>
      <c r="N1060" s="393" t="s">
        <v>44</v>
      </c>
      <c r="O1060" s="393" t="s">
        <v>51</v>
      </c>
      <c r="P1060" s="393" t="s">
        <v>51</v>
      </c>
      <c r="Q1060" s="392" t="s">
        <v>976</v>
      </c>
      <c r="R1060" s="392" t="s">
        <v>5809</v>
      </c>
      <c r="S1060" s="392" t="s">
        <v>977</v>
      </c>
      <c r="T1060" s="394">
        <v>1</v>
      </c>
      <c r="U1060" s="395">
        <v>39.734000000000002</v>
      </c>
      <c r="V1060" s="395"/>
      <c r="W1060" s="453"/>
      <c r="X1060" s="394"/>
      <c r="Y1060" s="394">
        <v>7</v>
      </c>
      <c r="Z1060" s="394">
        <v>21</v>
      </c>
      <c r="AA1060" s="395">
        <v>0</v>
      </c>
      <c r="AB1060" s="452">
        <v>41671</v>
      </c>
      <c r="AC1060" s="398">
        <v>0</v>
      </c>
      <c r="AD1060" s="398">
        <v>274.87219178082194</v>
      </c>
      <c r="AE1060" s="393" t="s">
        <v>96</v>
      </c>
      <c r="AF1060" s="417"/>
      <c r="AG1060" s="417"/>
      <c r="AH1060" s="417"/>
      <c r="AI1060" s="394"/>
      <c r="AJ1060" s="453"/>
      <c r="AK1060" s="453"/>
      <c r="AL1060" s="393"/>
      <c r="AM1060" s="393"/>
      <c r="AN1060" s="417"/>
      <c r="AO1060" s="392"/>
      <c r="AP1060" s="392"/>
      <c r="AQ1060" s="392"/>
      <c r="AR1060" s="392" t="s">
        <v>988</v>
      </c>
      <c r="AS1060" s="479">
        <v>40920</v>
      </c>
      <c r="AT1060" s="397"/>
      <c r="AU1060" s="397"/>
      <c r="AV1060" s="453"/>
      <c r="AW1060" s="453"/>
      <c r="AX1060" s="397"/>
      <c r="AY1060" s="453"/>
      <c r="AZ1060" s="452">
        <v>41655</v>
      </c>
      <c r="BA1060" s="393"/>
      <c r="BB1060" s="393"/>
      <c r="BC1060" s="393" t="b">
        <v>0</v>
      </c>
      <c r="BD1060" s="393"/>
      <c r="BE1060" s="392"/>
      <c r="BF1060" s="394">
        <v>8</v>
      </c>
      <c r="BG1060" s="394">
        <v>1</v>
      </c>
      <c r="BH1060" s="394">
        <v>6</v>
      </c>
      <c r="BI1060" s="394">
        <v>9</v>
      </c>
      <c r="BJ1060" s="394">
        <v>5</v>
      </c>
      <c r="BK1060" s="394"/>
      <c r="BL1060" s="444" t="s">
        <v>6982</v>
      </c>
      <c r="BM1060" s="392" t="s">
        <v>992</v>
      </c>
      <c r="BN1060" s="393" t="s">
        <v>3303</v>
      </c>
      <c r="BO1060" s="393"/>
      <c r="BP1060" s="399"/>
      <c r="BQ1060" s="400"/>
      <c r="BR1060" s="401"/>
      <c r="BS1060" s="399"/>
      <c r="BT1060" s="394"/>
      <c r="BU1060" s="417"/>
      <c r="BV1060" s="399"/>
      <c r="BW1060" s="393" t="s">
        <v>3117</v>
      </c>
      <c r="BX1060" s="392" t="s">
        <v>3714</v>
      </c>
      <c r="BY1060" s="475" t="s">
        <v>7227</v>
      </c>
      <c r="BZ1060" s="393"/>
      <c r="CA1060" s="441" t="s">
        <v>1664</v>
      </c>
      <c r="CB1060" s="400"/>
      <c r="CC1060" s="398"/>
      <c r="CD1060" s="398"/>
      <c r="CE1060" s="398"/>
      <c r="CF1060" s="398"/>
      <c r="CG1060" s="398"/>
      <c r="CH1060" s="398"/>
      <c r="CI1060" s="398"/>
      <c r="CJ1060" s="398">
        <v>32.155999999999999</v>
      </c>
      <c r="CK1060" s="398">
        <v>40.435000000000002</v>
      </c>
      <c r="CL1060" s="398">
        <v>40.435000000000002</v>
      </c>
      <c r="CM1060" s="398">
        <v>40.435000000000002</v>
      </c>
      <c r="CN1060" s="398">
        <v>40.435000000000002</v>
      </c>
      <c r="CO1060" s="398">
        <v>40.435000000000002</v>
      </c>
      <c r="CP1060" s="398">
        <v>40.435000000000002</v>
      </c>
      <c r="CQ1060" s="398">
        <v>3.3690000000000002</v>
      </c>
      <c r="CR1060" s="398"/>
      <c r="CS1060" s="398"/>
      <c r="CT1060" s="398"/>
      <c r="CU1060" s="398"/>
      <c r="CV1060" s="398"/>
      <c r="CW1060" s="398"/>
      <c r="CX1060" s="398"/>
      <c r="CY1060" s="398"/>
      <c r="CZ1060" s="398"/>
      <c r="DA1060" s="398"/>
      <c r="DB1060" s="398"/>
      <c r="DC1060" s="398"/>
      <c r="DD1060" s="398"/>
      <c r="DE1060" s="393"/>
      <c r="DF1060" s="393"/>
      <c r="DG1060" s="393"/>
      <c r="DH1060" s="393"/>
      <c r="DI1060" s="393"/>
      <c r="DJ1060" s="393"/>
      <c r="DK1060" s="897"/>
    </row>
    <row r="1061" spans="1:115" ht="38.25" x14ac:dyDescent="0.2">
      <c r="A1061" s="295">
        <v>1057</v>
      </c>
      <c r="B1061" s="390" t="s">
        <v>6034</v>
      </c>
      <c r="C1061" s="390"/>
      <c r="D1061" s="391" t="s">
        <v>6035</v>
      </c>
      <c r="E1061" s="704" t="s">
        <v>6036</v>
      </c>
      <c r="F1061" s="393" t="s">
        <v>1375</v>
      </c>
      <c r="G1061" s="475" t="s">
        <v>1668</v>
      </c>
      <c r="H1061" s="475" t="s">
        <v>1378</v>
      </c>
      <c r="I1061" s="392"/>
      <c r="J1061" s="392"/>
      <c r="K1061" s="392" t="s">
        <v>5627</v>
      </c>
      <c r="L1061" s="392" t="s">
        <v>992</v>
      </c>
      <c r="M1061" s="392"/>
      <c r="N1061" s="393" t="s">
        <v>44</v>
      </c>
      <c r="O1061" s="393" t="s">
        <v>51</v>
      </c>
      <c r="P1061" s="393" t="s">
        <v>51</v>
      </c>
      <c r="Q1061" s="392" t="s">
        <v>976</v>
      </c>
      <c r="R1061" s="392" t="s">
        <v>6037</v>
      </c>
      <c r="S1061" s="392" t="s">
        <v>977</v>
      </c>
      <c r="T1061" s="394">
        <v>1</v>
      </c>
      <c r="U1061" s="395">
        <v>28.13</v>
      </c>
      <c r="V1061" s="395"/>
      <c r="W1061" s="453"/>
      <c r="X1061" s="394"/>
      <c r="Y1061" s="394">
        <v>7</v>
      </c>
      <c r="Z1061" s="394">
        <v>21</v>
      </c>
      <c r="AA1061" s="395">
        <v>0</v>
      </c>
      <c r="AB1061" s="452">
        <v>41699</v>
      </c>
      <c r="AC1061" s="398">
        <v>0</v>
      </c>
      <c r="AD1061" s="398">
        <v>192.44002739726028</v>
      </c>
      <c r="AE1061" s="393" t="s">
        <v>96</v>
      </c>
      <c r="AF1061" s="417"/>
      <c r="AG1061" s="417">
        <v>5.42</v>
      </c>
      <c r="AH1061" s="417">
        <v>5.42</v>
      </c>
      <c r="AI1061" s="394"/>
      <c r="AJ1061" s="453"/>
      <c r="AK1061" s="453"/>
      <c r="AL1061" s="393"/>
      <c r="AM1061" s="393"/>
      <c r="AN1061" s="417"/>
      <c r="AO1061" s="392"/>
      <c r="AP1061" s="392"/>
      <c r="AQ1061" s="392"/>
      <c r="AR1061" s="392" t="s">
        <v>988</v>
      </c>
      <c r="AS1061" s="479">
        <v>40920</v>
      </c>
      <c r="AT1061" s="453"/>
      <c r="AU1061" s="453"/>
      <c r="AV1061" s="453"/>
      <c r="AW1061" s="453"/>
      <c r="AX1061" s="453"/>
      <c r="AY1061" s="453"/>
      <c r="AZ1061" s="452">
        <v>41701</v>
      </c>
      <c r="BA1061" s="393"/>
      <c r="BB1061" s="393"/>
      <c r="BC1061" s="393" t="b">
        <v>0</v>
      </c>
      <c r="BD1061" s="393"/>
      <c r="BE1061" s="392"/>
      <c r="BF1061" s="394">
        <v>8</v>
      </c>
      <c r="BG1061" s="394">
        <v>1</v>
      </c>
      <c r="BH1061" s="394">
        <v>6</v>
      </c>
      <c r="BI1061" s="394">
        <v>9</v>
      </c>
      <c r="BJ1061" s="394">
        <v>5</v>
      </c>
      <c r="BK1061" s="394"/>
      <c r="BL1061" s="444" t="s">
        <v>6982</v>
      </c>
      <c r="BM1061" s="392" t="s">
        <v>992</v>
      </c>
      <c r="BN1061" s="393" t="s">
        <v>3303</v>
      </c>
      <c r="BO1061" s="393"/>
      <c r="BP1061" s="399"/>
      <c r="BQ1061" s="400"/>
      <c r="BR1061" s="401"/>
      <c r="BS1061" s="399"/>
      <c r="BT1061" s="394"/>
      <c r="BU1061" s="417"/>
      <c r="BV1061" s="399"/>
      <c r="BW1061" s="393" t="s">
        <v>3117</v>
      </c>
      <c r="BX1061" s="392" t="s">
        <v>3714</v>
      </c>
      <c r="BY1061" s="475" t="s">
        <v>7227</v>
      </c>
      <c r="BZ1061" s="475" t="s">
        <v>3165</v>
      </c>
      <c r="CA1061" s="441" t="s">
        <v>1664</v>
      </c>
      <c r="CB1061" s="400"/>
      <c r="CC1061" s="398"/>
      <c r="CD1061" s="398"/>
      <c r="CE1061" s="398"/>
      <c r="CF1061" s="398"/>
      <c r="CG1061" s="398"/>
      <c r="CH1061" s="398"/>
      <c r="CI1061" s="398"/>
      <c r="CJ1061" s="398">
        <v>28.13</v>
      </c>
      <c r="CK1061" s="398">
        <v>28.13</v>
      </c>
      <c r="CL1061" s="398">
        <v>28.13</v>
      </c>
      <c r="CM1061" s="398">
        <v>28.13</v>
      </c>
      <c r="CN1061" s="398">
        <v>28.13</v>
      </c>
      <c r="CO1061" s="398">
        <v>28.13</v>
      </c>
      <c r="CP1061" s="398">
        <v>28.13</v>
      </c>
      <c r="CQ1061" s="398"/>
      <c r="CR1061" s="398"/>
      <c r="CS1061" s="398"/>
      <c r="CT1061" s="398"/>
      <c r="CU1061" s="398"/>
      <c r="CV1061" s="398"/>
      <c r="CW1061" s="398"/>
      <c r="CX1061" s="398"/>
      <c r="CY1061" s="398"/>
      <c r="CZ1061" s="398"/>
      <c r="DA1061" s="398"/>
      <c r="DB1061" s="398"/>
      <c r="DC1061" s="398"/>
      <c r="DD1061" s="398"/>
      <c r="DE1061" s="393"/>
      <c r="DF1061" s="393"/>
      <c r="DG1061" s="393"/>
      <c r="DH1061" s="393"/>
      <c r="DI1061" s="393"/>
      <c r="DJ1061" s="393"/>
      <c r="DK1061" s="897"/>
    </row>
    <row r="1062" spans="1:115" ht="51" x14ac:dyDescent="0.2">
      <c r="A1062" s="295">
        <v>1058</v>
      </c>
      <c r="B1062" s="390" t="s">
        <v>810</v>
      </c>
      <c r="C1062" s="424" t="s">
        <v>7632</v>
      </c>
      <c r="D1062" s="391" t="s">
        <v>7195</v>
      </c>
      <c r="E1062" s="704" t="s">
        <v>811</v>
      </c>
      <c r="F1062" s="393" t="s">
        <v>1340</v>
      </c>
      <c r="G1062" s="393" t="s">
        <v>1677</v>
      </c>
      <c r="H1062" s="393" t="s">
        <v>253</v>
      </c>
      <c r="I1062" s="392"/>
      <c r="J1062" s="392" t="s">
        <v>253</v>
      </c>
      <c r="K1062" s="392"/>
      <c r="L1062" s="392" t="s">
        <v>736</v>
      </c>
      <c r="M1062" s="392" t="s">
        <v>3395</v>
      </c>
      <c r="N1062" s="393" t="s">
        <v>44</v>
      </c>
      <c r="O1062" s="393" t="s">
        <v>289</v>
      </c>
      <c r="P1062" s="393" t="s">
        <v>289</v>
      </c>
      <c r="Q1062" s="392" t="s">
        <v>721</v>
      </c>
      <c r="R1062" s="392"/>
      <c r="S1062" s="392" t="s">
        <v>291</v>
      </c>
      <c r="T1062" s="394">
        <v>1</v>
      </c>
      <c r="U1062" s="395">
        <v>24.791</v>
      </c>
      <c r="V1062" s="395"/>
      <c r="W1062" s="452">
        <v>40925</v>
      </c>
      <c r="X1062" s="394">
        <v>28</v>
      </c>
      <c r="Y1062" s="394"/>
      <c r="Z1062" s="394"/>
      <c r="AA1062" s="395"/>
      <c r="AB1062" s="453"/>
      <c r="AC1062" s="398">
        <v>0</v>
      </c>
      <c r="AD1062" s="398">
        <v>247.91</v>
      </c>
      <c r="AE1062" s="393" t="s">
        <v>82</v>
      </c>
      <c r="AF1062" s="417"/>
      <c r="AG1062" s="417"/>
      <c r="AH1062" s="417">
        <v>0</v>
      </c>
      <c r="AI1062" s="394"/>
      <c r="AJ1062" s="453"/>
      <c r="AK1062" s="453"/>
      <c r="AL1062" s="393"/>
      <c r="AM1062" s="393"/>
      <c r="AN1062" s="417"/>
      <c r="AO1062" s="392"/>
      <c r="AP1062" s="392" t="s">
        <v>55</v>
      </c>
      <c r="AQ1062" s="392"/>
      <c r="AR1062" s="392" t="s">
        <v>292</v>
      </c>
      <c r="AS1062" s="479">
        <v>40925</v>
      </c>
      <c r="AT1062" s="453"/>
      <c r="AU1062" s="453"/>
      <c r="AV1062" s="452">
        <v>41717</v>
      </c>
      <c r="AW1062" s="452">
        <v>42164</v>
      </c>
      <c r="AX1062" s="452">
        <v>42217</v>
      </c>
      <c r="AY1062" s="478">
        <v>42164</v>
      </c>
      <c r="AZ1062" s="453"/>
      <c r="BA1062" s="393"/>
      <c r="BB1062" s="393" t="s">
        <v>3147</v>
      </c>
      <c r="BC1062" s="393" t="b">
        <v>1</v>
      </c>
      <c r="BD1062" s="393" t="s">
        <v>3147</v>
      </c>
      <c r="BE1062" s="392"/>
      <c r="BF1062" s="394">
        <v>9</v>
      </c>
      <c r="BG1062" s="394">
        <v>5</v>
      </c>
      <c r="BH1062" s="394">
        <v>7</v>
      </c>
      <c r="BI1062" s="394">
        <v>10</v>
      </c>
      <c r="BJ1062" s="394"/>
      <c r="BK1062" s="394"/>
      <c r="BL1062" s="444"/>
      <c r="BM1062" s="392"/>
      <c r="BN1062" s="393"/>
      <c r="BO1062" s="393"/>
      <c r="BP1062" s="399"/>
      <c r="BQ1062" s="400"/>
      <c r="BR1062" s="401"/>
      <c r="BS1062" s="399">
        <v>9.1</v>
      </c>
      <c r="BT1062" s="394"/>
      <c r="BU1062" s="417"/>
      <c r="BV1062" s="399"/>
      <c r="BW1062" s="393"/>
      <c r="BX1062" s="392"/>
      <c r="BY1062" s="393"/>
      <c r="BZ1062" s="393"/>
      <c r="CA1062" s="441"/>
      <c r="CB1062" s="400"/>
      <c r="CC1062" s="398"/>
      <c r="CD1062" s="398"/>
      <c r="CE1062" s="398"/>
      <c r="CF1062" s="398"/>
      <c r="CG1062" s="398"/>
      <c r="CH1062" s="398"/>
      <c r="CI1062" s="398"/>
      <c r="CJ1062" s="398"/>
      <c r="CK1062" s="398"/>
      <c r="CL1062" s="398"/>
      <c r="CM1062" s="398"/>
      <c r="CN1062" s="398"/>
      <c r="CO1062" s="398"/>
      <c r="CP1062" s="398"/>
      <c r="CQ1062" s="398"/>
      <c r="CR1062" s="398"/>
      <c r="CS1062" s="398"/>
      <c r="CT1062" s="398"/>
      <c r="CU1062" s="398"/>
      <c r="CV1062" s="398"/>
      <c r="CW1062" s="398"/>
      <c r="CX1062" s="398"/>
      <c r="CY1062" s="398"/>
      <c r="CZ1062" s="398"/>
      <c r="DA1062" s="398"/>
      <c r="DB1062" s="398"/>
      <c r="DC1062" s="398"/>
      <c r="DD1062" s="398"/>
      <c r="DE1062" s="393"/>
      <c r="DF1062" s="393"/>
      <c r="DG1062" s="393"/>
      <c r="DH1062" s="393"/>
      <c r="DI1062" s="393"/>
      <c r="DJ1062" s="393"/>
      <c r="DK1062" s="896" t="s">
        <v>9717</v>
      </c>
    </row>
    <row r="1063" spans="1:115" ht="25.5" x14ac:dyDescent="0.2">
      <c r="A1063" s="295">
        <v>1059</v>
      </c>
      <c r="B1063" s="390" t="s">
        <v>2804</v>
      </c>
      <c r="C1063" s="390"/>
      <c r="D1063" s="391" t="s">
        <v>7196</v>
      </c>
      <c r="E1063" s="704" t="s">
        <v>735</v>
      </c>
      <c r="F1063" s="393" t="s">
        <v>1340</v>
      </c>
      <c r="G1063" s="393" t="s">
        <v>1677</v>
      </c>
      <c r="H1063" s="393" t="s">
        <v>253</v>
      </c>
      <c r="I1063" s="392"/>
      <c r="J1063" s="392"/>
      <c r="K1063" s="392" t="s">
        <v>2213</v>
      </c>
      <c r="L1063" s="392" t="s">
        <v>736</v>
      </c>
      <c r="M1063" s="392"/>
      <c r="N1063" s="393" t="s">
        <v>44</v>
      </c>
      <c r="O1063" s="393" t="s">
        <v>289</v>
      </c>
      <c r="P1063" s="393" t="s">
        <v>289</v>
      </c>
      <c r="Q1063" s="392" t="s">
        <v>721</v>
      </c>
      <c r="R1063" s="392" t="s">
        <v>3396</v>
      </c>
      <c r="S1063" s="392" t="s">
        <v>291</v>
      </c>
      <c r="T1063" s="394">
        <v>1</v>
      </c>
      <c r="U1063" s="395">
        <v>24.791</v>
      </c>
      <c r="V1063" s="395"/>
      <c r="W1063" s="453"/>
      <c r="X1063" s="394"/>
      <c r="Y1063" s="394">
        <v>10</v>
      </c>
      <c r="Z1063" s="394">
        <v>20</v>
      </c>
      <c r="AA1063" s="395">
        <v>0</v>
      </c>
      <c r="AB1063" s="452">
        <v>42195</v>
      </c>
      <c r="AC1063" s="398">
        <v>0</v>
      </c>
      <c r="AD1063" s="398">
        <v>247.91</v>
      </c>
      <c r="AE1063" s="393" t="s">
        <v>82</v>
      </c>
      <c r="AF1063" s="417"/>
      <c r="AG1063" s="417"/>
      <c r="AH1063" s="417"/>
      <c r="AI1063" s="394"/>
      <c r="AJ1063" s="453"/>
      <c r="AK1063" s="453"/>
      <c r="AL1063" s="393"/>
      <c r="AM1063" s="393"/>
      <c r="AN1063" s="417"/>
      <c r="AO1063" s="392"/>
      <c r="AP1063" s="392" t="s">
        <v>55</v>
      </c>
      <c r="AQ1063" s="392"/>
      <c r="AR1063" s="392" t="s">
        <v>292</v>
      </c>
      <c r="AS1063" s="479">
        <v>40925</v>
      </c>
      <c r="AT1063" s="453"/>
      <c r="AU1063" s="453"/>
      <c r="AV1063" s="453"/>
      <c r="AW1063" s="453"/>
      <c r="AX1063" s="453"/>
      <c r="AY1063" s="453"/>
      <c r="AZ1063" s="452">
        <v>42164</v>
      </c>
      <c r="BA1063" s="393"/>
      <c r="BB1063" s="393"/>
      <c r="BC1063" s="393" t="b">
        <v>0</v>
      </c>
      <c r="BD1063" s="393"/>
      <c r="BE1063" s="392"/>
      <c r="BF1063" s="394">
        <v>9</v>
      </c>
      <c r="BG1063" s="394">
        <v>5</v>
      </c>
      <c r="BH1063" s="394">
        <v>7</v>
      </c>
      <c r="BI1063" s="394">
        <v>10</v>
      </c>
      <c r="BJ1063" s="394"/>
      <c r="BK1063" s="394"/>
      <c r="BL1063" s="444" t="s">
        <v>6981</v>
      </c>
      <c r="BM1063" s="392"/>
      <c r="BN1063" s="393"/>
      <c r="BO1063" s="393"/>
      <c r="BP1063" s="399"/>
      <c r="BQ1063" s="400"/>
      <c r="BR1063" s="401"/>
      <c r="BS1063" s="399">
        <v>9.1</v>
      </c>
      <c r="BT1063" s="394">
        <v>53400</v>
      </c>
      <c r="BU1063" s="417">
        <v>0.35699999999999998</v>
      </c>
      <c r="BV1063" s="399"/>
      <c r="BW1063" s="393" t="s">
        <v>3117</v>
      </c>
      <c r="BX1063" s="392" t="s">
        <v>1447</v>
      </c>
      <c r="BY1063" s="393"/>
      <c r="BZ1063" s="393"/>
      <c r="CA1063" s="441" t="s">
        <v>1662</v>
      </c>
      <c r="CB1063" s="400">
        <v>3</v>
      </c>
      <c r="CC1063" s="398"/>
      <c r="CD1063" s="398"/>
      <c r="CE1063" s="398"/>
      <c r="CF1063" s="398"/>
      <c r="CG1063" s="398"/>
      <c r="CH1063" s="398"/>
      <c r="CI1063" s="398">
        <v>19.073</v>
      </c>
      <c r="CJ1063" s="398">
        <v>19.073</v>
      </c>
      <c r="CK1063" s="398">
        <v>19.073</v>
      </c>
      <c r="CL1063" s="398">
        <v>19.073</v>
      </c>
      <c r="CM1063" s="398">
        <v>19.073</v>
      </c>
      <c r="CN1063" s="398">
        <v>19.073</v>
      </c>
      <c r="CO1063" s="398">
        <v>19.073</v>
      </c>
      <c r="CP1063" s="398">
        <v>19.073</v>
      </c>
      <c r="CQ1063" s="398">
        <v>19.073</v>
      </c>
      <c r="CR1063" s="398">
        <v>19.073</v>
      </c>
      <c r="CS1063" s="398"/>
      <c r="CT1063" s="398"/>
      <c r="CU1063" s="398"/>
      <c r="CV1063" s="398"/>
      <c r="CW1063" s="398"/>
      <c r="CX1063" s="398"/>
      <c r="CY1063" s="398"/>
      <c r="CZ1063" s="398"/>
      <c r="DA1063" s="398"/>
      <c r="DB1063" s="398"/>
      <c r="DC1063" s="398"/>
      <c r="DD1063" s="398"/>
      <c r="DE1063" s="393"/>
      <c r="DF1063" s="393"/>
      <c r="DG1063" s="393"/>
      <c r="DH1063" s="393"/>
      <c r="DI1063" s="393"/>
      <c r="DJ1063" s="393"/>
      <c r="DK1063" s="897"/>
    </row>
    <row r="1064" spans="1:115" ht="51" x14ac:dyDescent="0.2">
      <c r="A1064" s="295">
        <v>1060</v>
      </c>
      <c r="B1064" s="390" t="s">
        <v>567</v>
      </c>
      <c r="C1064" s="424" t="s">
        <v>7633</v>
      </c>
      <c r="D1064" s="391" t="s">
        <v>5156</v>
      </c>
      <c r="E1064" s="704" t="s">
        <v>568</v>
      </c>
      <c r="F1064" s="393" t="s">
        <v>1352</v>
      </c>
      <c r="G1064" s="393" t="s">
        <v>1673</v>
      </c>
      <c r="H1064" s="393" t="s">
        <v>42</v>
      </c>
      <c r="I1064" s="392"/>
      <c r="J1064" s="392" t="s">
        <v>42</v>
      </c>
      <c r="K1064" s="392"/>
      <c r="L1064" s="392" t="s">
        <v>50</v>
      </c>
      <c r="M1064" s="392" t="s">
        <v>3397</v>
      </c>
      <c r="N1064" s="393" t="s">
        <v>44</v>
      </c>
      <c r="O1064" s="393" t="s">
        <v>51</v>
      </c>
      <c r="P1064" s="393" t="s">
        <v>51</v>
      </c>
      <c r="Q1064" s="392" t="s">
        <v>52</v>
      </c>
      <c r="R1064" s="392"/>
      <c r="S1064" s="392" t="s">
        <v>53</v>
      </c>
      <c r="T1064" s="394">
        <v>16</v>
      </c>
      <c r="U1064" s="395">
        <v>3101.3779999999997</v>
      </c>
      <c r="V1064" s="395"/>
      <c r="W1064" s="452">
        <v>40825</v>
      </c>
      <c r="X1064" s="394">
        <v>28</v>
      </c>
      <c r="Y1064" s="394"/>
      <c r="Z1064" s="394"/>
      <c r="AA1064" s="395"/>
      <c r="AB1064" s="453"/>
      <c r="AC1064" s="398">
        <v>0</v>
      </c>
      <c r="AD1064" s="398">
        <v>9027.6072794520533</v>
      </c>
      <c r="AE1064" s="393" t="s">
        <v>54</v>
      </c>
      <c r="AF1064" s="417">
        <f>SUM(AF1065:AF1072)</f>
        <v>0</v>
      </c>
      <c r="AG1064" s="417">
        <f>SUM(AG1065:AG1072)</f>
        <v>574.22900000000004</v>
      </c>
      <c r="AH1064" s="417">
        <v>653.98200000000008</v>
      </c>
      <c r="AI1064" s="394"/>
      <c r="AJ1064" s="453">
        <v>42444</v>
      </c>
      <c r="AK1064" s="478">
        <v>43089</v>
      </c>
      <c r="AL1064" s="393"/>
      <c r="AM1064" s="393"/>
      <c r="AN1064" s="417"/>
      <c r="AO1064" s="428" t="s">
        <v>54</v>
      </c>
      <c r="AP1064" s="428" t="s">
        <v>8102</v>
      </c>
      <c r="AQ1064" s="392"/>
      <c r="AR1064" s="392" t="s">
        <v>50</v>
      </c>
      <c r="AS1064" s="479">
        <v>40926</v>
      </c>
      <c r="AT1064" s="453"/>
      <c r="AU1064" s="453"/>
      <c r="AV1064" s="452">
        <v>41143</v>
      </c>
      <c r="AW1064" s="452">
        <v>41270</v>
      </c>
      <c r="AX1064" s="453"/>
      <c r="AY1064" s="452">
        <v>41270</v>
      </c>
      <c r="AZ1064" s="453"/>
      <c r="BA1064" s="393"/>
      <c r="BB1064" s="393" t="s">
        <v>3116</v>
      </c>
      <c r="BC1064" s="393" t="b">
        <v>0</v>
      </c>
      <c r="BD1064" s="393" t="s">
        <v>3116</v>
      </c>
      <c r="BE1064" s="392"/>
      <c r="BF1064" s="394">
        <v>4</v>
      </c>
      <c r="BG1064" s="394">
        <v>9</v>
      </c>
      <c r="BH1064" s="394">
        <v>1</v>
      </c>
      <c r="BI1064" s="394">
        <v>8</v>
      </c>
      <c r="BJ1064" s="394">
        <v>6</v>
      </c>
      <c r="BK1064" s="394">
        <v>7</v>
      </c>
      <c r="BL1064" s="444"/>
      <c r="BM1064" s="392"/>
      <c r="BN1064" s="393"/>
      <c r="BO1064" s="393"/>
      <c r="BP1064" s="399"/>
      <c r="BQ1064" s="400"/>
      <c r="BR1064" s="401"/>
      <c r="BS1064" s="399">
        <v>0</v>
      </c>
      <c r="BT1064" s="394"/>
      <c r="BU1064" s="417"/>
      <c r="BV1064" s="399"/>
      <c r="BW1064" s="393"/>
      <c r="BX1064" s="392"/>
      <c r="BY1064" s="393"/>
      <c r="BZ1064" s="393"/>
      <c r="CA1064" s="441"/>
      <c r="CB1064" s="400"/>
      <c r="CC1064" s="398"/>
      <c r="CD1064" s="398"/>
      <c r="CE1064" s="398"/>
      <c r="CF1064" s="398"/>
      <c r="CG1064" s="398"/>
      <c r="CH1064" s="398"/>
      <c r="CI1064" s="398"/>
      <c r="CJ1064" s="398"/>
      <c r="CK1064" s="398"/>
      <c r="CL1064" s="398"/>
      <c r="CM1064" s="398"/>
      <c r="CN1064" s="398"/>
      <c r="CO1064" s="398"/>
      <c r="CP1064" s="398"/>
      <c r="CQ1064" s="398"/>
      <c r="CR1064" s="398"/>
      <c r="CS1064" s="398"/>
      <c r="CT1064" s="398"/>
      <c r="CU1064" s="398"/>
      <c r="CV1064" s="398"/>
      <c r="CW1064" s="398"/>
      <c r="CX1064" s="398"/>
      <c r="CY1064" s="398"/>
      <c r="CZ1064" s="398"/>
      <c r="DA1064" s="398"/>
      <c r="DB1064" s="398"/>
      <c r="DC1064" s="398"/>
      <c r="DD1064" s="398"/>
      <c r="DE1064" s="393"/>
      <c r="DF1064" s="393"/>
      <c r="DG1064" s="393"/>
      <c r="DH1064" s="393"/>
      <c r="DI1064" s="393"/>
      <c r="DJ1064" s="393"/>
      <c r="DK1064" s="896" t="s">
        <v>9753</v>
      </c>
    </row>
    <row r="1065" spans="1:115" ht="25.5" x14ac:dyDescent="0.2">
      <c r="A1065" s="295">
        <v>1061</v>
      </c>
      <c r="B1065" s="390" t="s">
        <v>2805</v>
      </c>
      <c r="C1065" s="390"/>
      <c r="D1065" s="391" t="s">
        <v>4952</v>
      </c>
      <c r="E1065" s="704" t="s">
        <v>49</v>
      </c>
      <c r="F1065" s="393" t="s">
        <v>1352</v>
      </c>
      <c r="G1065" s="393" t="s">
        <v>1673</v>
      </c>
      <c r="H1065" s="393" t="s">
        <v>42</v>
      </c>
      <c r="I1065" s="392"/>
      <c r="J1065" s="392"/>
      <c r="K1065" s="392" t="s">
        <v>2214</v>
      </c>
      <c r="L1065" s="392" t="s">
        <v>50</v>
      </c>
      <c r="M1065" s="392"/>
      <c r="N1065" s="393" t="s">
        <v>44</v>
      </c>
      <c r="O1065" s="393" t="s">
        <v>51</v>
      </c>
      <c r="P1065" s="393" t="s">
        <v>51</v>
      </c>
      <c r="Q1065" s="392" t="s">
        <v>52</v>
      </c>
      <c r="R1065" s="392" t="s">
        <v>3398</v>
      </c>
      <c r="S1065" s="392" t="s">
        <v>53</v>
      </c>
      <c r="T1065" s="394">
        <v>1</v>
      </c>
      <c r="U1065" s="395">
        <v>35.131</v>
      </c>
      <c r="V1065" s="395"/>
      <c r="W1065" s="453"/>
      <c r="X1065" s="394"/>
      <c r="Y1065" s="394">
        <v>7</v>
      </c>
      <c r="Z1065" s="394">
        <v>21</v>
      </c>
      <c r="AA1065" s="395"/>
      <c r="AB1065" s="452">
        <v>41275</v>
      </c>
      <c r="AC1065" s="398">
        <v>0</v>
      </c>
      <c r="AD1065" s="398">
        <v>281.14424931506846</v>
      </c>
      <c r="AE1065" s="393" t="s">
        <v>54</v>
      </c>
      <c r="AF1065" s="417"/>
      <c r="AG1065" s="417">
        <v>6.4160000000000004</v>
      </c>
      <c r="AH1065" s="417">
        <v>6.4160000000000004</v>
      </c>
      <c r="AI1065" s="394"/>
      <c r="AJ1065" s="453">
        <v>42926</v>
      </c>
      <c r="AK1065" s="453">
        <v>42906</v>
      </c>
      <c r="AL1065" s="393"/>
      <c r="AM1065" s="393"/>
      <c r="AN1065" s="417"/>
      <c r="AO1065" s="428" t="s">
        <v>54</v>
      </c>
      <c r="AP1065" s="428" t="s">
        <v>8102</v>
      </c>
      <c r="AQ1065" s="392"/>
      <c r="AR1065" s="392" t="s">
        <v>50</v>
      </c>
      <c r="AS1065" s="479">
        <v>40926</v>
      </c>
      <c r="AT1065" s="453"/>
      <c r="AU1065" s="453"/>
      <c r="AV1065" s="453"/>
      <c r="AW1065" s="453"/>
      <c r="AX1065" s="453"/>
      <c r="AY1065" s="453"/>
      <c r="AZ1065" s="452">
        <v>41270</v>
      </c>
      <c r="BA1065" s="393"/>
      <c r="BB1065" s="393"/>
      <c r="BC1065" s="393" t="b">
        <v>0</v>
      </c>
      <c r="BD1065" s="393"/>
      <c r="BE1065" s="392"/>
      <c r="BF1065" s="394">
        <v>4</v>
      </c>
      <c r="BG1065" s="394">
        <v>9</v>
      </c>
      <c r="BH1065" s="394">
        <v>1</v>
      </c>
      <c r="BI1065" s="394">
        <v>8</v>
      </c>
      <c r="BJ1065" s="394">
        <v>6</v>
      </c>
      <c r="BK1065" s="394">
        <v>7</v>
      </c>
      <c r="BL1065" s="444" t="s">
        <v>6985</v>
      </c>
      <c r="BM1065" s="392"/>
      <c r="BN1065" s="393"/>
      <c r="BO1065" s="393"/>
      <c r="BP1065" s="399"/>
      <c r="BQ1065" s="400"/>
      <c r="BR1065" s="401"/>
      <c r="BS1065" s="399"/>
      <c r="BT1065" s="394"/>
      <c r="BU1065" s="417"/>
      <c r="BV1065" s="399">
        <v>180</v>
      </c>
      <c r="BW1065" s="393" t="s">
        <v>3117</v>
      </c>
      <c r="BX1065" s="392" t="s">
        <v>4364</v>
      </c>
      <c r="BY1065" s="393" t="s">
        <v>7224</v>
      </c>
      <c r="BZ1065" s="393"/>
      <c r="CA1065" s="441"/>
      <c r="CB1065" s="400"/>
      <c r="CC1065" s="398"/>
      <c r="CD1065" s="398"/>
      <c r="CE1065" s="398"/>
      <c r="CF1065" s="398"/>
      <c r="CG1065" s="398"/>
      <c r="CH1065" s="398"/>
      <c r="CI1065" s="398">
        <v>3.903</v>
      </c>
      <c r="CJ1065" s="398">
        <v>9.1069999999999993</v>
      </c>
      <c r="CK1065" s="398">
        <v>13.01</v>
      </c>
      <c r="CL1065" s="398">
        <v>15.612</v>
      </c>
      <c r="CM1065" s="398">
        <v>15.612</v>
      </c>
      <c r="CN1065" s="398">
        <v>15.612</v>
      </c>
      <c r="CO1065" s="398">
        <v>15.612</v>
      </c>
      <c r="CP1065" s="398"/>
      <c r="CQ1065" s="398"/>
      <c r="CR1065" s="398"/>
      <c r="CS1065" s="398"/>
      <c r="CT1065" s="398"/>
      <c r="CU1065" s="398"/>
      <c r="CV1065" s="398"/>
      <c r="CW1065" s="398"/>
      <c r="CX1065" s="398"/>
      <c r="CY1065" s="398"/>
      <c r="CZ1065" s="398"/>
      <c r="DA1065" s="398"/>
      <c r="DB1065" s="398"/>
      <c r="DC1065" s="398"/>
      <c r="DD1065" s="398"/>
      <c r="DE1065" s="393"/>
      <c r="DF1065" s="393"/>
      <c r="DG1065" s="393"/>
      <c r="DH1065" s="393"/>
      <c r="DI1065" s="393"/>
      <c r="DJ1065" s="393"/>
      <c r="DK1065" s="897"/>
    </row>
    <row r="1066" spans="1:115" ht="25.5" x14ac:dyDescent="0.2">
      <c r="A1066" s="295">
        <v>1062</v>
      </c>
      <c r="B1066" s="390" t="s">
        <v>6876</v>
      </c>
      <c r="C1066" s="390"/>
      <c r="D1066" s="391" t="s">
        <v>6877</v>
      </c>
      <c r="E1066" s="704" t="s">
        <v>6878</v>
      </c>
      <c r="F1066" s="393" t="s">
        <v>1352</v>
      </c>
      <c r="G1066" s="393" t="s">
        <v>1673</v>
      </c>
      <c r="H1066" s="393" t="s">
        <v>42</v>
      </c>
      <c r="I1066" s="392"/>
      <c r="J1066" s="392"/>
      <c r="K1066" s="392" t="s">
        <v>6879</v>
      </c>
      <c r="L1066" s="392" t="s">
        <v>50</v>
      </c>
      <c r="M1066" s="392"/>
      <c r="N1066" s="393" t="s">
        <v>44</v>
      </c>
      <c r="O1066" s="393" t="s">
        <v>51</v>
      </c>
      <c r="P1066" s="393" t="s">
        <v>51</v>
      </c>
      <c r="Q1066" s="392" t="s">
        <v>52</v>
      </c>
      <c r="R1066" s="392" t="s">
        <v>6880</v>
      </c>
      <c r="S1066" s="392" t="s">
        <v>53</v>
      </c>
      <c r="T1066" s="394">
        <v>1</v>
      </c>
      <c r="U1066" s="395">
        <v>58.984000000000002</v>
      </c>
      <c r="V1066" s="395"/>
      <c r="W1066" s="453"/>
      <c r="X1066" s="394"/>
      <c r="Y1066" s="394">
        <v>7</v>
      </c>
      <c r="Z1066" s="394">
        <v>21</v>
      </c>
      <c r="AA1066" s="395">
        <v>3.4449999999999998</v>
      </c>
      <c r="AB1066" s="452">
        <v>42050</v>
      </c>
      <c r="AC1066" s="398"/>
      <c r="AD1066" s="398">
        <v>346.79360000000003</v>
      </c>
      <c r="AE1066" s="393" t="s">
        <v>54</v>
      </c>
      <c r="AF1066" s="417"/>
      <c r="AG1066" s="417">
        <f>4.457+33.986+32.661+17.354+32.118</f>
        <v>120.57599999999999</v>
      </c>
      <c r="AH1066" s="417">
        <v>120.57599999999999</v>
      </c>
      <c r="AI1066" s="394">
        <v>2</v>
      </c>
      <c r="AJ1066" s="453">
        <v>42444</v>
      </c>
      <c r="AK1066" s="715">
        <v>43089</v>
      </c>
      <c r="AL1066" s="393"/>
      <c r="AM1066" s="393"/>
      <c r="AN1066" s="417"/>
      <c r="AO1066" s="428" t="s">
        <v>54</v>
      </c>
      <c r="AP1066" s="428" t="s">
        <v>8102</v>
      </c>
      <c r="AQ1066" s="392"/>
      <c r="AR1066" s="392" t="s">
        <v>50</v>
      </c>
      <c r="AS1066" s="479">
        <v>40926</v>
      </c>
      <c r="AT1066" s="453"/>
      <c r="AU1066" s="453"/>
      <c r="AV1066" s="453"/>
      <c r="AW1066" s="453"/>
      <c r="AX1066" s="453"/>
      <c r="AY1066" s="453"/>
      <c r="AZ1066" s="452">
        <v>42062</v>
      </c>
      <c r="BA1066" s="393"/>
      <c r="BB1066" s="393"/>
      <c r="BC1066" s="393" t="b">
        <v>0</v>
      </c>
      <c r="BD1066" s="393"/>
      <c r="BE1066" s="392"/>
      <c r="BF1066" s="394">
        <v>4</v>
      </c>
      <c r="BG1066" s="394">
        <v>9</v>
      </c>
      <c r="BH1066" s="394">
        <v>1</v>
      </c>
      <c r="BI1066" s="394">
        <v>8</v>
      </c>
      <c r="BJ1066" s="394">
        <v>6</v>
      </c>
      <c r="BK1066" s="394">
        <v>7</v>
      </c>
      <c r="BL1066" s="444" t="s">
        <v>6985</v>
      </c>
      <c r="BM1066" s="392"/>
      <c r="BN1066" s="393"/>
      <c r="BO1066" s="393"/>
      <c r="BP1066" s="399"/>
      <c r="BQ1066" s="400"/>
      <c r="BR1066" s="401"/>
      <c r="BS1066" s="399"/>
      <c r="BT1066" s="394"/>
      <c r="BU1066" s="417"/>
      <c r="BV1066" s="399">
        <v>1.8</v>
      </c>
      <c r="BW1066" s="393" t="s">
        <v>3117</v>
      </c>
      <c r="BX1066" s="392" t="s">
        <v>4364</v>
      </c>
      <c r="BY1066" s="393" t="s">
        <v>7224</v>
      </c>
      <c r="BZ1066" s="393"/>
      <c r="CA1066" s="441"/>
      <c r="CB1066" s="400"/>
      <c r="CC1066" s="398"/>
      <c r="CD1066" s="398"/>
      <c r="CE1066" s="398"/>
      <c r="CF1066" s="398"/>
      <c r="CG1066" s="398"/>
      <c r="CH1066" s="398"/>
      <c r="CI1066" s="398"/>
      <c r="CJ1066" s="398"/>
      <c r="CK1066" s="398">
        <v>48.595999999999997</v>
      </c>
      <c r="CL1066" s="398">
        <v>52.13</v>
      </c>
      <c r="CM1066" s="398">
        <v>55.564</v>
      </c>
      <c r="CN1066" s="398">
        <v>58.997999999999998</v>
      </c>
      <c r="CO1066" s="398">
        <v>62.432000000000002</v>
      </c>
      <c r="CP1066" s="398">
        <v>65.866</v>
      </c>
      <c r="CQ1066" s="398">
        <v>69.3</v>
      </c>
      <c r="CR1066" s="398"/>
      <c r="CS1066" s="398"/>
      <c r="CT1066" s="398"/>
      <c r="CU1066" s="398"/>
      <c r="CV1066" s="398"/>
      <c r="CW1066" s="398"/>
      <c r="CX1066" s="398"/>
      <c r="CY1066" s="398"/>
      <c r="CZ1066" s="398"/>
      <c r="DA1066" s="398"/>
      <c r="DB1066" s="398"/>
      <c r="DC1066" s="398"/>
      <c r="DD1066" s="398"/>
      <c r="DE1066" s="393"/>
      <c r="DF1066" s="393"/>
      <c r="DG1066" s="393"/>
      <c r="DH1066" s="393"/>
      <c r="DI1066" s="393"/>
      <c r="DJ1066" s="393"/>
      <c r="DK1066" s="897"/>
    </row>
    <row r="1067" spans="1:115" ht="25.5" x14ac:dyDescent="0.2">
      <c r="A1067" s="295">
        <v>1063</v>
      </c>
      <c r="B1067" s="390" t="s">
        <v>6957</v>
      </c>
      <c r="C1067" s="390"/>
      <c r="D1067" s="391" t="s">
        <v>6958</v>
      </c>
      <c r="E1067" s="704" t="s">
        <v>6959</v>
      </c>
      <c r="F1067" s="393" t="s">
        <v>1352</v>
      </c>
      <c r="G1067" s="393" t="s">
        <v>1673</v>
      </c>
      <c r="H1067" s="393" t="s">
        <v>42</v>
      </c>
      <c r="I1067" s="392"/>
      <c r="J1067" s="392"/>
      <c r="K1067" s="392" t="s">
        <v>5627</v>
      </c>
      <c r="L1067" s="392" t="s">
        <v>50</v>
      </c>
      <c r="M1067" s="392"/>
      <c r="N1067" s="393" t="s">
        <v>44</v>
      </c>
      <c r="O1067" s="393" t="s">
        <v>51</v>
      </c>
      <c r="P1067" s="393" t="s">
        <v>51</v>
      </c>
      <c r="Q1067" s="392" t="s">
        <v>52</v>
      </c>
      <c r="R1067" s="392" t="s">
        <v>6960</v>
      </c>
      <c r="S1067" s="392" t="s">
        <v>53</v>
      </c>
      <c r="T1067" s="394">
        <v>1</v>
      </c>
      <c r="U1067" s="395">
        <v>61.451999999999998</v>
      </c>
      <c r="V1067" s="395"/>
      <c r="W1067" s="453"/>
      <c r="X1067" s="394"/>
      <c r="Y1067" s="394">
        <v>7</v>
      </c>
      <c r="Z1067" s="394">
        <v>21</v>
      </c>
      <c r="AA1067" s="395">
        <v>5.3979999999999997</v>
      </c>
      <c r="AB1067" s="452">
        <v>42081</v>
      </c>
      <c r="AC1067" s="398"/>
      <c r="AD1067" s="398">
        <v>356.08487671232876</v>
      </c>
      <c r="AE1067" s="393" t="s">
        <v>54</v>
      </c>
      <c r="AF1067" s="417"/>
      <c r="AG1067" s="417">
        <f>16.365+12.591+14.405+8.206+18.319</f>
        <v>69.885999999999996</v>
      </c>
      <c r="AH1067" s="417">
        <v>69.885999999999996</v>
      </c>
      <c r="AI1067" s="394">
        <v>2</v>
      </c>
      <c r="AJ1067" s="453">
        <v>42444</v>
      </c>
      <c r="AK1067" s="478">
        <v>43089</v>
      </c>
      <c r="AL1067" s="393"/>
      <c r="AM1067" s="393"/>
      <c r="AN1067" s="417"/>
      <c r="AO1067" s="428" t="s">
        <v>54</v>
      </c>
      <c r="AP1067" s="428" t="s">
        <v>8102</v>
      </c>
      <c r="AQ1067" s="392"/>
      <c r="AR1067" s="392" t="s">
        <v>50</v>
      </c>
      <c r="AS1067" s="479">
        <v>40926</v>
      </c>
      <c r="AT1067" s="453"/>
      <c r="AU1067" s="453"/>
      <c r="AV1067" s="453"/>
      <c r="AW1067" s="453"/>
      <c r="AX1067" s="453"/>
      <c r="AY1067" s="453"/>
      <c r="AZ1067" s="452">
        <v>42083</v>
      </c>
      <c r="BA1067" s="393"/>
      <c r="BB1067" s="393"/>
      <c r="BC1067" s="393" t="b">
        <v>0</v>
      </c>
      <c r="BD1067" s="393"/>
      <c r="BE1067" s="392"/>
      <c r="BF1067" s="394">
        <v>4</v>
      </c>
      <c r="BG1067" s="394">
        <v>9</v>
      </c>
      <c r="BH1067" s="394">
        <v>1</v>
      </c>
      <c r="BI1067" s="394">
        <v>8</v>
      </c>
      <c r="BJ1067" s="394">
        <v>6</v>
      </c>
      <c r="BK1067" s="394">
        <v>7</v>
      </c>
      <c r="BL1067" s="444" t="s">
        <v>6985</v>
      </c>
      <c r="BM1067" s="392"/>
      <c r="BN1067" s="393"/>
      <c r="BO1067" s="393"/>
      <c r="BP1067" s="399"/>
      <c r="BQ1067" s="400"/>
      <c r="BR1067" s="401"/>
      <c r="BS1067" s="399"/>
      <c r="BT1067" s="394"/>
      <c r="BU1067" s="417"/>
      <c r="BV1067" s="399">
        <v>1.8</v>
      </c>
      <c r="BW1067" s="393"/>
      <c r="BX1067" s="392"/>
      <c r="BY1067" s="393" t="s">
        <v>7224</v>
      </c>
      <c r="BZ1067" s="393"/>
      <c r="CA1067" s="441"/>
      <c r="CB1067" s="400"/>
      <c r="CC1067" s="398"/>
      <c r="CD1067" s="398"/>
      <c r="CE1067" s="398"/>
      <c r="CF1067" s="398"/>
      <c r="CG1067" s="398"/>
      <c r="CH1067" s="398"/>
      <c r="CI1067" s="398"/>
      <c r="CJ1067" s="398"/>
      <c r="CK1067" s="398">
        <v>35.439</v>
      </c>
      <c r="CL1067" s="398">
        <v>57.203000000000003</v>
      </c>
      <c r="CM1067" s="398">
        <v>60.637</v>
      </c>
      <c r="CN1067" s="398">
        <v>64.070999999999998</v>
      </c>
      <c r="CO1067" s="398">
        <v>67.504999999999995</v>
      </c>
      <c r="CP1067" s="398">
        <v>70.938999999999993</v>
      </c>
      <c r="CQ1067" s="398">
        <v>74.373000000000005</v>
      </c>
      <c r="CR1067" s="398"/>
      <c r="CS1067" s="398"/>
      <c r="CT1067" s="398"/>
      <c r="CU1067" s="398"/>
      <c r="CV1067" s="398"/>
      <c r="CW1067" s="398"/>
      <c r="CX1067" s="398"/>
      <c r="CY1067" s="398"/>
      <c r="CZ1067" s="398"/>
      <c r="DA1067" s="398"/>
      <c r="DB1067" s="398"/>
      <c r="DC1067" s="398"/>
      <c r="DD1067" s="398"/>
      <c r="DE1067" s="393"/>
      <c r="DF1067" s="393"/>
      <c r="DG1067" s="393"/>
      <c r="DH1067" s="393"/>
      <c r="DI1067" s="393"/>
      <c r="DJ1067" s="393"/>
      <c r="DK1067" s="897"/>
    </row>
    <row r="1068" spans="1:115" ht="25.5" x14ac:dyDescent="0.2">
      <c r="A1068" s="295">
        <v>1064</v>
      </c>
      <c r="B1068" s="390" t="s">
        <v>6961</v>
      </c>
      <c r="C1068" s="390"/>
      <c r="D1068" s="391" t="s">
        <v>6962</v>
      </c>
      <c r="E1068" s="704" t="s">
        <v>6963</v>
      </c>
      <c r="F1068" s="393" t="s">
        <v>1352</v>
      </c>
      <c r="G1068" s="393" t="s">
        <v>1673</v>
      </c>
      <c r="H1068" s="393" t="s">
        <v>42</v>
      </c>
      <c r="I1068" s="392"/>
      <c r="J1068" s="392"/>
      <c r="K1068" s="392" t="s">
        <v>5627</v>
      </c>
      <c r="L1068" s="392" t="s">
        <v>50</v>
      </c>
      <c r="M1068" s="392"/>
      <c r="N1068" s="393" t="s">
        <v>44</v>
      </c>
      <c r="O1068" s="393" t="s">
        <v>51</v>
      </c>
      <c r="P1068" s="393" t="s">
        <v>51</v>
      </c>
      <c r="Q1068" s="392" t="s">
        <v>52</v>
      </c>
      <c r="R1068" s="392" t="s">
        <v>6964</v>
      </c>
      <c r="S1068" s="392" t="s">
        <v>53</v>
      </c>
      <c r="T1068" s="394">
        <v>1</v>
      </c>
      <c r="U1068" s="395">
        <v>55.765999999999998</v>
      </c>
      <c r="V1068" s="395"/>
      <c r="W1068" s="453"/>
      <c r="X1068" s="394"/>
      <c r="Y1068" s="394">
        <v>7</v>
      </c>
      <c r="Z1068" s="394">
        <v>21</v>
      </c>
      <c r="AA1068" s="395">
        <v>2.903</v>
      </c>
      <c r="AB1068" s="452">
        <v>42081</v>
      </c>
      <c r="AC1068" s="398"/>
      <c r="AD1068" s="398">
        <v>323.13723287671235</v>
      </c>
      <c r="AE1068" s="393" t="s">
        <v>54</v>
      </c>
      <c r="AF1068" s="417"/>
      <c r="AG1068" s="417">
        <f>5.182+23.526+19.414+2.895+18.505</f>
        <v>69.522000000000006</v>
      </c>
      <c r="AH1068" s="417">
        <v>69.522000000000006</v>
      </c>
      <c r="AI1068" s="394">
        <v>2</v>
      </c>
      <c r="AJ1068" s="453">
        <v>42444</v>
      </c>
      <c r="AK1068" s="478">
        <v>43089</v>
      </c>
      <c r="AL1068" s="393"/>
      <c r="AM1068" s="393"/>
      <c r="AN1068" s="417"/>
      <c r="AO1068" s="428" t="s">
        <v>54</v>
      </c>
      <c r="AP1068" s="428" t="s">
        <v>8102</v>
      </c>
      <c r="AQ1068" s="392"/>
      <c r="AR1068" s="392" t="s">
        <v>50</v>
      </c>
      <c r="AS1068" s="479">
        <v>40926</v>
      </c>
      <c r="AT1068" s="453"/>
      <c r="AU1068" s="453"/>
      <c r="AV1068" s="453"/>
      <c r="AW1068" s="453"/>
      <c r="AX1068" s="453"/>
      <c r="AY1068" s="453"/>
      <c r="AZ1068" s="452">
        <v>42083</v>
      </c>
      <c r="BA1068" s="393"/>
      <c r="BB1068" s="393"/>
      <c r="BC1068" s="393" t="b">
        <v>0</v>
      </c>
      <c r="BD1068" s="393"/>
      <c r="BE1068" s="392"/>
      <c r="BF1068" s="394">
        <v>4</v>
      </c>
      <c r="BG1068" s="394">
        <v>9</v>
      </c>
      <c r="BH1068" s="394">
        <v>1</v>
      </c>
      <c r="BI1068" s="394">
        <v>8</v>
      </c>
      <c r="BJ1068" s="394">
        <v>6</v>
      </c>
      <c r="BK1068" s="394">
        <v>7</v>
      </c>
      <c r="BL1068" s="444" t="s">
        <v>6985</v>
      </c>
      <c r="BM1068" s="392"/>
      <c r="BN1068" s="393"/>
      <c r="BO1068" s="393"/>
      <c r="BP1068" s="399"/>
      <c r="BQ1068" s="400"/>
      <c r="BR1068" s="401"/>
      <c r="BS1068" s="399"/>
      <c r="BT1068" s="394"/>
      <c r="BU1068" s="417"/>
      <c r="BV1068" s="399">
        <v>1.8</v>
      </c>
      <c r="BW1068" s="393"/>
      <c r="BX1068" s="392"/>
      <c r="BY1068" s="393" t="s">
        <v>7224</v>
      </c>
      <c r="BZ1068" s="393"/>
      <c r="CA1068" s="441"/>
      <c r="CB1068" s="400"/>
      <c r="CC1068" s="398"/>
      <c r="CD1068" s="398"/>
      <c r="CE1068" s="398"/>
      <c r="CF1068" s="398"/>
      <c r="CG1068" s="398"/>
      <c r="CH1068" s="398"/>
      <c r="CI1068" s="398"/>
      <c r="CJ1068" s="398"/>
      <c r="CK1068" s="398">
        <v>44.494</v>
      </c>
      <c r="CL1068" s="398">
        <v>51.667000000000002</v>
      </c>
      <c r="CM1068" s="398">
        <v>54.058</v>
      </c>
      <c r="CN1068" s="398">
        <v>56.448999999999998</v>
      </c>
      <c r="CO1068" s="398">
        <v>58.84</v>
      </c>
      <c r="CP1068" s="398">
        <v>61.231000000000002</v>
      </c>
      <c r="CQ1068" s="398">
        <v>63.622</v>
      </c>
      <c r="CR1068" s="398"/>
      <c r="CS1068" s="398"/>
      <c r="CT1068" s="398"/>
      <c r="CU1068" s="398"/>
      <c r="CV1068" s="398"/>
      <c r="CW1068" s="398"/>
      <c r="CX1068" s="398"/>
      <c r="CY1068" s="398"/>
      <c r="CZ1068" s="398"/>
      <c r="DA1068" s="398"/>
      <c r="DB1068" s="398"/>
      <c r="DC1068" s="398"/>
      <c r="DD1068" s="398"/>
      <c r="DE1068" s="393"/>
      <c r="DF1068" s="393"/>
      <c r="DG1068" s="393"/>
      <c r="DH1068" s="393"/>
      <c r="DI1068" s="393"/>
      <c r="DJ1068" s="393"/>
      <c r="DK1068" s="897"/>
    </row>
    <row r="1069" spans="1:115" ht="25.5" x14ac:dyDescent="0.2">
      <c r="A1069" s="295">
        <v>1065</v>
      </c>
      <c r="B1069" s="390" t="s">
        <v>6965</v>
      </c>
      <c r="C1069" s="390"/>
      <c r="D1069" s="391" t="s">
        <v>6966</v>
      </c>
      <c r="E1069" s="704" t="s">
        <v>6967</v>
      </c>
      <c r="F1069" s="393" t="s">
        <v>1352</v>
      </c>
      <c r="G1069" s="393" t="s">
        <v>1673</v>
      </c>
      <c r="H1069" s="393" t="s">
        <v>42</v>
      </c>
      <c r="I1069" s="392"/>
      <c r="J1069" s="392"/>
      <c r="K1069" s="392" t="s">
        <v>5627</v>
      </c>
      <c r="L1069" s="392" t="s">
        <v>50</v>
      </c>
      <c r="M1069" s="392"/>
      <c r="N1069" s="393" t="s">
        <v>44</v>
      </c>
      <c r="O1069" s="393" t="s">
        <v>51</v>
      </c>
      <c r="P1069" s="393" t="s">
        <v>51</v>
      </c>
      <c r="Q1069" s="392" t="s">
        <v>52</v>
      </c>
      <c r="R1069" s="392" t="s">
        <v>6968</v>
      </c>
      <c r="S1069" s="392" t="s">
        <v>53</v>
      </c>
      <c r="T1069" s="394">
        <v>1</v>
      </c>
      <c r="U1069" s="395">
        <v>52.351999999999997</v>
      </c>
      <c r="V1069" s="395"/>
      <c r="W1069" s="453"/>
      <c r="X1069" s="394"/>
      <c r="Y1069" s="394">
        <v>7</v>
      </c>
      <c r="Z1069" s="394">
        <v>21</v>
      </c>
      <c r="AA1069" s="395">
        <v>2.903</v>
      </c>
      <c r="AB1069" s="452">
        <v>42083</v>
      </c>
      <c r="AC1069" s="398"/>
      <c r="AD1069" s="398">
        <v>303.0678794520548</v>
      </c>
      <c r="AE1069" s="393" t="s">
        <v>54</v>
      </c>
      <c r="AF1069" s="417"/>
      <c r="AG1069" s="417">
        <f>8.274+19.42+12.221+15.853+15.861+13.905+1.286</f>
        <v>86.820000000000007</v>
      </c>
      <c r="AH1069" s="417">
        <v>86.820000000000007</v>
      </c>
      <c r="AI1069" s="394">
        <v>1</v>
      </c>
      <c r="AJ1069" s="453">
        <v>42790</v>
      </c>
      <c r="AK1069" s="478">
        <v>43089</v>
      </c>
      <c r="AL1069" s="393"/>
      <c r="AM1069" s="393"/>
      <c r="AN1069" s="417"/>
      <c r="AO1069" s="428" t="s">
        <v>54</v>
      </c>
      <c r="AP1069" s="428" t="s">
        <v>8102</v>
      </c>
      <c r="AQ1069" s="392"/>
      <c r="AR1069" s="392" t="s">
        <v>50</v>
      </c>
      <c r="AS1069" s="479">
        <v>40926</v>
      </c>
      <c r="AT1069" s="453"/>
      <c r="AU1069" s="453"/>
      <c r="AV1069" s="453"/>
      <c r="AW1069" s="453"/>
      <c r="AX1069" s="453"/>
      <c r="AY1069" s="453"/>
      <c r="AZ1069" s="452">
        <v>42083</v>
      </c>
      <c r="BA1069" s="393"/>
      <c r="BB1069" s="393"/>
      <c r="BC1069" s="393" t="b">
        <v>0</v>
      </c>
      <c r="BD1069" s="393"/>
      <c r="BE1069" s="392"/>
      <c r="BF1069" s="394">
        <v>4</v>
      </c>
      <c r="BG1069" s="394">
        <v>9</v>
      </c>
      <c r="BH1069" s="394">
        <v>1</v>
      </c>
      <c r="BI1069" s="394">
        <v>8</v>
      </c>
      <c r="BJ1069" s="394">
        <v>6</v>
      </c>
      <c r="BK1069" s="394">
        <v>7</v>
      </c>
      <c r="BL1069" s="444" t="s">
        <v>6985</v>
      </c>
      <c r="BM1069" s="392"/>
      <c r="BN1069" s="393"/>
      <c r="BO1069" s="393"/>
      <c r="BP1069" s="399"/>
      <c r="BQ1069" s="400"/>
      <c r="BR1069" s="401"/>
      <c r="BS1069" s="399"/>
      <c r="BT1069" s="394"/>
      <c r="BU1069" s="417"/>
      <c r="BV1069" s="399">
        <v>1.8</v>
      </c>
      <c r="BW1069" s="393"/>
      <c r="BX1069" s="392"/>
      <c r="BY1069" s="393" t="s">
        <v>7224</v>
      </c>
      <c r="BZ1069" s="393"/>
      <c r="CA1069" s="441"/>
      <c r="CB1069" s="400"/>
      <c r="CC1069" s="398"/>
      <c r="CD1069" s="398"/>
      <c r="CE1069" s="398"/>
      <c r="CF1069" s="398"/>
      <c r="CG1069" s="398"/>
      <c r="CH1069" s="398"/>
      <c r="CI1069" s="398"/>
      <c r="CJ1069" s="398"/>
      <c r="CK1069" s="398">
        <v>41.08</v>
      </c>
      <c r="CL1069" s="398">
        <v>48.253</v>
      </c>
      <c r="CM1069" s="398">
        <v>50.643999999999998</v>
      </c>
      <c r="CN1069" s="398">
        <v>53.034999999999997</v>
      </c>
      <c r="CO1069" s="398">
        <v>55.426000000000002</v>
      </c>
      <c r="CP1069" s="398">
        <v>57.817</v>
      </c>
      <c r="CQ1069" s="398">
        <v>60.207999999999998</v>
      </c>
      <c r="CR1069" s="398"/>
      <c r="CS1069" s="398"/>
      <c r="CT1069" s="398"/>
      <c r="CU1069" s="398"/>
      <c r="CV1069" s="398"/>
      <c r="CW1069" s="398"/>
      <c r="CX1069" s="398"/>
      <c r="CY1069" s="398"/>
      <c r="CZ1069" s="398"/>
      <c r="DA1069" s="398"/>
      <c r="DB1069" s="398"/>
      <c r="DC1069" s="398"/>
      <c r="DD1069" s="398"/>
      <c r="DE1069" s="393"/>
      <c r="DF1069" s="393"/>
      <c r="DG1069" s="393"/>
      <c r="DH1069" s="393"/>
      <c r="DI1069" s="393"/>
      <c r="DJ1069" s="393"/>
      <c r="DK1069" s="897"/>
    </row>
    <row r="1070" spans="1:115" ht="25.5" x14ac:dyDescent="0.2">
      <c r="A1070" s="295">
        <v>1066</v>
      </c>
      <c r="B1070" s="390" t="s">
        <v>7004</v>
      </c>
      <c r="C1070" s="390"/>
      <c r="D1070" s="391" t="s">
        <v>7005</v>
      </c>
      <c r="E1070" s="704" t="s">
        <v>7006</v>
      </c>
      <c r="F1070" s="393" t="s">
        <v>1352</v>
      </c>
      <c r="G1070" s="393" t="s">
        <v>1673</v>
      </c>
      <c r="H1070" s="393" t="s">
        <v>42</v>
      </c>
      <c r="I1070" s="392"/>
      <c r="J1070" s="392"/>
      <c r="K1070" s="392" t="s">
        <v>5627</v>
      </c>
      <c r="L1070" s="392" t="s">
        <v>50</v>
      </c>
      <c r="M1070" s="392"/>
      <c r="N1070" s="393" t="s">
        <v>44</v>
      </c>
      <c r="O1070" s="393" t="s">
        <v>51</v>
      </c>
      <c r="P1070" s="393" t="s">
        <v>51</v>
      </c>
      <c r="Q1070" s="392" t="s">
        <v>52</v>
      </c>
      <c r="R1070" s="392" t="s">
        <v>7007</v>
      </c>
      <c r="S1070" s="392" t="s">
        <v>53</v>
      </c>
      <c r="T1070" s="394">
        <v>1</v>
      </c>
      <c r="U1070" s="395">
        <v>27.309000000000001</v>
      </c>
      <c r="V1070" s="395"/>
      <c r="W1070" s="453"/>
      <c r="X1070" s="394"/>
      <c r="Y1070" s="394">
        <v>7</v>
      </c>
      <c r="Z1070" s="394">
        <v>21</v>
      </c>
      <c r="AA1070" s="395">
        <v>5.7119999999999997</v>
      </c>
      <c r="AB1070" s="452">
        <v>42114</v>
      </c>
      <c r="AC1070" s="398"/>
      <c r="AD1070" s="398">
        <v>155.77352876712331</v>
      </c>
      <c r="AE1070" s="393" t="s">
        <v>54</v>
      </c>
      <c r="AF1070" s="417"/>
      <c r="AG1070" s="417">
        <f>7.03+21.751+8.554+17.451+12.903+23.976</f>
        <v>91.665000000000006</v>
      </c>
      <c r="AH1070" s="417">
        <v>91.665000000000006</v>
      </c>
      <c r="AI1070" s="394">
        <v>2</v>
      </c>
      <c r="AJ1070" s="453">
        <v>42444</v>
      </c>
      <c r="AK1070" s="478">
        <v>43089</v>
      </c>
      <c r="AL1070" s="393"/>
      <c r="AM1070" s="393"/>
      <c r="AN1070" s="417"/>
      <c r="AO1070" s="428" t="s">
        <v>54</v>
      </c>
      <c r="AP1070" s="428" t="s">
        <v>8102</v>
      </c>
      <c r="AQ1070" s="392"/>
      <c r="AR1070" s="392" t="s">
        <v>50</v>
      </c>
      <c r="AS1070" s="479">
        <v>40926</v>
      </c>
      <c r="AT1070" s="453"/>
      <c r="AU1070" s="453"/>
      <c r="AV1070" s="453"/>
      <c r="AW1070" s="453"/>
      <c r="AX1070" s="453"/>
      <c r="AY1070" s="453"/>
      <c r="AZ1070" s="452">
        <v>42114</v>
      </c>
      <c r="BA1070" s="393"/>
      <c r="BB1070" s="393"/>
      <c r="BC1070" s="393" t="b">
        <v>0</v>
      </c>
      <c r="BD1070" s="393"/>
      <c r="BE1070" s="392"/>
      <c r="BF1070" s="394">
        <v>4</v>
      </c>
      <c r="BG1070" s="394">
        <v>9</v>
      </c>
      <c r="BH1070" s="394">
        <v>1</v>
      </c>
      <c r="BI1070" s="394">
        <v>8</v>
      </c>
      <c r="BJ1070" s="394">
        <v>6</v>
      </c>
      <c r="BK1070" s="394">
        <v>7</v>
      </c>
      <c r="BL1070" s="444" t="s">
        <v>6985</v>
      </c>
      <c r="BM1070" s="392"/>
      <c r="BN1070" s="393"/>
      <c r="BO1070" s="393"/>
      <c r="BP1070" s="399"/>
      <c r="BQ1070" s="400"/>
      <c r="BR1070" s="401"/>
      <c r="BS1070" s="399"/>
      <c r="BT1070" s="394"/>
      <c r="BU1070" s="417"/>
      <c r="BV1070" s="399"/>
      <c r="BW1070" s="393"/>
      <c r="BX1070" s="392"/>
      <c r="BY1070" s="393" t="s">
        <v>7224</v>
      </c>
      <c r="BZ1070" s="393"/>
      <c r="CA1070" s="441"/>
      <c r="CB1070" s="400"/>
      <c r="CC1070" s="398"/>
      <c r="CD1070" s="398"/>
      <c r="CE1070" s="398"/>
      <c r="CF1070" s="398"/>
      <c r="CG1070" s="398"/>
      <c r="CH1070" s="398"/>
      <c r="CI1070" s="398"/>
      <c r="CJ1070" s="398"/>
      <c r="CK1070" s="398">
        <v>4.6669999999999998</v>
      </c>
      <c r="CL1070" s="398">
        <v>19.128</v>
      </c>
      <c r="CM1070" s="398">
        <v>23.91</v>
      </c>
      <c r="CN1070" s="398">
        <v>28.692</v>
      </c>
      <c r="CO1070" s="398">
        <v>33.473999999999997</v>
      </c>
      <c r="CP1070" s="398">
        <v>38.256</v>
      </c>
      <c r="CQ1070" s="398">
        <v>42.037999999999997</v>
      </c>
      <c r="CR1070" s="398"/>
      <c r="CS1070" s="398"/>
      <c r="CT1070" s="398"/>
      <c r="CU1070" s="398"/>
      <c r="CV1070" s="398"/>
      <c r="CW1070" s="398"/>
      <c r="CX1070" s="398"/>
      <c r="CY1070" s="398"/>
      <c r="CZ1070" s="398"/>
      <c r="DA1070" s="398"/>
      <c r="DB1070" s="398"/>
      <c r="DC1070" s="398"/>
      <c r="DD1070" s="398"/>
      <c r="DE1070" s="393"/>
      <c r="DF1070" s="393"/>
      <c r="DG1070" s="393"/>
      <c r="DH1070" s="393"/>
      <c r="DI1070" s="393"/>
      <c r="DJ1070" s="393"/>
      <c r="DK1070" s="897"/>
    </row>
    <row r="1071" spans="1:115" ht="25.5" x14ac:dyDescent="0.2">
      <c r="A1071" s="295">
        <v>1067</v>
      </c>
      <c r="B1071" s="390" t="s">
        <v>7008</v>
      </c>
      <c r="C1071" s="390"/>
      <c r="D1071" s="391" t="s">
        <v>7009</v>
      </c>
      <c r="E1071" s="704" t="s">
        <v>7010</v>
      </c>
      <c r="F1071" s="393" t="s">
        <v>1352</v>
      </c>
      <c r="G1071" s="393" t="s">
        <v>1673</v>
      </c>
      <c r="H1071" s="393" t="s">
        <v>42</v>
      </c>
      <c r="I1071" s="392"/>
      <c r="J1071" s="392"/>
      <c r="K1071" s="392" t="s">
        <v>5627</v>
      </c>
      <c r="L1071" s="392" t="s">
        <v>50</v>
      </c>
      <c r="M1071" s="392"/>
      <c r="N1071" s="393" t="s">
        <v>44</v>
      </c>
      <c r="O1071" s="393" t="s">
        <v>51</v>
      </c>
      <c r="P1071" s="393" t="s">
        <v>51</v>
      </c>
      <c r="Q1071" s="392" t="s">
        <v>52</v>
      </c>
      <c r="R1071" s="392" t="s">
        <v>7011</v>
      </c>
      <c r="S1071" s="392" t="s">
        <v>53</v>
      </c>
      <c r="T1071" s="394">
        <v>1</v>
      </c>
      <c r="U1071" s="395">
        <v>13.663</v>
      </c>
      <c r="V1071" s="395"/>
      <c r="W1071" s="453"/>
      <c r="X1071" s="394"/>
      <c r="Y1071" s="394">
        <v>7</v>
      </c>
      <c r="Z1071" s="394">
        <v>21</v>
      </c>
      <c r="AA1071" s="395">
        <v>2.903</v>
      </c>
      <c r="AB1071" s="452">
        <v>42118</v>
      </c>
      <c r="AC1071" s="398"/>
      <c r="AD1071" s="398">
        <v>77.785517808219183</v>
      </c>
      <c r="AE1071" s="393" t="s">
        <v>54</v>
      </c>
      <c r="AF1071" s="417"/>
      <c r="AG1071" s="417">
        <f>4.158+18.962+15.537+15.456+15.151+1.095</f>
        <v>70.358999999999995</v>
      </c>
      <c r="AH1071" s="417">
        <v>70.358999999999995</v>
      </c>
      <c r="AI1071" s="394">
        <v>1</v>
      </c>
      <c r="AJ1071" s="453">
        <v>42790</v>
      </c>
      <c r="AK1071" s="478">
        <v>43089</v>
      </c>
      <c r="AL1071" s="393"/>
      <c r="AM1071" s="393"/>
      <c r="AN1071" s="417"/>
      <c r="AO1071" s="428" t="s">
        <v>54</v>
      </c>
      <c r="AP1071" s="428" t="s">
        <v>8102</v>
      </c>
      <c r="AQ1071" s="392"/>
      <c r="AR1071" s="392" t="s">
        <v>50</v>
      </c>
      <c r="AS1071" s="479">
        <v>40926</v>
      </c>
      <c r="AT1071" s="453"/>
      <c r="AU1071" s="453"/>
      <c r="AV1071" s="453"/>
      <c r="AW1071" s="453"/>
      <c r="AX1071" s="453"/>
      <c r="AY1071" s="453"/>
      <c r="AZ1071" s="452">
        <v>42125</v>
      </c>
      <c r="BA1071" s="393"/>
      <c r="BB1071" s="393"/>
      <c r="BC1071" s="393" t="b">
        <v>0</v>
      </c>
      <c r="BD1071" s="393"/>
      <c r="BE1071" s="392"/>
      <c r="BF1071" s="394">
        <v>4</v>
      </c>
      <c r="BG1071" s="394">
        <v>9</v>
      </c>
      <c r="BH1071" s="394">
        <v>1</v>
      </c>
      <c r="BI1071" s="394">
        <v>8</v>
      </c>
      <c r="BJ1071" s="394">
        <v>6</v>
      </c>
      <c r="BK1071" s="394">
        <v>7</v>
      </c>
      <c r="BL1071" s="444" t="s">
        <v>6985</v>
      </c>
      <c r="BM1071" s="392"/>
      <c r="BN1071" s="393"/>
      <c r="BO1071" s="393"/>
      <c r="BP1071" s="399"/>
      <c r="BQ1071" s="400"/>
      <c r="BR1071" s="401"/>
      <c r="BS1071" s="399"/>
      <c r="BT1071" s="394"/>
      <c r="BU1071" s="417"/>
      <c r="BV1071" s="399"/>
      <c r="BW1071" s="393"/>
      <c r="BX1071" s="392"/>
      <c r="BY1071" s="393" t="s">
        <v>7224</v>
      </c>
      <c r="BZ1071" s="393"/>
      <c r="CA1071" s="441"/>
      <c r="CB1071" s="400"/>
      <c r="CC1071" s="398"/>
      <c r="CD1071" s="398"/>
      <c r="CE1071" s="398"/>
      <c r="CF1071" s="398"/>
      <c r="CG1071" s="398"/>
      <c r="CH1071" s="398"/>
      <c r="CI1071" s="398"/>
      <c r="CJ1071" s="398"/>
      <c r="CK1071" s="398">
        <v>2.931</v>
      </c>
      <c r="CL1071" s="398">
        <v>9.5640000000000001</v>
      </c>
      <c r="CM1071" s="398">
        <v>11.955</v>
      </c>
      <c r="CN1071" s="398">
        <v>14.346</v>
      </c>
      <c r="CO1071" s="398">
        <v>16.736999999999998</v>
      </c>
      <c r="CP1071" s="398">
        <v>19.128</v>
      </c>
      <c r="CQ1071" s="398">
        <v>21.518999999999998</v>
      </c>
      <c r="CR1071" s="398"/>
      <c r="CS1071" s="398"/>
      <c r="CT1071" s="398"/>
      <c r="CU1071" s="398"/>
      <c r="CV1071" s="398"/>
      <c r="CW1071" s="398"/>
      <c r="CX1071" s="398"/>
      <c r="CY1071" s="398"/>
      <c r="CZ1071" s="398"/>
      <c r="DA1071" s="398"/>
      <c r="DB1071" s="398"/>
      <c r="DC1071" s="398"/>
      <c r="DD1071" s="398"/>
      <c r="DE1071" s="393"/>
      <c r="DF1071" s="393"/>
      <c r="DG1071" s="393"/>
      <c r="DH1071" s="393"/>
      <c r="DI1071" s="393"/>
      <c r="DJ1071" s="393"/>
      <c r="DK1071" s="897"/>
    </row>
    <row r="1072" spans="1:115" ht="25.5" x14ac:dyDescent="0.2">
      <c r="A1072" s="295">
        <v>1068</v>
      </c>
      <c r="B1072" s="390" t="s">
        <v>7012</v>
      </c>
      <c r="C1072" s="390"/>
      <c r="D1072" s="391" t="s">
        <v>7013</v>
      </c>
      <c r="E1072" s="704" t="s">
        <v>7014</v>
      </c>
      <c r="F1072" s="393" t="s">
        <v>1352</v>
      </c>
      <c r="G1072" s="393" t="s">
        <v>1673</v>
      </c>
      <c r="H1072" s="393" t="s">
        <v>42</v>
      </c>
      <c r="I1072" s="392"/>
      <c r="J1072" s="392"/>
      <c r="K1072" s="392" t="s">
        <v>5627</v>
      </c>
      <c r="L1072" s="392" t="s">
        <v>50</v>
      </c>
      <c r="M1072" s="392"/>
      <c r="N1072" s="393" t="s">
        <v>44</v>
      </c>
      <c r="O1072" s="393" t="s">
        <v>51</v>
      </c>
      <c r="P1072" s="393" t="s">
        <v>51</v>
      </c>
      <c r="Q1072" s="392" t="s">
        <v>52</v>
      </c>
      <c r="R1072" s="392" t="s">
        <v>7011</v>
      </c>
      <c r="S1072" s="392" t="s">
        <v>53</v>
      </c>
      <c r="T1072" s="394">
        <v>1</v>
      </c>
      <c r="U1072" s="395">
        <v>13.663</v>
      </c>
      <c r="V1072" s="395"/>
      <c r="W1072" s="453"/>
      <c r="X1072" s="394"/>
      <c r="Y1072" s="394">
        <v>7</v>
      </c>
      <c r="Z1072" s="394">
        <v>21</v>
      </c>
      <c r="AA1072" s="395">
        <v>2.903</v>
      </c>
      <c r="AB1072" s="452">
        <v>42118</v>
      </c>
      <c r="AC1072" s="398"/>
      <c r="AD1072" s="398">
        <v>77.785517808219183</v>
      </c>
      <c r="AE1072" s="393" t="s">
        <v>54</v>
      </c>
      <c r="AF1072" s="417"/>
      <c r="AG1072" s="417">
        <f>0.064+7.529+11.468+13.173+13.336+13.415</f>
        <v>58.984999999999999</v>
      </c>
      <c r="AH1072" s="417">
        <v>58.984999999999999</v>
      </c>
      <c r="AI1072" s="394">
        <v>1</v>
      </c>
      <c r="AJ1072" s="453">
        <v>42867</v>
      </c>
      <c r="AK1072" s="478">
        <v>43089</v>
      </c>
      <c r="AL1072" s="393"/>
      <c r="AM1072" s="393"/>
      <c r="AN1072" s="417"/>
      <c r="AO1072" s="428" t="s">
        <v>54</v>
      </c>
      <c r="AP1072" s="428" t="s">
        <v>8102</v>
      </c>
      <c r="AQ1072" s="392"/>
      <c r="AR1072" s="392" t="s">
        <v>50</v>
      </c>
      <c r="AS1072" s="479">
        <v>40926</v>
      </c>
      <c r="AT1072" s="453"/>
      <c r="AU1072" s="453"/>
      <c r="AV1072" s="453"/>
      <c r="AW1072" s="453"/>
      <c r="AX1072" s="453"/>
      <c r="AY1072" s="453"/>
      <c r="AZ1072" s="452">
        <v>42125</v>
      </c>
      <c r="BA1072" s="393"/>
      <c r="BB1072" s="393"/>
      <c r="BC1072" s="393" t="b">
        <v>0</v>
      </c>
      <c r="BD1072" s="393"/>
      <c r="BE1072" s="392"/>
      <c r="BF1072" s="394">
        <v>4</v>
      </c>
      <c r="BG1072" s="394">
        <v>9</v>
      </c>
      <c r="BH1072" s="394">
        <v>1</v>
      </c>
      <c r="BI1072" s="394">
        <v>8</v>
      </c>
      <c r="BJ1072" s="394">
        <v>6</v>
      </c>
      <c r="BK1072" s="394">
        <v>7</v>
      </c>
      <c r="BL1072" s="444" t="s">
        <v>6985</v>
      </c>
      <c r="BM1072" s="392"/>
      <c r="BN1072" s="393"/>
      <c r="BO1072" s="393"/>
      <c r="BP1072" s="399"/>
      <c r="BQ1072" s="400"/>
      <c r="BR1072" s="401"/>
      <c r="BS1072" s="399"/>
      <c r="BT1072" s="394"/>
      <c r="BU1072" s="417"/>
      <c r="BV1072" s="399"/>
      <c r="BW1072" s="393"/>
      <c r="BX1072" s="392"/>
      <c r="BY1072" s="393" t="s">
        <v>7224</v>
      </c>
      <c r="BZ1072" s="393"/>
      <c r="CA1072" s="441"/>
      <c r="CB1072" s="400"/>
      <c r="CC1072" s="398"/>
      <c r="CD1072" s="398"/>
      <c r="CE1072" s="398"/>
      <c r="CF1072" s="398"/>
      <c r="CG1072" s="398"/>
      <c r="CH1072" s="398"/>
      <c r="CI1072" s="398"/>
      <c r="CJ1072" s="398"/>
      <c r="CK1072" s="398">
        <v>2.931</v>
      </c>
      <c r="CL1072" s="398">
        <v>9.5640000000000001</v>
      </c>
      <c r="CM1072" s="398">
        <v>11.955</v>
      </c>
      <c r="CN1072" s="398">
        <v>14.346</v>
      </c>
      <c r="CO1072" s="398">
        <v>16.736999999999998</v>
      </c>
      <c r="CP1072" s="398">
        <v>19.128</v>
      </c>
      <c r="CQ1072" s="398">
        <v>21.518999999999998</v>
      </c>
      <c r="CR1072" s="398"/>
      <c r="CS1072" s="398"/>
      <c r="CT1072" s="398"/>
      <c r="CU1072" s="398"/>
      <c r="CV1072" s="398"/>
      <c r="CW1072" s="398"/>
      <c r="CX1072" s="398"/>
      <c r="CY1072" s="398"/>
      <c r="CZ1072" s="398"/>
      <c r="DA1072" s="398"/>
      <c r="DB1072" s="398"/>
      <c r="DC1072" s="398"/>
      <c r="DD1072" s="398"/>
      <c r="DE1072" s="393"/>
      <c r="DF1072" s="393"/>
      <c r="DG1072" s="393"/>
      <c r="DH1072" s="393"/>
      <c r="DI1072" s="393"/>
      <c r="DJ1072" s="393"/>
      <c r="DK1072" s="897"/>
    </row>
    <row r="1073" spans="1:126" ht="38.25" x14ac:dyDescent="0.2">
      <c r="A1073" s="295">
        <v>1069</v>
      </c>
      <c r="B1073" s="390" t="s">
        <v>8868</v>
      </c>
      <c r="C1073" s="390"/>
      <c r="D1073" s="474" t="s">
        <v>8865</v>
      </c>
      <c r="E1073" s="705" t="s">
        <v>8871</v>
      </c>
      <c r="F1073" s="393" t="s">
        <v>1352</v>
      </c>
      <c r="G1073" s="393" t="s">
        <v>1673</v>
      </c>
      <c r="H1073" s="393" t="s">
        <v>42</v>
      </c>
      <c r="I1073" s="392"/>
      <c r="J1073" s="392"/>
      <c r="K1073" s="392" t="s">
        <v>5627</v>
      </c>
      <c r="L1073" s="392" t="s">
        <v>50</v>
      </c>
      <c r="M1073" s="392"/>
      <c r="N1073" s="393" t="s">
        <v>44</v>
      </c>
      <c r="O1073" s="393" t="s">
        <v>51</v>
      </c>
      <c r="P1073" s="393" t="s">
        <v>51</v>
      </c>
      <c r="Q1073" s="392" t="s">
        <v>52</v>
      </c>
      <c r="R1073" s="428" t="s">
        <v>8874</v>
      </c>
      <c r="S1073" s="392" t="s">
        <v>53</v>
      </c>
      <c r="T1073" s="394">
        <v>1</v>
      </c>
      <c r="U1073" s="395">
        <v>106.71899999999999</v>
      </c>
      <c r="V1073" s="395"/>
      <c r="W1073" s="453"/>
      <c r="X1073" s="394"/>
      <c r="Y1073" s="394">
        <v>7</v>
      </c>
      <c r="Z1073" s="394">
        <v>21</v>
      </c>
      <c r="AA1073" s="395"/>
      <c r="AB1073" s="452">
        <v>42706</v>
      </c>
      <c r="AC1073" s="398"/>
      <c r="AD1073" s="398">
        <v>435.64742465753426</v>
      </c>
      <c r="AE1073" s="475" t="s">
        <v>54</v>
      </c>
      <c r="AF1073" s="417"/>
      <c r="AG1073" s="417">
        <f>0.901+0.901+10.975</f>
        <v>12.776999999999999</v>
      </c>
      <c r="AH1073" s="417">
        <v>12.776999999999999</v>
      </c>
      <c r="AI1073" s="394">
        <v>1</v>
      </c>
      <c r="AJ1073" s="453">
        <v>43063</v>
      </c>
      <c r="AK1073" s="478">
        <v>43089</v>
      </c>
      <c r="AL1073" s="393"/>
      <c r="AM1073" s="393"/>
      <c r="AN1073" s="417"/>
      <c r="AO1073" s="428" t="s">
        <v>54</v>
      </c>
      <c r="AP1073" s="428" t="s">
        <v>8102</v>
      </c>
      <c r="AQ1073" s="392"/>
      <c r="AR1073" s="392" t="s">
        <v>50</v>
      </c>
      <c r="AS1073" s="479">
        <v>40926</v>
      </c>
      <c r="AT1073" s="453"/>
      <c r="AU1073" s="453"/>
      <c r="AV1073" s="453"/>
      <c r="AW1073" s="453"/>
      <c r="AX1073" s="453"/>
      <c r="AY1073" s="453"/>
      <c r="AZ1073" s="452">
        <v>42711</v>
      </c>
      <c r="BA1073" s="393"/>
      <c r="BB1073" s="393"/>
      <c r="BC1073" s="393" t="b">
        <v>0</v>
      </c>
      <c r="BD1073" s="393"/>
      <c r="BE1073" s="392"/>
      <c r="BF1073" s="394">
        <v>4</v>
      </c>
      <c r="BG1073" s="394">
        <v>9</v>
      </c>
      <c r="BH1073" s="394">
        <v>1</v>
      </c>
      <c r="BI1073" s="394">
        <v>8</v>
      </c>
      <c r="BJ1073" s="394">
        <v>6</v>
      </c>
      <c r="BK1073" s="394">
        <v>7</v>
      </c>
      <c r="BL1073" s="444" t="s">
        <v>6985</v>
      </c>
      <c r="BM1073" s="392"/>
      <c r="BN1073" s="393"/>
      <c r="BO1073" s="393"/>
      <c r="BP1073" s="399"/>
      <c r="BQ1073" s="400"/>
      <c r="BR1073" s="401"/>
      <c r="BS1073" s="399"/>
      <c r="BT1073" s="394"/>
      <c r="BU1073" s="417"/>
      <c r="BV1073" s="399"/>
      <c r="BW1073" s="393"/>
      <c r="BX1073" s="392"/>
      <c r="BY1073" s="393" t="s">
        <v>7224</v>
      </c>
      <c r="BZ1073" s="393"/>
      <c r="CA1073" s="441"/>
      <c r="CB1073" s="400"/>
      <c r="CC1073" s="398"/>
      <c r="CD1073" s="398"/>
      <c r="CE1073" s="398"/>
      <c r="CF1073" s="398"/>
      <c r="CG1073" s="398"/>
      <c r="CH1073" s="398"/>
      <c r="CI1073" s="398"/>
      <c r="CJ1073" s="398"/>
      <c r="CK1073" s="398"/>
      <c r="CL1073" s="398">
        <v>55.31</v>
      </c>
      <c r="CM1073" s="398">
        <v>79.605000000000004</v>
      </c>
      <c r="CN1073" s="398">
        <v>88.525999999999996</v>
      </c>
      <c r="CO1073" s="398">
        <v>106.367</v>
      </c>
      <c r="CP1073" s="398">
        <v>118.26</v>
      </c>
      <c r="CQ1073" s="398">
        <v>127.181</v>
      </c>
      <c r="CR1073" s="398">
        <v>171.78299999999999</v>
      </c>
      <c r="CS1073" s="398"/>
      <c r="CT1073" s="398"/>
      <c r="CU1073" s="398"/>
      <c r="CV1073" s="398"/>
      <c r="CW1073" s="398"/>
      <c r="CX1073" s="398"/>
      <c r="CY1073" s="398"/>
      <c r="CZ1073" s="398"/>
      <c r="DA1073" s="398"/>
      <c r="DB1073" s="398"/>
      <c r="DC1073" s="398"/>
      <c r="DD1073" s="398"/>
      <c r="DE1073" s="393"/>
      <c r="DF1073" s="393"/>
      <c r="DG1073" s="393"/>
      <c r="DH1073" s="393"/>
      <c r="DI1073" s="393"/>
      <c r="DJ1073" s="393"/>
      <c r="DK1073" s="897"/>
    </row>
    <row r="1074" spans="1:126" ht="38.25" x14ac:dyDescent="0.2">
      <c r="A1074" s="295">
        <v>1070</v>
      </c>
      <c r="B1074" s="390" t="s">
        <v>8869</v>
      </c>
      <c r="C1074" s="577"/>
      <c r="D1074" s="391" t="s">
        <v>8866</v>
      </c>
      <c r="E1074" s="709" t="s">
        <v>8872</v>
      </c>
      <c r="F1074" s="393" t="s">
        <v>1352</v>
      </c>
      <c r="G1074" s="393" t="s">
        <v>1673</v>
      </c>
      <c r="H1074" s="393" t="s">
        <v>42</v>
      </c>
      <c r="I1074" s="563"/>
      <c r="J1074" s="563"/>
      <c r="K1074" s="392" t="s">
        <v>5627</v>
      </c>
      <c r="L1074" s="392" t="s">
        <v>50</v>
      </c>
      <c r="M1074" s="563"/>
      <c r="N1074" s="393" t="s">
        <v>44</v>
      </c>
      <c r="O1074" s="393" t="s">
        <v>51</v>
      </c>
      <c r="P1074" s="393" t="s">
        <v>51</v>
      </c>
      <c r="Q1074" s="392" t="s">
        <v>52</v>
      </c>
      <c r="R1074" s="560" t="s">
        <v>8874</v>
      </c>
      <c r="S1074" s="392" t="s">
        <v>53</v>
      </c>
      <c r="T1074" s="564">
        <v>1</v>
      </c>
      <c r="U1074" s="565">
        <v>111.265</v>
      </c>
      <c r="V1074" s="565"/>
      <c r="W1074" s="566"/>
      <c r="X1074" s="564"/>
      <c r="Y1074" s="564">
        <v>7</v>
      </c>
      <c r="Z1074" s="564">
        <v>21</v>
      </c>
      <c r="AA1074" s="565"/>
      <c r="AB1074" s="567">
        <v>42706</v>
      </c>
      <c r="AC1074" s="568"/>
      <c r="AD1074" s="568">
        <v>454.20506849315069</v>
      </c>
      <c r="AE1074" s="562" t="s">
        <v>54</v>
      </c>
      <c r="AF1074" s="569"/>
      <c r="AG1074" s="569">
        <f>0.641+0.641+8.311</f>
        <v>9.593</v>
      </c>
      <c r="AH1074" s="569">
        <v>9.593</v>
      </c>
      <c r="AI1074" s="564">
        <v>1</v>
      </c>
      <c r="AJ1074" s="566">
        <v>43063</v>
      </c>
      <c r="AK1074" s="478">
        <v>43089</v>
      </c>
      <c r="AL1074" s="561"/>
      <c r="AM1074" s="561"/>
      <c r="AN1074" s="569"/>
      <c r="AO1074" s="428" t="s">
        <v>54</v>
      </c>
      <c r="AP1074" s="428" t="s">
        <v>8102</v>
      </c>
      <c r="AQ1074" s="563"/>
      <c r="AR1074" s="392" t="s">
        <v>50</v>
      </c>
      <c r="AS1074" s="479">
        <v>40926</v>
      </c>
      <c r="AT1074" s="566"/>
      <c r="AU1074" s="566"/>
      <c r="AV1074" s="566"/>
      <c r="AW1074" s="566"/>
      <c r="AX1074" s="566"/>
      <c r="AY1074" s="566"/>
      <c r="AZ1074" s="567">
        <v>42711</v>
      </c>
      <c r="BA1074" s="561"/>
      <c r="BB1074" s="561"/>
      <c r="BC1074" s="393" t="b">
        <v>0</v>
      </c>
      <c r="BD1074" s="561"/>
      <c r="BE1074" s="563"/>
      <c r="BF1074" s="394">
        <v>4</v>
      </c>
      <c r="BG1074" s="394">
        <v>9</v>
      </c>
      <c r="BH1074" s="394">
        <v>1</v>
      </c>
      <c r="BI1074" s="394">
        <v>8</v>
      </c>
      <c r="BJ1074" s="394">
        <v>6</v>
      </c>
      <c r="BK1074" s="394">
        <v>7</v>
      </c>
      <c r="BL1074" s="444" t="s">
        <v>6985</v>
      </c>
      <c r="BM1074" s="563"/>
      <c r="BN1074" s="561"/>
      <c r="BO1074" s="561"/>
      <c r="BP1074" s="571"/>
      <c r="BQ1074" s="572"/>
      <c r="BR1074" s="573"/>
      <c r="BS1074" s="571"/>
      <c r="BT1074" s="564"/>
      <c r="BU1074" s="569"/>
      <c r="BV1074" s="571"/>
      <c r="BW1074" s="561"/>
      <c r="BX1074" s="563"/>
      <c r="BY1074" s="393" t="s">
        <v>7224</v>
      </c>
      <c r="BZ1074" s="561"/>
      <c r="CA1074" s="574"/>
      <c r="CB1074" s="572"/>
      <c r="CC1074" s="568"/>
      <c r="CD1074" s="568"/>
      <c r="CE1074" s="568"/>
      <c r="CF1074" s="568"/>
      <c r="CG1074" s="568"/>
      <c r="CH1074" s="568"/>
      <c r="CI1074" s="568"/>
      <c r="CJ1074" s="568"/>
      <c r="CK1074" s="568"/>
      <c r="CL1074" s="568">
        <v>41.652999999999999</v>
      </c>
      <c r="CM1074" s="568">
        <v>72.813000000000002</v>
      </c>
      <c r="CN1074" s="568">
        <v>85.302999999999997</v>
      </c>
      <c r="CO1074" s="568">
        <v>109.09099999999999</v>
      </c>
      <c r="CP1074" s="568">
        <v>138.82499999999999</v>
      </c>
      <c r="CQ1074" s="568">
        <v>156.666</v>
      </c>
      <c r="CR1074" s="568">
        <v>174.50700000000001</v>
      </c>
      <c r="CS1074" s="568"/>
      <c r="CT1074" s="568"/>
      <c r="CU1074" s="568"/>
      <c r="CV1074" s="568"/>
      <c r="CW1074" s="568"/>
      <c r="CX1074" s="568"/>
      <c r="CY1074" s="568"/>
      <c r="CZ1074" s="568"/>
      <c r="DA1074" s="568"/>
      <c r="DB1074" s="568"/>
      <c r="DC1074" s="568"/>
      <c r="DD1074" s="568"/>
      <c r="DE1074" s="561"/>
      <c r="DF1074" s="561"/>
      <c r="DG1074" s="561"/>
      <c r="DH1074" s="561"/>
      <c r="DI1074" s="561"/>
      <c r="DJ1074" s="561"/>
      <c r="DK1074" s="897"/>
    </row>
    <row r="1075" spans="1:126" ht="38.25" x14ac:dyDescent="0.2">
      <c r="A1075" s="295">
        <v>1071</v>
      </c>
      <c r="B1075" s="390" t="s">
        <v>8870</v>
      </c>
      <c r="C1075" s="577"/>
      <c r="D1075" s="391" t="s">
        <v>8867</v>
      </c>
      <c r="E1075" s="709" t="s">
        <v>8873</v>
      </c>
      <c r="F1075" s="393" t="s">
        <v>1352</v>
      </c>
      <c r="G1075" s="393" t="s">
        <v>1673</v>
      </c>
      <c r="H1075" s="393" t="s">
        <v>42</v>
      </c>
      <c r="I1075" s="563"/>
      <c r="J1075" s="563"/>
      <c r="K1075" s="392" t="s">
        <v>5627</v>
      </c>
      <c r="L1075" s="392" t="s">
        <v>50</v>
      </c>
      <c r="M1075" s="563"/>
      <c r="N1075" s="393" t="s">
        <v>44</v>
      </c>
      <c r="O1075" s="393" t="s">
        <v>51</v>
      </c>
      <c r="P1075" s="393" t="s">
        <v>51</v>
      </c>
      <c r="Q1075" s="392" t="s">
        <v>52</v>
      </c>
      <c r="R1075" s="560" t="s">
        <v>8874</v>
      </c>
      <c r="S1075" s="392" t="s">
        <v>53</v>
      </c>
      <c r="T1075" s="564">
        <v>1</v>
      </c>
      <c r="U1075" s="565">
        <v>108.396</v>
      </c>
      <c r="V1075" s="565"/>
      <c r="W1075" s="566"/>
      <c r="X1075" s="564"/>
      <c r="Y1075" s="564">
        <v>7</v>
      </c>
      <c r="Z1075" s="564">
        <v>21</v>
      </c>
      <c r="AA1075" s="565"/>
      <c r="AB1075" s="567">
        <v>42706</v>
      </c>
      <c r="AC1075" s="568"/>
      <c r="AD1075" s="568">
        <v>442.49326027397262</v>
      </c>
      <c r="AE1075" s="562" t="s">
        <v>54</v>
      </c>
      <c r="AF1075" s="569"/>
      <c r="AG1075" s="569">
        <f>2.095+23.799+31.489</f>
        <v>57.382999999999996</v>
      </c>
      <c r="AH1075" s="569">
        <v>57.382999999999996</v>
      </c>
      <c r="AI1075" s="564"/>
      <c r="AJ1075" s="566">
        <v>43063</v>
      </c>
      <c r="AK1075" s="478">
        <v>43089</v>
      </c>
      <c r="AL1075" s="561"/>
      <c r="AM1075" s="561"/>
      <c r="AN1075" s="569"/>
      <c r="AO1075" s="428" t="s">
        <v>54</v>
      </c>
      <c r="AP1075" s="428" t="s">
        <v>8102</v>
      </c>
      <c r="AQ1075" s="563"/>
      <c r="AR1075" s="392" t="s">
        <v>50</v>
      </c>
      <c r="AS1075" s="479">
        <v>40926</v>
      </c>
      <c r="AT1075" s="566"/>
      <c r="AU1075" s="566"/>
      <c r="AV1075" s="566"/>
      <c r="AW1075" s="566"/>
      <c r="AX1075" s="566"/>
      <c r="AY1075" s="566"/>
      <c r="AZ1075" s="567">
        <v>42711</v>
      </c>
      <c r="BA1075" s="561"/>
      <c r="BB1075" s="561"/>
      <c r="BC1075" s="393" t="b">
        <v>0</v>
      </c>
      <c r="BD1075" s="561"/>
      <c r="BE1075" s="563"/>
      <c r="BF1075" s="394">
        <v>4</v>
      </c>
      <c r="BG1075" s="394">
        <v>9</v>
      </c>
      <c r="BH1075" s="394">
        <v>1</v>
      </c>
      <c r="BI1075" s="394">
        <v>8</v>
      </c>
      <c r="BJ1075" s="394">
        <v>6</v>
      </c>
      <c r="BK1075" s="394">
        <v>7</v>
      </c>
      <c r="BL1075" s="444" t="s">
        <v>6985</v>
      </c>
      <c r="BM1075" s="563"/>
      <c r="BN1075" s="561"/>
      <c r="BO1075" s="561"/>
      <c r="BP1075" s="571"/>
      <c r="BQ1075" s="572"/>
      <c r="BR1075" s="573"/>
      <c r="BS1075" s="571"/>
      <c r="BT1075" s="564"/>
      <c r="BU1075" s="569"/>
      <c r="BV1075" s="571"/>
      <c r="BW1075" s="561"/>
      <c r="BX1075" s="563"/>
      <c r="BY1075" s="393" t="s">
        <v>7224</v>
      </c>
      <c r="BZ1075" s="561"/>
      <c r="CA1075" s="574"/>
      <c r="CB1075" s="572"/>
      <c r="CC1075" s="568"/>
      <c r="CD1075" s="568"/>
      <c r="CE1075" s="568"/>
      <c r="CF1075" s="568"/>
      <c r="CG1075" s="568"/>
      <c r="CH1075" s="568"/>
      <c r="CI1075" s="568"/>
      <c r="CJ1075" s="568"/>
      <c r="CK1075" s="568"/>
      <c r="CL1075" s="568">
        <v>75.858000000000004</v>
      </c>
      <c r="CM1075" s="568">
        <v>95.802000000000007</v>
      </c>
      <c r="CN1075" s="568">
        <v>117.422</v>
      </c>
      <c r="CO1075" s="568">
        <v>117.422</v>
      </c>
      <c r="CP1075" s="568">
        <v>117.422</v>
      </c>
      <c r="CQ1075" s="568">
        <v>117.422</v>
      </c>
      <c r="CR1075" s="568">
        <v>117.422</v>
      </c>
      <c r="CS1075" s="568"/>
      <c r="CT1075" s="568"/>
      <c r="CU1075" s="568"/>
      <c r="CV1075" s="568"/>
      <c r="CW1075" s="568"/>
      <c r="CX1075" s="568"/>
      <c r="CY1075" s="568"/>
      <c r="CZ1075" s="568"/>
      <c r="DA1075" s="568"/>
      <c r="DB1075" s="568"/>
      <c r="DC1075" s="568"/>
      <c r="DD1075" s="568"/>
      <c r="DE1075" s="561"/>
      <c r="DF1075" s="561"/>
      <c r="DG1075" s="561"/>
      <c r="DH1075" s="561"/>
      <c r="DI1075" s="561"/>
      <c r="DJ1075" s="561"/>
      <c r="DK1075" s="897"/>
    </row>
    <row r="1076" spans="1:126" s="836" customFormat="1" ht="25.5" x14ac:dyDescent="0.2">
      <c r="A1076" s="295">
        <v>1072</v>
      </c>
      <c r="B1076" s="390" t="s">
        <v>9667</v>
      </c>
      <c r="C1076" s="577"/>
      <c r="D1076" s="894" t="s">
        <v>9668</v>
      </c>
      <c r="E1076" s="709" t="s">
        <v>9677</v>
      </c>
      <c r="F1076" s="561" t="s">
        <v>1352</v>
      </c>
      <c r="G1076" s="561" t="s">
        <v>1673</v>
      </c>
      <c r="H1076" s="561" t="s">
        <v>42</v>
      </c>
      <c r="I1076" s="563"/>
      <c r="J1076" s="563"/>
      <c r="K1076" s="560" t="s">
        <v>5627</v>
      </c>
      <c r="L1076" s="563" t="s">
        <v>50</v>
      </c>
      <c r="M1076" s="563"/>
      <c r="N1076" s="561" t="s">
        <v>44</v>
      </c>
      <c r="O1076" s="561" t="s">
        <v>51</v>
      </c>
      <c r="P1076" s="561" t="s">
        <v>51</v>
      </c>
      <c r="Q1076" s="563" t="s">
        <v>52</v>
      </c>
      <c r="R1076" s="560" t="s">
        <v>9682</v>
      </c>
      <c r="S1076" s="563" t="s">
        <v>53</v>
      </c>
      <c r="T1076" s="564">
        <v>1</v>
      </c>
      <c r="U1076" s="565">
        <v>1078.049</v>
      </c>
      <c r="V1076" s="565"/>
      <c r="W1076" s="566"/>
      <c r="X1076" s="564"/>
      <c r="Y1076" s="564">
        <v>7</v>
      </c>
      <c r="Z1076" s="564">
        <v>21</v>
      </c>
      <c r="AA1076" s="565"/>
      <c r="AB1076" s="567">
        <v>43337</v>
      </c>
      <c r="AC1076" s="568"/>
      <c r="AD1076" s="568">
        <v>2537.107098630137</v>
      </c>
      <c r="AE1076" s="562" t="s">
        <v>54</v>
      </c>
      <c r="AF1076" s="569"/>
      <c r="AG1076" s="569"/>
      <c r="AH1076" s="569"/>
      <c r="AI1076" s="564"/>
      <c r="AJ1076" s="566"/>
      <c r="AK1076" s="566"/>
      <c r="AL1076" s="561"/>
      <c r="AM1076" s="561"/>
      <c r="AN1076" s="569"/>
      <c r="AO1076" s="560"/>
      <c r="AP1076" s="560" t="s">
        <v>8102</v>
      </c>
      <c r="AQ1076" s="563"/>
      <c r="AR1076" s="563" t="s">
        <v>50</v>
      </c>
      <c r="AS1076" s="578">
        <v>40926</v>
      </c>
      <c r="AT1076" s="566"/>
      <c r="AU1076" s="566"/>
      <c r="AV1076" s="566"/>
      <c r="AW1076" s="566"/>
      <c r="AX1076" s="566"/>
      <c r="AY1076" s="566"/>
      <c r="AZ1076" s="567">
        <v>43336</v>
      </c>
      <c r="BA1076" s="561"/>
      <c r="BB1076" s="561"/>
      <c r="BC1076" s="561" t="b">
        <v>0</v>
      </c>
      <c r="BD1076" s="561"/>
      <c r="BE1076" s="563"/>
      <c r="BF1076" s="564">
        <v>4</v>
      </c>
      <c r="BG1076" s="564">
        <v>9</v>
      </c>
      <c r="BH1076" s="564">
        <v>1</v>
      </c>
      <c r="BI1076" s="564">
        <v>8</v>
      </c>
      <c r="BJ1076" s="564">
        <v>6</v>
      </c>
      <c r="BK1076" s="564">
        <v>7</v>
      </c>
      <c r="BL1076" s="873" t="s">
        <v>6985</v>
      </c>
      <c r="BM1076" s="563"/>
      <c r="BN1076" s="561"/>
      <c r="BO1076" s="561"/>
      <c r="BP1076" s="571"/>
      <c r="BQ1076" s="572"/>
      <c r="BR1076" s="573"/>
      <c r="BS1076" s="571"/>
      <c r="BT1076" s="564"/>
      <c r="BU1076" s="569"/>
      <c r="BV1076" s="571"/>
      <c r="BW1076" s="561"/>
      <c r="BX1076" s="563"/>
      <c r="BY1076" s="561" t="s">
        <v>7224</v>
      </c>
      <c r="BZ1076" s="561"/>
      <c r="CA1076" s="574"/>
      <c r="CB1076" s="572"/>
      <c r="CC1076" s="568"/>
      <c r="CD1076" s="568"/>
      <c r="CE1076" s="568"/>
      <c r="CF1076" s="568"/>
      <c r="CG1076" s="568"/>
      <c r="CH1076" s="568"/>
      <c r="CI1076" s="568"/>
      <c r="CJ1076" s="568"/>
      <c r="CK1076" s="568"/>
      <c r="CL1076" s="568"/>
      <c r="CM1076" s="568"/>
      <c r="CN1076" s="568">
        <v>610.53300000000002</v>
      </c>
      <c r="CO1076" s="893">
        <v>775.04499999999996</v>
      </c>
      <c r="CP1076" s="568">
        <v>934.80600000000004</v>
      </c>
      <c r="CQ1076" s="568">
        <v>1083.48</v>
      </c>
      <c r="CR1076" s="568">
        <v>1232.153</v>
      </c>
      <c r="CS1076" s="568">
        <v>1380.827</v>
      </c>
      <c r="CT1076" s="568">
        <v>1529.5</v>
      </c>
      <c r="CU1076" s="568"/>
      <c r="CV1076" s="568"/>
      <c r="CW1076" s="568"/>
      <c r="CX1076" s="568"/>
      <c r="CY1076" s="568"/>
      <c r="CZ1076" s="568"/>
      <c r="DA1076" s="568"/>
      <c r="DB1076" s="568"/>
      <c r="DC1076" s="568"/>
      <c r="DD1076" s="568"/>
      <c r="DE1076" s="561"/>
      <c r="DF1076" s="561"/>
      <c r="DG1076" s="561"/>
      <c r="DH1076" s="561"/>
      <c r="DI1076" s="561"/>
      <c r="DJ1076" s="561"/>
      <c r="DK1076" s="897"/>
      <c r="DL1076" s="837"/>
      <c r="DM1076" s="837"/>
      <c r="DN1076" s="837"/>
      <c r="DO1076" s="837"/>
      <c r="DP1076" s="837"/>
      <c r="DQ1076" s="837"/>
      <c r="DR1076" s="837"/>
      <c r="DS1076" s="837"/>
      <c r="DT1076" s="837"/>
      <c r="DU1076" s="837"/>
      <c r="DV1076" s="837"/>
    </row>
    <row r="1077" spans="1:126" s="836" customFormat="1" ht="25.5" x14ac:dyDescent="0.2">
      <c r="A1077" s="295">
        <v>1073</v>
      </c>
      <c r="B1077" s="390" t="s">
        <v>9669</v>
      </c>
      <c r="C1077" s="577"/>
      <c r="D1077" s="842" t="s">
        <v>9670</v>
      </c>
      <c r="E1077" s="709" t="s">
        <v>9679</v>
      </c>
      <c r="F1077" s="393" t="s">
        <v>1352</v>
      </c>
      <c r="G1077" s="393" t="s">
        <v>1673</v>
      </c>
      <c r="H1077" s="393" t="s">
        <v>42</v>
      </c>
      <c r="I1077" s="563"/>
      <c r="J1077" s="563"/>
      <c r="K1077" s="560" t="s">
        <v>5627</v>
      </c>
      <c r="L1077" s="563" t="s">
        <v>50</v>
      </c>
      <c r="M1077" s="563"/>
      <c r="N1077" s="561" t="s">
        <v>44</v>
      </c>
      <c r="O1077" s="561" t="s">
        <v>51</v>
      </c>
      <c r="P1077" s="561" t="s">
        <v>51</v>
      </c>
      <c r="Q1077" s="563" t="s">
        <v>52</v>
      </c>
      <c r="R1077" s="560" t="s">
        <v>9682</v>
      </c>
      <c r="S1077" s="563" t="s">
        <v>53</v>
      </c>
      <c r="T1077" s="564">
        <v>1</v>
      </c>
      <c r="U1077" s="565">
        <v>490.90899999999999</v>
      </c>
      <c r="V1077" s="565"/>
      <c r="W1077" s="566"/>
      <c r="X1077" s="564"/>
      <c r="Y1077" s="564">
        <v>7</v>
      </c>
      <c r="Z1077" s="564">
        <v>21</v>
      </c>
      <c r="AA1077" s="565"/>
      <c r="AB1077" s="567">
        <v>43338</v>
      </c>
      <c r="AC1077" s="568"/>
      <c r="AD1077" s="568">
        <v>1153.972389041096</v>
      </c>
      <c r="AE1077" s="562" t="s">
        <v>54</v>
      </c>
      <c r="AF1077" s="569"/>
      <c r="AG1077" s="569"/>
      <c r="AH1077" s="569"/>
      <c r="AI1077" s="564"/>
      <c r="AJ1077" s="566"/>
      <c r="AK1077" s="566"/>
      <c r="AL1077" s="561"/>
      <c r="AM1077" s="561"/>
      <c r="AN1077" s="569"/>
      <c r="AO1077" s="560"/>
      <c r="AP1077" s="560" t="s">
        <v>8102</v>
      </c>
      <c r="AQ1077" s="563"/>
      <c r="AR1077" s="563" t="s">
        <v>50</v>
      </c>
      <c r="AS1077" s="578">
        <v>40926</v>
      </c>
      <c r="AT1077" s="566"/>
      <c r="AU1077" s="566"/>
      <c r="AV1077" s="566"/>
      <c r="AW1077" s="566"/>
      <c r="AX1077" s="566"/>
      <c r="AY1077" s="566"/>
      <c r="AZ1077" s="567">
        <v>43336</v>
      </c>
      <c r="BA1077" s="561"/>
      <c r="BB1077" s="561"/>
      <c r="BC1077" s="561" t="b">
        <v>0</v>
      </c>
      <c r="BD1077" s="561"/>
      <c r="BE1077" s="563"/>
      <c r="BF1077" s="564">
        <v>4</v>
      </c>
      <c r="BG1077" s="564">
        <v>9</v>
      </c>
      <c r="BH1077" s="564">
        <v>1</v>
      </c>
      <c r="BI1077" s="564">
        <v>8</v>
      </c>
      <c r="BJ1077" s="564">
        <v>6</v>
      </c>
      <c r="BK1077" s="564">
        <v>7</v>
      </c>
      <c r="BL1077" s="873" t="s">
        <v>6985</v>
      </c>
      <c r="BM1077" s="563"/>
      <c r="BN1077" s="561"/>
      <c r="BO1077" s="561"/>
      <c r="BP1077" s="571"/>
      <c r="BQ1077" s="572"/>
      <c r="BR1077" s="573"/>
      <c r="BS1077" s="571"/>
      <c r="BT1077" s="564"/>
      <c r="BU1077" s="569"/>
      <c r="BV1077" s="571"/>
      <c r="BW1077" s="561"/>
      <c r="BX1077" s="563"/>
      <c r="BY1077" s="561" t="s">
        <v>7224</v>
      </c>
      <c r="BZ1077" s="561"/>
      <c r="CA1077" s="574"/>
      <c r="CB1077" s="572"/>
      <c r="CC1077" s="568"/>
      <c r="CD1077" s="568"/>
      <c r="CE1077" s="568"/>
      <c r="CF1077" s="568"/>
      <c r="CG1077" s="568"/>
      <c r="CH1077" s="568"/>
      <c r="CI1077" s="568"/>
      <c r="CJ1077" s="568"/>
      <c r="CK1077" s="568"/>
      <c r="CL1077" s="568"/>
      <c r="CM1077" s="568"/>
      <c r="CN1077" s="568">
        <v>73.616</v>
      </c>
      <c r="CO1077" s="893">
        <v>188.77500000000001</v>
      </c>
      <c r="CP1077" s="568">
        <v>337.44799999999998</v>
      </c>
      <c r="CQ1077" s="568">
        <v>486.12200000000001</v>
      </c>
      <c r="CR1077" s="568">
        <v>634.79499999999996</v>
      </c>
      <c r="CS1077" s="568">
        <v>783.46900000000005</v>
      </c>
      <c r="CT1077" s="568">
        <v>932.14200000000005</v>
      </c>
      <c r="CU1077" s="568"/>
      <c r="CV1077" s="568"/>
      <c r="CW1077" s="568"/>
      <c r="CX1077" s="568"/>
      <c r="CY1077" s="568"/>
      <c r="CZ1077" s="568"/>
      <c r="DA1077" s="568"/>
      <c r="DB1077" s="568"/>
      <c r="DC1077" s="568"/>
      <c r="DD1077" s="568"/>
      <c r="DE1077" s="561"/>
      <c r="DF1077" s="561"/>
      <c r="DG1077" s="561"/>
      <c r="DH1077" s="561"/>
      <c r="DI1077" s="561"/>
      <c r="DJ1077" s="561"/>
      <c r="DK1077" s="897"/>
      <c r="DL1077" s="837"/>
      <c r="DM1077" s="837"/>
      <c r="DN1077" s="837"/>
      <c r="DO1077" s="837"/>
      <c r="DP1077" s="837"/>
      <c r="DQ1077" s="837"/>
      <c r="DR1077" s="837"/>
      <c r="DS1077" s="837"/>
      <c r="DT1077" s="837"/>
      <c r="DU1077" s="837"/>
      <c r="DV1077" s="837"/>
    </row>
    <row r="1078" spans="1:126" s="836" customFormat="1" ht="25.5" x14ac:dyDescent="0.2">
      <c r="A1078" s="295">
        <v>1074</v>
      </c>
      <c r="B1078" s="390" t="s">
        <v>9671</v>
      </c>
      <c r="C1078" s="577"/>
      <c r="D1078" s="842" t="s">
        <v>9672</v>
      </c>
      <c r="E1078" s="709" t="s">
        <v>9680</v>
      </c>
      <c r="F1078" s="393" t="s">
        <v>1352</v>
      </c>
      <c r="G1078" s="393" t="s">
        <v>1673</v>
      </c>
      <c r="H1078" s="393" t="s">
        <v>42</v>
      </c>
      <c r="I1078" s="563"/>
      <c r="J1078" s="563"/>
      <c r="K1078" s="560" t="s">
        <v>5627</v>
      </c>
      <c r="L1078" s="563" t="s">
        <v>50</v>
      </c>
      <c r="M1078" s="563"/>
      <c r="N1078" s="561" t="s">
        <v>44</v>
      </c>
      <c r="O1078" s="561" t="s">
        <v>51</v>
      </c>
      <c r="P1078" s="561" t="s">
        <v>51</v>
      </c>
      <c r="Q1078" s="563" t="s">
        <v>52</v>
      </c>
      <c r="R1078" s="560" t="s">
        <v>9682</v>
      </c>
      <c r="S1078" s="563" t="s">
        <v>53</v>
      </c>
      <c r="T1078" s="564">
        <v>1</v>
      </c>
      <c r="U1078" s="565">
        <v>483.02800000000002</v>
      </c>
      <c r="V1078" s="565"/>
      <c r="W1078" s="566"/>
      <c r="X1078" s="564"/>
      <c r="Y1078" s="564">
        <v>7</v>
      </c>
      <c r="Z1078" s="564">
        <v>21</v>
      </c>
      <c r="AA1078" s="565"/>
      <c r="AB1078" s="567">
        <v>43339</v>
      </c>
      <c r="AC1078" s="568"/>
      <c r="AD1078" s="568">
        <v>1134.1232767123288</v>
      </c>
      <c r="AE1078" s="562" t="s">
        <v>54</v>
      </c>
      <c r="AF1078" s="569"/>
      <c r="AG1078" s="569"/>
      <c r="AH1078" s="569"/>
      <c r="AI1078" s="564"/>
      <c r="AJ1078" s="566"/>
      <c r="AK1078" s="566"/>
      <c r="AL1078" s="561"/>
      <c r="AM1078" s="561"/>
      <c r="AN1078" s="569"/>
      <c r="AO1078" s="560"/>
      <c r="AP1078" s="560" t="s">
        <v>8102</v>
      </c>
      <c r="AQ1078" s="563"/>
      <c r="AR1078" s="563" t="s">
        <v>50</v>
      </c>
      <c r="AS1078" s="578">
        <v>40926</v>
      </c>
      <c r="AT1078" s="566"/>
      <c r="AU1078" s="566"/>
      <c r="AV1078" s="566"/>
      <c r="AW1078" s="566"/>
      <c r="AX1078" s="566"/>
      <c r="AY1078" s="566"/>
      <c r="AZ1078" s="567">
        <v>43336</v>
      </c>
      <c r="BA1078" s="561"/>
      <c r="BB1078" s="561"/>
      <c r="BC1078" s="561" t="b">
        <v>0</v>
      </c>
      <c r="BD1078" s="561"/>
      <c r="BE1078" s="563"/>
      <c r="BF1078" s="564">
        <v>4</v>
      </c>
      <c r="BG1078" s="564">
        <v>9</v>
      </c>
      <c r="BH1078" s="564">
        <v>1</v>
      </c>
      <c r="BI1078" s="564">
        <v>8</v>
      </c>
      <c r="BJ1078" s="564">
        <v>6</v>
      </c>
      <c r="BK1078" s="564">
        <v>7</v>
      </c>
      <c r="BL1078" s="873" t="s">
        <v>6985</v>
      </c>
      <c r="BM1078" s="563"/>
      <c r="BN1078" s="561"/>
      <c r="BO1078" s="561"/>
      <c r="BP1078" s="571"/>
      <c r="BQ1078" s="572"/>
      <c r="BR1078" s="573"/>
      <c r="BS1078" s="571"/>
      <c r="BT1078" s="564"/>
      <c r="BU1078" s="569"/>
      <c r="BV1078" s="571"/>
      <c r="BW1078" s="561"/>
      <c r="BX1078" s="563"/>
      <c r="BY1078" s="561" t="s">
        <v>7224</v>
      </c>
      <c r="BZ1078" s="561"/>
      <c r="CA1078" s="574"/>
      <c r="CB1078" s="572"/>
      <c r="CC1078" s="568"/>
      <c r="CD1078" s="568"/>
      <c r="CE1078" s="568"/>
      <c r="CF1078" s="568"/>
      <c r="CG1078" s="568"/>
      <c r="CH1078" s="568"/>
      <c r="CI1078" s="568"/>
      <c r="CJ1078" s="568"/>
      <c r="CK1078" s="568"/>
      <c r="CL1078" s="568"/>
      <c r="CM1078" s="568"/>
      <c r="CN1078" s="568">
        <v>84.632999999999996</v>
      </c>
      <c r="CO1078" s="893">
        <v>202.52199999999999</v>
      </c>
      <c r="CP1078" s="568">
        <v>351.19600000000003</v>
      </c>
      <c r="CQ1078" s="568">
        <v>499.86900000000003</v>
      </c>
      <c r="CR1078" s="568">
        <v>648.54300000000001</v>
      </c>
      <c r="CS1078" s="568">
        <v>797.21600000000001</v>
      </c>
      <c r="CT1078" s="568">
        <v>797.21600000000001</v>
      </c>
      <c r="CU1078" s="568"/>
      <c r="CV1078" s="568"/>
      <c r="CW1078" s="568"/>
      <c r="CX1078" s="568"/>
      <c r="CY1078" s="568"/>
      <c r="CZ1078" s="568"/>
      <c r="DA1078" s="568"/>
      <c r="DB1078" s="568"/>
      <c r="DC1078" s="568"/>
      <c r="DD1078" s="568"/>
      <c r="DE1078" s="561"/>
      <c r="DF1078" s="561"/>
      <c r="DG1078" s="561"/>
      <c r="DH1078" s="561"/>
      <c r="DI1078" s="561"/>
      <c r="DJ1078" s="561"/>
      <c r="DK1078" s="897"/>
      <c r="DL1078" s="837"/>
      <c r="DM1078" s="837"/>
      <c r="DN1078" s="837"/>
      <c r="DO1078" s="837"/>
      <c r="DP1078" s="837"/>
      <c r="DQ1078" s="837"/>
      <c r="DR1078" s="837"/>
      <c r="DS1078" s="837"/>
      <c r="DT1078" s="837"/>
      <c r="DU1078" s="837"/>
      <c r="DV1078" s="837"/>
    </row>
    <row r="1079" spans="1:126" s="836" customFormat="1" ht="25.5" x14ac:dyDescent="0.2">
      <c r="A1079" s="295">
        <v>1075</v>
      </c>
      <c r="B1079" s="390" t="s">
        <v>9673</v>
      </c>
      <c r="C1079" s="577"/>
      <c r="D1079" s="894" t="s">
        <v>9674</v>
      </c>
      <c r="E1079" s="709" t="s">
        <v>9678</v>
      </c>
      <c r="F1079" s="393" t="s">
        <v>1352</v>
      </c>
      <c r="G1079" s="393" t="s">
        <v>1673</v>
      </c>
      <c r="H1079" s="393" t="s">
        <v>42</v>
      </c>
      <c r="I1079" s="563"/>
      <c r="J1079" s="563"/>
      <c r="K1079" s="560" t="s">
        <v>5627</v>
      </c>
      <c r="L1079" s="563" t="s">
        <v>50</v>
      </c>
      <c r="M1079" s="563"/>
      <c r="N1079" s="561" t="s">
        <v>44</v>
      </c>
      <c r="O1079" s="561" t="s">
        <v>51</v>
      </c>
      <c r="P1079" s="561" t="s">
        <v>51</v>
      </c>
      <c r="Q1079" s="563" t="s">
        <v>52</v>
      </c>
      <c r="R1079" s="560" t="s">
        <v>9682</v>
      </c>
      <c r="S1079" s="563" t="s">
        <v>53</v>
      </c>
      <c r="T1079" s="564">
        <v>1</v>
      </c>
      <c r="U1079" s="565">
        <v>185.86099999999999</v>
      </c>
      <c r="V1079" s="565"/>
      <c r="W1079" s="566"/>
      <c r="X1079" s="564"/>
      <c r="Y1079" s="564">
        <v>7</v>
      </c>
      <c r="Z1079" s="564">
        <v>21</v>
      </c>
      <c r="AA1079" s="565"/>
      <c r="AB1079" s="567">
        <v>43340</v>
      </c>
      <c r="AC1079" s="568"/>
      <c r="AD1079" s="568">
        <v>435.88223561643838</v>
      </c>
      <c r="AE1079" s="562" t="s">
        <v>54</v>
      </c>
      <c r="AF1079" s="569"/>
      <c r="AG1079" s="569"/>
      <c r="AH1079" s="569"/>
      <c r="AI1079" s="564"/>
      <c r="AJ1079" s="566"/>
      <c r="AK1079" s="566"/>
      <c r="AL1079" s="561"/>
      <c r="AM1079" s="561"/>
      <c r="AN1079" s="569"/>
      <c r="AO1079" s="560"/>
      <c r="AP1079" s="560" t="s">
        <v>8102</v>
      </c>
      <c r="AQ1079" s="563"/>
      <c r="AR1079" s="563" t="s">
        <v>50</v>
      </c>
      <c r="AS1079" s="578">
        <v>40926</v>
      </c>
      <c r="AT1079" s="566"/>
      <c r="AU1079" s="566"/>
      <c r="AV1079" s="566"/>
      <c r="AW1079" s="566"/>
      <c r="AX1079" s="566"/>
      <c r="AY1079" s="566"/>
      <c r="AZ1079" s="567">
        <v>43336</v>
      </c>
      <c r="BA1079" s="561"/>
      <c r="BB1079" s="561"/>
      <c r="BC1079" s="561" t="b">
        <v>0</v>
      </c>
      <c r="BD1079" s="561"/>
      <c r="BE1079" s="563"/>
      <c r="BF1079" s="564">
        <v>4</v>
      </c>
      <c r="BG1079" s="564">
        <v>9</v>
      </c>
      <c r="BH1079" s="564">
        <v>1</v>
      </c>
      <c r="BI1079" s="564">
        <v>8</v>
      </c>
      <c r="BJ1079" s="564">
        <v>6</v>
      </c>
      <c r="BK1079" s="564">
        <v>7</v>
      </c>
      <c r="BL1079" s="873" t="s">
        <v>6985</v>
      </c>
      <c r="BM1079" s="563"/>
      <c r="BN1079" s="561"/>
      <c r="BO1079" s="561"/>
      <c r="BP1079" s="571"/>
      <c r="BQ1079" s="572"/>
      <c r="BR1079" s="573"/>
      <c r="BS1079" s="571"/>
      <c r="BT1079" s="564"/>
      <c r="BU1079" s="569"/>
      <c r="BV1079" s="571"/>
      <c r="BW1079" s="561"/>
      <c r="BX1079" s="563"/>
      <c r="BY1079" s="561" t="s">
        <v>7224</v>
      </c>
      <c r="BZ1079" s="561"/>
      <c r="CA1079" s="574"/>
      <c r="CB1079" s="572"/>
      <c r="CC1079" s="568"/>
      <c r="CD1079" s="568"/>
      <c r="CE1079" s="568"/>
      <c r="CF1079" s="568"/>
      <c r="CG1079" s="568"/>
      <c r="CH1079" s="568"/>
      <c r="CI1079" s="568"/>
      <c r="CJ1079" s="568"/>
      <c r="CK1079" s="568"/>
      <c r="CL1079" s="568"/>
      <c r="CM1079" s="568"/>
      <c r="CN1079" s="568">
        <v>185.86099999999999</v>
      </c>
      <c r="CO1079" s="893">
        <v>185.86099999999999</v>
      </c>
      <c r="CP1079" s="568">
        <v>185.86099999999999</v>
      </c>
      <c r="CQ1079" s="568">
        <v>185.86099999999999</v>
      </c>
      <c r="CR1079" s="568">
        <v>185.86099999999999</v>
      </c>
      <c r="CS1079" s="568">
        <v>185.86099999999999</v>
      </c>
      <c r="CT1079" s="568">
        <v>185.86099999999999</v>
      </c>
      <c r="CU1079" s="568"/>
      <c r="CV1079" s="568"/>
      <c r="CW1079" s="568"/>
      <c r="CX1079" s="568"/>
      <c r="CY1079" s="568"/>
      <c r="CZ1079" s="568"/>
      <c r="DA1079" s="568"/>
      <c r="DB1079" s="568"/>
      <c r="DC1079" s="568"/>
      <c r="DD1079" s="568"/>
      <c r="DE1079" s="561"/>
      <c r="DF1079" s="561"/>
      <c r="DG1079" s="561"/>
      <c r="DH1079" s="561"/>
      <c r="DI1079" s="561"/>
      <c r="DJ1079" s="561"/>
      <c r="DK1079" s="897"/>
      <c r="DL1079" s="837"/>
      <c r="DM1079" s="837"/>
      <c r="DN1079" s="837"/>
      <c r="DO1079" s="837"/>
      <c r="DP1079" s="837"/>
      <c r="DQ1079" s="837"/>
      <c r="DR1079" s="837"/>
      <c r="DS1079" s="837"/>
      <c r="DT1079" s="837"/>
      <c r="DU1079" s="837"/>
      <c r="DV1079" s="837"/>
    </row>
    <row r="1080" spans="1:126" s="836" customFormat="1" ht="25.5" x14ac:dyDescent="0.2">
      <c r="A1080" s="295">
        <v>1076</v>
      </c>
      <c r="B1080" s="390" t="s">
        <v>9675</v>
      </c>
      <c r="C1080" s="577"/>
      <c r="D1080" s="842" t="s">
        <v>9676</v>
      </c>
      <c r="E1080" s="709" t="s">
        <v>9681</v>
      </c>
      <c r="F1080" s="393" t="s">
        <v>1352</v>
      </c>
      <c r="G1080" s="393" t="s">
        <v>1673</v>
      </c>
      <c r="H1080" s="393" t="s">
        <v>42</v>
      </c>
      <c r="I1080" s="563"/>
      <c r="J1080" s="563"/>
      <c r="K1080" s="560" t="s">
        <v>5627</v>
      </c>
      <c r="L1080" s="563" t="s">
        <v>50</v>
      </c>
      <c r="M1080" s="563"/>
      <c r="N1080" s="561" t="s">
        <v>44</v>
      </c>
      <c r="O1080" s="561" t="s">
        <v>51</v>
      </c>
      <c r="P1080" s="561" t="s">
        <v>51</v>
      </c>
      <c r="Q1080" s="563" t="s">
        <v>52</v>
      </c>
      <c r="R1080" s="560" t="s">
        <v>9682</v>
      </c>
      <c r="S1080" s="563" t="s">
        <v>53</v>
      </c>
      <c r="T1080" s="564">
        <v>1</v>
      </c>
      <c r="U1080" s="565">
        <v>218.83099999999999</v>
      </c>
      <c r="V1080" s="565"/>
      <c r="W1080" s="566"/>
      <c r="X1080" s="564"/>
      <c r="Y1080" s="564">
        <v>7</v>
      </c>
      <c r="Z1080" s="564">
        <v>21</v>
      </c>
      <c r="AA1080" s="565"/>
      <c r="AB1080" s="567">
        <v>43341</v>
      </c>
      <c r="AC1080" s="568"/>
      <c r="AD1080" s="568">
        <v>512.6041232876712</v>
      </c>
      <c r="AE1080" s="562" t="s">
        <v>54</v>
      </c>
      <c r="AF1080" s="569"/>
      <c r="AG1080" s="569"/>
      <c r="AH1080" s="569"/>
      <c r="AI1080" s="564"/>
      <c r="AJ1080" s="566"/>
      <c r="AK1080" s="566"/>
      <c r="AL1080" s="561"/>
      <c r="AM1080" s="561"/>
      <c r="AN1080" s="569"/>
      <c r="AO1080" s="560"/>
      <c r="AP1080" s="560" t="s">
        <v>8102</v>
      </c>
      <c r="AQ1080" s="563"/>
      <c r="AR1080" s="563" t="s">
        <v>50</v>
      </c>
      <c r="AS1080" s="578">
        <v>40926</v>
      </c>
      <c r="AT1080" s="566"/>
      <c r="AU1080" s="566"/>
      <c r="AV1080" s="566"/>
      <c r="AW1080" s="566"/>
      <c r="AX1080" s="566"/>
      <c r="AY1080" s="566"/>
      <c r="AZ1080" s="567">
        <v>43336</v>
      </c>
      <c r="BA1080" s="561"/>
      <c r="BB1080" s="561"/>
      <c r="BC1080" s="561" t="b">
        <v>0</v>
      </c>
      <c r="BD1080" s="561"/>
      <c r="BE1080" s="563"/>
      <c r="BF1080" s="564">
        <v>4</v>
      </c>
      <c r="BG1080" s="564">
        <v>9</v>
      </c>
      <c r="BH1080" s="564">
        <v>1</v>
      </c>
      <c r="BI1080" s="564">
        <v>8</v>
      </c>
      <c r="BJ1080" s="564">
        <v>6</v>
      </c>
      <c r="BK1080" s="564">
        <v>7</v>
      </c>
      <c r="BL1080" s="873" t="s">
        <v>6985</v>
      </c>
      <c r="BM1080" s="563"/>
      <c r="BN1080" s="561"/>
      <c r="BO1080" s="561"/>
      <c r="BP1080" s="571"/>
      <c r="BQ1080" s="572"/>
      <c r="BR1080" s="573"/>
      <c r="BS1080" s="571"/>
      <c r="BT1080" s="564"/>
      <c r="BU1080" s="569"/>
      <c r="BV1080" s="571"/>
      <c r="BW1080" s="561"/>
      <c r="BX1080" s="563"/>
      <c r="BY1080" s="561" t="s">
        <v>7224</v>
      </c>
      <c r="BZ1080" s="561"/>
      <c r="CA1080" s="574"/>
      <c r="CB1080" s="572"/>
      <c r="CC1080" s="568"/>
      <c r="CD1080" s="568"/>
      <c r="CE1080" s="568"/>
      <c r="CF1080" s="568"/>
      <c r="CG1080" s="568"/>
      <c r="CH1080" s="568"/>
      <c r="CI1080" s="568"/>
      <c r="CJ1080" s="568"/>
      <c r="CK1080" s="568"/>
      <c r="CL1080" s="568"/>
      <c r="CM1080" s="568"/>
      <c r="CN1080" s="568">
        <v>25.98</v>
      </c>
      <c r="CO1080" s="893">
        <v>52.741999999999997</v>
      </c>
      <c r="CP1080" s="568">
        <v>171.68</v>
      </c>
      <c r="CQ1080" s="568">
        <v>320.35399999999998</v>
      </c>
      <c r="CR1080" s="568">
        <v>320.35399999999998</v>
      </c>
      <c r="CS1080" s="568">
        <v>320.35399999999998</v>
      </c>
      <c r="CT1080" s="568">
        <v>320.35399999999998</v>
      </c>
      <c r="CU1080" s="568"/>
      <c r="CV1080" s="568"/>
      <c r="CW1080" s="568"/>
      <c r="CX1080" s="568"/>
      <c r="CY1080" s="568"/>
      <c r="CZ1080" s="568"/>
      <c r="DA1080" s="568"/>
      <c r="DB1080" s="568"/>
      <c r="DC1080" s="568"/>
      <c r="DD1080" s="568"/>
      <c r="DE1080" s="561"/>
      <c r="DF1080" s="561"/>
      <c r="DG1080" s="561"/>
      <c r="DH1080" s="561"/>
      <c r="DI1080" s="561"/>
      <c r="DJ1080" s="561"/>
      <c r="DK1080" s="897"/>
      <c r="DL1080" s="837"/>
      <c r="DM1080" s="837"/>
      <c r="DN1080" s="837"/>
      <c r="DO1080" s="837"/>
      <c r="DP1080" s="837"/>
      <c r="DQ1080" s="837"/>
      <c r="DR1080" s="837"/>
      <c r="DS1080" s="837"/>
      <c r="DT1080" s="837"/>
      <c r="DU1080" s="837"/>
      <c r="DV1080" s="837"/>
    </row>
    <row r="1081" spans="1:126" ht="51" x14ac:dyDescent="0.2">
      <c r="A1081" s="295">
        <v>1077</v>
      </c>
      <c r="B1081" s="390" t="s">
        <v>143</v>
      </c>
      <c r="C1081" s="839" t="s">
        <v>7634</v>
      </c>
      <c r="D1081" s="391"/>
      <c r="E1081" s="846" t="s">
        <v>144</v>
      </c>
      <c r="F1081" s="404" t="s">
        <v>1352</v>
      </c>
      <c r="G1081" s="404" t="s">
        <v>1671</v>
      </c>
      <c r="H1081" s="404" t="s">
        <v>117</v>
      </c>
      <c r="I1081" s="848"/>
      <c r="J1081" s="848" t="s">
        <v>117</v>
      </c>
      <c r="K1081" s="403"/>
      <c r="L1081" s="403" t="s">
        <v>126</v>
      </c>
      <c r="M1081" s="848" t="s">
        <v>3399</v>
      </c>
      <c r="N1081" s="404" t="s">
        <v>3142</v>
      </c>
      <c r="O1081" s="404" t="s">
        <v>80</v>
      </c>
      <c r="P1081" s="404" t="s">
        <v>80</v>
      </c>
      <c r="Q1081" s="403" t="s">
        <v>145</v>
      </c>
      <c r="R1081" s="848"/>
      <c r="S1081" s="403" t="s">
        <v>146</v>
      </c>
      <c r="T1081" s="849">
        <v>1</v>
      </c>
      <c r="U1081" s="853">
        <v>146.77600000000001</v>
      </c>
      <c r="V1081" s="853"/>
      <c r="W1081" s="857">
        <v>40927</v>
      </c>
      <c r="X1081" s="849">
        <v>28</v>
      </c>
      <c r="Y1081" s="849"/>
      <c r="Z1081" s="849"/>
      <c r="AA1081" s="853"/>
      <c r="AB1081" s="859"/>
      <c r="AC1081" s="863">
        <v>0</v>
      </c>
      <c r="AD1081" s="863">
        <v>1467.7600000000002</v>
      </c>
      <c r="AE1081" s="758" t="s">
        <v>147</v>
      </c>
      <c r="AF1081" s="867"/>
      <c r="AG1081" s="867"/>
      <c r="AH1081" s="867">
        <v>0</v>
      </c>
      <c r="AI1081" s="849"/>
      <c r="AJ1081" s="859"/>
      <c r="AK1081" s="455"/>
      <c r="AL1081" s="758"/>
      <c r="AM1081" s="758"/>
      <c r="AN1081" s="867"/>
      <c r="AO1081" s="403"/>
      <c r="AP1081" s="403" t="s">
        <v>7065</v>
      </c>
      <c r="AQ1081" s="848"/>
      <c r="AR1081" s="403" t="s">
        <v>3786</v>
      </c>
      <c r="AS1081" s="482">
        <v>40927</v>
      </c>
      <c r="AT1081" s="859"/>
      <c r="AU1081" s="859"/>
      <c r="AV1081" s="859"/>
      <c r="AW1081" s="859"/>
      <c r="AX1081" s="859"/>
      <c r="AY1081" s="859"/>
      <c r="AZ1081" s="859"/>
      <c r="BA1081" s="758"/>
      <c r="BB1081" s="758" t="s">
        <v>3147</v>
      </c>
      <c r="BC1081" s="404" t="b">
        <v>1</v>
      </c>
      <c r="BD1081" s="758" t="s">
        <v>3147</v>
      </c>
      <c r="BE1081" s="848"/>
      <c r="BF1081" s="405">
        <v>1</v>
      </c>
      <c r="BG1081" s="405">
        <v>5</v>
      </c>
      <c r="BH1081" s="405">
        <v>9</v>
      </c>
      <c r="BI1081" s="405"/>
      <c r="BJ1081" s="405"/>
      <c r="BK1081" s="405"/>
      <c r="BL1081" s="446"/>
      <c r="BM1081" s="848"/>
      <c r="BN1081" s="758"/>
      <c r="BO1081" s="758"/>
      <c r="BP1081" s="876"/>
      <c r="BQ1081" s="881"/>
      <c r="BR1081" s="886"/>
      <c r="BS1081" s="876">
        <v>18</v>
      </c>
      <c r="BT1081" s="849"/>
      <c r="BU1081" s="867"/>
      <c r="BV1081" s="876"/>
      <c r="BW1081" s="758"/>
      <c r="BX1081" s="848"/>
      <c r="BY1081" s="404"/>
      <c r="BZ1081" s="758"/>
      <c r="CA1081" s="891"/>
      <c r="CB1081" s="881"/>
      <c r="CC1081" s="863"/>
      <c r="CD1081" s="863"/>
      <c r="CE1081" s="863"/>
      <c r="CF1081" s="863"/>
      <c r="CG1081" s="863"/>
      <c r="CH1081" s="863"/>
      <c r="CI1081" s="863"/>
      <c r="CJ1081" s="863"/>
      <c r="CK1081" s="863"/>
      <c r="CL1081" s="863"/>
      <c r="CM1081" s="863"/>
      <c r="CN1081" s="863"/>
      <c r="CO1081" s="863"/>
      <c r="CP1081" s="863"/>
      <c r="CQ1081" s="863"/>
      <c r="CR1081" s="863"/>
      <c r="CS1081" s="863"/>
      <c r="CT1081" s="863"/>
      <c r="CU1081" s="863"/>
      <c r="CV1081" s="863"/>
      <c r="CW1081" s="863"/>
      <c r="CX1081" s="863"/>
      <c r="CY1081" s="863"/>
      <c r="CZ1081" s="863"/>
      <c r="DA1081" s="863"/>
      <c r="DB1081" s="863"/>
      <c r="DC1081" s="863"/>
      <c r="DD1081" s="863"/>
      <c r="DE1081" s="758"/>
      <c r="DF1081" s="758"/>
      <c r="DG1081" s="758"/>
      <c r="DH1081" s="758"/>
      <c r="DI1081" s="758"/>
      <c r="DJ1081" s="758"/>
      <c r="DK1081" s="897"/>
    </row>
    <row r="1082" spans="1:126" ht="38.25" x14ac:dyDescent="0.2">
      <c r="A1082" s="295">
        <v>1078</v>
      </c>
      <c r="B1082" s="390" t="s">
        <v>2806</v>
      </c>
      <c r="C1082" s="577"/>
      <c r="D1082" s="391"/>
      <c r="E1082" s="846" t="s">
        <v>148</v>
      </c>
      <c r="F1082" s="404" t="s">
        <v>1352</v>
      </c>
      <c r="G1082" s="404" t="s">
        <v>1671</v>
      </c>
      <c r="H1082" s="404" t="s">
        <v>117</v>
      </c>
      <c r="I1082" s="848"/>
      <c r="J1082" s="848"/>
      <c r="K1082" s="848" t="s">
        <v>2215</v>
      </c>
      <c r="L1082" s="403" t="s">
        <v>126</v>
      </c>
      <c r="M1082" s="848"/>
      <c r="N1082" s="404" t="s">
        <v>3142</v>
      </c>
      <c r="O1082" s="404" t="s">
        <v>80</v>
      </c>
      <c r="P1082" s="404" t="s">
        <v>80</v>
      </c>
      <c r="Q1082" s="403" t="s">
        <v>145</v>
      </c>
      <c r="R1082" s="848" t="s">
        <v>3400</v>
      </c>
      <c r="S1082" s="403" t="s">
        <v>146</v>
      </c>
      <c r="T1082" s="849">
        <v>1</v>
      </c>
      <c r="U1082" s="853">
        <v>146.77600000000001</v>
      </c>
      <c r="V1082" s="853"/>
      <c r="W1082" s="859"/>
      <c r="X1082" s="849"/>
      <c r="Y1082" s="849">
        <v>10</v>
      </c>
      <c r="Z1082" s="849">
        <v>25</v>
      </c>
      <c r="AA1082" s="853">
        <v>13.78</v>
      </c>
      <c r="AB1082" s="857">
        <v>41275</v>
      </c>
      <c r="AC1082" s="863">
        <v>0</v>
      </c>
      <c r="AD1082" s="863">
        <v>1467.7600000000002</v>
      </c>
      <c r="AE1082" s="758" t="s">
        <v>147</v>
      </c>
      <c r="AF1082" s="867"/>
      <c r="AG1082" s="867"/>
      <c r="AH1082" s="867"/>
      <c r="AI1082" s="849"/>
      <c r="AJ1082" s="859"/>
      <c r="AK1082" s="859"/>
      <c r="AL1082" s="758"/>
      <c r="AM1082" s="758"/>
      <c r="AN1082" s="867"/>
      <c r="AO1082" s="848"/>
      <c r="AP1082" s="403" t="s">
        <v>7065</v>
      </c>
      <c r="AQ1082" s="848"/>
      <c r="AR1082" s="403" t="s">
        <v>3786</v>
      </c>
      <c r="AS1082" s="482">
        <v>40927</v>
      </c>
      <c r="AT1082" s="859"/>
      <c r="AU1082" s="859"/>
      <c r="AV1082" s="859"/>
      <c r="AW1082" s="859"/>
      <c r="AX1082" s="859"/>
      <c r="AY1082" s="859"/>
      <c r="AZ1082" s="859"/>
      <c r="BA1082" s="758"/>
      <c r="BB1082" s="758"/>
      <c r="BC1082" s="404" t="b">
        <v>0</v>
      </c>
      <c r="BD1082" s="758"/>
      <c r="BE1082" s="848"/>
      <c r="BF1082" s="405">
        <v>1</v>
      </c>
      <c r="BG1082" s="405">
        <v>5</v>
      </c>
      <c r="BH1082" s="405">
        <v>9</v>
      </c>
      <c r="BI1082" s="405"/>
      <c r="BJ1082" s="405"/>
      <c r="BK1082" s="405"/>
      <c r="BL1082" s="446" t="s">
        <v>6981</v>
      </c>
      <c r="BM1082" s="848"/>
      <c r="BN1082" s="758"/>
      <c r="BO1082" s="758"/>
      <c r="BP1082" s="876"/>
      <c r="BQ1082" s="881"/>
      <c r="BR1082" s="886"/>
      <c r="BS1082" s="876">
        <v>18</v>
      </c>
      <c r="BT1082" s="849">
        <v>115498</v>
      </c>
      <c r="BU1082" s="867">
        <v>0.74944999999999995</v>
      </c>
      <c r="BV1082" s="876"/>
      <c r="BW1082" s="758" t="s">
        <v>3117</v>
      </c>
      <c r="BX1082" s="848" t="s">
        <v>1447</v>
      </c>
      <c r="BY1082" s="404"/>
      <c r="BZ1082" s="758"/>
      <c r="CA1082" s="891" t="s">
        <v>1662</v>
      </c>
      <c r="CB1082" s="881">
        <v>3</v>
      </c>
      <c r="CC1082" s="863"/>
      <c r="CD1082" s="863"/>
      <c r="CE1082" s="863"/>
      <c r="CF1082" s="863"/>
      <c r="CG1082" s="863"/>
      <c r="CH1082" s="863"/>
      <c r="CI1082" s="863">
        <v>65.164000000000001</v>
      </c>
      <c r="CJ1082" s="863">
        <v>98.741</v>
      </c>
      <c r="CK1082" s="863">
        <v>122.84099999999999</v>
      </c>
      <c r="CL1082" s="863">
        <v>140.488</v>
      </c>
      <c r="CM1082" s="863">
        <v>153.714</v>
      </c>
      <c r="CN1082" s="863">
        <v>163.887</v>
      </c>
      <c r="CO1082" s="863">
        <v>171.93100000000001</v>
      </c>
      <c r="CP1082" s="863">
        <v>178.471</v>
      </c>
      <c r="CQ1082" s="863">
        <v>183.929</v>
      </c>
      <c r="CR1082" s="863">
        <v>188.596</v>
      </c>
      <c r="CS1082" s="863"/>
      <c r="CT1082" s="863"/>
      <c r="CU1082" s="863"/>
      <c r="CV1082" s="863"/>
      <c r="CW1082" s="863"/>
      <c r="CX1082" s="863"/>
      <c r="CY1082" s="863"/>
      <c r="CZ1082" s="863"/>
      <c r="DA1082" s="863"/>
      <c r="DB1082" s="863"/>
      <c r="DC1082" s="863"/>
      <c r="DD1082" s="863"/>
      <c r="DE1082" s="758"/>
      <c r="DF1082" s="758"/>
      <c r="DG1082" s="758"/>
      <c r="DH1082" s="758"/>
      <c r="DI1082" s="758"/>
      <c r="DJ1082" s="758"/>
      <c r="DK1082" s="897"/>
    </row>
    <row r="1083" spans="1:126" ht="25.5" x14ac:dyDescent="0.2">
      <c r="A1083" s="295">
        <v>1079</v>
      </c>
      <c r="B1083" s="390" t="s">
        <v>1151</v>
      </c>
      <c r="C1083" s="839" t="s">
        <v>7635</v>
      </c>
      <c r="D1083" s="391" t="s">
        <v>5426</v>
      </c>
      <c r="E1083" s="843" t="s">
        <v>1152</v>
      </c>
      <c r="F1083" s="393" t="s">
        <v>1340</v>
      </c>
      <c r="G1083" s="393" t="s">
        <v>1677</v>
      </c>
      <c r="H1083" s="393" t="s">
        <v>1153</v>
      </c>
      <c r="I1083" s="563"/>
      <c r="J1083" s="563" t="s">
        <v>1153</v>
      </c>
      <c r="K1083" s="563"/>
      <c r="L1083" s="392" t="s">
        <v>1154</v>
      </c>
      <c r="M1083" s="563" t="s">
        <v>3401</v>
      </c>
      <c r="N1083" s="393" t="s">
        <v>44</v>
      </c>
      <c r="O1083" s="393" t="s">
        <v>1155</v>
      </c>
      <c r="P1083" s="393" t="s">
        <v>1155</v>
      </c>
      <c r="Q1083" s="392" t="s">
        <v>1155</v>
      </c>
      <c r="R1083" s="563"/>
      <c r="S1083" s="392" t="s">
        <v>650</v>
      </c>
      <c r="T1083" s="564">
        <v>1</v>
      </c>
      <c r="U1083" s="565">
        <v>24.11</v>
      </c>
      <c r="V1083" s="565"/>
      <c r="W1083" s="567">
        <v>40928</v>
      </c>
      <c r="X1083" s="564">
        <v>28</v>
      </c>
      <c r="Y1083" s="564"/>
      <c r="Z1083" s="564"/>
      <c r="AA1083" s="565"/>
      <c r="AB1083" s="566"/>
      <c r="AC1083" s="568">
        <v>0</v>
      </c>
      <c r="AD1083" s="568">
        <v>241.1</v>
      </c>
      <c r="AE1083" s="561" t="s">
        <v>103</v>
      </c>
      <c r="AF1083" s="569"/>
      <c r="AG1083" s="569"/>
      <c r="AH1083" s="569">
        <v>0</v>
      </c>
      <c r="AI1083" s="564"/>
      <c r="AJ1083" s="566"/>
      <c r="AK1083" s="566"/>
      <c r="AL1083" s="561"/>
      <c r="AM1083" s="561"/>
      <c r="AN1083" s="569"/>
      <c r="AO1083" s="563"/>
      <c r="AP1083" s="392" t="s">
        <v>7091</v>
      </c>
      <c r="AQ1083" s="563"/>
      <c r="AR1083" s="392" t="s">
        <v>3789</v>
      </c>
      <c r="AS1083" s="479">
        <v>40928</v>
      </c>
      <c r="AT1083" s="566"/>
      <c r="AU1083" s="566"/>
      <c r="AV1083" s="567">
        <v>41270</v>
      </c>
      <c r="AW1083" s="567">
        <v>41272</v>
      </c>
      <c r="AX1083" s="567">
        <v>41465</v>
      </c>
      <c r="AY1083" s="567">
        <v>41274</v>
      </c>
      <c r="AZ1083" s="566"/>
      <c r="BA1083" s="561"/>
      <c r="BB1083" s="561" t="s">
        <v>3147</v>
      </c>
      <c r="BC1083" s="393" t="b">
        <v>1</v>
      </c>
      <c r="BD1083" s="561" t="s">
        <v>3147</v>
      </c>
      <c r="BE1083" s="563"/>
      <c r="BF1083" s="394">
        <v>9</v>
      </c>
      <c r="BG1083" s="394">
        <v>5</v>
      </c>
      <c r="BH1083" s="394">
        <v>8</v>
      </c>
      <c r="BI1083" s="394">
        <v>11</v>
      </c>
      <c r="BJ1083" s="394"/>
      <c r="BK1083" s="394"/>
      <c r="BL1083" s="444"/>
      <c r="BM1083" s="563"/>
      <c r="BN1083" s="561"/>
      <c r="BO1083" s="561"/>
      <c r="BP1083" s="571"/>
      <c r="BQ1083" s="572"/>
      <c r="BR1083" s="573"/>
      <c r="BS1083" s="571">
        <v>17.100000000000001</v>
      </c>
      <c r="BT1083" s="564"/>
      <c r="BU1083" s="569"/>
      <c r="BV1083" s="571"/>
      <c r="BW1083" s="561"/>
      <c r="BX1083" s="563"/>
      <c r="BY1083" s="393"/>
      <c r="BZ1083" s="561"/>
      <c r="CA1083" s="574"/>
      <c r="CB1083" s="572"/>
      <c r="CC1083" s="568"/>
      <c r="CD1083" s="568"/>
      <c r="CE1083" s="568"/>
      <c r="CF1083" s="568"/>
      <c r="CG1083" s="568"/>
      <c r="CH1083" s="568"/>
      <c r="CI1083" s="568"/>
      <c r="CJ1083" s="568"/>
      <c r="CK1083" s="568"/>
      <c r="CL1083" s="568"/>
      <c r="CM1083" s="568"/>
      <c r="CN1083" s="568"/>
      <c r="CO1083" s="568"/>
      <c r="CP1083" s="568"/>
      <c r="CQ1083" s="568"/>
      <c r="CR1083" s="568"/>
      <c r="CS1083" s="568"/>
      <c r="CT1083" s="568"/>
      <c r="CU1083" s="568"/>
      <c r="CV1083" s="568"/>
      <c r="CW1083" s="568"/>
      <c r="CX1083" s="568"/>
      <c r="CY1083" s="568"/>
      <c r="CZ1083" s="568"/>
      <c r="DA1083" s="568"/>
      <c r="DB1083" s="568"/>
      <c r="DC1083" s="568"/>
      <c r="DD1083" s="568"/>
      <c r="DE1083" s="561"/>
      <c r="DF1083" s="561"/>
      <c r="DG1083" s="561"/>
      <c r="DH1083" s="561"/>
      <c r="DI1083" s="561"/>
      <c r="DJ1083" s="561"/>
      <c r="DK1083" s="896" t="s">
        <v>9700</v>
      </c>
    </row>
    <row r="1084" spans="1:126" ht="25.5" x14ac:dyDescent="0.2">
      <c r="A1084" s="295">
        <v>1080</v>
      </c>
      <c r="B1084" s="390" t="s">
        <v>2807</v>
      </c>
      <c r="C1084" s="577"/>
      <c r="D1084" s="391" t="s">
        <v>5427</v>
      </c>
      <c r="E1084" s="843" t="s">
        <v>5428</v>
      </c>
      <c r="F1084" s="393" t="s">
        <v>1340</v>
      </c>
      <c r="G1084" s="393" t="s">
        <v>1677</v>
      </c>
      <c r="H1084" s="393" t="s">
        <v>1153</v>
      </c>
      <c r="I1084" s="563"/>
      <c r="J1084" s="563"/>
      <c r="K1084" s="563" t="s">
        <v>2216</v>
      </c>
      <c r="L1084" s="392" t="s">
        <v>1154</v>
      </c>
      <c r="M1084" s="563"/>
      <c r="N1084" s="393" t="s">
        <v>44</v>
      </c>
      <c r="O1084" s="393" t="s">
        <v>1155</v>
      </c>
      <c r="P1084" s="393" t="s">
        <v>1155</v>
      </c>
      <c r="Q1084" s="392" t="s">
        <v>1155</v>
      </c>
      <c r="R1084" s="563" t="s">
        <v>3402</v>
      </c>
      <c r="S1084" s="392" t="s">
        <v>650</v>
      </c>
      <c r="T1084" s="564">
        <v>1</v>
      </c>
      <c r="U1084" s="565">
        <v>24.11</v>
      </c>
      <c r="V1084" s="565"/>
      <c r="W1084" s="566"/>
      <c r="X1084" s="564"/>
      <c r="Y1084" s="564">
        <v>10</v>
      </c>
      <c r="Z1084" s="564">
        <v>20</v>
      </c>
      <c r="AA1084" s="565">
        <v>2.3330000000000002</v>
      </c>
      <c r="AB1084" s="567">
        <v>41640</v>
      </c>
      <c r="AC1084" s="568">
        <v>0</v>
      </c>
      <c r="AD1084" s="568">
        <v>241.1</v>
      </c>
      <c r="AE1084" s="561" t="s">
        <v>103</v>
      </c>
      <c r="AF1084" s="569"/>
      <c r="AG1084" s="569"/>
      <c r="AH1084" s="569"/>
      <c r="AI1084" s="564"/>
      <c r="AJ1084" s="566"/>
      <c r="AK1084" s="566"/>
      <c r="AL1084" s="561"/>
      <c r="AM1084" s="561"/>
      <c r="AN1084" s="569"/>
      <c r="AO1084" s="563"/>
      <c r="AP1084" s="392" t="s">
        <v>7091</v>
      </c>
      <c r="AQ1084" s="563"/>
      <c r="AR1084" s="392" t="s">
        <v>3789</v>
      </c>
      <c r="AS1084" s="479">
        <v>40928</v>
      </c>
      <c r="AT1084" s="566"/>
      <c r="AU1084" s="566"/>
      <c r="AV1084" s="566"/>
      <c r="AW1084" s="566"/>
      <c r="AX1084" s="566"/>
      <c r="AY1084" s="566"/>
      <c r="AZ1084" s="567">
        <v>41274</v>
      </c>
      <c r="BA1084" s="561"/>
      <c r="BB1084" s="561"/>
      <c r="BC1084" s="393" t="b">
        <v>0</v>
      </c>
      <c r="BD1084" s="561"/>
      <c r="BE1084" s="563"/>
      <c r="BF1084" s="394">
        <v>9</v>
      </c>
      <c r="BG1084" s="394">
        <v>5</v>
      </c>
      <c r="BH1084" s="394">
        <v>8</v>
      </c>
      <c r="BI1084" s="394">
        <v>11</v>
      </c>
      <c r="BJ1084" s="394"/>
      <c r="BK1084" s="394"/>
      <c r="BL1084" s="444" t="s">
        <v>1451</v>
      </c>
      <c r="BM1084" s="563" t="s">
        <v>3403</v>
      </c>
      <c r="BN1084" s="561" t="s">
        <v>3288</v>
      </c>
      <c r="BO1084" s="561"/>
      <c r="BP1084" s="571"/>
      <c r="BQ1084" s="572"/>
      <c r="BR1084" s="573"/>
      <c r="BS1084" s="571">
        <v>17.100000000000001</v>
      </c>
      <c r="BT1084" s="564">
        <v>53109</v>
      </c>
      <c r="BU1084" s="569">
        <v>0.51124999999999998</v>
      </c>
      <c r="BV1084" s="571"/>
      <c r="BW1084" s="561" t="s">
        <v>3117</v>
      </c>
      <c r="BX1084" s="563" t="s">
        <v>1447</v>
      </c>
      <c r="BY1084" s="393"/>
      <c r="BZ1084" s="561"/>
      <c r="CA1084" s="574" t="s">
        <v>1662</v>
      </c>
      <c r="CB1084" s="572">
        <v>3</v>
      </c>
      <c r="CC1084" s="568"/>
      <c r="CD1084" s="568"/>
      <c r="CE1084" s="568"/>
      <c r="CF1084" s="568"/>
      <c r="CG1084" s="568"/>
      <c r="CH1084" s="568"/>
      <c r="CI1084" s="568"/>
      <c r="CJ1084" s="568">
        <v>5.7130000000000001</v>
      </c>
      <c r="CK1084" s="568">
        <v>18.274999999999999</v>
      </c>
      <c r="CL1084" s="568">
        <v>27.138999999999999</v>
      </c>
      <c r="CM1084" s="568">
        <v>27.138999999999999</v>
      </c>
      <c r="CN1084" s="568">
        <v>27.138999999999999</v>
      </c>
      <c r="CO1084" s="568">
        <v>27.138999999999999</v>
      </c>
      <c r="CP1084" s="568">
        <v>27.138999999999999</v>
      </c>
      <c r="CQ1084" s="568">
        <v>27.138999999999999</v>
      </c>
      <c r="CR1084" s="568">
        <v>27.138999999999999</v>
      </c>
      <c r="CS1084" s="568">
        <v>27.138999999999999</v>
      </c>
      <c r="CT1084" s="568"/>
      <c r="CU1084" s="568"/>
      <c r="CV1084" s="568"/>
      <c r="CW1084" s="568"/>
      <c r="CX1084" s="568"/>
      <c r="CY1084" s="568"/>
      <c r="CZ1084" s="568"/>
      <c r="DA1084" s="568"/>
      <c r="DB1084" s="568"/>
      <c r="DC1084" s="568"/>
      <c r="DD1084" s="568"/>
      <c r="DE1084" s="561"/>
      <c r="DF1084" s="561"/>
      <c r="DG1084" s="561"/>
      <c r="DH1084" s="561"/>
      <c r="DI1084" s="561"/>
      <c r="DJ1084" s="561"/>
      <c r="DK1084" s="897"/>
    </row>
    <row r="1085" spans="1:126" ht="51" x14ac:dyDescent="0.2">
      <c r="A1085" s="295">
        <v>1081</v>
      </c>
      <c r="B1085" s="390" t="s">
        <v>353</v>
      </c>
      <c r="C1085" s="839" t="s">
        <v>7636</v>
      </c>
      <c r="D1085" s="391" t="s">
        <v>5157</v>
      </c>
      <c r="E1085" s="843" t="s">
        <v>354</v>
      </c>
      <c r="F1085" s="393" t="s">
        <v>1375</v>
      </c>
      <c r="G1085" s="393" t="s">
        <v>998</v>
      </c>
      <c r="H1085" s="393" t="s">
        <v>218</v>
      </c>
      <c r="I1085" s="563" t="s">
        <v>4097</v>
      </c>
      <c r="J1085" s="563" t="s">
        <v>2217</v>
      </c>
      <c r="K1085" s="563"/>
      <c r="L1085" s="392" t="s">
        <v>266</v>
      </c>
      <c r="M1085" s="563" t="s">
        <v>3404</v>
      </c>
      <c r="N1085" s="393" t="s">
        <v>44</v>
      </c>
      <c r="O1085" s="393" t="s">
        <v>5030</v>
      </c>
      <c r="P1085" s="393" t="s">
        <v>5030</v>
      </c>
      <c r="Q1085" s="392" t="s">
        <v>1834</v>
      </c>
      <c r="R1085" s="563"/>
      <c r="S1085" s="392" t="s">
        <v>291</v>
      </c>
      <c r="T1085" s="564">
        <v>1</v>
      </c>
      <c r="U1085" s="565">
        <v>18.442</v>
      </c>
      <c r="V1085" s="565"/>
      <c r="W1085" s="567">
        <v>40929</v>
      </c>
      <c r="X1085" s="564">
        <v>28</v>
      </c>
      <c r="Y1085" s="564"/>
      <c r="Z1085" s="564"/>
      <c r="AA1085" s="565"/>
      <c r="AB1085" s="566"/>
      <c r="AC1085" s="568">
        <v>0</v>
      </c>
      <c r="AD1085" s="568">
        <v>148.24336438356164</v>
      </c>
      <c r="AE1085" s="561" t="s">
        <v>355</v>
      </c>
      <c r="AF1085" s="569"/>
      <c r="AG1085" s="569"/>
      <c r="AH1085" s="569">
        <v>0</v>
      </c>
      <c r="AI1085" s="564"/>
      <c r="AJ1085" s="566"/>
      <c r="AK1085" s="566"/>
      <c r="AL1085" s="561"/>
      <c r="AM1085" s="561"/>
      <c r="AN1085" s="569"/>
      <c r="AO1085" s="563"/>
      <c r="AP1085" s="392" t="s">
        <v>55</v>
      </c>
      <c r="AQ1085" s="563"/>
      <c r="AR1085" s="392" t="s">
        <v>356</v>
      </c>
      <c r="AS1085" s="479">
        <v>40929</v>
      </c>
      <c r="AT1085" s="566"/>
      <c r="AU1085" s="566"/>
      <c r="AV1085" s="566"/>
      <c r="AW1085" s="566"/>
      <c r="AX1085" s="566"/>
      <c r="AY1085" s="566"/>
      <c r="AZ1085" s="566"/>
      <c r="BA1085" s="561"/>
      <c r="BB1085" s="561" t="s">
        <v>3147</v>
      </c>
      <c r="BC1085" s="393" t="b">
        <v>1</v>
      </c>
      <c r="BD1085" s="561" t="s">
        <v>3147</v>
      </c>
      <c r="BE1085" s="563"/>
      <c r="BF1085" s="394">
        <v>10</v>
      </c>
      <c r="BG1085" s="394">
        <v>5</v>
      </c>
      <c r="BH1085" s="394">
        <v>9</v>
      </c>
      <c r="BI1085" s="394">
        <v>12</v>
      </c>
      <c r="BJ1085" s="394"/>
      <c r="BK1085" s="394"/>
      <c r="BL1085" s="444"/>
      <c r="BM1085" s="563"/>
      <c r="BN1085" s="561"/>
      <c r="BO1085" s="561"/>
      <c r="BP1085" s="571"/>
      <c r="BQ1085" s="572"/>
      <c r="BR1085" s="573"/>
      <c r="BS1085" s="571">
        <v>5</v>
      </c>
      <c r="BT1085" s="564"/>
      <c r="BU1085" s="569"/>
      <c r="BV1085" s="571"/>
      <c r="BW1085" s="561"/>
      <c r="BX1085" s="563"/>
      <c r="BY1085" s="393"/>
      <c r="BZ1085" s="561"/>
      <c r="CA1085" s="574"/>
      <c r="CB1085" s="572"/>
      <c r="CC1085" s="568"/>
      <c r="CD1085" s="568"/>
      <c r="CE1085" s="568"/>
      <c r="CF1085" s="568"/>
      <c r="CG1085" s="568"/>
      <c r="CH1085" s="568"/>
      <c r="CI1085" s="568"/>
      <c r="CJ1085" s="568"/>
      <c r="CK1085" s="568"/>
      <c r="CL1085" s="568"/>
      <c r="CM1085" s="568"/>
      <c r="CN1085" s="568"/>
      <c r="CO1085" s="568"/>
      <c r="CP1085" s="568"/>
      <c r="CQ1085" s="568"/>
      <c r="CR1085" s="568"/>
      <c r="CS1085" s="568"/>
      <c r="CT1085" s="568"/>
      <c r="CU1085" s="568"/>
      <c r="CV1085" s="568"/>
      <c r="CW1085" s="568"/>
      <c r="CX1085" s="568"/>
      <c r="CY1085" s="568"/>
      <c r="CZ1085" s="568"/>
      <c r="DA1085" s="568"/>
      <c r="DB1085" s="568"/>
      <c r="DC1085" s="568"/>
      <c r="DD1085" s="568"/>
      <c r="DE1085" s="561"/>
      <c r="DF1085" s="561"/>
      <c r="DG1085" s="561"/>
      <c r="DH1085" s="561"/>
      <c r="DI1085" s="561"/>
      <c r="DJ1085" s="561"/>
      <c r="DK1085" s="896" t="s">
        <v>9701</v>
      </c>
    </row>
    <row r="1086" spans="1:126" ht="15" x14ac:dyDescent="0.2">
      <c r="A1086" s="295">
        <v>1082</v>
      </c>
      <c r="B1086" s="390" t="s">
        <v>2808</v>
      </c>
      <c r="C1086" s="577"/>
      <c r="D1086" s="391" t="s">
        <v>4619</v>
      </c>
      <c r="E1086" s="843" t="s">
        <v>760</v>
      </c>
      <c r="F1086" s="393" t="s">
        <v>1375</v>
      </c>
      <c r="G1086" s="393" t="s">
        <v>998</v>
      </c>
      <c r="H1086" s="393" t="s">
        <v>218</v>
      </c>
      <c r="I1086" s="563"/>
      <c r="J1086" s="563"/>
      <c r="K1086" s="563" t="s">
        <v>2166</v>
      </c>
      <c r="L1086" s="392" t="s">
        <v>266</v>
      </c>
      <c r="M1086" s="563"/>
      <c r="N1086" s="393" t="s">
        <v>44</v>
      </c>
      <c r="O1086" s="393" t="s">
        <v>289</v>
      </c>
      <c r="P1086" s="393" t="s">
        <v>289</v>
      </c>
      <c r="Q1086" s="392" t="s">
        <v>721</v>
      </c>
      <c r="R1086" s="563" t="s">
        <v>3405</v>
      </c>
      <c r="S1086" s="392" t="s">
        <v>291</v>
      </c>
      <c r="T1086" s="564">
        <v>1</v>
      </c>
      <c r="U1086" s="565">
        <v>18.442</v>
      </c>
      <c r="V1086" s="565"/>
      <c r="W1086" s="566"/>
      <c r="X1086" s="564"/>
      <c r="Y1086" s="564">
        <v>7</v>
      </c>
      <c r="Z1086" s="564">
        <v>20</v>
      </c>
      <c r="AA1086" s="565">
        <v>0</v>
      </c>
      <c r="AB1086" s="567">
        <v>41262</v>
      </c>
      <c r="AC1086" s="568">
        <v>0</v>
      </c>
      <c r="AD1086" s="568">
        <v>148.24336438356164</v>
      </c>
      <c r="AE1086" s="561" t="s">
        <v>355</v>
      </c>
      <c r="AF1086" s="569"/>
      <c r="AG1086" s="569"/>
      <c r="AH1086" s="569"/>
      <c r="AI1086" s="564"/>
      <c r="AJ1086" s="566"/>
      <c r="AK1086" s="566"/>
      <c r="AL1086" s="561"/>
      <c r="AM1086" s="561"/>
      <c r="AN1086" s="569"/>
      <c r="AO1086" s="563"/>
      <c r="AP1086" s="392" t="s">
        <v>55</v>
      </c>
      <c r="AQ1086" s="563"/>
      <c r="AR1086" s="392" t="s">
        <v>356</v>
      </c>
      <c r="AS1086" s="479">
        <v>40929</v>
      </c>
      <c r="AT1086" s="566"/>
      <c r="AU1086" s="566"/>
      <c r="AV1086" s="567">
        <v>41220</v>
      </c>
      <c r="AW1086" s="567">
        <v>41257</v>
      </c>
      <c r="AX1086" s="567">
        <v>41346</v>
      </c>
      <c r="AY1086" s="566"/>
      <c r="AZ1086" s="566"/>
      <c r="BA1086" s="561"/>
      <c r="BB1086" s="561"/>
      <c r="BC1086" s="393" t="b">
        <v>0</v>
      </c>
      <c r="BD1086" s="561"/>
      <c r="BE1086" s="563"/>
      <c r="BF1086" s="394">
        <v>10</v>
      </c>
      <c r="BG1086" s="394">
        <v>5</v>
      </c>
      <c r="BH1086" s="394">
        <v>9</v>
      </c>
      <c r="BI1086" s="394">
        <v>12</v>
      </c>
      <c r="BJ1086" s="394"/>
      <c r="BK1086" s="394"/>
      <c r="BL1086" s="444" t="s">
        <v>6981</v>
      </c>
      <c r="BM1086" s="563"/>
      <c r="BN1086" s="561"/>
      <c r="BO1086" s="561"/>
      <c r="BP1086" s="571"/>
      <c r="BQ1086" s="572"/>
      <c r="BR1086" s="573"/>
      <c r="BS1086" s="571">
        <v>5</v>
      </c>
      <c r="BT1086" s="564">
        <v>32530</v>
      </c>
      <c r="BU1086" s="569">
        <v>0.56999999999999995</v>
      </c>
      <c r="BV1086" s="571"/>
      <c r="BW1086" s="561" t="s">
        <v>3117</v>
      </c>
      <c r="BX1086" s="563" t="s">
        <v>1450</v>
      </c>
      <c r="BY1086" s="475" t="s">
        <v>7224</v>
      </c>
      <c r="BZ1086" s="561"/>
      <c r="CA1086" s="574"/>
      <c r="CB1086" s="572"/>
      <c r="CC1086" s="568"/>
      <c r="CD1086" s="568"/>
      <c r="CE1086" s="568"/>
      <c r="CF1086" s="568"/>
      <c r="CG1086" s="568"/>
      <c r="CH1086" s="568"/>
      <c r="CI1086" s="568"/>
      <c r="CJ1086" s="568"/>
      <c r="CK1086" s="568">
        <v>6.1470000000000002</v>
      </c>
      <c r="CL1086" s="568">
        <v>18.442</v>
      </c>
      <c r="CM1086" s="568">
        <v>18.442</v>
      </c>
      <c r="CN1086" s="568">
        <v>18.442</v>
      </c>
      <c r="CO1086" s="568">
        <v>18.442</v>
      </c>
      <c r="CP1086" s="568">
        <v>18.442</v>
      </c>
      <c r="CQ1086" s="568">
        <v>18.442</v>
      </c>
      <c r="CR1086" s="568">
        <v>12.295</v>
      </c>
      <c r="CS1086" s="568"/>
      <c r="CT1086" s="568"/>
      <c r="CU1086" s="568"/>
      <c r="CV1086" s="568"/>
      <c r="CW1086" s="568"/>
      <c r="CX1086" s="568"/>
      <c r="CY1086" s="568"/>
      <c r="CZ1086" s="568"/>
      <c r="DA1086" s="568"/>
      <c r="DB1086" s="568"/>
      <c r="DC1086" s="568"/>
      <c r="DD1086" s="568"/>
      <c r="DE1086" s="561"/>
      <c r="DF1086" s="561"/>
      <c r="DG1086" s="561"/>
      <c r="DH1086" s="561"/>
      <c r="DI1086" s="561"/>
      <c r="DJ1086" s="561"/>
      <c r="DK1086" s="897"/>
    </row>
    <row r="1087" spans="1:126" ht="51" x14ac:dyDescent="0.2">
      <c r="A1087" s="295">
        <v>1083</v>
      </c>
      <c r="B1087" s="390" t="s">
        <v>1129</v>
      </c>
      <c r="C1087" s="424" t="s">
        <v>7637</v>
      </c>
      <c r="D1087" s="391" t="s">
        <v>5158</v>
      </c>
      <c r="E1087" s="704" t="s">
        <v>1130</v>
      </c>
      <c r="F1087" s="393" t="s">
        <v>1352</v>
      </c>
      <c r="G1087" s="393" t="s">
        <v>1671</v>
      </c>
      <c r="H1087" s="393" t="s">
        <v>131</v>
      </c>
      <c r="I1087" s="392"/>
      <c r="J1087" s="392" t="s">
        <v>131</v>
      </c>
      <c r="K1087" s="392"/>
      <c r="L1087" s="392" t="s">
        <v>132</v>
      </c>
      <c r="M1087" s="392" t="s">
        <v>3406</v>
      </c>
      <c r="N1087" s="393" t="s">
        <v>44</v>
      </c>
      <c r="O1087" s="393" t="s">
        <v>69</v>
      </c>
      <c r="P1087" s="393" t="s">
        <v>69</v>
      </c>
      <c r="Q1087" s="392" t="s">
        <v>1111</v>
      </c>
      <c r="R1087" s="392"/>
      <c r="S1087" s="392" t="s">
        <v>691</v>
      </c>
      <c r="T1087" s="394">
        <v>1</v>
      </c>
      <c r="U1087" s="395">
        <v>22.771999999999998</v>
      </c>
      <c r="V1087" s="395"/>
      <c r="W1087" s="452">
        <v>41456</v>
      </c>
      <c r="X1087" s="394">
        <v>28</v>
      </c>
      <c r="Y1087" s="394"/>
      <c r="Z1087" s="394"/>
      <c r="AA1087" s="395"/>
      <c r="AB1087" s="453"/>
      <c r="AC1087" s="398">
        <v>0</v>
      </c>
      <c r="AD1087" s="398">
        <v>159.46638904109588</v>
      </c>
      <c r="AE1087" s="393" t="s">
        <v>72</v>
      </c>
      <c r="AF1087" s="417"/>
      <c r="AG1087" s="417"/>
      <c r="AH1087" s="417">
        <v>0</v>
      </c>
      <c r="AI1087" s="394"/>
      <c r="AJ1087" s="453"/>
      <c r="AK1087" s="453"/>
      <c r="AL1087" s="393"/>
      <c r="AM1087" s="393"/>
      <c r="AN1087" s="417"/>
      <c r="AO1087" s="392"/>
      <c r="AP1087" s="392" t="s">
        <v>55</v>
      </c>
      <c r="AQ1087" s="392"/>
      <c r="AR1087" s="392" t="s">
        <v>3783</v>
      </c>
      <c r="AS1087" s="479">
        <v>40930</v>
      </c>
      <c r="AT1087" s="453"/>
      <c r="AU1087" s="453"/>
      <c r="AV1087" s="452">
        <v>41018</v>
      </c>
      <c r="AW1087" s="452">
        <v>41263</v>
      </c>
      <c r="AX1087" s="453"/>
      <c r="AY1087" s="452">
        <v>41361</v>
      </c>
      <c r="AZ1087" s="453"/>
      <c r="BA1087" s="393" t="s">
        <v>6984</v>
      </c>
      <c r="BB1087" s="393" t="s">
        <v>3147</v>
      </c>
      <c r="BC1087" s="393" t="b">
        <v>0</v>
      </c>
      <c r="BD1087" s="393" t="s">
        <v>3147</v>
      </c>
      <c r="BE1087" s="392"/>
      <c r="BF1087" s="394">
        <v>11</v>
      </c>
      <c r="BG1087" s="394">
        <v>5</v>
      </c>
      <c r="BH1087" s="394">
        <v>9</v>
      </c>
      <c r="BI1087" s="394">
        <v>7</v>
      </c>
      <c r="BJ1087" s="394"/>
      <c r="BK1087" s="394"/>
      <c r="BL1087" s="444"/>
      <c r="BM1087" s="392"/>
      <c r="BN1087" s="393"/>
      <c r="BO1087" s="393"/>
      <c r="BP1087" s="399"/>
      <c r="BQ1087" s="400"/>
      <c r="BR1087" s="401"/>
      <c r="BS1087" s="399">
        <v>0</v>
      </c>
      <c r="BT1087" s="394"/>
      <c r="BU1087" s="417"/>
      <c r="BV1087" s="399"/>
      <c r="BW1087" s="393"/>
      <c r="BX1087" s="392"/>
      <c r="BY1087" s="393"/>
      <c r="BZ1087" s="393"/>
      <c r="CA1087" s="441"/>
      <c r="CB1087" s="400"/>
      <c r="CC1087" s="398"/>
      <c r="CD1087" s="398"/>
      <c r="CE1087" s="398"/>
      <c r="CF1087" s="398"/>
      <c r="CG1087" s="398"/>
      <c r="CH1087" s="398"/>
      <c r="CI1087" s="398"/>
      <c r="CJ1087" s="398"/>
      <c r="CK1087" s="398"/>
      <c r="CL1087" s="398"/>
      <c r="CM1087" s="398"/>
      <c r="CN1087" s="398"/>
      <c r="CO1087" s="398"/>
      <c r="CP1087" s="398"/>
      <c r="CQ1087" s="398"/>
      <c r="CR1087" s="398"/>
      <c r="CS1087" s="398"/>
      <c r="CT1087" s="398"/>
      <c r="CU1087" s="398"/>
      <c r="CV1087" s="398"/>
      <c r="CW1087" s="398"/>
      <c r="CX1087" s="398"/>
      <c r="CY1087" s="398"/>
      <c r="CZ1087" s="398"/>
      <c r="DA1087" s="398"/>
      <c r="DB1087" s="398"/>
      <c r="DC1087" s="398"/>
      <c r="DD1087" s="398"/>
      <c r="DE1087" s="393"/>
      <c r="DF1087" s="393"/>
      <c r="DG1087" s="393"/>
      <c r="DH1087" s="393"/>
      <c r="DI1087" s="393"/>
      <c r="DJ1087" s="393"/>
      <c r="DK1087" s="896" t="s">
        <v>9699</v>
      </c>
    </row>
    <row r="1088" spans="1:126" ht="25.5" x14ac:dyDescent="0.2">
      <c r="A1088" s="295">
        <v>1084</v>
      </c>
      <c r="B1088" s="390" t="s">
        <v>2809</v>
      </c>
      <c r="C1088" s="390"/>
      <c r="D1088" s="391" t="s">
        <v>4620</v>
      </c>
      <c r="E1088" s="704" t="s">
        <v>1131</v>
      </c>
      <c r="F1088" s="393" t="s">
        <v>1352</v>
      </c>
      <c r="G1088" s="393" t="s">
        <v>1671</v>
      </c>
      <c r="H1088" s="393" t="s">
        <v>131</v>
      </c>
      <c r="I1088" s="392"/>
      <c r="J1088" s="392"/>
      <c r="K1088" s="392" t="s">
        <v>2218</v>
      </c>
      <c r="L1088" s="392" t="s">
        <v>132</v>
      </c>
      <c r="M1088" s="392"/>
      <c r="N1088" s="393" t="s">
        <v>44</v>
      </c>
      <c r="O1088" s="393" t="s">
        <v>69</v>
      </c>
      <c r="P1088" s="393" t="s">
        <v>69</v>
      </c>
      <c r="Q1088" s="392" t="s">
        <v>1111</v>
      </c>
      <c r="R1088" s="392" t="s">
        <v>3407</v>
      </c>
      <c r="S1088" s="392" t="s">
        <v>691</v>
      </c>
      <c r="T1088" s="394">
        <v>1</v>
      </c>
      <c r="U1088" s="395">
        <v>22.771999999999998</v>
      </c>
      <c r="V1088" s="395"/>
      <c r="W1088" s="453"/>
      <c r="X1088" s="394"/>
      <c r="Y1088" s="394">
        <v>7</v>
      </c>
      <c r="Z1088" s="394">
        <v>21</v>
      </c>
      <c r="AA1088" s="395">
        <v>0</v>
      </c>
      <c r="AB1088" s="452">
        <v>41640</v>
      </c>
      <c r="AC1088" s="398">
        <v>0</v>
      </c>
      <c r="AD1088" s="398">
        <v>159.46638904109588</v>
      </c>
      <c r="AE1088" s="393" t="s">
        <v>72</v>
      </c>
      <c r="AF1088" s="417"/>
      <c r="AG1088" s="417"/>
      <c r="AH1088" s="417"/>
      <c r="AI1088" s="394"/>
      <c r="AJ1088" s="453"/>
      <c r="AK1088" s="453"/>
      <c r="AL1088" s="393"/>
      <c r="AM1088" s="393"/>
      <c r="AN1088" s="417"/>
      <c r="AO1088" s="392"/>
      <c r="AP1088" s="392" t="s">
        <v>55</v>
      </c>
      <c r="AQ1088" s="392"/>
      <c r="AR1088" s="392" t="s">
        <v>3783</v>
      </c>
      <c r="AS1088" s="479">
        <v>40930</v>
      </c>
      <c r="AT1088" s="453"/>
      <c r="AU1088" s="453"/>
      <c r="AV1088" s="453"/>
      <c r="AW1088" s="453"/>
      <c r="AX1088" s="453"/>
      <c r="AY1088" s="453"/>
      <c r="AZ1088" s="452">
        <v>41361</v>
      </c>
      <c r="BA1088" s="393" t="s">
        <v>6984</v>
      </c>
      <c r="BB1088" s="393"/>
      <c r="BC1088" s="393" t="b">
        <v>0</v>
      </c>
      <c r="BD1088" s="393"/>
      <c r="BE1088" s="392"/>
      <c r="BF1088" s="394">
        <v>11</v>
      </c>
      <c r="BG1088" s="394">
        <v>5</v>
      </c>
      <c r="BH1088" s="394">
        <v>9</v>
      </c>
      <c r="BI1088" s="394">
        <v>7</v>
      </c>
      <c r="BJ1088" s="394"/>
      <c r="BK1088" s="394"/>
      <c r="BL1088" s="444" t="s">
        <v>1451</v>
      </c>
      <c r="BM1088" s="392"/>
      <c r="BN1088" s="393"/>
      <c r="BO1088" s="393"/>
      <c r="BP1088" s="399"/>
      <c r="BQ1088" s="400"/>
      <c r="BR1088" s="401"/>
      <c r="BS1088" s="399"/>
      <c r="BT1088" s="394"/>
      <c r="BU1088" s="417"/>
      <c r="BV1088" s="399"/>
      <c r="BW1088" s="393" t="s">
        <v>3117</v>
      </c>
      <c r="BX1088" s="392" t="s">
        <v>1447</v>
      </c>
      <c r="BY1088" s="393"/>
      <c r="BZ1088" s="393"/>
      <c r="CA1088" s="441" t="s">
        <v>1664</v>
      </c>
      <c r="CB1088" s="400"/>
      <c r="CC1088" s="398"/>
      <c r="CD1088" s="398"/>
      <c r="CE1088" s="398"/>
      <c r="CF1088" s="398"/>
      <c r="CG1088" s="398"/>
      <c r="CH1088" s="398"/>
      <c r="CI1088" s="398"/>
      <c r="CJ1088" s="398">
        <v>22.771999999999998</v>
      </c>
      <c r="CK1088" s="398">
        <v>22.771999999999998</v>
      </c>
      <c r="CL1088" s="398">
        <v>22.771999999999998</v>
      </c>
      <c r="CM1088" s="398">
        <v>22.771999999999998</v>
      </c>
      <c r="CN1088" s="398">
        <v>22.771999999999998</v>
      </c>
      <c r="CO1088" s="398">
        <v>22.771999999999998</v>
      </c>
      <c r="CP1088" s="398">
        <v>22.771999999999998</v>
      </c>
      <c r="CQ1088" s="398"/>
      <c r="CR1088" s="398"/>
      <c r="CS1088" s="398"/>
      <c r="CT1088" s="398"/>
      <c r="CU1088" s="398"/>
      <c r="CV1088" s="398"/>
      <c r="CW1088" s="398"/>
      <c r="CX1088" s="398"/>
      <c r="CY1088" s="398"/>
      <c r="CZ1088" s="398"/>
      <c r="DA1088" s="398"/>
      <c r="DB1088" s="398"/>
      <c r="DC1088" s="398"/>
      <c r="DD1088" s="398"/>
      <c r="DE1088" s="393"/>
      <c r="DF1088" s="393"/>
      <c r="DG1088" s="393"/>
      <c r="DH1088" s="393"/>
      <c r="DI1088" s="393"/>
      <c r="DJ1088" s="393"/>
      <c r="DK1088" s="897"/>
    </row>
    <row r="1089" spans="1:115" ht="51" x14ac:dyDescent="0.2">
      <c r="A1089" s="295">
        <v>1085</v>
      </c>
      <c r="B1089" s="390" t="s">
        <v>124</v>
      </c>
      <c r="C1089" s="424" t="s">
        <v>7638</v>
      </c>
      <c r="D1089" s="391"/>
      <c r="E1089" s="706" t="s">
        <v>125</v>
      </c>
      <c r="F1089" s="390" t="s">
        <v>1352</v>
      </c>
      <c r="G1089" s="390" t="s">
        <v>1671</v>
      </c>
      <c r="H1089" s="390" t="s">
        <v>117</v>
      </c>
      <c r="I1089" s="402"/>
      <c r="J1089" s="402" t="s">
        <v>117</v>
      </c>
      <c r="K1089" s="402"/>
      <c r="L1089" s="402" t="s">
        <v>126</v>
      </c>
      <c r="M1089" s="402" t="s">
        <v>3408</v>
      </c>
      <c r="N1089" s="390" t="s">
        <v>33</v>
      </c>
      <c r="O1089" s="390" t="s">
        <v>119</v>
      </c>
      <c r="P1089" s="390" t="s">
        <v>119</v>
      </c>
      <c r="Q1089" s="402" t="s">
        <v>127</v>
      </c>
      <c r="R1089" s="402"/>
      <c r="S1089" s="402" t="s">
        <v>121</v>
      </c>
      <c r="T1089" s="411">
        <v>1</v>
      </c>
      <c r="U1089" s="412">
        <v>78.277000000000001</v>
      </c>
      <c r="V1089" s="412"/>
      <c r="W1089" s="457">
        <v>40969</v>
      </c>
      <c r="X1089" s="411">
        <v>28</v>
      </c>
      <c r="Y1089" s="411"/>
      <c r="Z1089" s="411"/>
      <c r="AA1089" s="412"/>
      <c r="AB1089" s="454"/>
      <c r="AC1089" s="413">
        <v>78.277000000000001</v>
      </c>
      <c r="AD1089" s="413">
        <v>782.77</v>
      </c>
      <c r="AE1089" s="390" t="s">
        <v>72</v>
      </c>
      <c r="AF1089" s="419"/>
      <c r="AG1089" s="419"/>
      <c r="AH1089" s="419">
        <v>0</v>
      </c>
      <c r="AI1089" s="411"/>
      <c r="AJ1089" s="454"/>
      <c r="AK1089" s="454"/>
      <c r="AL1089" s="390"/>
      <c r="AM1089" s="390"/>
      <c r="AN1089" s="419"/>
      <c r="AO1089" s="402"/>
      <c r="AP1089" s="402" t="s">
        <v>55</v>
      </c>
      <c r="AQ1089" s="402"/>
      <c r="AR1089" s="402" t="s">
        <v>3786</v>
      </c>
      <c r="AS1089" s="481">
        <v>40930</v>
      </c>
      <c r="AT1089" s="454"/>
      <c r="AU1089" s="454"/>
      <c r="AV1089" s="454"/>
      <c r="AW1089" s="454"/>
      <c r="AX1089" s="454"/>
      <c r="AY1089" s="454"/>
      <c r="AZ1089" s="454"/>
      <c r="BA1089" s="390"/>
      <c r="BB1089" s="390" t="s">
        <v>3147</v>
      </c>
      <c r="BC1089" s="390" t="b">
        <v>1</v>
      </c>
      <c r="BD1089" s="390" t="s">
        <v>3147</v>
      </c>
      <c r="BE1089" s="402"/>
      <c r="BF1089" s="411">
        <v>1</v>
      </c>
      <c r="BG1089" s="411">
        <v>5</v>
      </c>
      <c r="BH1089" s="411">
        <v>8</v>
      </c>
      <c r="BI1089" s="411"/>
      <c r="BJ1089" s="411"/>
      <c r="BK1089" s="411"/>
      <c r="BL1089" s="445"/>
      <c r="BM1089" s="402"/>
      <c r="BN1089" s="390"/>
      <c r="BO1089" s="390"/>
      <c r="BP1089" s="414"/>
      <c r="BQ1089" s="415"/>
      <c r="BR1089" s="416"/>
      <c r="BS1089" s="414">
        <v>3</v>
      </c>
      <c r="BT1089" s="411"/>
      <c r="BU1089" s="419"/>
      <c r="BV1089" s="414"/>
      <c r="BW1089" s="390"/>
      <c r="BX1089" s="402"/>
      <c r="BY1089" s="390"/>
      <c r="BZ1089" s="390"/>
      <c r="CA1089" s="442"/>
      <c r="CB1089" s="415"/>
      <c r="CC1089" s="413"/>
      <c r="CD1089" s="413"/>
      <c r="CE1089" s="413"/>
      <c r="CF1089" s="413"/>
      <c r="CG1089" s="413"/>
      <c r="CH1089" s="413"/>
      <c r="CI1089" s="413"/>
      <c r="CJ1089" s="413"/>
      <c r="CK1089" s="413"/>
      <c r="CL1089" s="413"/>
      <c r="CM1089" s="413"/>
      <c r="CN1089" s="413"/>
      <c r="CO1089" s="413"/>
      <c r="CP1089" s="413"/>
      <c r="CQ1089" s="413"/>
      <c r="CR1089" s="413"/>
      <c r="CS1089" s="413"/>
      <c r="CT1089" s="413"/>
      <c r="CU1089" s="413"/>
      <c r="CV1089" s="413"/>
      <c r="CW1089" s="413"/>
      <c r="CX1089" s="413"/>
      <c r="CY1089" s="413"/>
      <c r="CZ1089" s="413"/>
      <c r="DA1089" s="413"/>
      <c r="DB1089" s="413"/>
      <c r="DC1089" s="413"/>
      <c r="DD1089" s="413"/>
      <c r="DE1089" s="390"/>
      <c r="DF1089" s="390"/>
      <c r="DG1089" s="390"/>
      <c r="DH1089" s="390"/>
      <c r="DI1089" s="390"/>
      <c r="DJ1089" s="390"/>
      <c r="DK1089" s="897"/>
    </row>
    <row r="1090" spans="1:115" ht="25.5" x14ac:dyDescent="0.2">
      <c r="A1090" s="295">
        <v>1086</v>
      </c>
      <c r="B1090" s="390" t="s">
        <v>2810</v>
      </c>
      <c r="C1090" s="390"/>
      <c r="D1090" s="391"/>
      <c r="E1090" s="706" t="s">
        <v>128</v>
      </c>
      <c r="F1090" s="390" t="s">
        <v>1352</v>
      </c>
      <c r="G1090" s="390" t="s">
        <v>1671</v>
      </c>
      <c r="H1090" s="390" t="s">
        <v>117</v>
      </c>
      <c r="I1090" s="402"/>
      <c r="J1090" s="402"/>
      <c r="K1090" s="402" t="s">
        <v>2175</v>
      </c>
      <c r="L1090" s="402" t="s">
        <v>126</v>
      </c>
      <c r="M1090" s="402"/>
      <c r="N1090" s="390" t="s">
        <v>33</v>
      </c>
      <c r="O1090" s="390" t="s">
        <v>119</v>
      </c>
      <c r="P1090" s="390" t="s">
        <v>119</v>
      </c>
      <c r="Q1090" s="402" t="s">
        <v>127</v>
      </c>
      <c r="R1090" s="402" t="s">
        <v>3409</v>
      </c>
      <c r="S1090" s="402" t="s">
        <v>121</v>
      </c>
      <c r="T1090" s="411">
        <v>1</v>
      </c>
      <c r="U1090" s="412">
        <v>78.277000000000001</v>
      </c>
      <c r="V1090" s="412"/>
      <c r="W1090" s="454"/>
      <c r="X1090" s="411"/>
      <c r="Y1090" s="411">
        <v>10</v>
      </c>
      <c r="Z1090" s="411">
        <v>10</v>
      </c>
      <c r="AA1090" s="412">
        <v>0</v>
      </c>
      <c r="AB1090" s="457">
        <v>41275</v>
      </c>
      <c r="AC1090" s="413">
        <v>78.277000000000001</v>
      </c>
      <c r="AD1090" s="413">
        <v>782.77</v>
      </c>
      <c r="AE1090" s="390" t="s">
        <v>72</v>
      </c>
      <c r="AF1090" s="419"/>
      <c r="AG1090" s="419"/>
      <c r="AH1090" s="419"/>
      <c r="AI1090" s="411"/>
      <c r="AJ1090" s="454"/>
      <c r="AK1090" s="454"/>
      <c r="AL1090" s="390"/>
      <c r="AM1090" s="390"/>
      <c r="AN1090" s="419"/>
      <c r="AO1090" s="402"/>
      <c r="AP1090" s="402" t="s">
        <v>55</v>
      </c>
      <c r="AQ1090" s="402"/>
      <c r="AR1090" s="402" t="s">
        <v>3786</v>
      </c>
      <c r="AS1090" s="481">
        <v>40930</v>
      </c>
      <c r="AT1090" s="454"/>
      <c r="AU1090" s="454"/>
      <c r="AV1090" s="454"/>
      <c r="AW1090" s="454"/>
      <c r="AX1090" s="454"/>
      <c r="AY1090" s="454"/>
      <c r="AZ1090" s="454"/>
      <c r="BA1090" s="390"/>
      <c r="BB1090" s="390"/>
      <c r="BC1090" s="390" t="b">
        <v>0</v>
      </c>
      <c r="BD1090" s="390"/>
      <c r="BE1090" s="402"/>
      <c r="BF1090" s="411">
        <v>1</v>
      </c>
      <c r="BG1090" s="411">
        <v>5</v>
      </c>
      <c r="BH1090" s="411">
        <v>8</v>
      </c>
      <c r="BI1090" s="411"/>
      <c r="BJ1090" s="411"/>
      <c r="BK1090" s="411"/>
      <c r="BL1090" s="445" t="s">
        <v>6981</v>
      </c>
      <c r="BM1090" s="402"/>
      <c r="BN1090" s="390"/>
      <c r="BO1090" s="390"/>
      <c r="BP1090" s="414"/>
      <c r="BQ1090" s="415"/>
      <c r="BR1090" s="416"/>
      <c r="BS1090" s="414">
        <v>3</v>
      </c>
      <c r="BT1090" s="411">
        <v>15500</v>
      </c>
      <c r="BU1090" s="419">
        <v>0.81145</v>
      </c>
      <c r="BV1090" s="414"/>
      <c r="BW1090" s="390" t="s">
        <v>3117</v>
      </c>
      <c r="BX1090" s="402" t="s">
        <v>1447</v>
      </c>
      <c r="BY1090" s="390"/>
      <c r="BZ1090" s="390"/>
      <c r="CA1090" s="442" t="s">
        <v>1662</v>
      </c>
      <c r="CB1090" s="415">
        <v>3</v>
      </c>
      <c r="CC1090" s="413"/>
      <c r="CD1090" s="413"/>
      <c r="CE1090" s="413"/>
      <c r="CF1090" s="413"/>
      <c r="CG1090" s="413"/>
      <c r="CH1090" s="413"/>
      <c r="CI1090" s="413">
        <v>78.277000000000001</v>
      </c>
      <c r="CJ1090" s="413">
        <v>78.277000000000001</v>
      </c>
      <c r="CK1090" s="413">
        <v>78.277000000000001</v>
      </c>
      <c r="CL1090" s="413">
        <v>78.277000000000001</v>
      </c>
      <c r="CM1090" s="413">
        <v>78.277000000000001</v>
      </c>
      <c r="CN1090" s="413">
        <v>78.277000000000001</v>
      </c>
      <c r="CO1090" s="413">
        <v>78.277000000000001</v>
      </c>
      <c r="CP1090" s="413">
        <v>78.277000000000001</v>
      </c>
      <c r="CQ1090" s="413">
        <v>78.277000000000001</v>
      </c>
      <c r="CR1090" s="413">
        <v>78.277000000000001</v>
      </c>
      <c r="CS1090" s="413"/>
      <c r="CT1090" s="413"/>
      <c r="CU1090" s="413"/>
      <c r="CV1090" s="413"/>
      <c r="CW1090" s="413"/>
      <c r="CX1090" s="413"/>
      <c r="CY1090" s="413"/>
      <c r="CZ1090" s="413"/>
      <c r="DA1090" s="413"/>
      <c r="DB1090" s="413"/>
      <c r="DC1090" s="413"/>
      <c r="DD1090" s="413"/>
      <c r="DE1090" s="390"/>
      <c r="DF1090" s="390"/>
      <c r="DG1090" s="390"/>
      <c r="DH1090" s="390"/>
      <c r="DI1090" s="390"/>
      <c r="DJ1090" s="390"/>
      <c r="DK1090" s="897"/>
    </row>
    <row r="1091" spans="1:115" ht="51" x14ac:dyDescent="0.2">
      <c r="A1091" s="295">
        <v>1087</v>
      </c>
      <c r="B1091" s="390" t="s">
        <v>725</v>
      </c>
      <c r="C1091" s="424" t="s">
        <v>7639</v>
      </c>
      <c r="D1091" s="391" t="s">
        <v>6101</v>
      </c>
      <c r="E1091" s="704" t="s">
        <v>726</v>
      </c>
      <c r="F1091" s="393" t="s">
        <v>1340</v>
      </c>
      <c r="G1091" s="393" t="s">
        <v>1677</v>
      </c>
      <c r="H1091" s="393" t="s">
        <v>718</v>
      </c>
      <c r="I1091" s="392"/>
      <c r="J1091" s="392" t="s">
        <v>718</v>
      </c>
      <c r="K1091" s="392"/>
      <c r="L1091" s="392" t="s">
        <v>728</v>
      </c>
      <c r="M1091" s="392" t="s">
        <v>3410</v>
      </c>
      <c r="N1091" s="393" t="s">
        <v>44</v>
      </c>
      <c r="O1091" s="393" t="s">
        <v>289</v>
      </c>
      <c r="P1091" s="393" t="s">
        <v>289</v>
      </c>
      <c r="Q1091" s="392" t="s">
        <v>721</v>
      </c>
      <c r="R1091" s="392"/>
      <c r="S1091" s="392" t="s">
        <v>650</v>
      </c>
      <c r="T1091" s="394">
        <v>1</v>
      </c>
      <c r="U1091" s="395">
        <v>10.989000000000001</v>
      </c>
      <c r="V1091" s="395"/>
      <c r="W1091" s="452">
        <v>40930</v>
      </c>
      <c r="X1091" s="394">
        <v>28</v>
      </c>
      <c r="Y1091" s="394"/>
      <c r="Z1091" s="394"/>
      <c r="AA1091" s="395"/>
      <c r="AB1091" s="453"/>
      <c r="AC1091" s="398">
        <v>0</v>
      </c>
      <c r="AD1091" s="398">
        <v>57.744936986301376</v>
      </c>
      <c r="AE1091" s="393" t="s">
        <v>72</v>
      </c>
      <c r="AF1091" s="417"/>
      <c r="AG1091" s="417"/>
      <c r="AH1091" s="417">
        <v>0</v>
      </c>
      <c r="AI1091" s="394"/>
      <c r="AJ1091" s="453"/>
      <c r="AK1091" s="453"/>
      <c r="AL1091" s="393"/>
      <c r="AM1091" s="393"/>
      <c r="AN1091" s="417"/>
      <c r="AO1091" s="392"/>
      <c r="AP1091" s="392" t="s">
        <v>55</v>
      </c>
      <c r="AQ1091" s="392"/>
      <c r="AR1091" s="392" t="s">
        <v>3790</v>
      </c>
      <c r="AS1091" s="479">
        <v>40930</v>
      </c>
      <c r="AT1091" s="453"/>
      <c r="AU1091" s="453"/>
      <c r="AV1091" s="452">
        <v>41453</v>
      </c>
      <c r="AW1091" s="452">
        <v>41718</v>
      </c>
      <c r="AX1091" s="453"/>
      <c r="AY1091" s="452">
        <v>41718</v>
      </c>
      <c r="AZ1091" s="453"/>
      <c r="BA1091" s="393"/>
      <c r="BB1091" s="393" t="s">
        <v>3147</v>
      </c>
      <c r="BC1091" s="393" t="b">
        <v>0</v>
      </c>
      <c r="BD1091" s="393" t="s">
        <v>3147</v>
      </c>
      <c r="BE1091" s="392"/>
      <c r="BF1091" s="394">
        <v>12</v>
      </c>
      <c r="BG1091" s="394">
        <v>4</v>
      </c>
      <c r="BH1091" s="394"/>
      <c r="BI1091" s="394"/>
      <c r="BJ1091" s="394"/>
      <c r="BK1091" s="394"/>
      <c r="BL1091" s="444"/>
      <c r="BM1091" s="392"/>
      <c r="BN1091" s="393"/>
      <c r="BO1091" s="393"/>
      <c r="BP1091" s="399"/>
      <c r="BQ1091" s="400"/>
      <c r="BR1091" s="401"/>
      <c r="BS1091" s="399">
        <v>3</v>
      </c>
      <c r="BT1091" s="394"/>
      <c r="BU1091" s="417"/>
      <c r="BV1091" s="399"/>
      <c r="BW1091" s="393"/>
      <c r="BX1091" s="392"/>
      <c r="BY1091" s="393"/>
      <c r="BZ1091" s="393"/>
      <c r="CA1091" s="441"/>
      <c r="CB1091" s="400"/>
      <c r="CC1091" s="398"/>
      <c r="CD1091" s="398"/>
      <c r="CE1091" s="398"/>
      <c r="CF1091" s="398"/>
      <c r="CG1091" s="398"/>
      <c r="CH1091" s="398"/>
      <c r="CI1091" s="398"/>
      <c r="CJ1091" s="398"/>
      <c r="CK1091" s="398"/>
      <c r="CL1091" s="398"/>
      <c r="CM1091" s="398"/>
      <c r="CN1091" s="398"/>
      <c r="CO1091" s="398"/>
      <c r="CP1091" s="398"/>
      <c r="CQ1091" s="398"/>
      <c r="CR1091" s="398"/>
      <c r="CS1091" s="398"/>
      <c r="CT1091" s="398"/>
      <c r="CU1091" s="398"/>
      <c r="CV1091" s="398"/>
      <c r="CW1091" s="398"/>
      <c r="CX1091" s="398"/>
      <c r="CY1091" s="398"/>
      <c r="CZ1091" s="398"/>
      <c r="DA1091" s="398"/>
      <c r="DB1091" s="398"/>
      <c r="DC1091" s="398"/>
      <c r="DD1091" s="398"/>
      <c r="DE1091" s="393"/>
      <c r="DF1091" s="393"/>
      <c r="DG1091" s="393"/>
      <c r="DH1091" s="393"/>
      <c r="DI1091" s="393"/>
      <c r="DJ1091" s="393"/>
      <c r="DK1091" s="896" t="s">
        <v>9746</v>
      </c>
    </row>
    <row r="1092" spans="1:115" ht="25.5" x14ac:dyDescent="0.2">
      <c r="A1092" s="295">
        <v>1088</v>
      </c>
      <c r="B1092" s="390" t="s">
        <v>2811</v>
      </c>
      <c r="C1092" s="390"/>
      <c r="D1092" s="391" t="s">
        <v>6102</v>
      </c>
      <c r="E1092" s="704" t="s">
        <v>729</v>
      </c>
      <c r="F1092" s="393" t="s">
        <v>1340</v>
      </c>
      <c r="G1092" s="393" t="s">
        <v>1677</v>
      </c>
      <c r="H1092" s="393" t="s">
        <v>718</v>
      </c>
      <c r="I1092" s="392"/>
      <c r="J1092" s="392"/>
      <c r="K1092" s="392" t="s">
        <v>2219</v>
      </c>
      <c r="L1092" s="392" t="s">
        <v>728</v>
      </c>
      <c r="M1092" s="392"/>
      <c r="N1092" s="393" t="s">
        <v>44</v>
      </c>
      <c r="O1092" s="393" t="s">
        <v>289</v>
      </c>
      <c r="P1092" s="393" t="s">
        <v>289</v>
      </c>
      <c r="Q1092" s="392" t="s">
        <v>721</v>
      </c>
      <c r="R1092" s="392" t="s">
        <v>3411</v>
      </c>
      <c r="S1092" s="392" t="s">
        <v>650</v>
      </c>
      <c r="T1092" s="394">
        <v>1</v>
      </c>
      <c r="U1092" s="395">
        <v>10.989000000000001</v>
      </c>
      <c r="V1092" s="395"/>
      <c r="W1092" s="453"/>
      <c r="X1092" s="394"/>
      <c r="Y1092" s="394">
        <v>7</v>
      </c>
      <c r="Z1092" s="394">
        <v>30</v>
      </c>
      <c r="AA1092" s="395">
        <v>0</v>
      </c>
      <c r="AB1092" s="452">
        <v>42278</v>
      </c>
      <c r="AC1092" s="398">
        <v>0</v>
      </c>
      <c r="AD1092" s="398">
        <v>57.744936986301376</v>
      </c>
      <c r="AE1092" s="393" t="s">
        <v>72</v>
      </c>
      <c r="AF1092" s="417"/>
      <c r="AG1092" s="417"/>
      <c r="AH1092" s="417"/>
      <c r="AI1092" s="394"/>
      <c r="AJ1092" s="453"/>
      <c r="AK1092" s="453"/>
      <c r="AL1092" s="393"/>
      <c r="AM1092" s="393"/>
      <c r="AN1092" s="417"/>
      <c r="AO1092" s="392"/>
      <c r="AP1092" s="392" t="s">
        <v>55</v>
      </c>
      <c r="AQ1092" s="392"/>
      <c r="AR1092" s="392" t="s">
        <v>3790</v>
      </c>
      <c r="AS1092" s="479">
        <v>40930</v>
      </c>
      <c r="AT1092" s="397"/>
      <c r="AU1092" s="397"/>
      <c r="AV1092" s="453"/>
      <c r="AW1092" s="453"/>
      <c r="AX1092" s="453"/>
      <c r="AY1092" s="453"/>
      <c r="AZ1092" s="452">
        <v>41718</v>
      </c>
      <c r="BA1092" s="393"/>
      <c r="BB1092" s="393"/>
      <c r="BC1092" s="393" t="b">
        <v>0</v>
      </c>
      <c r="BD1092" s="393"/>
      <c r="BE1092" s="392"/>
      <c r="BF1092" s="394">
        <v>12</v>
      </c>
      <c r="BG1092" s="394">
        <v>4</v>
      </c>
      <c r="BH1092" s="394"/>
      <c r="BI1092" s="394"/>
      <c r="BJ1092" s="394"/>
      <c r="BK1092" s="394"/>
      <c r="BL1092" s="444" t="s">
        <v>6981</v>
      </c>
      <c r="BM1092" s="392"/>
      <c r="BN1092" s="393"/>
      <c r="BO1092" s="393"/>
      <c r="BP1092" s="399"/>
      <c r="BQ1092" s="400"/>
      <c r="BR1092" s="401"/>
      <c r="BS1092" s="399">
        <v>3</v>
      </c>
      <c r="BT1092" s="394">
        <v>20310</v>
      </c>
      <c r="BU1092" s="417">
        <v>0.60755000000000003</v>
      </c>
      <c r="BV1092" s="399"/>
      <c r="BW1092" s="393" t="s">
        <v>3117</v>
      </c>
      <c r="BX1092" s="392" t="s">
        <v>1447</v>
      </c>
      <c r="BY1092" s="393"/>
      <c r="BZ1092" s="393"/>
      <c r="CA1092" s="441" t="s">
        <v>1662</v>
      </c>
      <c r="CB1092" s="400">
        <v>3</v>
      </c>
      <c r="CC1092" s="398"/>
      <c r="CD1092" s="398"/>
      <c r="CE1092" s="398"/>
      <c r="CF1092" s="398"/>
      <c r="CG1092" s="398"/>
      <c r="CH1092" s="398"/>
      <c r="CI1092" s="398"/>
      <c r="CJ1092" s="398"/>
      <c r="CK1092" s="398">
        <v>1.0209999999999999</v>
      </c>
      <c r="CL1092" s="398">
        <v>12.247</v>
      </c>
      <c r="CM1092" s="398">
        <v>12.247</v>
      </c>
      <c r="CN1092" s="398">
        <v>12.247</v>
      </c>
      <c r="CO1092" s="398">
        <v>12.247</v>
      </c>
      <c r="CP1092" s="398">
        <v>12.247</v>
      </c>
      <c r="CQ1092" s="398">
        <v>12.247</v>
      </c>
      <c r="CR1092" s="398">
        <v>11.226000000000001</v>
      </c>
      <c r="CS1092" s="398"/>
      <c r="CT1092" s="398"/>
      <c r="CU1092" s="398"/>
      <c r="CV1092" s="398"/>
      <c r="CW1092" s="398"/>
      <c r="CX1092" s="398"/>
      <c r="CY1092" s="398"/>
      <c r="CZ1092" s="398"/>
      <c r="DA1092" s="398"/>
      <c r="DB1092" s="398"/>
      <c r="DC1092" s="398"/>
      <c r="DD1092" s="398"/>
      <c r="DE1092" s="393"/>
      <c r="DF1092" s="393"/>
      <c r="DG1092" s="393"/>
      <c r="DH1092" s="393"/>
      <c r="DI1092" s="393"/>
      <c r="DJ1092" s="393"/>
      <c r="DK1092" s="897"/>
    </row>
    <row r="1093" spans="1:115" ht="89.25" x14ac:dyDescent="0.2">
      <c r="A1093" s="295">
        <v>1089</v>
      </c>
      <c r="B1093" s="390" t="s">
        <v>535</v>
      </c>
      <c r="C1093" s="424" t="s">
        <v>7640</v>
      </c>
      <c r="D1093" s="391" t="s">
        <v>5429</v>
      </c>
      <c r="E1093" s="704" t="s">
        <v>536</v>
      </c>
      <c r="F1093" s="393" t="s">
        <v>1375</v>
      </c>
      <c r="G1093" s="393" t="s">
        <v>1361</v>
      </c>
      <c r="H1093" s="393" t="s">
        <v>137</v>
      </c>
      <c r="I1093" s="392" t="s">
        <v>4098</v>
      </c>
      <c r="J1093" s="392" t="s">
        <v>2220</v>
      </c>
      <c r="K1093" s="392"/>
      <c r="L1093" s="392" t="s">
        <v>537</v>
      </c>
      <c r="M1093" s="392" t="s">
        <v>3412</v>
      </c>
      <c r="N1093" s="393" t="s">
        <v>44</v>
      </c>
      <c r="O1093" s="393" t="s">
        <v>827</v>
      </c>
      <c r="P1093" s="393" t="s">
        <v>51</v>
      </c>
      <c r="Q1093" s="392" t="s">
        <v>828</v>
      </c>
      <c r="R1093" s="392"/>
      <c r="S1093" s="392" t="s">
        <v>483</v>
      </c>
      <c r="T1093" s="394">
        <v>1</v>
      </c>
      <c r="U1093" s="395">
        <v>12.236000000000001</v>
      </c>
      <c r="V1093" s="395"/>
      <c r="W1093" s="452">
        <v>40930</v>
      </c>
      <c r="X1093" s="394">
        <v>28</v>
      </c>
      <c r="Y1093" s="394"/>
      <c r="Z1093" s="394"/>
      <c r="AA1093" s="395"/>
      <c r="AB1093" s="453"/>
      <c r="AC1093" s="398">
        <v>0</v>
      </c>
      <c r="AD1093" s="398">
        <v>96.915824657534259</v>
      </c>
      <c r="AE1093" s="393" t="s">
        <v>72</v>
      </c>
      <c r="AF1093" s="417"/>
      <c r="AG1093" s="417"/>
      <c r="AH1093" s="417">
        <v>0</v>
      </c>
      <c r="AI1093" s="394"/>
      <c r="AJ1093" s="453"/>
      <c r="AK1093" s="453"/>
      <c r="AL1093" s="393"/>
      <c r="AM1093" s="393"/>
      <c r="AN1093" s="417"/>
      <c r="AO1093" s="392"/>
      <c r="AP1093" s="392" t="s">
        <v>55</v>
      </c>
      <c r="AQ1093" s="392"/>
      <c r="AR1093" s="392" t="s">
        <v>538</v>
      </c>
      <c r="AS1093" s="479">
        <v>40930</v>
      </c>
      <c r="AT1093" s="453"/>
      <c r="AU1093" s="453"/>
      <c r="AV1093" s="452">
        <v>41103</v>
      </c>
      <c r="AW1093" s="452">
        <v>41274</v>
      </c>
      <c r="AX1093" s="452">
        <v>41474</v>
      </c>
      <c r="AY1093" s="453">
        <v>41274</v>
      </c>
      <c r="AZ1093" s="453"/>
      <c r="BA1093" s="393"/>
      <c r="BB1093" s="393" t="s">
        <v>3147</v>
      </c>
      <c r="BC1093" s="393" t="b">
        <v>0</v>
      </c>
      <c r="BD1093" s="393" t="s">
        <v>3147</v>
      </c>
      <c r="BE1093" s="392"/>
      <c r="BF1093" s="394">
        <v>1</v>
      </c>
      <c r="BG1093" s="394">
        <v>6</v>
      </c>
      <c r="BH1093" s="394">
        <v>9</v>
      </c>
      <c r="BI1093" s="394">
        <v>8</v>
      </c>
      <c r="BJ1093" s="394">
        <v>7</v>
      </c>
      <c r="BK1093" s="394"/>
      <c r="BL1093" s="444"/>
      <c r="BM1093" s="392"/>
      <c r="BN1093" s="393"/>
      <c r="BO1093" s="393"/>
      <c r="BP1093" s="399"/>
      <c r="BQ1093" s="400"/>
      <c r="BR1093" s="401"/>
      <c r="BS1093" s="399">
        <v>0</v>
      </c>
      <c r="BT1093" s="394"/>
      <c r="BU1093" s="417"/>
      <c r="BV1093" s="399"/>
      <c r="BW1093" s="393"/>
      <c r="BX1093" s="392"/>
      <c r="BY1093" s="393"/>
      <c r="BZ1093" s="393"/>
      <c r="CA1093" s="441"/>
      <c r="CB1093" s="400"/>
      <c r="CC1093" s="398"/>
      <c r="CD1093" s="398"/>
      <c r="CE1093" s="398"/>
      <c r="CF1093" s="398"/>
      <c r="CG1093" s="398"/>
      <c r="CH1093" s="398"/>
      <c r="CI1093" s="398"/>
      <c r="CJ1093" s="398"/>
      <c r="CK1093" s="398"/>
      <c r="CL1093" s="398"/>
      <c r="CM1093" s="398"/>
      <c r="CN1093" s="398"/>
      <c r="CO1093" s="398"/>
      <c r="CP1093" s="398"/>
      <c r="CQ1093" s="398"/>
      <c r="CR1093" s="398"/>
      <c r="CS1093" s="398"/>
      <c r="CT1093" s="398"/>
      <c r="CU1093" s="398"/>
      <c r="CV1093" s="398"/>
      <c r="CW1093" s="398"/>
      <c r="CX1093" s="398"/>
      <c r="CY1093" s="398"/>
      <c r="CZ1093" s="398"/>
      <c r="DA1093" s="398"/>
      <c r="DB1093" s="398"/>
      <c r="DC1093" s="398"/>
      <c r="DD1093" s="398"/>
      <c r="DE1093" s="393"/>
      <c r="DF1093" s="393"/>
      <c r="DG1093" s="393"/>
      <c r="DH1093" s="393"/>
      <c r="DI1093" s="393"/>
      <c r="DJ1093" s="393"/>
      <c r="DK1093" s="896" t="s">
        <v>9701</v>
      </c>
    </row>
    <row r="1094" spans="1:115" ht="15" x14ac:dyDescent="0.2">
      <c r="A1094" s="295">
        <v>1090</v>
      </c>
      <c r="B1094" s="390" t="s">
        <v>2812</v>
      </c>
      <c r="C1094" s="390"/>
      <c r="D1094" s="391" t="s">
        <v>5430</v>
      </c>
      <c r="E1094" s="704" t="s">
        <v>539</v>
      </c>
      <c r="F1094" s="393" t="s">
        <v>1375</v>
      </c>
      <c r="G1094" s="393" t="s">
        <v>1361</v>
      </c>
      <c r="H1094" s="393" t="s">
        <v>137</v>
      </c>
      <c r="I1094" s="392"/>
      <c r="J1094" s="392"/>
      <c r="K1094" s="392" t="s">
        <v>137</v>
      </c>
      <c r="L1094" s="392" t="s">
        <v>537</v>
      </c>
      <c r="M1094" s="392"/>
      <c r="N1094" s="393" t="s">
        <v>44</v>
      </c>
      <c r="O1094" s="393" t="s">
        <v>827</v>
      </c>
      <c r="P1094" s="393" t="s">
        <v>51</v>
      </c>
      <c r="Q1094" s="392" t="s">
        <v>828</v>
      </c>
      <c r="R1094" s="392" t="s">
        <v>3413</v>
      </c>
      <c r="S1094" s="392" t="s">
        <v>483</v>
      </c>
      <c r="T1094" s="394">
        <v>1</v>
      </c>
      <c r="U1094" s="395">
        <v>12.236000000000001</v>
      </c>
      <c r="V1094" s="395"/>
      <c r="W1094" s="453"/>
      <c r="X1094" s="394"/>
      <c r="Y1094" s="394">
        <v>7</v>
      </c>
      <c r="Z1094" s="394">
        <v>7</v>
      </c>
      <c r="AA1094" s="395">
        <v>3.1665999999999999</v>
      </c>
      <c r="AB1094" s="452">
        <v>41305</v>
      </c>
      <c r="AC1094" s="398">
        <v>0</v>
      </c>
      <c r="AD1094" s="398">
        <v>96.915824657534259</v>
      </c>
      <c r="AE1094" s="393" t="s">
        <v>72</v>
      </c>
      <c r="AF1094" s="417"/>
      <c r="AG1094" s="417"/>
      <c r="AH1094" s="417"/>
      <c r="AI1094" s="394"/>
      <c r="AJ1094" s="453"/>
      <c r="AK1094" s="453"/>
      <c r="AL1094" s="393"/>
      <c r="AM1094" s="393"/>
      <c r="AN1094" s="417"/>
      <c r="AO1094" s="392"/>
      <c r="AP1094" s="392" t="s">
        <v>55</v>
      </c>
      <c r="AQ1094" s="392"/>
      <c r="AR1094" s="392" t="s">
        <v>538</v>
      </c>
      <c r="AS1094" s="479">
        <v>40930</v>
      </c>
      <c r="AT1094" s="453"/>
      <c r="AU1094" s="453"/>
      <c r="AV1094" s="453"/>
      <c r="AW1094" s="453"/>
      <c r="AX1094" s="453"/>
      <c r="AY1094" s="453"/>
      <c r="AZ1094" s="453">
        <v>41274</v>
      </c>
      <c r="BA1094" s="393"/>
      <c r="BB1094" s="393"/>
      <c r="BC1094" s="393" t="b">
        <v>0</v>
      </c>
      <c r="BD1094" s="393"/>
      <c r="BE1094" s="392"/>
      <c r="BF1094" s="394">
        <v>1</v>
      </c>
      <c r="BG1094" s="394">
        <v>6</v>
      </c>
      <c r="BH1094" s="394">
        <v>9</v>
      </c>
      <c r="BI1094" s="394">
        <v>8</v>
      </c>
      <c r="BJ1094" s="394">
        <v>7</v>
      </c>
      <c r="BK1094" s="394"/>
      <c r="BL1094" s="444" t="s">
        <v>6981</v>
      </c>
      <c r="BM1094" s="392"/>
      <c r="BN1094" s="393"/>
      <c r="BO1094" s="393"/>
      <c r="BP1094" s="399"/>
      <c r="BQ1094" s="400"/>
      <c r="BR1094" s="401"/>
      <c r="BS1094" s="399"/>
      <c r="BT1094" s="394"/>
      <c r="BU1094" s="417"/>
      <c r="BV1094" s="399"/>
      <c r="BW1094" s="393" t="s">
        <v>3117</v>
      </c>
      <c r="BX1094" s="392" t="s">
        <v>4367</v>
      </c>
      <c r="BY1094" s="393" t="s">
        <v>7227</v>
      </c>
      <c r="BZ1094" s="393"/>
      <c r="CA1094" s="441"/>
      <c r="CB1094" s="400"/>
      <c r="CC1094" s="398"/>
      <c r="CD1094" s="398"/>
      <c r="CE1094" s="398"/>
      <c r="CF1094" s="398"/>
      <c r="CG1094" s="398"/>
      <c r="CH1094" s="398"/>
      <c r="CI1094" s="398">
        <v>1.288</v>
      </c>
      <c r="CJ1094" s="398">
        <v>3.8639999999999999</v>
      </c>
      <c r="CK1094" s="398">
        <v>7.0839999999999996</v>
      </c>
      <c r="CL1094" s="398">
        <v>10.948</v>
      </c>
      <c r="CM1094" s="398">
        <v>15.456</v>
      </c>
      <c r="CN1094" s="398">
        <v>20.608000000000001</v>
      </c>
      <c r="CO1094" s="398">
        <v>26.404</v>
      </c>
      <c r="CP1094" s="398"/>
      <c r="CQ1094" s="398"/>
      <c r="CR1094" s="398"/>
      <c r="CS1094" s="398"/>
      <c r="CT1094" s="398"/>
      <c r="CU1094" s="398"/>
      <c r="CV1094" s="398"/>
      <c r="CW1094" s="398"/>
      <c r="CX1094" s="398"/>
      <c r="CY1094" s="398"/>
      <c r="CZ1094" s="398"/>
      <c r="DA1094" s="398"/>
      <c r="DB1094" s="398"/>
      <c r="DC1094" s="398"/>
      <c r="DD1094" s="398"/>
      <c r="DE1094" s="393"/>
      <c r="DF1094" s="393"/>
      <c r="DG1094" s="393"/>
      <c r="DH1094" s="393"/>
      <c r="DI1094" s="393"/>
      <c r="DJ1094" s="393"/>
      <c r="DK1094" s="897"/>
    </row>
    <row r="1095" spans="1:115" ht="63.75" x14ac:dyDescent="0.2">
      <c r="A1095" s="295">
        <v>1091</v>
      </c>
      <c r="B1095" s="390" t="s">
        <v>406</v>
      </c>
      <c r="C1095" s="424" t="s">
        <v>7641</v>
      </c>
      <c r="D1095" s="391"/>
      <c r="E1095" s="708" t="s">
        <v>407</v>
      </c>
      <c r="F1095" s="404" t="s">
        <v>1352</v>
      </c>
      <c r="G1095" s="404" t="s">
        <v>1671</v>
      </c>
      <c r="H1095" s="404" t="s">
        <v>117</v>
      </c>
      <c r="I1095" s="403"/>
      <c r="J1095" s="403" t="s">
        <v>117</v>
      </c>
      <c r="K1095" s="403"/>
      <c r="L1095" s="403" t="s">
        <v>408</v>
      </c>
      <c r="M1095" s="403" t="s">
        <v>3414</v>
      </c>
      <c r="N1095" s="404" t="s">
        <v>2412</v>
      </c>
      <c r="O1095" s="404" t="s">
        <v>80</v>
      </c>
      <c r="P1095" s="404" t="s">
        <v>80</v>
      </c>
      <c r="Q1095" s="403" t="s">
        <v>403</v>
      </c>
      <c r="R1095" s="403"/>
      <c r="S1095" s="403" t="s">
        <v>81</v>
      </c>
      <c r="T1095" s="405"/>
      <c r="U1095" s="406"/>
      <c r="V1095" s="406"/>
      <c r="W1095" s="456">
        <v>40954</v>
      </c>
      <c r="X1095" s="405">
        <v>28</v>
      </c>
      <c r="Y1095" s="405"/>
      <c r="Z1095" s="405"/>
      <c r="AA1095" s="406"/>
      <c r="AB1095" s="455"/>
      <c r="AC1095" s="407"/>
      <c r="AD1095" s="407"/>
      <c r="AE1095" s="404" t="s">
        <v>309</v>
      </c>
      <c r="AF1095" s="418"/>
      <c r="AG1095" s="418"/>
      <c r="AH1095" s="418"/>
      <c r="AI1095" s="405"/>
      <c r="AJ1095" s="455"/>
      <c r="AK1095" s="455"/>
      <c r="AL1095" s="404"/>
      <c r="AM1095" s="404"/>
      <c r="AN1095" s="418"/>
      <c r="AO1095" s="403"/>
      <c r="AP1095" s="403" t="s">
        <v>7092</v>
      </c>
      <c r="AQ1095" s="403"/>
      <c r="AR1095" s="403" t="s">
        <v>409</v>
      </c>
      <c r="AS1095" s="482">
        <v>40932</v>
      </c>
      <c r="AT1095" s="456">
        <v>41026</v>
      </c>
      <c r="AU1095" s="455"/>
      <c r="AV1095" s="455"/>
      <c r="AW1095" s="455"/>
      <c r="AX1095" s="455"/>
      <c r="AY1095" s="455"/>
      <c r="AZ1095" s="455"/>
      <c r="BA1095" s="404"/>
      <c r="BB1095" s="404" t="s">
        <v>3147</v>
      </c>
      <c r="BC1095" s="404" t="b">
        <v>1</v>
      </c>
      <c r="BD1095" s="404" t="s">
        <v>3147</v>
      </c>
      <c r="BE1095" s="403"/>
      <c r="BF1095" s="405">
        <v>1</v>
      </c>
      <c r="BG1095" s="405">
        <v>10</v>
      </c>
      <c r="BH1095" s="405"/>
      <c r="BI1095" s="405"/>
      <c r="BJ1095" s="405"/>
      <c r="BK1095" s="405"/>
      <c r="BL1095" s="446"/>
      <c r="BM1095" s="403"/>
      <c r="BN1095" s="404"/>
      <c r="BO1095" s="404"/>
      <c r="BP1095" s="408"/>
      <c r="BQ1095" s="409"/>
      <c r="BR1095" s="410"/>
      <c r="BS1095" s="408"/>
      <c r="BT1095" s="405"/>
      <c r="BU1095" s="418"/>
      <c r="BV1095" s="408"/>
      <c r="BW1095" s="404"/>
      <c r="BX1095" s="403"/>
      <c r="BY1095" s="404"/>
      <c r="BZ1095" s="404"/>
      <c r="CA1095" s="443"/>
      <c r="CB1095" s="409"/>
      <c r="CC1095" s="407"/>
      <c r="CD1095" s="407"/>
      <c r="CE1095" s="407"/>
      <c r="CF1095" s="407"/>
      <c r="CG1095" s="407"/>
      <c r="CH1095" s="407"/>
      <c r="CI1095" s="407"/>
      <c r="CJ1095" s="407"/>
      <c r="CK1095" s="407"/>
      <c r="CL1095" s="407"/>
      <c r="CM1095" s="407"/>
      <c r="CN1095" s="407"/>
      <c r="CO1095" s="407"/>
      <c r="CP1095" s="407"/>
      <c r="CQ1095" s="407"/>
      <c r="CR1095" s="407"/>
      <c r="CS1095" s="407"/>
      <c r="CT1095" s="407"/>
      <c r="CU1095" s="407"/>
      <c r="CV1095" s="407"/>
      <c r="CW1095" s="407"/>
      <c r="CX1095" s="407"/>
      <c r="CY1095" s="407"/>
      <c r="CZ1095" s="407"/>
      <c r="DA1095" s="407"/>
      <c r="DB1095" s="407"/>
      <c r="DC1095" s="407"/>
      <c r="DD1095" s="407"/>
      <c r="DE1095" s="404"/>
      <c r="DF1095" s="404"/>
      <c r="DG1095" s="404"/>
      <c r="DH1095" s="404"/>
      <c r="DI1095" s="404"/>
      <c r="DJ1095" s="404"/>
      <c r="DK1095" s="897"/>
    </row>
    <row r="1096" spans="1:115" ht="38.25" x14ac:dyDescent="0.2">
      <c r="A1096" s="295">
        <v>1092</v>
      </c>
      <c r="B1096" s="390" t="s">
        <v>2813</v>
      </c>
      <c r="C1096" s="390"/>
      <c r="D1096" s="391"/>
      <c r="E1096" s="707" t="s">
        <v>410</v>
      </c>
      <c r="F1096" s="404" t="s">
        <v>1352</v>
      </c>
      <c r="G1096" s="404" t="s">
        <v>1671</v>
      </c>
      <c r="H1096" s="404" t="s">
        <v>117</v>
      </c>
      <c r="I1096" s="403"/>
      <c r="J1096" s="403"/>
      <c r="K1096" s="403" t="s">
        <v>433</v>
      </c>
      <c r="L1096" s="403" t="s">
        <v>408</v>
      </c>
      <c r="M1096" s="403"/>
      <c r="N1096" s="404" t="s">
        <v>2412</v>
      </c>
      <c r="O1096" s="404" t="s">
        <v>80</v>
      </c>
      <c r="P1096" s="404" t="s">
        <v>80</v>
      </c>
      <c r="Q1096" s="403" t="s">
        <v>403</v>
      </c>
      <c r="R1096" s="403" t="s">
        <v>3415</v>
      </c>
      <c r="S1096" s="403" t="s">
        <v>81</v>
      </c>
      <c r="T1096" s="405">
        <v>1</v>
      </c>
      <c r="U1096" s="406">
        <v>24.649000000000001</v>
      </c>
      <c r="V1096" s="406"/>
      <c r="W1096" s="455"/>
      <c r="X1096" s="405"/>
      <c r="Y1096" s="405">
        <v>10</v>
      </c>
      <c r="Z1096" s="405">
        <v>19</v>
      </c>
      <c r="AA1096" s="406">
        <v>2.57</v>
      </c>
      <c r="AB1096" s="456">
        <v>41214</v>
      </c>
      <c r="AC1096" s="407">
        <v>4.1163829999999999</v>
      </c>
      <c r="AD1096" s="407">
        <v>246.49</v>
      </c>
      <c r="AE1096" s="404" t="s">
        <v>309</v>
      </c>
      <c r="AF1096" s="418"/>
      <c r="AG1096" s="418"/>
      <c r="AH1096" s="418"/>
      <c r="AI1096" s="405"/>
      <c r="AJ1096" s="455"/>
      <c r="AK1096" s="455"/>
      <c r="AL1096" s="404"/>
      <c r="AM1096" s="404"/>
      <c r="AN1096" s="418"/>
      <c r="AO1096" s="403"/>
      <c r="AP1096" s="403" t="s">
        <v>7092</v>
      </c>
      <c r="AQ1096" s="403"/>
      <c r="AR1096" s="403" t="s">
        <v>409</v>
      </c>
      <c r="AS1096" s="482">
        <v>40932</v>
      </c>
      <c r="AT1096" s="456">
        <v>41026</v>
      </c>
      <c r="AU1096" s="455"/>
      <c r="AV1096" s="455"/>
      <c r="AW1096" s="455"/>
      <c r="AX1096" s="455"/>
      <c r="AY1096" s="455"/>
      <c r="AZ1096" s="455"/>
      <c r="BA1096" s="404"/>
      <c r="BB1096" s="404"/>
      <c r="BC1096" s="404" t="b">
        <v>0</v>
      </c>
      <c r="BD1096" s="404"/>
      <c r="BE1096" s="403"/>
      <c r="BF1096" s="405">
        <v>1</v>
      </c>
      <c r="BG1096" s="405">
        <v>10</v>
      </c>
      <c r="BH1096" s="405"/>
      <c r="BI1096" s="405"/>
      <c r="BJ1096" s="405"/>
      <c r="BK1096" s="405"/>
      <c r="BL1096" s="446" t="s">
        <v>6981</v>
      </c>
      <c r="BM1096" s="403"/>
      <c r="BN1096" s="404"/>
      <c r="BO1096" s="404"/>
      <c r="BP1096" s="408"/>
      <c r="BQ1096" s="409"/>
      <c r="BR1096" s="410"/>
      <c r="BS1096" s="408">
        <v>2</v>
      </c>
      <c r="BT1096" s="405">
        <v>5817</v>
      </c>
      <c r="BU1096" s="418">
        <v>0.90839999999999999</v>
      </c>
      <c r="BV1096" s="408"/>
      <c r="BW1096" s="404" t="s">
        <v>3117</v>
      </c>
      <c r="BX1096" s="403" t="s">
        <v>1450</v>
      </c>
      <c r="BY1096" s="404"/>
      <c r="BZ1096" s="404"/>
      <c r="CA1096" s="443" t="s">
        <v>1662</v>
      </c>
      <c r="CB1096" s="409">
        <v>3</v>
      </c>
      <c r="CC1096" s="407"/>
      <c r="CD1096" s="407"/>
      <c r="CE1096" s="407"/>
      <c r="CF1096" s="407"/>
      <c r="CG1096" s="407"/>
      <c r="CH1096" s="407">
        <v>2.0019999999999998</v>
      </c>
      <c r="CI1096" s="407">
        <v>14.621</v>
      </c>
      <c r="CJ1096" s="407">
        <v>17.11</v>
      </c>
      <c r="CK1096" s="407">
        <v>19.498999999999999</v>
      </c>
      <c r="CL1096" s="407">
        <v>21.812999999999999</v>
      </c>
      <c r="CM1096" s="407">
        <v>24.068999999999999</v>
      </c>
      <c r="CN1096" s="407">
        <v>26.283999999999999</v>
      </c>
      <c r="CO1096" s="407">
        <v>28.471</v>
      </c>
      <c r="CP1096" s="407">
        <v>30.646000000000001</v>
      </c>
      <c r="CQ1096" s="407">
        <v>32.816000000000003</v>
      </c>
      <c r="CR1096" s="407">
        <v>29.16</v>
      </c>
      <c r="CS1096" s="407"/>
      <c r="CT1096" s="407"/>
      <c r="CU1096" s="407"/>
      <c r="CV1096" s="407"/>
      <c r="CW1096" s="407"/>
      <c r="CX1096" s="407"/>
      <c r="CY1096" s="407"/>
      <c r="CZ1096" s="407"/>
      <c r="DA1096" s="407"/>
      <c r="DB1096" s="407"/>
      <c r="DC1096" s="407"/>
      <c r="DD1096" s="407"/>
      <c r="DE1096" s="404"/>
      <c r="DF1096" s="404"/>
      <c r="DG1096" s="404"/>
      <c r="DH1096" s="404"/>
      <c r="DI1096" s="404"/>
      <c r="DJ1096" s="404"/>
      <c r="DK1096" s="897"/>
    </row>
    <row r="1097" spans="1:115" ht="51" x14ac:dyDescent="0.2">
      <c r="A1097" s="295">
        <v>1093</v>
      </c>
      <c r="B1097" s="390" t="s">
        <v>1092</v>
      </c>
      <c r="C1097" s="424" t="s">
        <v>7642</v>
      </c>
      <c r="D1097" s="391" t="s">
        <v>5159</v>
      </c>
      <c r="E1097" s="705" t="s">
        <v>1093</v>
      </c>
      <c r="F1097" s="393" t="s">
        <v>1352</v>
      </c>
      <c r="G1097" s="393" t="s">
        <v>1671</v>
      </c>
      <c r="H1097" s="475" t="s">
        <v>63</v>
      </c>
      <c r="I1097" s="392"/>
      <c r="J1097" s="392" t="s">
        <v>63</v>
      </c>
      <c r="K1097" s="392"/>
      <c r="L1097" s="392" t="s">
        <v>50</v>
      </c>
      <c r="M1097" s="392" t="s">
        <v>3397</v>
      </c>
      <c r="N1097" s="393" t="s">
        <v>44</v>
      </c>
      <c r="O1097" s="393" t="s">
        <v>51</v>
      </c>
      <c r="P1097" s="393" t="s">
        <v>51</v>
      </c>
      <c r="Q1097" s="392" t="s">
        <v>52</v>
      </c>
      <c r="R1097" s="392"/>
      <c r="S1097" s="392" t="s">
        <v>64</v>
      </c>
      <c r="T1097" s="394">
        <v>3</v>
      </c>
      <c r="U1097" s="395">
        <v>150.399</v>
      </c>
      <c r="V1097" s="395"/>
      <c r="W1097" s="452">
        <v>40870</v>
      </c>
      <c r="X1097" s="394">
        <v>28</v>
      </c>
      <c r="Y1097" s="394"/>
      <c r="Z1097" s="394"/>
      <c r="AA1097" s="395"/>
      <c r="AB1097" s="453"/>
      <c r="AC1097" s="398">
        <v>0</v>
      </c>
      <c r="AD1097" s="398">
        <v>891.26859452054794</v>
      </c>
      <c r="AE1097" s="393" t="s">
        <v>54</v>
      </c>
      <c r="AF1097" s="417">
        <f>SUM(AF1098)</f>
        <v>0</v>
      </c>
      <c r="AG1097" s="417">
        <f>SUM(AG1098)</f>
        <v>208.42599999999999</v>
      </c>
      <c r="AH1097" s="417">
        <v>263.16399999999999</v>
      </c>
      <c r="AI1097" s="394"/>
      <c r="AJ1097" s="453">
        <v>42373</v>
      </c>
      <c r="AK1097" s="453">
        <v>42855</v>
      </c>
      <c r="AL1097" s="393"/>
      <c r="AM1097" s="393"/>
      <c r="AN1097" s="417"/>
      <c r="AO1097" s="428" t="s">
        <v>54</v>
      </c>
      <c r="AP1097" s="428" t="s">
        <v>8098</v>
      </c>
      <c r="AQ1097" s="392"/>
      <c r="AR1097" s="392" t="s">
        <v>50</v>
      </c>
      <c r="AS1097" s="479">
        <v>40933</v>
      </c>
      <c r="AT1097" s="453"/>
      <c r="AU1097" s="453"/>
      <c r="AV1097" s="452">
        <v>41029</v>
      </c>
      <c r="AW1097" s="452">
        <v>41225</v>
      </c>
      <c r="AX1097" s="453"/>
      <c r="AY1097" s="452">
        <v>41225</v>
      </c>
      <c r="AZ1097" s="453"/>
      <c r="BA1097" s="393"/>
      <c r="BB1097" s="393" t="s">
        <v>3116</v>
      </c>
      <c r="BC1097" s="393" t="b">
        <v>0</v>
      </c>
      <c r="BD1097" s="393" t="s">
        <v>3116</v>
      </c>
      <c r="BE1097" s="392" t="s">
        <v>6245</v>
      </c>
      <c r="BF1097" s="394">
        <v>4</v>
      </c>
      <c r="BG1097" s="394">
        <v>9</v>
      </c>
      <c r="BH1097" s="394">
        <v>1</v>
      </c>
      <c r="BI1097" s="394">
        <v>6</v>
      </c>
      <c r="BJ1097" s="394">
        <v>8</v>
      </c>
      <c r="BK1097" s="394">
        <v>11</v>
      </c>
      <c r="BL1097" s="444"/>
      <c r="BM1097" s="392"/>
      <c r="BN1097" s="393"/>
      <c r="BO1097" s="393"/>
      <c r="BP1097" s="399"/>
      <c r="BQ1097" s="400"/>
      <c r="BR1097" s="401"/>
      <c r="BS1097" s="399">
        <v>0</v>
      </c>
      <c r="BT1097" s="394"/>
      <c r="BU1097" s="417"/>
      <c r="BV1097" s="399"/>
      <c r="BW1097" s="393"/>
      <c r="BX1097" s="392"/>
      <c r="BY1097" s="393"/>
      <c r="BZ1097" s="475" t="s">
        <v>3165</v>
      </c>
      <c r="CA1097" s="441"/>
      <c r="CB1097" s="400"/>
      <c r="CC1097" s="398"/>
      <c r="CD1097" s="398"/>
      <c r="CE1097" s="398"/>
      <c r="CF1097" s="398"/>
      <c r="CG1097" s="398"/>
      <c r="CH1097" s="398"/>
      <c r="CI1097" s="398"/>
      <c r="CJ1097" s="398"/>
      <c r="CK1097" s="398"/>
      <c r="CL1097" s="398"/>
      <c r="CM1097" s="398"/>
      <c r="CN1097" s="398"/>
      <c r="CO1097" s="398"/>
      <c r="CP1097" s="398"/>
      <c r="CQ1097" s="398"/>
      <c r="CR1097" s="398"/>
      <c r="CS1097" s="398"/>
      <c r="CT1097" s="398"/>
      <c r="CU1097" s="398"/>
      <c r="CV1097" s="398"/>
      <c r="CW1097" s="398"/>
      <c r="CX1097" s="398"/>
      <c r="CY1097" s="398"/>
      <c r="CZ1097" s="398"/>
      <c r="DA1097" s="398"/>
      <c r="DB1097" s="398"/>
      <c r="DC1097" s="398"/>
      <c r="DD1097" s="398"/>
      <c r="DE1097" s="393"/>
      <c r="DF1097" s="393"/>
      <c r="DG1097" s="393"/>
      <c r="DH1097" s="393"/>
      <c r="DI1097" s="393"/>
      <c r="DJ1097" s="393"/>
      <c r="DK1097" s="896" t="s">
        <v>9706</v>
      </c>
    </row>
    <row r="1098" spans="1:115" ht="25.5" x14ac:dyDescent="0.2">
      <c r="A1098" s="295">
        <v>1094</v>
      </c>
      <c r="B1098" s="390" t="s">
        <v>2814</v>
      </c>
      <c r="C1098" s="390"/>
      <c r="D1098" s="391" t="s">
        <v>4799</v>
      </c>
      <c r="E1098" s="704" t="s">
        <v>62</v>
      </c>
      <c r="F1098" s="393" t="s">
        <v>1352</v>
      </c>
      <c r="G1098" s="393" t="s">
        <v>1671</v>
      </c>
      <c r="H1098" s="393" t="s">
        <v>63</v>
      </c>
      <c r="I1098" s="392"/>
      <c r="J1098" s="392"/>
      <c r="K1098" s="392" t="s">
        <v>159</v>
      </c>
      <c r="L1098" s="392" t="s">
        <v>50</v>
      </c>
      <c r="M1098" s="392"/>
      <c r="N1098" s="393" t="s">
        <v>44</v>
      </c>
      <c r="O1098" s="393" t="s">
        <v>51</v>
      </c>
      <c r="P1098" s="393" t="s">
        <v>51</v>
      </c>
      <c r="Q1098" s="392" t="s">
        <v>52</v>
      </c>
      <c r="R1098" s="392" t="s">
        <v>3416</v>
      </c>
      <c r="S1098" s="392" t="s">
        <v>64</v>
      </c>
      <c r="T1098" s="394">
        <v>1</v>
      </c>
      <c r="U1098" s="395">
        <v>50.133000000000003</v>
      </c>
      <c r="V1098" s="395"/>
      <c r="W1098" s="453"/>
      <c r="X1098" s="394"/>
      <c r="Y1098" s="394">
        <v>7</v>
      </c>
      <c r="Z1098" s="394">
        <v>21</v>
      </c>
      <c r="AA1098" s="395">
        <v>0</v>
      </c>
      <c r="AB1098" s="452">
        <v>41225</v>
      </c>
      <c r="AC1098" s="398">
        <v>0</v>
      </c>
      <c r="AD1098" s="398">
        <v>408.06888493150689</v>
      </c>
      <c r="AE1098" s="393" t="s">
        <v>54</v>
      </c>
      <c r="AF1098" s="417">
        <v>0</v>
      </c>
      <c r="AG1098" s="417">
        <f>31.767+43.118+41.602+46.045+45.894</f>
        <v>208.42599999999999</v>
      </c>
      <c r="AH1098" s="417">
        <v>208.42599999999999</v>
      </c>
      <c r="AI1098" s="394"/>
      <c r="AJ1098" s="453">
        <v>42373</v>
      </c>
      <c r="AK1098" s="453">
        <v>42855</v>
      </c>
      <c r="AL1098" s="393"/>
      <c r="AM1098" s="393"/>
      <c r="AN1098" s="417"/>
      <c r="AO1098" s="428" t="s">
        <v>54</v>
      </c>
      <c r="AP1098" s="428" t="s">
        <v>8098</v>
      </c>
      <c r="AQ1098" s="392"/>
      <c r="AR1098" s="392" t="s">
        <v>50</v>
      </c>
      <c r="AS1098" s="479">
        <v>40933</v>
      </c>
      <c r="AT1098" s="453"/>
      <c r="AU1098" s="453"/>
      <c r="AV1098" s="453"/>
      <c r="AW1098" s="453"/>
      <c r="AX1098" s="453"/>
      <c r="AY1098" s="453"/>
      <c r="AZ1098" s="452">
        <v>41225</v>
      </c>
      <c r="BA1098" s="393"/>
      <c r="BB1098" s="393"/>
      <c r="BC1098" s="393" t="b">
        <v>0</v>
      </c>
      <c r="BD1098" s="393"/>
      <c r="BE1098" s="392"/>
      <c r="BF1098" s="394">
        <v>4</v>
      </c>
      <c r="BG1098" s="394">
        <v>9</v>
      </c>
      <c r="BH1098" s="394">
        <v>1</v>
      </c>
      <c r="BI1098" s="394">
        <v>6</v>
      </c>
      <c r="BJ1098" s="394">
        <v>8</v>
      </c>
      <c r="BK1098" s="394">
        <v>11</v>
      </c>
      <c r="BL1098" s="444" t="s">
        <v>6982</v>
      </c>
      <c r="BM1098" s="392"/>
      <c r="BN1098" s="393"/>
      <c r="BO1098" s="393"/>
      <c r="BP1098" s="399"/>
      <c r="BQ1098" s="400"/>
      <c r="BR1098" s="401"/>
      <c r="BS1098" s="399"/>
      <c r="BT1098" s="394"/>
      <c r="BU1098" s="417"/>
      <c r="BV1098" s="399">
        <v>178.22</v>
      </c>
      <c r="BW1098" s="393" t="s">
        <v>3117</v>
      </c>
      <c r="BX1098" s="392" t="s">
        <v>1450</v>
      </c>
      <c r="BY1098" s="393"/>
      <c r="BZ1098" s="475" t="s">
        <v>3165</v>
      </c>
      <c r="CA1098" s="441"/>
      <c r="CB1098" s="400"/>
      <c r="CC1098" s="398"/>
      <c r="CD1098" s="398"/>
      <c r="CE1098" s="398"/>
      <c r="CF1098" s="398"/>
      <c r="CG1098" s="398"/>
      <c r="CH1098" s="398">
        <v>46.243000000000002</v>
      </c>
      <c r="CI1098" s="398">
        <v>61.655999999999999</v>
      </c>
      <c r="CJ1098" s="398">
        <v>61.655999999999999</v>
      </c>
      <c r="CK1098" s="398">
        <v>61.655999999999999</v>
      </c>
      <c r="CL1098" s="398">
        <v>61.655999999999999</v>
      </c>
      <c r="CM1098" s="398">
        <v>61.655999999999999</v>
      </c>
      <c r="CN1098" s="398">
        <v>61.655999999999999</v>
      </c>
      <c r="CO1098" s="398">
        <v>15.414999999999999</v>
      </c>
      <c r="CP1098" s="398"/>
      <c r="CQ1098" s="398"/>
      <c r="CR1098" s="398"/>
      <c r="CS1098" s="398"/>
      <c r="CT1098" s="398"/>
      <c r="CU1098" s="398"/>
      <c r="CV1098" s="398"/>
      <c r="CW1098" s="398"/>
      <c r="CX1098" s="398"/>
      <c r="CY1098" s="398"/>
      <c r="CZ1098" s="398"/>
      <c r="DA1098" s="398"/>
      <c r="DB1098" s="398"/>
      <c r="DC1098" s="398"/>
      <c r="DD1098" s="398"/>
      <c r="DE1098" s="393"/>
      <c r="DF1098" s="393"/>
      <c r="DG1098" s="393"/>
      <c r="DH1098" s="393"/>
      <c r="DI1098" s="393"/>
      <c r="DJ1098" s="393"/>
      <c r="DK1098" s="897"/>
    </row>
    <row r="1099" spans="1:115" ht="25.5" x14ac:dyDescent="0.2">
      <c r="A1099" s="295">
        <v>1095</v>
      </c>
      <c r="B1099" s="390" t="s">
        <v>8012</v>
      </c>
      <c r="C1099" s="390"/>
      <c r="D1099" s="391" t="s">
        <v>8014</v>
      </c>
      <c r="E1099" s="705" t="s">
        <v>8016</v>
      </c>
      <c r="F1099" s="393" t="s">
        <v>1352</v>
      </c>
      <c r="G1099" s="393" t="s">
        <v>1671</v>
      </c>
      <c r="H1099" s="393" t="s">
        <v>63</v>
      </c>
      <c r="I1099" s="392"/>
      <c r="J1099" s="392"/>
      <c r="K1099" s="428" t="s">
        <v>159</v>
      </c>
      <c r="L1099" s="428" t="s">
        <v>50</v>
      </c>
      <c r="M1099" s="392"/>
      <c r="N1099" s="475" t="s">
        <v>44</v>
      </c>
      <c r="O1099" s="393" t="s">
        <v>51</v>
      </c>
      <c r="P1099" s="393" t="s">
        <v>51</v>
      </c>
      <c r="Q1099" s="392" t="s">
        <v>52</v>
      </c>
      <c r="R1099" s="392" t="s">
        <v>3416</v>
      </c>
      <c r="S1099" s="428" t="s">
        <v>64</v>
      </c>
      <c r="T1099" s="394">
        <v>1</v>
      </c>
      <c r="U1099" s="395">
        <v>50.133000000000003</v>
      </c>
      <c r="V1099" s="395"/>
      <c r="W1099" s="453"/>
      <c r="X1099" s="394"/>
      <c r="Y1099" s="394">
        <v>7</v>
      </c>
      <c r="Z1099" s="394">
        <v>21</v>
      </c>
      <c r="AA1099" s="395">
        <v>0</v>
      </c>
      <c r="AB1099" s="495">
        <v>42437</v>
      </c>
      <c r="AC1099" s="398">
        <v>0</v>
      </c>
      <c r="AD1099" s="398">
        <v>241.59985479452055</v>
      </c>
      <c r="AE1099" s="475" t="s">
        <v>54</v>
      </c>
      <c r="AF1099" s="417"/>
      <c r="AG1099" s="417">
        <f>7.879+43.688</f>
        <v>51.567</v>
      </c>
      <c r="AH1099" s="417">
        <v>51.567</v>
      </c>
      <c r="AI1099" s="394"/>
      <c r="AJ1099" s="453">
        <v>43070</v>
      </c>
      <c r="AK1099" s="453">
        <v>42855</v>
      </c>
      <c r="AL1099" s="393"/>
      <c r="AM1099" s="393"/>
      <c r="AN1099" s="417"/>
      <c r="AO1099" s="428" t="s">
        <v>54</v>
      </c>
      <c r="AP1099" s="428" t="s">
        <v>8098</v>
      </c>
      <c r="AQ1099" s="392"/>
      <c r="AR1099" s="428" t="s">
        <v>50</v>
      </c>
      <c r="AS1099" s="479">
        <v>40933</v>
      </c>
      <c r="AT1099" s="453"/>
      <c r="AU1099" s="453"/>
      <c r="AV1099" s="453"/>
      <c r="AW1099" s="453"/>
      <c r="AX1099" s="453"/>
      <c r="AY1099" s="453"/>
      <c r="AZ1099" s="452">
        <v>42437</v>
      </c>
      <c r="BA1099" s="393"/>
      <c r="BB1099" s="393"/>
      <c r="BC1099" s="393" t="b">
        <v>0</v>
      </c>
      <c r="BD1099" s="393"/>
      <c r="BE1099" s="392"/>
      <c r="BF1099" s="394">
        <v>4</v>
      </c>
      <c r="BG1099" s="394">
        <v>9</v>
      </c>
      <c r="BH1099" s="394">
        <v>1</v>
      </c>
      <c r="BI1099" s="394">
        <v>6</v>
      </c>
      <c r="BJ1099" s="394">
        <v>8</v>
      </c>
      <c r="BK1099" s="394">
        <v>11</v>
      </c>
      <c r="BL1099" s="444" t="s">
        <v>6982</v>
      </c>
      <c r="BM1099" s="392"/>
      <c r="BN1099" s="393"/>
      <c r="BO1099" s="393"/>
      <c r="BP1099" s="399"/>
      <c r="BQ1099" s="400"/>
      <c r="BR1099" s="401"/>
      <c r="BS1099" s="399"/>
      <c r="BT1099" s="394"/>
      <c r="BU1099" s="417"/>
      <c r="BV1099" s="399">
        <v>60</v>
      </c>
      <c r="BW1099" s="475" t="s">
        <v>3117</v>
      </c>
      <c r="BX1099" s="428"/>
      <c r="BY1099" s="393"/>
      <c r="BZ1099" s="393"/>
      <c r="CA1099" s="441"/>
      <c r="CB1099" s="400"/>
      <c r="CC1099" s="398"/>
      <c r="CD1099" s="398"/>
      <c r="CE1099" s="398"/>
      <c r="CF1099" s="398"/>
      <c r="CG1099" s="398"/>
      <c r="CH1099" s="398"/>
      <c r="CI1099" s="398"/>
      <c r="CJ1099" s="398"/>
      <c r="CK1099" s="398"/>
      <c r="CL1099" s="398">
        <v>50.133000000000003</v>
      </c>
      <c r="CM1099" s="398">
        <v>50.133000000000003</v>
      </c>
      <c r="CN1099" s="398">
        <v>50.133000000000003</v>
      </c>
      <c r="CO1099" s="398">
        <v>50.133000000000003</v>
      </c>
      <c r="CP1099" s="398">
        <v>50.133000000000003</v>
      </c>
      <c r="CQ1099" s="398">
        <v>50.133000000000003</v>
      </c>
      <c r="CR1099" s="398">
        <v>50.133000000000003</v>
      </c>
      <c r="CS1099" s="398"/>
      <c r="CT1099" s="398"/>
      <c r="CU1099" s="398"/>
      <c r="CV1099" s="398"/>
      <c r="CW1099" s="398"/>
      <c r="CX1099" s="398"/>
      <c r="CY1099" s="398"/>
      <c r="CZ1099" s="398"/>
      <c r="DA1099" s="398"/>
      <c r="DB1099" s="398"/>
      <c r="DC1099" s="398"/>
      <c r="DD1099" s="398"/>
      <c r="DE1099" s="393"/>
      <c r="DF1099" s="393"/>
      <c r="DG1099" s="393"/>
      <c r="DH1099" s="393"/>
      <c r="DI1099" s="393"/>
      <c r="DJ1099" s="393"/>
      <c r="DK1099" s="897"/>
    </row>
    <row r="1100" spans="1:115" ht="25.5" x14ac:dyDescent="0.2">
      <c r="A1100" s="295">
        <v>1096</v>
      </c>
      <c r="B1100" s="390" t="s">
        <v>8013</v>
      </c>
      <c r="C1100" s="390"/>
      <c r="D1100" s="391" t="s">
        <v>8015</v>
      </c>
      <c r="E1100" s="705" t="s">
        <v>8017</v>
      </c>
      <c r="F1100" s="393" t="s">
        <v>1352</v>
      </c>
      <c r="G1100" s="393" t="s">
        <v>1671</v>
      </c>
      <c r="H1100" s="393" t="s">
        <v>63</v>
      </c>
      <c r="I1100" s="392"/>
      <c r="J1100" s="392"/>
      <c r="K1100" s="428" t="s">
        <v>159</v>
      </c>
      <c r="L1100" s="428" t="s">
        <v>50</v>
      </c>
      <c r="M1100" s="392"/>
      <c r="N1100" s="475" t="s">
        <v>44</v>
      </c>
      <c r="O1100" s="393" t="s">
        <v>51</v>
      </c>
      <c r="P1100" s="393" t="s">
        <v>51</v>
      </c>
      <c r="Q1100" s="392" t="s">
        <v>52</v>
      </c>
      <c r="R1100" s="392" t="s">
        <v>3416</v>
      </c>
      <c r="S1100" s="428" t="s">
        <v>64</v>
      </c>
      <c r="T1100" s="394">
        <v>1</v>
      </c>
      <c r="U1100" s="395">
        <v>50.133000000000003</v>
      </c>
      <c r="V1100" s="395"/>
      <c r="W1100" s="453"/>
      <c r="X1100" s="394"/>
      <c r="Y1100" s="394">
        <v>7</v>
      </c>
      <c r="Z1100" s="394">
        <v>21</v>
      </c>
      <c r="AA1100" s="395">
        <v>0</v>
      </c>
      <c r="AB1100" s="452">
        <v>42437</v>
      </c>
      <c r="AC1100" s="398">
        <v>0</v>
      </c>
      <c r="AD1100" s="398">
        <v>241.59985479452055</v>
      </c>
      <c r="AE1100" s="475" t="s">
        <v>54</v>
      </c>
      <c r="AF1100" s="417"/>
      <c r="AG1100" s="417">
        <f>0.443+2.728</f>
        <v>3.1710000000000003</v>
      </c>
      <c r="AH1100" s="417">
        <v>3.1710000000000003</v>
      </c>
      <c r="AI1100" s="394"/>
      <c r="AJ1100" s="453">
        <v>43070</v>
      </c>
      <c r="AK1100" s="453">
        <v>42855</v>
      </c>
      <c r="AL1100" s="393"/>
      <c r="AM1100" s="393"/>
      <c r="AN1100" s="417"/>
      <c r="AO1100" s="428" t="s">
        <v>54</v>
      </c>
      <c r="AP1100" s="428" t="s">
        <v>8098</v>
      </c>
      <c r="AQ1100" s="392"/>
      <c r="AR1100" s="428" t="s">
        <v>50</v>
      </c>
      <c r="AS1100" s="479">
        <v>40933</v>
      </c>
      <c r="AT1100" s="453"/>
      <c r="AU1100" s="453"/>
      <c r="AV1100" s="453"/>
      <c r="AW1100" s="453"/>
      <c r="AX1100" s="453"/>
      <c r="AY1100" s="453"/>
      <c r="AZ1100" s="452">
        <v>42437</v>
      </c>
      <c r="BA1100" s="393"/>
      <c r="BB1100" s="393"/>
      <c r="BC1100" s="393" t="b">
        <v>0</v>
      </c>
      <c r="BD1100" s="393"/>
      <c r="BE1100" s="392"/>
      <c r="BF1100" s="394">
        <v>4</v>
      </c>
      <c r="BG1100" s="394">
        <v>9</v>
      </c>
      <c r="BH1100" s="394">
        <v>1</v>
      </c>
      <c r="BI1100" s="394">
        <v>6</v>
      </c>
      <c r="BJ1100" s="394">
        <v>8</v>
      </c>
      <c r="BK1100" s="394">
        <v>11</v>
      </c>
      <c r="BL1100" s="444" t="s">
        <v>6982</v>
      </c>
      <c r="BM1100" s="392"/>
      <c r="BN1100" s="393"/>
      <c r="BO1100" s="393"/>
      <c r="BP1100" s="399"/>
      <c r="BQ1100" s="400"/>
      <c r="BR1100" s="401"/>
      <c r="BS1100" s="399"/>
      <c r="BT1100" s="394"/>
      <c r="BU1100" s="417"/>
      <c r="BV1100" s="399">
        <v>60</v>
      </c>
      <c r="BW1100" s="475" t="s">
        <v>3117</v>
      </c>
      <c r="BX1100" s="428"/>
      <c r="BY1100" s="393"/>
      <c r="BZ1100" s="393"/>
      <c r="CA1100" s="441"/>
      <c r="CB1100" s="400"/>
      <c r="CC1100" s="398"/>
      <c r="CD1100" s="398"/>
      <c r="CE1100" s="398"/>
      <c r="CF1100" s="398"/>
      <c r="CG1100" s="398"/>
      <c r="CH1100" s="398"/>
      <c r="CI1100" s="398"/>
      <c r="CJ1100" s="398"/>
      <c r="CK1100" s="398"/>
      <c r="CL1100" s="398">
        <v>50.133000000000003</v>
      </c>
      <c r="CM1100" s="398">
        <v>50.133000000000003</v>
      </c>
      <c r="CN1100" s="398">
        <v>50.133000000000003</v>
      </c>
      <c r="CO1100" s="398">
        <v>50.133000000000003</v>
      </c>
      <c r="CP1100" s="398">
        <v>50.133000000000003</v>
      </c>
      <c r="CQ1100" s="398">
        <v>50.133000000000003</v>
      </c>
      <c r="CR1100" s="398">
        <v>50.133000000000003</v>
      </c>
      <c r="CS1100" s="398"/>
      <c r="CT1100" s="398"/>
      <c r="CU1100" s="398"/>
      <c r="CV1100" s="398"/>
      <c r="CW1100" s="398"/>
      <c r="CX1100" s="398"/>
      <c r="CY1100" s="398"/>
      <c r="CZ1100" s="398"/>
      <c r="DA1100" s="398"/>
      <c r="DB1100" s="398"/>
      <c r="DC1100" s="398"/>
      <c r="DD1100" s="398"/>
      <c r="DE1100" s="393"/>
      <c r="DF1100" s="393"/>
      <c r="DG1100" s="393"/>
      <c r="DH1100" s="393"/>
      <c r="DI1100" s="393"/>
      <c r="DJ1100" s="393"/>
      <c r="DK1100" s="897"/>
    </row>
    <row r="1101" spans="1:115" ht="51" x14ac:dyDescent="0.2">
      <c r="A1101" s="295">
        <v>1097</v>
      </c>
      <c r="B1101" s="390" t="s">
        <v>902</v>
      </c>
      <c r="C1101" s="424" t="s">
        <v>7643</v>
      </c>
      <c r="D1101" s="391" t="s">
        <v>5160</v>
      </c>
      <c r="E1101" s="704" t="s">
        <v>903</v>
      </c>
      <c r="F1101" s="393" t="s">
        <v>1352</v>
      </c>
      <c r="G1101" s="393" t="s">
        <v>1672</v>
      </c>
      <c r="H1101" s="393" t="s">
        <v>301</v>
      </c>
      <c r="I1101" s="392"/>
      <c r="J1101" s="392" t="s">
        <v>301</v>
      </c>
      <c r="K1101" s="392"/>
      <c r="L1101" s="392" t="s">
        <v>904</v>
      </c>
      <c r="M1101" s="392" t="s">
        <v>3417</v>
      </c>
      <c r="N1101" s="393" t="s">
        <v>44</v>
      </c>
      <c r="O1101" s="393" t="s">
        <v>827</v>
      </c>
      <c r="P1101" s="393" t="s">
        <v>827</v>
      </c>
      <c r="Q1101" s="392" t="s">
        <v>836</v>
      </c>
      <c r="R1101" s="392"/>
      <c r="S1101" s="392" t="s">
        <v>291</v>
      </c>
      <c r="T1101" s="394">
        <v>1</v>
      </c>
      <c r="U1101" s="395">
        <v>3.3380000000000001</v>
      </c>
      <c r="V1101" s="395"/>
      <c r="W1101" s="452">
        <v>41304</v>
      </c>
      <c r="X1101" s="394">
        <v>28</v>
      </c>
      <c r="Y1101" s="394"/>
      <c r="Z1101" s="394"/>
      <c r="AA1101" s="395"/>
      <c r="AB1101" s="453"/>
      <c r="AC1101" s="398">
        <v>0</v>
      </c>
      <c r="AD1101" s="398">
        <v>24.490860273972604</v>
      </c>
      <c r="AE1101" s="393" t="s">
        <v>72</v>
      </c>
      <c r="AF1101" s="417"/>
      <c r="AG1101" s="417"/>
      <c r="AH1101" s="417">
        <v>0</v>
      </c>
      <c r="AI1101" s="394"/>
      <c r="AJ1101" s="453"/>
      <c r="AK1101" s="453"/>
      <c r="AL1101" s="393"/>
      <c r="AM1101" s="393"/>
      <c r="AN1101" s="417"/>
      <c r="AO1101" s="392"/>
      <c r="AP1101" s="392" t="s">
        <v>7070</v>
      </c>
      <c r="AQ1101" s="392"/>
      <c r="AR1101" s="392" t="s">
        <v>1501</v>
      </c>
      <c r="AS1101" s="479">
        <v>40933</v>
      </c>
      <c r="AT1101" s="453"/>
      <c r="AU1101" s="453"/>
      <c r="AV1101" s="452">
        <v>41022</v>
      </c>
      <c r="AW1101" s="452">
        <v>41242</v>
      </c>
      <c r="AX1101" s="452">
        <v>41293</v>
      </c>
      <c r="AY1101" s="452">
        <v>41242</v>
      </c>
      <c r="AZ1101" s="453"/>
      <c r="BA1101" s="393"/>
      <c r="BB1101" s="393" t="s">
        <v>3147</v>
      </c>
      <c r="BC1101" s="393" t="b">
        <v>0</v>
      </c>
      <c r="BD1101" s="393" t="s">
        <v>3147</v>
      </c>
      <c r="BE1101" s="392"/>
      <c r="BF1101" s="394">
        <v>7</v>
      </c>
      <c r="BG1101" s="394"/>
      <c r="BH1101" s="394"/>
      <c r="BI1101" s="394"/>
      <c r="BJ1101" s="394"/>
      <c r="BK1101" s="394"/>
      <c r="BL1101" s="444"/>
      <c r="BM1101" s="392"/>
      <c r="BN1101" s="393"/>
      <c r="BO1101" s="393"/>
      <c r="BP1101" s="399"/>
      <c r="BQ1101" s="400"/>
      <c r="BR1101" s="401"/>
      <c r="BS1101" s="399">
        <v>5</v>
      </c>
      <c r="BT1101" s="394"/>
      <c r="BU1101" s="417"/>
      <c r="BV1101" s="399"/>
      <c r="BW1101" s="393"/>
      <c r="BX1101" s="392"/>
      <c r="BY1101" s="475" t="s">
        <v>7224</v>
      </c>
      <c r="BZ1101" s="393"/>
      <c r="CA1101" s="441"/>
      <c r="CB1101" s="400"/>
      <c r="CC1101" s="398"/>
      <c r="CD1101" s="398"/>
      <c r="CE1101" s="398"/>
      <c r="CF1101" s="398"/>
      <c r="CG1101" s="398"/>
      <c r="CH1101" s="398"/>
      <c r="CI1101" s="398"/>
      <c r="CJ1101" s="398"/>
      <c r="CK1101" s="398"/>
      <c r="CL1101" s="398"/>
      <c r="CM1101" s="398"/>
      <c r="CN1101" s="398"/>
      <c r="CO1101" s="398"/>
      <c r="CP1101" s="398"/>
      <c r="CQ1101" s="398"/>
      <c r="CR1101" s="398"/>
      <c r="CS1101" s="398"/>
      <c r="CT1101" s="398"/>
      <c r="CU1101" s="398"/>
      <c r="CV1101" s="398"/>
      <c r="CW1101" s="398"/>
      <c r="CX1101" s="398"/>
      <c r="CY1101" s="398"/>
      <c r="CZ1101" s="398"/>
      <c r="DA1101" s="398"/>
      <c r="DB1101" s="398"/>
      <c r="DC1101" s="398"/>
      <c r="DD1101" s="398"/>
      <c r="DE1101" s="393"/>
      <c r="DF1101" s="393"/>
      <c r="DG1101" s="393"/>
      <c r="DH1101" s="393"/>
      <c r="DI1101" s="393"/>
      <c r="DJ1101" s="393"/>
      <c r="DK1101" s="896" t="s">
        <v>9700</v>
      </c>
    </row>
    <row r="1102" spans="1:115" ht="25.5" x14ac:dyDescent="0.2">
      <c r="A1102" s="295">
        <v>1098</v>
      </c>
      <c r="B1102" s="390" t="s">
        <v>2815</v>
      </c>
      <c r="C1102" s="390"/>
      <c r="D1102" s="391" t="s">
        <v>4480</v>
      </c>
      <c r="E1102" s="704" t="s">
        <v>905</v>
      </c>
      <c r="F1102" s="393" t="s">
        <v>1352</v>
      </c>
      <c r="G1102" s="393" t="s">
        <v>1672</v>
      </c>
      <c r="H1102" s="393" t="s">
        <v>301</v>
      </c>
      <c r="I1102" s="392"/>
      <c r="J1102" s="392"/>
      <c r="K1102" s="392" t="s">
        <v>2221</v>
      </c>
      <c r="L1102" s="392" t="s">
        <v>904</v>
      </c>
      <c r="M1102" s="392"/>
      <c r="N1102" s="393" t="s">
        <v>44</v>
      </c>
      <c r="O1102" s="393" t="s">
        <v>827</v>
      </c>
      <c r="P1102" s="393" t="s">
        <v>827</v>
      </c>
      <c r="Q1102" s="392" t="s">
        <v>836</v>
      </c>
      <c r="R1102" s="392" t="s">
        <v>3418</v>
      </c>
      <c r="S1102" s="392" t="s">
        <v>291</v>
      </c>
      <c r="T1102" s="394">
        <v>1</v>
      </c>
      <c r="U1102" s="395">
        <v>3.3380000000000001</v>
      </c>
      <c r="V1102" s="395"/>
      <c r="W1102" s="453"/>
      <c r="X1102" s="394"/>
      <c r="Y1102" s="394">
        <v>7</v>
      </c>
      <c r="Z1102" s="394">
        <v>25</v>
      </c>
      <c r="AA1102" s="395">
        <v>0</v>
      </c>
      <c r="AB1102" s="452">
        <v>41518</v>
      </c>
      <c r="AC1102" s="398">
        <v>0</v>
      </c>
      <c r="AD1102" s="398">
        <v>24.490860273972604</v>
      </c>
      <c r="AE1102" s="393" t="s">
        <v>72</v>
      </c>
      <c r="AF1102" s="417"/>
      <c r="AG1102" s="417"/>
      <c r="AH1102" s="417"/>
      <c r="AI1102" s="394"/>
      <c r="AJ1102" s="453"/>
      <c r="AK1102" s="453"/>
      <c r="AL1102" s="393"/>
      <c r="AM1102" s="393"/>
      <c r="AN1102" s="417"/>
      <c r="AO1102" s="392"/>
      <c r="AP1102" s="392" t="s">
        <v>7070</v>
      </c>
      <c r="AQ1102" s="392"/>
      <c r="AR1102" s="392" t="s">
        <v>1501</v>
      </c>
      <c r="AS1102" s="479">
        <v>40933</v>
      </c>
      <c r="AT1102" s="453"/>
      <c r="AU1102" s="453"/>
      <c r="AV1102" s="453"/>
      <c r="AW1102" s="453"/>
      <c r="AX1102" s="453"/>
      <c r="AY1102" s="453"/>
      <c r="AZ1102" s="452">
        <v>41242</v>
      </c>
      <c r="BA1102" s="393"/>
      <c r="BB1102" s="393"/>
      <c r="BC1102" s="393" t="b">
        <v>0</v>
      </c>
      <c r="BD1102" s="393"/>
      <c r="BE1102" s="392"/>
      <c r="BF1102" s="394">
        <v>7</v>
      </c>
      <c r="BG1102" s="394"/>
      <c r="BH1102" s="394"/>
      <c r="BI1102" s="394"/>
      <c r="BJ1102" s="394"/>
      <c r="BK1102" s="394"/>
      <c r="BL1102" s="444" t="s">
        <v>6981</v>
      </c>
      <c r="BM1102" s="392"/>
      <c r="BN1102" s="393"/>
      <c r="BO1102" s="393"/>
      <c r="BP1102" s="399"/>
      <c r="BQ1102" s="400"/>
      <c r="BR1102" s="401"/>
      <c r="BS1102" s="399">
        <v>5</v>
      </c>
      <c r="BT1102" s="394">
        <v>6868</v>
      </c>
      <c r="BU1102" s="417">
        <v>0.59794999999999998</v>
      </c>
      <c r="BV1102" s="399"/>
      <c r="BW1102" s="393" t="s">
        <v>3117</v>
      </c>
      <c r="BX1102" s="392" t="s">
        <v>1520</v>
      </c>
      <c r="BY1102" s="475" t="s">
        <v>7224</v>
      </c>
      <c r="BZ1102" s="393"/>
      <c r="CA1102" s="441"/>
      <c r="CB1102" s="400"/>
      <c r="CC1102" s="398"/>
      <c r="CD1102" s="398"/>
      <c r="CE1102" s="398"/>
      <c r="CF1102" s="398"/>
      <c r="CG1102" s="398"/>
      <c r="CH1102" s="398"/>
      <c r="CI1102" s="398">
        <v>4.1070000000000002</v>
      </c>
      <c r="CJ1102" s="398">
        <v>4.1070000000000002</v>
      </c>
      <c r="CK1102" s="398">
        <v>4.1070000000000002</v>
      </c>
      <c r="CL1102" s="398">
        <v>4.1070000000000002</v>
      </c>
      <c r="CM1102" s="398">
        <v>4.1070000000000002</v>
      </c>
      <c r="CN1102" s="398">
        <v>4.1070000000000002</v>
      </c>
      <c r="CO1102" s="398">
        <v>4.1070000000000002</v>
      </c>
      <c r="CP1102" s="398"/>
      <c r="CQ1102" s="398"/>
      <c r="CR1102" s="398"/>
      <c r="CS1102" s="398"/>
      <c r="CT1102" s="398"/>
      <c r="CU1102" s="398"/>
      <c r="CV1102" s="398"/>
      <c r="CW1102" s="398"/>
      <c r="CX1102" s="398"/>
      <c r="CY1102" s="398"/>
      <c r="CZ1102" s="398"/>
      <c r="DA1102" s="398"/>
      <c r="DB1102" s="398"/>
      <c r="DC1102" s="398"/>
      <c r="DD1102" s="398"/>
      <c r="DE1102" s="393"/>
      <c r="DF1102" s="393"/>
      <c r="DG1102" s="393"/>
      <c r="DH1102" s="393"/>
      <c r="DI1102" s="393"/>
      <c r="DJ1102" s="393"/>
      <c r="DK1102" s="897"/>
    </row>
    <row r="1103" spans="1:115" ht="51" x14ac:dyDescent="0.2">
      <c r="A1103" s="295">
        <v>1099</v>
      </c>
      <c r="B1103" s="390" t="s">
        <v>1087</v>
      </c>
      <c r="C1103" s="424" t="s">
        <v>7644</v>
      </c>
      <c r="D1103" s="391" t="s">
        <v>5161</v>
      </c>
      <c r="E1103" s="705" t="s">
        <v>1088</v>
      </c>
      <c r="F1103" s="393" t="s">
        <v>1375</v>
      </c>
      <c r="G1103" s="393" t="s">
        <v>1361</v>
      </c>
      <c r="H1103" s="393" t="s">
        <v>1085</v>
      </c>
      <c r="I1103" s="392"/>
      <c r="J1103" s="392" t="s">
        <v>1085</v>
      </c>
      <c r="K1103" s="392"/>
      <c r="L1103" s="392" t="s">
        <v>1089</v>
      </c>
      <c r="M1103" s="392" t="s">
        <v>3419</v>
      </c>
      <c r="N1103" s="393" t="s">
        <v>44</v>
      </c>
      <c r="O1103" s="393" t="s">
        <v>51</v>
      </c>
      <c r="P1103" s="393" t="s">
        <v>51</v>
      </c>
      <c r="Q1103" s="392" t="s">
        <v>976</v>
      </c>
      <c r="R1103" s="392"/>
      <c r="S1103" s="392" t="s">
        <v>977</v>
      </c>
      <c r="T1103" s="394">
        <v>4</v>
      </c>
      <c r="U1103" s="395">
        <v>164.184</v>
      </c>
      <c r="V1103" s="395"/>
      <c r="W1103" s="452">
        <v>40920</v>
      </c>
      <c r="X1103" s="394">
        <v>28</v>
      </c>
      <c r="Y1103" s="394"/>
      <c r="Z1103" s="394"/>
      <c r="AA1103" s="395"/>
      <c r="AB1103" s="453"/>
      <c r="AC1103" s="398">
        <v>0</v>
      </c>
      <c r="AD1103" s="398">
        <v>1122.1863945205478</v>
      </c>
      <c r="AE1103" s="393" t="s">
        <v>37</v>
      </c>
      <c r="AF1103" s="417"/>
      <c r="AG1103" s="417">
        <v>54.363</v>
      </c>
      <c r="AH1103" s="417">
        <v>360.63100000000003</v>
      </c>
      <c r="AI1103" s="394"/>
      <c r="AJ1103" s="453">
        <v>43080</v>
      </c>
      <c r="AK1103" s="453">
        <v>43220</v>
      </c>
      <c r="AL1103" s="393"/>
      <c r="AM1103" s="417"/>
      <c r="AN1103" s="417">
        <f>42.994+0.3+85.071+81.635</f>
        <v>210</v>
      </c>
      <c r="AO1103" s="428" t="s">
        <v>37</v>
      </c>
      <c r="AP1103" s="428" t="s">
        <v>8097</v>
      </c>
      <c r="AQ1103" s="392"/>
      <c r="AR1103" s="392" t="s">
        <v>3791</v>
      </c>
      <c r="AS1103" s="479">
        <v>40934</v>
      </c>
      <c r="AT1103" s="453"/>
      <c r="AU1103" s="453"/>
      <c r="AV1103" s="452">
        <v>41088</v>
      </c>
      <c r="AW1103" s="452">
        <v>41256</v>
      </c>
      <c r="AX1103" s="452">
        <v>41285</v>
      </c>
      <c r="AY1103" s="452">
        <v>41220</v>
      </c>
      <c r="AZ1103" s="453"/>
      <c r="BA1103" s="393"/>
      <c r="BB1103" s="393" t="s">
        <v>3116</v>
      </c>
      <c r="BC1103" s="393" t="b">
        <v>0</v>
      </c>
      <c r="BD1103" s="393" t="s">
        <v>3116</v>
      </c>
      <c r="BE1103" s="392"/>
      <c r="BF1103" s="394">
        <v>8</v>
      </c>
      <c r="BG1103" s="394">
        <v>1</v>
      </c>
      <c r="BH1103" s="394">
        <v>6</v>
      </c>
      <c r="BI1103" s="394">
        <v>9</v>
      </c>
      <c r="BJ1103" s="394"/>
      <c r="BK1103" s="394"/>
      <c r="BL1103" s="444"/>
      <c r="BM1103" s="392"/>
      <c r="BN1103" s="393"/>
      <c r="BO1103" s="393"/>
      <c r="BP1103" s="399"/>
      <c r="BQ1103" s="400"/>
      <c r="BR1103" s="401"/>
      <c r="BS1103" s="399">
        <v>0</v>
      </c>
      <c r="BT1103" s="394"/>
      <c r="BU1103" s="417"/>
      <c r="BV1103" s="399"/>
      <c r="BW1103" s="393"/>
      <c r="BX1103" s="392"/>
      <c r="BY1103" s="393"/>
      <c r="BZ1103" s="393"/>
      <c r="CA1103" s="441"/>
      <c r="CB1103" s="400"/>
      <c r="CC1103" s="398"/>
      <c r="CD1103" s="398"/>
      <c r="CE1103" s="398"/>
      <c r="CF1103" s="398"/>
      <c r="CG1103" s="398"/>
      <c r="CH1103" s="398"/>
      <c r="CI1103" s="398"/>
      <c r="CJ1103" s="398"/>
      <c r="CK1103" s="398"/>
      <c r="CL1103" s="398"/>
      <c r="CM1103" s="398"/>
      <c r="CN1103" s="398"/>
      <c r="CO1103" s="398"/>
      <c r="CP1103" s="398"/>
      <c r="CQ1103" s="398"/>
      <c r="CR1103" s="398"/>
      <c r="CS1103" s="398"/>
      <c r="CT1103" s="398"/>
      <c r="CU1103" s="398"/>
      <c r="CV1103" s="398"/>
      <c r="CW1103" s="398"/>
      <c r="CX1103" s="398"/>
      <c r="CY1103" s="398"/>
      <c r="CZ1103" s="398"/>
      <c r="DA1103" s="398"/>
      <c r="DB1103" s="398"/>
      <c r="DC1103" s="398"/>
      <c r="DD1103" s="398"/>
      <c r="DE1103" s="393"/>
      <c r="DF1103" s="393"/>
      <c r="DG1103" s="393"/>
      <c r="DH1103" s="393"/>
      <c r="DI1103" s="393"/>
      <c r="DJ1103" s="393"/>
      <c r="DK1103" s="896" t="s">
        <v>9706</v>
      </c>
    </row>
    <row r="1104" spans="1:115" ht="25.5" x14ac:dyDescent="0.2">
      <c r="A1104" s="295">
        <v>1100</v>
      </c>
      <c r="B1104" s="390" t="s">
        <v>2816</v>
      </c>
      <c r="C1104" s="390"/>
      <c r="D1104" s="391" t="s">
        <v>4481</v>
      </c>
      <c r="E1104" s="704" t="s">
        <v>1090</v>
      </c>
      <c r="F1104" s="393" t="s">
        <v>1375</v>
      </c>
      <c r="G1104" s="393" t="s">
        <v>1361</v>
      </c>
      <c r="H1104" s="393" t="s">
        <v>1085</v>
      </c>
      <c r="I1104" s="392"/>
      <c r="J1104" s="392"/>
      <c r="K1104" s="392" t="s">
        <v>2222</v>
      </c>
      <c r="L1104" s="392" t="s">
        <v>1089</v>
      </c>
      <c r="M1104" s="392"/>
      <c r="N1104" s="393" t="s">
        <v>44</v>
      </c>
      <c r="O1104" s="393" t="s">
        <v>51</v>
      </c>
      <c r="P1104" s="393" t="s">
        <v>51</v>
      </c>
      <c r="Q1104" s="392" t="s">
        <v>976</v>
      </c>
      <c r="R1104" s="392" t="s">
        <v>3420</v>
      </c>
      <c r="S1104" s="392" t="s">
        <v>977</v>
      </c>
      <c r="T1104" s="394">
        <v>1</v>
      </c>
      <c r="U1104" s="395">
        <v>41.045999999999999</v>
      </c>
      <c r="V1104" s="395"/>
      <c r="W1104" s="453"/>
      <c r="X1104" s="394"/>
      <c r="Y1104" s="394">
        <v>7</v>
      </c>
      <c r="Z1104" s="394">
        <v>21</v>
      </c>
      <c r="AA1104" s="395">
        <v>0</v>
      </c>
      <c r="AB1104" s="452">
        <v>40190</v>
      </c>
      <c r="AC1104" s="398"/>
      <c r="AD1104" s="398">
        <v>450.49390684931501</v>
      </c>
      <c r="AE1104" s="393" t="s">
        <v>37</v>
      </c>
      <c r="AF1104" s="417"/>
      <c r="AG1104" s="417">
        <f>28.673+49.325+41.728</f>
        <v>119.726</v>
      </c>
      <c r="AH1104" s="417">
        <v>119.726</v>
      </c>
      <c r="AI1104" s="394"/>
      <c r="AJ1104" s="453">
        <v>43080</v>
      </c>
      <c r="AK1104" s="453">
        <v>43220</v>
      </c>
      <c r="AL1104" s="393"/>
      <c r="AM1104" s="393"/>
      <c r="AN1104" s="417"/>
      <c r="AO1104" s="428" t="s">
        <v>37</v>
      </c>
      <c r="AP1104" s="428" t="s">
        <v>8097</v>
      </c>
      <c r="AQ1104" s="392"/>
      <c r="AR1104" s="392" t="s">
        <v>3791</v>
      </c>
      <c r="AS1104" s="479">
        <v>40934</v>
      </c>
      <c r="AT1104" s="453"/>
      <c r="AU1104" s="453"/>
      <c r="AV1104" s="453"/>
      <c r="AW1104" s="453"/>
      <c r="AX1104" s="453"/>
      <c r="AY1104" s="453"/>
      <c r="AZ1104" s="452">
        <v>41220</v>
      </c>
      <c r="BA1104" s="393"/>
      <c r="BB1104" s="393"/>
      <c r="BC1104" s="393" t="b">
        <v>0</v>
      </c>
      <c r="BD1104" s="393"/>
      <c r="BE1104" s="392"/>
      <c r="BF1104" s="394">
        <v>8</v>
      </c>
      <c r="BG1104" s="394">
        <v>1</v>
      </c>
      <c r="BH1104" s="394">
        <v>6</v>
      </c>
      <c r="BI1104" s="394">
        <v>9</v>
      </c>
      <c r="BJ1104" s="394"/>
      <c r="BK1104" s="394"/>
      <c r="BL1104" s="444" t="s">
        <v>6981</v>
      </c>
      <c r="BM1104" s="392"/>
      <c r="BN1104" s="393"/>
      <c r="BO1104" s="393"/>
      <c r="BP1104" s="399"/>
      <c r="BQ1104" s="400"/>
      <c r="BR1104" s="401"/>
      <c r="BS1104" s="399"/>
      <c r="BT1104" s="394"/>
      <c r="BU1104" s="417"/>
      <c r="BV1104" s="399">
        <v>10</v>
      </c>
      <c r="BW1104" s="393" t="s">
        <v>3117</v>
      </c>
      <c r="BX1104" s="392" t="s">
        <v>4364</v>
      </c>
      <c r="BY1104" s="393" t="s">
        <v>7224</v>
      </c>
      <c r="BZ1104" s="393"/>
      <c r="CA1104" s="441"/>
      <c r="CB1104" s="400"/>
      <c r="CC1104" s="398"/>
      <c r="CD1104" s="398"/>
      <c r="CE1104" s="398"/>
      <c r="CF1104" s="398"/>
      <c r="CG1104" s="398"/>
      <c r="CH1104" s="398"/>
      <c r="CI1104" s="398">
        <v>22.577999999999999</v>
      </c>
      <c r="CJ1104" s="398">
        <v>22.577999999999999</v>
      </c>
      <c r="CK1104" s="398">
        <v>22.577999999999999</v>
      </c>
      <c r="CL1104" s="398">
        <v>22.577999999999999</v>
      </c>
      <c r="CM1104" s="398">
        <v>22.577999999999999</v>
      </c>
      <c r="CN1104" s="398">
        <v>22.577999999999999</v>
      </c>
      <c r="CO1104" s="398">
        <v>22.577999999999999</v>
      </c>
      <c r="CP1104" s="398"/>
      <c r="CQ1104" s="398"/>
      <c r="CR1104" s="398"/>
      <c r="CS1104" s="398"/>
      <c r="CT1104" s="398"/>
      <c r="CU1104" s="398"/>
      <c r="CV1104" s="398"/>
      <c r="CW1104" s="398"/>
      <c r="CX1104" s="398"/>
      <c r="CY1104" s="398"/>
      <c r="CZ1104" s="398"/>
      <c r="DA1104" s="398"/>
      <c r="DB1104" s="398"/>
      <c r="DC1104" s="398"/>
      <c r="DD1104" s="398"/>
      <c r="DE1104" s="393"/>
      <c r="DF1104" s="393"/>
      <c r="DG1104" s="393"/>
      <c r="DH1104" s="393"/>
      <c r="DI1104" s="393"/>
      <c r="DJ1104" s="393"/>
      <c r="DK1104" s="897"/>
    </row>
    <row r="1105" spans="1:115" ht="25.5" x14ac:dyDescent="0.2">
      <c r="A1105" s="295">
        <v>1101</v>
      </c>
      <c r="B1105" s="390" t="s">
        <v>7120</v>
      </c>
      <c r="C1105" s="390"/>
      <c r="D1105" s="391" t="s">
        <v>7121</v>
      </c>
      <c r="E1105" s="704" t="s">
        <v>7122</v>
      </c>
      <c r="F1105" s="393" t="s">
        <v>1375</v>
      </c>
      <c r="G1105" s="393" t="s">
        <v>1361</v>
      </c>
      <c r="H1105" s="393" t="s">
        <v>1085</v>
      </c>
      <c r="I1105" s="392"/>
      <c r="J1105" s="392"/>
      <c r="K1105" s="392" t="s">
        <v>2222</v>
      </c>
      <c r="L1105" s="392" t="s">
        <v>1089</v>
      </c>
      <c r="M1105" s="392"/>
      <c r="N1105" s="393" t="s">
        <v>44</v>
      </c>
      <c r="O1105" s="393" t="s">
        <v>51</v>
      </c>
      <c r="P1105" s="393" t="s">
        <v>51</v>
      </c>
      <c r="Q1105" s="392" t="s">
        <v>976</v>
      </c>
      <c r="R1105" s="392" t="s">
        <v>7123</v>
      </c>
      <c r="S1105" s="392" t="s">
        <v>977</v>
      </c>
      <c r="T1105" s="394">
        <v>1</v>
      </c>
      <c r="U1105" s="395">
        <v>41.045999999999999</v>
      </c>
      <c r="V1105" s="395"/>
      <c r="W1105" s="453"/>
      <c r="X1105" s="394"/>
      <c r="Y1105" s="394">
        <v>7</v>
      </c>
      <c r="Z1105" s="394">
        <v>21</v>
      </c>
      <c r="AA1105" s="395">
        <v>0</v>
      </c>
      <c r="AB1105" s="452">
        <v>42205</v>
      </c>
      <c r="AC1105" s="398"/>
      <c r="AD1105" s="398">
        <v>223.89749589041094</v>
      </c>
      <c r="AE1105" s="393" t="s">
        <v>37</v>
      </c>
      <c r="AF1105" s="417"/>
      <c r="AG1105" s="417">
        <f>2.952+48.97+41.46</f>
        <v>93.382000000000005</v>
      </c>
      <c r="AH1105" s="417">
        <v>93.382000000000005</v>
      </c>
      <c r="AI1105" s="394"/>
      <c r="AJ1105" s="453">
        <v>43080</v>
      </c>
      <c r="AK1105" s="453">
        <v>43220</v>
      </c>
      <c r="AL1105" s="393"/>
      <c r="AM1105" s="393"/>
      <c r="AN1105" s="417"/>
      <c r="AO1105" s="428" t="s">
        <v>37</v>
      </c>
      <c r="AP1105" s="428" t="s">
        <v>8097</v>
      </c>
      <c r="AQ1105" s="392"/>
      <c r="AR1105" s="392" t="s">
        <v>1049</v>
      </c>
      <c r="AS1105" s="479">
        <v>40934</v>
      </c>
      <c r="AT1105" s="453"/>
      <c r="AU1105" s="453"/>
      <c r="AV1105" s="453"/>
      <c r="AW1105" s="453"/>
      <c r="AX1105" s="453"/>
      <c r="AY1105" s="453"/>
      <c r="AZ1105" s="452">
        <v>42139</v>
      </c>
      <c r="BA1105" s="393"/>
      <c r="BB1105" s="393"/>
      <c r="BC1105" s="393" t="b">
        <v>0</v>
      </c>
      <c r="BD1105" s="393"/>
      <c r="BE1105" s="392"/>
      <c r="BF1105" s="394">
        <v>8</v>
      </c>
      <c r="BG1105" s="394">
        <v>1</v>
      </c>
      <c r="BH1105" s="394">
        <v>6</v>
      </c>
      <c r="BI1105" s="394">
        <v>9</v>
      </c>
      <c r="BJ1105" s="394"/>
      <c r="BK1105" s="394"/>
      <c r="BL1105" s="444" t="s">
        <v>6981</v>
      </c>
      <c r="BM1105" s="392"/>
      <c r="BN1105" s="393"/>
      <c r="BO1105" s="393"/>
      <c r="BP1105" s="399"/>
      <c r="BQ1105" s="400"/>
      <c r="BR1105" s="401"/>
      <c r="BS1105" s="399"/>
      <c r="BT1105" s="394"/>
      <c r="BU1105" s="417"/>
      <c r="BV1105" s="399"/>
      <c r="BW1105" s="393" t="s">
        <v>3117</v>
      </c>
      <c r="BX1105" s="392" t="s">
        <v>4364</v>
      </c>
      <c r="BY1105" s="393" t="s">
        <v>7224</v>
      </c>
      <c r="BZ1105" s="393"/>
      <c r="CA1105" s="441"/>
      <c r="CB1105" s="400"/>
      <c r="CC1105" s="398"/>
      <c r="CD1105" s="398"/>
      <c r="CE1105" s="398"/>
      <c r="CF1105" s="398"/>
      <c r="CG1105" s="398"/>
      <c r="CH1105" s="398"/>
      <c r="CI1105" s="398"/>
      <c r="CJ1105" s="398"/>
      <c r="CK1105" s="398">
        <v>41.045999999999999</v>
      </c>
      <c r="CL1105" s="398">
        <v>41.045999999999999</v>
      </c>
      <c r="CM1105" s="398">
        <v>41.045999999999999</v>
      </c>
      <c r="CN1105" s="398">
        <v>41.045999999999999</v>
      </c>
      <c r="CO1105" s="398">
        <v>41.045999999999999</v>
      </c>
      <c r="CP1105" s="398">
        <v>41.045999999999999</v>
      </c>
      <c r="CQ1105" s="398">
        <v>41.045999999999999</v>
      </c>
      <c r="CR1105" s="398"/>
      <c r="CS1105" s="398"/>
      <c r="CT1105" s="398"/>
      <c r="CU1105" s="398"/>
      <c r="CV1105" s="398"/>
      <c r="CW1105" s="398"/>
      <c r="CX1105" s="398"/>
      <c r="CY1105" s="398"/>
      <c r="CZ1105" s="398"/>
      <c r="DA1105" s="398"/>
      <c r="DB1105" s="398"/>
      <c r="DC1105" s="398"/>
      <c r="DD1105" s="398"/>
      <c r="DE1105" s="393"/>
      <c r="DF1105" s="393"/>
      <c r="DG1105" s="393"/>
      <c r="DH1105" s="393"/>
      <c r="DI1105" s="393"/>
      <c r="DJ1105" s="393"/>
      <c r="DK1105" s="897"/>
    </row>
    <row r="1106" spans="1:115" ht="25.5" x14ac:dyDescent="0.2">
      <c r="A1106" s="295">
        <v>1102</v>
      </c>
      <c r="B1106" s="390" t="s">
        <v>7151</v>
      </c>
      <c r="C1106" s="390"/>
      <c r="D1106" s="391" t="s">
        <v>7152</v>
      </c>
      <c r="E1106" s="704" t="s">
        <v>7153</v>
      </c>
      <c r="F1106" s="393" t="s">
        <v>1375</v>
      </c>
      <c r="G1106" s="393" t="s">
        <v>1361</v>
      </c>
      <c r="H1106" s="393" t="s">
        <v>1085</v>
      </c>
      <c r="I1106" s="392"/>
      <c r="J1106" s="392"/>
      <c r="K1106" s="392" t="s">
        <v>2222</v>
      </c>
      <c r="L1106" s="392" t="s">
        <v>1089</v>
      </c>
      <c r="M1106" s="392"/>
      <c r="N1106" s="393" t="s">
        <v>44</v>
      </c>
      <c r="O1106" s="393" t="s">
        <v>51</v>
      </c>
      <c r="P1106" s="393" t="s">
        <v>51</v>
      </c>
      <c r="Q1106" s="392" t="s">
        <v>976</v>
      </c>
      <c r="R1106" s="392" t="s">
        <v>7123</v>
      </c>
      <c r="S1106" s="392" t="s">
        <v>977</v>
      </c>
      <c r="T1106" s="394">
        <v>1</v>
      </c>
      <c r="U1106" s="395">
        <v>41.045999999999999</v>
      </c>
      <c r="V1106" s="395"/>
      <c r="W1106" s="453"/>
      <c r="X1106" s="394"/>
      <c r="Y1106" s="394">
        <v>7</v>
      </c>
      <c r="Z1106" s="394">
        <v>21</v>
      </c>
      <c r="AA1106" s="395">
        <v>0</v>
      </c>
      <c r="AB1106" s="452">
        <v>42205</v>
      </c>
      <c r="AC1106" s="398"/>
      <c r="AD1106" s="398">
        <v>223.89749589041094</v>
      </c>
      <c r="AE1106" s="393" t="s">
        <v>37</v>
      </c>
      <c r="AF1106" s="417"/>
      <c r="AG1106" s="417">
        <f>44.975+41.866</f>
        <v>86.841000000000008</v>
      </c>
      <c r="AH1106" s="417">
        <v>86.841000000000008</v>
      </c>
      <c r="AI1106" s="394"/>
      <c r="AJ1106" s="453">
        <v>43080</v>
      </c>
      <c r="AK1106" s="453">
        <v>43220</v>
      </c>
      <c r="AL1106" s="393"/>
      <c r="AM1106" s="393"/>
      <c r="AN1106" s="417"/>
      <c r="AO1106" s="428" t="s">
        <v>37</v>
      </c>
      <c r="AP1106" s="428" t="s">
        <v>8097</v>
      </c>
      <c r="AQ1106" s="392"/>
      <c r="AR1106" s="392" t="s">
        <v>1049</v>
      </c>
      <c r="AS1106" s="479">
        <v>40934</v>
      </c>
      <c r="AT1106" s="453"/>
      <c r="AU1106" s="453"/>
      <c r="AV1106" s="453"/>
      <c r="AW1106" s="453"/>
      <c r="AX1106" s="453"/>
      <c r="AY1106" s="453"/>
      <c r="AZ1106" s="452">
        <v>42170</v>
      </c>
      <c r="BA1106" s="393"/>
      <c r="BB1106" s="393"/>
      <c r="BC1106" s="393" t="b">
        <v>0</v>
      </c>
      <c r="BD1106" s="393"/>
      <c r="BE1106" s="392"/>
      <c r="BF1106" s="394">
        <v>8</v>
      </c>
      <c r="BG1106" s="394">
        <v>1</v>
      </c>
      <c r="BH1106" s="394">
        <v>6</v>
      </c>
      <c r="BI1106" s="394">
        <v>9</v>
      </c>
      <c r="BJ1106" s="394"/>
      <c r="BK1106" s="394"/>
      <c r="BL1106" s="444" t="s">
        <v>6981</v>
      </c>
      <c r="BM1106" s="392"/>
      <c r="BN1106" s="393"/>
      <c r="BO1106" s="393"/>
      <c r="BP1106" s="399"/>
      <c r="BQ1106" s="400"/>
      <c r="BR1106" s="401"/>
      <c r="BS1106" s="399"/>
      <c r="BT1106" s="394"/>
      <c r="BU1106" s="417"/>
      <c r="BV1106" s="399"/>
      <c r="BW1106" s="393" t="s">
        <v>3117</v>
      </c>
      <c r="BX1106" s="392" t="s">
        <v>4364</v>
      </c>
      <c r="BY1106" s="393" t="s">
        <v>7224</v>
      </c>
      <c r="BZ1106" s="393"/>
      <c r="CA1106" s="441"/>
      <c r="CB1106" s="400"/>
      <c r="CC1106" s="398"/>
      <c r="CD1106" s="398"/>
      <c r="CE1106" s="398"/>
      <c r="CF1106" s="398"/>
      <c r="CG1106" s="398"/>
      <c r="CH1106" s="398"/>
      <c r="CI1106" s="398"/>
      <c r="CJ1106" s="398"/>
      <c r="CK1106" s="398">
        <v>41.045999999999999</v>
      </c>
      <c r="CL1106" s="398">
        <v>41.045999999999999</v>
      </c>
      <c r="CM1106" s="398">
        <v>41.045999999999999</v>
      </c>
      <c r="CN1106" s="398">
        <v>41.045999999999999</v>
      </c>
      <c r="CO1106" s="398">
        <v>41.045999999999999</v>
      </c>
      <c r="CP1106" s="398">
        <v>41.045999999999999</v>
      </c>
      <c r="CQ1106" s="398">
        <v>41.045999999999999</v>
      </c>
      <c r="CR1106" s="398"/>
      <c r="CS1106" s="398"/>
      <c r="CT1106" s="398"/>
      <c r="CU1106" s="398"/>
      <c r="CV1106" s="398"/>
      <c r="CW1106" s="398"/>
      <c r="CX1106" s="398"/>
      <c r="CY1106" s="398"/>
      <c r="CZ1106" s="398"/>
      <c r="DA1106" s="398"/>
      <c r="DB1106" s="398"/>
      <c r="DC1106" s="398"/>
      <c r="DD1106" s="398"/>
      <c r="DE1106" s="393"/>
      <c r="DF1106" s="393"/>
      <c r="DG1106" s="393"/>
      <c r="DH1106" s="393"/>
      <c r="DI1106" s="393"/>
      <c r="DJ1106" s="393"/>
      <c r="DK1106" s="897"/>
    </row>
    <row r="1107" spans="1:115" ht="25.5" x14ac:dyDescent="0.2">
      <c r="A1107" s="295">
        <v>1103</v>
      </c>
      <c r="B1107" s="390" t="s">
        <v>7154</v>
      </c>
      <c r="C1107" s="390"/>
      <c r="D1107" s="391" t="s">
        <v>7155</v>
      </c>
      <c r="E1107" s="704" t="s">
        <v>7156</v>
      </c>
      <c r="F1107" s="393" t="s">
        <v>1375</v>
      </c>
      <c r="G1107" s="393" t="s">
        <v>1361</v>
      </c>
      <c r="H1107" s="393" t="s">
        <v>1085</v>
      </c>
      <c r="I1107" s="392"/>
      <c r="J1107" s="392"/>
      <c r="K1107" s="392" t="s">
        <v>2222</v>
      </c>
      <c r="L1107" s="392" t="s">
        <v>1089</v>
      </c>
      <c r="M1107" s="392"/>
      <c r="N1107" s="393" t="s">
        <v>44</v>
      </c>
      <c r="O1107" s="393" t="s">
        <v>51</v>
      </c>
      <c r="P1107" s="393" t="s">
        <v>51</v>
      </c>
      <c r="Q1107" s="392" t="s">
        <v>976</v>
      </c>
      <c r="R1107" s="392" t="s">
        <v>7123</v>
      </c>
      <c r="S1107" s="392" t="s">
        <v>977</v>
      </c>
      <c r="T1107" s="394">
        <v>1</v>
      </c>
      <c r="U1107" s="395">
        <v>41.045999999999999</v>
      </c>
      <c r="V1107" s="395"/>
      <c r="W1107" s="453"/>
      <c r="X1107" s="394"/>
      <c r="Y1107" s="394">
        <v>7</v>
      </c>
      <c r="Z1107" s="394">
        <v>21</v>
      </c>
      <c r="AA1107" s="395">
        <v>0</v>
      </c>
      <c r="AB1107" s="452">
        <v>42205</v>
      </c>
      <c r="AC1107" s="398"/>
      <c r="AD1107" s="398">
        <v>223.89749589041094</v>
      </c>
      <c r="AE1107" s="393" t="s">
        <v>37</v>
      </c>
      <c r="AF1107" s="417"/>
      <c r="AG1107" s="417">
        <f>27.472+33.21</f>
        <v>60.682000000000002</v>
      </c>
      <c r="AH1107" s="417">
        <v>60.682000000000002</v>
      </c>
      <c r="AI1107" s="394"/>
      <c r="AJ1107" s="453">
        <v>43080</v>
      </c>
      <c r="AK1107" s="453">
        <v>43220</v>
      </c>
      <c r="AL1107" s="393"/>
      <c r="AM1107" s="393"/>
      <c r="AN1107" s="417"/>
      <c r="AO1107" s="428" t="s">
        <v>37</v>
      </c>
      <c r="AP1107" s="428" t="s">
        <v>8097</v>
      </c>
      <c r="AQ1107" s="392"/>
      <c r="AR1107" s="392" t="s">
        <v>1049</v>
      </c>
      <c r="AS1107" s="479">
        <v>40934</v>
      </c>
      <c r="AT1107" s="453"/>
      <c r="AU1107" s="453"/>
      <c r="AV1107" s="453"/>
      <c r="AW1107" s="453"/>
      <c r="AX1107" s="453"/>
      <c r="AY1107" s="453"/>
      <c r="AZ1107" s="452">
        <v>42170</v>
      </c>
      <c r="BA1107" s="393"/>
      <c r="BB1107" s="393"/>
      <c r="BC1107" s="393" t="b">
        <v>0</v>
      </c>
      <c r="BD1107" s="393"/>
      <c r="BE1107" s="392"/>
      <c r="BF1107" s="394">
        <v>8</v>
      </c>
      <c r="BG1107" s="394">
        <v>1</v>
      </c>
      <c r="BH1107" s="394">
        <v>6</v>
      </c>
      <c r="BI1107" s="394">
        <v>9</v>
      </c>
      <c r="BJ1107" s="394"/>
      <c r="BK1107" s="394"/>
      <c r="BL1107" s="444" t="s">
        <v>6981</v>
      </c>
      <c r="BM1107" s="392"/>
      <c r="BN1107" s="393"/>
      <c r="BO1107" s="393"/>
      <c r="BP1107" s="399"/>
      <c r="BQ1107" s="400"/>
      <c r="BR1107" s="401"/>
      <c r="BS1107" s="399"/>
      <c r="BT1107" s="394"/>
      <c r="BU1107" s="417"/>
      <c r="BV1107" s="399"/>
      <c r="BW1107" s="393" t="s">
        <v>3117</v>
      </c>
      <c r="BX1107" s="392" t="s">
        <v>4364</v>
      </c>
      <c r="BY1107" s="393" t="s">
        <v>7224</v>
      </c>
      <c r="BZ1107" s="393"/>
      <c r="CA1107" s="441"/>
      <c r="CB1107" s="400"/>
      <c r="CC1107" s="398"/>
      <c r="CD1107" s="398"/>
      <c r="CE1107" s="398"/>
      <c r="CF1107" s="398"/>
      <c r="CG1107" s="398"/>
      <c r="CH1107" s="398"/>
      <c r="CI1107" s="398"/>
      <c r="CJ1107" s="398"/>
      <c r="CK1107" s="398">
        <v>41.045999999999999</v>
      </c>
      <c r="CL1107" s="398">
        <v>41.045999999999999</v>
      </c>
      <c r="CM1107" s="398">
        <v>41.045999999999999</v>
      </c>
      <c r="CN1107" s="398">
        <v>41.045999999999999</v>
      </c>
      <c r="CO1107" s="398">
        <v>41.045999999999999</v>
      </c>
      <c r="CP1107" s="398">
        <v>41.045999999999999</v>
      </c>
      <c r="CQ1107" s="398">
        <v>41.045999999999999</v>
      </c>
      <c r="CR1107" s="398"/>
      <c r="CS1107" s="398"/>
      <c r="CT1107" s="398"/>
      <c r="CU1107" s="398"/>
      <c r="CV1107" s="398"/>
      <c r="CW1107" s="398"/>
      <c r="CX1107" s="398"/>
      <c r="CY1107" s="398"/>
      <c r="CZ1107" s="398"/>
      <c r="DA1107" s="398"/>
      <c r="DB1107" s="398"/>
      <c r="DC1107" s="398"/>
      <c r="DD1107" s="398"/>
      <c r="DE1107" s="393"/>
      <c r="DF1107" s="393"/>
      <c r="DG1107" s="393"/>
      <c r="DH1107" s="393"/>
      <c r="DI1107" s="393"/>
      <c r="DJ1107" s="393"/>
      <c r="DK1107" s="897"/>
    </row>
    <row r="1108" spans="1:115" ht="51" x14ac:dyDescent="0.2">
      <c r="A1108" s="295">
        <v>1104</v>
      </c>
      <c r="B1108" s="390" t="s">
        <v>1073</v>
      </c>
      <c r="C1108" s="424" t="s">
        <v>7645</v>
      </c>
      <c r="D1108" s="391"/>
      <c r="E1108" s="707" t="s">
        <v>1068</v>
      </c>
      <c r="F1108" s="404" t="s">
        <v>1375</v>
      </c>
      <c r="G1108" s="404" t="s">
        <v>1670</v>
      </c>
      <c r="H1108" s="404" t="s">
        <v>1069</v>
      </c>
      <c r="I1108" s="403" t="s">
        <v>4099</v>
      </c>
      <c r="J1108" s="403" t="s">
        <v>1074</v>
      </c>
      <c r="K1108" s="403"/>
      <c r="L1108" s="403" t="s">
        <v>1071</v>
      </c>
      <c r="M1108" s="403" t="s">
        <v>3421</v>
      </c>
      <c r="N1108" s="404" t="s">
        <v>2412</v>
      </c>
      <c r="O1108" s="404" t="s">
        <v>51</v>
      </c>
      <c r="P1108" s="404" t="s">
        <v>51</v>
      </c>
      <c r="Q1108" s="403" t="s">
        <v>976</v>
      </c>
      <c r="R1108" s="403"/>
      <c r="S1108" s="403" t="s">
        <v>977</v>
      </c>
      <c r="T1108" s="405"/>
      <c r="U1108" s="406"/>
      <c r="V1108" s="406"/>
      <c r="W1108" s="456">
        <v>40337</v>
      </c>
      <c r="X1108" s="405">
        <v>28</v>
      </c>
      <c r="Y1108" s="405"/>
      <c r="Z1108" s="405"/>
      <c r="AA1108" s="406"/>
      <c r="AB1108" s="455"/>
      <c r="AC1108" s="407"/>
      <c r="AD1108" s="407"/>
      <c r="AE1108" s="404" t="s">
        <v>54</v>
      </c>
      <c r="AF1108" s="418"/>
      <c r="AG1108" s="418"/>
      <c r="AH1108" s="418"/>
      <c r="AI1108" s="405"/>
      <c r="AJ1108" s="455"/>
      <c r="AK1108" s="455"/>
      <c r="AL1108" s="404"/>
      <c r="AM1108" s="404"/>
      <c r="AN1108" s="418"/>
      <c r="AO1108" s="403"/>
      <c r="AP1108" s="403" t="s">
        <v>55</v>
      </c>
      <c r="AQ1108" s="403"/>
      <c r="AR1108" s="403" t="s">
        <v>55</v>
      </c>
      <c r="AS1108" s="482">
        <v>40936</v>
      </c>
      <c r="AT1108" s="456">
        <v>41145</v>
      </c>
      <c r="AU1108" s="455" t="s">
        <v>1067</v>
      </c>
      <c r="AV1108" s="455"/>
      <c r="AW1108" s="455"/>
      <c r="AX1108" s="455"/>
      <c r="AY1108" s="455"/>
      <c r="AZ1108" s="455"/>
      <c r="BA1108" s="404"/>
      <c r="BB1108" s="404" t="s">
        <v>3147</v>
      </c>
      <c r="BC1108" s="404" t="b">
        <v>0</v>
      </c>
      <c r="BD1108" s="404" t="s">
        <v>3147</v>
      </c>
      <c r="BE1108" s="403"/>
      <c r="BF1108" s="405">
        <v>9</v>
      </c>
      <c r="BG1108" s="405">
        <v>6</v>
      </c>
      <c r="BH1108" s="405">
        <v>8</v>
      </c>
      <c r="BI1108" s="405"/>
      <c r="BJ1108" s="405"/>
      <c r="BK1108" s="405"/>
      <c r="BL1108" s="446"/>
      <c r="BM1108" s="403"/>
      <c r="BN1108" s="404"/>
      <c r="BO1108" s="404"/>
      <c r="BP1108" s="408"/>
      <c r="BQ1108" s="409"/>
      <c r="BR1108" s="410"/>
      <c r="BS1108" s="408"/>
      <c r="BT1108" s="405"/>
      <c r="BU1108" s="418"/>
      <c r="BV1108" s="408"/>
      <c r="BW1108" s="404"/>
      <c r="BX1108" s="403"/>
      <c r="BY1108" s="404"/>
      <c r="BZ1108" s="404"/>
      <c r="CA1108" s="443"/>
      <c r="CB1108" s="409"/>
      <c r="CC1108" s="407"/>
      <c r="CD1108" s="407"/>
      <c r="CE1108" s="407"/>
      <c r="CF1108" s="407"/>
      <c r="CG1108" s="407"/>
      <c r="CH1108" s="407"/>
      <c r="CI1108" s="407"/>
      <c r="CJ1108" s="407"/>
      <c r="CK1108" s="407"/>
      <c r="CL1108" s="407"/>
      <c r="CM1108" s="407"/>
      <c r="CN1108" s="407"/>
      <c r="CO1108" s="407"/>
      <c r="CP1108" s="407"/>
      <c r="CQ1108" s="407"/>
      <c r="CR1108" s="407"/>
      <c r="CS1108" s="407"/>
      <c r="CT1108" s="407"/>
      <c r="CU1108" s="407"/>
      <c r="CV1108" s="407"/>
      <c r="CW1108" s="407"/>
      <c r="CX1108" s="407"/>
      <c r="CY1108" s="407"/>
      <c r="CZ1108" s="407"/>
      <c r="DA1108" s="407"/>
      <c r="DB1108" s="407"/>
      <c r="DC1108" s="407"/>
      <c r="DD1108" s="407"/>
      <c r="DE1108" s="404"/>
      <c r="DF1108" s="404"/>
      <c r="DG1108" s="404"/>
      <c r="DH1108" s="404"/>
      <c r="DI1108" s="404"/>
      <c r="DJ1108" s="404"/>
      <c r="DK1108" s="897"/>
    </row>
    <row r="1109" spans="1:115" ht="25.5" x14ac:dyDescent="0.2">
      <c r="A1109" s="295">
        <v>1105</v>
      </c>
      <c r="B1109" s="390" t="s">
        <v>2817</v>
      </c>
      <c r="C1109" s="390"/>
      <c r="D1109" s="391"/>
      <c r="E1109" s="707" t="s">
        <v>1072</v>
      </c>
      <c r="F1109" s="404" t="s">
        <v>1375</v>
      </c>
      <c r="G1109" s="404" t="s">
        <v>1670</v>
      </c>
      <c r="H1109" s="404" t="s">
        <v>1069</v>
      </c>
      <c r="I1109" s="403"/>
      <c r="J1109" s="403"/>
      <c r="K1109" s="403" t="s">
        <v>1069</v>
      </c>
      <c r="L1109" s="403" t="s">
        <v>1071</v>
      </c>
      <c r="M1109" s="403"/>
      <c r="N1109" s="404" t="s">
        <v>2412</v>
      </c>
      <c r="O1109" s="404" t="s">
        <v>51</v>
      </c>
      <c r="P1109" s="404" t="s">
        <v>51</v>
      </c>
      <c r="Q1109" s="403" t="s">
        <v>976</v>
      </c>
      <c r="R1109" s="403" t="s">
        <v>3422</v>
      </c>
      <c r="S1109" s="403" t="s">
        <v>977</v>
      </c>
      <c r="T1109" s="405">
        <v>1</v>
      </c>
      <c r="U1109" s="406">
        <v>45.192</v>
      </c>
      <c r="V1109" s="406"/>
      <c r="W1109" s="455"/>
      <c r="X1109" s="405"/>
      <c r="Y1109" s="405">
        <v>7</v>
      </c>
      <c r="Z1109" s="405">
        <v>7</v>
      </c>
      <c r="AA1109" s="406">
        <v>7</v>
      </c>
      <c r="AB1109" s="456">
        <v>40620</v>
      </c>
      <c r="AC1109" s="407">
        <v>80.984064000000004</v>
      </c>
      <c r="AD1109" s="407">
        <v>442.75778630136989</v>
      </c>
      <c r="AE1109" s="404" t="s">
        <v>54</v>
      </c>
      <c r="AF1109" s="418"/>
      <c r="AG1109" s="418"/>
      <c r="AH1109" s="418"/>
      <c r="AI1109" s="405"/>
      <c r="AJ1109" s="455"/>
      <c r="AK1109" s="455"/>
      <c r="AL1109" s="404"/>
      <c r="AM1109" s="404"/>
      <c r="AN1109" s="418"/>
      <c r="AO1109" s="403"/>
      <c r="AP1109" s="403" t="s">
        <v>55</v>
      </c>
      <c r="AQ1109" s="403"/>
      <c r="AR1109" s="403" t="s">
        <v>55</v>
      </c>
      <c r="AS1109" s="482">
        <v>40936</v>
      </c>
      <c r="AT1109" s="456">
        <v>41145</v>
      </c>
      <c r="AU1109" s="455" t="s">
        <v>2416</v>
      </c>
      <c r="AV1109" s="455"/>
      <c r="AW1109" s="455"/>
      <c r="AX1109" s="455"/>
      <c r="AY1109" s="455"/>
      <c r="AZ1109" s="455"/>
      <c r="BA1109" s="404"/>
      <c r="BB1109" s="404"/>
      <c r="BC1109" s="404" t="b">
        <v>0</v>
      </c>
      <c r="BD1109" s="404"/>
      <c r="BE1109" s="403"/>
      <c r="BF1109" s="405">
        <v>9</v>
      </c>
      <c r="BG1109" s="405">
        <v>6</v>
      </c>
      <c r="BH1109" s="405">
        <v>8</v>
      </c>
      <c r="BI1109" s="405"/>
      <c r="BJ1109" s="405"/>
      <c r="BK1109" s="405"/>
      <c r="BL1109" s="446" t="s">
        <v>6986</v>
      </c>
      <c r="BM1109" s="403"/>
      <c r="BN1109" s="404"/>
      <c r="BO1109" s="404"/>
      <c r="BP1109" s="408"/>
      <c r="BQ1109" s="409"/>
      <c r="BR1109" s="410"/>
      <c r="BS1109" s="408"/>
      <c r="BT1109" s="405"/>
      <c r="BU1109" s="418"/>
      <c r="BV1109" s="408"/>
      <c r="BW1109" s="404" t="s">
        <v>3165</v>
      </c>
      <c r="BX1109" s="403" t="s">
        <v>3172</v>
      </c>
      <c r="BY1109" s="404"/>
      <c r="BZ1109" s="404"/>
      <c r="CA1109" s="443"/>
      <c r="CB1109" s="409"/>
      <c r="CC1109" s="407"/>
      <c r="CD1109" s="407"/>
      <c r="CE1109" s="407"/>
      <c r="CF1109" s="407"/>
      <c r="CG1109" s="407"/>
      <c r="CH1109" s="407"/>
      <c r="CI1109" s="407">
        <v>8.9659999999999993</v>
      </c>
      <c r="CJ1109" s="407">
        <v>51.29</v>
      </c>
      <c r="CK1109" s="407">
        <v>51.29</v>
      </c>
      <c r="CL1109" s="407">
        <v>51.29</v>
      </c>
      <c r="CM1109" s="407">
        <v>51.29</v>
      </c>
      <c r="CN1109" s="407">
        <v>51.29</v>
      </c>
      <c r="CO1109" s="407">
        <v>50.927999999999997</v>
      </c>
      <c r="CP1109" s="407"/>
      <c r="CQ1109" s="407"/>
      <c r="CR1109" s="407"/>
      <c r="CS1109" s="407"/>
      <c r="CT1109" s="407"/>
      <c r="CU1109" s="407"/>
      <c r="CV1109" s="407"/>
      <c r="CW1109" s="407"/>
      <c r="CX1109" s="407"/>
      <c r="CY1109" s="407"/>
      <c r="CZ1109" s="407"/>
      <c r="DA1109" s="407"/>
      <c r="DB1109" s="407"/>
      <c r="DC1109" s="407"/>
      <c r="DD1109" s="407"/>
      <c r="DE1109" s="404"/>
      <c r="DF1109" s="404"/>
      <c r="DG1109" s="404"/>
      <c r="DH1109" s="404"/>
      <c r="DI1109" s="404"/>
      <c r="DJ1109" s="404"/>
      <c r="DK1109" s="897"/>
    </row>
    <row r="1110" spans="1:115" ht="63.75" x14ac:dyDescent="0.2">
      <c r="A1110" s="295">
        <v>1106</v>
      </c>
      <c r="B1110" s="390" t="s">
        <v>56</v>
      </c>
      <c r="C1110" s="424" t="s">
        <v>7646</v>
      </c>
      <c r="D1110" s="391" t="s">
        <v>5162</v>
      </c>
      <c r="E1110" s="704" t="s">
        <v>57</v>
      </c>
      <c r="F1110" s="393" t="s">
        <v>1340</v>
      </c>
      <c r="G1110" s="393" t="s">
        <v>1676</v>
      </c>
      <c r="H1110" s="393" t="s">
        <v>58</v>
      </c>
      <c r="I1110" s="392"/>
      <c r="J1110" s="392" t="s">
        <v>58</v>
      </c>
      <c r="K1110" s="392"/>
      <c r="L1110" s="392" t="s">
        <v>59</v>
      </c>
      <c r="M1110" s="392" t="s">
        <v>3423</v>
      </c>
      <c r="N1110" s="393" t="s">
        <v>44</v>
      </c>
      <c r="O1110" s="393" t="s">
        <v>51</v>
      </c>
      <c r="P1110" s="393" t="s">
        <v>51</v>
      </c>
      <c r="Q1110" s="392" t="s">
        <v>52</v>
      </c>
      <c r="R1110" s="392"/>
      <c r="S1110" s="392" t="s">
        <v>60</v>
      </c>
      <c r="T1110" s="394">
        <v>1</v>
      </c>
      <c r="U1110" s="395">
        <v>0.439</v>
      </c>
      <c r="V1110" s="395"/>
      <c r="W1110" s="452">
        <v>41243</v>
      </c>
      <c r="X1110" s="394">
        <v>28</v>
      </c>
      <c r="Y1110" s="394"/>
      <c r="Z1110" s="394"/>
      <c r="AA1110" s="395"/>
      <c r="AB1110" s="453"/>
      <c r="AC1110" s="398">
        <v>0</v>
      </c>
      <c r="AD1110" s="398">
        <v>4.3899999999999997</v>
      </c>
      <c r="AE1110" s="393" t="s">
        <v>1413</v>
      </c>
      <c r="AF1110" s="417"/>
      <c r="AG1110" s="417"/>
      <c r="AH1110" s="417">
        <v>0</v>
      </c>
      <c r="AI1110" s="394"/>
      <c r="AJ1110" s="453"/>
      <c r="AK1110" s="453"/>
      <c r="AL1110" s="393"/>
      <c r="AM1110" s="393"/>
      <c r="AN1110" s="417"/>
      <c r="AO1110" s="392"/>
      <c r="AP1110" s="428" t="s">
        <v>8095</v>
      </c>
      <c r="AQ1110" s="392"/>
      <c r="AR1110" s="392" t="s">
        <v>3802</v>
      </c>
      <c r="AS1110" s="479">
        <v>40936</v>
      </c>
      <c r="AT1110" s="453"/>
      <c r="AU1110" s="453"/>
      <c r="AV1110" s="452">
        <v>40558</v>
      </c>
      <c r="AW1110" s="452">
        <v>41262</v>
      </c>
      <c r="AX1110" s="453"/>
      <c r="AY1110" s="452">
        <v>41262</v>
      </c>
      <c r="AZ1110" s="453"/>
      <c r="BA1110" s="393"/>
      <c r="BB1110" s="393" t="s">
        <v>3116</v>
      </c>
      <c r="BC1110" s="393" t="b">
        <v>0</v>
      </c>
      <c r="BD1110" s="393" t="s">
        <v>3116</v>
      </c>
      <c r="BE1110" s="392" t="s">
        <v>6245</v>
      </c>
      <c r="BF1110" s="394">
        <v>9</v>
      </c>
      <c r="BG1110" s="394">
        <v>4</v>
      </c>
      <c r="BH1110" s="394">
        <v>1</v>
      </c>
      <c r="BI1110" s="394">
        <v>3</v>
      </c>
      <c r="BJ1110" s="394">
        <v>8</v>
      </c>
      <c r="BK1110" s="394">
        <v>7</v>
      </c>
      <c r="BL1110" s="444"/>
      <c r="BM1110" s="392"/>
      <c r="BN1110" s="393"/>
      <c r="BO1110" s="393"/>
      <c r="BP1110" s="399"/>
      <c r="BQ1110" s="400"/>
      <c r="BR1110" s="401"/>
      <c r="BS1110" s="399">
        <v>0</v>
      </c>
      <c r="BT1110" s="394"/>
      <c r="BU1110" s="417"/>
      <c r="BV1110" s="399"/>
      <c r="BW1110" s="393"/>
      <c r="BX1110" s="392"/>
      <c r="BY1110" s="393"/>
      <c r="BZ1110" s="393"/>
      <c r="CA1110" s="441"/>
      <c r="CB1110" s="400"/>
      <c r="CC1110" s="398"/>
      <c r="CD1110" s="398"/>
      <c r="CE1110" s="398"/>
      <c r="CF1110" s="398"/>
      <c r="CG1110" s="398"/>
      <c r="CH1110" s="398"/>
      <c r="CI1110" s="398"/>
      <c r="CJ1110" s="398"/>
      <c r="CK1110" s="398"/>
      <c r="CL1110" s="398"/>
      <c r="CM1110" s="398"/>
      <c r="CN1110" s="398"/>
      <c r="CO1110" s="398"/>
      <c r="CP1110" s="398"/>
      <c r="CQ1110" s="398"/>
      <c r="CR1110" s="398"/>
      <c r="CS1110" s="398"/>
      <c r="CT1110" s="398"/>
      <c r="CU1110" s="398"/>
      <c r="CV1110" s="398"/>
      <c r="CW1110" s="398"/>
      <c r="CX1110" s="398"/>
      <c r="CY1110" s="398"/>
      <c r="CZ1110" s="398"/>
      <c r="DA1110" s="398"/>
      <c r="DB1110" s="398"/>
      <c r="DC1110" s="398"/>
      <c r="DD1110" s="398"/>
      <c r="DE1110" s="393"/>
      <c r="DF1110" s="393"/>
      <c r="DG1110" s="393"/>
      <c r="DH1110" s="393"/>
      <c r="DI1110" s="393"/>
      <c r="DJ1110" s="393"/>
      <c r="DK1110" s="896" t="s">
        <v>9742</v>
      </c>
    </row>
    <row r="1111" spans="1:115" ht="25.5" x14ac:dyDescent="0.2">
      <c r="A1111" s="295">
        <v>1107</v>
      </c>
      <c r="B1111" s="390" t="s">
        <v>2818</v>
      </c>
      <c r="C1111" s="390"/>
      <c r="D1111" s="391" t="s">
        <v>4621</v>
      </c>
      <c r="E1111" s="704" t="s">
        <v>61</v>
      </c>
      <c r="F1111" s="393" t="s">
        <v>1340</v>
      </c>
      <c r="G1111" s="393" t="s">
        <v>1676</v>
      </c>
      <c r="H1111" s="393" t="s">
        <v>58</v>
      </c>
      <c r="I1111" s="392"/>
      <c r="J1111" s="392"/>
      <c r="K1111" s="392" t="s">
        <v>2223</v>
      </c>
      <c r="L1111" s="392" t="s">
        <v>59</v>
      </c>
      <c r="M1111" s="392"/>
      <c r="N1111" s="393" t="s">
        <v>44</v>
      </c>
      <c r="O1111" s="393" t="s">
        <v>51</v>
      </c>
      <c r="P1111" s="393" t="s">
        <v>51</v>
      </c>
      <c r="Q1111" s="392" t="s">
        <v>52</v>
      </c>
      <c r="R1111" s="392" t="s">
        <v>3424</v>
      </c>
      <c r="S1111" s="392" t="s">
        <v>60</v>
      </c>
      <c r="T1111" s="394">
        <v>1</v>
      </c>
      <c r="U1111" s="395">
        <v>0.439</v>
      </c>
      <c r="V1111" s="395"/>
      <c r="W1111" s="453"/>
      <c r="X1111" s="394"/>
      <c r="Y1111" s="394">
        <v>10</v>
      </c>
      <c r="Z1111" s="394">
        <v>10</v>
      </c>
      <c r="AA1111" s="395">
        <v>0</v>
      </c>
      <c r="AB1111" s="452">
        <v>41365</v>
      </c>
      <c r="AC1111" s="398">
        <v>0</v>
      </c>
      <c r="AD1111" s="398">
        <v>4.3899999999999997</v>
      </c>
      <c r="AE1111" s="393" t="s">
        <v>1413</v>
      </c>
      <c r="AF1111" s="417"/>
      <c r="AG1111" s="417"/>
      <c r="AH1111" s="417"/>
      <c r="AI1111" s="394"/>
      <c r="AJ1111" s="453"/>
      <c r="AK1111" s="453"/>
      <c r="AL1111" s="393"/>
      <c r="AM1111" s="393"/>
      <c r="AN1111" s="417"/>
      <c r="AO1111" s="392"/>
      <c r="AP1111" s="428" t="s">
        <v>8095</v>
      </c>
      <c r="AQ1111" s="392"/>
      <c r="AR1111" s="392" t="s">
        <v>3802</v>
      </c>
      <c r="AS1111" s="479">
        <v>40936</v>
      </c>
      <c r="AT1111" s="453"/>
      <c r="AU1111" s="453"/>
      <c r="AV1111" s="453"/>
      <c r="AW1111" s="453"/>
      <c r="AX1111" s="453"/>
      <c r="AY1111" s="453"/>
      <c r="AZ1111" s="452">
        <v>41262</v>
      </c>
      <c r="BA1111" s="393"/>
      <c r="BB1111" s="393"/>
      <c r="BC1111" s="393" t="b">
        <v>0</v>
      </c>
      <c r="BD1111" s="393"/>
      <c r="BE1111" s="392"/>
      <c r="BF1111" s="394">
        <v>9</v>
      </c>
      <c r="BG1111" s="394">
        <v>4</v>
      </c>
      <c r="BH1111" s="394">
        <v>1</v>
      </c>
      <c r="BI1111" s="394">
        <v>3</v>
      </c>
      <c r="BJ1111" s="394">
        <v>8</v>
      </c>
      <c r="BK1111" s="394">
        <v>7</v>
      </c>
      <c r="BL1111" s="444" t="s">
        <v>6981</v>
      </c>
      <c r="BM1111" s="392"/>
      <c r="BN1111" s="393"/>
      <c r="BO1111" s="393"/>
      <c r="BP1111" s="399"/>
      <c r="BQ1111" s="400"/>
      <c r="BR1111" s="401"/>
      <c r="BS1111" s="399"/>
      <c r="BT1111" s="394"/>
      <c r="BU1111" s="417"/>
      <c r="BV1111" s="399"/>
      <c r="BW1111" s="393" t="s">
        <v>3117</v>
      </c>
      <c r="BX1111" s="392" t="s">
        <v>1447</v>
      </c>
      <c r="BY1111" s="393" t="s">
        <v>7225</v>
      </c>
      <c r="BZ1111" s="393"/>
      <c r="CA1111" s="441"/>
      <c r="CB1111" s="400"/>
      <c r="CC1111" s="398"/>
      <c r="CD1111" s="398"/>
      <c r="CE1111" s="398"/>
      <c r="CF1111" s="398"/>
      <c r="CG1111" s="398"/>
      <c r="CH1111" s="398">
        <v>0.439</v>
      </c>
      <c r="CI1111" s="398">
        <v>0.439</v>
      </c>
      <c r="CJ1111" s="398">
        <v>0.439</v>
      </c>
      <c r="CK1111" s="398">
        <v>0.439</v>
      </c>
      <c r="CL1111" s="398">
        <v>0.439</v>
      </c>
      <c r="CM1111" s="398">
        <v>0.439</v>
      </c>
      <c r="CN1111" s="398">
        <v>0.439</v>
      </c>
      <c r="CO1111" s="398">
        <v>0.439</v>
      </c>
      <c r="CP1111" s="398">
        <v>0.439</v>
      </c>
      <c r="CQ1111" s="398">
        <v>0.439</v>
      </c>
      <c r="CR1111" s="398"/>
      <c r="CS1111" s="398"/>
      <c r="CT1111" s="398"/>
      <c r="CU1111" s="398"/>
      <c r="CV1111" s="398"/>
      <c r="CW1111" s="398"/>
      <c r="CX1111" s="398"/>
      <c r="CY1111" s="398"/>
      <c r="CZ1111" s="398"/>
      <c r="DA1111" s="398"/>
      <c r="DB1111" s="398"/>
      <c r="DC1111" s="398"/>
      <c r="DD1111" s="398"/>
      <c r="DE1111" s="393"/>
      <c r="DF1111" s="393"/>
      <c r="DG1111" s="393"/>
      <c r="DH1111" s="393"/>
      <c r="DI1111" s="393"/>
      <c r="DJ1111" s="393"/>
      <c r="DK1111" s="897"/>
    </row>
    <row r="1112" spans="1:115" ht="63.75" x14ac:dyDescent="0.2">
      <c r="A1112" s="295">
        <v>1108</v>
      </c>
      <c r="B1112" s="390" t="s">
        <v>1014</v>
      </c>
      <c r="C1112" s="424" t="s">
        <v>7647</v>
      </c>
      <c r="D1112" s="391" t="s">
        <v>7197</v>
      </c>
      <c r="E1112" s="705" t="s">
        <v>1015</v>
      </c>
      <c r="F1112" s="393" t="s">
        <v>1340</v>
      </c>
      <c r="G1112" s="393" t="s">
        <v>1359</v>
      </c>
      <c r="H1112" s="393" t="s">
        <v>741</v>
      </c>
      <c r="I1112" s="392"/>
      <c r="J1112" s="392" t="s">
        <v>741</v>
      </c>
      <c r="K1112" s="392"/>
      <c r="L1112" s="392" t="s">
        <v>992</v>
      </c>
      <c r="M1112" s="392" t="s">
        <v>3425</v>
      </c>
      <c r="N1112" s="393" t="s">
        <v>44</v>
      </c>
      <c r="O1112" s="393" t="s">
        <v>51</v>
      </c>
      <c r="P1112" s="393" t="s">
        <v>51</v>
      </c>
      <c r="Q1112" s="392" t="s">
        <v>976</v>
      </c>
      <c r="R1112" s="392"/>
      <c r="S1112" s="392" t="s">
        <v>977</v>
      </c>
      <c r="T1112" s="394">
        <v>9</v>
      </c>
      <c r="U1112" s="395">
        <v>379.99799999999999</v>
      </c>
      <c r="V1112" s="395"/>
      <c r="W1112" s="452">
        <v>40926</v>
      </c>
      <c r="X1112" s="394">
        <v>28</v>
      </c>
      <c r="Y1112" s="394"/>
      <c r="Z1112" s="394"/>
      <c r="AA1112" s="395"/>
      <c r="AB1112" s="453"/>
      <c r="AC1112" s="398">
        <v>29.042390999999999</v>
      </c>
      <c r="AD1112" s="398">
        <v>1556.7771945205477</v>
      </c>
      <c r="AE1112" s="393" t="s">
        <v>54</v>
      </c>
      <c r="AF1112" s="417"/>
      <c r="AG1112" s="417"/>
      <c r="AH1112" s="417">
        <v>38.179000000000002</v>
      </c>
      <c r="AI1112" s="394"/>
      <c r="AJ1112" s="453">
        <v>42905</v>
      </c>
      <c r="AK1112" s="453">
        <v>42535</v>
      </c>
      <c r="AL1112" s="393"/>
      <c r="AM1112" s="393"/>
      <c r="AN1112" s="417"/>
      <c r="AO1112" s="428" t="s">
        <v>7418</v>
      </c>
      <c r="AP1112" s="392" t="s">
        <v>55</v>
      </c>
      <c r="AQ1112" s="392"/>
      <c r="AR1112" s="392" t="s">
        <v>3792</v>
      </c>
      <c r="AS1112" s="479">
        <v>40936</v>
      </c>
      <c r="AT1112" s="453"/>
      <c r="AU1112" s="453"/>
      <c r="AV1112" s="452">
        <v>41046</v>
      </c>
      <c r="AW1112" s="452">
        <v>42167</v>
      </c>
      <c r="AX1112" s="452">
        <v>42223</v>
      </c>
      <c r="AY1112" s="452">
        <v>42170</v>
      </c>
      <c r="AZ1112" s="453"/>
      <c r="BA1112" s="393"/>
      <c r="BB1112" s="393" t="s">
        <v>3116</v>
      </c>
      <c r="BC1112" s="393" t="b">
        <v>0</v>
      </c>
      <c r="BD1112" s="393" t="s">
        <v>3116</v>
      </c>
      <c r="BE1112" s="392"/>
      <c r="BF1112" s="394">
        <v>4</v>
      </c>
      <c r="BG1112" s="394">
        <v>1</v>
      </c>
      <c r="BH1112" s="394">
        <v>9</v>
      </c>
      <c r="BI1112" s="394">
        <v>8</v>
      </c>
      <c r="BJ1112" s="394">
        <v>5</v>
      </c>
      <c r="BK1112" s="394"/>
      <c r="BL1112" s="444"/>
      <c r="BM1112" s="392"/>
      <c r="BN1112" s="393"/>
      <c r="BO1112" s="393"/>
      <c r="BP1112" s="399"/>
      <c r="BQ1112" s="400"/>
      <c r="BR1112" s="401"/>
      <c r="BS1112" s="399">
        <v>0</v>
      </c>
      <c r="BT1112" s="394"/>
      <c r="BU1112" s="417"/>
      <c r="BV1112" s="399"/>
      <c r="BW1112" s="393"/>
      <c r="BX1112" s="392"/>
      <c r="BY1112" s="475" t="s">
        <v>7227</v>
      </c>
      <c r="BZ1112" s="393"/>
      <c r="CA1112" s="441"/>
      <c r="CB1112" s="400"/>
      <c r="CC1112" s="398"/>
      <c r="CD1112" s="398"/>
      <c r="CE1112" s="398"/>
      <c r="CF1112" s="398"/>
      <c r="CG1112" s="398"/>
      <c r="CH1112" s="398"/>
      <c r="CI1112" s="398"/>
      <c r="CJ1112" s="398"/>
      <c r="CK1112" s="398"/>
      <c r="CL1112" s="398"/>
      <c r="CM1112" s="398"/>
      <c r="CN1112" s="398"/>
      <c r="CO1112" s="398"/>
      <c r="CP1112" s="398"/>
      <c r="CQ1112" s="398"/>
      <c r="CR1112" s="398"/>
      <c r="CS1112" s="398"/>
      <c r="CT1112" s="398"/>
      <c r="CU1112" s="398"/>
      <c r="CV1112" s="398"/>
      <c r="CW1112" s="398"/>
      <c r="CX1112" s="398"/>
      <c r="CY1112" s="398"/>
      <c r="CZ1112" s="398"/>
      <c r="DA1112" s="398"/>
      <c r="DB1112" s="398"/>
      <c r="DC1112" s="398"/>
      <c r="DD1112" s="398"/>
      <c r="DE1112" s="393"/>
      <c r="DF1112" s="393"/>
      <c r="DG1112" s="393"/>
      <c r="DH1112" s="393"/>
      <c r="DI1112" s="393"/>
      <c r="DJ1112" s="393"/>
      <c r="DK1112" s="896" t="s">
        <v>9752</v>
      </c>
    </row>
    <row r="1113" spans="1:115" ht="38.25" x14ac:dyDescent="0.2">
      <c r="A1113" s="295">
        <v>1109</v>
      </c>
      <c r="B1113" s="390" t="s">
        <v>2819</v>
      </c>
      <c r="C1113" s="390"/>
      <c r="D1113" s="391" t="s">
        <v>7198</v>
      </c>
      <c r="E1113" s="704" t="s">
        <v>1016</v>
      </c>
      <c r="F1113" s="393" t="s">
        <v>1340</v>
      </c>
      <c r="G1113" s="393" t="s">
        <v>1359</v>
      </c>
      <c r="H1113" s="393" t="s">
        <v>741</v>
      </c>
      <c r="I1113" s="392"/>
      <c r="J1113" s="392"/>
      <c r="K1113" s="392" t="s">
        <v>159</v>
      </c>
      <c r="L1113" s="392" t="s">
        <v>992</v>
      </c>
      <c r="M1113" s="392"/>
      <c r="N1113" s="393" t="s">
        <v>44</v>
      </c>
      <c r="O1113" s="393" t="s">
        <v>51</v>
      </c>
      <c r="P1113" s="393" t="s">
        <v>51</v>
      </c>
      <c r="Q1113" s="392" t="s">
        <v>976</v>
      </c>
      <c r="R1113" s="392" t="s">
        <v>3426</v>
      </c>
      <c r="S1113" s="392" t="s">
        <v>977</v>
      </c>
      <c r="T1113" s="394">
        <v>1</v>
      </c>
      <c r="U1113" s="395">
        <v>42.222000000000001</v>
      </c>
      <c r="V1113" s="395"/>
      <c r="W1113" s="453"/>
      <c r="X1113" s="394"/>
      <c r="Y1113" s="394">
        <v>7</v>
      </c>
      <c r="Z1113" s="394">
        <v>21</v>
      </c>
      <c r="AA1113" s="395">
        <v>2.83</v>
      </c>
      <c r="AB1113" s="452">
        <v>42170</v>
      </c>
      <c r="AC1113" s="398">
        <v>29.042390999999999</v>
      </c>
      <c r="AD1113" s="398">
        <v>234.36101917808219</v>
      </c>
      <c r="AE1113" s="393" t="s">
        <v>54</v>
      </c>
      <c r="AF1113" s="417"/>
      <c r="AG1113" s="417">
        <f>38.179</f>
        <v>38.179000000000002</v>
      </c>
      <c r="AH1113" s="417">
        <v>38.179000000000002</v>
      </c>
      <c r="AI1113" s="394"/>
      <c r="AJ1113" s="453"/>
      <c r="AK1113" s="453">
        <v>42535</v>
      </c>
      <c r="AL1113" s="393"/>
      <c r="AM1113" s="393"/>
      <c r="AN1113" s="417"/>
      <c r="AO1113" s="392"/>
      <c r="AP1113" s="392" t="s">
        <v>55</v>
      </c>
      <c r="AQ1113" s="392"/>
      <c r="AR1113" s="392" t="s">
        <v>3792</v>
      </c>
      <c r="AS1113" s="479">
        <v>40936</v>
      </c>
      <c r="AT1113" s="453"/>
      <c r="AU1113" s="453"/>
      <c r="AV1113" s="453"/>
      <c r="AW1113" s="453"/>
      <c r="AX1113" s="453"/>
      <c r="AY1113" s="453"/>
      <c r="AZ1113" s="452">
        <v>42170</v>
      </c>
      <c r="BA1113" s="393"/>
      <c r="BB1113" s="393"/>
      <c r="BC1113" s="393" t="b">
        <v>0</v>
      </c>
      <c r="BD1113" s="393"/>
      <c r="BE1113" s="392"/>
      <c r="BF1113" s="394">
        <v>4</v>
      </c>
      <c r="BG1113" s="394">
        <v>1</v>
      </c>
      <c r="BH1113" s="394">
        <v>9</v>
      </c>
      <c r="BI1113" s="394">
        <v>8</v>
      </c>
      <c r="BJ1113" s="394">
        <v>5</v>
      </c>
      <c r="BK1113" s="394"/>
      <c r="BL1113" s="444" t="s">
        <v>1451</v>
      </c>
      <c r="BM1113" s="392" t="s">
        <v>3427</v>
      </c>
      <c r="BN1113" s="393" t="s">
        <v>3258</v>
      </c>
      <c r="BO1113" s="393"/>
      <c r="BP1113" s="399"/>
      <c r="BQ1113" s="400"/>
      <c r="BR1113" s="401"/>
      <c r="BS1113" s="399"/>
      <c r="BT1113" s="394"/>
      <c r="BU1113" s="417"/>
      <c r="BV1113" s="399">
        <v>387.6</v>
      </c>
      <c r="BW1113" s="393" t="s">
        <v>3117</v>
      </c>
      <c r="BX1113" s="392" t="s">
        <v>3253</v>
      </c>
      <c r="BY1113" s="475" t="s">
        <v>7227</v>
      </c>
      <c r="BZ1113" s="393"/>
      <c r="CA1113" s="441"/>
      <c r="CB1113" s="400"/>
      <c r="CC1113" s="398"/>
      <c r="CD1113" s="398"/>
      <c r="CE1113" s="398"/>
      <c r="CF1113" s="398"/>
      <c r="CG1113" s="398"/>
      <c r="CH1113" s="398">
        <v>18.888000000000002</v>
      </c>
      <c r="CI1113" s="398">
        <v>36.451000000000001</v>
      </c>
      <c r="CJ1113" s="398">
        <v>36.274000000000001</v>
      </c>
      <c r="CK1113" s="398">
        <v>36.271999999999998</v>
      </c>
      <c r="CL1113" s="398">
        <v>35.951999999999998</v>
      </c>
      <c r="CM1113" s="398">
        <v>36.213999999999999</v>
      </c>
      <c r="CN1113" s="398">
        <v>36.067999999999998</v>
      </c>
      <c r="CO1113" s="398"/>
      <c r="CP1113" s="398"/>
      <c r="CQ1113" s="398"/>
      <c r="CR1113" s="398"/>
      <c r="CS1113" s="398"/>
      <c r="CT1113" s="398"/>
      <c r="CU1113" s="398"/>
      <c r="CV1113" s="398"/>
      <c r="CW1113" s="398"/>
      <c r="CX1113" s="398"/>
      <c r="CY1113" s="398"/>
      <c r="CZ1113" s="398"/>
      <c r="DA1113" s="398"/>
      <c r="DB1113" s="398"/>
      <c r="DC1113" s="398"/>
      <c r="DD1113" s="398"/>
      <c r="DE1113" s="393"/>
      <c r="DF1113" s="393"/>
      <c r="DG1113" s="393"/>
      <c r="DH1113" s="393"/>
      <c r="DI1113" s="393"/>
      <c r="DJ1113" s="393"/>
      <c r="DK1113" s="897"/>
    </row>
    <row r="1114" spans="1:115" ht="38.25" x14ac:dyDescent="0.2">
      <c r="A1114" s="295">
        <v>1110</v>
      </c>
      <c r="B1114" s="390" t="s">
        <v>8899</v>
      </c>
      <c r="C1114" s="390"/>
      <c r="D1114" s="391" t="s">
        <v>8891</v>
      </c>
      <c r="E1114" s="705" t="s">
        <v>8907</v>
      </c>
      <c r="F1114" s="393" t="s">
        <v>1340</v>
      </c>
      <c r="G1114" s="393" t="s">
        <v>1359</v>
      </c>
      <c r="H1114" s="393" t="s">
        <v>741</v>
      </c>
      <c r="I1114" s="392"/>
      <c r="J1114" s="392"/>
      <c r="K1114" s="428" t="s">
        <v>159</v>
      </c>
      <c r="L1114" s="392" t="s">
        <v>992</v>
      </c>
      <c r="M1114" s="392"/>
      <c r="N1114" s="393" t="s">
        <v>44</v>
      </c>
      <c r="O1114" s="393" t="s">
        <v>51</v>
      </c>
      <c r="P1114" s="393" t="s">
        <v>51</v>
      </c>
      <c r="Q1114" s="392" t="s">
        <v>976</v>
      </c>
      <c r="R1114" s="428" t="s">
        <v>8915</v>
      </c>
      <c r="S1114" s="392" t="s">
        <v>977</v>
      </c>
      <c r="T1114" s="394">
        <v>1</v>
      </c>
      <c r="U1114" s="395">
        <v>42.222000000000001</v>
      </c>
      <c r="V1114" s="395"/>
      <c r="W1114" s="453"/>
      <c r="X1114" s="394"/>
      <c r="Y1114" s="394">
        <v>7</v>
      </c>
      <c r="Z1114" s="394">
        <v>21</v>
      </c>
      <c r="AA1114" s="395">
        <v>0</v>
      </c>
      <c r="AB1114" s="452">
        <v>42767</v>
      </c>
      <c r="AC1114" s="398"/>
      <c r="AD1114" s="398">
        <v>165.30202191780822</v>
      </c>
      <c r="AE1114" s="393" t="s">
        <v>54</v>
      </c>
      <c r="AF1114" s="417"/>
      <c r="AG1114" s="417"/>
      <c r="AH1114" s="417"/>
      <c r="AI1114" s="394"/>
      <c r="AJ1114" s="453"/>
      <c r="AK1114" s="453"/>
      <c r="AL1114" s="393"/>
      <c r="AM1114" s="393"/>
      <c r="AN1114" s="417"/>
      <c r="AO1114" s="392"/>
      <c r="AP1114" s="392" t="s">
        <v>55</v>
      </c>
      <c r="AQ1114" s="392"/>
      <c r="AR1114" s="392"/>
      <c r="AS1114" s="479">
        <v>40936</v>
      </c>
      <c r="AT1114" s="453"/>
      <c r="AU1114" s="453"/>
      <c r="AV1114" s="453"/>
      <c r="AW1114" s="453"/>
      <c r="AX1114" s="453"/>
      <c r="AY1114" s="453"/>
      <c r="AZ1114" s="452">
        <v>42765</v>
      </c>
      <c r="BA1114" s="393"/>
      <c r="BB1114" s="393"/>
      <c r="BC1114" s="393" t="b">
        <v>0</v>
      </c>
      <c r="BD1114" s="393"/>
      <c r="BE1114" s="392"/>
      <c r="BF1114" s="394">
        <v>4</v>
      </c>
      <c r="BG1114" s="394">
        <v>1</v>
      </c>
      <c r="BH1114" s="394">
        <v>9</v>
      </c>
      <c r="BI1114" s="394">
        <v>8</v>
      </c>
      <c r="BJ1114" s="394">
        <v>5</v>
      </c>
      <c r="BK1114" s="394"/>
      <c r="BL1114" s="444" t="s">
        <v>1451</v>
      </c>
      <c r="BM1114" s="428" t="s">
        <v>8916</v>
      </c>
      <c r="BN1114" s="393"/>
      <c r="BO1114" s="393"/>
      <c r="BP1114" s="399"/>
      <c r="BQ1114" s="400"/>
      <c r="BR1114" s="401"/>
      <c r="BS1114" s="399"/>
      <c r="BT1114" s="394"/>
      <c r="BU1114" s="417"/>
      <c r="BV1114" s="399"/>
      <c r="BW1114" s="393"/>
      <c r="BX1114" s="392"/>
      <c r="BY1114" s="475" t="s">
        <v>7227</v>
      </c>
      <c r="BZ1114" s="393"/>
      <c r="CA1114" s="441"/>
      <c r="CB1114" s="400"/>
      <c r="CC1114" s="398"/>
      <c r="CD1114" s="398"/>
      <c r="CE1114" s="398"/>
      <c r="CF1114" s="398"/>
      <c r="CG1114" s="398"/>
      <c r="CH1114" s="398"/>
      <c r="CI1114" s="398"/>
      <c r="CJ1114" s="398"/>
      <c r="CK1114" s="398"/>
      <c r="CL1114" s="398"/>
      <c r="CM1114" s="398">
        <v>42.222000000000001</v>
      </c>
      <c r="CN1114" s="398">
        <v>42.222000000000001</v>
      </c>
      <c r="CO1114" s="398">
        <v>42.222000000000001</v>
      </c>
      <c r="CP1114" s="398">
        <v>42.222000000000001</v>
      </c>
      <c r="CQ1114" s="398">
        <v>42.222000000000001</v>
      </c>
      <c r="CR1114" s="398">
        <v>42.222000000000001</v>
      </c>
      <c r="CS1114" s="398">
        <v>42.222000000000001</v>
      </c>
      <c r="CT1114" s="398"/>
      <c r="CU1114" s="398"/>
      <c r="CV1114" s="398"/>
      <c r="CW1114" s="398"/>
      <c r="CX1114" s="398"/>
      <c r="CY1114" s="398"/>
      <c r="CZ1114" s="398"/>
      <c r="DA1114" s="398"/>
      <c r="DB1114" s="398"/>
      <c r="DC1114" s="398"/>
      <c r="DD1114" s="398"/>
      <c r="DE1114" s="393"/>
      <c r="DF1114" s="393"/>
      <c r="DG1114" s="393"/>
      <c r="DH1114" s="393"/>
      <c r="DI1114" s="393"/>
      <c r="DJ1114" s="393"/>
      <c r="DK1114" s="897"/>
    </row>
    <row r="1115" spans="1:115" ht="38.25" x14ac:dyDescent="0.2">
      <c r="A1115" s="295">
        <v>1111</v>
      </c>
      <c r="B1115" s="390" t="s">
        <v>8900</v>
      </c>
      <c r="C1115" s="390"/>
      <c r="D1115" s="391" t="s">
        <v>8892</v>
      </c>
      <c r="E1115" s="705" t="s">
        <v>8908</v>
      </c>
      <c r="F1115" s="393" t="s">
        <v>1340</v>
      </c>
      <c r="G1115" s="393" t="s">
        <v>1359</v>
      </c>
      <c r="H1115" s="393" t="s">
        <v>741</v>
      </c>
      <c r="I1115" s="392"/>
      <c r="J1115" s="392"/>
      <c r="K1115" s="428" t="s">
        <v>159</v>
      </c>
      <c r="L1115" s="392" t="s">
        <v>992</v>
      </c>
      <c r="M1115" s="392"/>
      <c r="N1115" s="393" t="s">
        <v>44</v>
      </c>
      <c r="O1115" s="393" t="s">
        <v>51</v>
      </c>
      <c r="P1115" s="393" t="s">
        <v>51</v>
      </c>
      <c r="Q1115" s="392" t="s">
        <v>976</v>
      </c>
      <c r="R1115" s="428" t="s">
        <v>8915</v>
      </c>
      <c r="S1115" s="392" t="s">
        <v>977</v>
      </c>
      <c r="T1115" s="394">
        <v>1</v>
      </c>
      <c r="U1115" s="395">
        <v>42.222000000000001</v>
      </c>
      <c r="V1115" s="395"/>
      <c r="W1115" s="453"/>
      <c r="X1115" s="394"/>
      <c r="Y1115" s="394">
        <v>7</v>
      </c>
      <c r="Z1115" s="394">
        <v>21</v>
      </c>
      <c r="AA1115" s="395">
        <v>0</v>
      </c>
      <c r="AB1115" s="452">
        <v>42767</v>
      </c>
      <c r="AC1115" s="398"/>
      <c r="AD1115" s="398">
        <v>165.30202191780822</v>
      </c>
      <c r="AE1115" s="393" t="s">
        <v>54</v>
      </c>
      <c r="AF1115" s="417"/>
      <c r="AG1115" s="417"/>
      <c r="AH1115" s="417"/>
      <c r="AI1115" s="394"/>
      <c r="AJ1115" s="453"/>
      <c r="AK1115" s="453"/>
      <c r="AL1115" s="393"/>
      <c r="AM1115" s="393"/>
      <c r="AN1115" s="417"/>
      <c r="AO1115" s="392"/>
      <c r="AP1115" s="392" t="s">
        <v>55</v>
      </c>
      <c r="AQ1115" s="392"/>
      <c r="AR1115" s="392"/>
      <c r="AS1115" s="479">
        <v>40936</v>
      </c>
      <c r="AT1115" s="453"/>
      <c r="AU1115" s="453"/>
      <c r="AV1115" s="453"/>
      <c r="AW1115" s="453"/>
      <c r="AX1115" s="453"/>
      <c r="AY1115" s="453"/>
      <c r="AZ1115" s="452">
        <v>42765</v>
      </c>
      <c r="BA1115" s="393"/>
      <c r="BB1115" s="393"/>
      <c r="BC1115" s="393" t="b">
        <v>0</v>
      </c>
      <c r="BD1115" s="393"/>
      <c r="BE1115" s="392"/>
      <c r="BF1115" s="394">
        <v>4</v>
      </c>
      <c r="BG1115" s="394">
        <v>1</v>
      </c>
      <c r="BH1115" s="394">
        <v>9</v>
      </c>
      <c r="BI1115" s="394">
        <v>8</v>
      </c>
      <c r="BJ1115" s="394">
        <v>5</v>
      </c>
      <c r="BK1115" s="394"/>
      <c r="BL1115" s="444" t="s">
        <v>1451</v>
      </c>
      <c r="BM1115" s="428" t="s">
        <v>8916</v>
      </c>
      <c r="BN1115" s="393"/>
      <c r="BO1115" s="393"/>
      <c r="BP1115" s="399"/>
      <c r="BQ1115" s="400"/>
      <c r="BR1115" s="401"/>
      <c r="BS1115" s="399"/>
      <c r="BT1115" s="394"/>
      <c r="BU1115" s="417"/>
      <c r="BV1115" s="399"/>
      <c r="BW1115" s="393"/>
      <c r="BX1115" s="392"/>
      <c r="BY1115" s="475" t="s">
        <v>7227</v>
      </c>
      <c r="BZ1115" s="393"/>
      <c r="CA1115" s="441"/>
      <c r="CB1115" s="400"/>
      <c r="CC1115" s="398"/>
      <c r="CD1115" s="398"/>
      <c r="CE1115" s="398"/>
      <c r="CF1115" s="398"/>
      <c r="CG1115" s="398"/>
      <c r="CH1115" s="398"/>
      <c r="CI1115" s="398"/>
      <c r="CJ1115" s="398"/>
      <c r="CK1115" s="398"/>
      <c r="CL1115" s="398"/>
      <c r="CM1115" s="398">
        <v>42.222000000000001</v>
      </c>
      <c r="CN1115" s="398">
        <v>42.222000000000001</v>
      </c>
      <c r="CO1115" s="398">
        <v>42.222000000000001</v>
      </c>
      <c r="CP1115" s="398">
        <v>42.222000000000001</v>
      </c>
      <c r="CQ1115" s="398">
        <v>42.222000000000001</v>
      </c>
      <c r="CR1115" s="398">
        <v>42.222000000000001</v>
      </c>
      <c r="CS1115" s="398">
        <v>42.222000000000001</v>
      </c>
      <c r="CT1115" s="398"/>
      <c r="CU1115" s="398"/>
      <c r="CV1115" s="398"/>
      <c r="CW1115" s="398"/>
      <c r="CX1115" s="398"/>
      <c r="CY1115" s="398"/>
      <c r="CZ1115" s="398"/>
      <c r="DA1115" s="398"/>
      <c r="DB1115" s="398"/>
      <c r="DC1115" s="398"/>
      <c r="DD1115" s="398"/>
      <c r="DE1115" s="393"/>
      <c r="DF1115" s="393"/>
      <c r="DG1115" s="393"/>
      <c r="DH1115" s="393"/>
      <c r="DI1115" s="393"/>
      <c r="DJ1115" s="393"/>
      <c r="DK1115" s="897"/>
    </row>
    <row r="1116" spans="1:115" ht="38.25" x14ac:dyDescent="0.2">
      <c r="A1116" s="295">
        <v>1112</v>
      </c>
      <c r="B1116" s="390" t="s">
        <v>8901</v>
      </c>
      <c r="C1116" s="390"/>
      <c r="D1116" s="391" t="s">
        <v>8893</v>
      </c>
      <c r="E1116" s="705" t="s">
        <v>8909</v>
      </c>
      <c r="F1116" s="393" t="s">
        <v>1340</v>
      </c>
      <c r="G1116" s="393" t="s">
        <v>1359</v>
      </c>
      <c r="H1116" s="393" t="s">
        <v>741</v>
      </c>
      <c r="I1116" s="392"/>
      <c r="J1116" s="392"/>
      <c r="K1116" s="428" t="s">
        <v>159</v>
      </c>
      <c r="L1116" s="392" t="s">
        <v>992</v>
      </c>
      <c r="M1116" s="392"/>
      <c r="N1116" s="393" t="s">
        <v>44</v>
      </c>
      <c r="O1116" s="393" t="s">
        <v>51</v>
      </c>
      <c r="P1116" s="393" t="s">
        <v>51</v>
      </c>
      <c r="Q1116" s="392" t="s">
        <v>976</v>
      </c>
      <c r="R1116" s="428" t="s">
        <v>8915</v>
      </c>
      <c r="S1116" s="392" t="s">
        <v>977</v>
      </c>
      <c r="T1116" s="394">
        <v>1</v>
      </c>
      <c r="U1116" s="395">
        <v>42.222000000000001</v>
      </c>
      <c r="V1116" s="395"/>
      <c r="W1116" s="453"/>
      <c r="X1116" s="394"/>
      <c r="Y1116" s="394">
        <v>7</v>
      </c>
      <c r="Z1116" s="394">
        <v>21</v>
      </c>
      <c r="AA1116" s="395">
        <v>0</v>
      </c>
      <c r="AB1116" s="452">
        <v>42767</v>
      </c>
      <c r="AC1116" s="398"/>
      <c r="AD1116" s="398">
        <v>165.30202191780822</v>
      </c>
      <c r="AE1116" s="393" t="s">
        <v>54</v>
      </c>
      <c r="AF1116" s="417"/>
      <c r="AG1116" s="417"/>
      <c r="AH1116" s="417"/>
      <c r="AI1116" s="394"/>
      <c r="AJ1116" s="453"/>
      <c r="AK1116" s="453"/>
      <c r="AL1116" s="393"/>
      <c r="AM1116" s="393"/>
      <c r="AN1116" s="417"/>
      <c r="AO1116" s="392"/>
      <c r="AP1116" s="392" t="s">
        <v>55</v>
      </c>
      <c r="AQ1116" s="392"/>
      <c r="AR1116" s="392"/>
      <c r="AS1116" s="479">
        <v>40936</v>
      </c>
      <c r="AT1116" s="453"/>
      <c r="AU1116" s="453"/>
      <c r="AV1116" s="453"/>
      <c r="AW1116" s="453"/>
      <c r="AX1116" s="453"/>
      <c r="AY1116" s="453"/>
      <c r="AZ1116" s="452">
        <v>42765</v>
      </c>
      <c r="BA1116" s="393"/>
      <c r="BB1116" s="393"/>
      <c r="BC1116" s="393" t="b">
        <v>0</v>
      </c>
      <c r="BD1116" s="393"/>
      <c r="BE1116" s="392"/>
      <c r="BF1116" s="394">
        <v>4</v>
      </c>
      <c r="BG1116" s="394">
        <v>1</v>
      </c>
      <c r="BH1116" s="394">
        <v>9</v>
      </c>
      <c r="BI1116" s="394">
        <v>8</v>
      </c>
      <c r="BJ1116" s="394">
        <v>5</v>
      </c>
      <c r="BK1116" s="394"/>
      <c r="BL1116" s="444" t="s">
        <v>1451</v>
      </c>
      <c r="BM1116" s="428" t="s">
        <v>8916</v>
      </c>
      <c r="BN1116" s="393"/>
      <c r="BO1116" s="393"/>
      <c r="BP1116" s="399"/>
      <c r="BQ1116" s="400"/>
      <c r="BR1116" s="401"/>
      <c r="BS1116" s="399"/>
      <c r="BT1116" s="394"/>
      <c r="BU1116" s="417"/>
      <c r="BV1116" s="399"/>
      <c r="BW1116" s="393"/>
      <c r="BX1116" s="392"/>
      <c r="BY1116" s="475" t="s">
        <v>7227</v>
      </c>
      <c r="BZ1116" s="393"/>
      <c r="CA1116" s="441"/>
      <c r="CB1116" s="400"/>
      <c r="CC1116" s="398"/>
      <c r="CD1116" s="398"/>
      <c r="CE1116" s="398"/>
      <c r="CF1116" s="398"/>
      <c r="CG1116" s="398"/>
      <c r="CH1116" s="398"/>
      <c r="CI1116" s="398"/>
      <c r="CJ1116" s="398"/>
      <c r="CK1116" s="398"/>
      <c r="CL1116" s="398"/>
      <c r="CM1116" s="398">
        <v>42.222000000000001</v>
      </c>
      <c r="CN1116" s="398">
        <v>42.222000000000001</v>
      </c>
      <c r="CO1116" s="398">
        <v>42.222000000000001</v>
      </c>
      <c r="CP1116" s="398">
        <v>42.222000000000001</v>
      </c>
      <c r="CQ1116" s="398">
        <v>42.222000000000001</v>
      </c>
      <c r="CR1116" s="398">
        <v>42.222000000000001</v>
      </c>
      <c r="CS1116" s="398">
        <v>42.222000000000001</v>
      </c>
      <c r="CT1116" s="398"/>
      <c r="CU1116" s="398"/>
      <c r="CV1116" s="398"/>
      <c r="CW1116" s="398"/>
      <c r="CX1116" s="398"/>
      <c r="CY1116" s="398"/>
      <c r="CZ1116" s="398"/>
      <c r="DA1116" s="398"/>
      <c r="DB1116" s="398"/>
      <c r="DC1116" s="398"/>
      <c r="DD1116" s="398"/>
      <c r="DE1116" s="393"/>
      <c r="DF1116" s="393"/>
      <c r="DG1116" s="393"/>
      <c r="DH1116" s="393"/>
      <c r="DI1116" s="393"/>
      <c r="DJ1116" s="393"/>
      <c r="DK1116" s="897"/>
    </row>
    <row r="1117" spans="1:115" ht="38.25" x14ac:dyDescent="0.2">
      <c r="A1117" s="295">
        <v>1113</v>
      </c>
      <c r="B1117" s="390" t="s">
        <v>8902</v>
      </c>
      <c r="C1117" s="390"/>
      <c r="D1117" s="391" t="s">
        <v>8894</v>
      </c>
      <c r="E1117" s="705" t="s">
        <v>8910</v>
      </c>
      <c r="F1117" s="393" t="s">
        <v>1340</v>
      </c>
      <c r="G1117" s="393" t="s">
        <v>1359</v>
      </c>
      <c r="H1117" s="393" t="s">
        <v>741</v>
      </c>
      <c r="I1117" s="392"/>
      <c r="J1117" s="392"/>
      <c r="K1117" s="428" t="s">
        <v>159</v>
      </c>
      <c r="L1117" s="392" t="s">
        <v>992</v>
      </c>
      <c r="M1117" s="392"/>
      <c r="N1117" s="393" t="s">
        <v>44</v>
      </c>
      <c r="O1117" s="393" t="s">
        <v>51</v>
      </c>
      <c r="P1117" s="393" t="s">
        <v>51</v>
      </c>
      <c r="Q1117" s="392" t="s">
        <v>976</v>
      </c>
      <c r="R1117" s="428" t="s">
        <v>8915</v>
      </c>
      <c r="S1117" s="392" t="s">
        <v>977</v>
      </c>
      <c r="T1117" s="394">
        <v>1</v>
      </c>
      <c r="U1117" s="395">
        <v>42.222000000000001</v>
      </c>
      <c r="V1117" s="395"/>
      <c r="W1117" s="453"/>
      <c r="X1117" s="394"/>
      <c r="Y1117" s="394">
        <v>7</v>
      </c>
      <c r="Z1117" s="394">
        <v>21</v>
      </c>
      <c r="AA1117" s="395">
        <v>0</v>
      </c>
      <c r="AB1117" s="452">
        <v>42767</v>
      </c>
      <c r="AC1117" s="398"/>
      <c r="AD1117" s="398">
        <v>165.30202191780822</v>
      </c>
      <c r="AE1117" s="393" t="s">
        <v>54</v>
      </c>
      <c r="AF1117" s="417"/>
      <c r="AG1117" s="417"/>
      <c r="AH1117" s="417"/>
      <c r="AI1117" s="394"/>
      <c r="AJ1117" s="453"/>
      <c r="AK1117" s="453"/>
      <c r="AL1117" s="393"/>
      <c r="AM1117" s="393"/>
      <c r="AN1117" s="417"/>
      <c r="AO1117" s="392"/>
      <c r="AP1117" s="392" t="s">
        <v>55</v>
      </c>
      <c r="AQ1117" s="392"/>
      <c r="AR1117" s="392"/>
      <c r="AS1117" s="479">
        <v>40936</v>
      </c>
      <c r="AT1117" s="453"/>
      <c r="AU1117" s="453"/>
      <c r="AV1117" s="453"/>
      <c r="AW1117" s="453"/>
      <c r="AX1117" s="453"/>
      <c r="AY1117" s="453"/>
      <c r="AZ1117" s="452">
        <v>42765</v>
      </c>
      <c r="BA1117" s="393"/>
      <c r="BB1117" s="393"/>
      <c r="BC1117" s="393" t="b">
        <v>0</v>
      </c>
      <c r="BD1117" s="393"/>
      <c r="BE1117" s="392"/>
      <c r="BF1117" s="394">
        <v>4</v>
      </c>
      <c r="BG1117" s="394">
        <v>1</v>
      </c>
      <c r="BH1117" s="394">
        <v>9</v>
      </c>
      <c r="BI1117" s="394">
        <v>8</v>
      </c>
      <c r="BJ1117" s="394">
        <v>5</v>
      </c>
      <c r="BK1117" s="394"/>
      <c r="BL1117" s="444" t="s">
        <v>1451</v>
      </c>
      <c r="BM1117" s="428" t="s">
        <v>8916</v>
      </c>
      <c r="BN1117" s="393"/>
      <c r="BO1117" s="393"/>
      <c r="BP1117" s="399"/>
      <c r="BQ1117" s="400"/>
      <c r="BR1117" s="401"/>
      <c r="BS1117" s="399"/>
      <c r="BT1117" s="394"/>
      <c r="BU1117" s="417"/>
      <c r="BV1117" s="399"/>
      <c r="BW1117" s="393"/>
      <c r="BX1117" s="392"/>
      <c r="BY1117" s="475" t="s">
        <v>7227</v>
      </c>
      <c r="BZ1117" s="393"/>
      <c r="CA1117" s="441"/>
      <c r="CB1117" s="400"/>
      <c r="CC1117" s="398"/>
      <c r="CD1117" s="398"/>
      <c r="CE1117" s="398"/>
      <c r="CF1117" s="398"/>
      <c r="CG1117" s="398"/>
      <c r="CH1117" s="398"/>
      <c r="CI1117" s="398"/>
      <c r="CJ1117" s="398"/>
      <c r="CK1117" s="398"/>
      <c r="CL1117" s="398"/>
      <c r="CM1117" s="398">
        <v>42.222000000000001</v>
      </c>
      <c r="CN1117" s="398">
        <v>42.222000000000001</v>
      </c>
      <c r="CO1117" s="398">
        <v>42.222000000000001</v>
      </c>
      <c r="CP1117" s="398">
        <v>42.222000000000001</v>
      </c>
      <c r="CQ1117" s="398">
        <v>42.222000000000001</v>
      </c>
      <c r="CR1117" s="398">
        <v>42.222000000000001</v>
      </c>
      <c r="CS1117" s="398">
        <v>42.222000000000001</v>
      </c>
      <c r="CT1117" s="398"/>
      <c r="CU1117" s="398"/>
      <c r="CV1117" s="398"/>
      <c r="CW1117" s="398"/>
      <c r="CX1117" s="398"/>
      <c r="CY1117" s="398"/>
      <c r="CZ1117" s="398"/>
      <c r="DA1117" s="398"/>
      <c r="DB1117" s="398"/>
      <c r="DC1117" s="398"/>
      <c r="DD1117" s="398"/>
      <c r="DE1117" s="393"/>
      <c r="DF1117" s="393"/>
      <c r="DG1117" s="393"/>
      <c r="DH1117" s="393"/>
      <c r="DI1117" s="393"/>
      <c r="DJ1117" s="393"/>
      <c r="DK1117" s="897"/>
    </row>
    <row r="1118" spans="1:115" ht="38.25" x14ac:dyDescent="0.2">
      <c r="A1118" s="295">
        <v>1114</v>
      </c>
      <c r="B1118" s="390" t="s">
        <v>8903</v>
      </c>
      <c r="C1118" s="390"/>
      <c r="D1118" s="391" t="s">
        <v>8895</v>
      </c>
      <c r="E1118" s="705" t="s">
        <v>8911</v>
      </c>
      <c r="F1118" s="393" t="s">
        <v>1340</v>
      </c>
      <c r="G1118" s="393" t="s">
        <v>1359</v>
      </c>
      <c r="H1118" s="393" t="s">
        <v>741</v>
      </c>
      <c r="I1118" s="392"/>
      <c r="J1118" s="392"/>
      <c r="K1118" s="428" t="s">
        <v>159</v>
      </c>
      <c r="L1118" s="392" t="s">
        <v>992</v>
      </c>
      <c r="M1118" s="392"/>
      <c r="N1118" s="393" t="s">
        <v>44</v>
      </c>
      <c r="O1118" s="393" t="s">
        <v>51</v>
      </c>
      <c r="P1118" s="393" t="s">
        <v>51</v>
      </c>
      <c r="Q1118" s="392" t="s">
        <v>976</v>
      </c>
      <c r="R1118" s="428" t="s">
        <v>8915</v>
      </c>
      <c r="S1118" s="392" t="s">
        <v>977</v>
      </c>
      <c r="T1118" s="394">
        <v>1</v>
      </c>
      <c r="U1118" s="395">
        <v>42.222000000000001</v>
      </c>
      <c r="V1118" s="395"/>
      <c r="W1118" s="453"/>
      <c r="X1118" s="394"/>
      <c r="Y1118" s="394">
        <v>7</v>
      </c>
      <c r="Z1118" s="394">
        <v>21</v>
      </c>
      <c r="AA1118" s="395">
        <v>0</v>
      </c>
      <c r="AB1118" s="452">
        <v>42767</v>
      </c>
      <c r="AC1118" s="398"/>
      <c r="AD1118" s="398">
        <v>165.30202191780822</v>
      </c>
      <c r="AE1118" s="393" t="s">
        <v>54</v>
      </c>
      <c r="AF1118" s="417"/>
      <c r="AG1118" s="417"/>
      <c r="AH1118" s="417"/>
      <c r="AI1118" s="394"/>
      <c r="AJ1118" s="453"/>
      <c r="AK1118" s="453"/>
      <c r="AL1118" s="393"/>
      <c r="AM1118" s="393"/>
      <c r="AN1118" s="417"/>
      <c r="AO1118" s="392"/>
      <c r="AP1118" s="392" t="s">
        <v>55</v>
      </c>
      <c r="AQ1118" s="392"/>
      <c r="AR1118" s="392"/>
      <c r="AS1118" s="479">
        <v>40936</v>
      </c>
      <c r="AT1118" s="453"/>
      <c r="AU1118" s="453"/>
      <c r="AV1118" s="453"/>
      <c r="AW1118" s="453"/>
      <c r="AX1118" s="453"/>
      <c r="AY1118" s="453"/>
      <c r="AZ1118" s="452">
        <v>42765</v>
      </c>
      <c r="BA1118" s="393"/>
      <c r="BB1118" s="393"/>
      <c r="BC1118" s="393" t="b">
        <v>0</v>
      </c>
      <c r="BD1118" s="393"/>
      <c r="BE1118" s="392"/>
      <c r="BF1118" s="394">
        <v>4</v>
      </c>
      <c r="BG1118" s="394">
        <v>1</v>
      </c>
      <c r="BH1118" s="394">
        <v>9</v>
      </c>
      <c r="BI1118" s="394">
        <v>8</v>
      </c>
      <c r="BJ1118" s="394">
        <v>5</v>
      </c>
      <c r="BK1118" s="394"/>
      <c r="BL1118" s="444" t="s">
        <v>1451</v>
      </c>
      <c r="BM1118" s="428" t="s">
        <v>8916</v>
      </c>
      <c r="BN1118" s="393"/>
      <c r="BO1118" s="393"/>
      <c r="BP1118" s="399"/>
      <c r="BQ1118" s="400"/>
      <c r="BR1118" s="401"/>
      <c r="BS1118" s="399"/>
      <c r="BT1118" s="394"/>
      <c r="BU1118" s="417"/>
      <c r="BV1118" s="399"/>
      <c r="BW1118" s="393"/>
      <c r="BX1118" s="392"/>
      <c r="BY1118" s="475" t="s">
        <v>7227</v>
      </c>
      <c r="BZ1118" s="393"/>
      <c r="CA1118" s="441"/>
      <c r="CB1118" s="400"/>
      <c r="CC1118" s="398"/>
      <c r="CD1118" s="398"/>
      <c r="CE1118" s="398"/>
      <c r="CF1118" s="398"/>
      <c r="CG1118" s="398"/>
      <c r="CH1118" s="398"/>
      <c r="CI1118" s="398"/>
      <c r="CJ1118" s="398"/>
      <c r="CK1118" s="398"/>
      <c r="CL1118" s="398"/>
      <c r="CM1118" s="398">
        <v>42.222000000000001</v>
      </c>
      <c r="CN1118" s="398">
        <v>42.222000000000001</v>
      </c>
      <c r="CO1118" s="398">
        <v>42.222000000000001</v>
      </c>
      <c r="CP1118" s="398">
        <v>42.222000000000001</v>
      </c>
      <c r="CQ1118" s="398">
        <v>42.222000000000001</v>
      </c>
      <c r="CR1118" s="398">
        <v>42.222000000000001</v>
      </c>
      <c r="CS1118" s="398">
        <v>42.222000000000001</v>
      </c>
      <c r="CT1118" s="398"/>
      <c r="CU1118" s="398"/>
      <c r="CV1118" s="398"/>
      <c r="CW1118" s="398"/>
      <c r="CX1118" s="398"/>
      <c r="CY1118" s="398"/>
      <c r="CZ1118" s="398"/>
      <c r="DA1118" s="398"/>
      <c r="DB1118" s="398"/>
      <c r="DC1118" s="398"/>
      <c r="DD1118" s="398"/>
      <c r="DE1118" s="393"/>
      <c r="DF1118" s="393"/>
      <c r="DG1118" s="393"/>
      <c r="DH1118" s="393"/>
      <c r="DI1118" s="393"/>
      <c r="DJ1118" s="393"/>
      <c r="DK1118" s="897"/>
    </row>
    <row r="1119" spans="1:115" ht="38.25" x14ac:dyDescent="0.2">
      <c r="A1119" s="295">
        <v>1115</v>
      </c>
      <c r="B1119" s="390" t="s">
        <v>8904</v>
      </c>
      <c r="C1119" s="390"/>
      <c r="D1119" s="391" t="s">
        <v>8896</v>
      </c>
      <c r="E1119" s="705" t="s">
        <v>8912</v>
      </c>
      <c r="F1119" s="393" t="s">
        <v>1340</v>
      </c>
      <c r="G1119" s="393" t="s">
        <v>1359</v>
      </c>
      <c r="H1119" s="393" t="s">
        <v>741</v>
      </c>
      <c r="I1119" s="392"/>
      <c r="J1119" s="392"/>
      <c r="K1119" s="428" t="s">
        <v>159</v>
      </c>
      <c r="L1119" s="392" t="s">
        <v>992</v>
      </c>
      <c r="M1119" s="392"/>
      <c r="N1119" s="393" t="s">
        <v>44</v>
      </c>
      <c r="O1119" s="393" t="s">
        <v>51</v>
      </c>
      <c r="P1119" s="393" t="s">
        <v>51</v>
      </c>
      <c r="Q1119" s="392" t="s">
        <v>976</v>
      </c>
      <c r="R1119" s="428" t="s">
        <v>8915</v>
      </c>
      <c r="S1119" s="392" t="s">
        <v>977</v>
      </c>
      <c r="T1119" s="394">
        <v>1</v>
      </c>
      <c r="U1119" s="395">
        <v>42.222000000000001</v>
      </c>
      <c r="V1119" s="395"/>
      <c r="W1119" s="453"/>
      <c r="X1119" s="394"/>
      <c r="Y1119" s="394">
        <v>7</v>
      </c>
      <c r="Z1119" s="394">
        <v>21</v>
      </c>
      <c r="AA1119" s="395">
        <v>0</v>
      </c>
      <c r="AB1119" s="452">
        <v>42767</v>
      </c>
      <c r="AC1119" s="398"/>
      <c r="AD1119" s="398">
        <v>165.30202191780822</v>
      </c>
      <c r="AE1119" s="393" t="s">
        <v>54</v>
      </c>
      <c r="AF1119" s="417"/>
      <c r="AG1119" s="417"/>
      <c r="AH1119" s="417"/>
      <c r="AI1119" s="394"/>
      <c r="AJ1119" s="453"/>
      <c r="AK1119" s="453"/>
      <c r="AL1119" s="393"/>
      <c r="AM1119" s="393"/>
      <c r="AN1119" s="417"/>
      <c r="AO1119" s="392"/>
      <c r="AP1119" s="392" t="s">
        <v>55</v>
      </c>
      <c r="AQ1119" s="392"/>
      <c r="AR1119" s="392"/>
      <c r="AS1119" s="479">
        <v>40936</v>
      </c>
      <c r="AT1119" s="453"/>
      <c r="AU1119" s="453"/>
      <c r="AV1119" s="453"/>
      <c r="AW1119" s="453"/>
      <c r="AX1119" s="453"/>
      <c r="AY1119" s="453"/>
      <c r="AZ1119" s="452">
        <v>42765</v>
      </c>
      <c r="BA1119" s="393"/>
      <c r="BB1119" s="393"/>
      <c r="BC1119" s="393" t="b">
        <v>0</v>
      </c>
      <c r="BD1119" s="393"/>
      <c r="BE1119" s="392"/>
      <c r="BF1119" s="394">
        <v>4</v>
      </c>
      <c r="BG1119" s="394">
        <v>1</v>
      </c>
      <c r="BH1119" s="394">
        <v>9</v>
      </c>
      <c r="BI1119" s="394">
        <v>8</v>
      </c>
      <c r="BJ1119" s="394">
        <v>5</v>
      </c>
      <c r="BK1119" s="394"/>
      <c r="BL1119" s="444" t="s">
        <v>1451</v>
      </c>
      <c r="BM1119" s="428" t="s">
        <v>8916</v>
      </c>
      <c r="BN1119" s="393"/>
      <c r="BO1119" s="393"/>
      <c r="BP1119" s="399"/>
      <c r="BQ1119" s="400"/>
      <c r="BR1119" s="401"/>
      <c r="BS1119" s="399"/>
      <c r="BT1119" s="394"/>
      <c r="BU1119" s="417"/>
      <c r="BV1119" s="399"/>
      <c r="BW1119" s="393"/>
      <c r="BX1119" s="392"/>
      <c r="BY1119" s="475" t="s">
        <v>7227</v>
      </c>
      <c r="BZ1119" s="393"/>
      <c r="CA1119" s="441"/>
      <c r="CB1119" s="400"/>
      <c r="CC1119" s="398"/>
      <c r="CD1119" s="398"/>
      <c r="CE1119" s="398"/>
      <c r="CF1119" s="398"/>
      <c r="CG1119" s="398"/>
      <c r="CH1119" s="398"/>
      <c r="CI1119" s="398"/>
      <c r="CJ1119" s="398"/>
      <c r="CK1119" s="398"/>
      <c r="CL1119" s="398"/>
      <c r="CM1119" s="398">
        <v>42.222000000000001</v>
      </c>
      <c r="CN1119" s="398">
        <v>42.222000000000001</v>
      </c>
      <c r="CO1119" s="398">
        <v>42.222000000000001</v>
      </c>
      <c r="CP1119" s="398">
        <v>42.222000000000001</v>
      </c>
      <c r="CQ1119" s="398">
        <v>42.222000000000001</v>
      </c>
      <c r="CR1119" s="398">
        <v>42.222000000000001</v>
      </c>
      <c r="CS1119" s="398">
        <v>42.222000000000001</v>
      </c>
      <c r="CT1119" s="398"/>
      <c r="CU1119" s="398"/>
      <c r="CV1119" s="398"/>
      <c r="CW1119" s="398"/>
      <c r="CX1119" s="398"/>
      <c r="CY1119" s="398"/>
      <c r="CZ1119" s="398"/>
      <c r="DA1119" s="398"/>
      <c r="DB1119" s="398"/>
      <c r="DC1119" s="398"/>
      <c r="DD1119" s="398"/>
      <c r="DE1119" s="393"/>
      <c r="DF1119" s="393"/>
      <c r="DG1119" s="393"/>
      <c r="DH1119" s="393"/>
      <c r="DI1119" s="393"/>
      <c r="DJ1119" s="393"/>
      <c r="DK1119" s="897"/>
    </row>
    <row r="1120" spans="1:115" ht="38.25" x14ac:dyDescent="0.2">
      <c r="A1120" s="295">
        <v>1116</v>
      </c>
      <c r="B1120" s="390" t="s">
        <v>8905</v>
      </c>
      <c r="C1120" s="577"/>
      <c r="D1120" s="391" t="s">
        <v>8897</v>
      </c>
      <c r="E1120" s="709" t="s">
        <v>8913</v>
      </c>
      <c r="F1120" s="393" t="s">
        <v>1340</v>
      </c>
      <c r="G1120" s="393" t="s">
        <v>1359</v>
      </c>
      <c r="H1120" s="393" t="s">
        <v>741</v>
      </c>
      <c r="I1120" s="563"/>
      <c r="J1120" s="563"/>
      <c r="K1120" s="560" t="s">
        <v>159</v>
      </c>
      <c r="L1120" s="392" t="s">
        <v>992</v>
      </c>
      <c r="M1120" s="563"/>
      <c r="N1120" s="393" t="s">
        <v>44</v>
      </c>
      <c r="O1120" s="393" t="s">
        <v>51</v>
      </c>
      <c r="P1120" s="393" t="s">
        <v>51</v>
      </c>
      <c r="Q1120" s="392" t="s">
        <v>976</v>
      </c>
      <c r="R1120" s="428" t="s">
        <v>8915</v>
      </c>
      <c r="S1120" s="392" t="s">
        <v>977</v>
      </c>
      <c r="T1120" s="564">
        <v>1</v>
      </c>
      <c r="U1120" s="565">
        <v>42.222000000000001</v>
      </c>
      <c r="V1120" s="565"/>
      <c r="W1120" s="566"/>
      <c r="X1120" s="564"/>
      <c r="Y1120" s="564">
        <v>7</v>
      </c>
      <c r="Z1120" s="564">
        <v>21</v>
      </c>
      <c r="AA1120" s="565">
        <v>0</v>
      </c>
      <c r="AB1120" s="567">
        <v>42767</v>
      </c>
      <c r="AC1120" s="568"/>
      <c r="AD1120" s="568">
        <v>165.30202191780822</v>
      </c>
      <c r="AE1120" s="393" t="s">
        <v>54</v>
      </c>
      <c r="AF1120" s="569"/>
      <c r="AG1120" s="569"/>
      <c r="AH1120" s="569"/>
      <c r="AI1120" s="564"/>
      <c r="AJ1120" s="566"/>
      <c r="AK1120" s="566"/>
      <c r="AL1120" s="561"/>
      <c r="AM1120" s="561"/>
      <c r="AN1120" s="569"/>
      <c r="AO1120" s="563"/>
      <c r="AP1120" s="392" t="s">
        <v>55</v>
      </c>
      <c r="AQ1120" s="563"/>
      <c r="AR1120" s="563"/>
      <c r="AS1120" s="479">
        <v>40936</v>
      </c>
      <c r="AT1120" s="566"/>
      <c r="AU1120" s="566"/>
      <c r="AV1120" s="566"/>
      <c r="AW1120" s="566"/>
      <c r="AX1120" s="566"/>
      <c r="AY1120" s="566"/>
      <c r="AZ1120" s="567">
        <v>42765</v>
      </c>
      <c r="BA1120" s="561"/>
      <c r="BB1120" s="561"/>
      <c r="BC1120" s="393" t="b">
        <v>0</v>
      </c>
      <c r="BD1120" s="561"/>
      <c r="BE1120" s="563"/>
      <c r="BF1120" s="394">
        <v>4</v>
      </c>
      <c r="BG1120" s="394">
        <v>1</v>
      </c>
      <c r="BH1120" s="394">
        <v>9</v>
      </c>
      <c r="BI1120" s="394">
        <v>8</v>
      </c>
      <c r="BJ1120" s="394">
        <v>5</v>
      </c>
      <c r="BK1120" s="394"/>
      <c r="BL1120" s="444" t="s">
        <v>1451</v>
      </c>
      <c r="BM1120" s="560" t="s">
        <v>8916</v>
      </c>
      <c r="BN1120" s="561"/>
      <c r="BO1120" s="561"/>
      <c r="BP1120" s="571"/>
      <c r="BQ1120" s="572"/>
      <c r="BR1120" s="573"/>
      <c r="BS1120" s="571"/>
      <c r="BT1120" s="564"/>
      <c r="BU1120" s="569"/>
      <c r="BV1120" s="571"/>
      <c r="BW1120" s="561"/>
      <c r="BX1120" s="563"/>
      <c r="BY1120" s="475" t="s">
        <v>7227</v>
      </c>
      <c r="BZ1120" s="561"/>
      <c r="CA1120" s="574"/>
      <c r="CB1120" s="572"/>
      <c r="CC1120" s="568"/>
      <c r="CD1120" s="568"/>
      <c r="CE1120" s="568"/>
      <c r="CF1120" s="568"/>
      <c r="CG1120" s="568"/>
      <c r="CH1120" s="568"/>
      <c r="CI1120" s="568"/>
      <c r="CJ1120" s="568"/>
      <c r="CK1120" s="568"/>
      <c r="CL1120" s="568"/>
      <c r="CM1120" s="568">
        <v>42.222000000000001</v>
      </c>
      <c r="CN1120" s="568">
        <v>42.222000000000001</v>
      </c>
      <c r="CO1120" s="568">
        <v>42.222000000000001</v>
      </c>
      <c r="CP1120" s="568">
        <v>42.222000000000001</v>
      </c>
      <c r="CQ1120" s="568">
        <v>42.222000000000001</v>
      </c>
      <c r="CR1120" s="568">
        <v>42.222000000000001</v>
      </c>
      <c r="CS1120" s="568">
        <v>42.222000000000001</v>
      </c>
      <c r="CT1120" s="568"/>
      <c r="CU1120" s="568"/>
      <c r="CV1120" s="568"/>
      <c r="CW1120" s="568"/>
      <c r="CX1120" s="568"/>
      <c r="CY1120" s="568"/>
      <c r="CZ1120" s="568"/>
      <c r="DA1120" s="568"/>
      <c r="DB1120" s="568"/>
      <c r="DC1120" s="568"/>
      <c r="DD1120" s="568"/>
      <c r="DE1120" s="561"/>
      <c r="DF1120" s="561"/>
      <c r="DG1120" s="561"/>
      <c r="DH1120" s="561"/>
      <c r="DI1120" s="561"/>
      <c r="DJ1120" s="561"/>
      <c r="DK1120" s="897"/>
    </row>
    <row r="1121" spans="1:115" ht="38.25" x14ac:dyDescent="0.2">
      <c r="A1121" s="295">
        <v>1117</v>
      </c>
      <c r="B1121" s="390" t="s">
        <v>8906</v>
      </c>
      <c r="C1121" s="577"/>
      <c r="D1121" s="391" t="s">
        <v>8898</v>
      </c>
      <c r="E1121" s="709" t="s">
        <v>8914</v>
      </c>
      <c r="F1121" s="393" t="s">
        <v>1340</v>
      </c>
      <c r="G1121" s="393" t="s">
        <v>1359</v>
      </c>
      <c r="H1121" s="393" t="s">
        <v>741</v>
      </c>
      <c r="I1121" s="563"/>
      <c r="J1121" s="563"/>
      <c r="K1121" s="560" t="s">
        <v>159</v>
      </c>
      <c r="L1121" s="392" t="s">
        <v>992</v>
      </c>
      <c r="M1121" s="563"/>
      <c r="N1121" s="393" t="s">
        <v>44</v>
      </c>
      <c r="O1121" s="393" t="s">
        <v>51</v>
      </c>
      <c r="P1121" s="393" t="s">
        <v>51</v>
      </c>
      <c r="Q1121" s="392" t="s">
        <v>976</v>
      </c>
      <c r="R1121" s="428" t="s">
        <v>8915</v>
      </c>
      <c r="S1121" s="392" t="s">
        <v>977</v>
      </c>
      <c r="T1121" s="564">
        <v>1</v>
      </c>
      <c r="U1121" s="565">
        <v>42.222000000000001</v>
      </c>
      <c r="V1121" s="565"/>
      <c r="W1121" s="566"/>
      <c r="X1121" s="564"/>
      <c r="Y1121" s="564">
        <v>7</v>
      </c>
      <c r="Z1121" s="564">
        <v>21</v>
      </c>
      <c r="AA1121" s="565">
        <v>0</v>
      </c>
      <c r="AB1121" s="567">
        <v>42767</v>
      </c>
      <c r="AC1121" s="568"/>
      <c r="AD1121" s="568">
        <v>165.30202191780822</v>
      </c>
      <c r="AE1121" s="393" t="s">
        <v>54</v>
      </c>
      <c r="AF1121" s="569"/>
      <c r="AG1121" s="569"/>
      <c r="AH1121" s="569"/>
      <c r="AI1121" s="564"/>
      <c r="AJ1121" s="566"/>
      <c r="AK1121" s="566"/>
      <c r="AL1121" s="561"/>
      <c r="AM1121" s="561"/>
      <c r="AN1121" s="569"/>
      <c r="AO1121" s="563"/>
      <c r="AP1121" s="392" t="s">
        <v>55</v>
      </c>
      <c r="AQ1121" s="563"/>
      <c r="AR1121" s="563"/>
      <c r="AS1121" s="479">
        <v>40936</v>
      </c>
      <c r="AT1121" s="566"/>
      <c r="AU1121" s="566"/>
      <c r="AV1121" s="566"/>
      <c r="AW1121" s="566"/>
      <c r="AX1121" s="566"/>
      <c r="AY1121" s="566"/>
      <c r="AZ1121" s="567">
        <v>42765</v>
      </c>
      <c r="BA1121" s="561"/>
      <c r="BB1121" s="561"/>
      <c r="BC1121" s="393" t="b">
        <v>0</v>
      </c>
      <c r="BD1121" s="561"/>
      <c r="BE1121" s="563"/>
      <c r="BF1121" s="394">
        <v>4</v>
      </c>
      <c r="BG1121" s="394">
        <v>1</v>
      </c>
      <c r="BH1121" s="394">
        <v>9</v>
      </c>
      <c r="BI1121" s="394">
        <v>8</v>
      </c>
      <c r="BJ1121" s="394">
        <v>5</v>
      </c>
      <c r="BK1121" s="394"/>
      <c r="BL1121" s="444" t="s">
        <v>1451</v>
      </c>
      <c r="BM1121" s="560" t="s">
        <v>8916</v>
      </c>
      <c r="BN1121" s="561"/>
      <c r="BO1121" s="561"/>
      <c r="BP1121" s="571"/>
      <c r="BQ1121" s="572"/>
      <c r="BR1121" s="573"/>
      <c r="BS1121" s="571"/>
      <c r="BT1121" s="564"/>
      <c r="BU1121" s="569"/>
      <c r="BV1121" s="571"/>
      <c r="BW1121" s="561"/>
      <c r="BX1121" s="563"/>
      <c r="BY1121" s="475" t="s">
        <v>7227</v>
      </c>
      <c r="BZ1121" s="561"/>
      <c r="CA1121" s="574"/>
      <c r="CB1121" s="572"/>
      <c r="CC1121" s="568"/>
      <c r="CD1121" s="568"/>
      <c r="CE1121" s="568"/>
      <c r="CF1121" s="568"/>
      <c r="CG1121" s="568"/>
      <c r="CH1121" s="568"/>
      <c r="CI1121" s="568"/>
      <c r="CJ1121" s="568"/>
      <c r="CK1121" s="568"/>
      <c r="CL1121" s="568"/>
      <c r="CM1121" s="568">
        <v>42.222000000000001</v>
      </c>
      <c r="CN1121" s="568">
        <v>42.222000000000001</v>
      </c>
      <c r="CO1121" s="568">
        <v>42.222000000000001</v>
      </c>
      <c r="CP1121" s="568">
        <v>42.222000000000001</v>
      </c>
      <c r="CQ1121" s="568">
        <v>42.222000000000001</v>
      </c>
      <c r="CR1121" s="568">
        <v>42.222000000000001</v>
      </c>
      <c r="CS1121" s="568">
        <v>42.222000000000001</v>
      </c>
      <c r="CT1121" s="568"/>
      <c r="CU1121" s="568"/>
      <c r="CV1121" s="568"/>
      <c r="CW1121" s="568"/>
      <c r="CX1121" s="568"/>
      <c r="CY1121" s="568"/>
      <c r="CZ1121" s="568"/>
      <c r="DA1121" s="568"/>
      <c r="DB1121" s="568"/>
      <c r="DC1121" s="568"/>
      <c r="DD1121" s="568"/>
      <c r="DE1121" s="561"/>
      <c r="DF1121" s="561"/>
      <c r="DG1121" s="561"/>
      <c r="DH1121" s="561"/>
      <c r="DI1121" s="561"/>
      <c r="DJ1121" s="561"/>
      <c r="DK1121" s="897"/>
    </row>
    <row r="1122" spans="1:115" ht="25.5" x14ac:dyDescent="0.2">
      <c r="A1122" s="295">
        <v>1118</v>
      </c>
      <c r="B1122" s="390" t="s">
        <v>687</v>
      </c>
      <c r="C1122" s="839" t="s">
        <v>7648</v>
      </c>
      <c r="D1122" s="391"/>
      <c r="E1122" s="846" t="s">
        <v>688</v>
      </c>
      <c r="F1122" s="404" t="s">
        <v>1340</v>
      </c>
      <c r="G1122" s="404" t="s">
        <v>1677</v>
      </c>
      <c r="H1122" s="404" t="s">
        <v>253</v>
      </c>
      <c r="I1122" s="848"/>
      <c r="J1122" s="848" t="s">
        <v>253</v>
      </c>
      <c r="K1122" s="848"/>
      <c r="L1122" s="403" t="s">
        <v>689</v>
      </c>
      <c r="M1122" s="848" t="s">
        <v>3428</v>
      </c>
      <c r="N1122" s="404" t="s">
        <v>3142</v>
      </c>
      <c r="O1122" s="404" t="s">
        <v>69</v>
      </c>
      <c r="P1122" s="404" t="s">
        <v>69</v>
      </c>
      <c r="Q1122" s="403" t="s">
        <v>690</v>
      </c>
      <c r="R1122" s="403"/>
      <c r="S1122" s="403" t="s">
        <v>691</v>
      </c>
      <c r="T1122" s="849">
        <v>1</v>
      </c>
      <c r="U1122" s="853">
        <v>26.664000000000001</v>
      </c>
      <c r="V1122" s="853"/>
      <c r="W1122" s="857">
        <v>40938</v>
      </c>
      <c r="X1122" s="849">
        <v>28</v>
      </c>
      <c r="Y1122" s="849"/>
      <c r="Z1122" s="849"/>
      <c r="AA1122" s="853"/>
      <c r="AB1122" s="859"/>
      <c r="AC1122" s="863">
        <v>0</v>
      </c>
      <c r="AD1122" s="863">
        <v>209.07498082191782</v>
      </c>
      <c r="AE1122" s="404" t="s">
        <v>397</v>
      </c>
      <c r="AF1122" s="867"/>
      <c r="AG1122" s="867"/>
      <c r="AH1122" s="867">
        <v>0</v>
      </c>
      <c r="AI1122" s="849"/>
      <c r="AJ1122" s="859"/>
      <c r="AK1122" s="859"/>
      <c r="AL1122" s="758"/>
      <c r="AM1122" s="758"/>
      <c r="AN1122" s="867"/>
      <c r="AO1122" s="848"/>
      <c r="AP1122" s="403" t="s">
        <v>55</v>
      </c>
      <c r="AQ1122" s="848"/>
      <c r="AR1122" s="848" t="s">
        <v>689</v>
      </c>
      <c r="AS1122" s="482">
        <v>40939</v>
      </c>
      <c r="AT1122" s="859"/>
      <c r="AU1122" s="859"/>
      <c r="AV1122" s="859"/>
      <c r="AW1122" s="859"/>
      <c r="AX1122" s="859"/>
      <c r="AY1122" s="859"/>
      <c r="AZ1122" s="859"/>
      <c r="BA1122" s="758"/>
      <c r="BB1122" s="758" t="s">
        <v>3116</v>
      </c>
      <c r="BC1122" s="404" t="b">
        <v>0</v>
      </c>
      <c r="BD1122" s="758" t="s">
        <v>3147</v>
      </c>
      <c r="BE1122" s="848"/>
      <c r="BF1122" s="405">
        <v>1</v>
      </c>
      <c r="BG1122" s="405">
        <v>5</v>
      </c>
      <c r="BH1122" s="405">
        <v>11</v>
      </c>
      <c r="BI1122" s="405"/>
      <c r="BJ1122" s="405"/>
      <c r="BK1122" s="405"/>
      <c r="BL1122" s="446"/>
      <c r="BM1122" s="848"/>
      <c r="BN1122" s="758"/>
      <c r="BO1122" s="758"/>
      <c r="BP1122" s="876"/>
      <c r="BQ1122" s="881"/>
      <c r="BR1122" s="886"/>
      <c r="BS1122" s="876">
        <v>0</v>
      </c>
      <c r="BT1122" s="849"/>
      <c r="BU1122" s="867"/>
      <c r="BV1122" s="876"/>
      <c r="BW1122" s="758"/>
      <c r="BX1122" s="848"/>
      <c r="BY1122" s="404"/>
      <c r="BZ1122" s="758"/>
      <c r="CA1122" s="891"/>
      <c r="CB1122" s="881"/>
      <c r="CC1122" s="863"/>
      <c r="CD1122" s="863"/>
      <c r="CE1122" s="863"/>
      <c r="CF1122" s="863"/>
      <c r="CG1122" s="863"/>
      <c r="CH1122" s="863"/>
      <c r="CI1122" s="863"/>
      <c r="CJ1122" s="863"/>
      <c r="CK1122" s="863"/>
      <c r="CL1122" s="863"/>
      <c r="CM1122" s="863"/>
      <c r="CN1122" s="863"/>
      <c r="CO1122" s="863"/>
      <c r="CP1122" s="863"/>
      <c r="CQ1122" s="863"/>
      <c r="CR1122" s="863"/>
      <c r="CS1122" s="863"/>
      <c r="CT1122" s="863"/>
      <c r="CU1122" s="863"/>
      <c r="CV1122" s="863"/>
      <c r="CW1122" s="863"/>
      <c r="CX1122" s="863"/>
      <c r="CY1122" s="863"/>
      <c r="CZ1122" s="863"/>
      <c r="DA1122" s="863"/>
      <c r="DB1122" s="863"/>
      <c r="DC1122" s="863"/>
      <c r="DD1122" s="863"/>
      <c r="DE1122" s="758"/>
      <c r="DF1122" s="758"/>
      <c r="DG1122" s="758"/>
      <c r="DH1122" s="758"/>
      <c r="DI1122" s="758"/>
      <c r="DJ1122" s="758"/>
      <c r="DK1122" s="897"/>
    </row>
    <row r="1123" spans="1:115" ht="38.25" x14ac:dyDescent="0.2">
      <c r="A1123" s="295">
        <v>1119</v>
      </c>
      <c r="B1123" s="390" t="s">
        <v>2820</v>
      </c>
      <c r="C1123" s="577"/>
      <c r="D1123" s="391"/>
      <c r="E1123" s="846" t="s">
        <v>692</v>
      </c>
      <c r="F1123" s="404" t="s">
        <v>1340</v>
      </c>
      <c r="G1123" s="404" t="s">
        <v>1677</v>
      </c>
      <c r="H1123" s="404" t="s">
        <v>253</v>
      </c>
      <c r="I1123" s="848"/>
      <c r="J1123" s="848"/>
      <c r="K1123" s="848" t="s">
        <v>2224</v>
      </c>
      <c r="L1123" s="403" t="s">
        <v>689</v>
      </c>
      <c r="M1123" s="848"/>
      <c r="N1123" s="404" t="s">
        <v>3142</v>
      </c>
      <c r="O1123" s="404" t="s">
        <v>69</v>
      </c>
      <c r="P1123" s="404" t="s">
        <v>69</v>
      </c>
      <c r="Q1123" s="403" t="s">
        <v>690</v>
      </c>
      <c r="R1123" s="403" t="s">
        <v>3429</v>
      </c>
      <c r="S1123" s="403" t="s">
        <v>691</v>
      </c>
      <c r="T1123" s="849">
        <v>1</v>
      </c>
      <c r="U1123" s="853">
        <v>26.664000000000001</v>
      </c>
      <c r="V1123" s="853"/>
      <c r="W1123" s="859"/>
      <c r="X1123" s="849"/>
      <c r="Y1123" s="849">
        <v>7</v>
      </c>
      <c r="Z1123" s="849">
        <v>25</v>
      </c>
      <c r="AA1123" s="853">
        <v>6.6660000000000004</v>
      </c>
      <c r="AB1123" s="857">
        <v>41334</v>
      </c>
      <c r="AC1123" s="863">
        <v>0</v>
      </c>
      <c r="AD1123" s="863">
        <v>209.07498082191782</v>
      </c>
      <c r="AE1123" s="404" t="s">
        <v>397</v>
      </c>
      <c r="AF1123" s="867"/>
      <c r="AG1123" s="867"/>
      <c r="AH1123" s="867"/>
      <c r="AI1123" s="849"/>
      <c r="AJ1123" s="859"/>
      <c r="AK1123" s="859"/>
      <c r="AL1123" s="758"/>
      <c r="AM1123" s="758"/>
      <c r="AN1123" s="867"/>
      <c r="AO1123" s="848"/>
      <c r="AP1123" s="403" t="s">
        <v>55</v>
      </c>
      <c r="AQ1123" s="848"/>
      <c r="AR1123" s="848" t="s">
        <v>689</v>
      </c>
      <c r="AS1123" s="482">
        <v>40939</v>
      </c>
      <c r="AT1123" s="859"/>
      <c r="AU1123" s="859"/>
      <c r="AV1123" s="859"/>
      <c r="AW1123" s="859"/>
      <c r="AX1123" s="859"/>
      <c r="AY1123" s="859"/>
      <c r="AZ1123" s="859"/>
      <c r="BA1123" s="758"/>
      <c r="BB1123" s="758"/>
      <c r="BC1123" s="404" t="b">
        <v>0</v>
      </c>
      <c r="BD1123" s="758"/>
      <c r="BE1123" s="848"/>
      <c r="BF1123" s="405">
        <v>1</v>
      </c>
      <c r="BG1123" s="405">
        <v>5</v>
      </c>
      <c r="BH1123" s="405">
        <v>11</v>
      </c>
      <c r="BI1123" s="405"/>
      <c r="BJ1123" s="405"/>
      <c r="BK1123" s="405"/>
      <c r="BL1123" s="446" t="s">
        <v>6981</v>
      </c>
      <c r="BM1123" s="848"/>
      <c r="BN1123" s="758"/>
      <c r="BO1123" s="758"/>
      <c r="BP1123" s="876"/>
      <c r="BQ1123" s="881"/>
      <c r="BR1123" s="886"/>
      <c r="BS1123" s="876"/>
      <c r="BT1123" s="849"/>
      <c r="BU1123" s="867">
        <v>0.28489999999999999</v>
      </c>
      <c r="BV1123" s="876"/>
      <c r="BW1123" s="758" t="s">
        <v>3117</v>
      </c>
      <c r="BX1123" s="848" t="s">
        <v>1447</v>
      </c>
      <c r="BY1123" s="404"/>
      <c r="BZ1123" s="758"/>
      <c r="CA1123" s="891" t="s">
        <v>1663</v>
      </c>
      <c r="CB1123" s="881">
        <v>4</v>
      </c>
      <c r="CC1123" s="863"/>
      <c r="CD1123" s="863"/>
      <c r="CE1123" s="863"/>
      <c r="CF1123" s="863"/>
      <c r="CG1123" s="863"/>
      <c r="CH1123" s="863"/>
      <c r="CI1123" s="863">
        <v>6.6660000000000004</v>
      </c>
      <c r="CJ1123" s="863">
        <v>13.332000000000001</v>
      </c>
      <c r="CK1123" s="863">
        <v>19.998000000000001</v>
      </c>
      <c r="CL1123" s="863">
        <v>26.664000000000001</v>
      </c>
      <c r="CM1123" s="863">
        <v>33.33</v>
      </c>
      <c r="CN1123" s="863">
        <v>39.994999999999997</v>
      </c>
      <c r="CO1123" s="863">
        <v>46.661999999999999</v>
      </c>
      <c r="CP1123" s="863"/>
      <c r="CQ1123" s="863"/>
      <c r="CR1123" s="863"/>
      <c r="CS1123" s="863"/>
      <c r="CT1123" s="863"/>
      <c r="CU1123" s="863"/>
      <c r="CV1123" s="863"/>
      <c r="CW1123" s="863"/>
      <c r="CX1123" s="863"/>
      <c r="CY1123" s="863"/>
      <c r="CZ1123" s="863"/>
      <c r="DA1123" s="863"/>
      <c r="DB1123" s="863"/>
      <c r="DC1123" s="863"/>
      <c r="DD1123" s="863"/>
      <c r="DE1123" s="758"/>
      <c r="DF1123" s="758"/>
      <c r="DG1123" s="758"/>
      <c r="DH1123" s="758"/>
      <c r="DI1123" s="758"/>
      <c r="DJ1123" s="758"/>
      <c r="DK1123" s="897"/>
    </row>
    <row r="1124" spans="1:115" ht="38.25" x14ac:dyDescent="0.2">
      <c r="A1124" s="295">
        <v>1120</v>
      </c>
      <c r="B1124" s="390" t="s">
        <v>707</v>
      </c>
      <c r="C1124" s="839" t="s">
        <v>7649</v>
      </c>
      <c r="D1124" s="391"/>
      <c r="E1124" s="844" t="s">
        <v>1991</v>
      </c>
      <c r="F1124" s="390" t="s">
        <v>1352</v>
      </c>
      <c r="G1124" s="390" t="s">
        <v>1672</v>
      </c>
      <c r="H1124" s="390" t="s">
        <v>684</v>
      </c>
      <c r="I1124" s="816"/>
      <c r="J1124" s="816" t="s">
        <v>684</v>
      </c>
      <c r="K1124" s="816"/>
      <c r="L1124" s="402" t="s">
        <v>3793</v>
      </c>
      <c r="M1124" s="816" t="s">
        <v>3430</v>
      </c>
      <c r="N1124" s="390" t="s">
        <v>33</v>
      </c>
      <c r="O1124" s="390" t="s">
        <v>69</v>
      </c>
      <c r="P1124" s="390" t="s">
        <v>69</v>
      </c>
      <c r="Q1124" s="402" t="s">
        <v>690</v>
      </c>
      <c r="R1124" s="402"/>
      <c r="S1124" s="402" t="s">
        <v>691</v>
      </c>
      <c r="T1124" s="851">
        <v>1</v>
      </c>
      <c r="U1124" s="852">
        <v>24.937999999999999</v>
      </c>
      <c r="V1124" s="852"/>
      <c r="W1124" s="856">
        <v>40939</v>
      </c>
      <c r="X1124" s="851">
        <v>28</v>
      </c>
      <c r="Y1124" s="851"/>
      <c r="Z1124" s="851"/>
      <c r="AA1124" s="852"/>
      <c r="AB1124" s="858"/>
      <c r="AC1124" s="862">
        <v>2.1197300000000001</v>
      </c>
      <c r="AD1124" s="862">
        <v>201.69034520547945</v>
      </c>
      <c r="AE1124" s="390" t="s">
        <v>72</v>
      </c>
      <c r="AF1124" s="866"/>
      <c r="AG1124" s="866"/>
      <c r="AH1124" s="866">
        <v>0</v>
      </c>
      <c r="AI1124" s="851"/>
      <c r="AJ1124" s="858"/>
      <c r="AK1124" s="858"/>
      <c r="AL1124" s="577"/>
      <c r="AM1124" s="577"/>
      <c r="AN1124" s="866"/>
      <c r="AO1124" s="816"/>
      <c r="AP1124" s="402" t="s">
        <v>55</v>
      </c>
      <c r="AQ1124" s="816"/>
      <c r="AR1124" s="816" t="s">
        <v>3793</v>
      </c>
      <c r="AS1124" s="481">
        <v>40939</v>
      </c>
      <c r="AT1124" s="858"/>
      <c r="AU1124" s="858"/>
      <c r="AV1124" s="858"/>
      <c r="AW1124" s="858"/>
      <c r="AX1124" s="858"/>
      <c r="AY1124" s="858"/>
      <c r="AZ1124" s="858"/>
      <c r="BA1124" s="577"/>
      <c r="BB1124" s="577" t="s">
        <v>3147</v>
      </c>
      <c r="BC1124" s="390" t="b">
        <v>0</v>
      </c>
      <c r="BD1124" s="577" t="s">
        <v>3147</v>
      </c>
      <c r="BE1124" s="816"/>
      <c r="BF1124" s="411">
        <v>1</v>
      </c>
      <c r="BG1124" s="411">
        <v>4</v>
      </c>
      <c r="BH1124" s="411">
        <v>9</v>
      </c>
      <c r="BI1124" s="411">
        <v>11</v>
      </c>
      <c r="BJ1124" s="411">
        <v>5</v>
      </c>
      <c r="BK1124" s="411">
        <v>8</v>
      </c>
      <c r="BL1124" s="445"/>
      <c r="BM1124" s="816"/>
      <c r="BN1124" s="577"/>
      <c r="BO1124" s="577"/>
      <c r="BP1124" s="875"/>
      <c r="BQ1124" s="880"/>
      <c r="BR1124" s="885"/>
      <c r="BS1124" s="875">
        <v>0.5</v>
      </c>
      <c r="BT1124" s="851"/>
      <c r="BU1124" s="866"/>
      <c r="BV1124" s="875"/>
      <c r="BW1124" s="577"/>
      <c r="BX1124" s="816"/>
      <c r="BY1124" s="390"/>
      <c r="BZ1124" s="577"/>
      <c r="CA1124" s="890"/>
      <c r="CB1124" s="880"/>
      <c r="CC1124" s="862"/>
      <c r="CD1124" s="862"/>
      <c r="CE1124" s="862"/>
      <c r="CF1124" s="862"/>
      <c r="CG1124" s="862"/>
      <c r="CH1124" s="862"/>
      <c r="CI1124" s="862"/>
      <c r="CJ1124" s="862"/>
      <c r="CK1124" s="862"/>
      <c r="CL1124" s="862"/>
      <c r="CM1124" s="862"/>
      <c r="CN1124" s="862"/>
      <c r="CO1124" s="862"/>
      <c r="CP1124" s="862"/>
      <c r="CQ1124" s="862"/>
      <c r="CR1124" s="862"/>
      <c r="CS1124" s="862"/>
      <c r="CT1124" s="862"/>
      <c r="CU1124" s="862"/>
      <c r="CV1124" s="862"/>
      <c r="CW1124" s="862"/>
      <c r="CX1124" s="862"/>
      <c r="CY1124" s="862"/>
      <c r="CZ1124" s="862"/>
      <c r="DA1124" s="862"/>
      <c r="DB1124" s="862"/>
      <c r="DC1124" s="862"/>
      <c r="DD1124" s="862"/>
      <c r="DE1124" s="577"/>
      <c r="DF1124" s="577"/>
      <c r="DG1124" s="577"/>
      <c r="DH1124" s="577"/>
      <c r="DI1124" s="577"/>
      <c r="DJ1124" s="577"/>
      <c r="DK1124" s="897"/>
    </row>
    <row r="1125" spans="1:115" ht="25.5" x14ac:dyDescent="0.2">
      <c r="A1125" s="295">
        <v>1121</v>
      </c>
      <c r="B1125" s="390" t="s">
        <v>2821</v>
      </c>
      <c r="C1125" s="577"/>
      <c r="D1125" s="391"/>
      <c r="E1125" s="844" t="s">
        <v>708</v>
      </c>
      <c r="F1125" s="390" t="s">
        <v>1352</v>
      </c>
      <c r="G1125" s="390" t="s">
        <v>1672</v>
      </c>
      <c r="H1125" s="390" t="s">
        <v>684</v>
      </c>
      <c r="I1125" s="816"/>
      <c r="J1125" s="816"/>
      <c r="K1125" s="816" t="s">
        <v>1717</v>
      </c>
      <c r="L1125" s="402" t="s">
        <v>3793</v>
      </c>
      <c r="M1125" s="816"/>
      <c r="N1125" s="390" t="s">
        <v>33</v>
      </c>
      <c r="O1125" s="390" t="s">
        <v>69</v>
      </c>
      <c r="P1125" s="390" t="s">
        <v>69</v>
      </c>
      <c r="Q1125" s="402" t="s">
        <v>690</v>
      </c>
      <c r="R1125" s="402" t="s">
        <v>3431</v>
      </c>
      <c r="S1125" s="402" t="s">
        <v>691</v>
      </c>
      <c r="T1125" s="851">
        <v>1</v>
      </c>
      <c r="U1125" s="852">
        <v>24.937999999999999</v>
      </c>
      <c r="V1125" s="852"/>
      <c r="W1125" s="858"/>
      <c r="X1125" s="851"/>
      <c r="Y1125" s="851">
        <v>7</v>
      </c>
      <c r="Z1125" s="851">
        <v>25</v>
      </c>
      <c r="AA1125" s="852">
        <v>0</v>
      </c>
      <c r="AB1125" s="856">
        <v>41244</v>
      </c>
      <c r="AC1125" s="862">
        <v>2.1197300000000001</v>
      </c>
      <c r="AD1125" s="862">
        <v>201.69034520547945</v>
      </c>
      <c r="AE1125" s="390" t="s">
        <v>72</v>
      </c>
      <c r="AF1125" s="866"/>
      <c r="AG1125" s="866"/>
      <c r="AH1125" s="866"/>
      <c r="AI1125" s="851"/>
      <c r="AJ1125" s="858"/>
      <c r="AK1125" s="858"/>
      <c r="AL1125" s="577"/>
      <c r="AM1125" s="577"/>
      <c r="AN1125" s="866"/>
      <c r="AO1125" s="816"/>
      <c r="AP1125" s="402" t="s">
        <v>55</v>
      </c>
      <c r="AQ1125" s="816"/>
      <c r="AR1125" s="816" t="s">
        <v>3793</v>
      </c>
      <c r="AS1125" s="481">
        <v>40939</v>
      </c>
      <c r="AT1125" s="858"/>
      <c r="AU1125" s="858"/>
      <c r="AV1125" s="858"/>
      <c r="AW1125" s="858"/>
      <c r="AX1125" s="858"/>
      <c r="AY1125" s="858"/>
      <c r="AZ1125" s="858"/>
      <c r="BA1125" s="577"/>
      <c r="BB1125" s="577"/>
      <c r="BC1125" s="390" t="b">
        <v>0</v>
      </c>
      <c r="BD1125" s="577"/>
      <c r="BE1125" s="816"/>
      <c r="BF1125" s="411">
        <v>1</v>
      </c>
      <c r="BG1125" s="411">
        <v>4</v>
      </c>
      <c r="BH1125" s="411">
        <v>9</v>
      </c>
      <c r="BI1125" s="411">
        <v>11</v>
      </c>
      <c r="BJ1125" s="411">
        <v>5</v>
      </c>
      <c r="BK1125" s="411">
        <v>8</v>
      </c>
      <c r="BL1125" s="445" t="s">
        <v>6982</v>
      </c>
      <c r="BM1125" s="816"/>
      <c r="BN1125" s="577"/>
      <c r="BO1125" s="577"/>
      <c r="BP1125" s="875"/>
      <c r="BQ1125" s="880"/>
      <c r="BR1125" s="885"/>
      <c r="BS1125" s="875">
        <v>0.5</v>
      </c>
      <c r="BT1125" s="851">
        <v>4380</v>
      </c>
      <c r="BU1125" s="866"/>
      <c r="BV1125" s="875"/>
      <c r="BW1125" s="577" t="s">
        <v>3117</v>
      </c>
      <c r="BX1125" s="816" t="s">
        <v>3223</v>
      </c>
      <c r="BY1125" s="390"/>
      <c r="BZ1125" s="577"/>
      <c r="CA1125" s="890" t="s">
        <v>1662</v>
      </c>
      <c r="CB1125" s="880">
        <v>4</v>
      </c>
      <c r="CC1125" s="862"/>
      <c r="CD1125" s="862"/>
      <c r="CE1125" s="862"/>
      <c r="CF1125" s="862"/>
      <c r="CG1125" s="862"/>
      <c r="CH1125" s="862"/>
      <c r="CI1125" s="862">
        <v>24.937999999999999</v>
      </c>
      <c r="CJ1125" s="862">
        <v>24.937999999999999</v>
      </c>
      <c r="CK1125" s="862">
        <v>24.937999999999999</v>
      </c>
      <c r="CL1125" s="862">
        <v>24.937999999999999</v>
      </c>
      <c r="CM1125" s="862">
        <v>24.937999999999999</v>
      </c>
      <c r="CN1125" s="862">
        <v>24.937999999999999</v>
      </c>
      <c r="CO1125" s="862">
        <v>24.937999999999999</v>
      </c>
      <c r="CP1125" s="862"/>
      <c r="CQ1125" s="862"/>
      <c r="CR1125" s="862"/>
      <c r="CS1125" s="862"/>
      <c r="CT1125" s="862"/>
      <c r="CU1125" s="862"/>
      <c r="CV1125" s="862"/>
      <c r="CW1125" s="862"/>
      <c r="CX1125" s="862"/>
      <c r="CY1125" s="862"/>
      <c r="CZ1125" s="862"/>
      <c r="DA1125" s="862"/>
      <c r="DB1125" s="862"/>
      <c r="DC1125" s="862"/>
      <c r="DD1125" s="862"/>
      <c r="DE1125" s="577"/>
      <c r="DF1125" s="577"/>
      <c r="DG1125" s="577"/>
      <c r="DH1125" s="577"/>
      <c r="DI1125" s="577"/>
      <c r="DJ1125" s="577"/>
      <c r="DK1125" s="897"/>
    </row>
    <row r="1126" spans="1:115" ht="63.75" x14ac:dyDescent="0.2">
      <c r="A1126" s="295">
        <v>1122</v>
      </c>
      <c r="B1126" s="390" t="s">
        <v>499</v>
      </c>
      <c r="C1126" s="839" t="s">
        <v>7650</v>
      </c>
      <c r="D1126" s="391" t="s">
        <v>5163</v>
      </c>
      <c r="E1126" s="843" t="s">
        <v>500</v>
      </c>
      <c r="F1126" s="393" t="s">
        <v>1375</v>
      </c>
      <c r="G1126" s="393" t="s">
        <v>998</v>
      </c>
      <c r="H1126" s="393" t="s">
        <v>218</v>
      </c>
      <c r="I1126" s="563"/>
      <c r="J1126" s="563" t="s">
        <v>218</v>
      </c>
      <c r="K1126" s="563"/>
      <c r="L1126" s="392" t="s">
        <v>501</v>
      </c>
      <c r="M1126" s="563" t="s">
        <v>3432</v>
      </c>
      <c r="N1126" s="393" t="s">
        <v>44</v>
      </c>
      <c r="O1126" s="393" t="s">
        <v>827</v>
      </c>
      <c r="P1126" s="393" t="s">
        <v>51</v>
      </c>
      <c r="Q1126" s="392" t="s">
        <v>828</v>
      </c>
      <c r="R1126" s="392"/>
      <c r="S1126" s="392" t="s">
        <v>483</v>
      </c>
      <c r="T1126" s="564">
        <v>1</v>
      </c>
      <c r="U1126" s="565">
        <v>34.293999999999997</v>
      </c>
      <c r="V1126" s="565"/>
      <c r="W1126" s="567">
        <v>40939</v>
      </c>
      <c r="X1126" s="564">
        <v>28</v>
      </c>
      <c r="Y1126" s="564"/>
      <c r="Z1126" s="564"/>
      <c r="AA1126" s="565"/>
      <c r="AB1126" s="566"/>
      <c r="AC1126" s="568">
        <v>0</v>
      </c>
      <c r="AD1126" s="568">
        <v>342.93999999999994</v>
      </c>
      <c r="AE1126" s="393" t="s">
        <v>355</v>
      </c>
      <c r="AF1126" s="569"/>
      <c r="AG1126" s="569"/>
      <c r="AH1126" s="569">
        <v>0</v>
      </c>
      <c r="AI1126" s="564"/>
      <c r="AJ1126" s="566"/>
      <c r="AK1126" s="566"/>
      <c r="AL1126" s="561"/>
      <c r="AM1126" s="561"/>
      <c r="AN1126" s="569"/>
      <c r="AO1126" s="563"/>
      <c r="AP1126" s="392" t="s">
        <v>7093</v>
      </c>
      <c r="AQ1126" s="563"/>
      <c r="AR1126" s="563" t="s">
        <v>356</v>
      </c>
      <c r="AS1126" s="479">
        <v>40939</v>
      </c>
      <c r="AT1126" s="566"/>
      <c r="AU1126" s="566"/>
      <c r="AV1126" s="567">
        <v>41085</v>
      </c>
      <c r="AW1126" s="567">
        <v>41179</v>
      </c>
      <c r="AX1126" s="567">
        <v>41243</v>
      </c>
      <c r="AY1126" s="567">
        <v>41185</v>
      </c>
      <c r="AZ1126" s="566"/>
      <c r="BA1126" s="561"/>
      <c r="BB1126" s="561" t="s">
        <v>3116</v>
      </c>
      <c r="BC1126" s="393" t="b">
        <v>0</v>
      </c>
      <c r="BD1126" s="561" t="s">
        <v>3116</v>
      </c>
      <c r="BE1126" s="563"/>
      <c r="BF1126" s="394">
        <v>6</v>
      </c>
      <c r="BG1126" s="394">
        <v>1</v>
      </c>
      <c r="BH1126" s="394">
        <v>8</v>
      </c>
      <c r="BI1126" s="394"/>
      <c r="BJ1126" s="394"/>
      <c r="BK1126" s="394"/>
      <c r="BL1126" s="444"/>
      <c r="BM1126" s="563"/>
      <c r="BN1126" s="561"/>
      <c r="BO1126" s="561"/>
      <c r="BP1126" s="571"/>
      <c r="BQ1126" s="572"/>
      <c r="BR1126" s="573"/>
      <c r="BS1126" s="571">
        <v>0</v>
      </c>
      <c r="BT1126" s="564"/>
      <c r="BU1126" s="569"/>
      <c r="BV1126" s="571"/>
      <c r="BW1126" s="561"/>
      <c r="BX1126" s="563"/>
      <c r="BY1126" s="475" t="s">
        <v>7227</v>
      </c>
      <c r="BZ1126" s="561"/>
      <c r="CA1126" s="574"/>
      <c r="CB1126" s="572"/>
      <c r="CC1126" s="568"/>
      <c r="CD1126" s="568"/>
      <c r="CE1126" s="568"/>
      <c r="CF1126" s="568"/>
      <c r="CG1126" s="568"/>
      <c r="CH1126" s="568"/>
      <c r="CI1126" s="568"/>
      <c r="CJ1126" s="568"/>
      <c r="CK1126" s="568"/>
      <c r="CL1126" s="568"/>
      <c r="CM1126" s="568"/>
      <c r="CN1126" s="568"/>
      <c r="CO1126" s="568"/>
      <c r="CP1126" s="568"/>
      <c r="CQ1126" s="568"/>
      <c r="CR1126" s="568"/>
      <c r="CS1126" s="568"/>
      <c r="CT1126" s="568"/>
      <c r="CU1126" s="568"/>
      <c r="CV1126" s="568"/>
      <c r="CW1126" s="568"/>
      <c r="CX1126" s="568"/>
      <c r="CY1126" s="568"/>
      <c r="CZ1126" s="568"/>
      <c r="DA1126" s="568"/>
      <c r="DB1126" s="568"/>
      <c r="DC1126" s="568"/>
      <c r="DD1126" s="568"/>
      <c r="DE1126" s="561"/>
      <c r="DF1126" s="561"/>
      <c r="DG1126" s="561"/>
      <c r="DH1126" s="561"/>
      <c r="DI1126" s="561"/>
      <c r="DJ1126" s="561"/>
      <c r="DK1126" s="896" t="s">
        <v>9701</v>
      </c>
    </row>
    <row r="1127" spans="1:115" ht="25.5" x14ac:dyDescent="0.2">
      <c r="A1127" s="295">
        <v>1123</v>
      </c>
      <c r="B1127" s="390" t="s">
        <v>2822</v>
      </c>
      <c r="C1127" s="577"/>
      <c r="D1127" s="391" t="s">
        <v>4252</v>
      </c>
      <c r="E1127" s="843" t="s">
        <v>502</v>
      </c>
      <c r="F1127" s="393" t="s">
        <v>1375</v>
      </c>
      <c r="G1127" s="393" t="s">
        <v>998</v>
      </c>
      <c r="H1127" s="393" t="s">
        <v>218</v>
      </c>
      <c r="I1127" s="563"/>
      <c r="J1127" s="563"/>
      <c r="K1127" s="563" t="s">
        <v>159</v>
      </c>
      <c r="L1127" s="392" t="s">
        <v>501</v>
      </c>
      <c r="M1127" s="563"/>
      <c r="N1127" s="393" t="s">
        <v>44</v>
      </c>
      <c r="O1127" s="393" t="s">
        <v>827</v>
      </c>
      <c r="P1127" s="393" t="s">
        <v>51</v>
      </c>
      <c r="Q1127" s="392" t="s">
        <v>828</v>
      </c>
      <c r="R1127" s="392" t="s">
        <v>3433</v>
      </c>
      <c r="S1127" s="392" t="s">
        <v>483</v>
      </c>
      <c r="T1127" s="564">
        <v>1</v>
      </c>
      <c r="U1127" s="565">
        <v>34.293999999999997</v>
      </c>
      <c r="V1127" s="565"/>
      <c r="W1127" s="566"/>
      <c r="X1127" s="564"/>
      <c r="Y1127" s="564">
        <v>10</v>
      </c>
      <c r="Z1127" s="564">
        <v>10</v>
      </c>
      <c r="AA1127" s="565">
        <v>3.57</v>
      </c>
      <c r="AB1127" s="567">
        <v>41275</v>
      </c>
      <c r="AC1127" s="568">
        <v>0</v>
      </c>
      <c r="AD1127" s="568">
        <v>342.93999999999994</v>
      </c>
      <c r="AE1127" s="393" t="s">
        <v>355</v>
      </c>
      <c r="AF1127" s="569"/>
      <c r="AG1127" s="569"/>
      <c r="AH1127" s="569"/>
      <c r="AI1127" s="564"/>
      <c r="AJ1127" s="566"/>
      <c r="AK1127" s="566"/>
      <c r="AL1127" s="561"/>
      <c r="AM1127" s="561"/>
      <c r="AN1127" s="569"/>
      <c r="AO1127" s="563"/>
      <c r="AP1127" s="392" t="s">
        <v>7093</v>
      </c>
      <c r="AQ1127" s="563"/>
      <c r="AR1127" s="563" t="s">
        <v>356</v>
      </c>
      <c r="AS1127" s="479">
        <v>40939</v>
      </c>
      <c r="AT1127" s="566"/>
      <c r="AU1127" s="566"/>
      <c r="AV1127" s="566"/>
      <c r="AW1127" s="566"/>
      <c r="AX1127" s="566"/>
      <c r="AY1127" s="566"/>
      <c r="AZ1127" s="567">
        <v>41185</v>
      </c>
      <c r="BA1127" s="561"/>
      <c r="BB1127" s="561"/>
      <c r="BC1127" s="393" t="b">
        <v>0</v>
      </c>
      <c r="BD1127" s="561"/>
      <c r="BE1127" s="563"/>
      <c r="BF1127" s="394">
        <v>9</v>
      </c>
      <c r="BG1127" s="394">
        <v>8</v>
      </c>
      <c r="BH1127" s="394">
        <v>6</v>
      </c>
      <c r="BI1127" s="394">
        <v>7</v>
      </c>
      <c r="BJ1127" s="394"/>
      <c r="BK1127" s="394"/>
      <c r="BL1127" s="444" t="s">
        <v>6981</v>
      </c>
      <c r="BM1127" s="563"/>
      <c r="BN1127" s="561"/>
      <c r="BO1127" s="561"/>
      <c r="BP1127" s="571"/>
      <c r="BQ1127" s="572"/>
      <c r="BR1127" s="573"/>
      <c r="BS1127" s="571"/>
      <c r="BT1127" s="564"/>
      <c r="BU1127" s="569"/>
      <c r="BV1127" s="571"/>
      <c r="BW1127" s="561" t="s">
        <v>3117</v>
      </c>
      <c r="BX1127" s="563" t="s">
        <v>1450</v>
      </c>
      <c r="BY1127" s="475" t="s">
        <v>7227</v>
      </c>
      <c r="BZ1127" s="561"/>
      <c r="CA1127" s="574"/>
      <c r="CB1127" s="572"/>
      <c r="CC1127" s="568"/>
      <c r="CD1127" s="568"/>
      <c r="CE1127" s="568"/>
      <c r="CF1127" s="568"/>
      <c r="CG1127" s="568"/>
      <c r="CH1127" s="568">
        <v>0.59299999999999997</v>
      </c>
      <c r="CI1127" s="568">
        <v>5.1459999999999999</v>
      </c>
      <c r="CJ1127" s="568">
        <v>24.628</v>
      </c>
      <c r="CK1127" s="568">
        <v>53.716000000000001</v>
      </c>
      <c r="CL1127" s="568">
        <v>57.988999999999997</v>
      </c>
      <c r="CM1127" s="568">
        <v>55.018999999999998</v>
      </c>
      <c r="CN1127" s="568">
        <v>50.680999999999997</v>
      </c>
      <c r="CO1127" s="568">
        <v>49.819000000000003</v>
      </c>
      <c r="CP1127" s="568">
        <v>45.58</v>
      </c>
      <c r="CQ1127" s="568">
        <v>28.972000000000001</v>
      </c>
      <c r="CR1127" s="568">
        <v>5.68</v>
      </c>
      <c r="CS1127" s="568"/>
      <c r="CT1127" s="568"/>
      <c r="CU1127" s="568"/>
      <c r="CV1127" s="568"/>
      <c r="CW1127" s="568"/>
      <c r="CX1127" s="568"/>
      <c r="CY1127" s="568"/>
      <c r="CZ1127" s="568"/>
      <c r="DA1127" s="568"/>
      <c r="DB1127" s="568"/>
      <c r="DC1127" s="568"/>
      <c r="DD1127" s="568"/>
      <c r="DE1127" s="561"/>
      <c r="DF1127" s="561"/>
      <c r="DG1127" s="561"/>
      <c r="DH1127" s="561"/>
      <c r="DI1127" s="561"/>
      <c r="DJ1127" s="561"/>
      <c r="DK1127" s="897"/>
    </row>
    <row r="1128" spans="1:115" ht="63.75" x14ac:dyDescent="0.2">
      <c r="A1128" s="295">
        <v>1124</v>
      </c>
      <c r="B1128" s="390" t="s">
        <v>679</v>
      </c>
      <c r="C1128" s="424" t="s">
        <v>7651</v>
      </c>
      <c r="D1128" s="391"/>
      <c r="E1128" s="707" t="s">
        <v>680</v>
      </c>
      <c r="F1128" s="404" t="s">
        <v>1352</v>
      </c>
      <c r="G1128" s="404" t="s">
        <v>1673</v>
      </c>
      <c r="H1128" s="404" t="s">
        <v>42</v>
      </c>
      <c r="I1128" s="403"/>
      <c r="J1128" s="403" t="s">
        <v>42</v>
      </c>
      <c r="K1128" s="403"/>
      <c r="L1128" s="403" t="s">
        <v>266</v>
      </c>
      <c r="M1128" s="403" t="s">
        <v>3434</v>
      </c>
      <c r="N1128" s="404" t="s">
        <v>3142</v>
      </c>
      <c r="O1128" s="404" t="s">
        <v>669</v>
      </c>
      <c r="P1128" s="404" t="s">
        <v>669</v>
      </c>
      <c r="Q1128" s="403" t="s">
        <v>681</v>
      </c>
      <c r="R1128" s="403"/>
      <c r="S1128" s="403" t="s">
        <v>141</v>
      </c>
      <c r="T1128" s="405">
        <v>1</v>
      </c>
      <c r="U1128" s="406">
        <v>124.55200000000001</v>
      </c>
      <c r="V1128" s="406"/>
      <c r="W1128" s="456">
        <v>41183</v>
      </c>
      <c r="X1128" s="405">
        <v>28</v>
      </c>
      <c r="Y1128" s="405"/>
      <c r="Z1128" s="405"/>
      <c r="AA1128" s="406"/>
      <c r="AB1128" s="455"/>
      <c r="AC1128" s="407">
        <v>31.262551999999999</v>
      </c>
      <c r="AD1128" s="407">
        <v>1245.52</v>
      </c>
      <c r="AE1128" s="404" t="s">
        <v>72</v>
      </c>
      <c r="AF1128" s="418"/>
      <c r="AG1128" s="418"/>
      <c r="AH1128" s="418">
        <v>0</v>
      </c>
      <c r="AI1128" s="405"/>
      <c r="AJ1128" s="455"/>
      <c r="AK1128" s="455"/>
      <c r="AL1128" s="404"/>
      <c r="AM1128" s="404"/>
      <c r="AN1128" s="418"/>
      <c r="AO1128" s="403"/>
      <c r="AP1128" s="403" t="s">
        <v>7057</v>
      </c>
      <c r="AQ1128" s="403"/>
      <c r="AR1128" s="403" t="s">
        <v>555</v>
      </c>
      <c r="AS1128" s="482">
        <v>40939</v>
      </c>
      <c r="AT1128" s="455"/>
      <c r="AU1128" s="455"/>
      <c r="AV1128" s="455"/>
      <c r="AW1128" s="455"/>
      <c r="AX1128" s="455"/>
      <c r="AY1128" s="455"/>
      <c r="AZ1128" s="455"/>
      <c r="BA1128" s="404"/>
      <c r="BB1128" s="404" t="s">
        <v>3147</v>
      </c>
      <c r="BC1128" s="404" t="b">
        <v>1</v>
      </c>
      <c r="BD1128" s="404" t="s">
        <v>3116</v>
      </c>
      <c r="BE1128" s="403"/>
      <c r="BF1128" s="405">
        <v>5</v>
      </c>
      <c r="BG1128" s="405"/>
      <c r="BH1128" s="405"/>
      <c r="BI1128" s="405"/>
      <c r="BJ1128" s="405"/>
      <c r="BK1128" s="405"/>
      <c r="BL1128" s="446"/>
      <c r="BM1128" s="403"/>
      <c r="BN1128" s="404"/>
      <c r="BO1128" s="404"/>
      <c r="BP1128" s="408"/>
      <c r="BQ1128" s="409"/>
      <c r="BR1128" s="410"/>
      <c r="BS1128" s="408">
        <v>0</v>
      </c>
      <c r="BT1128" s="405"/>
      <c r="BU1128" s="418"/>
      <c r="BV1128" s="408"/>
      <c r="BW1128" s="404"/>
      <c r="BX1128" s="403"/>
      <c r="BY1128" s="404"/>
      <c r="BZ1128" s="404"/>
      <c r="CA1128" s="443"/>
      <c r="CB1128" s="409"/>
      <c r="CC1128" s="407"/>
      <c r="CD1128" s="407"/>
      <c r="CE1128" s="407"/>
      <c r="CF1128" s="407"/>
      <c r="CG1128" s="407"/>
      <c r="CH1128" s="407"/>
      <c r="CI1128" s="407"/>
      <c r="CJ1128" s="407"/>
      <c r="CK1128" s="407"/>
      <c r="CL1128" s="407"/>
      <c r="CM1128" s="407"/>
      <c r="CN1128" s="407"/>
      <c r="CO1128" s="407"/>
      <c r="CP1128" s="407"/>
      <c r="CQ1128" s="407"/>
      <c r="CR1128" s="407"/>
      <c r="CS1128" s="407"/>
      <c r="CT1128" s="407"/>
      <c r="CU1128" s="407"/>
      <c r="CV1128" s="407"/>
      <c r="CW1128" s="407"/>
      <c r="CX1128" s="407"/>
      <c r="CY1128" s="407"/>
      <c r="CZ1128" s="407"/>
      <c r="DA1128" s="407"/>
      <c r="DB1128" s="407"/>
      <c r="DC1128" s="407"/>
      <c r="DD1128" s="407"/>
      <c r="DE1128" s="404"/>
      <c r="DF1128" s="404"/>
      <c r="DG1128" s="404"/>
      <c r="DH1128" s="404"/>
      <c r="DI1128" s="404"/>
      <c r="DJ1128" s="404"/>
      <c r="DK1128" s="897"/>
    </row>
    <row r="1129" spans="1:115" ht="25.5" x14ac:dyDescent="0.2">
      <c r="A1129" s="295">
        <v>1125</v>
      </c>
      <c r="B1129" s="390" t="s">
        <v>2823</v>
      </c>
      <c r="C1129" s="390"/>
      <c r="D1129" s="391"/>
      <c r="E1129" s="707" t="s">
        <v>682</v>
      </c>
      <c r="F1129" s="404" t="s">
        <v>1352</v>
      </c>
      <c r="G1129" s="404" t="s">
        <v>1673</v>
      </c>
      <c r="H1129" s="404" t="s">
        <v>42</v>
      </c>
      <c r="I1129" s="403"/>
      <c r="J1129" s="403"/>
      <c r="K1129" s="403" t="s">
        <v>159</v>
      </c>
      <c r="L1129" s="403" t="s">
        <v>266</v>
      </c>
      <c r="M1129" s="403"/>
      <c r="N1129" s="404" t="s">
        <v>3142</v>
      </c>
      <c r="O1129" s="404" t="s">
        <v>669</v>
      </c>
      <c r="P1129" s="404" t="s">
        <v>669</v>
      </c>
      <c r="Q1129" s="403" t="s">
        <v>681</v>
      </c>
      <c r="R1129" s="403" t="s">
        <v>3435</v>
      </c>
      <c r="S1129" s="403" t="s">
        <v>141</v>
      </c>
      <c r="T1129" s="405">
        <v>1</v>
      </c>
      <c r="U1129" s="406">
        <v>124.55200000000001</v>
      </c>
      <c r="V1129" s="406"/>
      <c r="W1129" s="455"/>
      <c r="X1129" s="405"/>
      <c r="Y1129" s="405">
        <v>10</v>
      </c>
      <c r="Z1129" s="405">
        <v>20</v>
      </c>
      <c r="AA1129" s="406">
        <v>0</v>
      </c>
      <c r="AB1129" s="456">
        <v>41183</v>
      </c>
      <c r="AC1129" s="407">
        <v>31.262551999999999</v>
      </c>
      <c r="AD1129" s="407">
        <v>1245.52</v>
      </c>
      <c r="AE1129" s="404" t="s">
        <v>72</v>
      </c>
      <c r="AF1129" s="418"/>
      <c r="AG1129" s="418"/>
      <c r="AH1129" s="418"/>
      <c r="AI1129" s="405"/>
      <c r="AJ1129" s="455"/>
      <c r="AK1129" s="455"/>
      <c r="AL1129" s="404"/>
      <c r="AM1129" s="404"/>
      <c r="AN1129" s="418"/>
      <c r="AO1129" s="403"/>
      <c r="AP1129" s="403" t="s">
        <v>7057</v>
      </c>
      <c r="AQ1129" s="403"/>
      <c r="AR1129" s="403" t="s">
        <v>555</v>
      </c>
      <c r="AS1129" s="482">
        <v>40939</v>
      </c>
      <c r="AT1129" s="455"/>
      <c r="AU1129" s="455"/>
      <c r="AV1129" s="455"/>
      <c r="AW1129" s="455"/>
      <c r="AX1129" s="455"/>
      <c r="AY1129" s="455"/>
      <c r="AZ1129" s="455"/>
      <c r="BA1129" s="404"/>
      <c r="BB1129" s="404"/>
      <c r="BC1129" s="404" t="b">
        <v>0</v>
      </c>
      <c r="BD1129" s="404"/>
      <c r="BE1129" s="403"/>
      <c r="BF1129" s="405">
        <v>5</v>
      </c>
      <c r="BG1129" s="405"/>
      <c r="BH1129" s="405"/>
      <c r="BI1129" s="405"/>
      <c r="BJ1129" s="405"/>
      <c r="BK1129" s="405"/>
      <c r="BL1129" s="446" t="s">
        <v>6981</v>
      </c>
      <c r="BM1129" s="403"/>
      <c r="BN1129" s="404"/>
      <c r="BO1129" s="404"/>
      <c r="BP1129" s="408"/>
      <c r="BQ1129" s="409"/>
      <c r="BR1129" s="410"/>
      <c r="BS1129" s="408"/>
      <c r="BT1129" s="405"/>
      <c r="BU1129" s="418">
        <v>0.88400000000000001</v>
      </c>
      <c r="BV1129" s="408"/>
      <c r="BW1129" s="404" t="s">
        <v>3117</v>
      </c>
      <c r="BX1129" s="403" t="s">
        <v>3149</v>
      </c>
      <c r="BY1129" s="404"/>
      <c r="BZ1129" s="404"/>
      <c r="CA1129" s="443"/>
      <c r="CB1129" s="409"/>
      <c r="CC1129" s="407"/>
      <c r="CD1129" s="407"/>
      <c r="CE1129" s="407"/>
      <c r="CF1129" s="407"/>
      <c r="CG1129" s="407"/>
      <c r="CH1129" s="407">
        <v>31.138000000000002</v>
      </c>
      <c r="CI1129" s="407">
        <v>124.55200000000001</v>
      </c>
      <c r="CJ1129" s="407">
        <v>124.55200000000001</v>
      </c>
      <c r="CK1129" s="407">
        <v>124.55200000000001</v>
      </c>
      <c r="CL1129" s="407">
        <v>124.55200000000001</v>
      </c>
      <c r="CM1129" s="407">
        <v>124.55200000000001</v>
      </c>
      <c r="CN1129" s="407">
        <v>124.55200000000001</v>
      </c>
      <c r="CO1129" s="407">
        <v>124.55200000000001</v>
      </c>
      <c r="CP1129" s="407">
        <v>124.55200000000001</v>
      </c>
      <c r="CQ1129" s="407">
        <v>124.55200000000001</v>
      </c>
      <c r="CR1129" s="407">
        <v>93.414000000000001</v>
      </c>
      <c r="CS1129" s="407"/>
      <c r="CT1129" s="407"/>
      <c r="CU1129" s="407"/>
      <c r="CV1129" s="407"/>
      <c r="CW1129" s="407"/>
      <c r="CX1129" s="407"/>
      <c r="CY1129" s="407"/>
      <c r="CZ1129" s="407"/>
      <c r="DA1129" s="407"/>
      <c r="DB1129" s="407"/>
      <c r="DC1129" s="407"/>
      <c r="DD1129" s="407"/>
      <c r="DE1129" s="404"/>
      <c r="DF1129" s="404"/>
      <c r="DG1129" s="404"/>
      <c r="DH1129" s="404"/>
      <c r="DI1129" s="404"/>
      <c r="DJ1129" s="404"/>
      <c r="DK1129" s="897"/>
    </row>
    <row r="1130" spans="1:115" ht="76.5" x14ac:dyDescent="0.2">
      <c r="A1130" s="295">
        <v>1126</v>
      </c>
      <c r="B1130" s="390" t="s">
        <v>1452</v>
      </c>
      <c r="C1130" s="424" t="s">
        <v>7652</v>
      </c>
      <c r="D1130" s="391"/>
      <c r="E1130" s="706" t="s">
        <v>1464</v>
      </c>
      <c r="F1130" s="390" t="s">
        <v>1340</v>
      </c>
      <c r="G1130" s="390" t="s">
        <v>1677</v>
      </c>
      <c r="H1130" s="390" t="s">
        <v>151</v>
      </c>
      <c r="I1130" s="402"/>
      <c r="J1130" s="402" t="s">
        <v>151</v>
      </c>
      <c r="K1130" s="402"/>
      <c r="L1130" s="402" t="s">
        <v>1465</v>
      </c>
      <c r="M1130" s="402" t="s">
        <v>3436</v>
      </c>
      <c r="N1130" s="390" t="s">
        <v>33</v>
      </c>
      <c r="O1130" s="390" t="s">
        <v>80</v>
      </c>
      <c r="P1130" s="390" t="s">
        <v>80</v>
      </c>
      <c r="Q1130" s="402" t="s">
        <v>145</v>
      </c>
      <c r="R1130" s="402"/>
      <c r="S1130" s="402" t="s">
        <v>146</v>
      </c>
      <c r="T1130" s="411">
        <v>1</v>
      </c>
      <c r="U1130" s="412">
        <v>53.935000000000002</v>
      </c>
      <c r="V1130" s="412"/>
      <c r="W1130" s="457">
        <v>40942</v>
      </c>
      <c r="X1130" s="411">
        <v>28</v>
      </c>
      <c r="Y1130" s="411"/>
      <c r="Z1130" s="411"/>
      <c r="AA1130" s="412"/>
      <c r="AB1130" s="454"/>
      <c r="AC1130" s="413">
        <v>0</v>
      </c>
      <c r="AD1130" s="413">
        <v>346.36613698630134</v>
      </c>
      <c r="AE1130" s="390" t="s">
        <v>1413</v>
      </c>
      <c r="AF1130" s="419"/>
      <c r="AG1130" s="419"/>
      <c r="AH1130" s="419">
        <v>0</v>
      </c>
      <c r="AI1130" s="411"/>
      <c r="AJ1130" s="454"/>
      <c r="AK1130" s="454"/>
      <c r="AL1130" s="390"/>
      <c r="AM1130" s="390"/>
      <c r="AN1130" s="419"/>
      <c r="AO1130" s="402"/>
      <c r="AP1130" s="402" t="s">
        <v>55</v>
      </c>
      <c r="AQ1130" s="402"/>
      <c r="AR1130" s="402" t="s">
        <v>5664</v>
      </c>
      <c r="AS1130" s="481">
        <v>40942</v>
      </c>
      <c r="AT1130" s="454"/>
      <c r="AU1130" s="454"/>
      <c r="AV1130" s="454"/>
      <c r="AW1130" s="454"/>
      <c r="AX1130" s="454"/>
      <c r="AY1130" s="454"/>
      <c r="AZ1130" s="454"/>
      <c r="BA1130" s="390"/>
      <c r="BB1130" s="390" t="s">
        <v>3147</v>
      </c>
      <c r="BC1130" s="390" t="b">
        <v>1</v>
      </c>
      <c r="BD1130" s="390" t="s">
        <v>3116</v>
      </c>
      <c r="BE1130" s="402"/>
      <c r="BF1130" s="411">
        <v>8</v>
      </c>
      <c r="BG1130" s="411">
        <v>5</v>
      </c>
      <c r="BH1130" s="411">
        <v>9</v>
      </c>
      <c r="BI1130" s="411"/>
      <c r="BJ1130" s="411"/>
      <c r="BK1130" s="411"/>
      <c r="BL1130" s="445"/>
      <c r="BM1130" s="402"/>
      <c r="BN1130" s="390"/>
      <c r="BO1130" s="390"/>
      <c r="BP1130" s="414"/>
      <c r="BQ1130" s="415"/>
      <c r="BR1130" s="416"/>
      <c r="BS1130" s="414">
        <v>17.5</v>
      </c>
      <c r="BT1130" s="411"/>
      <c r="BU1130" s="419"/>
      <c r="BV1130" s="414"/>
      <c r="BW1130" s="390"/>
      <c r="BX1130" s="402"/>
      <c r="BY1130" s="390"/>
      <c r="BZ1130" s="390"/>
      <c r="CA1130" s="442"/>
      <c r="CB1130" s="415"/>
      <c r="CC1130" s="413"/>
      <c r="CD1130" s="413"/>
      <c r="CE1130" s="413"/>
      <c r="CF1130" s="413"/>
      <c r="CG1130" s="413"/>
      <c r="CH1130" s="413"/>
      <c r="CI1130" s="413"/>
      <c r="CJ1130" s="413"/>
      <c r="CK1130" s="413"/>
      <c r="CL1130" s="413"/>
      <c r="CM1130" s="413"/>
      <c r="CN1130" s="413"/>
      <c r="CO1130" s="413"/>
      <c r="CP1130" s="413"/>
      <c r="CQ1130" s="413"/>
      <c r="CR1130" s="413"/>
      <c r="CS1130" s="413"/>
      <c r="CT1130" s="413"/>
      <c r="CU1130" s="413"/>
      <c r="CV1130" s="413"/>
      <c r="CW1130" s="413"/>
      <c r="CX1130" s="413"/>
      <c r="CY1130" s="413"/>
      <c r="CZ1130" s="413"/>
      <c r="DA1130" s="413"/>
      <c r="DB1130" s="413"/>
      <c r="DC1130" s="413"/>
      <c r="DD1130" s="413"/>
      <c r="DE1130" s="390"/>
      <c r="DF1130" s="390"/>
      <c r="DG1130" s="390"/>
      <c r="DH1130" s="390"/>
      <c r="DI1130" s="390"/>
      <c r="DJ1130" s="390"/>
      <c r="DK1130" s="897"/>
    </row>
    <row r="1131" spans="1:115" ht="25.5" x14ac:dyDescent="0.2">
      <c r="A1131" s="295">
        <v>1127</v>
      </c>
      <c r="B1131" s="390" t="s">
        <v>2824</v>
      </c>
      <c r="C1131" s="390"/>
      <c r="D1131" s="391"/>
      <c r="E1131" s="706" t="s">
        <v>1466</v>
      </c>
      <c r="F1131" s="390" t="s">
        <v>1340</v>
      </c>
      <c r="G1131" s="390" t="s">
        <v>1677</v>
      </c>
      <c r="H1131" s="390" t="s">
        <v>151</v>
      </c>
      <c r="I1131" s="402"/>
      <c r="J1131" s="402"/>
      <c r="K1131" s="402" t="s">
        <v>2225</v>
      </c>
      <c r="L1131" s="402" t="s">
        <v>1465</v>
      </c>
      <c r="M1131" s="402"/>
      <c r="N1131" s="390" t="s">
        <v>33</v>
      </c>
      <c r="O1131" s="390" t="s">
        <v>80</v>
      </c>
      <c r="P1131" s="390" t="s">
        <v>80</v>
      </c>
      <c r="Q1131" s="402" t="s">
        <v>145</v>
      </c>
      <c r="R1131" s="402" t="s">
        <v>3437</v>
      </c>
      <c r="S1131" s="402" t="s">
        <v>146</v>
      </c>
      <c r="T1131" s="411">
        <v>1</v>
      </c>
      <c r="U1131" s="412">
        <v>53.935000000000002</v>
      </c>
      <c r="V1131" s="412"/>
      <c r="W1131" s="454"/>
      <c r="X1131" s="411"/>
      <c r="Y1131" s="411">
        <v>7</v>
      </c>
      <c r="Z1131" s="411"/>
      <c r="AA1131" s="412">
        <v>11</v>
      </c>
      <c r="AB1131" s="457">
        <v>41852</v>
      </c>
      <c r="AC1131" s="413">
        <v>0</v>
      </c>
      <c r="AD1131" s="413">
        <v>346.36613698630134</v>
      </c>
      <c r="AE1131" s="390" t="s">
        <v>1413</v>
      </c>
      <c r="AF1131" s="419"/>
      <c r="AG1131" s="419"/>
      <c r="AH1131" s="419"/>
      <c r="AI1131" s="411"/>
      <c r="AJ1131" s="454"/>
      <c r="AK1131" s="454"/>
      <c r="AL1131" s="390"/>
      <c r="AM1131" s="390"/>
      <c r="AN1131" s="419"/>
      <c r="AO1131" s="402"/>
      <c r="AP1131" s="402" t="s">
        <v>55</v>
      </c>
      <c r="AQ1131" s="402"/>
      <c r="AR1131" s="402" t="s">
        <v>5664</v>
      </c>
      <c r="AS1131" s="481">
        <v>40942</v>
      </c>
      <c r="AT1131" s="454"/>
      <c r="AU1131" s="454"/>
      <c r="AV1131" s="454"/>
      <c r="AW1131" s="454"/>
      <c r="AX1131" s="454"/>
      <c r="AY1131" s="454"/>
      <c r="AZ1131" s="454"/>
      <c r="BA1131" s="390"/>
      <c r="BB1131" s="390"/>
      <c r="BC1131" s="390" t="b">
        <v>0</v>
      </c>
      <c r="BD1131" s="390"/>
      <c r="BE1131" s="402"/>
      <c r="BF1131" s="411">
        <v>8</v>
      </c>
      <c r="BG1131" s="411">
        <v>5</v>
      </c>
      <c r="BH1131" s="411">
        <v>9</v>
      </c>
      <c r="BI1131" s="411"/>
      <c r="BJ1131" s="411"/>
      <c r="BK1131" s="411"/>
      <c r="BL1131" s="445" t="s">
        <v>6981</v>
      </c>
      <c r="BM1131" s="402"/>
      <c r="BN1131" s="390"/>
      <c r="BO1131" s="390"/>
      <c r="BP1131" s="414"/>
      <c r="BQ1131" s="415"/>
      <c r="BR1131" s="416"/>
      <c r="BS1131" s="414">
        <v>17.5</v>
      </c>
      <c r="BT1131" s="411">
        <v>118073</v>
      </c>
      <c r="BU1131" s="419">
        <v>0.31</v>
      </c>
      <c r="BV1131" s="414"/>
      <c r="BW1131" s="390" t="s">
        <v>3117</v>
      </c>
      <c r="BX1131" s="402" t="s">
        <v>1449</v>
      </c>
      <c r="BY1131" s="390"/>
      <c r="BZ1131" s="390"/>
      <c r="CA1131" s="442" t="s">
        <v>1662</v>
      </c>
      <c r="CB1131" s="415">
        <v>3</v>
      </c>
      <c r="CC1131" s="413"/>
      <c r="CD1131" s="413"/>
      <c r="CE1131" s="413"/>
      <c r="CF1131" s="413"/>
      <c r="CG1131" s="413"/>
      <c r="CH1131" s="413"/>
      <c r="CI1131" s="413"/>
      <c r="CJ1131" s="413">
        <v>-15.471</v>
      </c>
      <c r="CK1131" s="413">
        <v>5.5579999999999998</v>
      </c>
      <c r="CL1131" s="413">
        <v>34.939</v>
      </c>
      <c r="CM1131" s="413">
        <v>55.348999999999997</v>
      </c>
      <c r="CN1131" s="413">
        <v>69.697000000000003</v>
      </c>
      <c r="CO1131" s="413">
        <v>79.938999999999993</v>
      </c>
      <c r="CP1131" s="413">
        <v>87.387</v>
      </c>
      <c r="CQ1131" s="413">
        <v>60.146999999999998</v>
      </c>
      <c r="CR1131" s="413"/>
      <c r="CS1131" s="413"/>
      <c r="CT1131" s="413"/>
      <c r="CU1131" s="413"/>
      <c r="CV1131" s="413"/>
      <c r="CW1131" s="413"/>
      <c r="CX1131" s="413"/>
      <c r="CY1131" s="413"/>
      <c r="CZ1131" s="413"/>
      <c r="DA1131" s="413"/>
      <c r="DB1131" s="413"/>
      <c r="DC1131" s="413"/>
      <c r="DD1131" s="413"/>
      <c r="DE1131" s="390"/>
      <c r="DF1131" s="390"/>
      <c r="DG1131" s="390"/>
      <c r="DH1131" s="390"/>
      <c r="DI1131" s="390"/>
      <c r="DJ1131" s="390"/>
      <c r="DK1131" s="897"/>
    </row>
    <row r="1132" spans="1:115" ht="76.5" x14ac:dyDescent="0.2">
      <c r="A1132" s="295">
        <v>1128</v>
      </c>
      <c r="B1132" s="390" t="s">
        <v>1453</v>
      </c>
      <c r="C1132" s="424" t="s">
        <v>7653</v>
      </c>
      <c r="D1132" s="391" t="s">
        <v>5164</v>
      </c>
      <c r="E1132" s="704" t="s">
        <v>1467</v>
      </c>
      <c r="F1132" s="393" t="s">
        <v>1352</v>
      </c>
      <c r="G1132" s="393" t="s">
        <v>1671</v>
      </c>
      <c r="H1132" s="393" t="s">
        <v>107</v>
      </c>
      <c r="I1132" s="392"/>
      <c r="J1132" s="392" t="s">
        <v>107</v>
      </c>
      <c r="K1132" s="392"/>
      <c r="L1132" s="392" t="s">
        <v>1468</v>
      </c>
      <c r="M1132" s="392" t="s">
        <v>3438</v>
      </c>
      <c r="N1132" s="393" t="s">
        <v>44</v>
      </c>
      <c r="O1132" s="393" t="s">
        <v>827</v>
      </c>
      <c r="P1132" s="393" t="s">
        <v>827</v>
      </c>
      <c r="Q1132" s="392" t="s">
        <v>836</v>
      </c>
      <c r="R1132" s="392"/>
      <c r="S1132" s="392" t="s">
        <v>871</v>
      </c>
      <c r="T1132" s="394">
        <v>1</v>
      </c>
      <c r="U1132" s="395">
        <v>1.417</v>
      </c>
      <c r="V1132" s="395"/>
      <c r="W1132" s="452">
        <v>41365</v>
      </c>
      <c r="X1132" s="394">
        <v>28</v>
      </c>
      <c r="Y1132" s="394"/>
      <c r="Z1132" s="394"/>
      <c r="AA1132" s="395"/>
      <c r="AB1132" s="453"/>
      <c r="AC1132" s="398">
        <v>0</v>
      </c>
      <c r="AD1132" s="398">
        <v>14.17</v>
      </c>
      <c r="AE1132" s="393" t="s">
        <v>894</v>
      </c>
      <c r="AF1132" s="417"/>
      <c r="AG1132" s="417"/>
      <c r="AH1132" s="417">
        <v>0</v>
      </c>
      <c r="AI1132" s="394"/>
      <c r="AJ1132" s="453"/>
      <c r="AK1132" s="453"/>
      <c r="AL1132" s="393"/>
      <c r="AM1132" s="393"/>
      <c r="AN1132" s="417"/>
      <c r="AO1132" s="392"/>
      <c r="AP1132" s="392" t="s">
        <v>55</v>
      </c>
      <c r="AQ1132" s="392"/>
      <c r="AR1132" s="392" t="s">
        <v>1470</v>
      </c>
      <c r="AS1132" s="479">
        <v>40946</v>
      </c>
      <c r="AT1132" s="453"/>
      <c r="AU1132" s="453"/>
      <c r="AV1132" s="452">
        <v>41108</v>
      </c>
      <c r="AW1132" s="452">
        <v>41122</v>
      </c>
      <c r="AX1132" s="452">
        <v>41201</v>
      </c>
      <c r="AY1132" s="452">
        <v>41200</v>
      </c>
      <c r="AZ1132" s="453"/>
      <c r="BA1132" s="393"/>
      <c r="BB1132" s="393" t="s">
        <v>3116</v>
      </c>
      <c r="BC1132" s="393" t="b">
        <v>1</v>
      </c>
      <c r="BD1132" s="393" t="s">
        <v>3147</v>
      </c>
      <c r="BE1132" s="392"/>
      <c r="BF1132" s="394">
        <v>9</v>
      </c>
      <c r="BG1132" s="394">
        <v>1</v>
      </c>
      <c r="BH1132" s="394"/>
      <c r="BI1132" s="394"/>
      <c r="BJ1132" s="394"/>
      <c r="BK1132" s="394"/>
      <c r="BL1132" s="444"/>
      <c r="BM1132" s="392"/>
      <c r="BN1132" s="393"/>
      <c r="BO1132" s="393"/>
      <c r="BP1132" s="399"/>
      <c r="BQ1132" s="400"/>
      <c r="BR1132" s="401"/>
      <c r="BS1132" s="399">
        <v>1.93313</v>
      </c>
      <c r="BT1132" s="394"/>
      <c r="BU1132" s="417"/>
      <c r="BV1132" s="399"/>
      <c r="BW1132" s="393"/>
      <c r="BX1132" s="392"/>
      <c r="BY1132" s="393"/>
      <c r="BZ1132" s="393"/>
      <c r="CA1132" s="441"/>
      <c r="CB1132" s="400"/>
      <c r="CC1132" s="398"/>
      <c r="CD1132" s="398"/>
      <c r="CE1132" s="398"/>
      <c r="CF1132" s="398"/>
      <c r="CG1132" s="398"/>
      <c r="CH1132" s="398"/>
      <c r="CI1132" s="398"/>
      <c r="CJ1132" s="398"/>
      <c r="CK1132" s="398"/>
      <c r="CL1132" s="398"/>
      <c r="CM1132" s="398"/>
      <c r="CN1132" s="398"/>
      <c r="CO1132" s="398"/>
      <c r="CP1132" s="398"/>
      <c r="CQ1132" s="398"/>
      <c r="CR1132" s="398"/>
      <c r="CS1132" s="398"/>
      <c r="CT1132" s="398"/>
      <c r="CU1132" s="398"/>
      <c r="CV1132" s="398"/>
      <c r="CW1132" s="398"/>
      <c r="CX1132" s="398"/>
      <c r="CY1132" s="398"/>
      <c r="CZ1132" s="398"/>
      <c r="DA1132" s="398"/>
      <c r="DB1132" s="398"/>
      <c r="DC1132" s="398"/>
      <c r="DD1132" s="398"/>
      <c r="DE1132" s="393"/>
      <c r="DF1132" s="393"/>
      <c r="DG1132" s="393"/>
      <c r="DH1132" s="393"/>
      <c r="DI1132" s="393"/>
      <c r="DJ1132" s="393"/>
      <c r="DK1132" s="896" t="s">
        <v>9700</v>
      </c>
    </row>
    <row r="1133" spans="1:115" ht="25.5" x14ac:dyDescent="0.2">
      <c r="A1133" s="295">
        <v>1129</v>
      </c>
      <c r="B1133" s="390" t="s">
        <v>2825</v>
      </c>
      <c r="C1133" s="390"/>
      <c r="D1133" s="391" t="s">
        <v>4100</v>
      </c>
      <c r="E1133" s="704" t="s">
        <v>1469</v>
      </c>
      <c r="F1133" s="393" t="s">
        <v>1352</v>
      </c>
      <c r="G1133" s="393" t="s">
        <v>1671</v>
      </c>
      <c r="H1133" s="393" t="s">
        <v>107</v>
      </c>
      <c r="I1133" s="392"/>
      <c r="J1133" s="392"/>
      <c r="K1133" s="392" t="s">
        <v>2226</v>
      </c>
      <c r="L1133" s="392" t="s">
        <v>1468</v>
      </c>
      <c r="M1133" s="392"/>
      <c r="N1133" s="393" t="s">
        <v>44</v>
      </c>
      <c r="O1133" s="393" t="s">
        <v>827</v>
      </c>
      <c r="P1133" s="393" t="s">
        <v>827</v>
      </c>
      <c r="Q1133" s="392" t="s">
        <v>836</v>
      </c>
      <c r="R1133" s="392" t="s">
        <v>3439</v>
      </c>
      <c r="S1133" s="392" t="s">
        <v>871</v>
      </c>
      <c r="T1133" s="394">
        <v>1</v>
      </c>
      <c r="U1133" s="395">
        <v>1.417</v>
      </c>
      <c r="V1133" s="395"/>
      <c r="W1133" s="453"/>
      <c r="X1133" s="394"/>
      <c r="Y1133" s="394">
        <v>10</v>
      </c>
      <c r="Z1133" s="394">
        <v>20</v>
      </c>
      <c r="AA1133" s="395">
        <v>0</v>
      </c>
      <c r="AB1133" s="452">
        <v>41788</v>
      </c>
      <c r="AC1133" s="398">
        <v>0</v>
      </c>
      <c r="AD1133" s="398">
        <v>14.17</v>
      </c>
      <c r="AE1133" s="393" t="s">
        <v>894</v>
      </c>
      <c r="AF1133" s="417"/>
      <c r="AG1133" s="417"/>
      <c r="AH1133" s="417"/>
      <c r="AI1133" s="394"/>
      <c r="AJ1133" s="453"/>
      <c r="AK1133" s="453"/>
      <c r="AL1133" s="393"/>
      <c r="AM1133" s="393"/>
      <c r="AN1133" s="417"/>
      <c r="AO1133" s="392"/>
      <c r="AP1133" s="392" t="s">
        <v>55</v>
      </c>
      <c r="AQ1133" s="392"/>
      <c r="AR1133" s="392" t="s">
        <v>1470</v>
      </c>
      <c r="AS1133" s="479">
        <v>40946</v>
      </c>
      <c r="AT1133" s="453"/>
      <c r="AU1133" s="453"/>
      <c r="AV1133" s="453"/>
      <c r="AW1133" s="453"/>
      <c r="AX1133" s="453"/>
      <c r="AY1133" s="453"/>
      <c r="AZ1133" s="452">
        <v>41200</v>
      </c>
      <c r="BA1133" s="393"/>
      <c r="BB1133" s="393"/>
      <c r="BC1133" s="393" t="b">
        <v>0</v>
      </c>
      <c r="BD1133" s="393"/>
      <c r="BE1133" s="392"/>
      <c r="BF1133" s="394">
        <v>9</v>
      </c>
      <c r="BG1133" s="394">
        <v>1</v>
      </c>
      <c r="BH1133" s="394"/>
      <c r="BI1133" s="394"/>
      <c r="BJ1133" s="394"/>
      <c r="BK1133" s="394"/>
      <c r="BL1133" s="444" t="s">
        <v>6981</v>
      </c>
      <c r="BM1133" s="392"/>
      <c r="BN1133" s="393"/>
      <c r="BO1133" s="393"/>
      <c r="BP1133" s="399"/>
      <c r="BQ1133" s="400"/>
      <c r="BR1133" s="401"/>
      <c r="BS1133" s="399">
        <v>1.93313</v>
      </c>
      <c r="BT1133" s="394">
        <v>2278</v>
      </c>
      <c r="BU1133" s="417">
        <v>0.67869999999999997</v>
      </c>
      <c r="BV1133" s="399"/>
      <c r="BW1133" s="393" t="s">
        <v>3117</v>
      </c>
      <c r="BX1133" s="392" t="s">
        <v>4364</v>
      </c>
      <c r="BY1133" s="393" t="s">
        <v>7224</v>
      </c>
      <c r="BZ1133" s="393"/>
      <c r="CA1133" s="441"/>
      <c r="CB1133" s="400"/>
      <c r="CC1133" s="398"/>
      <c r="CD1133" s="398"/>
      <c r="CE1133" s="398"/>
      <c r="CF1133" s="398"/>
      <c r="CG1133" s="398"/>
      <c r="CH1133" s="398"/>
      <c r="CI1133" s="398">
        <v>1.5458400000000001</v>
      </c>
      <c r="CJ1133" s="398">
        <v>1.5458400000000001</v>
      </c>
      <c r="CK1133" s="398">
        <v>1.5458400000000001</v>
      </c>
      <c r="CL1133" s="398">
        <v>1.5458400000000001</v>
      </c>
      <c r="CM1133" s="398">
        <v>1.5458400000000001</v>
      </c>
      <c r="CN1133" s="398">
        <v>1.5458400000000001</v>
      </c>
      <c r="CO1133" s="398">
        <v>1.5458400000000001</v>
      </c>
      <c r="CP1133" s="398">
        <v>1.5458400000000001</v>
      </c>
      <c r="CQ1133" s="398">
        <v>1.5458400000000001</v>
      </c>
      <c r="CR1133" s="398">
        <v>1.5458400000000001</v>
      </c>
      <c r="CS1133" s="398"/>
      <c r="CT1133" s="398"/>
      <c r="CU1133" s="398"/>
      <c r="CV1133" s="398"/>
      <c r="CW1133" s="398"/>
      <c r="CX1133" s="398"/>
      <c r="CY1133" s="398"/>
      <c r="CZ1133" s="398"/>
      <c r="DA1133" s="398"/>
      <c r="DB1133" s="398"/>
      <c r="DC1133" s="398"/>
      <c r="DD1133" s="398"/>
      <c r="DE1133" s="393"/>
      <c r="DF1133" s="393"/>
      <c r="DG1133" s="393"/>
      <c r="DH1133" s="393"/>
      <c r="DI1133" s="393"/>
      <c r="DJ1133" s="393"/>
      <c r="DK1133" s="897"/>
    </row>
    <row r="1134" spans="1:115" ht="38.25" x14ac:dyDescent="0.2">
      <c r="A1134" s="295">
        <v>1130</v>
      </c>
      <c r="B1134" s="390" t="s">
        <v>1454</v>
      </c>
      <c r="C1134" s="424" t="s">
        <v>7654</v>
      </c>
      <c r="D1134" s="391"/>
      <c r="E1134" s="710" t="s">
        <v>1471</v>
      </c>
      <c r="F1134" s="390" t="s">
        <v>1352</v>
      </c>
      <c r="G1134" s="390" t="s">
        <v>1671</v>
      </c>
      <c r="H1134" s="390" t="s">
        <v>117</v>
      </c>
      <c r="I1134" s="402"/>
      <c r="J1134" s="402" t="s">
        <v>117</v>
      </c>
      <c r="K1134" s="402"/>
      <c r="L1134" s="402" t="s">
        <v>1472</v>
      </c>
      <c r="M1134" s="402" t="s">
        <v>3440</v>
      </c>
      <c r="N1134" s="390" t="s">
        <v>33</v>
      </c>
      <c r="O1134" s="390" t="s">
        <v>69</v>
      </c>
      <c r="P1134" s="390" t="s">
        <v>69</v>
      </c>
      <c r="Q1134" s="402" t="s">
        <v>1111</v>
      </c>
      <c r="R1134" s="402"/>
      <c r="S1134" s="448" t="s">
        <v>7901</v>
      </c>
      <c r="T1134" s="411">
        <v>1</v>
      </c>
      <c r="U1134" s="412">
        <v>418.85500000000002</v>
      </c>
      <c r="V1134" s="412"/>
      <c r="W1134" s="457">
        <v>41153</v>
      </c>
      <c r="X1134" s="411">
        <v>28</v>
      </c>
      <c r="Y1134" s="411"/>
      <c r="Z1134" s="411"/>
      <c r="AA1134" s="412"/>
      <c r="AB1134" s="454"/>
      <c r="AC1134" s="413">
        <v>0</v>
      </c>
      <c r="AD1134" s="413">
        <v>4188.55</v>
      </c>
      <c r="AE1134" s="390" t="s">
        <v>72</v>
      </c>
      <c r="AF1134" s="419"/>
      <c r="AG1134" s="419"/>
      <c r="AH1134" s="419">
        <v>0</v>
      </c>
      <c r="AI1134" s="411"/>
      <c r="AJ1134" s="454"/>
      <c r="AK1134" s="454"/>
      <c r="AL1134" s="390"/>
      <c r="AM1134" s="390"/>
      <c r="AN1134" s="419"/>
      <c r="AO1134" s="402"/>
      <c r="AP1134" s="402" t="s">
        <v>7094</v>
      </c>
      <c r="AQ1134" s="402"/>
      <c r="AR1134" s="402" t="s">
        <v>1472</v>
      </c>
      <c r="AS1134" s="481">
        <v>40950</v>
      </c>
      <c r="AT1134" s="454"/>
      <c r="AU1134" s="454"/>
      <c r="AV1134" s="454"/>
      <c r="AW1134" s="454"/>
      <c r="AX1134" s="454"/>
      <c r="AY1134" s="454"/>
      <c r="AZ1134" s="454"/>
      <c r="BA1134" s="390"/>
      <c r="BB1134" s="390" t="s">
        <v>3147</v>
      </c>
      <c r="BC1134" s="390" t="b">
        <v>1</v>
      </c>
      <c r="BD1134" s="390" t="s">
        <v>3147</v>
      </c>
      <c r="BE1134" s="402"/>
      <c r="BF1134" s="411">
        <v>1</v>
      </c>
      <c r="BG1134" s="411">
        <v>8</v>
      </c>
      <c r="BH1134" s="411"/>
      <c r="BI1134" s="411"/>
      <c r="BJ1134" s="411"/>
      <c r="BK1134" s="411"/>
      <c r="BL1134" s="445"/>
      <c r="BM1134" s="402"/>
      <c r="BN1134" s="390"/>
      <c r="BO1134" s="390"/>
      <c r="BP1134" s="414"/>
      <c r="BQ1134" s="415"/>
      <c r="BR1134" s="416"/>
      <c r="BS1134" s="414">
        <v>0</v>
      </c>
      <c r="BT1134" s="411"/>
      <c r="BU1134" s="419"/>
      <c r="BV1134" s="414"/>
      <c r="BW1134" s="390"/>
      <c r="BX1134" s="402"/>
      <c r="BY1134" s="390"/>
      <c r="BZ1134" s="390"/>
      <c r="CA1134" s="442"/>
      <c r="CB1134" s="415"/>
      <c r="CC1134" s="413"/>
      <c r="CD1134" s="413"/>
      <c r="CE1134" s="413"/>
      <c r="CF1134" s="413"/>
      <c r="CG1134" s="413"/>
      <c r="CH1134" s="413"/>
      <c r="CI1134" s="413"/>
      <c r="CJ1134" s="413"/>
      <c r="CK1134" s="413"/>
      <c r="CL1134" s="413"/>
      <c r="CM1134" s="413"/>
      <c r="CN1134" s="413"/>
      <c r="CO1134" s="413"/>
      <c r="CP1134" s="413"/>
      <c r="CQ1134" s="413"/>
      <c r="CR1134" s="413"/>
      <c r="CS1134" s="413"/>
      <c r="CT1134" s="413"/>
      <c r="CU1134" s="413"/>
      <c r="CV1134" s="413"/>
      <c r="CW1134" s="413"/>
      <c r="CX1134" s="413"/>
      <c r="CY1134" s="413"/>
      <c r="CZ1134" s="413"/>
      <c r="DA1134" s="413"/>
      <c r="DB1134" s="413"/>
      <c r="DC1134" s="413"/>
      <c r="DD1134" s="413"/>
      <c r="DE1134" s="390"/>
      <c r="DF1134" s="390"/>
      <c r="DG1134" s="390"/>
      <c r="DH1134" s="390"/>
      <c r="DI1134" s="390"/>
      <c r="DJ1134" s="390"/>
      <c r="DK1134" s="897"/>
    </row>
    <row r="1135" spans="1:115" ht="25.5" x14ac:dyDescent="0.2">
      <c r="A1135" s="295">
        <v>1131</v>
      </c>
      <c r="B1135" s="390" t="s">
        <v>2826</v>
      </c>
      <c r="C1135" s="390"/>
      <c r="D1135" s="391"/>
      <c r="E1135" s="706" t="s">
        <v>1473</v>
      </c>
      <c r="F1135" s="390" t="s">
        <v>1352</v>
      </c>
      <c r="G1135" s="390" t="s">
        <v>1671</v>
      </c>
      <c r="H1135" s="390" t="s">
        <v>117</v>
      </c>
      <c r="I1135" s="402"/>
      <c r="J1135" s="402"/>
      <c r="K1135" s="402" t="s">
        <v>321</v>
      </c>
      <c r="L1135" s="402" t="s">
        <v>1472</v>
      </c>
      <c r="M1135" s="402"/>
      <c r="N1135" s="390" t="s">
        <v>33</v>
      </c>
      <c r="O1135" s="390" t="s">
        <v>69</v>
      </c>
      <c r="P1135" s="390" t="s">
        <v>69</v>
      </c>
      <c r="Q1135" s="402" t="s">
        <v>1111</v>
      </c>
      <c r="R1135" s="402" t="s">
        <v>3441</v>
      </c>
      <c r="S1135" s="448" t="s">
        <v>7901</v>
      </c>
      <c r="T1135" s="411">
        <v>1</v>
      </c>
      <c r="U1135" s="412">
        <v>418.85500000000002</v>
      </c>
      <c r="V1135" s="412"/>
      <c r="W1135" s="454"/>
      <c r="X1135" s="411"/>
      <c r="Y1135" s="411">
        <v>10</v>
      </c>
      <c r="Z1135" s="411">
        <v>15</v>
      </c>
      <c r="AA1135" s="412">
        <v>0</v>
      </c>
      <c r="AB1135" s="457">
        <v>41395</v>
      </c>
      <c r="AC1135" s="413">
        <v>0</v>
      </c>
      <c r="AD1135" s="413">
        <v>4188.55</v>
      </c>
      <c r="AE1135" s="390" t="s">
        <v>72</v>
      </c>
      <c r="AF1135" s="419"/>
      <c r="AG1135" s="419"/>
      <c r="AH1135" s="419"/>
      <c r="AI1135" s="411"/>
      <c r="AJ1135" s="454"/>
      <c r="AK1135" s="454"/>
      <c r="AL1135" s="390"/>
      <c r="AM1135" s="390"/>
      <c r="AN1135" s="419"/>
      <c r="AO1135" s="402"/>
      <c r="AP1135" s="402" t="s">
        <v>7094</v>
      </c>
      <c r="AQ1135" s="402"/>
      <c r="AR1135" s="402" t="s">
        <v>1472</v>
      </c>
      <c r="AS1135" s="481">
        <v>40950</v>
      </c>
      <c r="AT1135" s="454"/>
      <c r="AU1135" s="454"/>
      <c r="AV1135" s="454"/>
      <c r="AW1135" s="454"/>
      <c r="AX1135" s="454"/>
      <c r="AY1135" s="454"/>
      <c r="AZ1135" s="454"/>
      <c r="BA1135" s="390"/>
      <c r="BB1135" s="390"/>
      <c r="BC1135" s="390" t="b">
        <v>0</v>
      </c>
      <c r="BD1135" s="390"/>
      <c r="BE1135" s="402"/>
      <c r="BF1135" s="411">
        <v>5</v>
      </c>
      <c r="BG1135" s="411">
        <v>1</v>
      </c>
      <c r="BH1135" s="411">
        <v>8</v>
      </c>
      <c r="BI1135" s="411"/>
      <c r="BJ1135" s="411"/>
      <c r="BK1135" s="411"/>
      <c r="BL1135" s="445" t="s">
        <v>6981</v>
      </c>
      <c r="BM1135" s="402"/>
      <c r="BN1135" s="390"/>
      <c r="BO1135" s="390"/>
      <c r="BP1135" s="414"/>
      <c r="BQ1135" s="415"/>
      <c r="BR1135" s="416"/>
      <c r="BS1135" s="414"/>
      <c r="BT1135" s="411"/>
      <c r="BU1135" s="419"/>
      <c r="BV1135" s="414"/>
      <c r="BW1135" s="390" t="s">
        <v>3117</v>
      </c>
      <c r="BX1135" s="402" t="s">
        <v>1450</v>
      </c>
      <c r="BY1135" s="390"/>
      <c r="BZ1135" s="390"/>
      <c r="CA1135" s="442" t="s">
        <v>1662</v>
      </c>
      <c r="CB1135" s="415">
        <v>3</v>
      </c>
      <c r="CC1135" s="413"/>
      <c r="CD1135" s="413"/>
      <c r="CE1135" s="413"/>
      <c r="CF1135" s="413"/>
      <c r="CG1135" s="413"/>
      <c r="CH1135" s="413"/>
      <c r="CI1135" s="413">
        <v>27.902999999999999</v>
      </c>
      <c r="CJ1135" s="413">
        <v>41.854999999999997</v>
      </c>
      <c r="CK1135" s="413">
        <v>41.854999999999997</v>
      </c>
      <c r="CL1135" s="413">
        <v>41.854999999999997</v>
      </c>
      <c r="CM1135" s="413">
        <v>41.854999999999997</v>
      </c>
      <c r="CN1135" s="413">
        <v>41.854999999999997</v>
      </c>
      <c r="CO1135" s="413">
        <v>41.854999999999997</v>
      </c>
      <c r="CP1135" s="413">
        <v>41.854999999999997</v>
      </c>
      <c r="CQ1135" s="413">
        <v>41.854999999999997</v>
      </c>
      <c r="CR1135" s="413">
        <v>13.952</v>
      </c>
      <c r="CS1135" s="413"/>
      <c r="CT1135" s="413"/>
      <c r="CU1135" s="413"/>
      <c r="CV1135" s="413"/>
      <c r="CW1135" s="413"/>
      <c r="CX1135" s="413"/>
      <c r="CY1135" s="413"/>
      <c r="CZ1135" s="413"/>
      <c r="DA1135" s="413"/>
      <c r="DB1135" s="413"/>
      <c r="DC1135" s="413"/>
      <c r="DD1135" s="413"/>
      <c r="DE1135" s="390"/>
      <c r="DF1135" s="390"/>
      <c r="DG1135" s="390"/>
      <c r="DH1135" s="390"/>
      <c r="DI1135" s="390"/>
      <c r="DJ1135" s="390"/>
      <c r="DK1135" s="897"/>
    </row>
    <row r="1136" spans="1:115" ht="63.75" x14ac:dyDescent="0.2">
      <c r="A1136" s="295">
        <v>1132</v>
      </c>
      <c r="B1136" s="390" t="s">
        <v>1455</v>
      </c>
      <c r="C1136" s="424" t="s">
        <v>7655</v>
      </c>
      <c r="D1136" s="391" t="s">
        <v>5165</v>
      </c>
      <c r="E1136" s="704" t="s">
        <v>1474</v>
      </c>
      <c r="F1136" s="393" t="s">
        <v>1375</v>
      </c>
      <c r="G1136" s="393" t="s">
        <v>1361</v>
      </c>
      <c r="H1136" s="393" t="s">
        <v>137</v>
      </c>
      <c r="I1136" s="392"/>
      <c r="J1136" s="392" t="s">
        <v>137</v>
      </c>
      <c r="K1136" s="392"/>
      <c r="L1136" s="392" t="s">
        <v>882</v>
      </c>
      <c r="M1136" s="392" t="s">
        <v>3442</v>
      </c>
      <c r="N1136" s="393" t="s">
        <v>44</v>
      </c>
      <c r="O1136" s="393" t="s">
        <v>827</v>
      </c>
      <c r="P1136" s="393" t="s">
        <v>827</v>
      </c>
      <c r="Q1136" s="392" t="s">
        <v>923</v>
      </c>
      <c r="R1136" s="392"/>
      <c r="S1136" s="392" t="s">
        <v>1475</v>
      </c>
      <c r="T1136" s="394">
        <v>1</v>
      </c>
      <c r="U1136" s="395">
        <v>12.084</v>
      </c>
      <c r="V1136" s="395"/>
      <c r="W1136" s="452">
        <v>40951</v>
      </c>
      <c r="X1136" s="394">
        <v>28</v>
      </c>
      <c r="Y1136" s="394"/>
      <c r="Z1136" s="394"/>
      <c r="AA1136" s="395"/>
      <c r="AB1136" s="453"/>
      <c r="AC1136" s="398">
        <v>0</v>
      </c>
      <c r="AD1136" s="398">
        <v>120.84</v>
      </c>
      <c r="AE1136" s="393" t="s">
        <v>54</v>
      </c>
      <c r="AF1136" s="417"/>
      <c r="AG1136" s="417"/>
      <c r="AH1136" s="417">
        <v>0</v>
      </c>
      <c r="AI1136" s="394"/>
      <c r="AJ1136" s="453"/>
      <c r="AK1136" s="453"/>
      <c r="AL1136" s="393"/>
      <c r="AM1136" s="393"/>
      <c r="AN1136" s="417"/>
      <c r="AO1136" s="392"/>
      <c r="AP1136" s="392" t="s">
        <v>7095</v>
      </c>
      <c r="AQ1136" s="392"/>
      <c r="AR1136" s="392" t="s">
        <v>882</v>
      </c>
      <c r="AS1136" s="479">
        <v>40950</v>
      </c>
      <c r="AT1136" s="453"/>
      <c r="AU1136" s="453"/>
      <c r="AV1136" s="452">
        <v>41073</v>
      </c>
      <c r="AW1136" s="452">
        <v>41197</v>
      </c>
      <c r="AX1136" s="452">
        <v>41289</v>
      </c>
      <c r="AY1136" s="452">
        <v>41197</v>
      </c>
      <c r="AZ1136" s="453"/>
      <c r="BA1136" s="393"/>
      <c r="BB1136" s="393" t="s">
        <v>3116</v>
      </c>
      <c r="BC1136" s="393" t="b">
        <v>0</v>
      </c>
      <c r="BD1136" s="393" t="s">
        <v>3116</v>
      </c>
      <c r="BE1136" s="392"/>
      <c r="BF1136" s="394">
        <v>10</v>
      </c>
      <c r="BG1136" s="394">
        <v>5</v>
      </c>
      <c r="BH1136" s="394">
        <v>9</v>
      </c>
      <c r="BI1136" s="394">
        <v>7</v>
      </c>
      <c r="BJ1136" s="394"/>
      <c r="BK1136" s="394"/>
      <c r="BL1136" s="444"/>
      <c r="BM1136" s="392"/>
      <c r="BN1136" s="393"/>
      <c r="BO1136" s="393"/>
      <c r="BP1136" s="399"/>
      <c r="BQ1136" s="400"/>
      <c r="BR1136" s="401"/>
      <c r="BS1136" s="399">
        <v>0</v>
      </c>
      <c r="BT1136" s="394"/>
      <c r="BU1136" s="417"/>
      <c r="BV1136" s="399"/>
      <c r="BW1136" s="393"/>
      <c r="BX1136" s="392"/>
      <c r="BY1136" s="475" t="s">
        <v>7227</v>
      </c>
      <c r="BZ1136" s="393"/>
      <c r="CA1136" s="441"/>
      <c r="CB1136" s="400"/>
      <c r="CC1136" s="398"/>
      <c r="CD1136" s="398"/>
      <c r="CE1136" s="398"/>
      <c r="CF1136" s="398"/>
      <c r="CG1136" s="398"/>
      <c r="CH1136" s="398"/>
      <c r="CI1136" s="398"/>
      <c r="CJ1136" s="398"/>
      <c r="CK1136" s="398"/>
      <c r="CL1136" s="398"/>
      <c r="CM1136" s="398"/>
      <c r="CN1136" s="398"/>
      <c r="CO1136" s="398"/>
      <c r="CP1136" s="398"/>
      <c r="CQ1136" s="398"/>
      <c r="CR1136" s="398"/>
      <c r="CS1136" s="398"/>
      <c r="CT1136" s="398"/>
      <c r="CU1136" s="398"/>
      <c r="CV1136" s="398"/>
      <c r="CW1136" s="398"/>
      <c r="CX1136" s="398"/>
      <c r="CY1136" s="398"/>
      <c r="CZ1136" s="398"/>
      <c r="DA1136" s="398"/>
      <c r="DB1136" s="398"/>
      <c r="DC1136" s="398"/>
      <c r="DD1136" s="398"/>
      <c r="DE1136" s="393"/>
      <c r="DF1136" s="393"/>
      <c r="DG1136" s="393"/>
      <c r="DH1136" s="393"/>
      <c r="DI1136" s="393"/>
      <c r="DJ1136" s="393"/>
      <c r="DK1136" s="896" t="s">
        <v>9740</v>
      </c>
    </row>
    <row r="1137" spans="1:115" ht="25.5" x14ac:dyDescent="0.2">
      <c r="A1137" s="295">
        <v>1133</v>
      </c>
      <c r="B1137" s="390" t="s">
        <v>2827</v>
      </c>
      <c r="C1137" s="390"/>
      <c r="D1137" s="391" t="s">
        <v>4482</v>
      </c>
      <c r="E1137" s="704" t="s">
        <v>1476</v>
      </c>
      <c r="F1137" s="393" t="s">
        <v>1375</v>
      </c>
      <c r="G1137" s="393" t="s">
        <v>1361</v>
      </c>
      <c r="H1137" s="393" t="s">
        <v>137</v>
      </c>
      <c r="I1137" s="392"/>
      <c r="J1137" s="392"/>
      <c r="K1137" s="392" t="s">
        <v>137</v>
      </c>
      <c r="L1137" s="392" t="s">
        <v>882</v>
      </c>
      <c r="M1137" s="392"/>
      <c r="N1137" s="393" t="s">
        <v>44</v>
      </c>
      <c r="O1137" s="393" t="s">
        <v>827</v>
      </c>
      <c r="P1137" s="393" t="s">
        <v>827</v>
      </c>
      <c r="Q1137" s="392" t="s">
        <v>923</v>
      </c>
      <c r="R1137" s="392" t="s">
        <v>3443</v>
      </c>
      <c r="S1137" s="392" t="s">
        <v>1475</v>
      </c>
      <c r="T1137" s="394">
        <v>1</v>
      </c>
      <c r="U1137" s="395">
        <v>12.084</v>
      </c>
      <c r="V1137" s="395"/>
      <c r="W1137" s="453"/>
      <c r="X1137" s="394"/>
      <c r="Y1137" s="394">
        <v>10</v>
      </c>
      <c r="Z1137" s="394">
        <v>15</v>
      </c>
      <c r="AA1137" s="395">
        <v>0</v>
      </c>
      <c r="AB1137" s="452">
        <v>41275</v>
      </c>
      <c r="AC1137" s="398">
        <v>0</v>
      </c>
      <c r="AD1137" s="398">
        <v>120.84</v>
      </c>
      <c r="AE1137" s="393" t="s">
        <v>54</v>
      </c>
      <c r="AF1137" s="417"/>
      <c r="AG1137" s="417"/>
      <c r="AH1137" s="417"/>
      <c r="AI1137" s="394"/>
      <c r="AJ1137" s="453"/>
      <c r="AK1137" s="453"/>
      <c r="AL1137" s="393"/>
      <c r="AM1137" s="393"/>
      <c r="AN1137" s="417"/>
      <c r="AO1137" s="392"/>
      <c r="AP1137" s="392" t="s">
        <v>7095</v>
      </c>
      <c r="AQ1137" s="392"/>
      <c r="AR1137" s="392" t="s">
        <v>882</v>
      </c>
      <c r="AS1137" s="479">
        <v>40950</v>
      </c>
      <c r="AT1137" s="453"/>
      <c r="AU1137" s="453"/>
      <c r="AV1137" s="453"/>
      <c r="AW1137" s="453"/>
      <c r="AX1137" s="453"/>
      <c r="AY1137" s="453"/>
      <c r="AZ1137" s="452">
        <v>41197</v>
      </c>
      <c r="BA1137" s="393"/>
      <c r="BB1137" s="393"/>
      <c r="BC1137" s="393" t="b">
        <v>0</v>
      </c>
      <c r="BD1137" s="393"/>
      <c r="BE1137" s="392"/>
      <c r="BF1137" s="394">
        <v>10</v>
      </c>
      <c r="BG1137" s="394">
        <v>5</v>
      </c>
      <c r="BH1137" s="394">
        <v>9</v>
      </c>
      <c r="BI1137" s="394">
        <v>7</v>
      </c>
      <c r="BJ1137" s="394"/>
      <c r="BK1137" s="394"/>
      <c r="BL1137" s="444" t="s">
        <v>6981</v>
      </c>
      <c r="BM1137" s="392"/>
      <c r="BN1137" s="393"/>
      <c r="BO1137" s="393"/>
      <c r="BP1137" s="399"/>
      <c r="BQ1137" s="400"/>
      <c r="BR1137" s="401"/>
      <c r="BS1137" s="399"/>
      <c r="BT1137" s="394"/>
      <c r="BU1137" s="417"/>
      <c r="BV1137" s="399">
        <v>7</v>
      </c>
      <c r="BW1137" s="393" t="s">
        <v>3117</v>
      </c>
      <c r="BX1137" s="392" t="s">
        <v>1520</v>
      </c>
      <c r="BY1137" s="475" t="s">
        <v>7227</v>
      </c>
      <c r="BZ1137" s="393"/>
      <c r="CA1137" s="441"/>
      <c r="CB1137" s="400"/>
      <c r="CC1137" s="398"/>
      <c r="CD1137" s="398"/>
      <c r="CE1137" s="398"/>
      <c r="CF1137" s="398"/>
      <c r="CG1137" s="398"/>
      <c r="CH1137" s="398">
        <v>1.7989999999999999</v>
      </c>
      <c r="CI1137" s="398">
        <v>10.795999999999999</v>
      </c>
      <c r="CJ1137" s="398">
        <v>10.795999999999999</v>
      </c>
      <c r="CK1137" s="398">
        <v>10.795999999999999</v>
      </c>
      <c r="CL1137" s="398">
        <v>10.795999999999999</v>
      </c>
      <c r="CM1137" s="398">
        <v>10.795999999999999</v>
      </c>
      <c r="CN1137" s="398">
        <v>10.795999999999999</v>
      </c>
      <c r="CO1137" s="398">
        <v>10.795999999999999</v>
      </c>
      <c r="CP1137" s="398">
        <v>10.795999999999999</v>
      </c>
      <c r="CQ1137" s="398">
        <v>10.795999999999999</v>
      </c>
      <c r="CR1137" s="398">
        <v>8.9969999999999999</v>
      </c>
      <c r="CS1137" s="398"/>
      <c r="CT1137" s="398"/>
      <c r="CU1137" s="398"/>
      <c r="CV1137" s="398"/>
      <c r="CW1137" s="398"/>
      <c r="CX1137" s="398"/>
      <c r="CY1137" s="398"/>
      <c r="CZ1137" s="398"/>
      <c r="DA1137" s="398"/>
      <c r="DB1137" s="398"/>
      <c r="DC1137" s="398"/>
      <c r="DD1137" s="398"/>
      <c r="DE1137" s="393"/>
      <c r="DF1137" s="393"/>
      <c r="DG1137" s="393"/>
      <c r="DH1137" s="393"/>
      <c r="DI1137" s="393"/>
      <c r="DJ1137" s="393"/>
      <c r="DK1137" s="897"/>
    </row>
    <row r="1138" spans="1:115" ht="38.25" x14ac:dyDescent="0.2">
      <c r="A1138" s="295">
        <v>1134</v>
      </c>
      <c r="B1138" s="390" t="s">
        <v>1456</v>
      </c>
      <c r="C1138" s="424" t="s">
        <v>7656</v>
      </c>
      <c r="D1138" s="391" t="s">
        <v>5534</v>
      </c>
      <c r="E1138" s="705" t="s">
        <v>1477</v>
      </c>
      <c r="F1138" s="393" t="s">
        <v>1352</v>
      </c>
      <c r="G1138" s="393" t="s">
        <v>1673</v>
      </c>
      <c r="H1138" s="393" t="s">
        <v>42</v>
      </c>
      <c r="I1138" s="392"/>
      <c r="J1138" s="392" t="s">
        <v>42</v>
      </c>
      <c r="K1138" s="392"/>
      <c r="L1138" s="392" t="s">
        <v>1478</v>
      </c>
      <c r="M1138" s="392" t="s">
        <v>3444</v>
      </c>
      <c r="N1138" s="393" t="s">
        <v>44</v>
      </c>
      <c r="O1138" s="393" t="s">
        <v>69</v>
      </c>
      <c r="P1138" s="393" t="s">
        <v>69</v>
      </c>
      <c r="Q1138" s="428" t="s">
        <v>172</v>
      </c>
      <c r="R1138" s="392"/>
      <c r="S1138" s="392" t="s">
        <v>1479</v>
      </c>
      <c r="T1138" s="394">
        <v>1</v>
      </c>
      <c r="U1138" s="395">
        <v>54.216999999999999</v>
      </c>
      <c r="V1138" s="395"/>
      <c r="W1138" s="452">
        <v>40953</v>
      </c>
      <c r="X1138" s="394">
        <v>28</v>
      </c>
      <c r="Y1138" s="394"/>
      <c r="Z1138" s="394"/>
      <c r="AA1138" s="395"/>
      <c r="AB1138" s="453"/>
      <c r="AC1138" s="398">
        <v>22.067056000000001</v>
      </c>
      <c r="AD1138" s="398">
        <v>456.61111780821915</v>
      </c>
      <c r="AE1138" s="393" t="s">
        <v>47</v>
      </c>
      <c r="AF1138" s="417">
        <f>AF1139</f>
        <v>0</v>
      </c>
      <c r="AG1138" s="417">
        <f>AG1139</f>
        <v>61.402000000000001</v>
      </c>
      <c r="AH1138" s="417">
        <v>61.402000000000001</v>
      </c>
      <c r="AI1138" s="394"/>
      <c r="AJ1138" s="453">
        <v>42667</v>
      </c>
      <c r="AK1138" s="453">
        <v>42793</v>
      </c>
      <c r="AL1138" s="393"/>
      <c r="AM1138" s="393"/>
      <c r="AN1138" s="417"/>
      <c r="AO1138" s="428" t="s">
        <v>9372</v>
      </c>
      <c r="AP1138" s="392" t="s">
        <v>7096</v>
      </c>
      <c r="AQ1138" s="392"/>
      <c r="AR1138" s="392" t="s">
        <v>1478</v>
      </c>
      <c r="AS1138" s="479">
        <v>40953</v>
      </c>
      <c r="AT1138" s="453"/>
      <c r="AU1138" s="453"/>
      <c r="AV1138" s="452">
        <v>41087</v>
      </c>
      <c r="AW1138" s="452">
        <v>41291</v>
      </c>
      <c r="AX1138" s="453"/>
      <c r="AY1138" s="452">
        <v>41302</v>
      </c>
      <c r="AZ1138" s="453"/>
      <c r="BA1138" s="393"/>
      <c r="BB1138" s="393" t="s">
        <v>3116</v>
      </c>
      <c r="BC1138" s="393" t="b">
        <v>0</v>
      </c>
      <c r="BD1138" s="393" t="s">
        <v>3116</v>
      </c>
      <c r="BE1138" s="428" t="s">
        <v>6053</v>
      </c>
      <c r="BF1138" s="394">
        <v>1</v>
      </c>
      <c r="BG1138" s="394">
        <v>6</v>
      </c>
      <c r="BH1138" s="394">
        <v>4</v>
      </c>
      <c r="BI1138" s="394">
        <v>8</v>
      </c>
      <c r="BJ1138" s="394"/>
      <c r="BK1138" s="394"/>
      <c r="BL1138" s="444"/>
      <c r="BM1138" s="392"/>
      <c r="BN1138" s="393"/>
      <c r="BO1138" s="393"/>
      <c r="BP1138" s="399"/>
      <c r="BQ1138" s="400"/>
      <c r="BR1138" s="401"/>
      <c r="BS1138" s="399">
        <v>0</v>
      </c>
      <c r="BT1138" s="394"/>
      <c r="BU1138" s="417"/>
      <c r="BV1138" s="399"/>
      <c r="BW1138" s="393"/>
      <c r="BX1138" s="392"/>
      <c r="BY1138" s="393"/>
      <c r="BZ1138" s="393"/>
      <c r="CA1138" s="441"/>
      <c r="CB1138" s="400"/>
      <c r="CC1138" s="398"/>
      <c r="CD1138" s="398"/>
      <c r="CE1138" s="398"/>
      <c r="CF1138" s="398"/>
      <c r="CG1138" s="398"/>
      <c r="CH1138" s="398"/>
      <c r="CI1138" s="398"/>
      <c r="CJ1138" s="398"/>
      <c r="CK1138" s="398"/>
      <c r="CL1138" s="398"/>
      <c r="CM1138" s="398"/>
      <c r="CN1138" s="398"/>
      <c r="CO1138" s="398"/>
      <c r="CP1138" s="398"/>
      <c r="CQ1138" s="398"/>
      <c r="CR1138" s="398"/>
      <c r="CS1138" s="398"/>
      <c r="CT1138" s="398"/>
      <c r="CU1138" s="398"/>
      <c r="CV1138" s="398"/>
      <c r="CW1138" s="398"/>
      <c r="CX1138" s="398"/>
      <c r="CY1138" s="398"/>
      <c r="CZ1138" s="398"/>
      <c r="DA1138" s="398"/>
      <c r="DB1138" s="398"/>
      <c r="DC1138" s="398"/>
      <c r="DD1138" s="398"/>
      <c r="DE1138" s="393"/>
      <c r="DF1138" s="393"/>
      <c r="DG1138" s="393"/>
      <c r="DH1138" s="393"/>
      <c r="DI1138" s="393"/>
      <c r="DJ1138" s="393"/>
      <c r="DK1138" s="896" t="s">
        <v>9725</v>
      </c>
    </row>
    <row r="1139" spans="1:115" ht="25.5" x14ac:dyDescent="0.2">
      <c r="A1139" s="295">
        <v>1135</v>
      </c>
      <c r="B1139" s="390" t="s">
        <v>2828</v>
      </c>
      <c r="C1139" s="390"/>
      <c r="D1139" s="391" t="s">
        <v>5535</v>
      </c>
      <c r="E1139" s="704" t="s">
        <v>1992</v>
      </c>
      <c r="F1139" s="393" t="s">
        <v>1352</v>
      </c>
      <c r="G1139" s="393" t="s">
        <v>1673</v>
      </c>
      <c r="H1139" s="393" t="s">
        <v>42</v>
      </c>
      <c r="I1139" s="392"/>
      <c r="J1139" s="392"/>
      <c r="K1139" s="392" t="s">
        <v>2116</v>
      </c>
      <c r="L1139" s="392" t="s">
        <v>1478</v>
      </c>
      <c r="M1139" s="392"/>
      <c r="N1139" s="393" t="s">
        <v>44</v>
      </c>
      <c r="O1139" s="393" t="s">
        <v>69</v>
      </c>
      <c r="P1139" s="393" t="s">
        <v>69</v>
      </c>
      <c r="Q1139" s="392" t="s">
        <v>172</v>
      </c>
      <c r="R1139" s="392" t="s">
        <v>3445</v>
      </c>
      <c r="S1139" s="392" t="s">
        <v>1479</v>
      </c>
      <c r="T1139" s="394">
        <v>1</v>
      </c>
      <c r="U1139" s="395">
        <v>54.216999999999999</v>
      </c>
      <c r="V1139" s="395"/>
      <c r="W1139" s="453"/>
      <c r="X1139" s="394"/>
      <c r="Y1139" s="394">
        <v>7</v>
      </c>
      <c r="Z1139" s="394">
        <v>21</v>
      </c>
      <c r="AA1139" s="395">
        <v>7.33</v>
      </c>
      <c r="AB1139" s="452">
        <v>41122</v>
      </c>
      <c r="AC1139" s="398">
        <v>22.067056000000001</v>
      </c>
      <c r="AD1139" s="398">
        <v>456.61111780821915</v>
      </c>
      <c r="AE1139" s="393" t="s">
        <v>47</v>
      </c>
      <c r="AF1139" s="417"/>
      <c r="AG1139" s="417">
        <f>8.804+21.774+30.824</f>
        <v>61.402000000000001</v>
      </c>
      <c r="AH1139" s="417">
        <v>61.402000000000001</v>
      </c>
      <c r="AI1139" s="394"/>
      <c r="AJ1139" s="453">
        <v>42667</v>
      </c>
      <c r="AK1139" s="453">
        <v>42793</v>
      </c>
      <c r="AL1139" s="393"/>
      <c r="AM1139" s="393"/>
      <c r="AN1139" s="417"/>
      <c r="AO1139" s="428" t="s">
        <v>9372</v>
      </c>
      <c r="AP1139" s="392" t="s">
        <v>7096</v>
      </c>
      <c r="AQ1139" s="392"/>
      <c r="AR1139" s="392" t="s">
        <v>1478</v>
      </c>
      <c r="AS1139" s="479">
        <v>40953</v>
      </c>
      <c r="AT1139" s="453"/>
      <c r="AU1139" s="453"/>
      <c r="AV1139" s="453"/>
      <c r="AW1139" s="453"/>
      <c r="AX1139" s="453"/>
      <c r="AY1139" s="453"/>
      <c r="AZ1139" s="452">
        <v>41302</v>
      </c>
      <c r="BA1139" s="393"/>
      <c r="BB1139" s="393"/>
      <c r="BC1139" s="393" t="b">
        <v>0</v>
      </c>
      <c r="BD1139" s="393"/>
      <c r="BE1139" s="392"/>
      <c r="BF1139" s="394">
        <v>1</v>
      </c>
      <c r="BG1139" s="394">
        <v>6</v>
      </c>
      <c r="BH1139" s="394">
        <v>4</v>
      </c>
      <c r="BI1139" s="394">
        <v>8</v>
      </c>
      <c r="BJ1139" s="394"/>
      <c r="BK1139" s="394"/>
      <c r="BL1139" s="444" t="s">
        <v>6984</v>
      </c>
      <c r="BM1139" s="392"/>
      <c r="BN1139" s="393"/>
      <c r="BO1139" s="393"/>
      <c r="BP1139" s="399"/>
      <c r="BQ1139" s="400"/>
      <c r="BR1139" s="401"/>
      <c r="BS1139" s="399"/>
      <c r="BT1139" s="394"/>
      <c r="BU1139" s="417"/>
      <c r="BV1139" s="399"/>
      <c r="BW1139" s="393" t="s">
        <v>3117</v>
      </c>
      <c r="BX1139" s="392" t="s">
        <v>4364</v>
      </c>
      <c r="BY1139" s="393" t="s">
        <v>7224</v>
      </c>
      <c r="BZ1139" s="393"/>
      <c r="CA1139" s="441"/>
      <c r="CB1139" s="400"/>
      <c r="CC1139" s="398"/>
      <c r="CD1139" s="398"/>
      <c r="CE1139" s="398"/>
      <c r="CF1139" s="398"/>
      <c r="CG1139" s="398"/>
      <c r="CH1139" s="398"/>
      <c r="CI1139" s="398">
        <v>16.494</v>
      </c>
      <c r="CJ1139" s="398">
        <v>53.220999999999997</v>
      </c>
      <c r="CK1139" s="398">
        <v>59.966000000000001</v>
      </c>
      <c r="CL1139" s="398">
        <v>59.966000000000001</v>
      </c>
      <c r="CM1139" s="398">
        <v>59.966000000000001</v>
      </c>
      <c r="CN1139" s="398">
        <v>59.966000000000001</v>
      </c>
      <c r="CO1139" s="398">
        <v>59.966000000000001</v>
      </c>
      <c r="CP1139" s="398"/>
      <c r="CQ1139" s="398"/>
      <c r="CR1139" s="398"/>
      <c r="CS1139" s="398"/>
      <c r="CT1139" s="398"/>
      <c r="CU1139" s="398"/>
      <c r="CV1139" s="398"/>
      <c r="CW1139" s="398"/>
      <c r="CX1139" s="398"/>
      <c r="CY1139" s="398"/>
      <c r="CZ1139" s="398"/>
      <c r="DA1139" s="398"/>
      <c r="DB1139" s="398"/>
      <c r="DC1139" s="398"/>
      <c r="DD1139" s="398"/>
      <c r="DE1139" s="393"/>
      <c r="DF1139" s="393"/>
      <c r="DG1139" s="393"/>
      <c r="DH1139" s="393"/>
      <c r="DI1139" s="393"/>
      <c r="DJ1139" s="393"/>
      <c r="DK1139" s="897"/>
    </row>
    <row r="1140" spans="1:115" ht="63.75" x14ac:dyDescent="0.2">
      <c r="A1140" s="295">
        <v>1136</v>
      </c>
      <c r="B1140" s="390" t="s">
        <v>1457</v>
      </c>
      <c r="C1140" s="424" t="s">
        <v>7657</v>
      </c>
      <c r="D1140" s="391" t="s">
        <v>5166</v>
      </c>
      <c r="E1140" s="704" t="s">
        <v>1480</v>
      </c>
      <c r="F1140" s="393" t="s">
        <v>1340</v>
      </c>
      <c r="G1140" s="393" t="s">
        <v>1359</v>
      </c>
      <c r="H1140" s="393" t="s">
        <v>1002</v>
      </c>
      <c r="I1140" s="392" t="s">
        <v>4953</v>
      </c>
      <c r="J1140" s="392" t="s">
        <v>2227</v>
      </c>
      <c r="K1140" s="392"/>
      <c r="L1140" s="392" t="s">
        <v>1481</v>
      </c>
      <c r="M1140" s="392" t="s">
        <v>3446</v>
      </c>
      <c r="N1140" s="393" t="s">
        <v>44</v>
      </c>
      <c r="O1140" s="393" t="s">
        <v>51</v>
      </c>
      <c r="P1140" s="393" t="s">
        <v>51</v>
      </c>
      <c r="Q1140" s="392" t="s">
        <v>976</v>
      </c>
      <c r="R1140" s="392"/>
      <c r="S1140" s="392" t="s">
        <v>977</v>
      </c>
      <c r="T1140" s="394">
        <v>1</v>
      </c>
      <c r="U1140" s="395">
        <v>43.646000000000001</v>
      </c>
      <c r="V1140" s="395"/>
      <c r="W1140" s="452">
        <v>40953</v>
      </c>
      <c r="X1140" s="394">
        <v>28</v>
      </c>
      <c r="Y1140" s="394"/>
      <c r="Z1140" s="394"/>
      <c r="AA1140" s="395"/>
      <c r="AB1140" s="453"/>
      <c r="AC1140" s="398">
        <v>0</v>
      </c>
      <c r="AD1140" s="398">
        <v>349.28757808219177</v>
      </c>
      <c r="AE1140" s="393" t="s">
        <v>54</v>
      </c>
      <c r="AF1140" s="417"/>
      <c r="AG1140" s="417"/>
      <c r="AH1140" s="417">
        <v>0</v>
      </c>
      <c r="AI1140" s="394"/>
      <c r="AJ1140" s="453"/>
      <c r="AK1140" s="453"/>
      <c r="AL1140" s="393"/>
      <c r="AM1140" s="393"/>
      <c r="AN1140" s="417"/>
      <c r="AO1140" s="392"/>
      <c r="AP1140" s="392" t="s">
        <v>55</v>
      </c>
      <c r="AQ1140" s="392"/>
      <c r="AR1140" s="392" t="s">
        <v>1483</v>
      </c>
      <c r="AS1140" s="479">
        <v>40953</v>
      </c>
      <c r="AT1140" s="453"/>
      <c r="AU1140" s="453"/>
      <c r="AV1140" s="452">
        <v>40970</v>
      </c>
      <c r="AW1140" s="452">
        <v>41270</v>
      </c>
      <c r="AX1140" s="453"/>
      <c r="AY1140" s="452">
        <v>41270</v>
      </c>
      <c r="AZ1140" s="453"/>
      <c r="BA1140" s="393"/>
      <c r="BB1140" s="393" t="s">
        <v>3116</v>
      </c>
      <c r="BC1140" s="393" t="b">
        <v>0</v>
      </c>
      <c r="BD1140" s="393" t="s">
        <v>3116</v>
      </c>
      <c r="BE1140" s="392" t="s">
        <v>6245</v>
      </c>
      <c r="BF1140" s="394">
        <v>4</v>
      </c>
      <c r="BG1140" s="394">
        <v>1</v>
      </c>
      <c r="BH1140" s="394">
        <v>8</v>
      </c>
      <c r="BI1140" s="394">
        <v>9</v>
      </c>
      <c r="BJ1140" s="394"/>
      <c r="BK1140" s="394"/>
      <c r="BL1140" s="444"/>
      <c r="BM1140" s="392"/>
      <c r="BN1140" s="393"/>
      <c r="BO1140" s="393"/>
      <c r="BP1140" s="399"/>
      <c r="BQ1140" s="400"/>
      <c r="BR1140" s="401"/>
      <c r="BS1140" s="399">
        <v>0</v>
      </c>
      <c r="BT1140" s="394"/>
      <c r="BU1140" s="417"/>
      <c r="BV1140" s="399"/>
      <c r="BW1140" s="393"/>
      <c r="BX1140" s="392"/>
      <c r="BY1140" s="393"/>
      <c r="BZ1140" s="393"/>
      <c r="CA1140" s="441"/>
      <c r="CB1140" s="400"/>
      <c r="CC1140" s="398"/>
      <c r="CD1140" s="398"/>
      <c r="CE1140" s="398"/>
      <c r="CF1140" s="398"/>
      <c r="CG1140" s="398"/>
      <c r="CH1140" s="398"/>
      <c r="CI1140" s="398"/>
      <c r="CJ1140" s="398"/>
      <c r="CK1140" s="398"/>
      <c r="CL1140" s="398"/>
      <c r="CM1140" s="398"/>
      <c r="CN1140" s="398"/>
      <c r="CO1140" s="398"/>
      <c r="CP1140" s="398"/>
      <c r="CQ1140" s="398"/>
      <c r="CR1140" s="398"/>
      <c r="CS1140" s="398"/>
      <c r="CT1140" s="398"/>
      <c r="CU1140" s="398"/>
      <c r="CV1140" s="398"/>
      <c r="CW1140" s="398"/>
      <c r="CX1140" s="398"/>
      <c r="CY1140" s="398"/>
      <c r="CZ1140" s="398"/>
      <c r="DA1140" s="398"/>
      <c r="DB1140" s="398"/>
      <c r="DC1140" s="398"/>
      <c r="DD1140" s="398"/>
      <c r="DE1140" s="393"/>
      <c r="DF1140" s="393"/>
      <c r="DG1140" s="393"/>
      <c r="DH1140" s="393"/>
      <c r="DI1140" s="393"/>
      <c r="DJ1140" s="393"/>
      <c r="DK1140" s="896" t="s">
        <v>9722</v>
      </c>
    </row>
    <row r="1141" spans="1:115" ht="25.5" x14ac:dyDescent="0.2">
      <c r="A1141" s="295">
        <v>1137</v>
      </c>
      <c r="B1141" s="390" t="s">
        <v>2829</v>
      </c>
      <c r="C1141" s="390"/>
      <c r="D1141" s="391" t="s">
        <v>4954</v>
      </c>
      <c r="E1141" s="704" t="s">
        <v>1482</v>
      </c>
      <c r="F1141" s="393" t="s">
        <v>1340</v>
      </c>
      <c r="G1141" s="393" t="s">
        <v>1359</v>
      </c>
      <c r="H1141" s="393" t="s">
        <v>1002</v>
      </c>
      <c r="I1141" s="392"/>
      <c r="J1141" s="392"/>
      <c r="K1141" s="392" t="s">
        <v>1002</v>
      </c>
      <c r="L1141" s="392" t="s">
        <v>1481</v>
      </c>
      <c r="M1141" s="392"/>
      <c r="N1141" s="393" t="s">
        <v>44</v>
      </c>
      <c r="O1141" s="393" t="s">
        <v>51</v>
      </c>
      <c r="P1141" s="393" t="s">
        <v>51</v>
      </c>
      <c r="Q1141" s="392" t="s">
        <v>976</v>
      </c>
      <c r="R1141" s="392" t="s">
        <v>3447</v>
      </c>
      <c r="S1141" s="392" t="s">
        <v>977</v>
      </c>
      <c r="T1141" s="394">
        <v>1</v>
      </c>
      <c r="U1141" s="395">
        <v>43.646000000000001</v>
      </c>
      <c r="V1141" s="395"/>
      <c r="W1141" s="453"/>
      <c r="X1141" s="394"/>
      <c r="Y1141" s="394">
        <v>7</v>
      </c>
      <c r="Z1141" s="394">
        <v>21</v>
      </c>
      <c r="AA1141" s="395">
        <v>6.5</v>
      </c>
      <c r="AB1141" s="452">
        <v>41275</v>
      </c>
      <c r="AC1141" s="398">
        <v>0</v>
      </c>
      <c r="AD1141" s="398">
        <v>349.28757808219177</v>
      </c>
      <c r="AE1141" s="393" t="s">
        <v>54</v>
      </c>
      <c r="AF1141" s="417"/>
      <c r="AG1141" s="417"/>
      <c r="AH1141" s="417"/>
      <c r="AI1141" s="394"/>
      <c r="AJ1141" s="453"/>
      <c r="AK1141" s="453"/>
      <c r="AL1141" s="393"/>
      <c r="AM1141" s="393"/>
      <c r="AN1141" s="417"/>
      <c r="AO1141" s="392"/>
      <c r="AP1141" s="392" t="s">
        <v>55</v>
      </c>
      <c r="AQ1141" s="392"/>
      <c r="AR1141" s="392" t="s">
        <v>1483</v>
      </c>
      <c r="AS1141" s="479">
        <v>40953</v>
      </c>
      <c r="AT1141" s="453"/>
      <c r="AU1141" s="453"/>
      <c r="AV1141" s="453"/>
      <c r="AW1141" s="453"/>
      <c r="AX1141" s="453"/>
      <c r="AY1141" s="453"/>
      <c r="AZ1141" s="452">
        <v>41270</v>
      </c>
      <c r="BA1141" s="393"/>
      <c r="BB1141" s="393"/>
      <c r="BC1141" s="393" t="b">
        <v>0</v>
      </c>
      <c r="BD1141" s="393"/>
      <c r="BE1141" s="392"/>
      <c r="BF1141" s="394">
        <v>4</v>
      </c>
      <c r="BG1141" s="394">
        <v>1</v>
      </c>
      <c r="BH1141" s="394">
        <v>8</v>
      </c>
      <c r="BI1141" s="394">
        <v>9</v>
      </c>
      <c r="BJ1141" s="394"/>
      <c r="BK1141" s="394"/>
      <c r="BL1141" s="444" t="s">
        <v>6982</v>
      </c>
      <c r="BM1141" s="392"/>
      <c r="BN1141" s="393"/>
      <c r="BO1141" s="393"/>
      <c r="BP1141" s="399"/>
      <c r="BQ1141" s="400"/>
      <c r="BR1141" s="401"/>
      <c r="BS1141" s="399"/>
      <c r="BT1141" s="394"/>
      <c r="BU1141" s="417"/>
      <c r="BV1141" s="399"/>
      <c r="BW1141" s="393" t="s">
        <v>3117</v>
      </c>
      <c r="BX1141" s="392" t="s">
        <v>4364</v>
      </c>
      <c r="BY1141" s="393" t="s">
        <v>7224</v>
      </c>
      <c r="BZ1141" s="393"/>
      <c r="CA1141" s="441"/>
      <c r="CB1141" s="400"/>
      <c r="CC1141" s="398"/>
      <c r="CD1141" s="398"/>
      <c r="CE1141" s="398"/>
      <c r="CF1141" s="398"/>
      <c r="CG1141" s="398"/>
      <c r="CH1141" s="398"/>
      <c r="CI1141" s="398">
        <v>18.187999999999999</v>
      </c>
      <c r="CJ1141" s="398">
        <v>40.99</v>
      </c>
      <c r="CK1141" s="398">
        <v>48.317999999999998</v>
      </c>
      <c r="CL1141" s="398">
        <v>50.137999999999998</v>
      </c>
      <c r="CM1141" s="398">
        <v>50.055</v>
      </c>
      <c r="CN1141" s="398">
        <v>48.991999999999997</v>
      </c>
      <c r="CO1141" s="398">
        <v>48.838999999999999</v>
      </c>
      <c r="CP1141" s="398"/>
      <c r="CQ1141" s="398"/>
      <c r="CR1141" s="398"/>
      <c r="CS1141" s="398"/>
      <c r="CT1141" s="398"/>
      <c r="CU1141" s="398"/>
      <c r="CV1141" s="398"/>
      <c r="CW1141" s="398"/>
      <c r="CX1141" s="398"/>
      <c r="CY1141" s="398"/>
      <c r="CZ1141" s="398"/>
      <c r="DA1141" s="398"/>
      <c r="DB1141" s="398"/>
      <c r="DC1141" s="398"/>
      <c r="DD1141" s="398"/>
      <c r="DE1141" s="393"/>
      <c r="DF1141" s="393"/>
      <c r="DG1141" s="393"/>
      <c r="DH1141" s="393"/>
      <c r="DI1141" s="393"/>
      <c r="DJ1141" s="393"/>
      <c r="DK1141" s="897"/>
    </row>
    <row r="1142" spans="1:115" ht="25.5" x14ac:dyDescent="0.2">
      <c r="A1142" s="295">
        <v>1138</v>
      </c>
      <c r="B1142" s="390" t="s">
        <v>1458</v>
      </c>
      <c r="C1142" s="424" t="s">
        <v>7658</v>
      </c>
      <c r="D1142" s="391" t="s">
        <v>5167</v>
      </c>
      <c r="E1142" s="704" t="s">
        <v>920</v>
      </c>
      <c r="F1142" s="393" t="s">
        <v>1352</v>
      </c>
      <c r="G1142" s="393" t="s">
        <v>1671</v>
      </c>
      <c r="H1142" s="393" t="s">
        <v>107</v>
      </c>
      <c r="I1142" s="392"/>
      <c r="J1142" s="392" t="s">
        <v>107</v>
      </c>
      <c r="K1142" s="392"/>
      <c r="L1142" s="392" t="s">
        <v>896</v>
      </c>
      <c r="M1142" s="392" t="s">
        <v>3448</v>
      </c>
      <c r="N1142" s="393" t="s">
        <v>44</v>
      </c>
      <c r="O1142" s="393" t="s">
        <v>827</v>
      </c>
      <c r="P1142" s="393" t="s">
        <v>827</v>
      </c>
      <c r="Q1142" s="392" t="s">
        <v>836</v>
      </c>
      <c r="R1142" s="392"/>
      <c r="S1142" s="428" t="s">
        <v>871</v>
      </c>
      <c r="T1142" s="394">
        <v>2</v>
      </c>
      <c r="U1142" s="395">
        <v>6.6270000000000007</v>
      </c>
      <c r="V1142" s="395"/>
      <c r="W1142" s="452">
        <v>40848</v>
      </c>
      <c r="X1142" s="394">
        <v>28</v>
      </c>
      <c r="Y1142" s="394"/>
      <c r="Z1142" s="394"/>
      <c r="AA1142" s="395"/>
      <c r="AB1142" s="453"/>
      <c r="AC1142" s="398">
        <v>0</v>
      </c>
      <c r="AD1142" s="398">
        <v>33.068276712328768</v>
      </c>
      <c r="AE1142" s="393" t="s">
        <v>111</v>
      </c>
      <c r="AF1142" s="417"/>
      <c r="AG1142" s="417"/>
      <c r="AH1142" s="417">
        <v>0</v>
      </c>
      <c r="AI1142" s="394"/>
      <c r="AJ1142" s="453"/>
      <c r="AK1142" s="453"/>
      <c r="AL1142" s="393"/>
      <c r="AM1142" s="393"/>
      <c r="AN1142" s="417"/>
      <c r="AO1142" s="392"/>
      <c r="AP1142" s="392" t="s">
        <v>55</v>
      </c>
      <c r="AQ1142" s="392"/>
      <c r="AR1142" s="392" t="s">
        <v>112</v>
      </c>
      <c r="AS1142" s="479">
        <v>40954</v>
      </c>
      <c r="AT1142" s="453"/>
      <c r="AU1142" s="453" t="s">
        <v>919</v>
      </c>
      <c r="AV1142" s="452">
        <v>41095</v>
      </c>
      <c r="AW1142" s="452">
        <v>41270</v>
      </c>
      <c r="AX1142" s="452">
        <v>41390</v>
      </c>
      <c r="AY1142" s="452">
        <v>41270</v>
      </c>
      <c r="AZ1142" s="453"/>
      <c r="BA1142" s="393"/>
      <c r="BB1142" s="393" t="s">
        <v>3147</v>
      </c>
      <c r="BC1142" s="393" t="b">
        <v>0</v>
      </c>
      <c r="BD1142" s="393" t="s">
        <v>3147</v>
      </c>
      <c r="BE1142" s="392"/>
      <c r="BF1142" s="394">
        <v>1</v>
      </c>
      <c r="BG1142" s="394">
        <v>12</v>
      </c>
      <c r="BH1142" s="394"/>
      <c r="BI1142" s="394"/>
      <c r="BJ1142" s="394"/>
      <c r="BK1142" s="394"/>
      <c r="BL1142" s="444"/>
      <c r="BM1142" s="392"/>
      <c r="BN1142" s="393"/>
      <c r="BO1142" s="393"/>
      <c r="BP1142" s="399"/>
      <c r="BQ1142" s="400"/>
      <c r="BR1142" s="401"/>
      <c r="BS1142" s="399">
        <v>7.2859999999999996</v>
      </c>
      <c r="BT1142" s="394"/>
      <c r="BU1142" s="417"/>
      <c r="BV1142" s="399"/>
      <c r="BW1142" s="393"/>
      <c r="BX1142" s="392"/>
      <c r="BY1142" s="393" t="s">
        <v>7224</v>
      </c>
      <c r="BZ1142" s="393"/>
      <c r="CA1142" s="441"/>
      <c r="CB1142" s="400"/>
      <c r="CC1142" s="398"/>
      <c r="CD1142" s="398"/>
      <c r="CE1142" s="398"/>
      <c r="CF1142" s="398"/>
      <c r="CG1142" s="398"/>
      <c r="CH1142" s="398"/>
      <c r="CI1142" s="398"/>
      <c r="CJ1142" s="398"/>
      <c r="CK1142" s="398"/>
      <c r="CL1142" s="398"/>
      <c r="CM1142" s="398"/>
      <c r="CN1142" s="398"/>
      <c r="CO1142" s="398"/>
      <c r="CP1142" s="398"/>
      <c r="CQ1142" s="398"/>
      <c r="CR1142" s="398"/>
      <c r="CS1142" s="398"/>
      <c r="CT1142" s="398"/>
      <c r="CU1142" s="398"/>
      <c r="CV1142" s="398"/>
      <c r="CW1142" s="398"/>
      <c r="CX1142" s="398"/>
      <c r="CY1142" s="398"/>
      <c r="CZ1142" s="398"/>
      <c r="DA1142" s="398"/>
      <c r="DB1142" s="398"/>
      <c r="DC1142" s="398"/>
      <c r="DD1142" s="398"/>
      <c r="DE1142" s="393"/>
      <c r="DF1142" s="393"/>
      <c r="DG1142" s="393"/>
      <c r="DH1142" s="393"/>
      <c r="DI1142" s="393"/>
      <c r="DJ1142" s="393"/>
      <c r="DK1142" s="896" t="s">
        <v>9732</v>
      </c>
    </row>
    <row r="1143" spans="1:115" ht="25.5" x14ac:dyDescent="0.2">
      <c r="A1143" s="295">
        <v>1139</v>
      </c>
      <c r="B1143" s="390" t="s">
        <v>2830</v>
      </c>
      <c r="C1143" s="390"/>
      <c r="D1143" s="391" t="s">
        <v>4955</v>
      </c>
      <c r="E1143" s="704" t="s">
        <v>4956</v>
      </c>
      <c r="F1143" s="393" t="s">
        <v>1352</v>
      </c>
      <c r="G1143" s="393" t="s">
        <v>1671</v>
      </c>
      <c r="H1143" s="393" t="s">
        <v>107</v>
      </c>
      <c r="I1143" s="392"/>
      <c r="J1143" s="392"/>
      <c r="K1143" s="392" t="s">
        <v>159</v>
      </c>
      <c r="L1143" s="392" t="s">
        <v>896</v>
      </c>
      <c r="M1143" s="392"/>
      <c r="N1143" s="393" t="s">
        <v>44</v>
      </c>
      <c r="O1143" s="393" t="s">
        <v>827</v>
      </c>
      <c r="P1143" s="393" t="s">
        <v>827</v>
      </c>
      <c r="Q1143" s="392" t="s">
        <v>836</v>
      </c>
      <c r="R1143" s="392" t="s">
        <v>3449</v>
      </c>
      <c r="S1143" s="428" t="s">
        <v>871</v>
      </c>
      <c r="T1143" s="394">
        <v>1</v>
      </c>
      <c r="U1143" s="395">
        <v>1.3260000000000001</v>
      </c>
      <c r="V1143" s="395"/>
      <c r="W1143" s="453"/>
      <c r="X1143" s="394"/>
      <c r="Y1143" s="394">
        <v>7</v>
      </c>
      <c r="Z1143" s="394">
        <v>20</v>
      </c>
      <c r="AA1143" s="395">
        <v>0</v>
      </c>
      <c r="AB1143" s="452">
        <v>41270</v>
      </c>
      <c r="AC1143" s="398">
        <v>0</v>
      </c>
      <c r="AD1143" s="398">
        <v>10.629797260273973</v>
      </c>
      <c r="AE1143" s="393" t="s">
        <v>111</v>
      </c>
      <c r="AF1143" s="417"/>
      <c r="AG1143" s="417"/>
      <c r="AH1143" s="417"/>
      <c r="AI1143" s="394"/>
      <c r="AJ1143" s="453"/>
      <c r="AK1143" s="453"/>
      <c r="AL1143" s="393"/>
      <c r="AM1143" s="393"/>
      <c r="AN1143" s="417"/>
      <c r="AO1143" s="392"/>
      <c r="AP1143" s="392" t="s">
        <v>55</v>
      </c>
      <c r="AQ1143" s="392"/>
      <c r="AR1143" s="392" t="s">
        <v>112</v>
      </c>
      <c r="AS1143" s="479">
        <v>40954</v>
      </c>
      <c r="AT1143" s="453"/>
      <c r="AU1143" s="453" t="s">
        <v>2714</v>
      </c>
      <c r="AV1143" s="453"/>
      <c r="AW1143" s="453"/>
      <c r="AX1143" s="453"/>
      <c r="AY1143" s="453"/>
      <c r="AZ1143" s="452">
        <v>41270</v>
      </c>
      <c r="BA1143" s="393"/>
      <c r="BB1143" s="393"/>
      <c r="BC1143" s="393" t="b">
        <v>0</v>
      </c>
      <c r="BD1143" s="393"/>
      <c r="BE1143" s="392"/>
      <c r="BF1143" s="394">
        <v>1</v>
      </c>
      <c r="BG1143" s="394">
        <v>12</v>
      </c>
      <c r="BH1143" s="394"/>
      <c r="BI1143" s="394"/>
      <c r="BJ1143" s="394"/>
      <c r="BK1143" s="394"/>
      <c r="BL1143" s="444" t="s">
        <v>6981</v>
      </c>
      <c r="BM1143" s="392"/>
      <c r="BN1143" s="393"/>
      <c r="BO1143" s="393"/>
      <c r="BP1143" s="399"/>
      <c r="BQ1143" s="400"/>
      <c r="BR1143" s="401"/>
      <c r="BS1143" s="399">
        <v>1.46</v>
      </c>
      <c r="BT1143" s="394">
        <v>1953</v>
      </c>
      <c r="BU1143" s="417">
        <v>0.67889999999999995</v>
      </c>
      <c r="BV1143" s="399"/>
      <c r="BW1143" s="393" t="s">
        <v>3117</v>
      </c>
      <c r="BX1143" s="392" t="s">
        <v>1520</v>
      </c>
      <c r="BY1143" s="393" t="s">
        <v>7224</v>
      </c>
      <c r="BZ1143" s="393"/>
      <c r="CA1143" s="441"/>
      <c r="CB1143" s="400"/>
      <c r="CC1143" s="398"/>
      <c r="CD1143" s="398"/>
      <c r="CE1143" s="398"/>
      <c r="CF1143" s="398"/>
      <c r="CG1143" s="398"/>
      <c r="CH1143" s="398"/>
      <c r="CI1143" s="398">
        <v>0.84499999999999997</v>
      </c>
      <c r="CJ1143" s="398">
        <v>1.6890000000000001</v>
      </c>
      <c r="CK1143" s="398">
        <v>1.6890000000000001</v>
      </c>
      <c r="CL1143" s="398">
        <v>1.6890000000000001</v>
      </c>
      <c r="CM1143" s="398">
        <v>1.6890000000000001</v>
      </c>
      <c r="CN1143" s="398">
        <v>1.6890000000000001</v>
      </c>
      <c r="CO1143" s="398">
        <v>1.6890000000000001</v>
      </c>
      <c r="CP1143" s="398">
        <v>0.84399999999999997</v>
      </c>
      <c r="CQ1143" s="398"/>
      <c r="CR1143" s="398"/>
      <c r="CS1143" s="398"/>
      <c r="CT1143" s="398"/>
      <c r="CU1143" s="398"/>
      <c r="CV1143" s="398"/>
      <c r="CW1143" s="398"/>
      <c r="CX1143" s="398"/>
      <c r="CY1143" s="398"/>
      <c r="CZ1143" s="398"/>
      <c r="DA1143" s="398"/>
      <c r="DB1143" s="398"/>
      <c r="DC1143" s="398"/>
      <c r="DD1143" s="398"/>
      <c r="DE1143" s="393"/>
      <c r="DF1143" s="393"/>
      <c r="DG1143" s="393"/>
      <c r="DH1143" s="393"/>
      <c r="DI1143" s="393"/>
      <c r="DJ1143" s="393"/>
      <c r="DK1143" s="897"/>
    </row>
    <row r="1144" spans="1:115" ht="25.5" x14ac:dyDescent="0.2">
      <c r="A1144" s="295">
        <v>1140</v>
      </c>
      <c r="B1144" s="390" t="s">
        <v>8351</v>
      </c>
      <c r="C1144" s="390"/>
      <c r="D1144" s="391" t="s">
        <v>8352</v>
      </c>
      <c r="E1144" s="705" t="s">
        <v>8353</v>
      </c>
      <c r="F1144" s="393" t="s">
        <v>1352</v>
      </c>
      <c r="G1144" s="393" t="s">
        <v>1671</v>
      </c>
      <c r="H1144" s="393" t="s">
        <v>107</v>
      </c>
      <c r="I1144" s="392"/>
      <c r="J1144" s="392"/>
      <c r="K1144" s="392" t="s">
        <v>159</v>
      </c>
      <c r="L1144" s="428" t="s">
        <v>8354</v>
      </c>
      <c r="M1144" s="392"/>
      <c r="N1144" s="475" t="s">
        <v>44</v>
      </c>
      <c r="O1144" s="393" t="s">
        <v>827</v>
      </c>
      <c r="P1144" s="393" t="s">
        <v>827</v>
      </c>
      <c r="Q1144" s="392" t="s">
        <v>836</v>
      </c>
      <c r="R1144" s="428" t="s">
        <v>8355</v>
      </c>
      <c r="S1144" s="428" t="s">
        <v>871</v>
      </c>
      <c r="T1144" s="394">
        <v>1</v>
      </c>
      <c r="U1144" s="395">
        <v>5.3010000000000002</v>
      </c>
      <c r="V1144" s="395"/>
      <c r="W1144" s="453"/>
      <c r="X1144" s="394"/>
      <c r="Y1144" s="394">
        <v>7</v>
      </c>
      <c r="Z1144" s="394">
        <v>20</v>
      </c>
      <c r="AA1144" s="395">
        <v>0</v>
      </c>
      <c r="AB1144" s="452">
        <v>42651</v>
      </c>
      <c r="AC1144" s="398">
        <v>0</v>
      </c>
      <c r="AD1144" s="398">
        <v>22.438479452054796</v>
      </c>
      <c r="AE1144" s="475" t="s">
        <v>111</v>
      </c>
      <c r="AF1144" s="417"/>
      <c r="AG1144" s="417"/>
      <c r="AH1144" s="417"/>
      <c r="AI1144" s="394"/>
      <c r="AJ1144" s="453"/>
      <c r="AK1144" s="453"/>
      <c r="AL1144" s="393"/>
      <c r="AM1144" s="393"/>
      <c r="AN1144" s="417"/>
      <c r="AO1144" s="392"/>
      <c r="AP1144" s="392"/>
      <c r="AQ1144" s="392"/>
      <c r="AR1144" s="428" t="s">
        <v>112</v>
      </c>
      <c r="AS1144" s="479">
        <v>40954</v>
      </c>
      <c r="AT1144" s="453"/>
      <c r="AU1144" s="453"/>
      <c r="AV1144" s="453"/>
      <c r="AW1144" s="453"/>
      <c r="AX1144" s="453"/>
      <c r="AY1144" s="453"/>
      <c r="AZ1144" s="452">
        <v>42651</v>
      </c>
      <c r="BA1144" s="393"/>
      <c r="BB1144" s="393"/>
      <c r="BC1144" s="393" t="b">
        <v>0</v>
      </c>
      <c r="BD1144" s="393"/>
      <c r="BE1144" s="392"/>
      <c r="BF1144" s="394">
        <v>1</v>
      </c>
      <c r="BG1144" s="394">
        <v>12</v>
      </c>
      <c r="BH1144" s="394"/>
      <c r="BI1144" s="394"/>
      <c r="BJ1144" s="394"/>
      <c r="BK1144" s="394"/>
      <c r="BL1144" s="444" t="s">
        <v>6981</v>
      </c>
      <c r="BM1144" s="392"/>
      <c r="BN1144" s="393"/>
      <c r="BO1144" s="393"/>
      <c r="BP1144" s="399"/>
      <c r="BQ1144" s="400"/>
      <c r="BR1144" s="401"/>
      <c r="BS1144" s="399">
        <v>5.8259999999999996</v>
      </c>
      <c r="BT1144" s="394"/>
      <c r="BU1144" s="417">
        <v>0.67889999999999995</v>
      </c>
      <c r="BV1144" s="399"/>
      <c r="BW1144" s="393" t="s">
        <v>3117</v>
      </c>
      <c r="BX1144" s="392" t="s">
        <v>1520</v>
      </c>
      <c r="BY1144" s="393" t="s">
        <v>7224</v>
      </c>
      <c r="BZ1144" s="393"/>
      <c r="CA1144" s="441"/>
      <c r="CB1144" s="400"/>
      <c r="CC1144" s="398"/>
      <c r="CD1144" s="398"/>
      <c r="CE1144" s="398"/>
      <c r="CF1144" s="398"/>
      <c r="CG1144" s="398"/>
      <c r="CH1144" s="398"/>
      <c r="CI1144" s="398"/>
      <c r="CJ1144" s="398"/>
      <c r="CK1144" s="398"/>
      <c r="CL1144" s="398">
        <v>5.3010000000000002</v>
      </c>
      <c r="CM1144" s="398">
        <v>5.3010000000000002</v>
      </c>
      <c r="CN1144" s="398">
        <v>5.3010000000000002</v>
      </c>
      <c r="CO1144" s="398">
        <v>5.3010000000000002</v>
      </c>
      <c r="CP1144" s="398">
        <v>5.3010000000000002</v>
      </c>
      <c r="CQ1144" s="398">
        <v>5.3010000000000002</v>
      </c>
      <c r="CR1144" s="398">
        <v>5.3010000000000002</v>
      </c>
      <c r="CS1144" s="398"/>
      <c r="CT1144" s="398"/>
      <c r="CU1144" s="398"/>
      <c r="CV1144" s="398"/>
      <c r="CW1144" s="398"/>
      <c r="CX1144" s="398"/>
      <c r="CY1144" s="398"/>
      <c r="CZ1144" s="398"/>
      <c r="DA1144" s="398"/>
      <c r="DB1144" s="398"/>
      <c r="DC1144" s="398"/>
      <c r="DD1144" s="398"/>
      <c r="DE1144" s="393"/>
      <c r="DF1144" s="393"/>
      <c r="DG1144" s="393"/>
      <c r="DH1144" s="393"/>
      <c r="DI1144" s="393"/>
      <c r="DJ1144" s="393"/>
      <c r="DK1144" s="897"/>
    </row>
    <row r="1145" spans="1:115" ht="38.25" x14ac:dyDescent="0.2">
      <c r="A1145" s="295">
        <v>1141</v>
      </c>
      <c r="B1145" s="390" t="s">
        <v>1459</v>
      </c>
      <c r="C1145" s="424" t="s">
        <v>7659</v>
      </c>
      <c r="D1145" s="391"/>
      <c r="E1145" s="706" t="s">
        <v>1485</v>
      </c>
      <c r="F1145" s="390" t="s">
        <v>1352</v>
      </c>
      <c r="G1145" s="390" t="s">
        <v>1672</v>
      </c>
      <c r="H1145" s="390" t="s">
        <v>78</v>
      </c>
      <c r="I1145" s="402"/>
      <c r="J1145" s="402" t="s">
        <v>78</v>
      </c>
      <c r="K1145" s="402"/>
      <c r="L1145" s="402" t="s">
        <v>1484</v>
      </c>
      <c r="M1145" s="402" t="s">
        <v>3450</v>
      </c>
      <c r="N1145" s="390" t="s">
        <v>33</v>
      </c>
      <c r="O1145" s="390" t="s">
        <v>45</v>
      </c>
      <c r="P1145" s="390" t="s">
        <v>45</v>
      </c>
      <c r="Q1145" s="402" t="s">
        <v>1486</v>
      </c>
      <c r="R1145" s="402"/>
      <c r="S1145" s="402" t="s">
        <v>686</v>
      </c>
      <c r="T1145" s="411">
        <v>1</v>
      </c>
      <c r="U1145" s="412">
        <v>117.226</v>
      </c>
      <c r="V1145" s="412"/>
      <c r="W1145" s="457">
        <v>40954</v>
      </c>
      <c r="X1145" s="411">
        <v>28</v>
      </c>
      <c r="Y1145" s="411"/>
      <c r="Z1145" s="411"/>
      <c r="AA1145" s="412"/>
      <c r="AB1145" s="454"/>
      <c r="AC1145" s="413">
        <v>0</v>
      </c>
      <c r="AD1145" s="413">
        <v>1172.26</v>
      </c>
      <c r="AE1145" s="390" t="s">
        <v>82</v>
      </c>
      <c r="AF1145" s="419"/>
      <c r="AG1145" s="419"/>
      <c r="AH1145" s="419">
        <v>0</v>
      </c>
      <c r="AI1145" s="411"/>
      <c r="AJ1145" s="454"/>
      <c r="AK1145" s="454"/>
      <c r="AL1145" s="390"/>
      <c r="AM1145" s="390"/>
      <c r="AN1145" s="419"/>
      <c r="AO1145" s="402"/>
      <c r="AP1145" s="402" t="s">
        <v>7097</v>
      </c>
      <c r="AQ1145" s="402"/>
      <c r="AR1145" s="402" t="s">
        <v>1488</v>
      </c>
      <c r="AS1145" s="481">
        <v>40956</v>
      </c>
      <c r="AT1145" s="454"/>
      <c r="AU1145" s="454"/>
      <c r="AV1145" s="454"/>
      <c r="AW1145" s="454"/>
      <c r="AX1145" s="454"/>
      <c r="AY1145" s="454"/>
      <c r="AZ1145" s="454"/>
      <c r="BA1145" s="390"/>
      <c r="BB1145" s="390" t="s">
        <v>3147</v>
      </c>
      <c r="BC1145" s="390" t="b">
        <v>0</v>
      </c>
      <c r="BD1145" s="390" t="s">
        <v>3147</v>
      </c>
      <c r="BE1145" s="402"/>
      <c r="BF1145" s="411">
        <v>2</v>
      </c>
      <c r="BG1145" s="411">
        <v>1</v>
      </c>
      <c r="BH1145" s="411">
        <v>8</v>
      </c>
      <c r="BI1145" s="411">
        <v>5</v>
      </c>
      <c r="BJ1145" s="411">
        <v>9</v>
      </c>
      <c r="BK1145" s="411">
        <v>11</v>
      </c>
      <c r="BL1145" s="445"/>
      <c r="BM1145" s="402"/>
      <c r="BN1145" s="390"/>
      <c r="BO1145" s="390"/>
      <c r="BP1145" s="414"/>
      <c r="BQ1145" s="415"/>
      <c r="BR1145" s="416"/>
      <c r="BS1145" s="414">
        <v>22.66</v>
      </c>
      <c r="BT1145" s="411"/>
      <c r="BU1145" s="419"/>
      <c r="BV1145" s="414"/>
      <c r="BW1145" s="390"/>
      <c r="BX1145" s="402"/>
      <c r="BY1145" s="390"/>
      <c r="BZ1145" s="390"/>
      <c r="CA1145" s="442"/>
      <c r="CB1145" s="415"/>
      <c r="CC1145" s="413"/>
      <c r="CD1145" s="413"/>
      <c r="CE1145" s="413"/>
      <c r="CF1145" s="413"/>
      <c r="CG1145" s="413"/>
      <c r="CH1145" s="413"/>
      <c r="CI1145" s="413"/>
      <c r="CJ1145" s="413"/>
      <c r="CK1145" s="413"/>
      <c r="CL1145" s="413"/>
      <c r="CM1145" s="413"/>
      <c r="CN1145" s="413"/>
      <c r="CO1145" s="413"/>
      <c r="CP1145" s="413"/>
      <c r="CQ1145" s="413"/>
      <c r="CR1145" s="413"/>
      <c r="CS1145" s="413"/>
      <c r="CT1145" s="413"/>
      <c r="CU1145" s="413"/>
      <c r="CV1145" s="413"/>
      <c r="CW1145" s="413"/>
      <c r="CX1145" s="413"/>
      <c r="CY1145" s="413"/>
      <c r="CZ1145" s="413"/>
      <c r="DA1145" s="413"/>
      <c r="DB1145" s="413"/>
      <c r="DC1145" s="413"/>
      <c r="DD1145" s="413"/>
      <c r="DE1145" s="390"/>
      <c r="DF1145" s="390"/>
      <c r="DG1145" s="390"/>
      <c r="DH1145" s="390"/>
      <c r="DI1145" s="390"/>
      <c r="DJ1145" s="390"/>
      <c r="DK1145" s="897"/>
    </row>
    <row r="1146" spans="1:115" ht="25.5" x14ac:dyDescent="0.2">
      <c r="A1146" s="295">
        <v>1142</v>
      </c>
      <c r="B1146" s="390" t="s">
        <v>2831</v>
      </c>
      <c r="C1146" s="390"/>
      <c r="D1146" s="391"/>
      <c r="E1146" s="706" t="s">
        <v>1487</v>
      </c>
      <c r="F1146" s="390" t="s">
        <v>1352</v>
      </c>
      <c r="G1146" s="390" t="s">
        <v>1672</v>
      </c>
      <c r="H1146" s="390" t="s">
        <v>78</v>
      </c>
      <c r="I1146" s="402"/>
      <c r="J1146" s="402"/>
      <c r="K1146" s="402" t="s">
        <v>2228</v>
      </c>
      <c r="L1146" s="402" t="s">
        <v>1484</v>
      </c>
      <c r="M1146" s="402"/>
      <c r="N1146" s="390" t="s">
        <v>33</v>
      </c>
      <c r="O1146" s="390" t="s">
        <v>45</v>
      </c>
      <c r="P1146" s="390" t="s">
        <v>45</v>
      </c>
      <c r="Q1146" s="402" t="s">
        <v>1212</v>
      </c>
      <c r="R1146" s="402" t="s">
        <v>3451</v>
      </c>
      <c r="S1146" s="402" t="s">
        <v>686</v>
      </c>
      <c r="T1146" s="411">
        <v>1</v>
      </c>
      <c r="U1146" s="412">
        <v>117.226</v>
      </c>
      <c r="V1146" s="412"/>
      <c r="W1146" s="454"/>
      <c r="X1146" s="411"/>
      <c r="Y1146" s="411">
        <v>10</v>
      </c>
      <c r="Z1146" s="411">
        <v>15</v>
      </c>
      <c r="AA1146" s="412">
        <v>0</v>
      </c>
      <c r="AB1146" s="457">
        <v>41730</v>
      </c>
      <c r="AC1146" s="413">
        <v>0</v>
      </c>
      <c r="AD1146" s="413">
        <v>1172.26</v>
      </c>
      <c r="AE1146" s="390" t="s">
        <v>82</v>
      </c>
      <c r="AF1146" s="419"/>
      <c r="AG1146" s="419"/>
      <c r="AH1146" s="419"/>
      <c r="AI1146" s="411"/>
      <c r="AJ1146" s="454"/>
      <c r="AK1146" s="454"/>
      <c r="AL1146" s="390"/>
      <c r="AM1146" s="390"/>
      <c r="AN1146" s="419"/>
      <c r="AO1146" s="402"/>
      <c r="AP1146" s="402" t="s">
        <v>7097</v>
      </c>
      <c r="AQ1146" s="402"/>
      <c r="AR1146" s="402" t="s">
        <v>1488</v>
      </c>
      <c r="AS1146" s="481">
        <v>40956</v>
      </c>
      <c r="AT1146" s="454"/>
      <c r="AU1146" s="454"/>
      <c r="AV1146" s="454"/>
      <c r="AW1146" s="454"/>
      <c r="AX1146" s="454"/>
      <c r="AY1146" s="454"/>
      <c r="AZ1146" s="454"/>
      <c r="BA1146" s="390"/>
      <c r="BB1146" s="390"/>
      <c r="BC1146" s="390" t="b">
        <v>0</v>
      </c>
      <c r="BD1146" s="390"/>
      <c r="BE1146" s="402"/>
      <c r="BF1146" s="411">
        <v>2</v>
      </c>
      <c r="BG1146" s="411">
        <v>1</v>
      </c>
      <c r="BH1146" s="411">
        <v>8</v>
      </c>
      <c r="BI1146" s="411">
        <v>5</v>
      </c>
      <c r="BJ1146" s="411">
        <v>9</v>
      </c>
      <c r="BK1146" s="411">
        <v>11</v>
      </c>
      <c r="BL1146" s="445" t="s">
        <v>6985</v>
      </c>
      <c r="BM1146" s="402"/>
      <c r="BN1146" s="390"/>
      <c r="BO1146" s="390"/>
      <c r="BP1146" s="414"/>
      <c r="BQ1146" s="415"/>
      <c r="BR1146" s="416"/>
      <c r="BS1146" s="414">
        <v>22.66</v>
      </c>
      <c r="BT1146" s="411">
        <v>160000</v>
      </c>
      <c r="BU1146" s="419">
        <v>0.71599999999999997</v>
      </c>
      <c r="BV1146" s="414"/>
      <c r="BW1146" s="390" t="s">
        <v>3117</v>
      </c>
      <c r="BX1146" s="402" t="s">
        <v>3177</v>
      </c>
      <c r="BY1146" s="390" t="s">
        <v>7225</v>
      </c>
      <c r="BZ1146" s="390"/>
      <c r="CA1146" s="442" t="s">
        <v>1662</v>
      </c>
      <c r="CB1146" s="415">
        <v>3</v>
      </c>
      <c r="CC1146" s="413"/>
      <c r="CD1146" s="413"/>
      <c r="CE1146" s="413"/>
      <c r="CF1146" s="413"/>
      <c r="CG1146" s="413"/>
      <c r="CH1146" s="413"/>
      <c r="CI1146" s="413"/>
      <c r="CJ1146" s="413">
        <v>117.226</v>
      </c>
      <c r="CK1146" s="413">
        <v>117.226</v>
      </c>
      <c r="CL1146" s="413">
        <v>117.226</v>
      </c>
      <c r="CM1146" s="413">
        <v>117.226</v>
      </c>
      <c r="CN1146" s="413">
        <v>117.226</v>
      </c>
      <c r="CO1146" s="413">
        <v>117.226</v>
      </c>
      <c r="CP1146" s="413">
        <v>117.226</v>
      </c>
      <c r="CQ1146" s="413">
        <v>117.226</v>
      </c>
      <c r="CR1146" s="413">
        <v>117.226</v>
      </c>
      <c r="CS1146" s="413">
        <v>117.226</v>
      </c>
      <c r="CT1146" s="413"/>
      <c r="CU1146" s="413"/>
      <c r="CV1146" s="413"/>
      <c r="CW1146" s="413"/>
      <c r="CX1146" s="413"/>
      <c r="CY1146" s="413"/>
      <c r="CZ1146" s="413"/>
      <c r="DA1146" s="413"/>
      <c r="DB1146" s="413"/>
      <c r="DC1146" s="413"/>
      <c r="DD1146" s="413"/>
      <c r="DE1146" s="390"/>
      <c r="DF1146" s="390"/>
      <c r="DG1146" s="390"/>
      <c r="DH1146" s="390"/>
      <c r="DI1146" s="390"/>
      <c r="DJ1146" s="390"/>
      <c r="DK1146" s="897"/>
    </row>
    <row r="1147" spans="1:115" ht="89.25" x14ac:dyDescent="0.2">
      <c r="A1147" s="295">
        <v>1143</v>
      </c>
      <c r="B1147" s="390" t="s">
        <v>1460</v>
      </c>
      <c r="C1147" s="424" t="s">
        <v>7660</v>
      </c>
      <c r="D1147" s="391"/>
      <c r="E1147" s="707" t="s">
        <v>1489</v>
      </c>
      <c r="F1147" s="404" t="s">
        <v>1352</v>
      </c>
      <c r="G1147" s="404" t="s">
        <v>1671</v>
      </c>
      <c r="H1147" s="404" t="s">
        <v>131</v>
      </c>
      <c r="I1147" s="403"/>
      <c r="J1147" s="403" t="s">
        <v>131</v>
      </c>
      <c r="K1147" s="403"/>
      <c r="L1147" s="403" t="s">
        <v>1490</v>
      </c>
      <c r="M1147" s="403" t="s">
        <v>3452</v>
      </c>
      <c r="N1147" s="404" t="s">
        <v>3142</v>
      </c>
      <c r="O1147" s="404" t="s">
        <v>69</v>
      </c>
      <c r="P1147" s="404" t="s">
        <v>69</v>
      </c>
      <c r="Q1147" s="403" t="s">
        <v>572</v>
      </c>
      <c r="R1147" s="403"/>
      <c r="S1147" s="403" t="s">
        <v>589</v>
      </c>
      <c r="T1147" s="405">
        <v>1</v>
      </c>
      <c r="U1147" s="406">
        <v>9.5630000000000006</v>
      </c>
      <c r="V1147" s="406"/>
      <c r="W1147" s="456">
        <v>40969</v>
      </c>
      <c r="X1147" s="405">
        <v>28</v>
      </c>
      <c r="Y1147" s="405"/>
      <c r="Z1147" s="405"/>
      <c r="AA1147" s="406"/>
      <c r="AB1147" s="455"/>
      <c r="AC1147" s="407">
        <v>0</v>
      </c>
      <c r="AD1147" s="407">
        <v>95.63000000000001</v>
      </c>
      <c r="AE1147" s="404" t="s">
        <v>96</v>
      </c>
      <c r="AF1147" s="418"/>
      <c r="AG1147" s="418"/>
      <c r="AH1147" s="418">
        <v>0</v>
      </c>
      <c r="AI1147" s="405"/>
      <c r="AJ1147" s="455"/>
      <c r="AK1147" s="455"/>
      <c r="AL1147" s="404"/>
      <c r="AM1147" s="404"/>
      <c r="AN1147" s="418"/>
      <c r="AO1147" s="403"/>
      <c r="AP1147" s="403" t="s">
        <v>7098</v>
      </c>
      <c r="AQ1147" s="403"/>
      <c r="AR1147" s="403" t="s">
        <v>3783</v>
      </c>
      <c r="AS1147" s="482">
        <v>40960</v>
      </c>
      <c r="AT1147" s="455"/>
      <c r="AU1147" s="455"/>
      <c r="AV1147" s="455"/>
      <c r="AW1147" s="455"/>
      <c r="AX1147" s="455"/>
      <c r="AY1147" s="455"/>
      <c r="AZ1147" s="455"/>
      <c r="BA1147" s="404"/>
      <c r="BB1147" s="404" t="s">
        <v>3116</v>
      </c>
      <c r="BC1147" s="404" t="b">
        <v>0</v>
      </c>
      <c r="BD1147" s="404" t="s">
        <v>3147</v>
      </c>
      <c r="BE1147" s="403"/>
      <c r="BF1147" s="405">
        <v>1</v>
      </c>
      <c r="BG1147" s="405">
        <v>3</v>
      </c>
      <c r="BH1147" s="405">
        <v>6</v>
      </c>
      <c r="BI1147" s="405">
        <v>8</v>
      </c>
      <c r="BJ1147" s="405">
        <v>5</v>
      </c>
      <c r="BK1147" s="405">
        <v>9</v>
      </c>
      <c r="BL1147" s="446"/>
      <c r="BM1147" s="403"/>
      <c r="BN1147" s="404"/>
      <c r="BO1147" s="404"/>
      <c r="BP1147" s="408"/>
      <c r="BQ1147" s="409"/>
      <c r="BR1147" s="410"/>
      <c r="BS1147" s="408">
        <v>0</v>
      </c>
      <c r="BT1147" s="405"/>
      <c r="BU1147" s="418"/>
      <c r="BV1147" s="408"/>
      <c r="BW1147" s="404"/>
      <c r="BX1147" s="403"/>
      <c r="BY1147" s="404"/>
      <c r="BZ1147" s="404"/>
      <c r="CA1147" s="443"/>
      <c r="CB1147" s="409"/>
      <c r="CC1147" s="407"/>
      <c r="CD1147" s="407"/>
      <c r="CE1147" s="407"/>
      <c r="CF1147" s="407"/>
      <c r="CG1147" s="407"/>
      <c r="CH1147" s="407"/>
      <c r="CI1147" s="407"/>
      <c r="CJ1147" s="407"/>
      <c r="CK1147" s="407"/>
      <c r="CL1147" s="407"/>
      <c r="CM1147" s="407"/>
      <c r="CN1147" s="407"/>
      <c r="CO1147" s="407"/>
      <c r="CP1147" s="407"/>
      <c r="CQ1147" s="407"/>
      <c r="CR1147" s="407"/>
      <c r="CS1147" s="407"/>
      <c r="CT1147" s="407"/>
      <c r="CU1147" s="407"/>
      <c r="CV1147" s="407"/>
      <c r="CW1147" s="407"/>
      <c r="CX1147" s="407"/>
      <c r="CY1147" s="407"/>
      <c r="CZ1147" s="407"/>
      <c r="DA1147" s="407"/>
      <c r="DB1147" s="407"/>
      <c r="DC1147" s="407"/>
      <c r="DD1147" s="407"/>
      <c r="DE1147" s="404"/>
      <c r="DF1147" s="404"/>
      <c r="DG1147" s="404"/>
      <c r="DH1147" s="404"/>
      <c r="DI1147" s="404"/>
      <c r="DJ1147" s="404"/>
      <c r="DK1147" s="897"/>
    </row>
    <row r="1148" spans="1:115" ht="51" x14ac:dyDescent="0.2">
      <c r="A1148" s="295">
        <v>1144</v>
      </c>
      <c r="B1148" s="390" t="s">
        <v>2832</v>
      </c>
      <c r="C1148" s="390"/>
      <c r="D1148" s="391"/>
      <c r="E1148" s="707" t="s">
        <v>1491</v>
      </c>
      <c r="F1148" s="404" t="s">
        <v>1352</v>
      </c>
      <c r="G1148" s="404" t="s">
        <v>1671</v>
      </c>
      <c r="H1148" s="404" t="s">
        <v>131</v>
      </c>
      <c r="I1148" s="403"/>
      <c r="J1148" s="403"/>
      <c r="K1148" s="403" t="s">
        <v>2229</v>
      </c>
      <c r="L1148" s="403" t="s">
        <v>1490</v>
      </c>
      <c r="M1148" s="403"/>
      <c r="N1148" s="404" t="s">
        <v>3142</v>
      </c>
      <c r="O1148" s="404" t="s">
        <v>69</v>
      </c>
      <c r="P1148" s="404" t="s">
        <v>69</v>
      </c>
      <c r="Q1148" s="403" t="s">
        <v>572</v>
      </c>
      <c r="R1148" s="403" t="s">
        <v>3453</v>
      </c>
      <c r="S1148" s="403" t="s">
        <v>589</v>
      </c>
      <c r="T1148" s="405">
        <v>1</v>
      </c>
      <c r="U1148" s="406">
        <v>9.5630000000000006</v>
      </c>
      <c r="V1148" s="406"/>
      <c r="W1148" s="455"/>
      <c r="X1148" s="405"/>
      <c r="Y1148" s="405">
        <v>10</v>
      </c>
      <c r="Z1148" s="405">
        <v>10</v>
      </c>
      <c r="AA1148" s="406">
        <v>0</v>
      </c>
      <c r="AB1148" s="456">
        <v>41640</v>
      </c>
      <c r="AC1148" s="407">
        <v>0</v>
      </c>
      <c r="AD1148" s="407">
        <v>95.63000000000001</v>
      </c>
      <c r="AE1148" s="404" t="s">
        <v>96</v>
      </c>
      <c r="AF1148" s="418"/>
      <c r="AG1148" s="418"/>
      <c r="AH1148" s="418"/>
      <c r="AI1148" s="405"/>
      <c r="AJ1148" s="455"/>
      <c r="AK1148" s="455"/>
      <c r="AL1148" s="404"/>
      <c r="AM1148" s="404"/>
      <c r="AN1148" s="418"/>
      <c r="AO1148" s="403"/>
      <c r="AP1148" s="403" t="s">
        <v>7098</v>
      </c>
      <c r="AQ1148" s="403"/>
      <c r="AR1148" s="403" t="s">
        <v>3783</v>
      </c>
      <c r="AS1148" s="482">
        <v>40960</v>
      </c>
      <c r="AT1148" s="455"/>
      <c r="AU1148" s="455"/>
      <c r="AV1148" s="455"/>
      <c r="AW1148" s="455"/>
      <c r="AX1148" s="455"/>
      <c r="AY1148" s="455"/>
      <c r="AZ1148" s="455"/>
      <c r="BA1148" s="404"/>
      <c r="BB1148" s="404"/>
      <c r="BC1148" s="404" t="b">
        <v>0</v>
      </c>
      <c r="BD1148" s="404"/>
      <c r="BE1148" s="403"/>
      <c r="BF1148" s="405">
        <v>1</v>
      </c>
      <c r="BG1148" s="405">
        <v>3</v>
      </c>
      <c r="BH1148" s="405">
        <v>6</v>
      </c>
      <c r="BI1148" s="405">
        <v>8</v>
      </c>
      <c r="BJ1148" s="405">
        <v>5</v>
      </c>
      <c r="BK1148" s="405">
        <v>9</v>
      </c>
      <c r="BL1148" s="446" t="s">
        <v>6981</v>
      </c>
      <c r="BM1148" s="403"/>
      <c r="BN1148" s="404"/>
      <c r="BO1148" s="404"/>
      <c r="BP1148" s="408"/>
      <c r="BQ1148" s="409"/>
      <c r="BR1148" s="410"/>
      <c r="BS1148" s="408"/>
      <c r="BT1148" s="405"/>
      <c r="BU1148" s="418"/>
      <c r="BV1148" s="408"/>
      <c r="BW1148" s="404" t="s">
        <v>3117</v>
      </c>
      <c r="BX1148" s="403" t="s">
        <v>3154</v>
      </c>
      <c r="BY1148" s="404"/>
      <c r="BZ1148" s="404"/>
      <c r="CA1148" s="443"/>
      <c r="CB1148" s="409"/>
      <c r="CC1148" s="407"/>
      <c r="CD1148" s="407"/>
      <c r="CE1148" s="407"/>
      <c r="CF1148" s="407"/>
      <c r="CG1148" s="407"/>
      <c r="CH1148" s="407"/>
      <c r="CI1148" s="407"/>
      <c r="CJ1148" s="407">
        <v>9.5630000000000006</v>
      </c>
      <c r="CK1148" s="407">
        <v>9.5630000000000006</v>
      </c>
      <c r="CL1148" s="407">
        <v>9.5630000000000006</v>
      </c>
      <c r="CM1148" s="407">
        <v>9.5630000000000006</v>
      </c>
      <c r="CN1148" s="407">
        <v>9.5630000000000006</v>
      </c>
      <c r="CO1148" s="407">
        <v>9.5630000000000006</v>
      </c>
      <c r="CP1148" s="407">
        <v>9.5630000000000006</v>
      </c>
      <c r="CQ1148" s="407">
        <v>9.5630000000000006</v>
      </c>
      <c r="CR1148" s="407">
        <v>9.5630000000000006</v>
      </c>
      <c r="CS1148" s="407">
        <v>9.5630000000000006</v>
      </c>
      <c r="CT1148" s="407"/>
      <c r="CU1148" s="407"/>
      <c r="CV1148" s="407"/>
      <c r="CW1148" s="407"/>
      <c r="CX1148" s="407"/>
      <c r="CY1148" s="407"/>
      <c r="CZ1148" s="407"/>
      <c r="DA1148" s="407"/>
      <c r="DB1148" s="407"/>
      <c r="DC1148" s="407"/>
      <c r="DD1148" s="407"/>
      <c r="DE1148" s="404"/>
      <c r="DF1148" s="404"/>
      <c r="DG1148" s="404"/>
      <c r="DH1148" s="404"/>
      <c r="DI1148" s="404"/>
      <c r="DJ1148" s="404"/>
      <c r="DK1148" s="897"/>
    </row>
    <row r="1149" spans="1:115" ht="76.5" x14ac:dyDescent="0.2">
      <c r="A1149" s="295">
        <v>1145</v>
      </c>
      <c r="B1149" s="390" t="s">
        <v>1461</v>
      </c>
      <c r="C1149" s="424" t="s">
        <v>7661</v>
      </c>
      <c r="D1149" s="391" t="s">
        <v>5168</v>
      </c>
      <c r="E1149" s="704" t="s">
        <v>1492</v>
      </c>
      <c r="F1149" s="393" t="s">
        <v>1352</v>
      </c>
      <c r="G1149" s="393" t="s">
        <v>1671</v>
      </c>
      <c r="H1149" s="393" t="s">
        <v>117</v>
      </c>
      <c r="I1149" s="392"/>
      <c r="J1149" s="392" t="s">
        <v>2230</v>
      </c>
      <c r="K1149" s="392"/>
      <c r="L1149" s="392" t="s">
        <v>1472</v>
      </c>
      <c r="M1149" s="392" t="s">
        <v>3454</v>
      </c>
      <c r="N1149" s="393" t="s">
        <v>44</v>
      </c>
      <c r="O1149" s="393" t="s">
        <v>366</v>
      </c>
      <c r="P1149" s="393" t="s">
        <v>366</v>
      </c>
      <c r="Q1149" s="392" t="s">
        <v>1257</v>
      </c>
      <c r="R1149" s="392"/>
      <c r="S1149" s="392" t="s">
        <v>102</v>
      </c>
      <c r="T1149" s="394">
        <v>1</v>
      </c>
      <c r="U1149" s="395">
        <v>19.542000000000002</v>
      </c>
      <c r="V1149" s="395"/>
      <c r="W1149" s="452">
        <v>41306</v>
      </c>
      <c r="X1149" s="394">
        <v>28</v>
      </c>
      <c r="Y1149" s="394"/>
      <c r="Z1149" s="394"/>
      <c r="AA1149" s="395"/>
      <c r="AB1149" s="453"/>
      <c r="AC1149" s="398">
        <v>0</v>
      </c>
      <c r="AD1149" s="398">
        <v>151.57096438356166</v>
      </c>
      <c r="AE1149" s="393" t="s">
        <v>72</v>
      </c>
      <c r="AF1149" s="417"/>
      <c r="AG1149" s="417"/>
      <c r="AH1149" s="417">
        <v>0</v>
      </c>
      <c r="AI1149" s="394"/>
      <c r="AJ1149" s="453"/>
      <c r="AK1149" s="453"/>
      <c r="AL1149" s="393"/>
      <c r="AM1149" s="393"/>
      <c r="AN1149" s="417"/>
      <c r="AO1149" s="392"/>
      <c r="AP1149" s="392" t="s">
        <v>7094</v>
      </c>
      <c r="AQ1149" s="392"/>
      <c r="AR1149" s="392" t="s">
        <v>1472</v>
      </c>
      <c r="AS1149" s="479">
        <v>40960</v>
      </c>
      <c r="AT1149" s="453"/>
      <c r="AU1149" s="453"/>
      <c r="AV1149" s="452">
        <v>41153</v>
      </c>
      <c r="AW1149" s="452">
        <v>41268</v>
      </c>
      <c r="AX1149" s="453"/>
      <c r="AY1149" s="452">
        <v>41270</v>
      </c>
      <c r="AZ1149" s="453"/>
      <c r="BA1149" s="393"/>
      <c r="BB1149" s="393" t="s">
        <v>3147</v>
      </c>
      <c r="BC1149" s="393" t="b">
        <v>1</v>
      </c>
      <c r="BD1149" s="393" t="s">
        <v>3116</v>
      </c>
      <c r="BE1149" s="392"/>
      <c r="BF1149" s="394">
        <v>1</v>
      </c>
      <c r="BG1149" s="394">
        <v>9</v>
      </c>
      <c r="BH1149" s="394"/>
      <c r="BI1149" s="394"/>
      <c r="BJ1149" s="394"/>
      <c r="BK1149" s="394"/>
      <c r="BL1149" s="444"/>
      <c r="BM1149" s="392"/>
      <c r="BN1149" s="393"/>
      <c r="BO1149" s="393"/>
      <c r="BP1149" s="399"/>
      <c r="BQ1149" s="400"/>
      <c r="BR1149" s="401"/>
      <c r="BS1149" s="399">
        <v>0</v>
      </c>
      <c r="BT1149" s="394"/>
      <c r="BU1149" s="417"/>
      <c r="BV1149" s="399"/>
      <c r="BW1149" s="393"/>
      <c r="BX1149" s="392"/>
      <c r="BY1149" s="393"/>
      <c r="BZ1149" s="393"/>
      <c r="CA1149" s="441"/>
      <c r="CB1149" s="400"/>
      <c r="CC1149" s="398"/>
      <c r="CD1149" s="398"/>
      <c r="CE1149" s="398"/>
      <c r="CF1149" s="398"/>
      <c r="CG1149" s="398"/>
      <c r="CH1149" s="398"/>
      <c r="CI1149" s="398"/>
      <c r="CJ1149" s="398"/>
      <c r="CK1149" s="398"/>
      <c r="CL1149" s="398"/>
      <c r="CM1149" s="398"/>
      <c r="CN1149" s="398"/>
      <c r="CO1149" s="398"/>
      <c r="CP1149" s="398"/>
      <c r="CQ1149" s="398"/>
      <c r="CR1149" s="398"/>
      <c r="CS1149" s="398"/>
      <c r="CT1149" s="398"/>
      <c r="CU1149" s="398"/>
      <c r="CV1149" s="398"/>
      <c r="CW1149" s="398"/>
      <c r="CX1149" s="398"/>
      <c r="CY1149" s="398"/>
      <c r="CZ1149" s="398"/>
      <c r="DA1149" s="398"/>
      <c r="DB1149" s="398"/>
      <c r="DC1149" s="398"/>
      <c r="DD1149" s="398"/>
      <c r="DE1149" s="393"/>
      <c r="DF1149" s="393"/>
      <c r="DG1149" s="393"/>
      <c r="DH1149" s="393"/>
      <c r="DI1149" s="393"/>
      <c r="DJ1149" s="393"/>
      <c r="DK1149" s="896" t="s">
        <v>9722</v>
      </c>
    </row>
    <row r="1150" spans="1:115" ht="25.5" x14ac:dyDescent="0.2">
      <c r="A1150" s="295">
        <v>1146</v>
      </c>
      <c r="B1150" s="390" t="s">
        <v>2833</v>
      </c>
      <c r="C1150" s="390"/>
      <c r="D1150" s="391" t="s">
        <v>4957</v>
      </c>
      <c r="E1150" s="843" t="s">
        <v>1493</v>
      </c>
      <c r="F1150" s="393" t="s">
        <v>1352</v>
      </c>
      <c r="G1150" s="393" t="s">
        <v>1671</v>
      </c>
      <c r="H1150" s="393" t="s">
        <v>117</v>
      </c>
      <c r="I1150" s="392"/>
      <c r="J1150" s="392"/>
      <c r="K1150" s="392" t="s">
        <v>2128</v>
      </c>
      <c r="L1150" s="563" t="s">
        <v>1472</v>
      </c>
      <c r="M1150" s="563"/>
      <c r="N1150" s="561" t="s">
        <v>44</v>
      </c>
      <c r="O1150" s="393" t="s">
        <v>366</v>
      </c>
      <c r="P1150" s="393" t="s">
        <v>366</v>
      </c>
      <c r="Q1150" s="392" t="s">
        <v>1257</v>
      </c>
      <c r="R1150" s="563" t="s">
        <v>3455</v>
      </c>
      <c r="S1150" s="563" t="s">
        <v>102</v>
      </c>
      <c r="T1150" s="564">
        <v>1</v>
      </c>
      <c r="U1150" s="565">
        <v>19.542000000000002</v>
      </c>
      <c r="V1150" s="565"/>
      <c r="W1150" s="566"/>
      <c r="X1150" s="564"/>
      <c r="Y1150" s="564">
        <v>7</v>
      </c>
      <c r="Z1150" s="564">
        <v>10</v>
      </c>
      <c r="AA1150" s="565">
        <v>0</v>
      </c>
      <c r="AB1150" s="567">
        <v>41365</v>
      </c>
      <c r="AC1150" s="568">
        <v>0</v>
      </c>
      <c r="AD1150" s="568">
        <v>151.57096438356166</v>
      </c>
      <c r="AE1150" s="561" t="s">
        <v>72</v>
      </c>
      <c r="AF1150" s="569"/>
      <c r="AG1150" s="569"/>
      <c r="AH1150" s="569"/>
      <c r="AI1150" s="564"/>
      <c r="AJ1150" s="566"/>
      <c r="AK1150" s="566"/>
      <c r="AL1150" s="561"/>
      <c r="AM1150" s="561"/>
      <c r="AN1150" s="569"/>
      <c r="AO1150" s="563"/>
      <c r="AP1150" s="563" t="s">
        <v>7094</v>
      </c>
      <c r="AQ1150" s="563"/>
      <c r="AR1150" s="563" t="s">
        <v>1472</v>
      </c>
      <c r="AS1150" s="578">
        <v>40960</v>
      </c>
      <c r="AT1150" s="566"/>
      <c r="AU1150" s="566"/>
      <c r="AV1150" s="566"/>
      <c r="AW1150" s="566"/>
      <c r="AX1150" s="566"/>
      <c r="AY1150" s="566"/>
      <c r="AZ1150" s="567">
        <v>41270</v>
      </c>
      <c r="BA1150" s="561"/>
      <c r="BB1150" s="561"/>
      <c r="BC1150" s="561" t="b">
        <v>0</v>
      </c>
      <c r="BD1150" s="561"/>
      <c r="BE1150" s="563"/>
      <c r="BF1150" s="394">
        <v>1</v>
      </c>
      <c r="BG1150" s="394">
        <v>9</v>
      </c>
      <c r="BH1150" s="564"/>
      <c r="BI1150" s="564"/>
      <c r="BJ1150" s="564"/>
      <c r="BK1150" s="564"/>
      <c r="BL1150" s="444" t="s">
        <v>6981</v>
      </c>
      <c r="BM1150" s="563"/>
      <c r="BN1150" s="561"/>
      <c r="BO1150" s="561"/>
      <c r="BP1150" s="571"/>
      <c r="BQ1150" s="572"/>
      <c r="BR1150" s="573"/>
      <c r="BS1150" s="571"/>
      <c r="BT1150" s="564"/>
      <c r="BU1150" s="569"/>
      <c r="BV1150" s="571">
        <v>45.65</v>
      </c>
      <c r="BW1150" s="393" t="s">
        <v>3117</v>
      </c>
      <c r="BX1150" s="392" t="s">
        <v>1447</v>
      </c>
      <c r="BY1150" s="393"/>
      <c r="BZ1150" s="561"/>
      <c r="CA1150" s="574" t="s">
        <v>1662</v>
      </c>
      <c r="CB1150" s="572">
        <v>3</v>
      </c>
      <c r="CC1150" s="568"/>
      <c r="CD1150" s="568"/>
      <c r="CE1150" s="568"/>
      <c r="CF1150" s="568"/>
      <c r="CG1150" s="568"/>
      <c r="CH1150" s="568"/>
      <c r="CI1150" s="568">
        <v>14.656000000000001</v>
      </c>
      <c r="CJ1150" s="568">
        <v>19.542000000000002</v>
      </c>
      <c r="CK1150" s="568">
        <v>19.542000000000002</v>
      </c>
      <c r="CL1150" s="568">
        <v>19.542000000000002</v>
      </c>
      <c r="CM1150" s="568">
        <v>19.542000000000002</v>
      </c>
      <c r="CN1150" s="568">
        <v>19.542000000000002</v>
      </c>
      <c r="CO1150" s="568">
        <v>19.542000000000002</v>
      </c>
      <c r="CP1150" s="568">
        <v>19.542000000000002</v>
      </c>
      <c r="CQ1150" s="568">
        <v>19.542000000000002</v>
      </c>
      <c r="CR1150" s="568">
        <v>19.542000000000002</v>
      </c>
      <c r="CS1150" s="568">
        <v>4.8860000000000001</v>
      </c>
      <c r="CT1150" s="568"/>
      <c r="CU1150" s="568"/>
      <c r="CV1150" s="568"/>
      <c r="CW1150" s="568"/>
      <c r="CX1150" s="568"/>
      <c r="CY1150" s="568"/>
      <c r="CZ1150" s="568"/>
      <c r="DA1150" s="568"/>
      <c r="DB1150" s="568"/>
      <c r="DC1150" s="568"/>
      <c r="DD1150" s="568"/>
      <c r="DE1150" s="561"/>
      <c r="DF1150" s="561"/>
      <c r="DG1150" s="561"/>
      <c r="DH1150" s="561"/>
      <c r="DI1150" s="561"/>
      <c r="DJ1150" s="561"/>
      <c r="DK1150" s="897"/>
    </row>
    <row r="1151" spans="1:115" ht="25.5" x14ac:dyDescent="0.2">
      <c r="A1151" s="295">
        <v>1147</v>
      </c>
      <c r="B1151" s="390" t="s">
        <v>1462</v>
      </c>
      <c r="C1151" s="424" t="s">
        <v>7662</v>
      </c>
      <c r="D1151" s="391"/>
      <c r="E1151" s="707" t="s">
        <v>1494</v>
      </c>
      <c r="F1151" s="404" t="s">
        <v>1352</v>
      </c>
      <c r="G1151" s="404" t="s">
        <v>1671</v>
      </c>
      <c r="H1151" s="404" t="s">
        <v>131</v>
      </c>
      <c r="I1151" s="403"/>
      <c r="J1151" s="403" t="s">
        <v>1495</v>
      </c>
      <c r="K1151" s="403"/>
      <c r="L1151" s="403" t="s">
        <v>1497</v>
      </c>
      <c r="M1151" s="403" t="s">
        <v>3456</v>
      </c>
      <c r="N1151" s="404" t="s">
        <v>3142</v>
      </c>
      <c r="O1151" s="404" t="s">
        <v>51</v>
      </c>
      <c r="P1151" s="404" t="s">
        <v>51</v>
      </c>
      <c r="Q1151" s="403" t="s">
        <v>426</v>
      </c>
      <c r="R1151" s="403"/>
      <c r="S1151" s="403" t="s">
        <v>427</v>
      </c>
      <c r="T1151" s="405">
        <v>1</v>
      </c>
      <c r="U1151" s="406">
        <v>22.318000000000001</v>
      </c>
      <c r="V1151" s="406"/>
      <c r="W1151" s="456">
        <v>40960</v>
      </c>
      <c r="X1151" s="405">
        <v>28</v>
      </c>
      <c r="Y1151" s="405"/>
      <c r="Z1151" s="405"/>
      <c r="AA1151" s="406"/>
      <c r="AB1151" s="455"/>
      <c r="AC1151" s="407">
        <v>0</v>
      </c>
      <c r="AD1151" s="407">
        <v>223.18</v>
      </c>
      <c r="AE1151" s="404" t="s">
        <v>96</v>
      </c>
      <c r="AF1151" s="418"/>
      <c r="AG1151" s="418"/>
      <c r="AH1151" s="418">
        <v>0</v>
      </c>
      <c r="AI1151" s="405"/>
      <c r="AJ1151" s="455"/>
      <c r="AK1151" s="455"/>
      <c r="AL1151" s="404"/>
      <c r="AM1151" s="404"/>
      <c r="AN1151" s="418"/>
      <c r="AO1151" s="403"/>
      <c r="AP1151" s="403" t="s">
        <v>7099</v>
      </c>
      <c r="AQ1151" s="403"/>
      <c r="AR1151" s="403" t="s">
        <v>3783</v>
      </c>
      <c r="AS1151" s="482">
        <v>40960</v>
      </c>
      <c r="AT1151" s="455"/>
      <c r="AU1151" s="455"/>
      <c r="AV1151" s="455"/>
      <c r="AW1151" s="455"/>
      <c r="AX1151" s="455"/>
      <c r="AY1151" s="455"/>
      <c r="AZ1151" s="455"/>
      <c r="BA1151" s="404"/>
      <c r="BB1151" s="404" t="s">
        <v>3116</v>
      </c>
      <c r="BC1151" s="404" t="b">
        <v>0</v>
      </c>
      <c r="BD1151" s="404" t="s">
        <v>3116</v>
      </c>
      <c r="BE1151" s="403"/>
      <c r="BF1151" s="405">
        <v>1</v>
      </c>
      <c r="BG1151" s="405">
        <v>10</v>
      </c>
      <c r="BH1151" s="405">
        <v>8</v>
      </c>
      <c r="BI1151" s="405">
        <v>5</v>
      </c>
      <c r="BJ1151" s="405"/>
      <c r="BK1151" s="405"/>
      <c r="BL1151" s="446"/>
      <c r="BM1151" s="403"/>
      <c r="BN1151" s="404"/>
      <c r="BO1151" s="404"/>
      <c r="BP1151" s="408"/>
      <c r="BQ1151" s="409"/>
      <c r="BR1151" s="410"/>
      <c r="BS1151" s="408">
        <v>0</v>
      </c>
      <c r="BT1151" s="405"/>
      <c r="BU1151" s="418"/>
      <c r="BV1151" s="408"/>
      <c r="BW1151" s="404"/>
      <c r="BX1151" s="403"/>
      <c r="BY1151" s="404"/>
      <c r="BZ1151" s="404"/>
      <c r="CA1151" s="443"/>
      <c r="CB1151" s="409"/>
      <c r="CC1151" s="407"/>
      <c r="CD1151" s="407"/>
      <c r="CE1151" s="407"/>
      <c r="CF1151" s="407"/>
      <c r="CG1151" s="407"/>
      <c r="CH1151" s="407"/>
      <c r="CI1151" s="407"/>
      <c r="CJ1151" s="407"/>
      <c r="CK1151" s="407"/>
      <c r="CL1151" s="407"/>
      <c r="CM1151" s="407"/>
      <c r="CN1151" s="407"/>
      <c r="CO1151" s="407"/>
      <c r="CP1151" s="407"/>
      <c r="CQ1151" s="407"/>
      <c r="CR1151" s="407"/>
      <c r="CS1151" s="407"/>
      <c r="CT1151" s="407"/>
      <c r="CU1151" s="407"/>
      <c r="CV1151" s="407"/>
      <c r="CW1151" s="407"/>
      <c r="CX1151" s="407"/>
      <c r="CY1151" s="407"/>
      <c r="CZ1151" s="407"/>
      <c r="DA1151" s="407"/>
      <c r="DB1151" s="407"/>
      <c r="DC1151" s="407"/>
      <c r="DD1151" s="407"/>
      <c r="DE1151" s="404"/>
      <c r="DF1151" s="404"/>
      <c r="DG1151" s="404"/>
      <c r="DH1151" s="404"/>
      <c r="DI1151" s="404"/>
      <c r="DJ1151" s="404"/>
      <c r="DK1151" s="897"/>
    </row>
    <row r="1152" spans="1:115" ht="25.5" x14ac:dyDescent="0.2">
      <c r="A1152" s="295">
        <v>1148</v>
      </c>
      <c r="B1152" s="390" t="s">
        <v>2834</v>
      </c>
      <c r="C1152" s="390"/>
      <c r="D1152" s="391"/>
      <c r="E1152" s="707" t="s">
        <v>1993</v>
      </c>
      <c r="F1152" s="404" t="s">
        <v>1352</v>
      </c>
      <c r="G1152" s="404" t="s">
        <v>1671</v>
      </c>
      <c r="H1152" s="404" t="s">
        <v>131</v>
      </c>
      <c r="I1152" s="403"/>
      <c r="J1152" s="403"/>
      <c r="K1152" s="403" t="s">
        <v>1496</v>
      </c>
      <c r="L1152" s="403" t="s">
        <v>1497</v>
      </c>
      <c r="M1152" s="403"/>
      <c r="N1152" s="404" t="s">
        <v>3142</v>
      </c>
      <c r="O1152" s="404" t="s">
        <v>51</v>
      </c>
      <c r="P1152" s="404" t="s">
        <v>51</v>
      </c>
      <c r="Q1152" s="403" t="s">
        <v>426</v>
      </c>
      <c r="R1152" s="403" t="s">
        <v>3457</v>
      </c>
      <c r="S1152" s="403" t="s">
        <v>427</v>
      </c>
      <c r="T1152" s="405">
        <v>1</v>
      </c>
      <c r="U1152" s="406">
        <v>22.318000000000001</v>
      </c>
      <c r="V1152" s="406"/>
      <c r="W1152" s="455"/>
      <c r="X1152" s="405"/>
      <c r="Y1152" s="405">
        <v>10</v>
      </c>
      <c r="Z1152" s="405">
        <v>10</v>
      </c>
      <c r="AA1152" s="406">
        <v>-2.66</v>
      </c>
      <c r="AB1152" s="456">
        <v>41153</v>
      </c>
      <c r="AC1152" s="407">
        <v>0</v>
      </c>
      <c r="AD1152" s="407">
        <v>223.18</v>
      </c>
      <c r="AE1152" s="404" t="s">
        <v>96</v>
      </c>
      <c r="AF1152" s="418"/>
      <c r="AG1152" s="418"/>
      <c r="AH1152" s="418"/>
      <c r="AI1152" s="405"/>
      <c r="AJ1152" s="455"/>
      <c r="AK1152" s="455"/>
      <c r="AL1152" s="404"/>
      <c r="AM1152" s="404"/>
      <c r="AN1152" s="418"/>
      <c r="AO1152" s="403"/>
      <c r="AP1152" s="403" t="s">
        <v>7099</v>
      </c>
      <c r="AQ1152" s="403"/>
      <c r="AR1152" s="403" t="s">
        <v>3783</v>
      </c>
      <c r="AS1152" s="482">
        <v>40960</v>
      </c>
      <c r="AT1152" s="455"/>
      <c r="AU1152" s="455"/>
      <c r="AV1152" s="455"/>
      <c r="AW1152" s="455"/>
      <c r="AX1152" s="455"/>
      <c r="AY1152" s="455"/>
      <c r="AZ1152" s="455"/>
      <c r="BA1152" s="404"/>
      <c r="BB1152" s="404"/>
      <c r="BC1152" s="404" t="b">
        <v>0</v>
      </c>
      <c r="BD1152" s="404"/>
      <c r="BE1152" s="403"/>
      <c r="BF1152" s="405">
        <v>6</v>
      </c>
      <c r="BG1152" s="405">
        <v>8</v>
      </c>
      <c r="BH1152" s="405">
        <v>9</v>
      </c>
      <c r="BI1152" s="405">
        <v>10</v>
      </c>
      <c r="BJ1152" s="405">
        <v>5</v>
      </c>
      <c r="BK1152" s="405">
        <v>1</v>
      </c>
      <c r="BL1152" s="446" t="s">
        <v>6981</v>
      </c>
      <c r="BM1152" s="403"/>
      <c r="BN1152" s="404"/>
      <c r="BO1152" s="404"/>
      <c r="BP1152" s="408"/>
      <c r="BQ1152" s="409"/>
      <c r="BR1152" s="410"/>
      <c r="BS1152" s="408"/>
      <c r="BT1152" s="405"/>
      <c r="BU1152" s="418">
        <v>0.88400000000000001</v>
      </c>
      <c r="BV1152" s="408">
        <v>60</v>
      </c>
      <c r="BW1152" s="404" t="s">
        <v>3117</v>
      </c>
      <c r="BX1152" s="403" t="s">
        <v>1450</v>
      </c>
      <c r="BY1152" s="404"/>
      <c r="BZ1152" s="404"/>
      <c r="CA1152" s="443" t="s">
        <v>1664</v>
      </c>
      <c r="CB1152" s="409"/>
      <c r="CC1152" s="407"/>
      <c r="CD1152" s="407"/>
      <c r="CE1152" s="407"/>
      <c r="CF1152" s="407"/>
      <c r="CG1152" s="407"/>
      <c r="CH1152" s="407"/>
      <c r="CI1152" s="407">
        <v>40.090000000000003</v>
      </c>
      <c r="CJ1152" s="407">
        <v>37.354999999999997</v>
      </c>
      <c r="CK1152" s="407">
        <v>34.619999999999997</v>
      </c>
      <c r="CL1152" s="407">
        <v>31.884</v>
      </c>
      <c r="CM1152" s="407">
        <v>29.149000000000001</v>
      </c>
      <c r="CN1152" s="407">
        <v>26.413</v>
      </c>
      <c r="CO1152" s="407">
        <v>23.678000000000001</v>
      </c>
      <c r="CP1152" s="407"/>
      <c r="CQ1152" s="407"/>
      <c r="CR1152" s="407"/>
      <c r="CS1152" s="407"/>
      <c r="CT1152" s="407"/>
      <c r="CU1152" s="407"/>
      <c r="CV1152" s="407"/>
      <c r="CW1152" s="407"/>
      <c r="CX1152" s="407"/>
      <c r="CY1152" s="407"/>
      <c r="CZ1152" s="407"/>
      <c r="DA1152" s="407"/>
      <c r="DB1152" s="407"/>
      <c r="DC1152" s="407"/>
      <c r="DD1152" s="407"/>
      <c r="DE1152" s="404"/>
      <c r="DF1152" s="404"/>
      <c r="DG1152" s="404"/>
      <c r="DH1152" s="404"/>
      <c r="DI1152" s="404"/>
      <c r="DJ1152" s="404"/>
      <c r="DK1152" s="897"/>
    </row>
    <row r="1153" spans="1:115" ht="51" x14ac:dyDescent="0.2">
      <c r="A1153" s="295">
        <v>1149</v>
      </c>
      <c r="B1153" s="390" t="s">
        <v>1463</v>
      </c>
      <c r="C1153" s="424" t="s">
        <v>7663</v>
      </c>
      <c r="D1153" s="391" t="s">
        <v>5169</v>
      </c>
      <c r="E1153" s="704" t="s">
        <v>1498</v>
      </c>
      <c r="F1153" s="393" t="s">
        <v>1393</v>
      </c>
      <c r="G1153" s="393" t="s">
        <v>1708</v>
      </c>
      <c r="H1153" s="393" t="s">
        <v>1395</v>
      </c>
      <c r="I1153" s="392"/>
      <c r="J1153" s="392" t="s">
        <v>1395</v>
      </c>
      <c r="K1153" s="392"/>
      <c r="L1153" s="392" t="s">
        <v>1499</v>
      </c>
      <c r="M1153" s="392" t="s">
        <v>3458</v>
      </c>
      <c r="N1153" s="393" t="s">
        <v>44</v>
      </c>
      <c r="O1153" s="393" t="s">
        <v>827</v>
      </c>
      <c r="P1153" s="393" t="s">
        <v>827</v>
      </c>
      <c r="Q1153" s="392" t="s">
        <v>836</v>
      </c>
      <c r="R1153" s="392"/>
      <c r="S1153" s="392" t="s">
        <v>291</v>
      </c>
      <c r="T1153" s="394">
        <v>4</v>
      </c>
      <c r="U1153" s="395">
        <v>47.720999999999997</v>
      </c>
      <c r="V1153" s="395"/>
      <c r="W1153" s="452">
        <v>41183</v>
      </c>
      <c r="X1153" s="394">
        <v>28</v>
      </c>
      <c r="Y1153" s="394"/>
      <c r="Z1153" s="394"/>
      <c r="AA1153" s="395"/>
      <c r="AB1153" s="453"/>
      <c r="AC1153" s="398">
        <v>0</v>
      </c>
      <c r="AD1153" s="398">
        <v>341.40257808219178</v>
      </c>
      <c r="AE1153" s="393" t="s">
        <v>72</v>
      </c>
      <c r="AF1153" s="417"/>
      <c r="AG1153" s="417"/>
      <c r="AH1153" s="417">
        <v>0</v>
      </c>
      <c r="AI1153" s="394"/>
      <c r="AJ1153" s="453"/>
      <c r="AK1153" s="453"/>
      <c r="AL1153" s="393"/>
      <c r="AM1153" s="393"/>
      <c r="AN1153" s="417"/>
      <c r="AO1153" s="392"/>
      <c r="AP1153" s="392" t="s">
        <v>7070</v>
      </c>
      <c r="AQ1153" s="392"/>
      <c r="AR1153" s="392" t="s">
        <v>1501</v>
      </c>
      <c r="AS1153" s="479">
        <v>40961</v>
      </c>
      <c r="AT1153" s="453"/>
      <c r="AU1153" s="453"/>
      <c r="AV1153" s="452">
        <v>41003</v>
      </c>
      <c r="AW1153" s="452">
        <v>41153</v>
      </c>
      <c r="AX1153" s="452">
        <v>41193</v>
      </c>
      <c r="AY1153" s="452">
        <v>41156</v>
      </c>
      <c r="AZ1153" s="453"/>
      <c r="BA1153" s="393"/>
      <c r="BB1153" s="393" t="s">
        <v>3147</v>
      </c>
      <c r="BC1153" s="393" t="b">
        <v>0</v>
      </c>
      <c r="BD1153" s="393" t="s">
        <v>3147</v>
      </c>
      <c r="BE1153" s="392"/>
      <c r="BF1153" s="394">
        <v>1</v>
      </c>
      <c r="BG1153" s="394">
        <v>7</v>
      </c>
      <c r="BH1153" s="394"/>
      <c r="BI1153" s="394"/>
      <c r="BJ1153" s="394"/>
      <c r="BK1153" s="394"/>
      <c r="BL1153" s="444"/>
      <c r="BM1153" s="392"/>
      <c r="BN1153" s="393"/>
      <c r="BO1153" s="393"/>
      <c r="BP1153" s="399"/>
      <c r="BQ1153" s="400"/>
      <c r="BR1153" s="401"/>
      <c r="BS1153" s="399">
        <v>43.734999999999999</v>
      </c>
      <c r="BT1153" s="394"/>
      <c r="BU1153" s="417"/>
      <c r="BV1153" s="399"/>
      <c r="BW1153" s="393"/>
      <c r="BX1153" s="392"/>
      <c r="BY1153" s="393"/>
      <c r="BZ1153" s="393"/>
      <c r="CA1153" s="441"/>
      <c r="CB1153" s="400"/>
      <c r="CC1153" s="398"/>
      <c r="CD1153" s="398"/>
      <c r="CE1153" s="398"/>
      <c r="CF1153" s="398"/>
      <c r="CG1153" s="398"/>
      <c r="CH1153" s="398"/>
      <c r="CI1153" s="398"/>
      <c r="CJ1153" s="398"/>
      <c r="CK1153" s="398"/>
      <c r="CL1153" s="398"/>
      <c r="CM1153" s="398"/>
      <c r="CN1153" s="398"/>
      <c r="CO1153" s="398"/>
      <c r="CP1153" s="398"/>
      <c r="CQ1153" s="398"/>
      <c r="CR1153" s="398"/>
      <c r="CS1153" s="398"/>
      <c r="CT1153" s="398"/>
      <c r="CU1153" s="398"/>
      <c r="CV1153" s="398"/>
      <c r="CW1153" s="398"/>
      <c r="CX1153" s="398"/>
      <c r="CY1153" s="398"/>
      <c r="CZ1153" s="398"/>
      <c r="DA1153" s="398"/>
      <c r="DB1153" s="398"/>
      <c r="DC1153" s="398"/>
      <c r="DD1153" s="398"/>
      <c r="DE1153" s="393"/>
      <c r="DF1153" s="393"/>
      <c r="DG1153" s="393"/>
      <c r="DH1153" s="393"/>
      <c r="DI1153" s="393"/>
      <c r="DJ1153" s="393"/>
      <c r="DK1153" s="896" t="s">
        <v>9735</v>
      </c>
    </row>
    <row r="1154" spans="1:115" ht="25.5" x14ac:dyDescent="0.2">
      <c r="A1154" s="295">
        <v>1150</v>
      </c>
      <c r="B1154" s="390" t="s">
        <v>2835</v>
      </c>
      <c r="C1154" s="390"/>
      <c r="D1154" s="391" t="s">
        <v>4101</v>
      </c>
      <c r="E1154" s="704" t="s">
        <v>1500</v>
      </c>
      <c r="F1154" s="393" t="s">
        <v>1393</v>
      </c>
      <c r="G1154" s="393" t="s">
        <v>1708</v>
      </c>
      <c r="H1154" s="393" t="s">
        <v>1395</v>
      </c>
      <c r="I1154" s="392"/>
      <c r="J1154" s="392"/>
      <c r="K1154" s="392" t="s">
        <v>658</v>
      </c>
      <c r="L1154" s="392" t="s">
        <v>1499</v>
      </c>
      <c r="M1154" s="392"/>
      <c r="N1154" s="393" t="s">
        <v>44</v>
      </c>
      <c r="O1154" s="393" t="s">
        <v>827</v>
      </c>
      <c r="P1154" s="393" t="s">
        <v>827</v>
      </c>
      <c r="Q1154" s="392" t="s">
        <v>836</v>
      </c>
      <c r="R1154" s="392" t="s">
        <v>3459</v>
      </c>
      <c r="S1154" s="392" t="s">
        <v>291</v>
      </c>
      <c r="T1154" s="394">
        <v>1</v>
      </c>
      <c r="U1154" s="395">
        <v>3.0430000000000001</v>
      </c>
      <c r="V1154" s="395"/>
      <c r="W1154" s="453"/>
      <c r="X1154" s="394"/>
      <c r="Y1154" s="394">
        <v>7</v>
      </c>
      <c r="Z1154" s="394">
        <v>25</v>
      </c>
      <c r="AA1154" s="395">
        <v>0</v>
      </c>
      <c r="AB1154" s="452">
        <v>41275</v>
      </c>
      <c r="AC1154" s="398">
        <v>0</v>
      </c>
      <c r="AD1154" s="398">
        <v>24.352336986301374</v>
      </c>
      <c r="AE1154" s="393" t="s">
        <v>72</v>
      </c>
      <c r="AF1154" s="417"/>
      <c r="AG1154" s="417"/>
      <c r="AH1154" s="417"/>
      <c r="AI1154" s="394"/>
      <c r="AJ1154" s="453"/>
      <c r="AK1154" s="453"/>
      <c r="AL1154" s="393"/>
      <c r="AM1154" s="393"/>
      <c r="AN1154" s="417"/>
      <c r="AO1154" s="392"/>
      <c r="AP1154" s="392" t="s">
        <v>7070</v>
      </c>
      <c r="AQ1154" s="392"/>
      <c r="AR1154" s="392" t="s">
        <v>1501</v>
      </c>
      <c r="AS1154" s="479">
        <v>40961</v>
      </c>
      <c r="AT1154" s="453"/>
      <c r="AU1154" s="453"/>
      <c r="AV1154" s="453"/>
      <c r="AW1154" s="453"/>
      <c r="AX1154" s="453"/>
      <c r="AY1154" s="453"/>
      <c r="AZ1154" s="452">
        <v>41156</v>
      </c>
      <c r="BA1154" s="393"/>
      <c r="BB1154" s="393"/>
      <c r="BC1154" s="393" t="b">
        <v>0</v>
      </c>
      <c r="BD1154" s="393"/>
      <c r="BE1154" s="392"/>
      <c r="BF1154" s="394">
        <v>1</v>
      </c>
      <c r="BG1154" s="394">
        <v>7</v>
      </c>
      <c r="BH1154" s="394"/>
      <c r="BI1154" s="394"/>
      <c r="BJ1154" s="394"/>
      <c r="BK1154" s="394"/>
      <c r="BL1154" s="444" t="s">
        <v>6981</v>
      </c>
      <c r="BM1154" s="392"/>
      <c r="BN1154" s="393"/>
      <c r="BO1154" s="393"/>
      <c r="BP1154" s="399"/>
      <c r="BQ1154" s="400"/>
      <c r="BR1154" s="401"/>
      <c r="BS1154" s="399">
        <v>3.51</v>
      </c>
      <c r="BT1154" s="394">
        <v>5300</v>
      </c>
      <c r="BU1154" s="417">
        <v>0.64300000000000002</v>
      </c>
      <c r="BV1154" s="399"/>
      <c r="BW1154" s="393" t="s">
        <v>3117</v>
      </c>
      <c r="BX1154" s="392" t="s">
        <v>1520</v>
      </c>
      <c r="BY1154" s="393"/>
      <c r="BZ1154" s="393"/>
      <c r="CA1154" s="441"/>
      <c r="CB1154" s="400"/>
      <c r="CC1154" s="398"/>
      <c r="CD1154" s="398"/>
      <c r="CE1154" s="398"/>
      <c r="CF1154" s="398"/>
      <c r="CG1154" s="398"/>
      <c r="CH1154" s="398"/>
      <c r="CI1154" s="398">
        <v>3.34</v>
      </c>
      <c r="CJ1154" s="398">
        <v>3.34</v>
      </c>
      <c r="CK1154" s="398">
        <v>3.34</v>
      </c>
      <c r="CL1154" s="398">
        <v>3.34</v>
      </c>
      <c r="CM1154" s="398">
        <v>3.34</v>
      </c>
      <c r="CN1154" s="398">
        <v>3.34</v>
      </c>
      <c r="CO1154" s="398">
        <v>3.34</v>
      </c>
      <c r="CP1154" s="398"/>
      <c r="CQ1154" s="398"/>
      <c r="CR1154" s="398"/>
      <c r="CS1154" s="398"/>
      <c r="CT1154" s="398"/>
      <c r="CU1154" s="398"/>
      <c r="CV1154" s="398"/>
      <c r="CW1154" s="398"/>
      <c r="CX1154" s="398"/>
      <c r="CY1154" s="398"/>
      <c r="CZ1154" s="398"/>
      <c r="DA1154" s="398"/>
      <c r="DB1154" s="398"/>
      <c r="DC1154" s="398"/>
      <c r="DD1154" s="398"/>
      <c r="DE1154" s="393"/>
      <c r="DF1154" s="393"/>
      <c r="DG1154" s="393"/>
      <c r="DH1154" s="393"/>
      <c r="DI1154" s="393"/>
      <c r="DJ1154" s="393"/>
      <c r="DK1154" s="897"/>
    </row>
    <row r="1155" spans="1:115" ht="25.5" x14ac:dyDescent="0.2">
      <c r="A1155" s="295">
        <v>1151</v>
      </c>
      <c r="B1155" s="390" t="s">
        <v>5723</v>
      </c>
      <c r="C1155" s="390"/>
      <c r="D1155" s="391" t="s">
        <v>5724</v>
      </c>
      <c r="E1155" s="704" t="s">
        <v>5725</v>
      </c>
      <c r="F1155" s="393" t="s">
        <v>1393</v>
      </c>
      <c r="G1155" s="393" t="s">
        <v>1708</v>
      </c>
      <c r="H1155" s="393" t="s">
        <v>1395</v>
      </c>
      <c r="I1155" s="392"/>
      <c r="J1155" s="392"/>
      <c r="K1155" s="392"/>
      <c r="L1155" s="392" t="s">
        <v>1499</v>
      </c>
      <c r="M1155" s="392"/>
      <c r="N1155" s="393" t="s">
        <v>44</v>
      </c>
      <c r="O1155" s="393" t="s">
        <v>827</v>
      </c>
      <c r="P1155" s="393" t="s">
        <v>827</v>
      </c>
      <c r="Q1155" s="392" t="s">
        <v>836</v>
      </c>
      <c r="R1155" s="392" t="s">
        <v>5726</v>
      </c>
      <c r="S1155" s="392" t="s">
        <v>291</v>
      </c>
      <c r="T1155" s="394">
        <v>1</v>
      </c>
      <c r="U1155" s="395">
        <v>16.337</v>
      </c>
      <c r="V1155" s="395"/>
      <c r="W1155" s="453"/>
      <c r="X1155" s="394"/>
      <c r="Y1155" s="394">
        <v>7</v>
      </c>
      <c r="Z1155" s="394">
        <v>25</v>
      </c>
      <c r="AA1155" s="395">
        <v>0</v>
      </c>
      <c r="AB1155" s="452">
        <v>41583</v>
      </c>
      <c r="AC1155" s="398">
        <v>0</v>
      </c>
      <c r="AD1155" s="398">
        <v>116.95501643835615</v>
      </c>
      <c r="AE1155" s="393" t="s">
        <v>72</v>
      </c>
      <c r="AF1155" s="417"/>
      <c r="AG1155" s="417"/>
      <c r="AH1155" s="417"/>
      <c r="AI1155" s="394"/>
      <c r="AJ1155" s="453"/>
      <c r="AK1155" s="453"/>
      <c r="AL1155" s="393"/>
      <c r="AM1155" s="393"/>
      <c r="AN1155" s="417"/>
      <c r="AO1155" s="392"/>
      <c r="AP1155" s="392"/>
      <c r="AQ1155" s="392"/>
      <c r="AR1155" s="392" t="s">
        <v>1501</v>
      </c>
      <c r="AS1155" s="479">
        <v>40961</v>
      </c>
      <c r="AT1155" s="453"/>
      <c r="AU1155" s="453"/>
      <c r="AV1155" s="453"/>
      <c r="AW1155" s="453"/>
      <c r="AX1155" s="453"/>
      <c r="AY1155" s="453"/>
      <c r="AZ1155" s="452">
        <v>41583</v>
      </c>
      <c r="BA1155" s="393"/>
      <c r="BB1155" s="393"/>
      <c r="BC1155" s="393" t="b">
        <v>0</v>
      </c>
      <c r="BD1155" s="393"/>
      <c r="BE1155" s="392"/>
      <c r="BF1155" s="394">
        <v>1</v>
      </c>
      <c r="BG1155" s="394">
        <v>7</v>
      </c>
      <c r="BH1155" s="394"/>
      <c r="BI1155" s="394"/>
      <c r="BJ1155" s="394"/>
      <c r="BK1155" s="394"/>
      <c r="BL1155" s="444" t="s">
        <v>6981</v>
      </c>
      <c r="BM1155" s="392"/>
      <c r="BN1155" s="393"/>
      <c r="BO1155" s="393"/>
      <c r="BP1155" s="399"/>
      <c r="BQ1155" s="400"/>
      <c r="BR1155" s="401"/>
      <c r="BS1155" s="399">
        <v>14.71</v>
      </c>
      <c r="BT1155" s="394">
        <v>24858</v>
      </c>
      <c r="BU1155" s="417">
        <v>0.65720000000000001</v>
      </c>
      <c r="BV1155" s="399"/>
      <c r="BW1155" s="393" t="s">
        <v>3117</v>
      </c>
      <c r="BX1155" s="392" t="s">
        <v>1520</v>
      </c>
      <c r="BY1155" s="393" t="s">
        <v>7227</v>
      </c>
      <c r="BZ1155" s="393"/>
      <c r="CA1155" s="441"/>
      <c r="CB1155" s="400"/>
      <c r="CC1155" s="398"/>
      <c r="CD1155" s="398"/>
      <c r="CE1155" s="398"/>
      <c r="CF1155" s="398"/>
      <c r="CG1155" s="398"/>
      <c r="CH1155" s="398"/>
      <c r="CI1155" s="398">
        <v>2.8860000000000001</v>
      </c>
      <c r="CJ1155" s="398">
        <v>16.617999999999999</v>
      </c>
      <c r="CK1155" s="398">
        <v>16.515000000000001</v>
      </c>
      <c r="CL1155" s="398">
        <v>16.413</v>
      </c>
      <c r="CM1155" s="398">
        <v>16.312000000000001</v>
      </c>
      <c r="CN1155" s="398">
        <v>16.210999999999999</v>
      </c>
      <c r="CO1155" s="398">
        <v>16.111000000000001</v>
      </c>
      <c r="CP1155" s="398">
        <v>13.292</v>
      </c>
      <c r="CQ1155" s="398"/>
      <c r="CR1155" s="398"/>
      <c r="CS1155" s="398"/>
      <c r="CT1155" s="398"/>
      <c r="CU1155" s="398"/>
      <c r="CV1155" s="398"/>
      <c r="CW1155" s="398"/>
      <c r="CX1155" s="398"/>
      <c r="CY1155" s="398"/>
      <c r="CZ1155" s="398"/>
      <c r="DA1155" s="398"/>
      <c r="DB1155" s="398"/>
      <c r="DC1155" s="398"/>
      <c r="DD1155" s="398"/>
      <c r="DE1155" s="393"/>
      <c r="DF1155" s="393"/>
      <c r="DG1155" s="393"/>
      <c r="DH1155" s="393"/>
      <c r="DI1155" s="393"/>
      <c r="DJ1155" s="393"/>
      <c r="DK1155" s="897"/>
    </row>
    <row r="1156" spans="1:115" ht="25.5" x14ac:dyDescent="0.2">
      <c r="A1156" s="295">
        <v>1152</v>
      </c>
      <c r="B1156" s="390" t="s">
        <v>5758</v>
      </c>
      <c r="C1156" s="390"/>
      <c r="D1156" s="391" t="s">
        <v>5759</v>
      </c>
      <c r="E1156" s="704" t="s">
        <v>5760</v>
      </c>
      <c r="F1156" s="393" t="s">
        <v>1393</v>
      </c>
      <c r="G1156" s="393" t="s">
        <v>1708</v>
      </c>
      <c r="H1156" s="393" t="s">
        <v>1395</v>
      </c>
      <c r="I1156" s="392"/>
      <c r="J1156" s="392"/>
      <c r="K1156" s="392"/>
      <c r="L1156" s="392" t="s">
        <v>1499</v>
      </c>
      <c r="M1156" s="392"/>
      <c r="N1156" s="393" t="s">
        <v>44</v>
      </c>
      <c r="O1156" s="393" t="s">
        <v>827</v>
      </c>
      <c r="P1156" s="393" t="s">
        <v>827</v>
      </c>
      <c r="Q1156" s="392" t="s">
        <v>836</v>
      </c>
      <c r="R1156" s="392" t="s">
        <v>5761</v>
      </c>
      <c r="S1156" s="392" t="s">
        <v>291</v>
      </c>
      <c r="T1156" s="394">
        <v>1</v>
      </c>
      <c r="U1156" s="395">
        <v>16.370999999999999</v>
      </c>
      <c r="V1156" s="395"/>
      <c r="W1156" s="453"/>
      <c r="X1156" s="394"/>
      <c r="Y1156" s="394">
        <v>7</v>
      </c>
      <c r="Z1156" s="394">
        <v>25</v>
      </c>
      <c r="AA1156" s="395">
        <v>-0.14299999999999999</v>
      </c>
      <c r="AB1156" s="452">
        <v>41619</v>
      </c>
      <c r="AC1156" s="398">
        <v>0</v>
      </c>
      <c r="AD1156" s="398">
        <v>115.58374520547945</v>
      </c>
      <c r="AE1156" s="393" t="s">
        <v>72</v>
      </c>
      <c r="AF1156" s="417"/>
      <c r="AG1156" s="417"/>
      <c r="AH1156" s="417"/>
      <c r="AI1156" s="394"/>
      <c r="AJ1156" s="453"/>
      <c r="AK1156" s="453"/>
      <c r="AL1156" s="393"/>
      <c r="AM1156" s="393"/>
      <c r="AN1156" s="417"/>
      <c r="AO1156" s="392"/>
      <c r="AP1156" s="392"/>
      <c r="AQ1156" s="392"/>
      <c r="AR1156" s="392" t="s">
        <v>1501</v>
      </c>
      <c r="AS1156" s="479">
        <v>40961</v>
      </c>
      <c r="AT1156" s="453"/>
      <c r="AU1156" s="453"/>
      <c r="AV1156" s="453"/>
      <c r="AW1156" s="453"/>
      <c r="AX1156" s="453"/>
      <c r="AY1156" s="453"/>
      <c r="AZ1156" s="452">
        <v>41628</v>
      </c>
      <c r="BA1156" s="393"/>
      <c r="BB1156" s="393"/>
      <c r="BC1156" s="393" t="b">
        <v>0</v>
      </c>
      <c r="BD1156" s="393"/>
      <c r="BE1156" s="392"/>
      <c r="BF1156" s="394">
        <v>1</v>
      </c>
      <c r="BG1156" s="394">
        <v>7</v>
      </c>
      <c r="BH1156" s="394"/>
      <c r="BI1156" s="394"/>
      <c r="BJ1156" s="394"/>
      <c r="BK1156" s="394"/>
      <c r="BL1156" s="444" t="s">
        <v>6981</v>
      </c>
      <c r="BM1156" s="392"/>
      <c r="BN1156" s="393"/>
      <c r="BO1156" s="393"/>
      <c r="BP1156" s="399"/>
      <c r="BQ1156" s="400"/>
      <c r="BR1156" s="401"/>
      <c r="BS1156" s="399">
        <v>14.255000000000001</v>
      </c>
      <c r="BT1156" s="394">
        <v>25</v>
      </c>
      <c r="BU1156" s="417">
        <v>0.65720000000000001</v>
      </c>
      <c r="BV1156" s="399"/>
      <c r="BW1156" s="393" t="s">
        <v>3117</v>
      </c>
      <c r="BX1156" s="392" t="s">
        <v>1520</v>
      </c>
      <c r="BY1156" s="393"/>
      <c r="BZ1156" s="393"/>
      <c r="CA1156" s="441"/>
      <c r="CB1156" s="400"/>
      <c r="CC1156" s="398"/>
      <c r="CD1156" s="398"/>
      <c r="CE1156" s="398"/>
      <c r="CF1156" s="398"/>
      <c r="CG1156" s="398"/>
      <c r="CH1156" s="398"/>
      <c r="CI1156" s="398">
        <v>16.803999999999998</v>
      </c>
      <c r="CJ1156" s="398">
        <v>16.658000000000001</v>
      </c>
      <c r="CK1156" s="398">
        <v>16.512</v>
      </c>
      <c r="CL1156" s="398">
        <v>16.367999999999999</v>
      </c>
      <c r="CM1156" s="398">
        <v>16.225999999999999</v>
      </c>
      <c r="CN1156" s="398">
        <v>16.084</v>
      </c>
      <c r="CO1156" s="398">
        <v>15.944000000000001</v>
      </c>
      <c r="CP1156" s="398"/>
      <c r="CQ1156" s="398"/>
      <c r="CR1156" s="398"/>
      <c r="CS1156" s="398"/>
      <c r="CT1156" s="398"/>
      <c r="CU1156" s="398"/>
      <c r="CV1156" s="398"/>
      <c r="CW1156" s="398"/>
      <c r="CX1156" s="398"/>
      <c r="CY1156" s="398"/>
      <c r="CZ1156" s="398"/>
      <c r="DA1156" s="398"/>
      <c r="DB1156" s="398"/>
      <c r="DC1156" s="398"/>
      <c r="DD1156" s="398"/>
      <c r="DE1156" s="393"/>
      <c r="DF1156" s="393"/>
      <c r="DG1156" s="393"/>
      <c r="DH1156" s="393"/>
      <c r="DI1156" s="393"/>
      <c r="DJ1156" s="393"/>
      <c r="DK1156" s="897"/>
    </row>
    <row r="1157" spans="1:115" ht="25.5" x14ac:dyDescent="0.2">
      <c r="A1157" s="295">
        <v>1153</v>
      </c>
      <c r="B1157" s="390" t="s">
        <v>5762</v>
      </c>
      <c r="C1157" s="390"/>
      <c r="D1157" s="391" t="s">
        <v>5763</v>
      </c>
      <c r="E1157" s="704" t="s">
        <v>5764</v>
      </c>
      <c r="F1157" s="393" t="s">
        <v>1393</v>
      </c>
      <c r="G1157" s="393" t="s">
        <v>1708</v>
      </c>
      <c r="H1157" s="393" t="s">
        <v>1395</v>
      </c>
      <c r="I1157" s="392"/>
      <c r="J1157" s="392"/>
      <c r="K1157" s="392"/>
      <c r="L1157" s="392" t="s">
        <v>1499</v>
      </c>
      <c r="M1157" s="392"/>
      <c r="N1157" s="393" t="s">
        <v>44</v>
      </c>
      <c r="O1157" s="393" t="s">
        <v>827</v>
      </c>
      <c r="P1157" s="393" t="s">
        <v>827</v>
      </c>
      <c r="Q1157" s="392" t="s">
        <v>836</v>
      </c>
      <c r="R1157" s="392" t="s">
        <v>5765</v>
      </c>
      <c r="S1157" s="392" t="s">
        <v>291</v>
      </c>
      <c r="T1157" s="394">
        <v>1</v>
      </c>
      <c r="U1157" s="395">
        <v>11.97</v>
      </c>
      <c r="V1157" s="395"/>
      <c r="W1157" s="453"/>
      <c r="X1157" s="394"/>
      <c r="Y1157" s="394">
        <v>7</v>
      </c>
      <c r="Z1157" s="394">
        <v>25</v>
      </c>
      <c r="AA1157" s="395">
        <v>-7.3999999999999996E-2</v>
      </c>
      <c r="AB1157" s="452">
        <v>41619</v>
      </c>
      <c r="AC1157" s="398">
        <v>0</v>
      </c>
      <c r="AD1157" s="398">
        <v>84.5114794520548</v>
      </c>
      <c r="AE1157" s="393" t="s">
        <v>72</v>
      </c>
      <c r="AF1157" s="417"/>
      <c r="AG1157" s="417"/>
      <c r="AH1157" s="417"/>
      <c r="AI1157" s="394"/>
      <c r="AJ1157" s="453"/>
      <c r="AK1157" s="453"/>
      <c r="AL1157" s="393"/>
      <c r="AM1157" s="393"/>
      <c r="AN1157" s="417"/>
      <c r="AO1157" s="392"/>
      <c r="AP1157" s="392"/>
      <c r="AQ1157" s="392"/>
      <c r="AR1157" s="392" t="s">
        <v>1501</v>
      </c>
      <c r="AS1157" s="479">
        <v>40961</v>
      </c>
      <c r="AT1157" s="453"/>
      <c r="AU1157" s="453"/>
      <c r="AV1157" s="453"/>
      <c r="AW1157" s="453"/>
      <c r="AX1157" s="453"/>
      <c r="AY1157" s="453"/>
      <c r="AZ1157" s="452">
        <v>41628</v>
      </c>
      <c r="BA1157" s="393"/>
      <c r="BB1157" s="393"/>
      <c r="BC1157" s="393" t="b">
        <v>0</v>
      </c>
      <c r="BD1157" s="393"/>
      <c r="BE1157" s="392"/>
      <c r="BF1157" s="394">
        <v>1</v>
      </c>
      <c r="BG1157" s="394">
        <v>7</v>
      </c>
      <c r="BH1157" s="394"/>
      <c r="BI1157" s="394"/>
      <c r="BJ1157" s="394"/>
      <c r="BK1157" s="394"/>
      <c r="BL1157" s="444" t="s">
        <v>6981</v>
      </c>
      <c r="BM1157" s="392"/>
      <c r="BN1157" s="393"/>
      <c r="BO1157" s="393"/>
      <c r="BP1157" s="399"/>
      <c r="BQ1157" s="400"/>
      <c r="BR1157" s="401"/>
      <c r="BS1157" s="399">
        <v>11.26</v>
      </c>
      <c r="BT1157" s="394">
        <v>18</v>
      </c>
      <c r="BU1157" s="417">
        <v>0.65720000000000001</v>
      </c>
      <c r="BV1157" s="399"/>
      <c r="BW1157" s="393" t="s">
        <v>3117</v>
      </c>
      <c r="BX1157" s="392" t="s">
        <v>1520</v>
      </c>
      <c r="BY1157" s="393"/>
      <c r="BZ1157" s="393"/>
      <c r="CA1157" s="441"/>
      <c r="CB1157" s="400"/>
      <c r="CC1157" s="398"/>
      <c r="CD1157" s="398"/>
      <c r="CE1157" s="398"/>
      <c r="CF1157" s="398"/>
      <c r="CG1157" s="398"/>
      <c r="CH1157" s="398"/>
      <c r="CI1157" s="398">
        <v>12.194000000000001</v>
      </c>
      <c r="CJ1157" s="398">
        <v>12.119</v>
      </c>
      <c r="CK1157" s="398">
        <v>12.044</v>
      </c>
      <c r="CL1157" s="398">
        <v>11.968999999999999</v>
      </c>
      <c r="CM1157" s="398">
        <v>11.895</v>
      </c>
      <c r="CN1157" s="398">
        <v>11.821</v>
      </c>
      <c r="CO1157" s="398">
        <v>11.747999999999999</v>
      </c>
      <c r="CP1157" s="398"/>
      <c r="CQ1157" s="398"/>
      <c r="CR1157" s="398"/>
      <c r="CS1157" s="398"/>
      <c r="CT1157" s="398"/>
      <c r="CU1157" s="398"/>
      <c r="CV1157" s="398"/>
      <c r="CW1157" s="398"/>
      <c r="CX1157" s="398"/>
      <c r="CY1157" s="398"/>
      <c r="CZ1157" s="398"/>
      <c r="DA1157" s="398"/>
      <c r="DB1157" s="398"/>
      <c r="DC1157" s="398"/>
      <c r="DD1157" s="398"/>
      <c r="DE1157" s="393"/>
      <c r="DF1157" s="393"/>
      <c r="DG1157" s="393"/>
      <c r="DH1157" s="393"/>
      <c r="DI1157" s="393"/>
      <c r="DJ1157" s="393"/>
      <c r="DK1157" s="897"/>
    </row>
    <row r="1158" spans="1:115" ht="63.75" x14ac:dyDescent="0.2">
      <c r="A1158" s="295">
        <v>1154</v>
      </c>
      <c r="B1158" s="390" t="s">
        <v>1502</v>
      </c>
      <c r="C1158" s="424" t="s">
        <v>7664</v>
      </c>
      <c r="D1158" s="391" t="s">
        <v>5170</v>
      </c>
      <c r="E1158" s="704" t="s">
        <v>1505</v>
      </c>
      <c r="F1158" s="393" t="s">
        <v>1375</v>
      </c>
      <c r="G1158" s="393" t="s">
        <v>1361</v>
      </c>
      <c r="H1158" s="393" t="s">
        <v>137</v>
      </c>
      <c r="I1158" s="392"/>
      <c r="J1158" s="392" t="s">
        <v>137</v>
      </c>
      <c r="K1158" s="392"/>
      <c r="L1158" s="392" t="s">
        <v>1506</v>
      </c>
      <c r="M1158" s="392" t="s">
        <v>3460</v>
      </c>
      <c r="N1158" s="393" t="s">
        <v>44</v>
      </c>
      <c r="O1158" s="393" t="s">
        <v>5030</v>
      </c>
      <c r="P1158" s="393" t="s">
        <v>5030</v>
      </c>
      <c r="Q1158" s="392" t="s">
        <v>1831</v>
      </c>
      <c r="R1158" s="392"/>
      <c r="S1158" s="392" t="s">
        <v>650</v>
      </c>
      <c r="T1158" s="394">
        <v>1</v>
      </c>
      <c r="U1158" s="395">
        <v>16.477</v>
      </c>
      <c r="V1158" s="395"/>
      <c r="W1158" s="452">
        <v>41275</v>
      </c>
      <c r="X1158" s="394">
        <v>28</v>
      </c>
      <c r="Y1158" s="394"/>
      <c r="Z1158" s="394"/>
      <c r="AA1158" s="395"/>
      <c r="AB1158" s="453"/>
      <c r="AC1158" s="398">
        <v>0</v>
      </c>
      <c r="AD1158" s="398">
        <v>132.13199726027398</v>
      </c>
      <c r="AE1158" s="393" t="s">
        <v>787</v>
      </c>
      <c r="AF1158" s="417"/>
      <c r="AG1158" s="417"/>
      <c r="AH1158" s="417">
        <v>0</v>
      </c>
      <c r="AI1158" s="394"/>
      <c r="AJ1158" s="453"/>
      <c r="AK1158" s="453"/>
      <c r="AL1158" s="393"/>
      <c r="AM1158" s="393"/>
      <c r="AN1158" s="417"/>
      <c r="AO1158" s="392"/>
      <c r="AP1158" s="392" t="s">
        <v>7100</v>
      </c>
      <c r="AQ1158" s="392"/>
      <c r="AR1158" s="392" t="s">
        <v>1508</v>
      </c>
      <c r="AS1158" s="479">
        <v>40964</v>
      </c>
      <c r="AT1158" s="453"/>
      <c r="AU1158" s="453"/>
      <c r="AV1158" s="453"/>
      <c r="AW1158" s="453"/>
      <c r="AX1158" s="453"/>
      <c r="AY1158" s="452">
        <v>41269</v>
      </c>
      <c r="AZ1158" s="453"/>
      <c r="BA1158" s="393"/>
      <c r="BB1158" s="393" t="s">
        <v>3147</v>
      </c>
      <c r="BC1158" s="393" t="b">
        <v>0</v>
      </c>
      <c r="BD1158" s="393" t="s">
        <v>3147</v>
      </c>
      <c r="BE1158" s="392"/>
      <c r="BF1158" s="394">
        <v>3</v>
      </c>
      <c r="BG1158" s="394">
        <v>4</v>
      </c>
      <c r="BH1158" s="394">
        <v>9</v>
      </c>
      <c r="BI1158" s="394">
        <v>7</v>
      </c>
      <c r="BJ1158" s="394">
        <v>5</v>
      </c>
      <c r="BK1158" s="394">
        <v>8</v>
      </c>
      <c r="BL1158" s="444"/>
      <c r="BM1158" s="392"/>
      <c r="BN1158" s="393"/>
      <c r="BO1158" s="393"/>
      <c r="BP1158" s="399"/>
      <c r="BQ1158" s="400"/>
      <c r="BR1158" s="401"/>
      <c r="BS1158" s="399">
        <v>10</v>
      </c>
      <c r="BT1158" s="394"/>
      <c r="BU1158" s="417"/>
      <c r="BV1158" s="399"/>
      <c r="BW1158" s="393"/>
      <c r="BX1158" s="392"/>
      <c r="BY1158" s="393"/>
      <c r="BZ1158" s="393"/>
      <c r="CA1158" s="441"/>
      <c r="CB1158" s="400"/>
      <c r="CC1158" s="398"/>
      <c r="CD1158" s="398"/>
      <c r="CE1158" s="398"/>
      <c r="CF1158" s="398"/>
      <c r="CG1158" s="398"/>
      <c r="CH1158" s="398"/>
      <c r="CI1158" s="398"/>
      <c r="CJ1158" s="398"/>
      <c r="CK1158" s="398"/>
      <c r="CL1158" s="398"/>
      <c r="CM1158" s="398"/>
      <c r="CN1158" s="398"/>
      <c r="CO1158" s="398"/>
      <c r="CP1158" s="398"/>
      <c r="CQ1158" s="398"/>
      <c r="CR1158" s="398"/>
      <c r="CS1158" s="398"/>
      <c r="CT1158" s="398"/>
      <c r="CU1158" s="398"/>
      <c r="CV1158" s="398"/>
      <c r="CW1158" s="398"/>
      <c r="CX1158" s="398"/>
      <c r="CY1158" s="398"/>
      <c r="CZ1158" s="398"/>
      <c r="DA1158" s="398"/>
      <c r="DB1158" s="398"/>
      <c r="DC1158" s="398"/>
      <c r="DD1158" s="398"/>
      <c r="DE1158" s="393"/>
      <c r="DF1158" s="393"/>
      <c r="DG1158" s="393"/>
      <c r="DH1158" s="393"/>
      <c r="DI1158" s="393"/>
      <c r="DJ1158" s="393"/>
      <c r="DK1158" s="896" t="s">
        <v>9722</v>
      </c>
    </row>
    <row r="1159" spans="1:115" ht="25.5" x14ac:dyDescent="0.2">
      <c r="A1159" s="295">
        <v>1155</v>
      </c>
      <c r="B1159" s="390" t="s">
        <v>2836</v>
      </c>
      <c r="C1159" s="390"/>
      <c r="D1159" s="391" t="s">
        <v>4958</v>
      </c>
      <c r="E1159" s="704" t="s">
        <v>1507</v>
      </c>
      <c r="F1159" s="393" t="s">
        <v>1375</v>
      </c>
      <c r="G1159" s="393" t="s">
        <v>1361</v>
      </c>
      <c r="H1159" s="393" t="s">
        <v>137</v>
      </c>
      <c r="I1159" s="392"/>
      <c r="J1159" s="392"/>
      <c r="K1159" s="392" t="s">
        <v>2188</v>
      </c>
      <c r="L1159" s="392" t="s">
        <v>1506</v>
      </c>
      <c r="M1159" s="392"/>
      <c r="N1159" s="393" t="s">
        <v>44</v>
      </c>
      <c r="O1159" s="393" t="s">
        <v>827</v>
      </c>
      <c r="P1159" s="393" t="s">
        <v>827</v>
      </c>
      <c r="Q1159" s="392" t="s">
        <v>836</v>
      </c>
      <c r="R1159" s="392" t="s">
        <v>3461</v>
      </c>
      <c r="S1159" s="392" t="s">
        <v>650</v>
      </c>
      <c r="T1159" s="394">
        <v>1</v>
      </c>
      <c r="U1159" s="395">
        <v>16.477</v>
      </c>
      <c r="V1159" s="395"/>
      <c r="W1159" s="453"/>
      <c r="X1159" s="394"/>
      <c r="Y1159" s="394">
        <v>7</v>
      </c>
      <c r="Z1159" s="394">
        <v>20</v>
      </c>
      <c r="AA1159" s="395">
        <v>-0.14000000000000001</v>
      </c>
      <c r="AB1159" s="452">
        <v>41269</v>
      </c>
      <c r="AC1159" s="398">
        <v>0</v>
      </c>
      <c r="AD1159" s="398">
        <v>132.13199726027398</v>
      </c>
      <c r="AE1159" s="393" t="s">
        <v>787</v>
      </c>
      <c r="AF1159" s="417"/>
      <c r="AG1159" s="417"/>
      <c r="AH1159" s="417"/>
      <c r="AI1159" s="394"/>
      <c r="AJ1159" s="453"/>
      <c r="AK1159" s="453"/>
      <c r="AL1159" s="393"/>
      <c r="AM1159" s="393"/>
      <c r="AN1159" s="417"/>
      <c r="AO1159" s="392"/>
      <c r="AP1159" s="392" t="s">
        <v>7100</v>
      </c>
      <c r="AQ1159" s="392"/>
      <c r="AR1159" s="392" t="s">
        <v>1508</v>
      </c>
      <c r="AS1159" s="479">
        <v>40964</v>
      </c>
      <c r="AT1159" s="453"/>
      <c r="AU1159" s="453"/>
      <c r="AV1159" s="453"/>
      <c r="AW1159" s="453"/>
      <c r="AX1159" s="453"/>
      <c r="AY1159" s="453"/>
      <c r="AZ1159" s="452">
        <v>41269</v>
      </c>
      <c r="BA1159" s="393"/>
      <c r="BB1159" s="393"/>
      <c r="BC1159" s="393" t="b">
        <v>0</v>
      </c>
      <c r="BD1159" s="393"/>
      <c r="BE1159" s="392"/>
      <c r="BF1159" s="394">
        <v>3</v>
      </c>
      <c r="BG1159" s="394">
        <v>4</v>
      </c>
      <c r="BH1159" s="394">
        <v>9</v>
      </c>
      <c r="BI1159" s="394">
        <v>7</v>
      </c>
      <c r="BJ1159" s="394">
        <v>5</v>
      </c>
      <c r="BK1159" s="394">
        <v>8</v>
      </c>
      <c r="BL1159" s="444" t="s">
        <v>6981</v>
      </c>
      <c r="BM1159" s="392"/>
      <c r="BN1159" s="393"/>
      <c r="BO1159" s="393"/>
      <c r="BP1159" s="399"/>
      <c r="BQ1159" s="400"/>
      <c r="BR1159" s="401"/>
      <c r="BS1159" s="399">
        <v>10</v>
      </c>
      <c r="BT1159" s="394">
        <v>17042</v>
      </c>
      <c r="BU1159" s="417">
        <v>1.0399</v>
      </c>
      <c r="BV1159" s="399"/>
      <c r="BW1159" s="393" t="s">
        <v>3117</v>
      </c>
      <c r="BX1159" s="392" t="s">
        <v>1520</v>
      </c>
      <c r="BY1159" s="393"/>
      <c r="BZ1159" s="393"/>
      <c r="CA1159" s="441"/>
      <c r="CB1159" s="400"/>
      <c r="CC1159" s="398"/>
      <c r="CD1159" s="398"/>
      <c r="CE1159" s="398"/>
      <c r="CF1159" s="398"/>
      <c r="CG1159" s="398"/>
      <c r="CH1159" s="398"/>
      <c r="CI1159" s="398">
        <v>9.14</v>
      </c>
      <c r="CJ1159" s="398">
        <v>18.23</v>
      </c>
      <c r="CK1159" s="398">
        <v>18.102</v>
      </c>
      <c r="CL1159" s="398">
        <v>17.975000000000001</v>
      </c>
      <c r="CM1159" s="398">
        <v>17.849</v>
      </c>
      <c r="CN1159" s="398">
        <v>17.724</v>
      </c>
      <c r="CO1159" s="398">
        <v>17.600000000000001</v>
      </c>
      <c r="CP1159" s="398">
        <v>17.477</v>
      </c>
      <c r="CQ1159" s="398">
        <v>17.355</v>
      </c>
      <c r="CR1159" s="398">
        <v>17.233000000000001</v>
      </c>
      <c r="CS1159" s="398">
        <v>8.5329999999999995</v>
      </c>
      <c r="CT1159" s="398"/>
      <c r="CU1159" s="398"/>
      <c r="CV1159" s="398"/>
      <c r="CW1159" s="398"/>
      <c r="CX1159" s="398"/>
      <c r="CY1159" s="398"/>
      <c r="CZ1159" s="398"/>
      <c r="DA1159" s="398"/>
      <c r="DB1159" s="398"/>
      <c r="DC1159" s="398"/>
      <c r="DD1159" s="398"/>
      <c r="DE1159" s="393"/>
      <c r="DF1159" s="393"/>
      <c r="DG1159" s="393"/>
      <c r="DH1159" s="393"/>
      <c r="DI1159" s="393"/>
      <c r="DJ1159" s="393"/>
      <c r="DK1159" s="897"/>
    </row>
    <row r="1160" spans="1:115" ht="51" x14ac:dyDescent="0.2">
      <c r="A1160" s="295">
        <v>1156</v>
      </c>
      <c r="B1160" s="390" t="s">
        <v>1503</v>
      </c>
      <c r="C1160" s="424" t="s">
        <v>7665</v>
      </c>
      <c r="D1160" s="391" t="s">
        <v>5584</v>
      </c>
      <c r="E1160" s="704" t="s">
        <v>1510</v>
      </c>
      <c r="F1160" s="393" t="s">
        <v>1375</v>
      </c>
      <c r="G1160" s="393" t="s">
        <v>998</v>
      </c>
      <c r="H1160" s="393" t="s">
        <v>1059</v>
      </c>
      <c r="I1160" s="392"/>
      <c r="J1160" s="392" t="s">
        <v>1512</v>
      </c>
      <c r="K1160" s="392"/>
      <c r="L1160" s="392" t="s">
        <v>1514</v>
      </c>
      <c r="M1160" s="392" t="s">
        <v>3462</v>
      </c>
      <c r="N1160" s="393" t="s">
        <v>44</v>
      </c>
      <c r="O1160" s="393" t="s">
        <v>51</v>
      </c>
      <c r="P1160" s="393" t="s">
        <v>51</v>
      </c>
      <c r="Q1160" s="392" t="s">
        <v>976</v>
      </c>
      <c r="R1160" s="392"/>
      <c r="S1160" s="392" t="s">
        <v>977</v>
      </c>
      <c r="T1160" s="394">
        <v>1</v>
      </c>
      <c r="U1160" s="395">
        <v>43.091999999999999</v>
      </c>
      <c r="V1160" s="395"/>
      <c r="W1160" s="452">
        <v>40969</v>
      </c>
      <c r="X1160" s="394">
        <v>28</v>
      </c>
      <c r="Y1160" s="394"/>
      <c r="Z1160" s="394"/>
      <c r="AA1160" s="395"/>
      <c r="AB1160" s="453"/>
      <c r="AC1160" s="398">
        <v>47.639270000000003</v>
      </c>
      <c r="AD1160" s="398">
        <v>380.98050410958899</v>
      </c>
      <c r="AE1160" s="393" t="s">
        <v>54</v>
      </c>
      <c r="AF1160" s="417"/>
      <c r="AG1160" s="417"/>
      <c r="AH1160" s="417">
        <v>0</v>
      </c>
      <c r="AI1160" s="394"/>
      <c r="AJ1160" s="453"/>
      <c r="AK1160" s="453"/>
      <c r="AL1160" s="393"/>
      <c r="AM1160" s="393"/>
      <c r="AN1160" s="417"/>
      <c r="AO1160" s="392"/>
      <c r="AP1160" s="392" t="s">
        <v>7101</v>
      </c>
      <c r="AQ1160" s="392"/>
      <c r="AR1160" s="392" t="s">
        <v>1511</v>
      </c>
      <c r="AS1160" s="479">
        <v>40967</v>
      </c>
      <c r="AT1160" s="453"/>
      <c r="AU1160" s="453"/>
      <c r="AV1160" s="452">
        <v>41099</v>
      </c>
      <c r="AW1160" s="452">
        <v>41349</v>
      </c>
      <c r="AX1160" s="452">
        <v>41537</v>
      </c>
      <c r="AY1160" s="452">
        <v>41351</v>
      </c>
      <c r="AZ1160" s="453"/>
      <c r="BA1160" s="393"/>
      <c r="BB1160" s="393" t="s">
        <v>3116</v>
      </c>
      <c r="BC1160" s="393" t="b">
        <v>0</v>
      </c>
      <c r="BD1160" s="393" t="s">
        <v>3147</v>
      </c>
      <c r="BE1160" s="392"/>
      <c r="BF1160" s="394">
        <v>6</v>
      </c>
      <c r="BG1160" s="394">
        <v>4</v>
      </c>
      <c r="BH1160" s="394">
        <v>8</v>
      </c>
      <c r="BI1160" s="394">
        <v>9</v>
      </c>
      <c r="BJ1160" s="394">
        <v>5</v>
      </c>
      <c r="BK1160" s="394"/>
      <c r="BL1160" s="444"/>
      <c r="BM1160" s="392"/>
      <c r="BN1160" s="393"/>
      <c r="BO1160" s="393"/>
      <c r="BP1160" s="399"/>
      <c r="BQ1160" s="400"/>
      <c r="BR1160" s="401"/>
      <c r="BS1160" s="399">
        <v>0</v>
      </c>
      <c r="BT1160" s="394"/>
      <c r="BU1160" s="417"/>
      <c r="BV1160" s="399"/>
      <c r="BW1160" s="393"/>
      <c r="BX1160" s="392"/>
      <c r="BY1160" s="393"/>
      <c r="BZ1160" s="393"/>
      <c r="CA1160" s="441"/>
      <c r="CB1160" s="400"/>
      <c r="CC1160" s="398"/>
      <c r="CD1160" s="398"/>
      <c r="CE1160" s="398"/>
      <c r="CF1160" s="398"/>
      <c r="CG1160" s="398"/>
      <c r="CH1160" s="398"/>
      <c r="CI1160" s="398"/>
      <c r="CJ1160" s="398"/>
      <c r="CK1160" s="398"/>
      <c r="CL1160" s="398"/>
      <c r="CM1160" s="398"/>
      <c r="CN1160" s="398"/>
      <c r="CO1160" s="398"/>
      <c r="CP1160" s="398"/>
      <c r="CQ1160" s="398"/>
      <c r="CR1160" s="398"/>
      <c r="CS1160" s="398"/>
      <c r="CT1160" s="398"/>
      <c r="CU1160" s="398"/>
      <c r="CV1160" s="398"/>
      <c r="CW1160" s="398"/>
      <c r="CX1160" s="398"/>
      <c r="CY1160" s="398"/>
      <c r="CZ1160" s="398"/>
      <c r="DA1160" s="398"/>
      <c r="DB1160" s="398"/>
      <c r="DC1160" s="398"/>
      <c r="DD1160" s="398"/>
      <c r="DE1160" s="393"/>
      <c r="DF1160" s="393"/>
      <c r="DG1160" s="393"/>
      <c r="DH1160" s="393"/>
      <c r="DI1160" s="393"/>
      <c r="DJ1160" s="393"/>
      <c r="DK1160" s="896" t="s">
        <v>9701</v>
      </c>
    </row>
    <row r="1161" spans="1:115" ht="25.5" x14ac:dyDescent="0.2">
      <c r="A1161" s="295">
        <v>1157</v>
      </c>
      <c r="B1161" s="390" t="s">
        <v>2837</v>
      </c>
      <c r="C1161" s="390"/>
      <c r="D1161" s="391" t="s">
        <v>5585</v>
      </c>
      <c r="E1161" s="704" t="s">
        <v>1513</v>
      </c>
      <c r="F1161" s="393" t="s">
        <v>1375</v>
      </c>
      <c r="G1161" s="393" t="s">
        <v>998</v>
      </c>
      <c r="H1161" s="393" t="s">
        <v>1059</v>
      </c>
      <c r="I1161" s="392"/>
      <c r="J1161" s="392"/>
      <c r="K1161" s="392" t="s">
        <v>1059</v>
      </c>
      <c r="L1161" s="392" t="s">
        <v>1514</v>
      </c>
      <c r="M1161" s="392"/>
      <c r="N1161" s="393" t="s">
        <v>44</v>
      </c>
      <c r="O1161" s="393" t="s">
        <v>51</v>
      </c>
      <c r="P1161" s="393" t="s">
        <v>51</v>
      </c>
      <c r="Q1161" s="392" t="s">
        <v>976</v>
      </c>
      <c r="R1161" s="392" t="s">
        <v>3463</v>
      </c>
      <c r="S1161" s="392" t="s">
        <v>977</v>
      </c>
      <c r="T1161" s="394">
        <v>1</v>
      </c>
      <c r="U1161" s="395">
        <v>43.091999999999999</v>
      </c>
      <c r="V1161" s="395"/>
      <c r="W1161" s="453"/>
      <c r="X1161" s="394"/>
      <c r="Y1161" s="394">
        <v>7</v>
      </c>
      <c r="Z1161" s="394">
        <v>21</v>
      </c>
      <c r="AA1161" s="395">
        <v>7.5</v>
      </c>
      <c r="AB1161" s="452">
        <v>40969</v>
      </c>
      <c r="AC1161" s="398">
        <v>47.639270000000003</v>
      </c>
      <c r="AD1161" s="398">
        <v>380.98050410958899</v>
      </c>
      <c r="AE1161" s="393" t="s">
        <v>54</v>
      </c>
      <c r="AF1161" s="417"/>
      <c r="AG1161" s="417"/>
      <c r="AH1161" s="417"/>
      <c r="AI1161" s="394"/>
      <c r="AJ1161" s="453"/>
      <c r="AK1161" s="453"/>
      <c r="AL1161" s="393"/>
      <c r="AM1161" s="393"/>
      <c r="AN1161" s="417"/>
      <c r="AO1161" s="392"/>
      <c r="AP1161" s="392" t="s">
        <v>7101</v>
      </c>
      <c r="AQ1161" s="392"/>
      <c r="AR1161" s="392" t="s">
        <v>1511</v>
      </c>
      <c r="AS1161" s="479">
        <v>40967</v>
      </c>
      <c r="AT1161" s="453"/>
      <c r="AU1161" s="453"/>
      <c r="AV1161" s="453"/>
      <c r="AW1161" s="453"/>
      <c r="AX1161" s="453"/>
      <c r="AY1161" s="453"/>
      <c r="AZ1161" s="452">
        <v>41351</v>
      </c>
      <c r="BA1161" s="393"/>
      <c r="BB1161" s="393"/>
      <c r="BC1161" s="393" t="b">
        <v>0</v>
      </c>
      <c r="BD1161" s="393"/>
      <c r="BE1161" s="392"/>
      <c r="BF1161" s="394">
        <v>6</v>
      </c>
      <c r="BG1161" s="394">
        <v>4</v>
      </c>
      <c r="BH1161" s="394">
        <v>8</v>
      </c>
      <c r="BI1161" s="394">
        <v>9</v>
      </c>
      <c r="BJ1161" s="394">
        <v>5</v>
      </c>
      <c r="BK1161" s="394"/>
      <c r="BL1161" s="444" t="s">
        <v>6981</v>
      </c>
      <c r="BM1161" s="392"/>
      <c r="BN1161" s="393"/>
      <c r="BO1161" s="393"/>
      <c r="BP1161" s="399"/>
      <c r="BQ1161" s="400"/>
      <c r="BR1161" s="401"/>
      <c r="BS1161" s="399"/>
      <c r="BT1161" s="394"/>
      <c r="BU1161" s="417"/>
      <c r="BV1161" s="399"/>
      <c r="BW1161" s="393" t="s">
        <v>3117</v>
      </c>
      <c r="BX1161" s="392" t="s">
        <v>3223</v>
      </c>
      <c r="BY1161" s="393" t="s">
        <v>7225</v>
      </c>
      <c r="BZ1161" s="393"/>
      <c r="CA1161" s="441"/>
      <c r="CB1161" s="400"/>
      <c r="CC1161" s="398"/>
      <c r="CD1161" s="398"/>
      <c r="CE1161" s="398"/>
      <c r="CF1161" s="398"/>
      <c r="CG1161" s="398"/>
      <c r="CH1161" s="398"/>
      <c r="CI1161" s="398">
        <v>17.498000000000001</v>
      </c>
      <c r="CJ1161" s="398">
        <v>68.198999999999998</v>
      </c>
      <c r="CK1161" s="398">
        <v>69.406999999999996</v>
      </c>
      <c r="CL1161" s="398">
        <v>70.558999999999997</v>
      </c>
      <c r="CM1161" s="398">
        <v>53.965000000000003</v>
      </c>
      <c r="CN1161" s="398">
        <v>58.243000000000002</v>
      </c>
      <c r="CO1161" s="398">
        <v>62.462000000000003</v>
      </c>
      <c r="CP1161" s="398"/>
      <c r="CQ1161" s="398"/>
      <c r="CR1161" s="398"/>
      <c r="CS1161" s="398"/>
      <c r="CT1161" s="398"/>
      <c r="CU1161" s="398"/>
      <c r="CV1161" s="398"/>
      <c r="CW1161" s="398"/>
      <c r="CX1161" s="398"/>
      <c r="CY1161" s="398"/>
      <c r="CZ1161" s="398"/>
      <c r="DA1161" s="398"/>
      <c r="DB1161" s="398"/>
      <c r="DC1161" s="398"/>
      <c r="DD1161" s="398"/>
      <c r="DE1161" s="393"/>
      <c r="DF1161" s="393"/>
      <c r="DG1161" s="393"/>
      <c r="DH1161" s="393"/>
      <c r="DI1161" s="393"/>
      <c r="DJ1161" s="393"/>
      <c r="DK1161" s="897"/>
    </row>
    <row r="1162" spans="1:115" ht="63.75" x14ac:dyDescent="0.2">
      <c r="A1162" s="295">
        <v>1158</v>
      </c>
      <c r="B1162" s="390" t="s">
        <v>1504</v>
      </c>
      <c r="C1162" s="424" t="s">
        <v>7666</v>
      </c>
      <c r="D1162" s="391"/>
      <c r="E1162" s="706" t="s">
        <v>1515</v>
      </c>
      <c r="F1162" s="390" t="s">
        <v>1375</v>
      </c>
      <c r="G1162" s="390" t="s">
        <v>1361</v>
      </c>
      <c r="H1162" s="390" t="s">
        <v>137</v>
      </c>
      <c r="I1162" s="402"/>
      <c r="J1162" s="402" t="s">
        <v>137</v>
      </c>
      <c r="K1162" s="402"/>
      <c r="L1162" s="402" t="s">
        <v>1516</v>
      </c>
      <c r="M1162" s="402" t="s">
        <v>3464</v>
      </c>
      <c r="N1162" s="390" t="s">
        <v>33</v>
      </c>
      <c r="O1162" s="390" t="s">
        <v>93</v>
      </c>
      <c r="P1162" s="390" t="s">
        <v>93</v>
      </c>
      <c r="Q1162" s="402" t="s">
        <v>94</v>
      </c>
      <c r="R1162" s="402"/>
      <c r="S1162" s="448" t="s">
        <v>95</v>
      </c>
      <c r="T1162" s="411">
        <v>1</v>
      </c>
      <c r="U1162" s="412">
        <v>5.8730000000000002</v>
      </c>
      <c r="V1162" s="412"/>
      <c r="W1162" s="457">
        <v>40968</v>
      </c>
      <c r="X1162" s="411">
        <v>28</v>
      </c>
      <c r="Y1162" s="411"/>
      <c r="Z1162" s="411"/>
      <c r="AA1162" s="412"/>
      <c r="AB1162" s="454"/>
      <c r="AC1162" s="413">
        <v>0</v>
      </c>
      <c r="AD1162" s="413">
        <v>58.730000000000004</v>
      </c>
      <c r="AE1162" s="390" t="s">
        <v>787</v>
      </c>
      <c r="AF1162" s="419"/>
      <c r="AG1162" s="419"/>
      <c r="AH1162" s="419">
        <v>0</v>
      </c>
      <c r="AI1162" s="411"/>
      <c r="AJ1162" s="454"/>
      <c r="AK1162" s="454"/>
      <c r="AL1162" s="390"/>
      <c r="AM1162" s="390"/>
      <c r="AN1162" s="419"/>
      <c r="AO1162" s="402"/>
      <c r="AP1162" s="402" t="s">
        <v>55</v>
      </c>
      <c r="AQ1162" s="402"/>
      <c r="AR1162" s="402" t="s">
        <v>788</v>
      </c>
      <c r="AS1162" s="481">
        <v>40968</v>
      </c>
      <c r="AT1162" s="454"/>
      <c r="AU1162" s="454"/>
      <c r="AV1162" s="454"/>
      <c r="AW1162" s="454"/>
      <c r="AX1162" s="454"/>
      <c r="AY1162" s="454"/>
      <c r="AZ1162" s="454"/>
      <c r="BA1162" s="390"/>
      <c r="BB1162" s="390" t="s">
        <v>3147</v>
      </c>
      <c r="BC1162" s="390" t="b">
        <v>0</v>
      </c>
      <c r="BD1162" s="390" t="s">
        <v>3147</v>
      </c>
      <c r="BE1162" s="402"/>
      <c r="BF1162" s="411">
        <v>5</v>
      </c>
      <c r="BG1162" s="411">
        <v>7</v>
      </c>
      <c r="BH1162" s="411">
        <v>6</v>
      </c>
      <c r="BI1162" s="411">
        <v>9</v>
      </c>
      <c r="BJ1162" s="411">
        <v>11</v>
      </c>
      <c r="BK1162" s="411"/>
      <c r="BL1162" s="445"/>
      <c r="BM1162" s="402"/>
      <c r="BN1162" s="390"/>
      <c r="BO1162" s="390"/>
      <c r="BP1162" s="414"/>
      <c r="BQ1162" s="415"/>
      <c r="BR1162" s="416"/>
      <c r="BS1162" s="414">
        <v>0</v>
      </c>
      <c r="BT1162" s="411"/>
      <c r="BU1162" s="419"/>
      <c r="BV1162" s="414"/>
      <c r="BW1162" s="390"/>
      <c r="BX1162" s="402"/>
      <c r="BY1162" s="390"/>
      <c r="BZ1162" s="390"/>
      <c r="CA1162" s="442"/>
      <c r="CB1162" s="415"/>
      <c r="CC1162" s="413"/>
      <c r="CD1162" s="413"/>
      <c r="CE1162" s="413"/>
      <c r="CF1162" s="413"/>
      <c r="CG1162" s="413"/>
      <c r="CH1162" s="413"/>
      <c r="CI1162" s="413"/>
      <c r="CJ1162" s="413"/>
      <c r="CK1162" s="413"/>
      <c r="CL1162" s="413"/>
      <c r="CM1162" s="413"/>
      <c r="CN1162" s="413"/>
      <c r="CO1162" s="413"/>
      <c r="CP1162" s="413"/>
      <c r="CQ1162" s="413"/>
      <c r="CR1162" s="413"/>
      <c r="CS1162" s="413"/>
      <c r="CT1162" s="413"/>
      <c r="CU1162" s="413"/>
      <c r="CV1162" s="413"/>
      <c r="CW1162" s="413"/>
      <c r="CX1162" s="413"/>
      <c r="CY1162" s="413"/>
      <c r="CZ1162" s="413"/>
      <c r="DA1162" s="413"/>
      <c r="DB1162" s="413"/>
      <c r="DC1162" s="413"/>
      <c r="DD1162" s="413"/>
      <c r="DE1162" s="390"/>
      <c r="DF1162" s="390"/>
      <c r="DG1162" s="390"/>
      <c r="DH1162" s="390"/>
      <c r="DI1162" s="390"/>
      <c r="DJ1162" s="390"/>
      <c r="DK1162" s="897"/>
    </row>
    <row r="1163" spans="1:115" ht="25.5" x14ac:dyDescent="0.2">
      <c r="A1163" s="295">
        <v>1159</v>
      </c>
      <c r="B1163" s="390" t="s">
        <v>2838</v>
      </c>
      <c r="C1163" s="390"/>
      <c r="D1163" s="391"/>
      <c r="E1163" s="706" t="s">
        <v>1517</v>
      </c>
      <c r="F1163" s="390" t="s">
        <v>1375</v>
      </c>
      <c r="G1163" s="390" t="s">
        <v>1361</v>
      </c>
      <c r="H1163" s="390" t="s">
        <v>137</v>
      </c>
      <c r="I1163" s="402"/>
      <c r="J1163" s="402"/>
      <c r="K1163" s="402" t="s">
        <v>1518</v>
      </c>
      <c r="L1163" s="402" t="s">
        <v>1516</v>
      </c>
      <c r="M1163" s="402"/>
      <c r="N1163" s="390" t="s">
        <v>33</v>
      </c>
      <c r="O1163" s="390" t="s">
        <v>93</v>
      </c>
      <c r="P1163" s="390" t="s">
        <v>93</v>
      </c>
      <c r="Q1163" s="402" t="s">
        <v>94</v>
      </c>
      <c r="R1163" s="402" t="s">
        <v>3465</v>
      </c>
      <c r="S1163" s="448" t="s">
        <v>95</v>
      </c>
      <c r="T1163" s="411">
        <v>1</v>
      </c>
      <c r="U1163" s="412">
        <v>5.8730000000000002</v>
      </c>
      <c r="V1163" s="412"/>
      <c r="W1163" s="454"/>
      <c r="X1163" s="411"/>
      <c r="Y1163" s="411">
        <v>10</v>
      </c>
      <c r="Z1163" s="411">
        <v>20</v>
      </c>
      <c r="AA1163" s="412">
        <v>0</v>
      </c>
      <c r="AB1163" s="457">
        <v>41275</v>
      </c>
      <c r="AC1163" s="413">
        <v>0</v>
      </c>
      <c r="AD1163" s="413">
        <v>58.730000000000004</v>
      </c>
      <c r="AE1163" s="390" t="s">
        <v>787</v>
      </c>
      <c r="AF1163" s="419"/>
      <c r="AG1163" s="419"/>
      <c r="AH1163" s="419"/>
      <c r="AI1163" s="411"/>
      <c r="AJ1163" s="454"/>
      <c r="AK1163" s="454"/>
      <c r="AL1163" s="390"/>
      <c r="AM1163" s="390"/>
      <c r="AN1163" s="419"/>
      <c r="AO1163" s="402"/>
      <c r="AP1163" s="402" t="s">
        <v>55</v>
      </c>
      <c r="AQ1163" s="402"/>
      <c r="AR1163" s="402" t="s">
        <v>788</v>
      </c>
      <c r="AS1163" s="481">
        <v>40968</v>
      </c>
      <c r="AT1163" s="454"/>
      <c r="AU1163" s="454"/>
      <c r="AV1163" s="454"/>
      <c r="AW1163" s="454"/>
      <c r="AX1163" s="454"/>
      <c r="AY1163" s="454"/>
      <c r="AZ1163" s="454"/>
      <c r="BA1163" s="390"/>
      <c r="BB1163" s="390"/>
      <c r="BC1163" s="390" t="b">
        <v>0</v>
      </c>
      <c r="BD1163" s="390"/>
      <c r="BE1163" s="402"/>
      <c r="BF1163" s="411">
        <v>5</v>
      </c>
      <c r="BG1163" s="411">
        <v>7</v>
      </c>
      <c r="BH1163" s="411">
        <v>6</v>
      </c>
      <c r="BI1163" s="411">
        <v>9</v>
      </c>
      <c r="BJ1163" s="411">
        <v>11</v>
      </c>
      <c r="BK1163" s="411"/>
      <c r="BL1163" s="445" t="s">
        <v>6982</v>
      </c>
      <c r="BM1163" s="402"/>
      <c r="BN1163" s="390"/>
      <c r="BO1163" s="390"/>
      <c r="BP1163" s="414"/>
      <c r="BQ1163" s="415"/>
      <c r="BR1163" s="416"/>
      <c r="BS1163" s="414"/>
      <c r="BT1163" s="411"/>
      <c r="BU1163" s="419"/>
      <c r="BV1163" s="414"/>
      <c r="BW1163" s="390" t="s">
        <v>3117</v>
      </c>
      <c r="BX1163" s="402" t="s">
        <v>1447</v>
      </c>
      <c r="BY1163" s="390"/>
      <c r="BZ1163" s="390"/>
      <c r="CA1163" s="442"/>
      <c r="CB1163" s="415"/>
      <c r="CC1163" s="413"/>
      <c r="CD1163" s="413"/>
      <c r="CE1163" s="413"/>
      <c r="CF1163" s="413"/>
      <c r="CG1163" s="413"/>
      <c r="CH1163" s="413">
        <v>1.9490000000000001</v>
      </c>
      <c r="CI1163" s="413">
        <v>3.911</v>
      </c>
      <c r="CJ1163" s="413">
        <v>5.8730000000000002</v>
      </c>
      <c r="CK1163" s="413">
        <v>5.8730000000000002</v>
      </c>
      <c r="CL1163" s="413">
        <v>5.8730000000000002</v>
      </c>
      <c r="CM1163" s="413">
        <v>5.8730000000000002</v>
      </c>
      <c r="CN1163" s="413">
        <v>5.8730000000000002</v>
      </c>
      <c r="CO1163" s="413">
        <v>5.8730000000000002</v>
      </c>
      <c r="CP1163" s="413">
        <v>5.8730000000000002</v>
      </c>
      <c r="CQ1163" s="413">
        <v>5.8730000000000002</v>
      </c>
      <c r="CR1163" s="413"/>
      <c r="CS1163" s="413"/>
      <c r="CT1163" s="413"/>
      <c r="CU1163" s="413"/>
      <c r="CV1163" s="413"/>
      <c r="CW1163" s="413"/>
      <c r="CX1163" s="413"/>
      <c r="CY1163" s="413"/>
      <c r="CZ1163" s="413"/>
      <c r="DA1163" s="413"/>
      <c r="DB1163" s="413"/>
      <c r="DC1163" s="413"/>
      <c r="DD1163" s="413"/>
      <c r="DE1163" s="390"/>
      <c r="DF1163" s="390"/>
      <c r="DG1163" s="390"/>
      <c r="DH1163" s="390"/>
      <c r="DI1163" s="390"/>
      <c r="DJ1163" s="390"/>
      <c r="DK1163" s="897"/>
    </row>
    <row r="1164" spans="1:115" ht="89.25" x14ac:dyDescent="0.2">
      <c r="A1164" s="295">
        <v>1160</v>
      </c>
      <c r="B1164" s="390" t="s">
        <v>1521</v>
      </c>
      <c r="C1164" s="424" t="s">
        <v>7667</v>
      </c>
      <c r="D1164" s="391" t="s">
        <v>5171</v>
      </c>
      <c r="E1164" s="704" t="s">
        <v>1537</v>
      </c>
      <c r="F1164" s="393" t="s">
        <v>1352</v>
      </c>
      <c r="G1164" s="393" t="s">
        <v>1671</v>
      </c>
      <c r="H1164" s="393" t="s">
        <v>117</v>
      </c>
      <c r="I1164" s="392"/>
      <c r="J1164" s="392" t="s">
        <v>1538</v>
      </c>
      <c r="K1164" s="392"/>
      <c r="L1164" s="392" t="s">
        <v>1539</v>
      </c>
      <c r="M1164" s="392" t="s">
        <v>3466</v>
      </c>
      <c r="N1164" s="393" t="s">
        <v>44</v>
      </c>
      <c r="O1164" s="393" t="s">
        <v>69</v>
      </c>
      <c r="P1164" s="393" t="s">
        <v>69</v>
      </c>
      <c r="Q1164" s="392" t="s">
        <v>572</v>
      </c>
      <c r="R1164" s="392"/>
      <c r="S1164" s="392" t="s">
        <v>573</v>
      </c>
      <c r="T1164" s="394">
        <v>1</v>
      </c>
      <c r="U1164" s="395">
        <v>5.093</v>
      </c>
      <c r="V1164" s="395"/>
      <c r="W1164" s="452">
        <v>41258</v>
      </c>
      <c r="X1164" s="394">
        <v>28</v>
      </c>
      <c r="Y1164" s="394"/>
      <c r="Z1164" s="394"/>
      <c r="AA1164" s="395"/>
      <c r="AB1164" s="453"/>
      <c r="AC1164" s="398">
        <v>0</v>
      </c>
      <c r="AD1164" s="398">
        <v>50.93</v>
      </c>
      <c r="AE1164" s="393" t="s">
        <v>47</v>
      </c>
      <c r="AF1164" s="417"/>
      <c r="AG1164" s="417"/>
      <c r="AH1164" s="417">
        <v>0</v>
      </c>
      <c r="AI1164" s="394"/>
      <c r="AJ1164" s="453"/>
      <c r="AK1164" s="453"/>
      <c r="AL1164" s="393"/>
      <c r="AM1164" s="393"/>
      <c r="AN1164" s="417"/>
      <c r="AO1164" s="392"/>
      <c r="AP1164" s="392" t="s">
        <v>7060</v>
      </c>
      <c r="AQ1164" s="392"/>
      <c r="AR1164" s="392" t="s">
        <v>199</v>
      </c>
      <c r="AS1164" s="479">
        <v>40969</v>
      </c>
      <c r="AT1164" s="453"/>
      <c r="AU1164" s="453"/>
      <c r="AV1164" s="452">
        <v>40969</v>
      </c>
      <c r="AW1164" s="452">
        <v>41256</v>
      </c>
      <c r="AX1164" s="452">
        <v>41300</v>
      </c>
      <c r="AY1164" s="452">
        <v>41256</v>
      </c>
      <c r="AZ1164" s="453"/>
      <c r="BA1164" s="393"/>
      <c r="BB1164" s="393" t="s">
        <v>3147</v>
      </c>
      <c r="BC1164" s="393" t="b">
        <v>1</v>
      </c>
      <c r="BD1164" s="393" t="s">
        <v>3147</v>
      </c>
      <c r="BE1164" s="392" t="s">
        <v>6245</v>
      </c>
      <c r="BF1164" s="394">
        <v>6</v>
      </c>
      <c r="BG1164" s="394">
        <v>8</v>
      </c>
      <c r="BH1164" s="394">
        <v>3</v>
      </c>
      <c r="BI1164" s="394">
        <v>1</v>
      </c>
      <c r="BJ1164" s="394">
        <v>12</v>
      </c>
      <c r="BK1164" s="394">
        <v>9</v>
      </c>
      <c r="BL1164" s="444"/>
      <c r="BM1164" s="392"/>
      <c r="BN1164" s="393"/>
      <c r="BO1164" s="393"/>
      <c r="BP1164" s="399"/>
      <c r="BQ1164" s="400"/>
      <c r="BR1164" s="401"/>
      <c r="BS1164" s="399">
        <v>0.18</v>
      </c>
      <c r="BT1164" s="394"/>
      <c r="BU1164" s="417"/>
      <c r="BV1164" s="399"/>
      <c r="BW1164" s="393"/>
      <c r="BX1164" s="392"/>
      <c r="BY1164" s="393"/>
      <c r="BZ1164" s="393"/>
      <c r="CA1164" s="441"/>
      <c r="CB1164" s="400"/>
      <c r="CC1164" s="398"/>
      <c r="CD1164" s="398"/>
      <c r="CE1164" s="398"/>
      <c r="CF1164" s="398"/>
      <c r="CG1164" s="398"/>
      <c r="CH1164" s="398"/>
      <c r="CI1164" s="398"/>
      <c r="CJ1164" s="398"/>
      <c r="CK1164" s="398"/>
      <c r="CL1164" s="398"/>
      <c r="CM1164" s="398"/>
      <c r="CN1164" s="398"/>
      <c r="CO1164" s="398"/>
      <c r="CP1164" s="398"/>
      <c r="CQ1164" s="398"/>
      <c r="CR1164" s="398"/>
      <c r="CS1164" s="398"/>
      <c r="CT1164" s="398"/>
      <c r="CU1164" s="398"/>
      <c r="CV1164" s="398"/>
      <c r="CW1164" s="398"/>
      <c r="CX1164" s="398"/>
      <c r="CY1164" s="398"/>
      <c r="CZ1164" s="398"/>
      <c r="DA1164" s="398"/>
      <c r="DB1164" s="398"/>
      <c r="DC1164" s="398"/>
      <c r="DD1164" s="398"/>
      <c r="DE1164" s="393"/>
      <c r="DF1164" s="393"/>
      <c r="DG1164" s="393"/>
      <c r="DH1164" s="393"/>
      <c r="DI1164" s="393"/>
      <c r="DJ1164" s="393"/>
      <c r="DK1164" s="896" t="s">
        <v>9700</v>
      </c>
    </row>
    <row r="1165" spans="1:115" ht="25.5" x14ac:dyDescent="0.2">
      <c r="A1165" s="295">
        <v>1161</v>
      </c>
      <c r="B1165" s="390" t="s">
        <v>2839</v>
      </c>
      <c r="C1165" s="390"/>
      <c r="D1165" s="391" t="s">
        <v>4483</v>
      </c>
      <c r="E1165" s="704" t="s">
        <v>1540</v>
      </c>
      <c r="F1165" s="393" t="s">
        <v>1352</v>
      </c>
      <c r="G1165" s="393" t="s">
        <v>1671</v>
      </c>
      <c r="H1165" s="393" t="s">
        <v>117</v>
      </c>
      <c r="I1165" s="392"/>
      <c r="J1165" s="392"/>
      <c r="K1165" s="392" t="s">
        <v>1541</v>
      </c>
      <c r="L1165" s="392" t="s">
        <v>1539</v>
      </c>
      <c r="M1165" s="392"/>
      <c r="N1165" s="393" t="s">
        <v>44</v>
      </c>
      <c r="O1165" s="393" t="s">
        <v>69</v>
      </c>
      <c r="P1165" s="393" t="s">
        <v>69</v>
      </c>
      <c r="Q1165" s="392" t="s">
        <v>572</v>
      </c>
      <c r="R1165" s="392" t="s">
        <v>3467</v>
      </c>
      <c r="S1165" s="392" t="s">
        <v>573</v>
      </c>
      <c r="T1165" s="394">
        <v>1</v>
      </c>
      <c r="U1165" s="395">
        <v>5.093</v>
      </c>
      <c r="V1165" s="395"/>
      <c r="W1165" s="453"/>
      <c r="X1165" s="394"/>
      <c r="Y1165" s="394">
        <v>10</v>
      </c>
      <c r="Z1165" s="394">
        <v>16</v>
      </c>
      <c r="AA1165" s="395">
        <v>0</v>
      </c>
      <c r="AB1165" s="452">
        <v>41426</v>
      </c>
      <c r="AC1165" s="398">
        <v>0</v>
      </c>
      <c r="AD1165" s="398">
        <v>50.93</v>
      </c>
      <c r="AE1165" s="393" t="s">
        <v>47</v>
      </c>
      <c r="AF1165" s="417"/>
      <c r="AG1165" s="417"/>
      <c r="AH1165" s="417"/>
      <c r="AI1165" s="394"/>
      <c r="AJ1165" s="453"/>
      <c r="AK1165" s="453"/>
      <c r="AL1165" s="393"/>
      <c r="AM1165" s="393"/>
      <c r="AN1165" s="417"/>
      <c r="AO1165" s="392"/>
      <c r="AP1165" s="392" t="s">
        <v>7060</v>
      </c>
      <c r="AQ1165" s="392"/>
      <c r="AR1165" s="392" t="s">
        <v>199</v>
      </c>
      <c r="AS1165" s="479">
        <v>40969</v>
      </c>
      <c r="AT1165" s="453"/>
      <c r="AU1165" s="453"/>
      <c r="AV1165" s="453"/>
      <c r="AW1165" s="453"/>
      <c r="AX1165" s="453"/>
      <c r="AY1165" s="453"/>
      <c r="AZ1165" s="452">
        <v>41256</v>
      </c>
      <c r="BA1165" s="393"/>
      <c r="BB1165" s="393"/>
      <c r="BC1165" s="393" t="b">
        <v>0</v>
      </c>
      <c r="BD1165" s="393"/>
      <c r="BE1165" s="392"/>
      <c r="BF1165" s="394">
        <v>6</v>
      </c>
      <c r="BG1165" s="394">
        <v>8</v>
      </c>
      <c r="BH1165" s="394">
        <v>3</v>
      </c>
      <c r="BI1165" s="394">
        <v>1</v>
      </c>
      <c r="BJ1165" s="394">
        <v>12</v>
      </c>
      <c r="BK1165" s="394">
        <v>9</v>
      </c>
      <c r="BL1165" s="444" t="s">
        <v>6983</v>
      </c>
      <c r="BM1165" s="392"/>
      <c r="BN1165" s="393"/>
      <c r="BO1165" s="393"/>
      <c r="BP1165" s="399"/>
      <c r="BQ1165" s="400"/>
      <c r="BR1165" s="401"/>
      <c r="BS1165" s="399">
        <v>0.18</v>
      </c>
      <c r="BT1165" s="394">
        <v>151</v>
      </c>
      <c r="BU1165" s="417">
        <v>0.72440000000000004</v>
      </c>
      <c r="BV1165" s="399"/>
      <c r="BW1165" s="393" t="s">
        <v>3117</v>
      </c>
      <c r="BX1165" s="392" t="s">
        <v>1447</v>
      </c>
      <c r="BY1165" s="393"/>
      <c r="BZ1165" s="393"/>
      <c r="CA1165" s="441" t="s">
        <v>1662</v>
      </c>
      <c r="CB1165" s="400">
        <v>3</v>
      </c>
      <c r="CC1165" s="398"/>
      <c r="CD1165" s="398"/>
      <c r="CE1165" s="398"/>
      <c r="CF1165" s="398"/>
      <c r="CG1165" s="398"/>
      <c r="CH1165" s="398"/>
      <c r="CI1165" s="398">
        <v>5.4740000000000002</v>
      </c>
      <c r="CJ1165" s="398">
        <v>5.093</v>
      </c>
      <c r="CK1165" s="398">
        <v>5.093</v>
      </c>
      <c r="CL1165" s="398">
        <v>5.093</v>
      </c>
      <c r="CM1165" s="398">
        <v>5.093</v>
      </c>
      <c r="CN1165" s="398">
        <v>5.093</v>
      </c>
      <c r="CO1165" s="398">
        <v>5.093</v>
      </c>
      <c r="CP1165" s="398">
        <v>5.093</v>
      </c>
      <c r="CQ1165" s="398">
        <v>5.093</v>
      </c>
      <c r="CR1165" s="398">
        <v>5.093</v>
      </c>
      <c r="CS1165" s="398">
        <v>2.593</v>
      </c>
      <c r="CT1165" s="398"/>
      <c r="CU1165" s="398"/>
      <c r="CV1165" s="398"/>
      <c r="CW1165" s="398"/>
      <c r="CX1165" s="398"/>
      <c r="CY1165" s="398"/>
      <c r="CZ1165" s="398"/>
      <c r="DA1165" s="398"/>
      <c r="DB1165" s="398"/>
      <c r="DC1165" s="398"/>
      <c r="DD1165" s="398"/>
      <c r="DE1165" s="393"/>
      <c r="DF1165" s="393"/>
      <c r="DG1165" s="393"/>
      <c r="DH1165" s="393"/>
      <c r="DI1165" s="393"/>
      <c r="DJ1165" s="393"/>
      <c r="DK1165" s="897"/>
    </row>
    <row r="1166" spans="1:115" ht="63.75" x14ac:dyDescent="0.2">
      <c r="A1166" s="295">
        <v>1162</v>
      </c>
      <c r="B1166" s="390" t="s">
        <v>1522</v>
      </c>
      <c r="C1166" s="424" t="s">
        <v>7668</v>
      </c>
      <c r="D1166" s="391"/>
      <c r="E1166" s="707" t="s">
        <v>1543</v>
      </c>
      <c r="F1166" s="404" t="s">
        <v>1375</v>
      </c>
      <c r="G1166" s="404" t="s">
        <v>1361</v>
      </c>
      <c r="H1166" s="404" t="s">
        <v>137</v>
      </c>
      <c r="I1166" s="403" t="s">
        <v>1392</v>
      </c>
      <c r="J1166" s="403" t="s">
        <v>1542</v>
      </c>
      <c r="K1166" s="403"/>
      <c r="L1166" s="403" t="s">
        <v>538</v>
      </c>
      <c r="M1166" s="403" t="s">
        <v>3468</v>
      </c>
      <c r="N1166" s="404" t="s">
        <v>3142</v>
      </c>
      <c r="O1166" s="404" t="s">
        <v>45</v>
      </c>
      <c r="P1166" s="404" t="s">
        <v>45</v>
      </c>
      <c r="Q1166" s="403" t="s">
        <v>1210</v>
      </c>
      <c r="R1166" s="403"/>
      <c r="S1166" s="403" t="s">
        <v>46</v>
      </c>
      <c r="T1166" s="405">
        <v>1</v>
      </c>
      <c r="U1166" s="406">
        <v>54.1</v>
      </c>
      <c r="V1166" s="406"/>
      <c r="W1166" s="456">
        <v>41091</v>
      </c>
      <c r="X1166" s="405">
        <v>28</v>
      </c>
      <c r="Y1166" s="405"/>
      <c r="Z1166" s="405"/>
      <c r="AA1166" s="406"/>
      <c r="AB1166" s="455"/>
      <c r="AC1166" s="407">
        <v>0</v>
      </c>
      <c r="AD1166" s="407">
        <v>541</v>
      </c>
      <c r="AE1166" s="404" t="s">
        <v>133</v>
      </c>
      <c r="AF1166" s="418"/>
      <c r="AG1166" s="418"/>
      <c r="AH1166" s="418">
        <v>0</v>
      </c>
      <c r="AI1166" s="405"/>
      <c r="AJ1166" s="455"/>
      <c r="AK1166" s="455"/>
      <c r="AL1166" s="404"/>
      <c r="AM1166" s="404"/>
      <c r="AN1166" s="418"/>
      <c r="AO1166" s="403"/>
      <c r="AP1166" s="403" t="s">
        <v>55</v>
      </c>
      <c r="AQ1166" s="403"/>
      <c r="AR1166" s="403" t="s">
        <v>538</v>
      </c>
      <c r="AS1166" s="482">
        <v>40969</v>
      </c>
      <c r="AT1166" s="455"/>
      <c r="AU1166" s="455"/>
      <c r="AV1166" s="455"/>
      <c r="AW1166" s="455"/>
      <c r="AX1166" s="455"/>
      <c r="AY1166" s="455"/>
      <c r="AZ1166" s="455"/>
      <c r="BA1166" s="404"/>
      <c r="BB1166" s="404" t="s">
        <v>3147</v>
      </c>
      <c r="BC1166" s="404" t="b">
        <v>0</v>
      </c>
      <c r="BD1166" s="404" t="s">
        <v>3147</v>
      </c>
      <c r="BE1166" s="403"/>
      <c r="BF1166" s="405">
        <v>5</v>
      </c>
      <c r="BG1166" s="405">
        <v>9</v>
      </c>
      <c r="BH1166" s="405">
        <v>8</v>
      </c>
      <c r="BI1166" s="405"/>
      <c r="BJ1166" s="405"/>
      <c r="BK1166" s="405"/>
      <c r="BL1166" s="446"/>
      <c r="BM1166" s="403"/>
      <c r="BN1166" s="404"/>
      <c r="BO1166" s="404"/>
      <c r="BP1166" s="408"/>
      <c r="BQ1166" s="409"/>
      <c r="BR1166" s="410"/>
      <c r="BS1166" s="408">
        <v>0</v>
      </c>
      <c r="BT1166" s="405"/>
      <c r="BU1166" s="418"/>
      <c r="BV1166" s="408"/>
      <c r="BW1166" s="404"/>
      <c r="BX1166" s="403"/>
      <c r="BY1166" s="404"/>
      <c r="BZ1166" s="404"/>
      <c r="CA1166" s="443"/>
      <c r="CB1166" s="409"/>
      <c r="CC1166" s="407"/>
      <c r="CD1166" s="407"/>
      <c r="CE1166" s="407"/>
      <c r="CF1166" s="407"/>
      <c r="CG1166" s="407"/>
      <c r="CH1166" s="407"/>
      <c r="CI1166" s="407"/>
      <c r="CJ1166" s="407"/>
      <c r="CK1166" s="407"/>
      <c r="CL1166" s="407"/>
      <c r="CM1166" s="407"/>
      <c r="CN1166" s="407"/>
      <c r="CO1166" s="407"/>
      <c r="CP1166" s="407"/>
      <c r="CQ1166" s="407"/>
      <c r="CR1166" s="407"/>
      <c r="CS1166" s="407"/>
      <c r="CT1166" s="407"/>
      <c r="CU1166" s="407"/>
      <c r="CV1166" s="407"/>
      <c r="CW1166" s="407"/>
      <c r="CX1166" s="407"/>
      <c r="CY1166" s="407"/>
      <c r="CZ1166" s="407"/>
      <c r="DA1166" s="407"/>
      <c r="DB1166" s="407"/>
      <c r="DC1166" s="407"/>
      <c r="DD1166" s="407"/>
      <c r="DE1166" s="404"/>
      <c r="DF1166" s="404"/>
      <c r="DG1166" s="404"/>
      <c r="DH1166" s="404"/>
      <c r="DI1166" s="404"/>
      <c r="DJ1166" s="404"/>
      <c r="DK1166" s="897"/>
    </row>
    <row r="1167" spans="1:115" ht="25.5" x14ac:dyDescent="0.2">
      <c r="A1167" s="295">
        <v>1163</v>
      </c>
      <c r="B1167" s="390" t="s">
        <v>2840</v>
      </c>
      <c r="C1167" s="390"/>
      <c r="D1167" s="391"/>
      <c r="E1167" s="707" t="s">
        <v>1544</v>
      </c>
      <c r="F1167" s="404" t="s">
        <v>1375</v>
      </c>
      <c r="G1167" s="404" t="s">
        <v>1361</v>
      </c>
      <c r="H1167" s="404" t="s">
        <v>137</v>
      </c>
      <c r="I1167" s="403"/>
      <c r="J1167" s="403"/>
      <c r="K1167" s="403" t="s">
        <v>1823</v>
      </c>
      <c r="L1167" s="403" t="s">
        <v>538</v>
      </c>
      <c r="M1167" s="403"/>
      <c r="N1167" s="404" t="s">
        <v>3142</v>
      </c>
      <c r="O1167" s="404" t="s">
        <v>45</v>
      </c>
      <c r="P1167" s="404" t="s">
        <v>45</v>
      </c>
      <c r="Q1167" s="403" t="s">
        <v>1210</v>
      </c>
      <c r="R1167" s="403" t="s">
        <v>3469</v>
      </c>
      <c r="S1167" s="403" t="s">
        <v>46</v>
      </c>
      <c r="T1167" s="405">
        <v>1</v>
      </c>
      <c r="U1167" s="406">
        <v>54.1</v>
      </c>
      <c r="V1167" s="406"/>
      <c r="W1167" s="455"/>
      <c r="X1167" s="405"/>
      <c r="Y1167" s="405">
        <v>10</v>
      </c>
      <c r="Z1167" s="405">
        <v>25</v>
      </c>
      <c r="AA1167" s="406">
        <v>0</v>
      </c>
      <c r="AB1167" s="456">
        <v>41456</v>
      </c>
      <c r="AC1167" s="407">
        <v>0</v>
      </c>
      <c r="AD1167" s="407">
        <v>541</v>
      </c>
      <c r="AE1167" s="404" t="s">
        <v>133</v>
      </c>
      <c r="AF1167" s="418"/>
      <c r="AG1167" s="418"/>
      <c r="AH1167" s="418"/>
      <c r="AI1167" s="405"/>
      <c r="AJ1167" s="455"/>
      <c r="AK1167" s="455"/>
      <c r="AL1167" s="404"/>
      <c r="AM1167" s="404"/>
      <c r="AN1167" s="418"/>
      <c r="AO1167" s="403"/>
      <c r="AP1167" s="403" t="s">
        <v>55</v>
      </c>
      <c r="AQ1167" s="403"/>
      <c r="AR1167" s="403" t="s">
        <v>538</v>
      </c>
      <c r="AS1167" s="482">
        <v>40969</v>
      </c>
      <c r="AT1167" s="455"/>
      <c r="AU1167" s="455"/>
      <c r="AV1167" s="455"/>
      <c r="AW1167" s="455"/>
      <c r="AX1167" s="455"/>
      <c r="AY1167" s="455"/>
      <c r="AZ1167" s="455"/>
      <c r="BA1167" s="404"/>
      <c r="BB1167" s="404"/>
      <c r="BC1167" s="404" t="b">
        <v>0</v>
      </c>
      <c r="BD1167" s="404"/>
      <c r="BE1167" s="403"/>
      <c r="BF1167" s="405">
        <v>5</v>
      </c>
      <c r="BG1167" s="405">
        <v>9</v>
      </c>
      <c r="BH1167" s="405">
        <v>8</v>
      </c>
      <c r="BI1167" s="405"/>
      <c r="BJ1167" s="405"/>
      <c r="BK1167" s="405"/>
      <c r="BL1167" s="446" t="s">
        <v>6981</v>
      </c>
      <c r="BM1167" s="403"/>
      <c r="BN1167" s="404"/>
      <c r="BO1167" s="404"/>
      <c r="BP1167" s="408"/>
      <c r="BQ1167" s="409"/>
      <c r="BR1167" s="410"/>
      <c r="BS1167" s="408"/>
      <c r="BT1167" s="405"/>
      <c r="BU1167" s="418"/>
      <c r="BV1167" s="408"/>
      <c r="BW1167" s="404" t="s">
        <v>3117</v>
      </c>
      <c r="BX1167" s="403" t="s">
        <v>1449</v>
      </c>
      <c r="BY1167" s="404" t="s">
        <v>7225</v>
      </c>
      <c r="BZ1167" s="404"/>
      <c r="CA1167" s="443"/>
      <c r="CB1167" s="409"/>
      <c r="CC1167" s="407"/>
      <c r="CD1167" s="407"/>
      <c r="CE1167" s="407"/>
      <c r="CF1167" s="407"/>
      <c r="CG1167" s="407"/>
      <c r="CH1167" s="407"/>
      <c r="CI1167" s="407">
        <v>27.05</v>
      </c>
      <c r="CJ1167" s="407">
        <v>54.1</v>
      </c>
      <c r="CK1167" s="407">
        <v>54.1</v>
      </c>
      <c r="CL1167" s="407">
        <v>54.1</v>
      </c>
      <c r="CM1167" s="407">
        <v>54.1</v>
      </c>
      <c r="CN1167" s="407">
        <v>54.1</v>
      </c>
      <c r="CO1167" s="407">
        <v>54.1</v>
      </c>
      <c r="CP1167" s="407">
        <v>54.1</v>
      </c>
      <c r="CQ1167" s="407">
        <v>54.1</v>
      </c>
      <c r="CR1167" s="407">
        <v>54.1</v>
      </c>
      <c r="CS1167" s="407">
        <v>27.05</v>
      </c>
      <c r="CT1167" s="407"/>
      <c r="CU1167" s="407"/>
      <c r="CV1167" s="407"/>
      <c r="CW1167" s="407"/>
      <c r="CX1167" s="407"/>
      <c r="CY1167" s="407"/>
      <c r="CZ1167" s="407"/>
      <c r="DA1167" s="407"/>
      <c r="DB1167" s="407"/>
      <c r="DC1167" s="407"/>
      <c r="DD1167" s="407"/>
      <c r="DE1167" s="404"/>
      <c r="DF1167" s="404"/>
      <c r="DG1167" s="404"/>
      <c r="DH1167" s="404"/>
      <c r="DI1167" s="404"/>
      <c r="DJ1167" s="404"/>
      <c r="DK1167" s="897"/>
    </row>
    <row r="1168" spans="1:115" ht="38.25" x14ac:dyDescent="0.2">
      <c r="A1168" s="295">
        <v>1164</v>
      </c>
      <c r="B1168" s="390" t="s">
        <v>1523</v>
      </c>
      <c r="C1168" s="424" t="s">
        <v>7669</v>
      </c>
      <c r="D1168" s="391" t="s">
        <v>5629</v>
      </c>
      <c r="E1168" s="707" t="s">
        <v>1545</v>
      </c>
      <c r="F1168" s="404" t="s">
        <v>1393</v>
      </c>
      <c r="G1168" s="404" t="s">
        <v>1678</v>
      </c>
      <c r="H1168" s="404" t="s">
        <v>918</v>
      </c>
      <c r="I1168" s="403"/>
      <c r="J1168" s="403" t="s">
        <v>918</v>
      </c>
      <c r="K1168" s="403"/>
      <c r="L1168" s="403" t="s">
        <v>908</v>
      </c>
      <c r="M1168" s="403" t="s">
        <v>3470</v>
      </c>
      <c r="N1168" s="404" t="s">
        <v>4659</v>
      </c>
      <c r="O1168" s="404" t="s">
        <v>827</v>
      </c>
      <c r="P1168" s="404" t="s">
        <v>827</v>
      </c>
      <c r="Q1168" s="403" t="s">
        <v>1546</v>
      </c>
      <c r="R1168" s="403"/>
      <c r="S1168" s="403" t="s">
        <v>650</v>
      </c>
      <c r="T1168" s="405">
        <v>1</v>
      </c>
      <c r="U1168" s="406">
        <v>3.9279999999999999</v>
      </c>
      <c r="V1168" s="406"/>
      <c r="W1168" s="456">
        <v>40969</v>
      </c>
      <c r="X1168" s="405">
        <v>28</v>
      </c>
      <c r="Y1168" s="405"/>
      <c r="Z1168" s="405"/>
      <c r="AA1168" s="406"/>
      <c r="AB1168" s="455"/>
      <c r="AC1168" s="407">
        <v>0</v>
      </c>
      <c r="AD1168" s="407">
        <v>31.434761643835618</v>
      </c>
      <c r="AE1168" s="404" t="s">
        <v>225</v>
      </c>
      <c r="AF1168" s="418"/>
      <c r="AG1168" s="418"/>
      <c r="AH1168" s="418">
        <v>0</v>
      </c>
      <c r="AI1168" s="405"/>
      <c r="AJ1168" s="455"/>
      <c r="AK1168" s="455"/>
      <c r="AL1168" s="404"/>
      <c r="AM1168" s="404"/>
      <c r="AN1168" s="418"/>
      <c r="AO1168" s="403"/>
      <c r="AP1168" s="403" t="s">
        <v>55</v>
      </c>
      <c r="AQ1168" s="403"/>
      <c r="AR1168" s="403" t="s">
        <v>908</v>
      </c>
      <c r="AS1168" s="482">
        <v>40969</v>
      </c>
      <c r="AT1168" s="455"/>
      <c r="AU1168" s="455" t="s">
        <v>916</v>
      </c>
      <c r="AV1168" s="456">
        <v>41221</v>
      </c>
      <c r="AW1168" s="456">
        <v>41478</v>
      </c>
      <c r="AX1168" s="456">
        <v>41565</v>
      </c>
      <c r="AY1168" s="455"/>
      <c r="AZ1168" s="455"/>
      <c r="BA1168" s="404"/>
      <c r="BB1168" s="404" t="s">
        <v>3147</v>
      </c>
      <c r="BC1168" s="404" t="b">
        <v>1</v>
      </c>
      <c r="BD1168" s="404" t="s">
        <v>3147</v>
      </c>
      <c r="BE1168" s="403"/>
      <c r="BF1168" s="405">
        <v>5</v>
      </c>
      <c r="BG1168" s="405">
        <v>9</v>
      </c>
      <c r="BH1168" s="405">
        <v>8</v>
      </c>
      <c r="BI1168" s="405">
        <v>11</v>
      </c>
      <c r="BJ1168" s="405"/>
      <c r="BK1168" s="405"/>
      <c r="BL1168" s="446"/>
      <c r="BM1168" s="403"/>
      <c r="BN1168" s="404"/>
      <c r="BO1168" s="404"/>
      <c r="BP1168" s="408"/>
      <c r="BQ1168" s="409"/>
      <c r="BR1168" s="410"/>
      <c r="BS1168" s="408">
        <v>3</v>
      </c>
      <c r="BT1168" s="405"/>
      <c r="BU1168" s="418"/>
      <c r="BV1168" s="408"/>
      <c r="BW1168" s="404"/>
      <c r="BX1168" s="403"/>
      <c r="BY1168" s="404"/>
      <c r="BZ1168" s="404"/>
      <c r="CA1168" s="443"/>
      <c r="CB1168" s="409"/>
      <c r="CC1168" s="407"/>
      <c r="CD1168" s="407"/>
      <c r="CE1168" s="407"/>
      <c r="CF1168" s="407"/>
      <c r="CG1168" s="407"/>
      <c r="CH1168" s="407"/>
      <c r="CI1168" s="407"/>
      <c r="CJ1168" s="407"/>
      <c r="CK1168" s="407"/>
      <c r="CL1168" s="407"/>
      <c r="CM1168" s="407"/>
      <c r="CN1168" s="407"/>
      <c r="CO1168" s="407"/>
      <c r="CP1168" s="407"/>
      <c r="CQ1168" s="407"/>
      <c r="CR1168" s="407"/>
      <c r="CS1168" s="407"/>
      <c r="CT1168" s="407"/>
      <c r="CU1168" s="407"/>
      <c r="CV1168" s="407"/>
      <c r="CW1168" s="407"/>
      <c r="CX1168" s="407"/>
      <c r="CY1168" s="407"/>
      <c r="CZ1168" s="407"/>
      <c r="DA1168" s="407"/>
      <c r="DB1168" s="407"/>
      <c r="DC1168" s="407"/>
      <c r="DD1168" s="407"/>
      <c r="DE1168" s="404"/>
      <c r="DF1168" s="404"/>
      <c r="DG1168" s="404"/>
      <c r="DH1168" s="404"/>
      <c r="DI1168" s="404"/>
      <c r="DJ1168" s="404"/>
      <c r="DK1168" s="896" t="s">
        <v>9701</v>
      </c>
    </row>
    <row r="1169" spans="1:115" ht="25.5" x14ac:dyDescent="0.2">
      <c r="A1169" s="295">
        <v>1165</v>
      </c>
      <c r="B1169" s="390" t="s">
        <v>2841</v>
      </c>
      <c r="C1169" s="390"/>
      <c r="D1169" s="391" t="s">
        <v>5630</v>
      </c>
      <c r="E1169" s="707" t="s">
        <v>1547</v>
      </c>
      <c r="F1169" s="404" t="s">
        <v>1393</v>
      </c>
      <c r="G1169" s="404" t="s">
        <v>1678</v>
      </c>
      <c r="H1169" s="404" t="s">
        <v>918</v>
      </c>
      <c r="I1169" s="403"/>
      <c r="J1169" s="403"/>
      <c r="K1169" s="403" t="s">
        <v>1548</v>
      </c>
      <c r="L1169" s="403" t="s">
        <v>908</v>
      </c>
      <c r="M1169" s="403"/>
      <c r="N1169" s="404" t="s">
        <v>4659</v>
      </c>
      <c r="O1169" s="404" t="s">
        <v>827</v>
      </c>
      <c r="P1169" s="404" t="s">
        <v>827</v>
      </c>
      <c r="Q1169" s="403" t="s">
        <v>836</v>
      </c>
      <c r="R1169" s="403" t="s">
        <v>3471</v>
      </c>
      <c r="S1169" s="403" t="s">
        <v>650</v>
      </c>
      <c r="T1169" s="405">
        <v>1</v>
      </c>
      <c r="U1169" s="406">
        <v>3.9279999999999999</v>
      </c>
      <c r="V1169" s="406"/>
      <c r="W1169" s="455"/>
      <c r="X1169" s="405"/>
      <c r="Y1169" s="405">
        <v>7</v>
      </c>
      <c r="Z1169" s="405">
        <v>25</v>
      </c>
      <c r="AA1169" s="406">
        <v>0</v>
      </c>
      <c r="AB1169" s="456">
        <v>41275</v>
      </c>
      <c r="AC1169" s="407">
        <v>0</v>
      </c>
      <c r="AD1169" s="407">
        <v>31.434761643835618</v>
      </c>
      <c r="AE1169" s="404" t="s">
        <v>225</v>
      </c>
      <c r="AF1169" s="418"/>
      <c r="AG1169" s="418"/>
      <c r="AH1169" s="418"/>
      <c r="AI1169" s="405"/>
      <c r="AJ1169" s="455"/>
      <c r="AK1169" s="455"/>
      <c r="AL1169" s="404"/>
      <c r="AM1169" s="404"/>
      <c r="AN1169" s="418"/>
      <c r="AO1169" s="403"/>
      <c r="AP1169" s="403" t="s">
        <v>55</v>
      </c>
      <c r="AQ1169" s="403"/>
      <c r="AR1169" s="403" t="s">
        <v>908</v>
      </c>
      <c r="AS1169" s="482">
        <v>40969</v>
      </c>
      <c r="AT1169" s="455"/>
      <c r="AU1169" s="455" t="s">
        <v>2759</v>
      </c>
      <c r="AV1169" s="455"/>
      <c r="AW1169" s="455"/>
      <c r="AX1169" s="455"/>
      <c r="AY1169" s="455"/>
      <c r="AZ1169" s="455"/>
      <c r="BA1169" s="404"/>
      <c r="BB1169" s="404"/>
      <c r="BC1169" s="404" t="b">
        <v>0</v>
      </c>
      <c r="BD1169" s="404"/>
      <c r="BE1169" s="403"/>
      <c r="BF1169" s="405">
        <v>5</v>
      </c>
      <c r="BG1169" s="405">
        <v>9</v>
      </c>
      <c r="BH1169" s="405">
        <v>8</v>
      </c>
      <c r="BI1169" s="405">
        <v>11</v>
      </c>
      <c r="BJ1169" s="405"/>
      <c r="BK1169" s="405"/>
      <c r="BL1169" s="446" t="s">
        <v>6982</v>
      </c>
      <c r="BM1169" s="403" t="s">
        <v>3302</v>
      </c>
      <c r="BN1169" s="404" t="s">
        <v>3303</v>
      </c>
      <c r="BO1169" s="404"/>
      <c r="BP1169" s="408"/>
      <c r="BQ1169" s="409"/>
      <c r="BR1169" s="410"/>
      <c r="BS1169" s="408">
        <v>3</v>
      </c>
      <c r="BT1169" s="405">
        <v>4723</v>
      </c>
      <c r="BU1169" s="418">
        <v>0.51549999999999996</v>
      </c>
      <c r="BV1169" s="408"/>
      <c r="BW1169" s="404" t="s">
        <v>3117</v>
      </c>
      <c r="BX1169" s="403" t="s">
        <v>1449</v>
      </c>
      <c r="BY1169" s="404"/>
      <c r="BZ1169" s="404"/>
      <c r="CA1169" s="443"/>
      <c r="CB1169" s="409"/>
      <c r="CC1169" s="407"/>
      <c r="CD1169" s="407"/>
      <c r="CE1169" s="407"/>
      <c r="CF1169" s="407"/>
      <c r="CG1169" s="407"/>
      <c r="CH1169" s="407"/>
      <c r="CI1169" s="407">
        <v>2.4350000000000001</v>
      </c>
      <c r="CJ1169" s="407">
        <v>2.4350000000000001</v>
      </c>
      <c r="CK1169" s="407">
        <v>2.4350000000000001</v>
      </c>
      <c r="CL1169" s="407">
        <v>2.4350000000000001</v>
      </c>
      <c r="CM1169" s="407">
        <v>2.4350000000000001</v>
      </c>
      <c r="CN1169" s="407">
        <v>2.4350000000000001</v>
      </c>
      <c r="CO1169" s="407">
        <v>2.4350000000000001</v>
      </c>
      <c r="CP1169" s="407"/>
      <c r="CQ1169" s="407"/>
      <c r="CR1169" s="407"/>
      <c r="CS1169" s="407"/>
      <c r="CT1169" s="407"/>
      <c r="CU1169" s="407"/>
      <c r="CV1169" s="407"/>
      <c r="CW1169" s="407"/>
      <c r="CX1169" s="407"/>
      <c r="CY1169" s="407"/>
      <c r="CZ1169" s="407"/>
      <c r="DA1169" s="407"/>
      <c r="DB1169" s="407"/>
      <c r="DC1169" s="407"/>
      <c r="DD1169" s="407"/>
      <c r="DE1169" s="404"/>
      <c r="DF1169" s="404"/>
      <c r="DG1169" s="404"/>
      <c r="DH1169" s="404"/>
      <c r="DI1169" s="404"/>
      <c r="DJ1169" s="404"/>
      <c r="DK1169" s="897"/>
    </row>
    <row r="1170" spans="1:115" ht="51" x14ac:dyDescent="0.2">
      <c r="A1170" s="295">
        <v>1166</v>
      </c>
      <c r="B1170" s="390" t="s">
        <v>1524</v>
      </c>
      <c r="C1170" s="424" t="s">
        <v>7670</v>
      </c>
      <c r="D1170" s="391" t="s">
        <v>6103</v>
      </c>
      <c r="E1170" s="704" t="s">
        <v>1549</v>
      </c>
      <c r="F1170" s="393" t="s">
        <v>1393</v>
      </c>
      <c r="G1170" s="393" t="s">
        <v>1678</v>
      </c>
      <c r="H1170" s="393" t="s">
        <v>1412</v>
      </c>
      <c r="I1170" s="392" t="s">
        <v>4102</v>
      </c>
      <c r="J1170" s="392" t="s">
        <v>1550</v>
      </c>
      <c r="K1170" s="392"/>
      <c r="L1170" s="392" t="s">
        <v>1551</v>
      </c>
      <c r="M1170" s="392" t="s">
        <v>3472</v>
      </c>
      <c r="N1170" s="393" t="s">
        <v>44</v>
      </c>
      <c r="O1170" s="393" t="s">
        <v>34</v>
      </c>
      <c r="P1170" s="393" t="s">
        <v>34</v>
      </c>
      <c r="Q1170" s="392" t="s">
        <v>255</v>
      </c>
      <c r="R1170" s="392"/>
      <c r="S1170" s="392" t="s">
        <v>141</v>
      </c>
      <c r="T1170" s="394">
        <v>1</v>
      </c>
      <c r="U1170" s="395">
        <v>6.0140000000000002</v>
      </c>
      <c r="V1170" s="395"/>
      <c r="W1170" s="452">
        <v>40974</v>
      </c>
      <c r="X1170" s="394">
        <v>28</v>
      </c>
      <c r="Y1170" s="394"/>
      <c r="Z1170" s="394"/>
      <c r="AA1170" s="395"/>
      <c r="AB1170" s="453"/>
      <c r="AC1170" s="398">
        <v>0</v>
      </c>
      <c r="AD1170" s="398">
        <v>50.418739726027397</v>
      </c>
      <c r="AE1170" s="393" t="s">
        <v>37</v>
      </c>
      <c r="AF1170" s="417"/>
      <c r="AG1170" s="417"/>
      <c r="AH1170" s="417">
        <v>0</v>
      </c>
      <c r="AI1170" s="394"/>
      <c r="AJ1170" s="453"/>
      <c r="AK1170" s="453"/>
      <c r="AL1170" s="393"/>
      <c r="AM1170" s="393"/>
      <c r="AN1170" s="417"/>
      <c r="AO1170" s="392"/>
      <c r="AP1170" s="392" t="s">
        <v>55</v>
      </c>
      <c r="AQ1170" s="392"/>
      <c r="AR1170" s="392" t="s">
        <v>1555</v>
      </c>
      <c r="AS1170" s="479">
        <v>40974</v>
      </c>
      <c r="AT1170" s="453"/>
      <c r="AU1170" s="453"/>
      <c r="AV1170" s="452">
        <v>41252</v>
      </c>
      <c r="AW1170" s="452">
        <v>41726</v>
      </c>
      <c r="AX1170" s="453"/>
      <c r="AY1170" s="452">
        <v>41726</v>
      </c>
      <c r="AZ1170" s="453"/>
      <c r="BA1170" s="393"/>
      <c r="BB1170" s="393" t="s">
        <v>3147</v>
      </c>
      <c r="BC1170" s="393" t="b">
        <v>0</v>
      </c>
      <c r="BD1170" s="393" t="s">
        <v>3147</v>
      </c>
      <c r="BE1170" s="392"/>
      <c r="BF1170" s="394">
        <v>5</v>
      </c>
      <c r="BG1170" s="394">
        <v>7</v>
      </c>
      <c r="BH1170" s="394">
        <v>11</v>
      </c>
      <c r="BI1170" s="394">
        <v>4</v>
      </c>
      <c r="BJ1170" s="394"/>
      <c r="BK1170" s="394"/>
      <c r="BL1170" s="444"/>
      <c r="BM1170" s="392"/>
      <c r="BN1170" s="393"/>
      <c r="BO1170" s="393"/>
      <c r="BP1170" s="399"/>
      <c r="BQ1170" s="400"/>
      <c r="BR1170" s="401"/>
      <c r="BS1170" s="399">
        <v>0</v>
      </c>
      <c r="BT1170" s="394"/>
      <c r="BU1170" s="417"/>
      <c r="BV1170" s="399"/>
      <c r="BW1170" s="393"/>
      <c r="BX1170" s="392"/>
      <c r="BY1170" s="393"/>
      <c r="BZ1170" s="393"/>
      <c r="CA1170" s="441"/>
      <c r="CB1170" s="400"/>
      <c r="CC1170" s="398"/>
      <c r="CD1170" s="398"/>
      <c r="CE1170" s="398"/>
      <c r="CF1170" s="398"/>
      <c r="CG1170" s="398"/>
      <c r="CH1170" s="398"/>
      <c r="CI1170" s="398"/>
      <c r="CJ1170" s="398"/>
      <c r="CK1170" s="398"/>
      <c r="CL1170" s="398"/>
      <c r="CM1170" s="398"/>
      <c r="CN1170" s="398"/>
      <c r="CO1170" s="398"/>
      <c r="CP1170" s="398"/>
      <c r="CQ1170" s="398"/>
      <c r="CR1170" s="398"/>
      <c r="CS1170" s="398"/>
      <c r="CT1170" s="398"/>
      <c r="CU1170" s="398"/>
      <c r="CV1170" s="398"/>
      <c r="CW1170" s="398"/>
      <c r="CX1170" s="398"/>
      <c r="CY1170" s="398"/>
      <c r="CZ1170" s="398"/>
      <c r="DA1170" s="398"/>
      <c r="DB1170" s="398"/>
      <c r="DC1170" s="398"/>
      <c r="DD1170" s="398"/>
      <c r="DE1170" s="393"/>
      <c r="DF1170" s="393"/>
      <c r="DG1170" s="393"/>
      <c r="DH1170" s="393"/>
      <c r="DI1170" s="393"/>
      <c r="DJ1170" s="393"/>
      <c r="DK1170" s="896" t="s">
        <v>9746</v>
      </c>
    </row>
    <row r="1171" spans="1:115" ht="25.5" x14ac:dyDescent="0.2">
      <c r="A1171" s="295">
        <v>1167</v>
      </c>
      <c r="B1171" s="390" t="s">
        <v>2842</v>
      </c>
      <c r="C1171" s="390"/>
      <c r="D1171" s="391" t="s">
        <v>6104</v>
      </c>
      <c r="E1171" s="704" t="s">
        <v>1552</v>
      </c>
      <c r="F1171" s="393" t="s">
        <v>1393</v>
      </c>
      <c r="G1171" s="393" t="s">
        <v>1678</v>
      </c>
      <c r="H1171" s="393" t="s">
        <v>1412</v>
      </c>
      <c r="I1171" s="392"/>
      <c r="J1171" s="392"/>
      <c r="K1171" s="392" t="s">
        <v>1553</v>
      </c>
      <c r="L1171" s="392" t="s">
        <v>1554</v>
      </c>
      <c r="M1171" s="392"/>
      <c r="N1171" s="393" t="s">
        <v>44</v>
      </c>
      <c r="O1171" s="393" t="s">
        <v>34</v>
      </c>
      <c r="P1171" s="393" t="s">
        <v>34</v>
      </c>
      <c r="Q1171" s="392" t="s">
        <v>255</v>
      </c>
      <c r="R1171" s="392" t="s">
        <v>3473</v>
      </c>
      <c r="S1171" s="392" t="s">
        <v>141</v>
      </c>
      <c r="T1171" s="394">
        <v>1</v>
      </c>
      <c r="U1171" s="395">
        <v>6.0140000000000002</v>
      </c>
      <c r="V1171" s="395"/>
      <c r="W1171" s="453"/>
      <c r="X1171" s="394"/>
      <c r="Y1171" s="394">
        <v>7</v>
      </c>
      <c r="Z1171" s="394">
        <v>20</v>
      </c>
      <c r="AA1171" s="395">
        <v>0</v>
      </c>
      <c r="AB1171" s="452">
        <v>41136</v>
      </c>
      <c r="AC1171" s="398">
        <v>0</v>
      </c>
      <c r="AD1171" s="398">
        <v>50.418739726027397</v>
      </c>
      <c r="AE1171" s="393" t="s">
        <v>37</v>
      </c>
      <c r="AF1171" s="417"/>
      <c r="AG1171" s="417"/>
      <c r="AH1171" s="417"/>
      <c r="AI1171" s="394"/>
      <c r="AJ1171" s="453"/>
      <c r="AK1171" s="453"/>
      <c r="AL1171" s="393"/>
      <c r="AM1171" s="393"/>
      <c r="AN1171" s="417"/>
      <c r="AO1171" s="392"/>
      <c r="AP1171" s="392" t="s">
        <v>55</v>
      </c>
      <c r="AQ1171" s="392"/>
      <c r="AR1171" s="392" t="s">
        <v>1555</v>
      </c>
      <c r="AS1171" s="479">
        <v>40974</v>
      </c>
      <c r="AT1171" s="453"/>
      <c r="AU1171" s="453"/>
      <c r="AV1171" s="453"/>
      <c r="AW1171" s="453"/>
      <c r="AX1171" s="453"/>
      <c r="AY1171" s="453"/>
      <c r="AZ1171" s="452">
        <v>41726</v>
      </c>
      <c r="BA1171" s="393"/>
      <c r="BB1171" s="393"/>
      <c r="BC1171" s="393" t="b">
        <v>0</v>
      </c>
      <c r="BD1171" s="393"/>
      <c r="BE1171" s="392"/>
      <c r="BF1171" s="394">
        <v>4</v>
      </c>
      <c r="BG1171" s="394">
        <v>5</v>
      </c>
      <c r="BH1171" s="394">
        <v>7</v>
      </c>
      <c r="BI1171" s="394">
        <v>11</v>
      </c>
      <c r="BJ1171" s="394"/>
      <c r="BK1171" s="394"/>
      <c r="BL1171" s="444" t="s">
        <v>6984</v>
      </c>
      <c r="BM1171" s="392"/>
      <c r="BN1171" s="393"/>
      <c r="BO1171" s="393"/>
      <c r="BP1171" s="399"/>
      <c r="BQ1171" s="400"/>
      <c r="BR1171" s="401"/>
      <c r="BS1171" s="399"/>
      <c r="BT1171" s="394"/>
      <c r="BU1171" s="417">
        <v>0.65400000000000003</v>
      </c>
      <c r="BV1171" s="399">
        <v>54</v>
      </c>
      <c r="BW1171" s="393" t="s">
        <v>3117</v>
      </c>
      <c r="BX1171" s="392" t="s">
        <v>1447</v>
      </c>
      <c r="BY1171" s="393"/>
      <c r="BZ1171" s="393"/>
      <c r="CA1171" s="441" t="s">
        <v>1662</v>
      </c>
      <c r="CB1171" s="400">
        <v>3</v>
      </c>
      <c r="CC1171" s="398"/>
      <c r="CD1171" s="398"/>
      <c r="CE1171" s="398"/>
      <c r="CF1171" s="398"/>
      <c r="CG1171" s="398"/>
      <c r="CH1171" s="398"/>
      <c r="CI1171" s="398"/>
      <c r="CJ1171" s="398">
        <v>6.0140000000000002</v>
      </c>
      <c r="CK1171" s="398">
        <v>6.0140000000000002</v>
      </c>
      <c r="CL1171" s="398">
        <v>6.0140000000000002</v>
      </c>
      <c r="CM1171" s="398">
        <v>6.0140000000000002</v>
      </c>
      <c r="CN1171" s="398">
        <v>6.0140000000000002</v>
      </c>
      <c r="CO1171" s="398">
        <v>6.0140000000000002</v>
      </c>
      <c r="CP1171" s="398">
        <v>6.0140000000000002</v>
      </c>
      <c r="CQ1171" s="398"/>
      <c r="CR1171" s="398"/>
      <c r="CS1171" s="398"/>
      <c r="CT1171" s="398"/>
      <c r="CU1171" s="398"/>
      <c r="CV1171" s="398"/>
      <c r="CW1171" s="398"/>
      <c r="CX1171" s="398"/>
      <c r="CY1171" s="398"/>
      <c r="CZ1171" s="398"/>
      <c r="DA1171" s="398"/>
      <c r="DB1171" s="398"/>
      <c r="DC1171" s="398"/>
      <c r="DD1171" s="398"/>
      <c r="DE1171" s="393"/>
      <c r="DF1171" s="393"/>
      <c r="DG1171" s="393"/>
      <c r="DH1171" s="393"/>
      <c r="DI1171" s="393"/>
      <c r="DJ1171" s="393"/>
      <c r="DK1171" s="897"/>
    </row>
    <row r="1172" spans="1:115" ht="51" x14ac:dyDescent="0.2">
      <c r="A1172" s="295">
        <v>1168</v>
      </c>
      <c r="B1172" s="390" t="s">
        <v>1525</v>
      </c>
      <c r="C1172" s="424" t="s">
        <v>7671</v>
      </c>
      <c r="D1172" s="391"/>
      <c r="E1172" s="706" t="s">
        <v>1994</v>
      </c>
      <c r="F1172" s="390" t="s">
        <v>1352</v>
      </c>
      <c r="G1172" s="390" t="s">
        <v>1672</v>
      </c>
      <c r="H1172" s="390" t="s">
        <v>632</v>
      </c>
      <c r="I1172" s="402"/>
      <c r="J1172" s="402" t="s">
        <v>632</v>
      </c>
      <c r="K1172" s="402"/>
      <c r="L1172" s="402" t="s">
        <v>1556</v>
      </c>
      <c r="M1172" s="402" t="s">
        <v>3474</v>
      </c>
      <c r="N1172" s="390" t="s">
        <v>33</v>
      </c>
      <c r="O1172" s="390" t="s">
        <v>34</v>
      </c>
      <c r="P1172" s="390" t="s">
        <v>34</v>
      </c>
      <c r="Q1172" s="402" t="s">
        <v>255</v>
      </c>
      <c r="R1172" s="402"/>
      <c r="S1172" s="402" t="s">
        <v>64</v>
      </c>
      <c r="T1172" s="411">
        <v>1</v>
      </c>
      <c r="U1172" s="412">
        <v>0.64600000000000002</v>
      </c>
      <c r="V1172" s="412"/>
      <c r="W1172" s="457">
        <v>40998</v>
      </c>
      <c r="X1172" s="411">
        <v>28</v>
      </c>
      <c r="Y1172" s="411"/>
      <c r="Z1172" s="411"/>
      <c r="AA1172" s="412"/>
      <c r="AB1172" s="454"/>
      <c r="AC1172" s="413">
        <v>0.34799999999999998</v>
      </c>
      <c r="AD1172" s="413">
        <v>5.6600219178082192</v>
      </c>
      <c r="AE1172" s="390" t="s">
        <v>37</v>
      </c>
      <c r="AF1172" s="419"/>
      <c r="AG1172" s="419"/>
      <c r="AH1172" s="419">
        <v>0</v>
      </c>
      <c r="AI1172" s="411"/>
      <c r="AJ1172" s="454"/>
      <c r="AK1172" s="454"/>
      <c r="AL1172" s="390"/>
      <c r="AM1172" s="390"/>
      <c r="AN1172" s="419"/>
      <c r="AO1172" s="402"/>
      <c r="AP1172" s="402" t="s">
        <v>7102</v>
      </c>
      <c r="AQ1172" s="402"/>
      <c r="AR1172" s="402" t="s">
        <v>3794</v>
      </c>
      <c r="AS1172" s="481">
        <v>40974</v>
      </c>
      <c r="AT1172" s="454"/>
      <c r="AU1172" s="454"/>
      <c r="AV1172" s="454"/>
      <c r="AW1172" s="454"/>
      <c r="AX1172" s="454"/>
      <c r="AY1172" s="454"/>
      <c r="AZ1172" s="454"/>
      <c r="BA1172" s="390"/>
      <c r="BB1172" s="390" t="s">
        <v>3116</v>
      </c>
      <c r="BC1172" s="390" t="b">
        <v>0</v>
      </c>
      <c r="BD1172" s="390" t="s">
        <v>3116</v>
      </c>
      <c r="BE1172" s="402" t="s">
        <v>6245</v>
      </c>
      <c r="BF1172" s="411">
        <v>9</v>
      </c>
      <c r="BG1172" s="411">
        <v>3</v>
      </c>
      <c r="BH1172" s="411"/>
      <c r="BI1172" s="411"/>
      <c r="BJ1172" s="411"/>
      <c r="BK1172" s="411"/>
      <c r="BL1172" s="445"/>
      <c r="BM1172" s="402"/>
      <c r="BN1172" s="390"/>
      <c r="BO1172" s="390"/>
      <c r="BP1172" s="414"/>
      <c r="BQ1172" s="415"/>
      <c r="BR1172" s="416"/>
      <c r="BS1172" s="414">
        <v>0</v>
      </c>
      <c r="BT1172" s="411"/>
      <c r="BU1172" s="419"/>
      <c r="BV1172" s="414"/>
      <c r="BW1172" s="390"/>
      <c r="BX1172" s="402"/>
      <c r="BY1172" s="390"/>
      <c r="BZ1172" s="390"/>
      <c r="CA1172" s="442"/>
      <c r="CB1172" s="415"/>
      <c r="CC1172" s="413"/>
      <c r="CD1172" s="413"/>
      <c r="CE1172" s="413"/>
      <c r="CF1172" s="413"/>
      <c r="CG1172" s="413"/>
      <c r="CH1172" s="413"/>
      <c r="CI1172" s="413"/>
      <c r="CJ1172" s="413"/>
      <c r="CK1172" s="413"/>
      <c r="CL1172" s="413"/>
      <c r="CM1172" s="413"/>
      <c r="CN1172" s="413"/>
      <c r="CO1172" s="413"/>
      <c r="CP1172" s="413"/>
      <c r="CQ1172" s="413"/>
      <c r="CR1172" s="413"/>
      <c r="CS1172" s="413"/>
      <c r="CT1172" s="413"/>
      <c r="CU1172" s="413"/>
      <c r="CV1172" s="413"/>
      <c r="CW1172" s="413"/>
      <c r="CX1172" s="413"/>
      <c r="CY1172" s="413"/>
      <c r="CZ1172" s="413"/>
      <c r="DA1172" s="413"/>
      <c r="DB1172" s="413"/>
      <c r="DC1172" s="413"/>
      <c r="DD1172" s="413"/>
      <c r="DE1172" s="390"/>
      <c r="DF1172" s="390"/>
      <c r="DG1172" s="390"/>
      <c r="DH1172" s="390"/>
      <c r="DI1172" s="390"/>
      <c r="DJ1172" s="390"/>
      <c r="DK1172" s="897"/>
    </row>
    <row r="1173" spans="1:115" ht="51" x14ac:dyDescent="0.2">
      <c r="A1173" s="295">
        <v>1169</v>
      </c>
      <c r="B1173" s="390" t="s">
        <v>2843</v>
      </c>
      <c r="C1173" s="390"/>
      <c r="D1173" s="391"/>
      <c r="E1173" s="706" t="s">
        <v>1557</v>
      </c>
      <c r="F1173" s="390" t="s">
        <v>1352</v>
      </c>
      <c r="G1173" s="390" t="s">
        <v>1672</v>
      </c>
      <c r="H1173" s="390" t="s">
        <v>632</v>
      </c>
      <c r="I1173" s="402"/>
      <c r="J1173" s="402"/>
      <c r="K1173" s="402" t="s">
        <v>1558</v>
      </c>
      <c r="L1173" s="402" t="s">
        <v>1556</v>
      </c>
      <c r="M1173" s="402"/>
      <c r="N1173" s="390" t="s">
        <v>33</v>
      </c>
      <c r="O1173" s="390" t="s">
        <v>34</v>
      </c>
      <c r="P1173" s="390" t="s">
        <v>34</v>
      </c>
      <c r="Q1173" s="402" t="s">
        <v>255</v>
      </c>
      <c r="R1173" s="402" t="s">
        <v>3475</v>
      </c>
      <c r="S1173" s="402" t="s">
        <v>64</v>
      </c>
      <c r="T1173" s="411">
        <v>1</v>
      </c>
      <c r="U1173" s="412">
        <v>0.64600000000000002</v>
      </c>
      <c r="V1173" s="412"/>
      <c r="W1173" s="454"/>
      <c r="X1173" s="411"/>
      <c r="Y1173" s="411">
        <v>7</v>
      </c>
      <c r="Z1173" s="411">
        <v>21</v>
      </c>
      <c r="AA1173" s="412">
        <v>0</v>
      </c>
      <c r="AB1173" s="457">
        <v>40998</v>
      </c>
      <c r="AC1173" s="413">
        <v>0.34799999999999998</v>
      </c>
      <c r="AD1173" s="413">
        <v>5.6600219178082192</v>
      </c>
      <c r="AE1173" s="390" t="s">
        <v>37</v>
      </c>
      <c r="AF1173" s="419"/>
      <c r="AG1173" s="419"/>
      <c r="AH1173" s="419"/>
      <c r="AI1173" s="411"/>
      <c r="AJ1173" s="454"/>
      <c r="AK1173" s="454"/>
      <c r="AL1173" s="390"/>
      <c r="AM1173" s="390"/>
      <c r="AN1173" s="419"/>
      <c r="AO1173" s="402"/>
      <c r="AP1173" s="402" t="s">
        <v>7102</v>
      </c>
      <c r="AQ1173" s="402"/>
      <c r="AR1173" s="402" t="s">
        <v>3794</v>
      </c>
      <c r="AS1173" s="481">
        <v>40974</v>
      </c>
      <c r="AT1173" s="454"/>
      <c r="AU1173" s="454"/>
      <c r="AV1173" s="454"/>
      <c r="AW1173" s="454"/>
      <c r="AX1173" s="454"/>
      <c r="AY1173" s="454"/>
      <c r="AZ1173" s="454"/>
      <c r="BA1173" s="390"/>
      <c r="BB1173" s="390"/>
      <c r="BC1173" s="390" t="b">
        <v>0</v>
      </c>
      <c r="BD1173" s="390"/>
      <c r="BE1173" s="402"/>
      <c r="BF1173" s="411">
        <v>9</v>
      </c>
      <c r="BG1173" s="411">
        <v>3</v>
      </c>
      <c r="BH1173" s="411"/>
      <c r="BI1173" s="411"/>
      <c r="BJ1173" s="411"/>
      <c r="BK1173" s="411"/>
      <c r="BL1173" s="445" t="s">
        <v>6981</v>
      </c>
      <c r="BM1173" s="402"/>
      <c r="BN1173" s="390"/>
      <c r="BO1173" s="390"/>
      <c r="BP1173" s="414"/>
      <c r="BQ1173" s="415"/>
      <c r="BR1173" s="416"/>
      <c r="BS1173" s="414"/>
      <c r="BT1173" s="411"/>
      <c r="BU1173" s="419"/>
      <c r="BV1173" s="414">
        <v>1.4</v>
      </c>
      <c r="BW1173" s="390" t="s">
        <v>3117</v>
      </c>
      <c r="BX1173" s="402" t="s">
        <v>3149</v>
      </c>
      <c r="BY1173" s="390"/>
      <c r="BZ1173" s="390"/>
      <c r="CA1173" s="442"/>
      <c r="CB1173" s="415"/>
      <c r="CC1173" s="413"/>
      <c r="CD1173" s="413"/>
      <c r="CE1173" s="413"/>
      <c r="CF1173" s="413"/>
      <c r="CG1173" s="413"/>
      <c r="CH1173" s="413">
        <v>0.34799999999999998</v>
      </c>
      <c r="CI1173" s="413">
        <v>0.69599999999999995</v>
      </c>
      <c r="CJ1173" s="413">
        <v>0.69599999999999995</v>
      </c>
      <c r="CK1173" s="413">
        <v>0.69599999999999995</v>
      </c>
      <c r="CL1173" s="413">
        <v>0.69599999999999995</v>
      </c>
      <c r="CM1173" s="413">
        <v>0.69599999999999995</v>
      </c>
      <c r="CN1173" s="413">
        <v>0.69599999999999995</v>
      </c>
      <c r="CO1173" s="413"/>
      <c r="CP1173" s="413"/>
      <c r="CQ1173" s="413"/>
      <c r="CR1173" s="413"/>
      <c r="CS1173" s="413"/>
      <c r="CT1173" s="413"/>
      <c r="CU1173" s="413"/>
      <c r="CV1173" s="413"/>
      <c r="CW1173" s="413"/>
      <c r="CX1173" s="413"/>
      <c r="CY1173" s="413"/>
      <c r="CZ1173" s="413"/>
      <c r="DA1173" s="413"/>
      <c r="DB1173" s="413"/>
      <c r="DC1173" s="413"/>
      <c r="DD1173" s="413"/>
      <c r="DE1173" s="390"/>
      <c r="DF1173" s="390"/>
      <c r="DG1173" s="390"/>
      <c r="DH1173" s="390"/>
      <c r="DI1173" s="390"/>
      <c r="DJ1173" s="390"/>
      <c r="DK1173" s="897"/>
    </row>
    <row r="1174" spans="1:115" ht="63.75" x14ac:dyDescent="0.2">
      <c r="A1174" s="295">
        <v>1170</v>
      </c>
      <c r="B1174" s="390" t="s">
        <v>1526</v>
      </c>
      <c r="C1174" s="424" t="s">
        <v>7672</v>
      </c>
      <c r="D1174" s="391" t="s">
        <v>5431</v>
      </c>
      <c r="E1174" s="704" t="s">
        <v>1603</v>
      </c>
      <c r="F1174" s="393" t="s">
        <v>1358</v>
      </c>
      <c r="G1174" s="393" t="s">
        <v>1407</v>
      </c>
      <c r="H1174" s="393" t="s">
        <v>1368</v>
      </c>
      <c r="I1174" s="392"/>
      <c r="J1174" s="392" t="s">
        <v>1368</v>
      </c>
      <c r="K1174" s="392"/>
      <c r="L1174" s="392" t="s">
        <v>1617</v>
      </c>
      <c r="M1174" s="392" t="s">
        <v>3476</v>
      </c>
      <c r="N1174" s="393" t="s">
        <v>44</v>
      </c>
      <c r="O1174" s="393" t="s">
        <v>289</v>
      </c>
      <c r="P1174" s="393" t="s">
        <v>289</v>
      </c>
      <c r="Q1174" s="392" t="s">
        <v>721</v>
      </c>
      <c r="R1174" s="392"/>
      <c r="S1174" s="392" t="s">
        <v>291</v>
      </c>
      <c r="T1174" s="394">
        <v>1</v>
      </c>
      <c r="U1174" s="395">
        <v>10.59</v>
      </c>
      <c r="V1174" s="395"/>
      <c r="W1174" s="452">
        <v>40975</v>
      </c>
      <c r="X1174" s="394">
        <v>28</v>
      </c>
      <c r="Y1174" s="394"/>
      <c r="Z1174" s="394"/>
      <c r="AA1174" s="395"/>
      <c r="AB1174" s="453"/>
      <c r="AC1174" s="398">
        <v>0</v>
      </c>
      <c r="AD1174" s="398">
        <v>105.9</v>
      </c>
      <c r="AE1174" s="393" t="s">
        <v>72</v>
      </c>
      <c r="AF1174" s="417"/>
      <c r="AG1174" s="417"/>
      <c r="AH1174" s="417">
        <v>0</v>
      </c>
      <c r="AI1174" s="394"/>
      <c r="AJ1174" s="453"/>
      <c r="AK1174" s="453"/>
      <c r="AL1174" s="393"/>
      <c r="AM1174" s="393"/>
      <c r="AN1174" s="417"/>
      <c r="AO1174" s="392"/>
      <c r="AP1174" s="392" t="s">
        <v>7084</v>
      </c>
      <c r="AQ1174" s="392"/>
      <c r="AR1174" s="392" t="s">
        <v>1617</v>
      </c>
      <c r="AS1174" s="479">
        <v>40975</v>
      </c>
      <c r="AT1174" s="453"/>
      <c r="AU1174" s="453"/>
      <c r="AV1174" s="452">
        <v>41236</v>
      </c>
      <c r="AW1174" s="452">
        <v>41274</v>
      </c>
      <c r="AX1174" s="452">
        <v>41474</v>
      </c>
      <c r="AY1174" s="453"/>
      <c r="AZ1174" s="453"/>
      <c r="BA1174" s="393"/>
      <c r="BB1174" s="393" t="s">
        <v>3147</v>
      </c>
      <c r="BC1174" s="393" t="b">
        <v>1</v>
      </c>
      <c r="BD1174" s="393" t="s">
        <v>3147</v>
      </c>
      <c r="BE1174" s="392"/>
      <c r="BF1174" s="394">
        <v>1</v>
      </c>
      <c r="BG1174" s="394">
        <v>11</v>
      </c>
      <c r="BH1174" s="394">
        <v>5</v>
      </c>
      <c r="BI1174" s="394"/>
      <c r="BJ1174" s="394"/>
      <c r="BK1174" s="394"/>
      <c r="BL1174" s="444"/>
      <c r="BM1174" s="392"/>
      <c r="BN1174" s="393"/>
      <c r="BO1174" s="393"/>
      <c r="BP1174" s="399"/>
      <c r="BQ1174" s="400"/>
      <c r="BR1174" s="401"/>
      <c r="BS1174" s="399">
        <v>3.6240000000000001</v>
      </c>
      <c r="BT1174" s="394"/>
      <c r="BU1174" s="417"/>
      <c r="BV1174" s="399"/>
      <c r="BW1174" s="393"/>
      <c r="BX1174" s="392"/>
      <c r="BY1174" s="393"/>
      <c r="BZ1174" s="393"/>
      <c r="CA1174" s="441"/>
      <c r="CB1174" s="400"/>
      <c r="CC1174" s="398"/>
      <c r="CD1174" s="398"/>
      <c r="CE1174" s="398"/>
      <c r="CF1174" s="398"/>
      <c r="CG1174" s="398"/>
      <c r="CH1174" s="398"/>
      <c r="CI1174" s="398"/>
      <c r="CJ1174" s="398"/>
      <c r="CK1174" s="398"/>
      <c r="CL1174" s="398"/>
      <c r="CM1174" s="398"/>
      <c r="CN1174" s="398"/>
      <c r="CO1174" s="398"/>
      <c r="CP1174" s="398"/>
      <c r="CQ1174" s="398"/>
      <c r="CR1174" s="398"/>
      <c r="CS1174" s="398"/>
      <c r="CT1174" s="398"/>
      <c r="CU1174" s="398"/>
      <c r="CV1174" s="398"/>
      <c r="CW1174" s="398"/>
      <c r="CX1174" s="398"/>
      <c r="CY1174" s="398"/>
      <c r="CZ1174" s="398"/>
      <c r="DA1174" s="398"/>
      <c r="DB1174" s="398"/>
      <c r="DC1174" s="398"/>
      <c r="DD1174" s="398"/>
      <c r="DE1174" s="393"/>
      <c r="DF1174" s="393"/>
      <c r="DG1174" s="393"/>
      <c r="DH1174" s="393"/>
      <c r="DI1174" s="393"/>
      <c r="DJ1174" s="393"/>
      <c r="DK1174" s="896" t="s">
        <v>9700</v>
      </c>
    </row>
    <row r="1175" spans="1:115" ht="15" x14ac:dyDescent="0.2">
      <c r="A1175" s="295">
        <v>1171</v>
      </c>
      <c r="B1175" s="390" t="s">
        <v>2844</v>
      </c>
      <c r="C1175" s="390"/>
      <c r="D1175" s="391" t="s">
        <v>5432</v>
      </c>
      <c r="E1175" s="704" t="s">
        <v>1559</v>
      </c>
      <c r="F1175" s="393" t="s">
        <v>1358</v>
      </c>
      <c r="G1175" s="393" t="s">
        <v>1407</v>
      </c>
      <c r="H1175" s="393" t="s">
        <v>1368</v>
      </c>
      <c r="I1175" s="392"/>
      <c r="J1175" s="392"/>
      <c r="K1175" s="392" t="s">
        <v>2231</v>
      </c>
      <c r="L1175" s="392" t="s">
        <v>1617</v>
      </c>
      <c r="M1175" s="392"/>
      <c r="N1175" s="393" t="s">
        <v>44</v>
      </c>
      <c r="O1175" s="393" t="s">
        <v>289</v>
      </c>
      <c r="P1175" s="393" t="s">
        <v>289</v>
      </c>
      <c r="Q1175" s="392" t="s">
        <v>721</v>
      </c>
      <c r="R1175" s="392" t="s">
        <v>3477</v>
      </c>
      <c r="S1175" s="392" t="s">
        <v>291</v>
      </c>
      <c r="T1175" s="394">
        <v>1</v>
      </c>
      <c r="U1175" s="395">
        <v>10.59</v>
      </c>
      <c r="V1175" s="395"/>
      <c r="W1175" s="453"/>
      <c r="X1175" s="394"/>
      <c r="Y1175" s="394">
        <v>10</v>
      </c>
      <c r="Z1175" s="394">
        <v>23</v>
      </c>
      <c r="AA1175" s="395">
        <v>0</v>
      </c>
      <c r="AB1175" s="452">
        <v>42005</v>
      </c>
      <c r="AC1175" s="398">
        <v>0</v>
      </c>
      <c r="AD1175" s="398">
        <v>105.9</v>
      </c>
      <c r="AE1175" s="393" t="s">
        <v>72</v>
      </c>
      <c r="AF1175" s="417"/>
      <c r="AG1175" s="417"/>
      <c r="AH1175" s="417"/>
      <c r="AI1175" s="394"/>
      <c r="AJ1175" s="453"/>
      <c r="AK1175" s="453"/>
      <c r="AL1175" s="393"/>
      <c r="AM1175" s="393"/>
      <c r="AN1175" s="417"/>
      <c r="AO1175" s="392"/>
      <c r="AP1175" s="392" t="s">
        <v>7084</v>
      </c>
      <c r="AQ1175" s="392"/>
      <c r="AR1175" s="392" t="s">
        <v>1617</v>
      </c>
      <c r="AS1175" s="479">
        <v>40975</v>
      </c>
      <c r="AT1175" s="453"/>
      <c r="AU1175" s="453"/>
      <c r="AV1175" s="453"/>
      <c r="AW1175" s="453"/>
      <c r="AX1175" s="453"/>
      <c r="AY1175" s="453"/>
      <c r="AZ1175" s="453"/>
      <c r="BA1175" s="393"/>
      <c r="BB1175" s="393"/>
      <c r="BC1175" s="393" t="b">
        <v>0</v>
      </c>
      <c r="BD1175" s="393"/>
      <c r="BE1175" s="392"/>
      <c r="BF1175" s="394">
        <v>1</v>
      </c>
      <c r="BG1175" s="394">
        <v>11</v>
      </c>
      <c r="BH1175" s="394">
        <v>5</v>
      </c>
      <c r="BI1175" s="394"/>
      <c r="BJ1175" s="394"/>
      <c r="BK1175" s="394"/>
      <c r="BL1175" s="444" t="s">
        <v>6981</v>
      </c>
      <c r="BM1175" s="392"/>
      <c r="BN1175" s="393"/>
      <c r="BO1175" s="393"/>
      <c r="BP1175" s="399"/>
      <c r="BQ1175" s="400"/>
      <c r="BR1175" s="401"/>
      <c r="BS1175" s="399">
        <v>3.6240000000000001</v>
      </c>
      <c r="BT1175" s="394">
        <v>11112</v>
      </c>
      <c r="BU1175" s="417">
        <v>0.95299999999999996</v>
      </c>
      <c r="BV1175" s="399"/>
      <c r="BW1175" s="393" t="s">
        <v>3117</v>
      </c>
      <c r="BX1175" s="392" t="s">
        <v>4364</v>
      </c>
      <c r="BY1175" s="393" t="s">
        <v>7224</v>
      </c>
      <c r="BZ1175" s="393"/>
      <c r="CA1175" s="441"/>
      <c r="CB1175" s="400"/>
      <c r="CC1175" s="398"/>
      <c r="CD1175" s="398"/>
      <c r="CE1175" s="398"/>
      <c r="CF1175" s="398"/>
      <c r="CG1175" s="398"/>
      <c r="CH1175" s="398"/>
      <c r="CI1175" s="398"/>
      <c r="CJ1175" s="398"/>
      <c r="CK1175" s="398">
        <v>10.59</v>
      </c>
      <c r="CL1175" s="398">
        <v>10.59</v>
      </c>
      <c r="CM1175" s="398">
        <v>10.59</v>
      </c>
      <c r="CN1175" s="398">
        <v>10.59</v>
      </c>
      <c r="CO1175" s="398">
        <v>10.59</v>
      </c>
      <c r="CP1175" s="398">
        <v>10.59</v>
      </c>
      <c r="CQ1175" s="398">
        <v>10.59</v>
      </c>
      <c r="CR1175" s="398">
        <v>10.59</v>
      </c>
      <c r="CS1175" s="398">
        <v>10.59</v>
      </c>
      <c r="CT1175" s="398">
        <v>10.59</v>
      </c>
      <c r="CU1175" s="398"/>
      <c r="CV1175" s="398"/>
      <c r="CW1175" s="398"/>
      <c r="CX1175" s="398"/>
      <c r="CY1175" s="398"/>
      <c r="CZ1175" s="398"/>
      <c r="DA1175" s="398"/>
      <c r="DB1175" s="398"/>
      <c r="DC1175" s="398"/>
      <c r="DD1175" s="398"/>
      <c r="DE1175" s="393"/>
      <c r="DF1175" s="393"/>
      <c r="DG1175" s="393"/>
      <c r="DH1175" s="393"/>
      <c r="DI1175" s="393"/>
      <c r="DJ1175" s="393"/>
      <c r="DK1175" s="897"/>
    </row>
    <row r="1176" spans="1:115" ht="63.75" x14ac:dyDescent="0.2">
      <c r="A1176" s="295">
        <v>1172</v>
      </c>
      <c r="B1176" s="390" t="s">
        <v>1527</v>
      </c>
      <c r="C1176" s="424" t="s">
        <v>7673</v>
      </c>
      <c r="D1176" s="391"/>
      <c r="E1176" s="706" t="s">
        <v>1995</v>
      </c>
      <c r="F1176" s="390" t="s">
        <v>1352</v>
      </c>
      <c r="G1176" s="390" t="s">
        <v>1672</v>
      </c>
      <c r="H1176" s="390" t="s">
        <v>684</v>
      </c>
      <c r="I1176" s="402"/>
      <c r="J1176" s="402" t="s">
        <v>684</v>
      </c>
      <c r="K1176" s="402"/>
      <c r="L1176" s="402" t="s">
        <v>254</v>
      </c>
      <c r="M1176" s="402" t="s">
        <v>3478</v>
      </c>
      <c r="N1176" s="390" t="s">
        <v>33</v>
      </c>
      <c r="O1176" s="390" t="s">
        <v>34</v>
      </c>
      <c r="P1176" s="390" t="s">
        <v>34</v>
      </c>
      <c r="Q1176" s="402" t="s">
        <v>1275</v>
      </c>
      <c r="R1176" s="402"/>
      <c r="S1176" s="402" t="s">
        <v>256</v>
      </c>
      <c r="T1176" s="411">
        <v>1</v>
      </c>
      <c r="U1176" s="412">
        <v>2.7179500000000001</v>
      </c>
      <c r="V1176" s="412"/>
      <c r="W1176" s="457">
        <v>40976</v>
      </c>
      <c r="X1176" s="411">
        <v>28</v>
      </c>
      <c r="Y1176" s="411"/>
      <c r="Z1176" s="411"/>
      <c r="AA1176" s="412"/>
      <c r="AB1176" s="454"/>
      <c r="AC1176" s="413">
        <v>0.68709750000000003</v>
      </c>
      <c r="AD1176" s="413">
        <v>27.179500000000001</v>
      </c>
      <c r="AE1176" s="390" t="s">
        <v>1413</v>
      </c>
      <c r="AF1176" s="419"/>
      <c r="AG1176" s="419"/>
      <c r="AH1176" s="419">
        <v>0</v>
      </c>
      <c r="AI1176" s="411"/>
      <c r="AJ1176" s="454"/>
      <c r="AK1176" s="454"/>
      <c r="AL1176" s="390"/>
      <c r="AM1176" s="390"/>
      <c r="AN1176" s="419"/>
      <c r="AO1176" s="402"/>
      <c r="AP1176" s="402" t="s">
        <v>55</v>
      </c>
      <c r="AQ1176" s="402"/>
      <c r="AR1176" s="402" t="s">
        <v>254</v>
      </c>
      <c r="AS1176" s="481">
        <v>40976</v>
      </c>
      <c r="AT1176" s="454"/>
      <c r="AU1176" s="454"/>
      <c r="AV1176" s="454"/>
      <c r="AW1176" s="454"/>
      <c r="AX1176" s="454"/>
      <c r="AY1176" s="454"/>
      <c r="AZ1176" s="454"/>
      <c r="BA1176" s="390"/>
      <c r="BB1176" s="390" t="s">
        <v>3116</v>
      </c>
      <c r="BC1176" s="390" t="b">
        <v>0</v>
      </c>
      <c r="BD1176" s="390" t="s">
        <v>3116</v>
      </c>
      <c r="BE1176" s="402"/>
      <c r="BF1176" s="411">
        <v>5</v>
      </c>
      <c r="BG1176" s="411">
        <v>11</v>
      </c>
      <c r="BH1176" s="411">
        <v>2</v>
      </c>
      <c r="BI1176" s="411">
        <v>9</v>
      </c>
      <c r="BJ1176" s="411"/>
      <c r="BK1176" s="411"/>
      <c r="BL1176" s="445"/>
      <c r="BM1176" s="402"/>
      <c r="BN1176" s="390"/>
      <c r="BO1176" s="390"/>
      <c r="BP1176" s="414"/>
      <c r="BQ1176" s="415"/>
      <c r="BR1176" s="416"/>
      <c r="BS1176" s="414">
        <v>0</v>
      </c>
      <c r="BT1176" s="411"/>
      <c r="BU1176" s="419"/>
      <c r="BV1176" s="414"/>
      <c r="BW1176" s="390"/>
      <c r="BX1176" s="402"/>
      <c r="BY1176" s="390"/>
      <c r="BZ1176" s="390"/>
      <c r="CA1176" s="442"/>
      <c r="CB1176" s="415"/>
      <c r="CC1176" s="413"/>
      <c r="CD1176" s="413"/>
      <c r="CE1176" s="413"/>
      <c r="CF1176" s="413"/>
      <c r="CG1176" s="413"/>
      <c r="CH1176" s="413"/>
      <c r="CI1176" s="413"/>
      <c r="CJ1176" s="413"/>
      <c r="CK1176" s="413"/>
      <c r="CL1176" s="413"/>
      <c r="CM1176" s="413"/>
      <c r="CN1176" s="413"/>
      <c r="CO1176" s="413"/>
      <c r="CP1176" s="413"/>
      <c r="CQ1176" s="413"/>
      <c r="CR1176" s="413"/>
      <c r="CS1176" s="413"/>
      <c r="CT1176" s="413"/>
      <c r="CU1176" s="413"/>
      <c r="CV1176" s="413"/>
      <c r="CW1176" s="413"/>
      <c r="CX1176" s="413"/>
      <c r="CY1176" s="413"/>
      <c r="CZ1176" s="413"/>
      <c r="DA1176" s="413"/>
      <c r="DB1176" s="413"/>
      <c r="DC1176" s="413"/>
      <c r="DD1176" s="413"/>
      <c r="DE1176" s="390"/>
      <c r="DF1176" s="390"/>
      <c r="DG1176" s="390"/>
      <c r="DH1176" s="390"/>
      <c r="DI1176" s="390"/>
      <c r="DJ1176" s="390"/>
      <c r="DK1176" s="897"/>
    </row>
    <row r="1177" spans="1:115" ht="38.25" x14ac:dyDescent="0.2">
      <c r="A1177" s="295">
        <v>1173</v>
      </c>
      <c r="B1177" s="390" t="s">
        <v>2845</v>
      </c>
      <c r="C1177" s="390"/>
      <c r="D1177" s="391"/>
      <c r="E1177" s="706" t="s">
        <v>1560</v>
      </c>
      <c r="F1177" s="390" t="s">
        <v>1352</v>
      </c>
      <c r="G1177" s="390" t="s">
        <v>1672</v>
      </c>
      <c r="H1177" s="390" t="s">
        <v>684</v>
      </c>
      <c r="I1177" s="402"/>
      <c r="J1177" s="402"/>
      <c r="K1177" s="402" t="s">
        <v>2232</v>
      </c>
      <c r="L1177" s="402" t="s">
        <v>254</v>
      </c>
      <c r="M1177" s="402"/>
      <c r="N1177" s="390" t="s">
        <v>33</v>
      </c>
      <c r="O1177" s="390" t="s">
        <v>34</v>
      </c>
      <c r="P1177" s="390" t="s">
        <v>34</v>
      </c>
      <c r="Q1177" s="402" t="s">
        <v>1275</v>
      </c>
      <c r="R1177" s="402" t="s">
        <v>3479</v>
      </c>
      <c r="S1177" s="402" t="s">
        <v>256</v>
      </c>
      <c r="T1177" s="411">
        <v>1</v>
      </c>
      <c r="U1177" s="412">
        <v>2.7179500000000001</v>
      </c>
      <c r="V1177" s="412"/>
      <c r="W1177" s="454"/>
      <c r="X1177" s="411"/>
      <c r="Y1177" s="411">
        <v>10</v>
      </c>
      <c r="Z1177" s="411">
        <v>10</v>
      </c>
      <c r="AA1177" s="412">
        <v>0</v>
      </c>
      <c r="AB1177" s="457">
        <v>41183</v>
      </c>
      <c r="AC1177" s="413">
        <v>0.68709750000000003</v>
      </c>
      <c r="AD1177" s="413">
        <v>27.179500000000001</v>
      </c>
      <c r="AE1177" s="390" t="s">
        <v>1413</v>
      </c>
      <c r="AF1177" s="419"/>
      <c r="AG1177" s="419"/>
      <c r="AH1177" s="419"/>
      <c r="AI1177" s="411"/>
      <c r="AJ1177" s="454"/>
      <c r="AK1177" s="454"/>
      <c r="AL1177" s="390"/>
      <c r="AM1177" s="390"/>
      <c r="AN1177" s="419"/>
      <c r="AO1177" s="402"/>
      <c r="AP1177" s="402" t="s">
        <v>55</v>
      </c>
      <c r="AQ1177" s="402"/>
      <c r="AR1177" s="402" t="s">
        <v>254</v>
      </c>
      <c r="AS1177" s="481">
        <v>40976</v>
      </c>
      <c r="AT1177" s="454"/>
      <c r="AU1177" s="454"/>
      <c r="AV1177" s="454"/>
      <c r="AW1177" s="454"/>
      <c r="AX1177" s="454"/>
      <c r="AY1177" s="454"/>
      <c r="AZ1177" s="454"/>
      <c r="BA1177" s="390"/>
      <c r="BB1177" s="390"/>
      <c r="BC1177" s="390" t="b">
        <v>0</v>
      </c>
      <c r="BD1177" s="390"/>
      <c r="BE1177" s="402"/>
      <c r="BF1177" s="411">
        <v>5</v>
      </c>
      <c r="BG1177" s="411">
        <v>11</v>
      </c>
      <c r="BH1177" s="411">
        <v>2</v>
      </c>
      <c r="BI1177" s="411">
        <v>9</v>
      </c>
      <c r="BJ1177" s="411"/>
      <c r="BK1177" s="411"/>
      <c r="BL1177" s="445" t="s">
        <v>6982</v>
      </c>
      <c r="BM1177" s="402"/>
      <c r="BN1177" s="390"/>
      <c r="BO1177" s="390"/>
      <c r="BP1177" s="414"/>
      <c r="BQ1177" s="415"/>
      <c r="BR1177" s="416"/>
      <c r="BS1177" s="414"/>
      <c r="BT1177" s="411"/>
      <c r="BU1177" s="419"/>
      <c r="BV1177" s="414"/>
      <c r="BW1177" s="390" t="s">
        <v>3117</v>
      </c>
      <c r="BX1177" s="402" t="s">
        <v>3185</v>
      </c>
      <c r="BY1177" s="390"/>
      <c r="BZ1177" s="390"/>
      <c r="CA1177" s="442"/>
      <c r="CB1177" s="415"/>
      <c r="CC1177" s="413"/>
      <c r="CD1177" s="413"/>
      <c r="CE1177" s="413"/>
      <c r="CF1177" s="413"/>
      <c r="CG1177" s="413"/>
      <c r="CH1177" s="413">
        <v>2.4349099999999999</v>
      </c>
      <c r="CI1177" s="413">
        <v>2.74939</v>
      </c>
      <c r="CJ1177" s="413">
        <v>2.74939</v>
      </c>
      <c r="CK1177" s="413">
        <v>2.74939</v>
      </c>
      <c r="CL1177" s="413">
        <v>2.74939</v>
      </c>
      <c r="CM1177" s="413">
        <v>2.74939</v>
      </c>
      <c r="CN1177" s="413">
        <v>2.74939</v>
      </c>
      <c r="CO1177" s="413">
        <v>2.74939</v>
      </c>
      <c r="CP1177" s="413">
        <v>2.74939</v>
      </c>
      <c r="CQ1177" s="413">
        <v>2.74939</v>
      </c>
      <c r="CR1177" s="413"/>
      <c r="CS1177" s="413"/>
      <c r="CT1177" s="413"/>
      <c r="CU1177" s="413"/>
      <c r="CV1177" s="413"/>
      <c r="CW1177" s="413"/>
      <c r="CX1177" s="413"/>
      <c r="CY1177" s="413"/>
      <c r="CZ1177" s="413"/>
      <c r="DA1177" s="413"/>
      <c r="DB1177" s="413"/>
      <c r="DC1177" s="413"/>
      <c r="DD1177" s="413"/>
      <c r="DE1177" s="390"/>
      <c r="DF1177" s="390"/>
      <c r="DG1177" s="390"/>
      <c r="DH1177" s="390"/>
      <c r="DI1177" s="390"/>
      <c r="DJ1177" s="390"/>
      <c r="DK1177" s="897"/>
    </row>
    <row r="1178" spans="1:115" ht="51" x14ac:dyDescent="0.2">
      <c r="A1178" s="295">
        <v>1174</v>
      </c>
      <c r="B1178" s="390" t="s">
        <v>1528</v>
      </c>
      <c r="C1178" s="424" t="s">
        <v>7674</v>
      </c>
      <c r="D1178" s="391"/>
      <c r="E1178" s="707" t="s">
        <v>1996</v>
      </c>
      <c r="F1178" s="404" t="s">
        <v>1375</v>
      </c>
      <c r="G1178" s="404" t="s">
        <v>998</v>
      </c>
      <c r="H1178" s="404" t="s">
        <v>218</v>
      </c>
      <c r="I1178" s="403"/>
      <c r="J1178" s="403" t="s">
        <v>218</v>
      </c>
      <c r="K1178" s="403"/>
      <c r="L1178" s="403" t="s">
        <v>1561</v>
      </c>
      <c r="M1178" s="403" t="s">
        <v>3480</v>
      </c>
      <c r="N1178" s="404" t="s">
        <v>3142</v>
      </c>
      <c r="O1178" s="404" t="s">
        <v>1155</v>
      </c>
      <c r="P1178" s="404" t="s">
        <v>1155</v>
      </c>
      <c r="Q1178" s="403" t="s">
        <v>1155</v>
      </c>
      <c r="R1178" s="403"/>
      <c r="S1178" s="403" t="s">
        <v>650</v>
      </c>
      <c r="T1178" s="405">
        <v>1</v>
      </c>
      <c r="U1178" s="406">
        <v>77.929000000000002</v>
      </c>
      <c r="V1178" s="406"/>
      <c r="W1178" s="456">
        <v>41640</v>
      </c>
      <c r="X1178" s="405">
        <v>28</v>
      </c>
      <c r="Y1178" s="405"/>
      <c r="Z1178" s="405"/>
      <c r="AA1178" s="406"/>
      <c r="AB1178" s="455"/>
      <c r="AC1178" s="407">
        <v>0</v>
      </c>
      <c r="AD1178" s="407">
        <v>487.6433863013699</v>
      </c>
      <c r="AE1178" s="404" t="s">
        <v>54</v>
      </c>
      <c r="AF1178" s="418"/>
      <c r="AG1178" s="418"/>
      <c r="AH1178" s="418">
        <v>0</v>
      </c>
      <c r="AI1178" s="405"/>
      <c r="AJ1178" s="455"/>
      <c r="AK1178" s="455"/>
      <c r="AL1178" s="404"/>
      <c r="AM1178" s="404"/>
      <c r="AN1178" s="418"/>
      <c r="AO1178" s="403"/>
      <c r="AP1178" s="403" t="s">
        <v>55</v>
      </c>
      <c r="AQ1178" s="403"/>
      <c r="AR1178" s="403" t="s">
        <v>3795</v>
      </c>
      <c r="AS1178" s="482">
        <v>40977</v>
      </c>
      <c r="AT1178" s="455"/>
      <c r="AU1178" s="455"/>
      <c r="AV1178" s="455"/>
      <c r="AW1178" s="455"/>
      <c r="AX1178" s="455"/>
      <c r="AY1178" s="455"/>
      <c r="AZ1178" s="455"/>
      <c r="BA1178" s="404"/>
      <c r="BB1178" s="404" t="s">
        <v>3147</v>
      </c>
      <c r="BC1178" s="404" t="b">
        <v>1</v>
      </c>
      <c r="BD1178" s="404" t="s">
        <v>3147</v>
      </c>
      <c r="BE1178" s="403"/>
      <c r="BF1178" s="405">
        <v>9</v>
      </c>
      <c r="BG1178" s="405">
        <v>5</v>
      </c>
      <c r="BH1178" s="405">
        <v>11</v>
      </c>
      <c r="BI1178" s="405">
        <v>3</v>
      </c>
      <c r="BJ1178" s="405"/>
      <c r="BK1178" s="405"/>
      <c r="BL1178" s="446"/>
      <c r="BM1178" s="403"/>
      <c r="BN1178" s="404"/>
      <c r="BO1178" s="404"/>
      <c r="BP1178" s="408"/>
      <c r="BQ1178" s="409"/>
      <c r="BR1178" s="410"/>
      <c r="BS1178" s="408">
        <v>48</v>
      </c>
      <c r="BT1178" s="405"/>
      <c r="BU1178" s="418"/>
      <c r="BV1178" s="408"/>
      <c r="BW1178" s="404"/>
      <c r="BX1178" s="403"/>
      <c r="BY1178" s="404"/>
      <c r="BZ1178" s="404"/>
      <c r="CA1178" s="443"/>
      <c r="CB1178" s="409"/>
      <c r="CC1178" s="407"/>
      <c r="CD1178" s="407"/>
      <c r="CE1178" s="407"/>
      <c r="CF1178" s="407"/>
      <c r="CG1178" s="407"/>
      <c r="CH1178" s="407"/>
      <c r="CI1178" s="407"/>
      <c r="CJ1178" s="407"/>
      <c r="CK1178" s="407"/>
      <c r="CL1178" s="407"/>
      <c r="CM1178" s="407"/>
      <c r="CN1178" s="407"/>
      <c r="CO1178" s="407"/>
      <c r="CP1178" s="407"/>
      <c r="CQ1178" s="407"/>
      <c r="CR1178" s="407"/>
      <c r="CS1178" s="407"/>
      <c r="CT1178" s="407"/>
      <c r="CU1178" s="407"/>
      <c r="CV1178" s="407"/>
      <c r="CW1178" s="407"/>
      <c r="CX1178" s="407"/>
      <c r="CY1178" s="407"/>
      <c r="CZ1178" s="407"/>
      <c r="DA1178" s="407"/>
      <c r="DB1178" s="407"/>
      <c r="DC1178" s="407"/>
      <c r="DD1178" s="407"/>
      <c r="DE1178" s="404"/>
      <c r="DF1178" s="404"/>
      <c r="DG1178" s="404"/>
      <c r="DH1178" s="404"/>
      <c r="DI1178" s="404"/>
      <c r="DJ1178" s="404"/>
      <c r="DK1178" s="897"/>
    </row>
    <row r="1179" spans="1:115" ht="25.5" x14ac:dyDescent="0.2">
      <c r="A1179" s="295">
        <v>1175</v>
      </c>
      <c r="B1179" s="390" t="s">
        <v>2846</v>
      </c>
      <c r="C1179" s="390"/>
      <c r="D1179" s="391"/>
      <c r="E1179" s="707" t="s">
        <v>1562</v>
      </c>
      <c r="F1179" s="404" t="s">
        <v>1375</v>
      </c>
      <c r="G1179" s="404" t="s">
        <v>998</v>
      </c>
      <c r="H1179" s="404" t="s">
        <v>218</v>
      </c>
      <c r="I1179" s="403"/>
      <c r="J1179" s="403"/>
      <c r="K1179" s="403" t="s">
        <v>2233</v>
      </c>
      <c r="L1179" s="403" t="s">
        <v>1561</v>
      </c>
      <c r="M1179" s="403"/>
      <c r="N1179" s="404" t="s">
        <v>3142</v>
      </c>
      <c r="O1179" s="404" t="s">
        <v>1155</v>
      </c>
      <c r="P1179" s="404" t="s">
        <v>1155</v>
      </c>
      <c r="Q1179" s="403" t="s">
        <v>1155</v>
      </c>
      <c r="R1179" s="403" t="s">
        <v>3481</v>
      </c>
      <c r="S1179" s="403" t="s">
        <v>650</v>
      </c>
      <c r="T1179" s="405">
        <v>1</v>
      </c>
      <c r="U1179" s="406">
        <v>77.929000000000002</v>
      </c>
      <c r="V1179" s="406"/>
      <c r="W1179" s="455"/>
      <c r="X1179" s="405"/>
      <c r="Y1179" s="405">
        <v>7</v>
      </c>
      <c r="Z1179" s="405">
        <v>20</v>
      </c>
      <c r="AA1179" s="406">
        <v>0</v>
      </c>
      <c r="AB1179" s="456">
        <v>41912</v>
      </c>
      <c r="AC1179" s="407">
        <v>0</v>
      </c>
      <c r="AD1179" s="407">
        <v>487.6433863013699</v>
      </c>
      <c r="AE1179" s="404" t="s">
        <v>54</v>
      </c>
      <c r="AF1179" s="418"/>
      <c r="AG1179" s="418"/>
      <c r="AH1179" s="418"/>
      <c r="AI1179" s="405"/>
      <c r="AJ1179" s="455"/>
      <c r="AK1179" s="455"/>
      <c r="AL1179" s="404"/>
      <c r="AM1179" s="404"/>
      <c r="AN1179" s="418"/>
      <c r="AO1179" s="403"/>
      <c r="AP1179" s="403" t="s">
        <v>55</v>
      </c>
      <c r="AQ1179" s="403"/>
      <c r="AR1179" s="403" t="s">
        <v>3795</v>
      </c>
      <c r="AS1179" s="482">
        <v>40977</v>
      </c>
      <c r="AT1179" s="455"/>
      <c r="AU1179" s="455"/>
      <c r="AV1179" s="455"/>
      <c r="AW1179" s="455"/>
      <c r="AX1179" s="455"/>
      <c r="AY1179" s="455"/>
      <c r="AZ1179" s="455"/>
      <c r="BA1179" s="404"/>
      <c r="BB1179" s="404"/>
      <c r="BC1179" s="404" t="b">
        <v>0</v>
      </c>
      <c r="BD1179" s="404"/>
      <c r="BE1179" s="403"/>
      <c r="BF1179" s="405">
        <v>9</v>
      </c>
      <c r="BG1179" s="405">
        <v>5</v>
      </c>
      <c r="BH1179" s="405">
        <v>11</v>
      </c>
      <c r="BI1179" s="405">
        <v>3</v>
      </c>
      <c r="BJ1179" s="405"/>
      <c r="BK1179" s="405"/>
      <c r="BL1179" s="446" t="s">
        <v>6982</v>
      </c>
      <c r="BM1179" s="403"/>
      <c r="BN1179" s="404"/>
      <c r="BO1179" s="404"/>
      <c r="BP1179" s="408"/>
      <c r="BQ1179" s="409"/>
      <c r="BR1179" s="410"/>
      <c r="BS1179" s="408">
        <v>48</v>
      </c>
      <c r="BT1179" s="405">
        <v>132084</v>
      </c>
      <c r="BU1179" s="418">
        <v>0.59</v>
      </c>
      <c r="BV1179" s="408"/>
      <c r="BW1179" s="404" t="s">
        <v>3117</v>
      </c>
      <c r="BX1179" s="403" t="s">
        <v>3177</v>
      </c>
      <c r="BY1179" s="404"/>
      <c r="BZ1179" s="404"/>
      <c r="CA1179" s="443" t="s">
        <v>1662</v>
      </c>
      <c r="CB1179" s="409">
        <v>3</v>
      </c>
      <c r="CC1179" s="407"/>
      <c r="CD1179" s="407"/>
      <c r="CE1179" s="407"/>
      <c r="CF1179" s="407"/>
      <c r="CG1179" s="407"/>
      <c r="CH1179" s="407"/>
      <c r="CI1179" s="407"/>
      <c r="CJ1179" s="407">
        <v>77.929000000000002</v>
      </c>
      <c r="CK1179" s="407">
        <v>77.929000000000002</v>
      </c>
      <c r="CL1179" s="407">
        <v>77.929000000000002</v>
      </c>
      <c r="CM1179" s="407">
        <v>77.929000000000002</v>
      </c>
      <c r="CN1179" s="407">
        <v>77.929000000000002</v>
      </c>
      <c r="CO1179" s="407">
        <v>77.929000000000002</v>
      </c>
      <c r="CP1179" s="407">
        <v>77.929000000000002</v>
      </c>
      <c r="CQ1179" s="407"/>
      <c r="CR1179" s="407"/>
      <c r="CS1179" s="407"/>
      <c r="CT1179" s="407"/>
      <c r="CU1179" s="407"/>
      <c r="CV1179" s="407"/>
      <c r="CW1179" s="407"/>
      <c r="CX1179" s="407"/>
      <c r="CY1179" s="407"/>
      <c r="CZ1179" s="407"/>
      <c r="DA1179" s="407"/>
      <c r="DB1179" s="407"/>
      <c r="DC1179" s="407"/>
      <c r="DD1179" s="407"/>
      <c r="DE1179" s="404"/>
      <c r="DF1179" s="404"/>
      <c r="DG1179" s="404"/>
      <c r="DH1179" s="404"/>
      <c r="DI1179" s="404"/>
      <c r="DJ1179" s="404"/>
      <c r="DK1179" s="897"/>
    </row>
    <row r="1180" spans="1:115" ht="51" x14ac:dyDescent="0.2">
      <c r="A1180" s="295">
        <v>1176</v>
      </c>
      <c r="B1180" s="390" t="s">
        <v>1529</v>
      </c>
      <c r="C1180" s="424" t="s">
        <v>7675</v>
      </c>
      <c r="D1180" s="391"/>
      <c r="E1180" s="707" t="s">
        <v>1563</v>
      </c>
      <c r="F1180" s="404" t="s">
        <v>1375</v>
      </c>
      <c r="G1180" s="404" t="s">
        <v>1361</v>
      </c>
      <c r="H1180" s="404" t="s">
        <v>137</v>
      </c>
      <c r="I1180" s="403"/>
      <c r="J1180" s="403" t="s">
        <v>137</v>
      </c>
      <c r="K1180" s="403"/>
      <c r="L1180" s="403" t="s">
        <v>1561</v>
      </c>
      <c r="M1180" s="403" t="s">
        <v>3482</v>
      </c>
      <c r="N1180" s="404" t="s">
        <v>3142</v>
      </c>
      <c r="O1180" s="404" t="s">
        <v>1155</v>
      </c>
      <c r="P1180" s="404" t="s">
        <v>1155</v>
      </c>
      <c r="Q1180" s="403" t="s">
        <v>1155</v>
      </c>
      <c r="R1180" s="403"/>
      <c r="S1180" s="403" t="s">
        <v>650</v>
      </c>
      <c r="T1180" s="405">
        <v>1</v>
      </c>
      <c r="U1180" s="406">
        <v>353.57100000000003</v>
      </c>
      <c r="V1180" s="406"/>
      <c r="W1180" s="456">
        <v>41275</v>
      </c>
      <c r="X1180" s="405">
        <v>28</v>
      </c>
      <c r="Y1180" s="405"/>
      <c r="Z1180" s="405"/>
      <c r="AA1180" s="406"/>
      <c r="AB1180" s="455"/>
      <c r="AC1180" s="407">
        <v>0</v>
      </c>
      <c r="AD1180" s="407">
        <v>2122.394687671233</v>
      </c>
      <c r="AE1180" s="404" t="s">
        <v>54</v>
      </c>
      <c r="AF1180" s="418"/>
      <c r="AG1180" s="418"/>
      <c r="AH1180" s="418">
        <v>0</v>
      </c>
      <c r="AI1180" s="405"/>
      <c r="AJ1180" s="455"/>
      <c r="AK1180" s="455"/>
      <c r="AL1180" s="404"/>
      <c r="AM1180" s="404"/>
      <c r="AN1180" s="418"/>
      <c r="AO1180" s="403"/>
      <c r="AP1180" s="403" t="s">
        <v>55</v>
      </c>
      <c r="AQ1180" s="403"/>
      <c r="AR1180" s="403" t="s">
        <v>3795</v>
      </c>
      <c r="AS1180" s="482">
        <v>40977</v>
      </c>
      <c r="AT1180" s="455"/>
      <c r="AU1180" s="455"/>
      <c r="AV1180" s="455"/>
      <c r="AW1180" s="455"/>
      <c r="AX1180" s="455"/>
      <c r="AY1180" s="455"/>
      <c r="AZ1180" s="455"/>
      <c r="BA1180" s="404"/>
      <c r="BB1180" s="404" t="s">
        <v>3147</v>
      </c>
      <c r="BC1180" s="404" t="b">
        <v>1</v>
      </c>
      <c r="BD1180" s="404" t="s">
        <v>3147</v>
      </c>
      <c r="BE1180" s="403"/>
      <c r="BF1180" s="405">
        <v>9</v>
      </c>
      <c r="BG1180" s="405">
        <v>5</v>
      </c>
      <c r="BH1180" s="405">
        <v>11</v>
      </c>
      <c r="BI1180" s="405">
        <v>3</v>
      </c>
      <c r="BJ1180" s="405"/>
      <c r="BK1180" s="405"/>
      <c r="BL1180" s="446"/>
      <c r="BM1180" s="403"/>
      <c r="BN1180" s="404"/>
      <c r="BO1180" s="404"/>
      <c r="BP1180" s="408"/>
      <c r="BQ1180" s="409"/>
      <c r="BR1180" s="410"/>
      <c r="BS1180" s="408">
        <v>140</v>
      </c>
      <c r="BT1180" s="405"/>
      <c r="BU1180" s="418"/>
      <c r="BV1180" s="408"/>
      <c r="BW1180" s="404"/>
      <c r="BX1180" s="403"/>
      <c r="BY1180" s="404"/>
      <c r="BZ1180" s="404"/>
      <c r="CA1180" s="443"/>
      <c r="CB1180" s="409"/>
      <c r="CC1180" s="407"/>
      <c r="CD1180" s="407"/>
      <c r="CE1180" s="407"/>
      <c r="CF1180" s="407"/>
      <c r="CG1180" s="407"/>
      <c r="CH1180" s="407"/>
      <c r="CI1180" s="407"/>
      <c r="CJ1180" s="407"/>
      <c r="CK1180" s="407"/>
      <c r="CL1180" s="407"/>
      <c r="CM1180" s="407"/>
      <c r="CN1180" s="407"/>
      <c r="CO1180" s="407"/>
      <c r="CP1180" s="407"/>
      <c r="CQ1180" s="407"/>
      <c r="CR1180" s="407"/>
      <c r="CS1180" s="407"/>
      <c r="CT1180" s="407"/>
      <c r="CU1180" s="407"/>
      <c r="CV1180" s="407"/>
      <c r="CW1180" s="407"/>
      <c r="CX1180" s="407"/>
      <c r="CY1180" s="407"/>
      <c r="CZ1180" s="407"/>
      <c r="DA1180" s="407"/>
      <c r="DB1180" s="407"/>
      <c r="DC1180" s="407"/>
      <c r="DD1180" s="407"/>
      <c r="DE1180" s="404"/>
      <c r="DF1180" s="404"/>
      <c r="DG1180" s="404"/>
      <c r="DH1180" s="404"/>
      <c r="DI1180" s="404"/>
      <c r="DJ1180" s="404"/>
      <c r="DK1180" s="897"/>
    </row>
    <row r="1181" spans="1:115" ht="25.5" x14ac:dyDescent="0.2">
      <c r="A1181" s="295">
        <v>1177</v>
      </c>
      <c r="B1181" s="390" t="s">
        <v>2847</v>
      </c>
      <c r="C1181" s="390"/>
      <c r="D1181" s="391"/>
      <c r="E1181" s="707" t="s">
        <v>1564</v>
      </c>
      <c r="F1181" s="404" t="s">
        <v>1375</v>
      </c>
      <c r="G1181" s="404" t="s">
        <v>1361</v>
      </c>
      <c r="H1181" s="404" t="s">
        <v>137</v>
      </c>
      <c r="I1181" s="403"/>
      <c r="J1181" s="403"/>
      <c r="K1181" s="403" t="s">
        <v>2234</v>
      </c>
      <c r="L1181" s="403" t="s">
        <v>1561</v>
      </c>
      <c r="M1181" s="403"/>
      <c r="N1181" s="404" t="s">
        <v>3142</v>
      </c>
      <c r="O1181" s="404" t="s">
        <v>1155</v>
      </c>
      <c r="P1181" s="404" t="s">
        <v>1155</v>
      </c>
      <c r="Q1181" s="403" t="s">
        <v>1155</v>
      </c>
      <c r="R1181" s="403" t="s">
        <v>3481</v>
      </c>
      <c r="S1181" s="403" t="s">
        <v>650</v>
      </c>
      <c r="T1181" s="405">
        <v>1</v>
      </c>
      <c r="U1181" s="406">
        <v>353.57100000000003</v>
      </c>
      <c r="V1181" s="406"/>
      <c r="W1181" s="455"/>
      <c r="X1181" s="405"/>
      <c r="Y1181" s="405">
        <v>7</v>
      </c>
      <c r="Z1181" s="405">
        <v>20</v>
      </c>
      <c r="AA1181" s="406">
        <v>0</v>
      </c>
      <c r="AB1181" s="456">
        <v>42005</v>
      </c>
      <c r="AC1181" s="407">
        <v>0</v>
      </c>
      <c r="AD1181" s="407">
        <v>2122.394687671233</v>
      </c>
      <c r="AE1181" s="404" t="s">
        <v>54</v>
      </c>
      <c r="AF1181" s="418"/>
      <c r="AG1181" s="418"/>
      <c r="AH1181" s="418"/>
      <c r="AI1181" s="405"/>
      <c r="AJ1181" s="455"/>
      <c r="AK1181" s="455"/>
      <c r="AL1181" s="404"/>
      <c r="AM1181" s="404"/>
      <c r="AN1181" s="418"/>
      <c r="AO1181" s="403"/>
      <c r="AP1181" s="403" t="s">
        <v>55</v>
      </c>
      <c r="AQ1181" s="403"/>
      <c r="AR1181" s="403" t="s">
        <v>3795</v>
      </c>
      <c r="AS1181" s="482">
        <v>40977</v>
      </c>
      <c r="AT1181" s="455"/>
      <c r="AU1181" s="455"/>
      <c r="AV1181" s="455"/>
      <c r="AW1181" s="455"/>
      <c r="AX1181" s="455"/>
      <c r="AY1181" s="455"/>
      <c r="AZ1181" s="455"/>
      <c r="BA1181" s="404"/>
      <c r="BB1181" s="404"/>
      <c r="BC1181" s="404" t="b">
        <v>0</v>
      </c>
      <c r="BD1181" s="404"/>
      <c r="BE1181" s="403"/>
      <c r="BF1181" s="405">
        <v>9</v>
      </c>
      <c r="BG1181" s="405">
        <v>5</v>
      </c>
      <c r="BH1181" s="405">
        <v>11</v>
      </c>
      <c r="BI1181" s="405">
        <v>3</v>
      </c>
      <c r="BJ1181" s="405"/>
      <c r="BK1181" s="405"/>
      <c r="BL1181" s="446" t="s">
        <v>6982</v>
      </c>
      <c r="BM1181" s="403"/>
      <c r="BN1181" s="404"/>
      <c r="BO1181" s="404"/>
      <c r="BP1181" s="408"/>
      <c r="BQ1181" s="409"/>
      <c r="BR1181" s="410"/>
      <c r="BS1181" s="408">
        <v>140</v>
      </c>
      <c r="BT1181" s="405">
        <v>380180</v>
      </c>
      <c r="BU1181" s="418">
        <v>0.93</v>
      </c>
      <c r="BV1181" s="408"/>
      <c r="BW1181" s="404" t="s">
        <v>3117</v>
      </c>
      <c r="BX1181" s="403" t="s">
        <v>3177</v>
      </c>
      <c r="BY1181" s="404"/>
      <c r="BZ1181" s="404"/>
      <c r="CA1181" s="443" t="s">
        <v>1662</v>
      </c>
      <c r="CB1181" s="409">
        <v>3</v>
      </c>
      <c r="CC1181" s="407"/>
      <c r="CD1181" s="407"/>
      <c r="CE1181" s="407"/>
      <c r="CF1181" s="407"/>
      <c r="CG1181" s="407"/>
      <c r="CH1181" s="407"/>
      <c r="CI1181" s="407"/>
      <c r="CJ1181" s="407"/>
      <c r="CK1181" s="407">
        <v>353.37099999999998</v>
      </c>
      <c r="CL1181" s="407">
        <v>353.37099999999998</v>
      </c>
      <c r="CM1181" s="407">
        <v>353.37099999999998</v>
      </c>
      <c r="CN1181" s="407">
        <v>353.37099999999998</v>
      </c>
      <c r="CO1181" s="407">
        <v>353.37099999999998</v>
      </c>
      <c r="CP1181" s="407">
        <v>353.37099999999998</v>
      </c>
      <c r="CQ1181" s="407">
        <v>353.37099999999998</v>
      </c>
      <c r="CR1181" s="407"/>
      <c r="CS1181" s="407"/>
      <c r="CT1181" s="407"/>
      <c r="CU1181" s="407"/>
      <c r="CV1181" s="407"/>
      <c r="CW1181" s="407"/>
      <c r="CX1181" s="407"/>
      <c r="CY1181" s="407"/>
      <c r="CZ1181" s="407"/>
      <c r="DA1181" s="407"/>
      <c r="DB1181" s="407"/>
      <c r="DC1181" s="407"/>
      <c r="DD1181" s="407"/>
      <c r="DE1181" s="404"/>
      <c r="DF1181" s="404"/>
      <c r="DG1181" s="404"/>
      <c r="DH1181" s="404"/>
      <c r="DI1181" s="404"/>
      <c r="DJ1181" s="404"/>
      <c r="DK1181" s="897"/>
    </row>
    <row r="1182" spans="1:115" ht="51" x14ac:dyDescent="0.2">
      <c r="A1182" s="295">
        <v>1178</v>
      </c>
      <c r="B1182" s="390" t="s">
        <v>1530</v>
      </c>
      <c r="C1182" s="424" t="s">
        <v>7676</v>
      </c>
      <c r="D1182" s="391" t="s">
        <v>4592</v>
      </c>
      <c r="E1182" s="704" t="s">
        <v>1565</v>
      </c>
      <c r="F1182" s="393" t="s">
        <v>1375</v>
      </c>
      <c r="G1182" s="393" t="s">
        <v>1361</v>
      </c>
      <c r="H1182" s="393" t="s">
        <v>137</v>
      </c>
      <c r="I1182" s="392"/>
      <c r="J1182" s="392" t="s">
        <v>137</v>
      </c>
      <c r="K1182" s="392"/>
      <c r="L1182" s="428" t="s">
        <v>8128</v>
      </c>
      <c r="M1182" s="392" t="s">
        <v>3483</v>
      </c>
      <c r="N1182" s="393" t="s">
        <v>44</v>
      </c>
      <c r="O1182" s="393" t="s">
        <v>5030</v>
      </c>
      <c r="P1182" s="393" t="s">
        <v>5030</v>
      </c>
      <c r="Q1182" s="392" t="s">
        <v>1834</v>
      </c>
      <c r="R1182" s="392"/>
      <c r="S1182" s="392" t="s">
        <v>291</v>
      </c>
      <c r="T1182" s="394">
        <v>3</v>
      </c>
      <c r="U1182" s="395">
        <v>64.102000000000004</v>
      </c>
      <c r="V1182" s="395"/>
      <c r="W1182" s="452">
        <v>40966</v>
      </c>
      <c r="X1182" s="394">
        <v>28</v>
      </c>
      <c r="Y1182" s="394"/>
      <c r="Z1182" s="394"/>
      <c r="AA1182" s="395"/>
      <c r="AB1182" s="453"/>
      <c r="AC1182" s="398">
        <v>0</v>
      </c>
      <c r="AD1182" s="398">
        <v>448.13294794520544</v>
      </c>
      <c r="AE1182" s="393" t="s">
        <v>355</v>
      </c>
      <c r="AF1182" s="417"/>
      <c r="AG1182" s="417"/>
      <c r="AH1182" s="417">
        <v>0</v>
      </c>
      <c r="AI1182" s="394"/>
      <c r="AJ1182" s="453"/>
      <c r="AK1182" s="453"/>
      <c r="AL1182" s="393"/>
      <c r="AM1182" s="393"/>
      <c r="AN1182" s="417"/>
      <c r="AO1182" s="392"/>
      <c r="AP1182" s="428" t="s">
        <v>9064</v>
      </c>
      <c r="AQ1182" s="428" t="s">
        <v>8085</v>
      </c>
      <c r="AR1182" s="392" t="s">
        <v>356</v>
      </c>
      <c r="AS1182" s="479">
        <v>40981</v>
      </c>
      <c r="AT1182" s="453"/>
      <c r="AU1182" s="453"/>
      <c r="AV1182" s="452">
        <v>41171</v>
      </c>
      <c r="AW1182" s="452">
        <v>41189</v>
      </c>
      <c r="AX1182" s="452">
        <v>41242</v>
      </c>
      <c r="AY1182" s="452">
        <v>41162</v>
      </c>
      <c r="AZ1182" s="453"/>
      <c r="BA1182" s="393"/>
      <c r="BB1182" s="393" t="s">
        <v>3147</v>
      </c>
      <c r="BC1182" s="393" t="b">
        <v>0</v>
      </c>
      <c r="BD1182" s="393" t="s">
        <v>3147</v>
      </c>
      <c r="BE1182" s="392"/>
      <c r="BF1182" s="394">
        <v>5</v>
      </c>
      <c r="BG1182" s="394">
        <v>9</v>
      </c>
      <c r="BH1182" s="394">
        <v>11</v>
      </c>
      <c r="BI1182" s="394"/>
      <c r="BJ1182" s="394"/>
      <c r="BK1182" s="394"/>
      <c r="BL1182" s="444"/>
      <c r="BM1182" s="392"/>
      <c r="BN1182" s="393"/>
      <c r="BO1182" s="393"/>
      <c r="BP1182" s="399"/>
      <c r="BQ1182" s="400"/>
      <c r="BR1182" s="401"/>
      <c r="BS1182" s="399">
        <v>30</v>
      </c>
      <c r="BT1182" s="394"/>
      <c r="BU1182" s="417"/>
      <c r="BV1182" s="399"/>
      <c r="BW1182" s="393"/>
      <c r="BX1182" s="392"/>
      <c r="BY1182" s="393"/>
      <c r="BZ1182" s="393"/>
      <c r="CA1182" s="441"/>
      <c r="CB1182" s="400"/>
      <c r="CC1182" s="398"/>
      <c r="CD1182" s="398"/>
      <c r="CE1182" s="398"/>
      <c r="CF1182" s="398"/>
      <c r="CG1182" s="398"/>
      <c r="CH1182" s="398"/>
      <c r="CI1182" s="398"/>
      <c r="CJ1182" s="398"/>
      <c r="CK1182" s="398"/>
      <c r="CL1182" s="398"/>
      <c r="CM1182" s="398"/>
      <c r="CN1182" s="398"/>
      <c r="CO1182" s="398"/>
      <c r="CP1182" s="398"/>
      <c r="CQ1182" s="398"/>
      <c r="CR1182" s="398"/>
      <c r="CS1182" s="398"/>
      <c r="CT1182" s="398"/>
      <c r="CU1182" s="398"/>
      <c r="CV1182" s="398"/>
      <c r="CW1182" s="398"/>
      <c r="CX1182" s="398"/>
      <c r="CY1182" s="398"/>
      <c r="CZ1182" s="398"/>
      <c r="DA1182" s="398"/>
      <c r="DB1182" s="398"/>
      <c r="DC1182" s="398"/>
      <c r="DD1182" s="398"/>
      <c r="DE1182" s="393"/>
      <c r="DF1182" s="393"/>
      <c r="DG1182" s="393"/>
      <c r="DH1182" s="393"/>
      <c r="DI1182" s="393"/>
      <c r="DJ1182" s="393"/>
      <c r="DK1182" s="896" t="s">
        <v>9723</v>
      </c>
    </row>
    <row r="1183" spans="1:115" ht="38.25" x14ac:dyDescent="0.2">
      <c r="A1183" s="295">
        <v>1179</v>
      </c>
      <c r="B1183" s="390" t="s">
        <v>2848</v>
      </c>
      <c r="C1183" s="390"/>
      <c r="D1183" s="391" t="s">
        <v>4253</v>
      </c>
      <c r="E1183" s="704" t="s">
        <v>1566</v>
      </c>
      <c r="F1183" s="393" t="s">
        <v>1375</v>
      </c>
      <c r="G1183" s="393" t="s">
        <v>1361</v>
      </c>
      <c r="H1183" s="393" t="s">
        <v>137</v>
      </c>
      <c r="I1183" s="392"/>
      <c r="J1183" s="392"/>
      <c r="K1183" s="392" t="s">
        <v>2188</v>
      </c>
      <c r="L1183" s="428" t="s">
        <v>8128</v>
      </c>
      <c r="M1183" s="392"/>
      <c r="N1183" s="393" t="s">
        <v>44</v>
      </c>
      <c r="O1183" s="393" t="s">
        <v>827</v>
      </c>
      <c r="P1183" s="393" t="s">
        <v>827</v>
      </c>
      <c r="Q1183" s="392" t="s">
        <v>836</v>
      </c>
      <c r="R1183" s="392" t="s">
        <v>3484</v>
      </c>
      <c r="S1183" s="392" t="s">
        <v>291</v>
      </c>
      <c r="T1183" s="394">
        <v>1</v>
      </c>
      <c r="U1183" s="395">
        <v>24.757999999999999</v>
      </c>
      <c r="V1183" s="395"/>
      <c r="W1183" s="453"/>
      <c r="X1183" s="394"/>
      <c r="Y1183" s="394">
        <v>7</v>
      </c>
      <c r="Z1183" s="394">
        <v>20</v>
      </c>
      <c r="AA1183" s="395">
        <v>0</v>
      </c>
      <c r="AB1183" s="452">
        <v>41791</v>
      </c>
      <c r="AC1183" s="398">
        <v>0</v>
      </c>
      <c r="AD1183" s="398">
        <v>163.13147945205478</v>
      </c>
      <c r="AE1183" s="393" t="s">
        <v>355</v>
      </c>
      <c r="AF1183" s="417"/>
      <c r="AG1183" s="417"/>
      <c r="AH1183" s="417"/>
      <c r="AI1183" s="394"/>
      <c r="AJ1183" s="453"/>
      <c r="AK1183" s="453"/>
      <c r="AL1183" s="393"/>
      <c r="AM1183" s="393"/>
      <c r="AN1183" s="417"/>
      <c r="AO1183" s="392"/>
      <c r="AP1183" s="428" t="s">
        <v>9064</v>
      </c>
      <c r="AQ1183" s="428" t="s">
        <v>8085</v>
      </c>
      <c r="AR1183" s="392" t="s">
        <v>356</v>
      </c>
      <c r="AS1183" s="479">
        <v>40981</v>
      </c>
      <c r="AT1183" s="453"/>
      <c r="AU1183" s="453"/>
      <c r="AV1183" s="453"/>
      <c r="AW1183" s="453"/>
      <c r="AX1183" s="453"/>
      <c r="AY1183" s="453"/>
      <c r="AZ1183" s="452">
        <v>41162</v>
      </c>
      <c r="BA1183" s="393"/>
      <c r="BB1183" s="393"/>
      <c r="BC1183" s="393" t="b">
        <v>0</v>
      </c>
      <c r="BD1183" s="393"/>
      <c r="BE1183" s="392"/>
      <c r="BF1183" s="394">
        <v>5</v>
      </c>
      <c r="BG1183" s="394">
        <v>9</v>
      </c>
      <c r="BH1183" s="394">
        <v>11</v>
      </c>
      <c r="BI1183" s="394"/>
      <c r="BJ1183" s="394"/>
      <c r="BK1183" s="394"/>
      <c r="BL1183" s="444" t="s">
        <v>6982</v>
      </c>
      <c r="BM1183" s="392"/>
      <c r="BN1183" s="393" t="s">
        <v>3288</v>
      </c>
      <c r="BO1183" s="393"/>
      <c r="BP1183" s="399"/>
      <c r="BQ1183" s="400"/>
      <c r="BR1183" s="401"/>
      <c r="BS1183" s="399">
        <v>10</v>
      </c>
      <c r="BT1183" s="394">
        <v>26967</v>
      </c>
      <c r="BU1183" s="417">
        <v>0.96799999999999997</v>
      </c>
      <c r="BV1183" s="399"/>
      <c r="BW1183" s="393" t="s">
        <v>3117</v>
      </c>
      <c r="BX1183" s="392" t="s">
        <v>3177</v>
      </c>
      <c r="BY1183" s="393" t="s">
        <v>7224</v>
      </c>
      <c r="BZ1183" s="393"/>
      <c r="CA1183" s="441"/>
      <c r="CB1183" s="400"/>
      <c r="CC1183" s="398"/>
      <c r="CD1183" s="398"/>
      <c r="CE1183" s="398"/>
      <c r="CF1183" s="398"/>
      <c r="CG1183" s="398"/>
      <c r="CH1183" s="398"/>
      <c r="CI1183" s="398">
        <v>19.596</v>
      </c>
      <c r="CJ1183" s="398">
        <v>26.128</v>
      </c>
      <c r="CK1183" s="398">
        <v>26.128</v>
      </c>
      <c r="CL1183" s="398">
        <v>26.128</v>
      </c>
      <c r="CM1183" s="398">
        <v>26.128</v>
      </c>
      <c r="CN1183" s="398">
        <v>26.128</v>
      </c>
      <c r="CO1183" s="398">
        <v>26.128</v>
      </c>
      <c r="CP1183" s="398">
        <v>6.532</v>
      </c>
      <c r="CQ1183" s="398"/>
      <c r="CR1183" s="398"/>
      <c r="CS1183" s="398"/>
      <c r="CT1183" s="398"/>
      <c r="CU1183" s="398"/>
      <c r="CV1183" s="398"/>
      <c r="CW1183" s="398"/>
      <c r="CX1183" s="398"/>
      <c r="CY1183" s="398"/>
      <c r="CZ1183" s="398"/>
      <c r="DA1183" s="398"/>
      <c r="DB1183" s="398"/>
      <c r="DC1183" s="398"/>
      <c r="DD1183" s="398"/>
      <c r="DE1183" s="393"/>
      <c r="DF1183" s="393"/>
      <c r="DG1183" s="393"/>
      <c r="DH1183" s="393"/>
      <c r="DI1183" s="393"/>
      <c r="DJ1183" s="393"/>
      <c r="DK1183" s="897"/>
    </row>
    <row r="1184" spans="1:115" ht="25.5" x14ac:dyDescent="0.2">
      <c r="A1184" s="295">
        <v>1180</v>
      </c>
      <c r="B1184" s="390" t="s">
        <v>4525</v>
      </c>
      <c r="C1184" s="390"/>
      <c r="D1184" s="391" t="s">
        <v>4526</v>
      </c>
      <c r="E1184" s="704" t="s">
        <v>4527</v>
      </c>
      <c r="F1184" s="393" t="s">
        <v>1375</v>
      </c>
      <c r="G1184" s="393" t="s">
        <v>1361</v>
      </c>
      <c r="H1184" s="393" t="s">
        <v>137</v>
      </c>
      <c r="I1184" s="392"/>
      <c r="J1184" s="392"/>
      <c r="K1184" s="392" t="s">
        <v>2188</v>
      </c>
      <c r="L1184" s="428" t="s">
        <v>8128</v>
      </c>
      <c r="M1184" s="392"/>
      <c r="N1184" s="393" t="s">
        <v>44</v>
      </c>
      <c r="O1184" s="393" t="s">
        <v>827</v>
      </c>
      <c r="P1184" s="393" t="s">
        <v>827</v>
      </c>
      <c r="Q1184" s="392" t="s">
        <v>836</v>
      </c>
      <c r="R1184" s="392" t="s">
        <v>4528</v>
      </c>
      <c r="S1184" s="392" t="s">
        <v>291</v>
      </c>
      <c r="T1184" s="394">
        <v>1</v>
      </c>
      <c r="U1184" s="395">
        <v>19.536999999999999</v>
      </c>
      <c r="V1184" s="395"/>
      <c r="W1184" s="453"/>
      <c r="X1184" s="394"/>
      <c r="Y1184" s="394">
        <v>7</v>
      </c>
      <c r="Z1184" s="394">
        <v>20</v>
      </c>
      <c r="AA1184" s="395"/>
      <c r="AB1184" s="452">
        <v>41552</v>
      </c>
      <c r="AC1184" s="398">
        <v>0</v>
      </c>
      <c r="AD1184" s="398">
        <v>141.52281643835616</v>
      </c>
      <c r="AE1184" s="393" t="s">
        <v>355</v>
      </c>
      <c r="AF1184" s="417"/>
      <c r="AG1184" s="417"/>
      <c r="AH1184" s="417"/>
      <c r="AI1184" s="394"/>
      <c r="AJ1184" s="453"/>
      <c r="AK1184" s="453"/>
      <c r="AL1184" s="393"/>
      <c r="AM1184" s="393"/>
      <c r="AN1184" s="417"/>
      <c r="AO1184" s="392"/>
      <c r="AP1184" s="392"/>
      <c r="AQ1184" s="392"/>
      <c r="AR1184" s="392" t="s">
        <v>356</v>
      </c>
      <c r="AS1184" s="480"/>
      <c r="AT1184" s="453"/>
      <c r="AU1184" s="453"/>
      <c r="AV1184" s="453"/>
      <c r="AW1184" s="453"/>
      <c r="AX1184" s="453"/>
      <c r="AY1184" s="453"/>
      <c r="AZ1184" s="452">
        <v>41333</v>
      </c>
      <c r="BA1184" s="393"/>
      <c r="BB1184" s="393"/>
      <c r="BC1184" s="393" t="b">
        <v>0</v>
      </c>
      <c r="BD1184" s="393"/>
      <c r="BE1184" s="392"/>
      <c r="BF1184" s="394">
        <v>5</v>
      </c>
      <c r="BG1184" s="394">
        <v>9</v>
      </c>
      <c r="BH1184" s="394">
        <v>11</v>
      </c>
      <c r="BI1184" s="394"/>
      <c r="BJ1184" s="394"/>
      <c r="BK1184" s="394"/>
      <c r="BL1184" s="444" t="s">
        <v>6982</v>
      </c>
      <c r="BM1184" s="392"/>
      <c r="BN1184" s="393" t="s">
        <v>3288</v>
      </c>
      <c r="BO1184" s="393"/>
      <c r="BP1184" s="399"/>
      <c r="BQ1184" s="400"/>
      <c r="BR1184" s="401"/>
      <c r="BS1184" s="399">
        <v>10</v>
      </c>
      <c r="BT1184" s="394">
        <v>20644</v>
      </c>
      <c r="BU1184" s="417">
        <v>0.96799999999999997</v>
      </c>
      <c r="BV1184" s="399"/>
      <c r="BW1184" s="393" t="s">
        <v>3117</v>
      </c>
      <c r="BX1184" s="392" t="s">
        <v>3177</v>
      </c>
      <c r="BY1184" s="393" t="s">
        <v>7224</v>
      </c>
      <c r="BZ1184" s="393"/>
      <c r="CA1184" s="441"/>
      <c r="CB1184" s="400"/>
      <c r="CC1184" s="398"/>
      <c r="CD1184" s="398"/>
      <c r="CE1184" s="398"/>
      <c r="CF1184" s="398"/>
      <c r="CG1184" s="398"/>
      <c r="CH1184" s="398"/>
      <c r="CI1184" s="398">
        <v>4.7670000000000003</v>
      </c>
      <c r="CJ1184" s="398">
        <v>19.754000000000001</v>
      </c>
      <c r="CK1184" s="398">
        <v>19.675000000000001</v>
      </c>
      <c r="CL1184" s="398">
        <v>19.596</v>
      </c>
      <c r="CM1184" s="398">
        <v>19.518000000000001</v>
      </c>
      <c r="CN1184" s="398">
        <v>19.440000000000001</v>
      </c>
      <c r="CO1184" s="398">
        <v>19.361999999999998</v>
      </c>
      <c r="CP1184" s="398">
        <v>14.648999999999999</v>
      </c>
      <c r="CQ1184" s="398"/>
      <c r="CR1184" s="398"/>
      <c r="CS1184" s="398"/>
      <c r="CT1184" s="398"/>
      <c r="CU1184" s="398"/>
      <c r="CV1184" s="398"/>
      <c r="CW1184" s="398"/>
      <c r="CX1184" s="398"/>
      <c r="CY1184" s="398"/>
      <c r="CZ1184" s="398"/>
      <c r="DA1184" s="398"/>
      <c r="DB1184" s="398"/>
      <c r="DC1184" s="398"/>
      <c r="DD1184" s="398"/>
      <c r="DE1184" s="393"/>
      <c r="DF1184" s="393"/>
      <c r="DG1184" s="393"/>
      <c r="DH1184" s="393"/>
      <c r="DI1184" s="393"/>
      <c r="DJ1184" s="393"/>
      <c r="DK1184" s="897"/>
    </row>
    <row r="1185" spans="1:115" ht="25.5" x14ac:dyDescent="0.2">
      <c r="A1185" s="295">
        <v>1181</v>
      </c>
      <c r="B1185" s="390" t="s">
        <v>4529</v>
      </c>
      <c r="C1185" s="390"/>
      <c r="D1185" s="391" t="s">
        <v>4530</v>
      </c>
      <c r="E1185" s="704" t="s">
        <v>4531</v>
      </c>
      <c r="F1185" s="393" t="s">
        <v>1375</v>
      </c>
      <c r="G1185" s="393" t="s">
        <v>1361</v>
      </c>
      <c r="H1185" s="393" t="s">
        <v>137</v>
      </c>
      <c r="I1185" s="392"/>
      <c r="J1185" s="392"/>
      <c r="K1185" s="392"/>
      <c r="L1185" s="428" t="s">
        <v>8128</v>
      </c>
      <c r="M1185" s="392"/>
      <c r="N1185" s="393" t="s">
        <v>44</v>
      </c>
      <c r="O1185" s="393" t="s">
        <v>827</v>
      </c>
      <c r="P1185" s="393" t="s">
        <v>827</v>
      </c>
      <c r="Q1185" s="392" t="s">
        <v>836</v>
      </c>
      <c r="R1185" s="392" t="s">
        <v>4532</v>
      </c>
      <c r="S1185" s="392" t="s">
        <v>291</v>
      </c>
      <c r="T1185" s="394">
        <v>1</v>
      </c>
      <c r="U1185" s="395">
        <v>19.806999999999999</v>
      </c>
      <c r="V1185" s="395"/>
      <c r="W1185" s="453"/>
      <c r="X1185" s="394"/>
      <c r="Y1185" s="394">
        <v>7</v>
      </c>
      <c r="Z1185" s="394">
        <v>20</v>
      </c>
      <c r="AA1185" s="395"/>
      <c r="AB1185" s="452">
        <v>41552</v>
      </c>
      <c r="AC1185" s="398">
        <v>0</v>
      </c>
      <c r="AD1185" s="398">
        <v>143.47865205479451</v>
      </c>
      <c r="AE1185" s="393" t="s">
        <v>355</v>
      </c>
      <c r="AF1185" s="417"/>
      <c r="AG1185" s="417"/>
      <c r="AH1185" s="417"/>
      <c r="AI1185" s="394"/>
      <c r="AJ1185" s="453"/>
      <c r="AK1185" s="453"/>
      <c r="AL1185" s="393"/>
      <c r="AM1185" s="393"/>
      <c r="AN1185" s="417"/>
      <c r="AO1185" s="392"/>
      <c r="AP1185" s="392"/>
      <c r="AQ1185" s="392"/>
      <c r="AR1185" s="392" t="s">
        <v>356</v>
      </c>
      <c r="AS1185" s="480"/>
      <c r="AT1185" s="453"/>
      <c r="AU1185" s="453"/>
      <c r="AV1185" s="453"/>
      <c r="AW1185" s="453"/>
      <c r="AX1185" s="453"/>
      <c r="AY1185" s="453"/>
      <c r="AZ1185" s="452">
        <v>40967</v>
      </c>
      <c r="BA1185" s="393"/>
      <c r="BB1185" s="393"/>
      <c r="BC1185" s="393" t="b">
        <v>0</v>
      </c>
      <c r="BD1185" s="393"/>
      <c r="BE1185" s="392"/>
      <c r="BF1185" s="394">
        <v>5</v>
      </c>
      <c r="BG1185" s="394">
        <v>9</v>
      </c>
      <c r="BH1185" s="394">
        <v>11</v>
      </c>
      <c r="BI1185" s="394"/>
      <c r="BJ1185" s="394"/>
      <c r="BK1185" s="394"/>
      <c r="BL1185" s="444" t="s">
        <v>6982</v>
      </c>
      <c r="BM1185" s="392"/>
      <c r="BN1185" s="393" t="s">
        <v>3288</v>
      </c>
      <c r="BO1185" s="393"/>
      <c r="BP1185" s="399"/>
      <c r="BQ1185" s="400"/>
      <c r="BR1185" s="401"/>
      <c r="BS1185" s="399">
        <v>10</v>
      </c>
      <c r="BT1185" s="394">
        <v>20930</v>
      </c>
      <c r="BU1185" s="417">
        <v>0.96799999999999997</v>
      </c>
      <c r="BV1185" s="399"/>
      <c r="BW1185" s="393" t="s">
        <v>4533</v>
      </c>
      <c r="BX1185" s="392" t="s">
        <v>3177</v>
      </c>
      <c r="BY1185" s="393" t="s">
        <v>7224</v>
      </c>
      <c r="BZ1185" s="393"/>
      <c r="CA1185" s="441"/>
      <c r="CB1185" s="400"/>
      <c r="CC1185" s="398"/>
      <c r="CD1185" s="398"/>
      <c r="CE1185" s="398"/>
      <c r="CF1185" s="398"/>
      <c r="CG1185" s="398"/>
      <c r="CH1185" s="398"/>
      <c r="CI1185" s="398">
        <v>4.8330000000000002</v>
      </c>
      <c r="CJ1185" s="398">
        <v>20.027000000000001</v>
      </c>
      <c r="CK1185" s="398">
        <v>19.946999999999999</v>
      </c>
      <c r="CL1185" s="398">
        <v>19.867000000000001</v>
      </c>
      <c r="CM1185" s="398">
        <v>19.786999999999999</v>
      </c>
      <c r="CN1185" s="398">
        <v>19.707999999999998</v>
      </c>
      <c r="CO1185" s="398">
        <v>19.63</v>
      </c>
      <c r="CP1185" s="398">
        <v>14.852</v>
      </c>
      <c r="CQ1185" s="398"/>
      <c r="CR1185" s="398"/>
      <c r="CS1185" s="398"/>
      <c r="CT1185" s="398"/>
      <c r="CU1185" s="398"/>
      <c r="CV1185" s="398"/>
      <c r="CW1185" s="398"/>
      <c r="CX1185" s="398"/>
      <c r="CY1185" s="398"/>
      <c r="CZ1185" s="398"/>
      <c r="DA1185" s="398"/>
      <c r="DB1185" s="398"/>
      <c r="DC1185" s="398"/>
      <c r="DD1185" s="398"/>
      <c r="DE1185" s="393"/>
      <c r="DF1185" s="393"/>
      <c r="DG1185" s="393"/>
      <c r="DH1185" s="393"/>
      <c r="DI1185" s="393"/>
      <c r="DJ1185" s="393"/>
      <c r="DK1185" s="897"/>
    </row>
    <row r="1186" spans="1:115" ht="25.5" x14ac:dyDescent="0.2">
      <c r="A1186" s="295">
        <v>1182</v>
      </c>
      <c r="B1186" s="390" t="s">
        <v>1531</v>
      </c>
      <c r="C1186" s="424" t="s">
        <v>7677</v>
      </c>
      <c r="D1186" s="391" t="s">
        <v>5172</v>
      </c>
      <c r="E1186" s="704" t="s">
        <v>1567</v>
      </c>
      <c r="F1186" s="393" t="s">
        <v>1375</v>
      </c>
      <c r="G1186" s="393" t="s">
        <v>1669</v>
      </c>
      <c r="H1186" s="393" t="s">
        <v>412</v>
      </c>
      <c r="I1186" s="392"/>
      <c r="J1186" s="392" t="s">
        <v>4484</v>
      </c>
      <c r="K1186" s="392"/>
      <c r="L1186" s="392" t="s">
        <v>1568</v>
      </c>
      <c r="M1186" s="392" t="s">
        <v>3485</v>
      </c>
      <c r="N1186" s="393" t="s">
        <v>44</v>
      </c>
      <c r="O1186" s="393" t="s">
        <v>5030</v>
      </c>
      <c r="P1186" s="393" t="s">
        <v>5030</v>
      </c>
      <c r="Q1186" s="392" t="s">
        <v>1831</v>
      </c>
      <c r="R1186" s="392"/>
      <c r="S1186" s="392" t="s">
        <v>650</v>
      </c>
      <c r="T1186" s="394">
        <v>1</v>
      </c>
      <c r="U1186" s="395">
        <v>20.882999999999999</v>
      </c>
      <c r="V1186" s="395"/>
      <c r="W1186" s="452">
        <v>41274</v>
      </c>
      <c r="X1186" s="394">
        <v>28</v>
      </c>
      <c r="Y1186" s="394"/>
      <c r="Z1186" s="394"/>
      <c r="AA1186" s="395"/>
      <c r="AB1186" s="453"/>
      <c r="AC1186" s="398">
        <v>0</v>
      </c>
      <c r="AD1186" s="398">
        <v>160.25556986301368</v>
      </c>
      <c r="AE1186" s="393" t="s">
        <v>660</v>
      </c>
      <c r="AF1186" s="417"/>
      <c r="AG1186" s="417"/>
      <c r="AH1186" s="417">
        <v>0</v>
      </c>
      <c r="AI1186" s="394"/>
      <c r="AJ1186" s="453"/>
      <c r="AK1186" s="453"/>
      <c r="AL1186" s="393"/>
      <c r="AM1186" s="393"/>
      <c r="AN1186" s="417"/>
      <c r="AO1186" s="392"/>
      <c r="AP1186" s="392" t="s">
        <v>7100</v>
      </c>
      <c r="AQ1186" s="392"/>
      <c r="AR1186" s="392" t="s">
        <v>3784</v>
      </c>
      <c r="AS1186" s="479">
        <v>40982</v>
      </c>
      <c r="AT1186" s="453"/>
      <c r="AU1186" s="453"/>
      <c r="AV1186" s="452">
        <v>41131</v>
      </c>
      <c r="AW1186" s="452">
        <v>41206</v>
      </c>
      <c r="AX1186" s="452">
        <v>41255</v>
      </c>
      <c r="AY1186" s="452">
        <v>41211</v>
      </c>
      <c r="AZ1186" s="453"/>
      <c r="BA1186" s="393"/>
      <c r="BB1186" s="393" t="s">
        <v>3147</v>
      </c>
      <c r="BC1186" s="393" t="b">
        <v>0</v>
      </c>
      <c r="BD1186" s="393" t="s">
        <v>3147</v>
      </c>
      <c r="BE1186" s="392"/>
      <c r="BF1186" s="394">
        <v>12</v>
      </c>
      <c r="BG1186" s="394">
        <v>1</v>
      </c>
      <c r="BH1186" s="394"/>
      <c r="BI1186" s="394"/>
      <c r="BJ1186" s="394"/>
      <c r="BK1186" s="394"/>
      <c r="BL1186" s="444"/>
      <c r="BM1186" s="392"/>
      <c r="BN1186" s="393"/>
      <c r="BO1186" s="393"/>
      <c r="BP1186" s="399"/>
      <c r="BQ1186" s="400"/>
      <c r="BR1186" s="401"/>
      <c r="BS1186" s="399">
        <v>25</v>
      </c>
      <c r="BT1186" s="394"/>
      <c r="BU1186" s="417"/>
      <c r="BV1186" s="399"/>
      <c r="BW1186" s="393"/>
      <c r="BX1186" s="392"/>
      <c r="BY1186" s="393"/>
      <c r="BZ1186" s="393"/>
      <c r="CA1186" s="441"/>
      <c r="CB1186" s="400"/>
      <c r="CC1186" s="398"/>
      <c r="CD1186" s="398"/>
      <c r="CE1186" s="398"/>
      <c r="CF1186" s="398"/>
      <c r="CG1186" s="398"/>
      <c r="CH1186" s="398"/>
      <c r="CI1186" s="398"/>
      <c r="CJ1186" s="398"/>
      <c r="CK1186" s="398"/>
      <c r="CL1186" s="398"/>
      <c r="CM1186" s="398"/>
      <c r="CN1186" s="398"/>
      <c r="CO1186" s="398"/>
      <c r="CP1186" s="398"/>
      <c r="CQ1186" s="398"/>
      <c r="CR1186" s="398"/>
      <c r="CS1186" s="398"/>
      <c r="CT1186" s="398"/>
      <c r="CU1186" s="398"/>
      <c r="CV1186" s="398"/>
      <c r="CW1186" s="398"/>
      <c r="CX1186" s="398"/>
      <c r="CY1186" s="398"/>
      <c r="CZ1186" s="398"/>
      <c r="DA1186" s="398"/>
      <c r="DB1186" s="398"/>
      <c r="DC1186" s="398"/>
      <c r="DD1186" s="398"/>
      <c r="DE1186" s="393"/>
      <c r="DF1186" s="393"/>
      <c r="DG1186" s="393"/>
      <c r="DH1186" s="393"/>
      <c r="DI1186" s="393"/>
      <c r="DJ1186" s="393"/>
      <c r="DK1186" s="896" t="s">
        <v>9723</v>
      </c>
    </row>
    <row r="1187" spans="1:115" ht="25.5" x14ac:dyDescent="0.2">
      <c r="A1187" s="295">
        <v>1183</v>
      </c>
      <c r="B1187" s="390" t="s">
        <v>2849</v>
      </c>
      <c r="C1187" s="390"/>
      <c r="D1187" s="391" t="s">
        <v>4398</v>
      </c>
      <c r="E1187" s="704" t="s">
        <v>1569</v>
      </c>
      <c r="F1187" s="393" t="s">
        <v>1375</v>
      </c>
      <c r="G1187" s="393" t="s">
        <v>1669</v>
      </c>
      <c r="H1187" s="393" t="s">
        <v>412</v>
      </c>
      <c r="I1187" s="392"/>
      <c r="J1187" s="392"/>
      <c r="K1187" s="392" t="s">
        <v>1570</v>
      </c>
      <c r="L1187" s="392" t="s">
        <v>1568</v>
      </c>
      <c r="M1187" s="392"/>
      <c r="N1187" s="393" t="s">
        <v>44</v>
      </c>
      <c r="O1187" s="393" t="s">
        <v>827</v>
      </c>
      <c r="P1187" s="393" t="s">
        <v>827</v>
      </c>
      <c r="Q1187" s="392" t="s">
        <v>836</v>
      </c>
      <c r="R1187" s="392" t="s">
        <v>3486</v>
      </c>
      <c r="S1187" s="392" t="s">
        <v>650</v>
      </c>
      <c r="T1187" s="394">
        <v>1</v>
      </c>
      <c r="U1187" s="395">
        <v>20.882999999999999</v>
      </c>
      <c r="V1187" s="395"/>
      <c r="W1187" s="453"/>
      <c r="X1187" s="394"/>
      <c r="Y1187" s="394">
        <v>7</v>
      </c>
      <c r="Z1187" s="394">
        <v>20</v>
      </c>
      <c r="AA1187" s="395">
        <v>0</v>
      </c>
      <c r="AB1187" s="452">
        <v>41395</v>
      </c>
      <c r="AC1187" s="398">
        <v>0</v>
      </c>
      <c r="AD1187" s="398">
        <v>160.25556986301368</v>
      </c>
      <c r="AE1187" s="393" t="s">
        <v>660</v>
      </c>
      <c r="AF1187" s="417"/>
      <c r="AG1187" s="417"/>
      <c r="AH1187" s="417"/>
      <c r="AI1187" s="394"/>
      <c r="AJ1187" s="453"/>
      <c r="AK1187" s="453"/>
      <c r="AL1187" s="393"/>
      <c r="AM1187" s="393"/>
      <c r="AN1187" s="417"/>
      <c r="AO1187" s="392"/>
      <c r="AP1187" s="392" t="s">
        <v>7100</v>
      </c>
      <c r="AQ1187" s="392"/>
      <c r="AR1187" s="392" t="s">
        <v>3784</v>
      </c>
      <c r="AS1187" s="479">
        <v>40982</v>
      </c>
      <c r="AT1187" s="453"/>
      <c r="AU1187" s="453"/>
      <c r="AV1187" s="453"/>
      <c r="AW1187" s="453"/>
      <c r="AX1187" s="453"/>
      <c r="AY1187" s="453"/>
      <c r="AZ1187" s="452">
        <v>41211</v>
      </c>
      <c r="BA1187" s="393"/>
      <c r="BB1187" s="393"/>
      <c r="BC1187" s="393" t="b">
        <v>0</v>
      </c>
      <c r="BD1187" s="393"/>
      <c r="BE1187" s="392"/>
      <c r="BF1187" s="394">
        <v>10</v>
      </c>
      <c r="BG1187" s="394">
        <v>5</v>
      </c>
      <c r="BH1187" s="394">
        <v>12</v>
      </c>
      <c r="BI1187" s="394">
        <v>1</v>
      </c>
      <c r="BJ1187" s="394"/>
      <c r="BK1187" s="394"/>
      <c r="BL1187" s="444" t="s">
        <v>6981</v>
      </c>
      <c r="BM1187" s="392"/>
      <c r="BN1187" s="393"/>
      <c r="BO1187" s="393"/>
      <c r="BP1187" s="399"/>
      <c r="BQ1187" s="400"/>
      <c r="BR1187" s="401"/>
      <c r="BS1187" s="399">
        <v>25</v>
      </c>
      <c r="BT1187" s="394">
        <v>35477</v>
      </c>
      <c r="BU1187" s="417">
        <v>0.63500000000000001</v>
      </c>
      <c r="BV1187" s="399"/>
      <c r="BW1187" s="393" t="s">
        <v>3117</v>
      </c>
      <c r="BX1187" s="392" t="s">
        <v>1447</v>
      </c>
      <c r="BY1187" s="393" t="s">
        <v>7225</v>
      </c>
      <c r="BZ1187" s="393"/>
      <c r="CA1187" s="441" t="s">
        <v>1662</v>
      </c>
      <c r="CB1187" s="400">
        <v>3</v>
      </c>
      <c r="CC1187" s="398"/>
      <c r="CD1187" s="398"/>
      <c r="CE1187" s="398"/>
      <c r="CF1187" s="398"/>
      <c r="CG1187" s="398"/>
      <c r="CH1187" s="398"/>
      <c r="CI1187" s="398">
        <v>23.654</v>
      </c>
      <c r="CJ1187" s="398">
        <v>23.654</v>
      </c>
      <c r="CK1187" s="398">
        <v>23.654</v>
      </c>
      <c r="CL1187" s="398">
        <v>23.654</v>
      </c>
      <c r="CM1187" s="398">
        <v>23.654</v>
      </c>
      <c r="CN1187" s="398">
        <v>23.654</v>
      </c>
      <c r="CO1187" s="398">
        <v>23.654</v>
      </c>
      <c r="CP1187" s="398"/>
      <c r="CQ1187" s="398"/>
      <c r="CR1187" s="398"/>
      <c r="CS1187" s="398"/>
      <c r="CT1187" s="398"/>
      <c r="CU1187" s="398"/>
      <c r="CV1187" s="398"/>
      <c r="CW1187" s="398"/>
      <c r="CX1187" s="398"/>
      <c r="CY1187" s="398"/>
      <c r="CZ1187" s="398"/>
      <c r="DA1187" s="398"/>
      <c r="DB1187" s="398"/>
      <c r="DC1187" s="398"/>
      <c r="DD1187" s="398"/>
      <c r="DE1187" s="393"/>
      <c r="DF1187" s="393"/>
      <c r="DG1187" s="393"/>
      <c r="DH1187" s="393"/>
      <c r="DI1187" s="393"/>
      <c r="DJ1187" s="393"/>
      <c r="DK1187" s="897"/>
    </row>
    <row r="1188" spans="1:115" ht="63.75" x14ac:dyDescent="0.2">
      <c r="A1188" s="295">
        <v>1184</v>
      </c>
      <c r="B1188" s="390" t="s">
        <v>1532</v>
      </c>
      <c r="C1188" s="424" t="s">
        <v>7678</v>
      </c>
      <c r="D1188" s="391"/>
      <c r="E1188" s="707" t="s">
        <v>1571</v>
      </c>
      <c r="F1188" s="404" t="s">
        <v>1340</v>
      </c>
      <c r="G1188" s="404" t="s">
        <v>1677</v>
      </c>
      <c r="H1188" s="404" t="s">
        <v>253</v>
      </c>
      <c r="I1188" s="403"/>
      <c r="J1188" s="403" t="s">
        <v>253</v>
      </c>
      <c r="K1188" s="403"/>
      <c r="L1188" s="403" t="s">
        <v>689</v>
      </c>
      <c r="M1188" s="403" t="s">
        <v>3487</v>
      </c>
      <c r="N1188" s="404" t="s">
        <v>3142</v>
      </c>
      <c r="O1188" s="404" t="s">
        <v>69</v>
      </c>
      <c r="P1188" s="404" t="s">
        <v>69</v>
      </c>
      <c r="Q1188" s="403" t="s">
        <v>152</v>
      </c>
      <c r="R1188" s="403"/>
      <c r="S1188" s="403" t="s">
        <v>153</v>
      </c>
      <c r="T1188" s="405">
        <v>1</v>
      </c>
      <c r="U1188" s="406">
        <v>17.495999999999999</v>
      </c>
      <c r="V1188" s="406"/>
      <c r="W1188" s="456">
        <v>40983</v>
      </c>
      <c r="X1188" s="405">
        <v>28</v>
      </c>
      <c r="Y1188" s="405"/>
      <c r="Z1188" s="405"/>
      <c r="AA1188" s="406"/>
      <c r="AB1188" s="455"/>
      <c r="AC1188" s="407">
        <v>0</v>
      </c>
      <c r="AD1188" s="407">
        <v>122.51993424657533</v>
      </c>
      <c r="AE1188" s="404" t="s">
        <v>397</v>
      </c>
      <c r="AF1188" s="418"/>
      <c r="AG1188" s="418"/>
      <c r="AH1188" s="418">
        <v>0</v>
      </c>
      <c r="AI1188" s="405"/>
      <c r="AJ1188" s="455"/>
      <c r="AK1188" s="455"/>
      <c r="AL1188" s="404"/>
      <c r="AM1188" s="404"/>
      <c r="AN1188" s="418"/>
      <c r="AO1188" s="403"/>
      <c r="AP1188" s="403" t="s">
        <v>55</v>
      </c>
      <c r="AQ1188" s="403"/>
      <c r="AR1188" s="403" t="s">
        <v>3796</v>
      </c>
      <c r="AS1188" s="482">
        <v>40984</v>
      </c>
      <c r="AT1188" s="455"/>
      <c r="AU1188" s="455"/>
      <c r="AV1188" s="455"/>
      <c r="AW1188" s="455"/>
      <c r="AX1188" s="455"/>
      <c r="AY1188" s="455"/>
      <c r="AZ1188" s="455"/>
      <c r="BA1188" s="404"/>
      <c r="BB1188" s="404" t="s">
        <v>3147</v>
      </c>
      <c r="BC1188" s="404" t="b">
        <v>1</v>
      </c>
      <c r="BD1188" s="404" t="s">
        <v>3147</v>
      </c>
      <c r="BE1188" s="403"/>
      <c r="BF1188" s="405">
        <v>5</v>
      </c>
      <c r="BG1188" s="405">
        <v>9</v>
      </c>
      <c r="BH1188" s="405">
        <v>2</v>
      </c>
      <c r="BI1188" s="405"/>
      <c r="BJ1188" s="405"/>
      <c r="BK1188" s="405"/>
      <c r="BL1188" s="446"/>
      <c r="BM1188" s="403"/>
      <c r="BN1188" s="404"/>
      <c r="BO1188" s="404"/>
      <c r="BP1188" s="408"/>
      <c r="BQ1188" s="409"/>
      <c r="BR1188" s="410"/>
      <c r="BS1188" s="408">
        <v>0</v>
      </c>
      <c r="BT1188" s="405"/>
      <c r="BU1188" s="418"/>
      <c r="BV1188" s="408"/>
      <c r="BW1188" s="404"/>
      <c r="BX1188" s="403"/>
      <c r="BY1188" s="404"/>
      <c r="BZ1188" s="404"/>
      <c r="CA1188" s="443"/>
      <c r="CB1188" s="409"/>
      <c r="CC1188" s="407"/>
      <c r="CD1188" s="407"/>
      <c r="CE1188" s="407"/>
      <c r="CF1188" s="407"/>
      <c r="CG1188" s="407"/>
      <c r="CH1188" s="407"/>
      <c r="CI1188" s="407"/>
      <c r="CJ1188" s="407"/>
      <c r="CK1188" s="407"/>
      <c r="CL1188" s="407"/>
      <c r="CM1188" s="407"/>
      <c r="CN1188" s="407"/>
      <c r="CO1188" s="407"/>
      <c r="CP1188" s="407"/>
      <c r="CQ1188" s="407"/>
      <c r="CR1188" s="407"/>
      <c r="CS1188" s="407"/>
      <c r="CT1188" s="407"/>
      <c r="CU1188" s="407"/>
      <c r="CV1188" s="407"/>
      <c r="CW1188" s="407"/>
      <c r="CX1188" s="407"/>
      <c r="CY1188" s="407"/>
      <c r="CZ1188" s="407"/>
      <c r="DA1188" s="407"/>
      <c r="DB1188" s="407"/>
      <c r="DC1188" s="407"/>
      <c r="DD1188" s="407"/>
      <c r="DE1188" s="404"/>
      <c r="DF1188" s="404"/>
      <c r="DG1188" s="404"/>
      <c r="DH1188" s="404"/>
      <c r="DI1188" s="404"/>
      <c r="DJ1188" s="404"/>
      <c r="DK1188" s="897"/>
    </row>
    <row r="1189" spans="1:115" ht="25.5" x14ac:dyDescent="0.2">
      <c r="A1189" s="295">
        <v>1185</v>
      </c>
      <c r="B1189" s="390" t="s">
        <v>2850</v>
      </c>
      <c r="C1189" s="390"/>
      <c r="D1189" s="391"/>
      <c r="E1189" s="707" t="s">
        <v>1572</v>
      </c>
      <c r="F1189" s="404" t="s">
        <v>1340</v>
      </c>
      <c r="G1189" s="404" t="s">
        <v>1677</v>
      </c>
      <c r="H1189" s="404" t="s">
        <v>253</v>
      </c>
      <c r="I1189" s="403"/>
      <c r="J1189" s="403"/>
      <c r="K1189" s="403" t="s">
        <v>2156</v>
      </c>
      <c r="L1189" s="403" t="s">
        <v>689</v>
      </c>
      <c r="M1189" s="403"/>
      <c r="N1189" s="404" t="s">
        <v>3142</v>
      </c>
      <c r="O1189" s="404" t="s">
        <v>69</v>
      </c>
      <c r="P1189" s="404" t="s">
        <v>69</v>
      </c>
      <c r="Q1189" s="403" t="s">
        <v>152</v>
      </c>
      <c r="R1189" s="403" t="s">
        <v>3488</v>
      </c>
      <c r="S1189" s="403" t="s">
        <v>153</v>
      </c>
      <c r="T1189" s="405">
        <v>1</v>
      </c>
      <c r="U1189" s="406">
        <v>17.495999999999999</v>
      </c>
      <c r="V1189" s="406"/>
      <c r="W1189" s="455"/>
      <c r="X1189" s="405"/>
      <c r="Y1189" s="405">
        <v>7</v>
      </c>
      <c r="Z1189" s="405">
        <v>20</v>
      </c>
      <c r="AA1189" s="406">
        <v>4.5</v>
      </c>
      <c r="AB1189" s="456">
        <v>41640</v>
      </c>
      <c r="AC1189" s="407">
        <v>0</v>
      </c>
      <c r="AD1189" s="407">
        <v>122.51993424657533</v>
      </c>
      <c r="AE1189" s="404" t="s">
        <v>397</v>
      </c>
      <c r="AF1189" s="418"/>
      <c r="AG1189" s="418"/>
      <c r="AH1189" s="418"/>
      <c r="AI1189" s="405"/>
      <c r="AJ1189" s="455"/>
      <c r="AK1189" s="455"/>
      <c r="AL1189" s="404"/>
      <c r="AM1189" s="404"/>
      <c r="AN1189" s="418"/>
      <c r="AO1189" s="403"/>
      <c r="AP1189" s="403" t="s">
        <v>55</v>
      </c>
      <c r="AQ1189" s="403"/>
      <c r="AR1189" s="403" t="s">
        <v>3796</v>
      </c>
      <c r="AS1189" s="482">
        <v>40984</v>
      </c>
      <c r="AT1189" s="455"/>
      <c r="AU1189" s="455"/>
      <c r="AV1189" s="455"/>
      <c r="AW1189" s="455"/>
      <c r="AX1189" s="455"/>
      <c r="AY1189" s="455"/>
      <c r="AZ1189" s="455"/>
      <c r="BA1189" s="404"/>
      <c r="BB1189" s="404"/>
      <c r="BC1189" s="404" t="b">
        <v>0</v>
      </c>
      <c r="BD1189" s="404"/>
      <c r="BE1189" s="403"/>
      <c r="BF1189" s="405">
        <v>5</v>
      </c>
      <c r="BG1189" s="405">
        <v>9</v>
      </c>
      <c r="BH1189" s="405">
        <v>2</v>
      </c>
      <c r="BI1189" s="405">
        <v>1</v>
      </c>
      <c r="BJ1189" s="405">
        <v>11</v>
      </c>
      <c r="BK1189" s="405"/>
      <c r="BL1189" s="446" t="s">
        <v>6981</v>
      </c>
      <c r="BM1189" s="403"/>
      <c r="BN1189" s="404"/>
      <c r="BO1189" s="404"/>
      <c r="BP1189" s="408"/>
      <c r="BQ1189" s="409"/>
      <c r="BR1189" s="410"/>
      <c r="BS1189" s="408"/>
      <c r="BT1189" s="405"/>
      <c r="BU1189" s="418"/>
      <c r="BV1189" s="408"/>
      <c r="BW1189" s="404" t="s">
        <v>3117</v>
      </c>
      <c r="BX1189" s="403" t="s">
        <v>1447</v>
      </c>
      <c r="BY1189" s="404"/>
      <c r="BZ1189" s="404"/>
      <c r="CA1189" s="443" t="s">
        <v>1662</v>
      </c>
      <c r="CB1189" s="409">
        <v>3</v>
      </c>
      <c r="CC1189" s="407"/>
      <c r="CD1189" s="407"/>
      <c r="CE1189" s="407"/>
      <c r="CF1189" s="407"/>
      <c r="CG1189" s="407"/>
      <c r="CH1189" s="407"/>
      <c r="CI1189" s="407"/>
      <c r="CJ1189" s="407">
        <v>3.2490000000000001</v>
      </c>
      <c r="CK1189" s="407">
        <v>8.7170000000000005</v>
      </c>
      <c r="CL1189" s="407">
        <v>13.686</v>
      </c>
      <c r="CM1189" s="407">
        <v>18.225999999999999</v>
      </c>
      <c r="CN1189" s="407">
        <v>22.407</v>
      </c>
      <c r="CO1189" s="407">
        <v>26.283999999999999</v>
      </c>
      <c r="CP1189" s="407">
        <v>29.905000000000001</v>
      </c>
      <c r="CQ1189" s="407"/>
      <c r="CR1189" s="407"/>
      <c r="CS1189" s="407"/>
      <c r="CT1189" s="407"/>
      <c r="CU1189" s="407"/>
      <c r="CV1189" s="407"/>
      <c r="CW1189" s="407"/>
      <c r="CX1189" s="407"/>
      <c r="CY1189" s="407"/>
      <c r="CZ1189" s="407"/>
      <c r="DA1189" s="407"/>
      <c r="DB1189" s="407"/>
      <c r="DC1189" s="407"/>
      <c r="DD1189" s="407"/>
      <c r="DE1189" s="404"/>
      <c r="DF1189" s="404"/>
      <c r="DG1189" s="404"/>
      <c r="DH1189" s="404"/>
      <c r="DI1189" s="404"/>
      <c r="DJ1189" s="404"/>
      <c r="DK1189" s="897"/>
    </row>
    <row r="1190" spans="1:115" ht="51" x14ac:dyDescent="0.2">
      <c r="A1190" s="295">
        <v>1186</v>
      </c>
      <c r="B1190" s="390" t="s">
        <v>1533</v>
      </c>
      <c r="C1190" s="424" t="s">
        <v>7679</v>
      </c>
      <c r="D1190" s="391" t="s">
        <v>5173</v>
      </c>
      <c r="E1190" s="704" t="s">
        <v>1573</v>
      </c>
      <c r="F1190" s="393" t="s">
        <v>1352</v>
      </c>
      <c r="G1190" s="393" t="s">
        <v>1672</v>
      </c>
      <c r="H1190" s="393" t="s">
        <v>89</v>
      </c>
      <c r="I1190" s="392"/>
      <c r="J1190" s="392" t="s">
        <v>89</v>
      </c>
      <c r="K1190" s="392"/>
      <c r="L1190" s="392" t="s">
        <v>3787</v>
      </c>
      <c r="M1190" s="392" t="s">
        <v>3489</v>
      </c>
      <c r="N1190" s="393" t="s">
        <v>44</v>
      </c>
      <c r="O1190" s="393" t="s">
        <v>289</v>
      </c>
      <c r="P1190" s="393" t="s">
        <v>289</v>
      </c>
      <c r="Q1190" s="392" t="s">
        <v>721</v>
      </c>
      <c r="R1190" s="392"/>
      <c r="S1190" s="392" t="s">
        <v>291</v>
      </c>
      <c r="T1190" s="394">
        <v>1</v>
      </c>
      <c r="U1190" s="395">
        <v>28.59</v>
      </c>
      <c r="V1190" s="395"/>
      <c r="W1190" s="452">
        <v>40985</v>
      </c>
      <c r="X1190" s="394">
        <v>28</v>
      </c>
      <c r="Y1190" s="394"/>
      <c r="Z1190" s="394"/>
      <c r="AA1190" s="395"/>
      <c r="AB1190" s="453"/>
      <c r="AC1190" s="398">
        <v>0</v>
      </c>
      <c r="AD1190" s="398">
        <v>221.74873972602737</v>
      </c>
      <c r="AE1190" s="393" t="s">
        <v>96</v>
      </c>
      <c r="AF1190" s="417"/>
      <c r="AG1190" s="417"/>
      <c r="AH1190" s="417">
        <v>0</v>
      </c>
      <c r="AI1190" s="394"/>
      <c r="AJ1190" s="453"/>
      <c r="AK1190" s="453"/>
      <c r="AL1190" s="393"/>
      <c r="AM1190" s="393"/>
      <c r="AN1190" s="417"/>
      <c r="AO1190" s="392"/>
      <c r="AP1190" s="392" t="s">
        <v>7088</v>
      </c>
      <c r="AQ1190" s="392"/>
      <c r="AR1190" s="392" t="s">
        <v>3787</v>
      </c>
      <c r="AS1190" s="479">
        <v>40985</v>
      </c>
      <c r="AT1190" s="453"/>
      <c r="AU1190" s="453"/>
      <c r="AV1190" s="452">
        <v>41208</v>
      </c>
      <c r="AW1190" s="452">
        <v>41250</v>
      </c>
      <c r="AX1190" s="452">
        <v>41298</v>
      </c>
      <c r="AY1190" s="452">
        <v>41257</v>
      </c>
      <c r="AZ1190" s="453"/>
      <c r="BA1190" s="393"/>
      <c r="BB1190" s="393" t="s">
        <v>3147</v>
      </c>
      <c r="BC1190" s="393" t="b">
        <v>1</v>
      </c>
      <c r="BD1190" s="393" t="s">
        <v>3147</v>
      </c>
      <c r="BE1190" s="392"/>
      <c r="BF1190" s="394">
        <v>8</v>
      </c>
      <c r="BG1190" s="394">
        <v>9</v>
      </c>
      <c r="BH1190" s="394">
        <v>10</v>
      </c>
      <c r="BI1190" s="394"/>
      <c r="BJ1190" s="394"/>
      <c r="BK1190" s="394"/>
      <c r="BL1190" s="444"/>
      <c r="BM1190" s="392"/>
      <c r="BN1190" s="393"/>
      <c r="BO1190" s="393"/>
      <c r="BP1190" s="399"/>
      <c r="BQ1190" s="400"/>
      <c r="BR1190" s="401"/>
      <c r="BS1190" s="399">
        <v>14</v>
      </c>
      <c r="BT1190" s="394"/>
      <c r="BU1190" s="417"/>
      <c r="BV1190" s="399"/>
      <c r="BW1190" s="393"/>
      <c r="BX1190" s="392"/>
      <c r="BY1190" s="393"/>
      <c r="BZ1190" s="393"/>
      <c r="CA1190" s="441"/>
      <c r="CB1190" s="400"/>
      <c r="CC1190" s="398"/>
      <c r="CD1190" s="398"/>
      <c r="CE1190" s="398"/>
      <c r="CF1190" s="398"/>
      <c r="CG1190" s="398"/>
      <c r="CH1190" s="398"/>
      <c r="CI1190" s="398"/>
      <c r="CJ1190" s="398"/>
      <c r="CK1190" s="398"/>
      <c r="CL1190" s="398"/>
      <c r="CM1190" s="398"/>
      <c r="CN1190" s="398"/>
      <c r="CO1190" s="398"/>
      <c r="CP1190" s="398"/>
      <c r="CQ1190" s="398"/>
      <c r="CR1190" s="398"/>
      <c r="CS1190" s="398"/>
      <c r="CT1190" s="398"/>
      <c r="CU1190" s="398"/>
      <c r="CV1190" s="398"/>
      <c r="CW1190" s="398"/>
      <c r="CX1190" s="398"/>
      <c r="CY1190" s="398"/>
      <c r="CZ1190" s="398"/>
      <c r="DA1190" s="398"/>
      <c r="DB1190" s="398"/>
      <c r="DC1190" s="398"/>
      <c r="DD1190" s="398"/>
      <c r="DE1190" s="393"/>
      <c r="DF1190" s="393"/>
      <c r="DG1190" s="393"/>
      <c r="DH1190" s="393"/>
      <c r="DI1190" s="393"/>
      <c r="DJ1190" s="393"/>
      <c r="DK1190" s="896" t="s">
        <v>9718</v>
      </c>
    </row>
    <row r="1191" spans="1:115" ht="25.5" x14ac:dyDescent="0.2">
      <c r="A1191" s="295">
        <v>1187</v>
      </c>
      <c r="B1191" s="390" t="s">
        <v>2851</v>
      </c>
      <c r="C1191" s="390"/>
      <c r="D1191" s="391" t="s">
        <v>4485</v>
      </c>
      <c r="E1191" s="704" t="s">
        <v>1574</v>
      </c>
      <c r="F1191" s="393" t="s">
        <v>1352</v>
      </c>
      <c r="G1191" s="393" t="s">
        <v>1672</v>
      </c>
      <c r="H1191" s="393" t="s">
        <v>89</v>
      </c>
      <c r="I1191" s="392"/>
      <c r="J1191" s="392"/>
      <c r="K1191" s="392" t="s">
        <v>1575</v>
      </c>
      <c r="L1191" s="392" t="s">
        <v>3787</v>
      </c>
      <c r="M1191" s="392"/>
      <c r="N1191" s="393" t="s">
        <v>44</v>
      </c>
      <c r="O1191" s="393" t="s">
        <v>289</v>
      </c>
      <c r="P1191" s="393" t="s">
        <v>289</v>
      </c>
      <c r="Q1191" s="392" t="s">
        <v>721</v>
      </c>
      <c r="R1191" s="392" t="s">
        <v>4103</v>
      </c>
      <c r="S1191" s="392" t="s">
        <v>291</v>
      </c>
      <c r="T1191" s="394">
        <v>1</v>
      </c>
      <c r="U1191" s="395">
        <v>28.59</v>
      </c>
      <c r="V1191" s="395"/>
      <c r="W1191" s="453"/>
      <c r="X1191" s="394"/>
      <c r="Y1191" s="394">
        <v>7</v>
      </c>
      <c r="Z1191" s="394">
        <v>30</v>
      </c>
      <c r="AA1191" s="395">
        <v>0</v>
      </c>
      <c r="AB1191" s="452">
        <v>41365</v>
      </c>
      <c r="AC1191" s="398">
        <v>0</v>
      </c>
      <c r="AD1191" s="398">
        <v>221.74873972602737</v>
      </c>
      <c r="AE1191" s="393" t="s">
        <v>96</v>
      </c>
      <c r="AF1191" s="417"/>
      <c r="AG1191" s="417"/>
      <c r="AH1191" s="417"/>
      <c r="AI1191" s="394"/>
      <c r="AJ1191" s="453"/>
      <c r="AK1191" s="453"/>
      <c r="AL1191" s="393"/>
      <c r="AM1191" s="393"/>
      <c r="AN1191" s="417"/>
      <c r="AO1191" s="392"/>
      <c r="AP1191" s="392" t="s">
        <v>7088</v>
      </c>
      <c r="AQ1191" s="392"/>
      <c r="AR1191" s="392" t="s">
        <v>3787</v>
      </c>
      <c r="AS1191" s="479">
        <v>40985</v>
      </c>
      <c r="AT1191" s="453"/>
      <c r="AU1191" s="453"/>
      <c r="AV1191" s="453"/>
      <c r="AW1191" s="453"/>
      <c r="AX1191" s="453"/>
      <c r="AY1191" s="453"/>
      <c r="AZ1191" s="452">
        <v>41257</v>
      </c>
      <c r="BA1191" s="393"/>
      <c r="BB1191" s="393"/>
      <c r="BC1191" s="393" t="b">
        <v>0</v>
      </c>
      <c r="BD1191" s="393"/>
      <c r="BE1191" s="392"/>
      <c r="BF1191" s="394">
        <v>8</v>
      </c>
      <c r="BG1191" s="394">
        <v>9</v>
      </c>
      <c r="BH1191" s="394">
        <v>10</v>
      </c>
      <c r="BI1191" s="394"/>
      <c r="BJ1191" s="394"/>
      <c r="BK1191" s="394"/>
      <c r="BL1191" s="444" t="s">
        <v>6981</v>
      </c>
      <c r="BM1191" s="392"/>
      <c r="BN1191" s="393"/>
      <c r="BO1191" s="393"/>
      <c r="BP1191" s="399"/>
      <c r="BQ1191" s="400"/>
      <c r="BR1191" s="401"/>
      <c r="BS1191" s="399">
        <v>14</v>
      </c>
      <c r="BT1191" s="394">
        <v>51440</v>
      </c>
      <c r="BU1191" s="417">
        <v>0.57640000000000002</v>
      </c>
      <c r="BV1191" s="399"/>
      <c r="BW1191" s="393" t="s">
        <v>3117</v>
      </c>
      <c r="BX1191" s="392" t="s">
        <v>1447</v>
      </c>
      <c r="BY1191" s="393"/>
      <c r="BZ1191" s="393"/>
      <c r="CA1191" s="441" t="s">
        <v>1662</v>
      </c>
      <c r="CB1191" s="400">
        <v>3</v>
      </c>
      <c r="CC1191" s="398"/>
      <c r="CD1191" s="398"/>
      <c r="CE1191" s="398"/>
      <c r="CF1191" s="398"/>
      <c r="CG1191" s="398"/>
      <c r="CH1191" s="398"/>
      <c r="CI1191" s="398">
        <v>29.65</v>
      </c>
      <c r="CJ1191" s="398">
        <v>29.65</v>
      </c>
      <c r="CK1191" s="398">
        <v>29.65</v>
      </c>
      <c r="CL1191" s="398">
        <v>29.65</v>
      </c>
      <c r="CM1191" s="398">
        <v>29.65</v>
      </c>
      <c r="CN1191" s="398">
        <v>29.65</v>
      </c>
      <c r="CO1191" s="398">
        <v>29.65</v>
      </c>
      <c r="CP1191" s="398"/>
      <c r="CQ1191" s="398"/>
      <c r="CR1191" s="398"/>
      <c r="CS1191" s="398"/>
      <c r="CT1191" s="398"/>
      <c r="CU1191" s="398"/>
      <c r="CV1191" s="398"/>
      <c r="CW1191" s="398"/>
      <c r="CX1191" s="398"/>
      <c r="CY1191" s="398"/>
      <c r="CZ1191" s="398"/>
      <c r="DA1191" s="398"/>
      <c r="DB1191" s="398"/>
      <c r="DC1191" s="398"/>
      <c r="DD1191" s="398"/>
      <c r="DE1191" s="393"/>
      <c r="DF1191" s="393"/>
      <c r="DG1191" s="393"/>
      <c r="DH1191" s="393"/>
      <c r="DI1191" s="393"/>
      <c r="DJ1191" s="393"/>
      <c r="DK1191" s="897"/>
    </row>
    <row r="1192" spans="1:115" ht="76.5" x14ac:dyDescent="0.2">
      <c r="A1192" s="295">
        <v>1188</v>
      </c>
      <c r="B1192" s="390" t="s">
        <v>1534</v>
      </c>
      <c r="C1192" s="424" t="s">
        <v>7680</v>
      </c>
      <c r="D1192" s="391" t="s">
        <v>5174</v>
      </c>
      <c r="E1192" s="704" t="s">
        <v>1576</v>
      </c>
      <c r="F1192" s="393" t="s">
        <v>1352</v>
      </c>
      <c r="G1192" s="393" t="s">
        <v>1673</v>
      </c>
      <c r="H1192" s="393" t="s">
        <v>42</v>
      </c>
      <c r="I1192" s="392"/>
      <c r="J1192" s="392" t="s">
        <v>42</v>
      </c>
      <c r="K1192" s="392"/>
      <c r="L1192" s="392" t="s">
        <v>3797</v>
      </c>
      <c r="M1192" s="392" t="s">
        <v>3490</v>
      </c>
      <c r="N1192" s="393" t="s">
        <v>44</v>
      </c>
      <c r="O1192" s="393" t="s">
        <v>827</v>
      </c>
      <c r="P1192" s="393" t="s">
        <v>827</v>
      </c>
      <c r="Q1192" s="392" t="s">
        <v>923</v>
      </c>
      <c r="R1192" s="392"/>
      <c r="S1192" s="392" t="s">
        <v>946</v>
      </c>
      <c r="T1192" s="394">
        <v>1</v>
      </c>
      <c r="U1192" s="395">
        <v>8.8320000000000007</v>
      </c>
      <c r="V1192" s="395"/>
      <c r="W1192" s="452">
        <v>40985</v>
      </c>
      <c r="X1192" s="394">
        <v>28</v>
      </c>
      <c r="Y1192" s="394"/>
      <c r="Z1192" s="394"/>
      <c r="AA1192" s="395"/>
      <c r="AB1192" s="453"/>
      <c r="AC1192" s="398">
        <v>0</v>
      </c>
      <c r="AD1192" s="398">
        <v>88.320000000000007</v>
      </c>
      <c r="AE1192" s="393" t="s">
        <v>47</v>
      </c>
      <c r="AF1192" s="417"/>
      <c r="AG1192" s="417"/>
      <c r="AH1192" s="417">
        <v>0</v>
      </c>
      <c r="AI1192" s="394"/>
      <c r="AJ1192" s="453"/>
      <c r="AK1192" s="453"/>
      <c r="AL1192" s="393"/>
      <c r="AM1192" s="393"/>
      <c r="AN1192" s="417"/>
      <c r="AO1192" s="392"/>
      <c r="AP1192" s="392" t="s">
        <v>55</v>
      </c>
      <c r="AQ1192" s="392"/>
      <c r="AR1192" s="392" t="s">
        <v>3797</v>
      </c>
      <c r="AS1192" s="479">
        <v>40985</v>
      </c>
      <c r="AT1192" s="453"/>
      <c r="AU1192" s="453"/>
      <c r="AV1192" s="452">
        <v>41087</v>
      </c>
      <c r="AW1192" s="452">
        <v>41263</v>
      </c>
      <c r="AX1192" s="452">
        <v>41347</v>
      </c>
      <c r="AY1192" s="452">
        <v>41263</v>
      </c>
      <c r="AZ1192" s="453"/>
      <c r="BA1192" s="393"/>
      <c r="BB1192" s="393" t="s">
        <v>3116</v>
      </c>
      <c r="BC1192" s="393" t="b">
        <v>0</v>
      </c>
      <c r="BD1192" s="393" t="s">
        <v>3147</v>
      </c>
      <c r="BE1192" s="392"/>
      <c r="BF1192" s="394">
        <v>10</v>
      </c>
      <c r="BG1192" s="394">
        <v>9</v>
      </c>
      <c r="BH1192" s="394">
        <v>5</v>
      </c>
      <c r="BI1192" s="394">
        <v>11</v>
      </c>
      <c r="BJ1192" s="394">
        <v>8</v>
      </c>
      <c r="BK1192" s="394"/>
      <c r="BL1192" s="444"/>
      <c r="BM1192" s="392"/>
      <c r="BN1192" s="393"/>
      <c r="BO1192" s="393"/>
      <c r="BP1192" s="399"/>
      <c r="BQ1192" s="400"/>
      <c r="BR1192" s="401"/>
      <c r="BS1192" s="399">
        <v>0</v>
      </c>
      <c r="BT1192" s="394"/>
      <c r="BU1192" s="417"/>
      <c r="BV1192" s="399"/>
      <c r="BW1192" s="393"/>
      <c r="BX1192" s="392"/>
      <c r="BY1192" s="393"/>
      <c r="BZ1192" s="393"/>
      <c r="CA1192" s="441"/>
      <c r="CB1192" s="400"/>
      <c r="CC1192" s="398"/>
      <c r="CD1192" s="398"/>
      <c r="CE1192" s="398"/>
      <c r="CF1192" s="398"/>
      <c r="CG1192" s="398"/>
      <c r="CH1192" s="398"/>
      <c r="CI1192" s="398"/>
      <c r="CJ1192" s="398"/>
      <c r="CK1192" s="398"/>
      <c r="CL1192" s="398"/>
      <c r="CM1192" s="398"/>
      <c r="CN1192" s="398"/>
      <c r="CO1192" s="398"/>
      <c r="CP1192" s="398"/>
      <c r="CQ1192" s="398"/>
      <c r="CR1192" s="398"/>
      <c r="CS1192" s="398"/>
      <c r="CT1192" s="398"/>
      <c r="CU1192" s="398"/>
      <c r="CV1192" s="398"/>
      <c r="CW1192" s="398"/>
      <c r="CX1192" s="398"/>
      <c r="CY1192" s="398"/>
      <c r="CZ1192" s="398"/>
      <c r="DA1192" s="398"/>
      <c r="DB1192" s="398"/>
      <c r="DC1192" s="398"/>
      <c r="DD1192" s="398"/>
      <c r="DE1192" s="393"/>
      <c r="DF1192" s="393"/>
      <c r="DG1192" s="393"/>
      <c r="DH1192" s="393"/>
      <c r="DI1192" s="393"/>
      <c r="DJ1192" s="393"/>
      <c r="DK1192" s="896" t="s">
        <v>9722</v>
      </c>
    </row>
    <row r="1193" spans="1:115" ht="63.75" x14ac:dyDescent="0.2">
      <c r="A1193" s="295">
        <v>1189</v>
      </c>
      <c r="B1193" s="390" t="s">
        <v>2852</v>
      </c>
      <c r="C1193" s="390"/>
      <c r="D1193" s="391" t="s">
        <v>4622</v>
      </c>
      <c r="E1193" s="704" t="s">
        <v>1577</v>
      </c>
      <c r="F1193" s="393" t="s">
        <v>1352</v>
      </c>
      <c r="G1193" s="393" t="s">
        <v>1673</v>
      </c>
      <c r="H1193" s="393" t="s">
        <v>42</v>
      </c>
      <c r="I1193" s="392"/>
      <c r="J1193" s="392"/>
      <c r="K1193" s="392" t="s">
        <v>2214</v>
      </c>
      <c r="L1193" s="392" t="s">
        <v>3797</v>
      </c>
      <c r="M1193" s="392"/>
      <c r="N1193" s="393" t="s">
        <v>44</v>
      </c>
      <c r="O1193" s="393" t="s">
        <v>827</v>
      </c>
      <c r="P1193" s="393" t="s">
        <v>827</v>
      </c>
      <c r="Q1193" s="392" t="s">
        <v>923</v>
      </c>
      <c r="R1193" s="392" t="s">
        <v>3491</v>
      </c>
      <c r="S1193" s="392" t="s">
        <v>946</v>
      </c>
      <c r="T1193" s="394">
        <v>1</v>
      </c>
      <c r="U1193" s="395">
        <v>8.8320000000000007</v>
      </c>
      <c r="V1193" s="395"/>
      <c r="W1193" s="453"/>
      <c r="X1193" s="394"/>
      <c r="Y1193" s="394">
        <v>10</v>
      </c>
      <c r="Z1193" s="394">
        <v>15</v>
      </c>
      <c r="AA1193" s="395">
        <v>0</v>
      </c>
      <c r="AB1193" s="452">
        <v>41263</v>
      </c>
      <c r="AC1193" s="398">
        <v>0</v>
      </c>
      <c r="AD1193" s="398">
        <v>88.320000000000007</v>
      </c>
      <c r="AE1193" s="393" t="s">
        <v>47</v>
      </c>
      <c r="AF1193" s="417"/>
      <c r="AG1193" s="417"/>
      <c r="AH1193" s="417"/>
      <c r="AI1193" s="394"/>
      <c r="AJ1193" s="453"/>
      <c r="AK1193" s="453"/>
      <c r="AL1193" s="393"/>
      <c r="AM1193" s="393"/>
      <c r="AN1193" s="417"/>
      <c r="AO1193" s="392"/>
      <c r="AP1193" s="392" t="s">
        <v>55</v>
      </c>
      <c r="AQ1193" s="392"/>
      <c r="AR1193" s="392" t="s">
        <v>3797</v>
      </c>
      <c r="AS1193" s="479">
        <v>40985</v>
      </c>
      <c r="AT1193" s="453"/>
      <c r="AU1193" s="453"/>
      <c r="AV1193" s="453"/>
      <c r="AW1193" s="453"/>
      <c r="AX1193" s="453"/>
      <c r="AY1193" s="453"/>
      <c r="AZ1193" s="452">
        <v>41263</v>
      </c>
      <c r="BA1193" s="393"/>
      <c r="BB1193" s="393"/>
      <c r="BC1193" s="393" t="b">
        <v>0</v>
      </c>
      <c r="BD1193" s="393"/>
      <c r="BE1193" s="392"/>
      <c r="BF1193" s="394">
        <v>10</v>
      </c>
      <c r="BG1193" s="394">
        <v>9</v>
      </c>
      <c r="BH1193" s="394">
        <v>5</v>
      </c>
      <c r="BI1193" s="394">
        <v>11</v>
      </c>
      <c r="BJ1193" s="394">
        <v>8</v>
      </c>
      <c r="BK1193" s="394"/>
      <c r="BL1193" s="444" t="s">
        <v>6981</v>
      </c>
      <c r="BM1193" s="392"/>
      <c r="BN1193" s="393"/>
      <c r="BO1193" s="393"/>
      <c r="BP1193" s="399"/>
      <c r="BQ1193" s="400"/>
      <c r="BR1193" s="401"/>
      <c r="BS1193" s="399"/>
      <c r="BT1193" s="394"/>
      <c r="BU1193" s="417">
        <v>9.5850000000000009</v>
      </c>
      <c r="BV1193" s="399"/>
      <c r="BW1193" s="393" t="s">
        <v>3117</v>
      </c>
      <c r="BX1193" s="392" t="s">
        <v>4364</v>
      </c>
      <c r="BY1193" s="393" t="s">
        <v>7224</v>
      </c>
      <c r="BZ1193" s="393"/>
      <c r="CA1193" s="441"/>
      <c r="CB1193" s="400"/>
      <c r="CC1193" s="398"/>
      <c r="CD1193" s="398"/>
      <c r="CE1193" s="398"/>
      <c r="CF1193" s="398"/>
      <c r="CG1193" s="398"/>
      <c r="CH1193" s="398"/>
      <c r="CI1193" s="398">
        <v>8.8320000000000007</v>
      </c>
      <c r="CJ1193" s="398">
        <v>8.8320000000000007</v>
      </c>
      <c r="CK1193" s="398">
        <v>8.8320000000000007</v>
      </c>
      <c r="CL1193" s="398">
        <v>8.8320000000000007</v>
      </c>
      <c r="CM1193" s="398">
        <v>8.8320000000000007</v>
      </c>
      <c r="CN1193" s="398">
        <v>8.8320000000000007</v>
      </c>
      <c r="CO1193" s="398">
        <v>8.8320000000000007</v>
      </c>
      <c r="CP1193" s="398">
        <v>8.8320000000000007</v>
      </c>
      <c r="CQ1193" s="398">
        <v>8.8320000000000007</v>
      </c>
      <c r="CR1193" s="398">
        <v>8.8320000000000007</v>
      </c>
      <c r="CS1193" s="398"/>
      <c r="CT1193" s="398"/>
      <c r="CU1193" s="398"/>
      <c r="CV1193" s="398"/>
      <c r="CW1193" s="398"/>
      <c r="CX1193" s="398"/>
      <c r="CY1193" s="398"/>
      <c r="CZ1193" s="398"/>
      <c r="DA1193" s="398"/>
      <c r="DB1193" s="398"/>
      <c r="DC1193" s="398"/>
      <c r="DD1193" s="398"/>
      <c r="DE1193" s="393"/>
      <c r="DF1193" s="393"/>
      <c r="DG1193" s="393"/>
      <c r="DH1193" s="393"/>
      <c r="DI1193" s="393"/>
      <c r="DJ1193" s="393"/>
      <c r="DK1193" s="897"/>
    </row>
    <row r="1194" spans="1:115" ht="51" x14ac:dyDescent="0.2">
      <c r="A1194" s="295">
        <v>1190</v>
      </c>
      <c r="B1194" s="390" t="s">
        <v>1535</v>
      </c>
      <c r="C1194" s="424" t="s">
        <v>7681</v>
      </c>
      <c r="D1194" s="391" t="s">
        <v>5175</v>
      </c>
      <c r="E1194" s="704" t="s">
        <v>1578</v>
      </c>
      <c r="F1194" s="393" t="s">
        <v>1352</v>
      </c>
      <c r="G1194" s="393" t="s">
        <v>1672</v>
      </c>
      <c r="H1194" s="393" t="s">
        <v>684</v>
      </c>
      <c r="I1194" s="392"/>
      <c r="J1194" s="392" t="s">
        <v>1579</v>
      </c>
      <c r="K1194" s="392"/>
      <c r="L1194" s="392" t="s">
        <v>1508</v>
      </c>
      <c r="M1194" s="392" t="s">
        <v>3492</v>
      </c>
      <c r="N1194" s="393" t="s">
        <v>44</v>
      </c>
      <c r="O1194" s="393" t="s">
        <v>69</v>
      </c>
      <c r="P1194" s="393" t="s">
        <v>69</v>
      </c>
      <c r="Q1194" s="392" t="s">
        <v>690</v>
      </c>
      <c r="R1194" s="392"/>
      <c r="S1194" s="392" t="s">
        <v>1581</v>
      </c>
      <c r="T1194" s="394">
        <v>1</v>
      </c>
      <c r="U1194" s="395">
        <v>27.646000000000001</v>
      </c>
      <c r="V1194" s="395"/>
      <c r="W1194" s="452">
        <v>41086</v>
      </c>
      <c r="X1194" s="394">
        <v>28</v>
      </c>
      <c r="Y1194" s="394"/>
      <c r="Z1194" s="394"/>
      <c r="AA1194" s="395"/>
      <c r="AB1194" s="453"/>
      <c r="AC1194" s="398">
        <v>0</v>
      </c>
      <c r="AD1194" s="398">
        <v>221.24374246575343</v>
      </c>
      <c r="AE1194" s="393" t="s">
        <v>133</v>
      </c>
      <c r="AF1194" s="417"/>
      <c r="AG1194" s="417"/>
      <c r="AH1194" s="417">
        <v>0</v>
      </c>
      <c r="AI1194" s="394"/>
      <c r="AJ1194" s="453"/>
      <c r="AK1194" s="453"/>
      <c r="AL1194" s="393"/>
      <c r="AM1194" s="393"/>
      <c r="AN1194" s="417"/>
      <c r="AO1194" s="392"/>
      <c r="AP1194" s="392" t="s">
        <v>7103</v>
      </c>
      <c r="AQ1194" s="392"/>
      <c r="AR1194" s="392" t="s">
        <v>1508</v>
      </c>
      <c r="AS1194" s="479">
        <v>40988</v>
      </c>
      <c r="AT1194" s="453"/>
      <c r="AU1194" s="453"/>
      <c r="AV1194" s="452">
        <v>41124</v>
      </c>
      <c r="AW1194" s="452">
        <v>41219</v>
      </c>
      <c r="AX1194" s="452">
        <v>41275</v>
      </c>
      <c r="AY1194" s="452">
        <v>41220</v>
      </c>
      <c r="AZ1194" s="453"/>
      <c r="BA1194" s="393"/>
      <c r="BB1194" s="393" t="s">
        <v>3116</v>
      </c>
      <c r="BC1194" s="393" t="b">
        <v>0</v>
      </c>
      <c r="BD1194" s="393" t="s">
        <v>3147</v>
      </c>
      <c r="BE1194" s="392"/>
      <c r="BF1194" s="394">
        <v>1</v>
      </c>
      <c r="BG1194" s="394">
        <v>3</v>
      </c>
      <c r="BH1194" s="394">
        <v>6</v>
      </c>
      <c r="BI1194" s="394">
        <v>5</v>
      </c>
      <c r="BJ1194" s="394">
        <v>8</v>
      </c>
      <c r="BK1194" s="394">
        <v>11</v>
      </c>
      <c r="BL1194" s="444"/>
      <c r="BM1194" s="392"/>
      <c r="BN1194" s="393"/>
      <c r="BO1194" s="393"/>
      <c r="BP1194" s="399"/>
      <c r="BQ1194" s="400"/>
      <c r="BR1194" s="401"/>
      <c r="BS1194" s="399">
        <v>1.2</v>
      </c>
      <c r="BT1194" s="394"/>
      <c r="BU1194" s="417"/>
      <c r="BV1194" s="399"/>
      <c r="BW1194" s="393"/>
      <c r="BX1194" s="392"/>
      <c r="BY1194" s="393"/>
      <c r="BZ1194" s="393"/>
      <c r="CA1194" s="441"/>
      <c r="CB1194" s="400"/>
      <c r="CC1194" s="398"/>
      <c r="CD1194" s="398"/>
      <c r="CE1194" s="398"/>
      <c r="CF1194" s="398"/>
      <c r="CG1194" s="398"/>
      <c r="CH1194" s="398"/>
      <c r="CI1194" s="398"/>
      <c r="CJ1194" s="398"/>
      <c r="CK1194" s="398"/>
      <c r="CL1194" s="398"/>
      <c r="CM1194" s="398"/>
      <c r="CN1194" s="398"/>
      <c r="CO1194" s="398"/>
      <c r="CP1194" s="398"/>
      <c r="CQ1194" s="398"/>
      <c r="CR1194" s="398"/>
      <c r="CS1194" s="398"/>
      <c r="CT1194" s="398"/>
      <c r="CU1194" s="398"/>
      <c r="CV1194" s="398"/>
      <c r="CW1194" s="398"/>
      <c r="CX1194" s="398"/>
      <c r="CY1194" s="398"/>
      <c r="CZ1194" s="398"/>
      <c r="DA1194" s="398"/>
      <c r="DB1194" s="398"/>
      <c r="DC1194" s="398"/>
      <c r="DD1194" s="398"/>
      <c r="DE1194" s="393"/>
      <c r="DF1194" s="393"/>
      <c r="DG1194" s="393"/>
      <c r="DH1194" s="393"/>
      <c r="DI1194" s="393"/>
      <c r="DJ1194" s="393"/>
      <c r="DK1194" s="896" t="s">
        <v>9700</v>
      </c>
    </row>
    <row r="1195" spans="1:115" ht="25.5" x14ac:dyDescent="0.2">
      <c r="A1195" s="295">
        <v>1191</v>
      </c>
      <c r="B1195" s="390" t="s">
        <v>2853</v>
      </c>
      <c r="C1195" s="390"/>
      <c r="D1195" s="391" t="s">
        <v>4486</v>
      </c>
      <c r="E1195" s="704" t="s">
        <v>1580</v>
      </c>
      <c r="F1195" s="393" t="s">
        <v>1352</v>
      </c>
      <c r="G1195" s="393" t="s">
        <v>1672</v>
      </c>
      <c r="H1195" s="393" t="s">
        <v>684</v>
      </c>
      <c r="I1195" s="392"/>
      <c r="J1195" s="392"/>
      <c r="K1195" s="392" t="s">
        <v>2235</v>
      </c>
      <c r="L1195" s="392" t="s">
        <v>1508</v>
      </c>
      <c r="M1195" s="392"/>
      <c r="N1195" s="393" t="s">
        <v>44</v>
      </c>
      <c r="O1195" s="393" t="s">
        <v>69</v>
      </c>
      <c r="P1195" s="393" t="s">
        <v>69</v>
      </c>
      <c r="Q1195" s="392" t="s">
        <v>690</v>
      </c>
      <c r="R1195" s="392" t="s">
        <v>3493</v>
      </c>
      <c r="S1195" s="392" t="s">
        <v>1605</v>
      </c>
      <c r="T1195" s="394">
        <v>1</v>
      </c>
      <c r="U1195" s="395">
        <v>27.646000000000001</v>
      </c>
      <c r="V1195" s="395"/>
      <c r="W1195" s="453"/>
      <c r="X1195" s="394"/>
      <c r="Y1195" s="394">
        <v>7</v>
      </c>
      <c r="Z1195" s="394">
        <v>20</v>
      </c>
      <c r="AA1195" s="395">
        <v>0</v>
      </c>
      <c r="AB1195" s="452">
        <v>41275</v>
      </c>
      <c r="AC1195" s="398">
        <v>0</v>
      </c>
      <c r="AD1195" s="398">
        <v>221.24374246575343</v>
      </c>
      <c r="AE1195" s="393" t="s">
        <v>133</v>
      </c>
      <c r="AF1195" s="417"/>
      <c r="AG1195" s="417"/>
      <c r="AH1195" s="417"/>
      <c r="AI1195" s="394"/>
      <c r="AJ1195" s="453"/>
      <c r="AK1195" s="453"/>
      <c r="AL1195" s="393"/>
      <c r="AM1195" s="393"/>
      <c r="AN1195" s="417"/>
      <c r="AO1195" s="392"/>
      <c r="AP1195" s="392" t="s">
        <v>7103</v>
      </c>
      <c r="AQ1195" s="392"/>
      <c r="AR1195" s="392" t="s">
        <v>1508</v>
      </c>
      <c r="AS1195" s="479">
        <v>40988</v>
      </c>
      <c r="AT1195" s="453"/>
      <c r="AU1195" s="453"/>
      <c r="AV1195" s="453"/>
      <c r="AW1195" s="453"/>
      <c r="AX1195" s="453"/>
      <c r="AY1195" s="453"/>
      <c r="AZ1195" s="452">
        <v>41220</v>
      </c>
      <c r="BA1195" s="393"/>
      <c r="BB1195" s="393"/>
      <c r="BC1195" s="393" t="b">
        <v>0</v>
      </c>
      <c r="BD1195" s="393"/>
      <c r="BE1195" s="392"/>
      <c r="BF1195" s="394">
        <v>1</v>
      </c>
      <c r="BG1195" s="394">
        <v>3</v>
      </c>
      <c r="BH1195" s="394">
        <v>6</v>
      </c>
      <c r="BI1195" s="394">
        <v>5</v>
      </c>
      <c r="BJ1195" s="394">
        <v>8</v>
      </c>
      <c r="BK1195" s="394">
        <v>11</v>
      </c>
      <c r="BL1195" s="444" t="s">
        <v>1451</v>
      </c>
      <c r="BM1195" s="392"/>
      <c r="BN1195" s="393"/>
      <c r="BO1195" s="393"/>
      <c r="BP1195" s="399"/>
      <c r="BQ1195" s="400"/>
      <c r="BR1195" s="401"/>
      <c r="BS1195" s="399">
        <v>1.2</v>
      </c>
      <c r="BT1195" s="394">
        <v>6798</v>
      </c>
      <c r="BU1195" s="417">
        <v>0.67200000000000004</v>
      </c>
      <c r="BV1195" s="399"/>
      <c r="BW1195" s="393" t="s">
        <v>3117</v>
      </c>
      <c r="BX1195" s="392" t="s">
        <v>1447</v>
      </c>
      <c r="BY1195" s="393"/>
      <c r="BZ1195" s="393"/>
      <c r="CA1195" s="441" t="s">
        <v>1662</v>
      </c>
      <c r="CB1195" s="400">
        <v>3</v>
      </c>
      <c r="CC1195" s="398"/>
      <c r="CD1195" s="398"/>
      <c r="CE1195" s="398"/>
      <c r="CF1195" s="398"/>
      <c r="CG1195" s="398"/>
      <c r="CH1195" s="398">
        <v>2.44</v>
      </c>
      <c r="CI1195" s="398">
        <v>29.28</v>
      </c>
      <c r="CJ1195" s="398">
        <v>27.646000000000001</v>
      </c>
      <c r="CK1195" s="398">
        <v>27.646000000000001</v>
      </c>
      <c r="CL1195" s="398">
        <v>27.646000000000001</v>
      </c>
      <c r="CM1195" s="398">
        <v>27.646000000000001</v>
      </c>
      <c r="CN1195" s="398">
        <v>27.646000000000001</v>
      </c>
      <c r="CO1195" s="398">
        <v>27.646000000000001</v>
      </c>
      <c r="CP1195" s="398"/>
      <c r="CQ1195" s="398"/>
      <c r="CR1195" s="398"/>
      <c r="CS1195" s="398"/>
      <c r="CT1195" s="398"/>
      <c r="CU1195" s="398"/>
      <c r="CV1195" s="398"/>
      <c r="CW1195" s="398"/>
      <c r="CX1195" s="398"/>
      <c r="CY1195" s="398"/>
      <c r="CZ1195" s="398"/>
      <c r="DA1195" s="398"/>
      <c r="DB1195" s="398"/>
      <c r="DC1195" s="398"/>
      <c r="DD1195" s="398"/>
      <c r="DE1195" s="393"/>
      <c r="DF1195" s="393"/>
      <c r="DG1195" s="393"/>
      <c r="DH1195" s="393"/>
      <c r="DI1195" s="393"/>
      <c r="DJ1195" s="393"/>
      <c r="DK1195" s="897"/>
    </row>
    <row r="1196" spans="1:115" ht="63.75" x14ac:dyDescent="0.2">
      <c r="A1196" s="295">
        <v>1192</v>
      </c>
      <c r="B1196" s="390" t="s">
        <v>1536</v>
      </c>
      <c r="C1196" s="424" t="s">
        <v>7682</v>
      </c>
      <c r="D1196" s="391" t="s">
        <v>5176</v>
      </c>
      <c r="E1196" s="704" t="s">
        <v>1585</v>
      </c>
      <c r="F1196" s="393" t="s">
        <v>1352</v>
      </c>
      <c r="G1196" s="393" t="s">
        <v>1671</v>
      </c>
      <c r="H1196" s="393" t="s">
        <v>107</v>
      </c>
      <c r="I1196" s="392"/>
      <c r="J1196" s="392" t="s">
        <v>107</v>
      </c>
      <c r="K1196" s="392"/>
      <c r="L1196" s="392" t="s">
        <v>1586</v>
      </c>
      <c r="M1196" s="392" t="s">
        <v>3494</v>
      </c>
      <c r="N1196" s="393" t="s">
        <v>44</v>
      </c>
      <c r="O1196" s="393" t="s">
        <v>827</v>
      </c>
      <c r="P1196" s="393" t="s">
        <v>827</v>
      </c>
      <c r="Q1196" s="392" t="s">
        <v>836</v>
      </c>
      <c r="R1196" s="392"/>
      <c r="S1196" s="392" t="s">
        <v>291</v>
      </c>
      <c r="T1196" s="394">
        <v>1</v>
      </c>
      <c r="U1196" s="395">
        <v>7.8E-2</v>
      </c>
      <c r="V1196" s="395"/>
      <c r="W1196" s="452">
        <v>40954</v>
      </c>
      <c r="X1196" s="394">
        <v>28</v>
      </c>
      <c r="Y1196" s="394"/>
      <c r="Z1196" s="394"/>
      <c r="AA1196" s="395"/>
      <c r="AB1196" s="453"/>
      <c r="AC1196" s="398">
        <v>0.03</v>
      </c>
      <c r="AD1196" s="398">
        <v>0.62848767123287674</v>
      </c>
      <c r="AE1196" s="393" t="s">
        <v>1606</v>
      </c>
      <c r="AF1196" s="417"/>
      <c r="AG1196" s="417"/>
      <c r="AH1196" s="417">
        <v>0</v>
      </c>
      <c r="AI1196" s="394"/>
      <c r="AJ1196" s="453"/>
      <c r="AK1196" s="453"/>
      <c r="AL1196" s="393"/>
      <c r="AM1196" s="393"/>
      <c r="AN1196" s="417"/>
      <c r="AO1196" s="392"/>
      <c r="AP1196" s="392" t="s">
        <v>55</v>
      </c>
      <c r="AQ1196" s="392"/>
      <c r="AR1196" s="392" t="s">
        <v>112</v>
      </c>
      <c r="AS1196" s="479">
        <v>40988</v>
      </c>
      <c r="AT1196" s="453"/>
      <c r="AU1196" s="453"/>
      <c r="AV1196" s="452">
        <v>41145</v>
      </c>
      <c r="AW1196" s="452">
        <v>41226</v>
      </c>
      <c r="AX1196" s="452">
        <v>41277</v>
      </c>
      <c r="AY1196" s="452">
        <v>41226</v>
      </c>
      <c r="AZ1196" s="453"/>
      <c r="BA1196" s="393"/>
      <c r="BB1196" s="393" t="s">
        <v>3147</v>
      </c>
      <c r="BC1196" s="393" t="b">
        <v>1</v>
      </c>
      <c r="BD1196" s="393" t="s">
        <v>3147</v>
      </c>
      <c r="BE1196" s="392"/>
      <c r="BF1196" s="394">
        <v>10</v>
      </c>
      <c r="BG1196" s="394">
        <v>12</v>
      </c>
      <c r="BH1196" s="394">
        <v>5</v>
      </c>
      <c r="BI1196" s="394"/>
      <c r="BJ1196" s="394"/>
      <c r="BK1196" s="394"/>
      <c r="BL1196" s="444"/>
      <c r="BM1196" s="392"/>
      <c r="BN1196" s="393"/>
      <c r="BO1196" s="393"/>
      <c r="BP1196" s="399"/>
      <c r="BQ1196" s="400"/>
      <c r="BR1196" s="401"/>
      <c r="BS1196" s="399">
        <v>9.9839999999999998E-2</v>
      </c>
      <c r="BT1196" s="394"/>
      <c r="BU1196" s="417"/>
      <c r="BV1196" s="399"/>
      <c r="BW1196" s="393"/>
      <c r="BX1196" s="392"/>
      <c r="BY1196" s="475" t="s">
        <v>7224</v>
      </c>
      <c r="BZ1196" s="393"/>
      <c r="CA1196" s="441"/>
      <c r="CB1196" s="400"/>
      <c r="CC1196" s="398"/>
      <c r="CD1196" s="398"/>
      <c r="CE1196" s="398"/>
      <c r="CF1196" s="398"/>
      <c r="CG1196" s="398"/>
      <c r="CH1196" s="398"/>
      <c r="CI1196" s="398"/>
      <c r="CJ1196" s="398"/>
      <c r="CK1196" s="398"/>
      <c r="CL1196" s="398"/>
      <c r="CM1196" s="398"/>
      <c r="CN1196" s="398"/>
      <c r="CO1196" s="398"/>
      <c r="CP1196" s="398"/>
      <c r="CQ1196" s="398"/>
      <c r="CR1196" s="398"/>
      <c r="CS1196" s="398"/>
      <c r="CT1196" s="398"/>
      <c r="CU1196" s="398"/>
      <c r="CV1196" s="398"/>
      <c r="CW1196" s="398"/>
      <c r="CX1196" s="398"/>
      <c r="CY1196" s="398"/>
      <c r="CZ1196" s="398"/>
      <c r="DA1196" s="398"/>
      <c r="DB1196" s="398"/>
      <c r="DC1196" s="398"/>
      <c r="DD1196" s="398"/>
      <c r="DE1196" s="393"/>
      <c r="DF1196" s="393"/>
      <c r="DG1196" s="393"/>
      <c r="DH1196" s="393"/>
      <c r="DI1196" s="393"/>
      <c r="DJ1196" s="393"/>
      <c r="DK1196" s="896" t="s">
        <v>9700</v>
      </c>
    </row>
    <row r="1197" spans="1:115" ht="25.5" x14ac:dyDescent="0.2">
      <c r="A1197" s="295">
        <v>1193</v>
      </c>
      <c r="B1197" s="390" t="s">
        <v>2854</v>
      </c>
      <c r="C1197" s="390"/>
      <c r="D1197" s="391" t="s">
        <v>4487</v>
      </c>
      <c r="E1197" s="704" t="s">
        <v>1587</v>
      </c>
      <c r="F1197" s="393" t="s">
        <v>1352</v>
      </c>
      <c r="G1197" s="393" t="s">
        <v>1671</v>
      </c>
      <c r="H1197" s="393" t="s">
        <v>107</v>
      </c>
      <c r="I1197" s="392"/>
      <c r="J1197" s="392"/>
      <c r="K1197" s="392" t="s">
        <v>2236</v>
      </c>
      <c r="L1197" s="392" t="s">
        <v>1586</v>
      </c>
      <c r="M1197" s="392"/>
      <c r="N1197" s="393" t="s">
        <v>44</v>
      </c>
      <c r="O1197" s="393" t="s">
        <v>827</v>
      </c>
      <c r="P1197" s="393" t="s">
        <v>827</v>
      </c>
      <c r="Q1197" s="392" t="s">
        <v>836</v>
      </c>
      <c r="R1197" s="392" t="s">
        <v>3495</v>
      </c>
      <c r="S1197" s="392" t="s">
        <v>291</v>
      </c>
      <c r="T1197" s="394">
        <v>1</v>
      </c>
      <c r="U1197" s="395">
        <v>7.8E-2</v>
      </c>
      <c r="V1197" s="395"/>
      <c r="W1197" s="453"/>
      <c r="X1197" s="394"/>
      <c r="Y1197" s="394">
        <v>7</v>
      </c>
      <c r="Z1197" s="394">
        <v>25</v>
      </c>
      <c r="AA1197" s="395">
        <v>0</v>
      </c>
      <c r="AB1197" s="452">
        <v>41255</v>
      </c>
      <c r="AC1197" s="398">
        <v>0.03</v>
      </c>
      <c r="AD1197" s="398">
        <v>0.62848767123287674</v>
      </c>
      <c r="AE1197" s="393" t="s">
        <v>1606</v>
      </c>
      <c r="AF1197" s="417"/>
      <c r="AG1197" s="417"/>
      <c r="AH1197" s="417"/>
      <c r="AI1197" s="394"/>
      <c r="AJ1197" s="453"/>
      <c r="AK1197" s="453"/>
      <c r="AL1197" s="393"/>
      <c r="AM1197" s="393"/>
      <c r="AN1197" s="417"/>
      <c r="AO1197" s="392"/>
      <c r="AP1197" s="392" t="s">
        <v>55</v>
      </c>
      <c r="AQ1197" s="392"/>
      <c r="AR1197" s="392" t="s">
        <v>112</v>
      </c>
      <c r="AS1197" s="479">
        <v>40988</v>
      </c>
      <c r="AT1197" s="453"/>
      <c r="AU1197" s="453"/>
      <c r="AV1197" s="453"/>
      <c r="AW1197" s="453"/>
      <c r="AX1197" s="453"/>
      <c r="AY1197" s="453"/>
      <c r="AZ1197" s="452">
        <v>41226</v>
      </c>
      <c r="BA1197" s="393"/>
      <c r="BB1197" s="393"/>
      <c r="BC1197" s="393" t="b">
        <v>0</v>
      </c>
      <c r="BD1197" s="393"/>
      <c r="BE1197" s="392"/>
      <c r="BF1197" s="394">
        <v>10</v>
      </c>
      <c r="BG1197" s="394">
        <v>12</v>
      </c>
      <c r="BH1197" s="394">
        <v>5</v>
      </c>
      <c r="BI1197" s="394"/>
      <c r="BJ1197" s="394"/>
      <c r="BK1197" s="394"/>
      <c r="BL1197" s="444" t="s">
        <v>6981</v>
      </c>
      <c r="BM1197" s="392" t="s">
        <v>4488</v>
      </c>
      <c r="BN1197" s="393" t="s">
        <v>107</v>
      </c>
      <c r="BO1197" s="393"/>
      <c r="BP1197" s="399"/>
      <c r="BQ1197" s="400"/>
      <c r="BR1197" s="401"/>
      <c r="BS1197" s="399">
        <v>9.9839999999999998E-2</v>
      </c>
      <c r="BT1197" s="394">
        <v>127</v>
      </c>
      <c r="BU1197" s="417">
        <v>0.67884999999999995</v>
      </c>
      <c r="BV1197" s="399"/>
      <c r="BW1197" s="393" t="s">
        <v>3117</v>
      </c>
      <c r="BX1197" s="392"/>
      <c r="BY1197" s="475" t="s">
        <v>7224</v>
      </c>
      <c r="BZ1197" s="393"/>
      <c r="CA1197" s="441"/>
      <c r="CB1197" s="400"/>
      <c r="CC1197" s="398"/>
      <c r="CD1197" s="398"/>
      <c r="CE1197" s="398"/>
      <c r="CF1197" s="398"/>
      <c r="CG1197" s="398"/>
      <c r="CH1197" s="398">
        <v>3.0000000000000001E-3</v>
      </c>
      <c r="CI1197" s="398">
        <v>7.8E-2</v>
      </c>
      <c r="CJ1197" s="398">
        <v>7.8E-2</v>
      </c>
      <c r="CK1197" s="398">
        <v>7.8E-2</v>
      </c>
      <c r="CL1197" s="398">
        <v>7.8E-2</v>
      </c>
      <c r="CM1197" s="398">
        <v>7.8E-2</v>
      </c>
      <c r="CN1197" s="398">
        <v>7.8E-2</v>
      </c>
      <c r="CO1197" s="398">
        <v>7.4999999999999997E-2</v>
      </c>
      <c r="CP1197" s="398"/>
      <c r="CQ1197" s="398"/>
      <c r="CR1197" s="398"/>
      <c r="CS1197" s="398"/>
      <c r="CT1197" s="398"/>
      <c r="CU1197" s="398"/>
      <c r="CV1197" s="398"/>
      <c r="CW1197" s="398"/>
      <c r="CX1197" s="398"/>
      <c r="CY1197" s="398"/>
      <c r="CZ1197" s="398"/>
      <c r="DA1197" s="398"/>
      <c r="DB1197" s="398"/>
      <c r="DC1197" s="398"/>
      <c r="DD1197" s="398"/>
      <c r="DE1197" s="393"/>
      <c r="DF1197" s="393"/>
      <c r="DG1197" s="393"/>
      <c r="DH1197" s="393"/>
      <c r="DI1197" s="393"/>
      <c r="DJ1197" s="393"/>
      <c r="DK1197" s="897"/>
    </row>
    <row r="1198" spans="1:115" ht="204" x14ac:dyDescent="0.2">
      <c r="A1198" s="295">
        <v>1194</v>
      </c>
      <c r="B1198" s="390" t="s">
        <v>1582</v>
      </c>
      <c r="C1198" s="424" t="s">
        <v>7683</v>
      </c>
      <c r="D1198" s="391" t="s">
        <v>6038</v>
      </c>
      <c r="E1198" s="704" t="s">
        <v>1588</v>
      </c>
      <c r="F1198" s="393" t="s">
        <v>1375</v>
      </c>
      <c r="G1198" s="393" t="s">
        <v>998</v>
      </c>
      <c r="H1198" s="393" t="s">
        <v>504</v>
      </c>
      <c r="I1198" s="392" t="s">
        <v>4104</v>
      </c>
      <c r="J1198" s="392" t="s">
        <v>2237</v>
      </c>
      <c r="K1198" s="392"/>
      <c r="L1198" s="392" t="s">
        <v>1589</v>
      </c>
      <c r="M1198" s="392" t="s">
        <v>3496</v>
      </c>
      <c r="N1198" s="393" t="s">
        <v>44</v>
      </c>
      <c r="O1198" s="393" t="s">
        <v>51</v>
      </c>
      <c r="P1198" s="393" t="s">
        <v>51</v>
      </c>
      <c r="Q1198" s="392" t="s">
        <v>976</v>
      </c>
      <c r="R1198" s="392"/>
      <c r="S1198" s="392" t="s">
        <v>977</v>
      </c>
      <c r="T1198" s="394">
        <v>1</v>
      </c>
      <c r="U1198" s="395">
        <v>40.652999999999999</v>
      </c>
      <c r="V1198" s="395"/>
      <c r="W1198" s="452">
        <v>40983</v>
      </c>
      <c r="X1198" s="394">
        <v>28</v>
      </c>
      <c r="Y1198" s="394"/>
      <c r="Z1198" s="394"/>
      <c r="AA1198" s="395"/>
      <c r="AB1198" s="453"/>
      <c r="AC1198" s="398">
        <v>11.262119</v>
      </c>
      <c r="AD1198" s="398">
        <v>335.5821616438356</v>
      </c>
      <c r="AE1198" s="393" t="s">
        <v>72</v>
      </c>
      <c r="AF1198" s="417"/>
      <c r="AG1198" s="417"/>
      <c r="AH1198" s="417">
        <v>0</v>
      </c>
      <c r="AI1198" s="394"/>
      <c r="AJ1198" s="453"/>
      <c r="AK1198" s="453"/>
      <c r="AL1198" s="393"/>
      <c r="AM1198" s="393"/>
      <c r="AN1198" s="417"/>
      <c r="AO1198" s="392"/>
      <c r="AP1198" s="392" t="s">
        <v>55</v>
      </c>
      <c r="AQ1198" s="392"/>
      <c r="AR1198" s="392" t="s">
        <v>5664</v>
      </c>
      <c r="AS1198" s="479">
        <v>40991</v>
      </c>
      <c r="AT1198" s="453"/>
      <c r="AU1198" s="453"/>
      <c r="AV1198" s="452">
        <v>41305</v>
      </c>
      <c r="AW1198" s="452">
        <v>41661</v>
      </c>
      <c r="AX1198" s="452">
        <v>41723</v>
      </c>
      <c r="AY1198" s="452">
        <v>41780</v>
      </c>
      <c r="AZ1198" s="453"/>
      <c r="BA1198" s="393"/>
      <c r="BB1198" s="393" t="s">
        <v>3147</v>
      </c>
      <c r="BC1198" s="393" t="b">
        <v>0</v>
      </c>
      <c r="BD1198" s="393" t="s">
        <v>3147</v>
      </c>
      <c r="BE1198" s="392"/>
      <c r="BF1198" s="394">
        <v>4</v>
      </c>
      <c r="BG1198" s="394">
        <v>2</v>
      </c>
      <c r="BH1198" s="394"/>
      <c r="BI1198" s="394"/>
      <c r="BJ1198" s="394"/>
      <c r="BK1198" s="394"/>
      <c r="BL1198" s="444"/>
      <c r="BM1198" s="392"/>
      <c r="BN1198" s="393"/>
      <c r="BO1198" s="393"/>
      <c r="BP1198" s="399"/>
      <c r="BQ1198" s="400"/>
      <c r="BR1198" s="401"/>
      <c r="BS1198" s="399">
        <v>0</v>
      </c>
      <c r="BT1198" s="394"/>
      <c r="BU1198" s="417"/>
      <c r="BV1198" s="399"/>
      <c r="BW1198" s="393"/>
      <c r="BX1198" s="392"/>
      <c r="BY1198" s="475" t="s">
        <v>7227</v>
      </c>
      <c r="BZ1198" s="393"/>
      <c r="CA1198" s="441"/>
      <c r="CB1198" s="400"/>
      <c r="CC1198" s="398"/>
      <c r="CD1198" s="398"/>
      <c r="CE1198" s="398"/>
      <c r="CF1198" s="398"/>
      <c r="CG1198" s="398"/>
      <c r="CH1198" s="398"/>
      <c r="CI1198" s="398"/>
      <c r="CJ1198" s="398"/>
      <c r="CK1198" s="398"/>
      <c r="CL1198" s="398"/>
      <c r="CM1198" s="398"/>
      <c r="CN1198" s="398"/>
      <c r="CO1198" s="398"/>
      <c r="CP1198" s="398"/>
      <c r="CQ1198" s="398"/>
      <c r="CR1198" s="398"/>
      <c r="CS1198" s="398"/>
      <c r="CT1198" s="398"/>
      <c r="CU1198" s="398"/>
      <c r="CV1198" s="398"/>
      <c r="CW1198" s="398"/>
      <c r="CX1198" s="398"/>
      <c r="CY1198" s="398"/>
      <c r="CZ1198" s="398"/>
      <c r="DA1198" s="398"/>
      <c r="DB1198" s="398"/>
      <c r="DC1198" s="398"/>
      <c r="DD1198" s="398"/>
      <c r="DE1198" s="393"/>
      <c r="DF1198" s="393"/>
      <c r="DG1198" s="393"/>
      <c r="DH1198" s="393"/>
      <c r="DI1198" s="393"/>
      <c r="DJ1198" s="393"/>
      <c r="DK1198" s="896" t="s">
        <v>9701</v>
      </c>
    </row>
    <row r="1199" spans="1:115" ht="25.5" x14ac:dyDescent="0.2">
      <c r="A1199" s="295">
        <v>1195</v>
      </c>
      <c r="B1199" s="390" t="s">
        <v>2855</v>
      </c>
      <c r="C1199" s="390"/>
      <c r="D1199" s="391" t="s">
        <v>6039</v>
      </c>
      <c r="E1199" s="704" t="s">
        <v>1590</v>
      </c>
      <c r="F1199" s="393" t="s">
        <v>1375</v>
      </c>
      <c r="G1199" s="393" t="s">
        <v>998</v>
      </c>
      <c r="H1199" s="393" t="s">
        <v>504</v>
      </c>
      <c r="I1199" s="392"/>
      <c r="J1199" s="392"/>
      <c r="K1199" s="392" t="s">
        <v>504</v>
      </c>
      <c r="L1199" s="392" t="s">
        <v>1589</v>
      </c>
      <c r="M1199" s="392"/>
      <c r="N1199" s="393" t="s">
        <v>44</v>
      </c>
      <c r="O1199" s="393" t="s">
        <v>51</v>
      </c>
      <c r="P1199" s="393" t="s">
        <v>51</v>
      </c>
      <c r="Q1199" s="392" t="s">
        <v>976</v>
      </c>
      <c r="R1199" s="392" t="s">
        <v>3497</v>
      </c>
      <c r="S1199" s="392" t="s">
        <v>977</v>
      </c>
      <c r="T1199" s="394">
        <v>1</v>
      </c>
      <c r="U1199" s="395">
        <v>40.652999999999999</v>
      </c>
      <c r="V1199" s="395"/>
      <c r="W1199" s="453"/>
      <c r="X1199" s="394"/>
      <c r="Y1199" s="394">
        <v>7</v>
      </c>
      <c r="Z1199" s="394">
        <v>21</v>
      </c>
      <c r="AA1199" s="395">
        <v>0</v>
      </c>
      <c r="AB1199" s="452">
        <v>41183</v>
      </c>
      <c r="AC1199" s="398">
        <v>11.262119</v>
      </c>
      <c r="AD1199" s="398">
        <v>335.5821616438356</v>
      </c>
      <c r="AE1199" s="393" t="s">
        <v>72</v>
      </c>
      <c r="AF1199" s="417"/>
      <c r="AG1199" s="417"/>
      <c r="AH1199" s="417"/>
      <c r="AI1199" s="394"/>
      <c r="AJ1199" s="453"/>
      <c r="AK1199" s="453"/>
      <c r="AL1199" s="393"/>
      <c r="AM1199" s="393"/>
      <c r="AN1199" s="417"/>
      <c r="AO1199" s="392"/>
      <c r="AP1199" s="392" t="s">
        <v>55</v>
      </c>
      <c r="AQ1199" s="392"/>
      <c r="AR1199" s="392" t="s">
        <v>5664</v>
      </c>
      <c r="AS1199" s="479">
        <v>40991</v>
      </c>
      <c r="AT1199" s="453"/>
      <c r="AU1199" s="453"/>
      <c r="AV1199" s="453"/>
      <c r="AW1199" s="453"/>
      <c r="AX1199" s="453"/>
      <c r="AY1199" s="453"/>
      <c r="AZ1199" s="452">
        <v>41780</v>
      </c>
      <c r="BA1199" s="393"/>
      <c r="BB1199" s="393"/>
      <c r="BC1199" s="393" t="b">
        <v>0</v>
      </c>
      <c r="BD1199" s="393"/>
      <c r="BE1199" s="392"/>
      <c r="BF1199" s="394">
        <v>4</v>
      </c>
      <c r="BG1199" s="394">
        <v>1</v>
      </c>
      <c r="BH1199" s="394">
        <v>6</v>
      </c>
      <c r="BI1199" s="394">
        <v>8</v>
      </c>
      <c r="BJ1199" s="394"/>
      <c r="BK1199" s="394"/>
      <c r="BL1199" s="444" t="s">
        <v>6986</v>
      </c>
      <c r="BM1199" s="392"/>
      <c r="BN1199" s="393"/>
      <c r="BO1199" s="393"/>
      <c r="BP1199" s="399"/>
      <c r="BQ1199" s="400"/>
      <c r="BR1199" s="401"/>
      <c r="BS1199" s="399"/>
      <c r="BT1199" s="394"/>
      <c r="BU1199" s="417">
        <v>57.6</v>
      </c>
      <c r="BV1199" s="399"/>
      <c r="BW1199" s="393" t="s">
        <v>3117</v>
      </c>
      <c r="BX1199" s="392" t="s">
        <v>4051</v>
      </c>
      <c r="BY1199" s="475" t="s">
        <v>7227</v>
      </c>
      <c r="BZ1199" s="393"/>
      <c r="CA1199" s="441" t="s">
        <v>1664</v>
      </c>
      <c r="CB1199" s="400"/>
      <c r="CC1199" s="398"/>
      <c r="CD1199" s="398"/>
      <c r="CE1199" s="398"/>
      <c r="CF1199" s="398"/>
      <c r="CG1199" s="398"/>
      <c r="CH1199" s="398"/>
      <c r="CI1199" s="398">
        <v>44.869</v>
      </c>
      <c r="CJ1199" s="398">
        <v>44.869</v>
      </c>
      <c r="CK1199" s="398">
        <v>44.869</v>
      </c>
      <c r="CL1199" s="398">
        <v>44.869</v>
      </c>
      <c r="CM1199" s="398">
        <v>44.869</v>
      </c>
      <c r="CN1199" s="398">
        <v>44.869</v>
      </c>
      <c r="CO1199" s="398">
        <v>44.869</v>
      </c>
      <c r="CP1199" s="398"/>
      <c r="CQ1199" s="398"/>
      <c r="CR1199" s="398"/>
      <c r="CS1199" s="398"/>
      <c r="CT1199" s="398"/>
      <c r="CU1199" s="398"/>
      <c r="CV1199" s="398"/>
      <c r="CW1199" s="398"/>
      <c r="CX1199" s="398"/>
      <c r="CY1199" s="398"/>
      <c r="CZ1199" s="398"/>
      <c r="DA1199" s="398"/>
      <c r="DB1199" s="398"/>
      <c r="DC1199" s="398"/>
      <c r="DD1199" s="398"/>
      <c r="DE1199" s="393"/>
      <c r="DF1199" s="393"/>
      <c r="DG1199" s="393"/>
      <c r="DH1199" s="393"/>
      <c r="DI1199" s="393"/>
      <c r="DJ1199" s="393"/>
      <c r="DK1199" s="897"/>
    </row>
    <row r="1200" spans="1:115" ht="51" x14ac:dyDescent="0.2">
      <c r="A1200" s="295">
        <v>1196</v>
      </c>
      <c r="B1200" s="390" t="s">
        <v>1583</v>
      </c>
      <c r="C1200" s="424" t="s">
        <v>7684</v>
      </c>
      <c r="D1200" s="391" t="s">
        <v>5177</v>
      </c>
      <c r="E1200" s="704" t="s">
        <v>1591</v>
      </c>
      <c r="F1200" s="393" t="s">
        <v>1340</v>
      </c>
      <c r="G1200" s="393" t="s">
        <v>1359</v>
      </c>
      <c r="H1200" s="393" t="s">
        <v>1346</v>
      </c>
      <c r="I1200" s="392"/>
      <c r="J1200" s="392" t="s">
        <v>1346</v>
      </c>
      <c r="K1200" s="392"/>
      <c r="L1200" s="392" t="s">
        <v>1592</v>
      </c>
      <c r="M1200" s="392" t="s">
        <v>3498</v>
      </c>
      <c r="N1200" s="393" t="s">
        <v>44</v>
      </c>
      <c r="O1200" s="393" t="s">
        <v>289</v>
      </c>
      <c r="P1200" s="393" t="s">
        <v>289</v>
      </c>
      <c r="Q1200" s="392" t="s">
        <v>721</v>
      </c>
      <c r="R1200" s="392"/>
      <c r="S1200" s="392" t="s">
        <v>291</v>
      </c>
      <c r="T1200" s="394">
        <v>1</v>
      </c>
      <c r="U1200" s="395">
        <v>24.135000000000002</v>
      </c>
      <c r="V1200" s="395"/>
      <c r="W1200" s="452">
        <v>40991</v>
      </c>
      <c r="X1200" s="394">
        <v>28</v>
      </c>
      <c r="Y1200" s="394"/>
      <c r="Z1200" s="394"/>
      <c r="AA1200" s="395"/>
      <c r="AB1200" s="453"/>
      <c r="AC1200" s="398">
        <v>0</v>
      </c>
      <c r="AD1200" s="398">
        <v>128.80816438356166</v>
      </c>
      <c r="AE1200" s="393" t="s">
        <v>225</v>
      </c>
      <c r="AF1200" s="417"/>
      <c r="AG1200" s="417"/>
      <c r="AH1200" s="417">
        <v>0</v>
      </c>
      <c r="AI1200" s="394"/>
      <c r="AJ1200" s="453"/>
      <c r="AK1200" s="453"/>
      <c r="AL1200" s="393"/>
      <c r="AM1200" s="393"/>
      <c r="AN1200" s="417"/>
      <c r="AO1200" s="392"/>
      <c r="AP1200" s="392" t="s">
        <v>55</v>
      </c>
      <c r="AQ1200" s="392"/>
      <c r="AR1200" s="392" t="s">
        <v>3798</v>
      </c>
      <c r="AS1200" s="479">
        <v>40992</v>
      </c>
      <c r="AT1200" s="453"/>
      <c r="AU1200" s="453"/>
      <c r="AV1200" s="452">
        <v>41092</v>
      </c>
      <c r="AW1200" s="452">
        <v>41253</v>
      </c>
      <c r="AX1200" s="453"/>
      <c r="AY1200" s="452">
        <v>41257</v>
      </c>
      <c r="AZ1200" s="453"/>
      <c r="BA1200" s="393"/>
      <c r="BB1200" s="393" t="s">
        <v>3147</v>
      </c>
      <c r="BC1200" s="393" t="b">
        <v>1</v>
      </c>
      <c r="BD1200" s="393" t="s">
        <v>3147</v>
      </c>
      <c r="BE1200" s="392"/>
      <c r="BF1200" s="394">
        <v>5</v>
      </c>
      <c r="BG1200" s="394">
        <v>8</v>
      </c>
      <c r="BH1200" s="394">
        <v>9</v>
      </c>
      <c r="BI1200" s="394">
        <v>10</v>
      </c>
      <c r="BJ1200" s="394">
        <v>11</v>
      </c>
      <c r="BK1200" s="394"/>
      <c r="BL1200" s="444"/>
      <c r="BM1200" s="392"/>
      <c r="BN1200" s="393"/>
      <c r="BO1200" s="393"/>
      <c r="BP1200" s="399"/>
      <c r="BQ1200" s="400"/>
      <c r="BR1200" s="401"/>
      <c r="BS1200" s="399">
        <v>12</v>
      </c>
      <c r="BT1200" s="394"/>
      <c r="BU1200" s="417"/>
      <c r="BV1200" s="399"/>
      <c r="BW1200" s="393"/>
      <c r="BX1200" s="392"/>
      <c r="BY1200" s="475" t="s">
        <v>7224</v>
      </c>
      <c r="BZ1200" s="393"/>
      <c r="CA1200" s="441"/>
      <c r="CB1200" s="400"/>
      <c r="CC1200" s="398"/>
      <c r="CD1200" s="398"/>
      <c r="CE1200" s="398"/>
      <c r="CF1200" s="398"/>
      <c r="CG1200" s="398"/>
      <c r="CH1200" s="398"/>
      <c r="CI1200" s="398"/>
      <c r="CJ1200" s="398"/>
      <c r="CK1200" s="398"/>
      <c r="CL1200" s="398"/>
      <c r="CM1200" s="398"/>
      <c r="CN1200" s="398"/>
      <c r="CO1200" s="398"/>
      <c r="CP1200" s="398"/>
      <c r="CQ1200" s="398"/>
      <c r="CR1200" s="398"/>
      <c r="CS1200" s="398"/>
      <c r="CT1200" s="398"/>
      <c r="CU1200" s="398"/>
      <c r="CV1200" s="398"/>
      <c r="CW1200" s="398"/>
      <c r="CX1200" s="398"/>
      <c r="CY1200" s="398"/>
      <c r="CZ1200" s="398"/>
      <c r="DA1200" s="398"/>
      <c r="DB1200" s="398"/>
      <c r="DC1200" s="398"/>
      <c r="DD1200" s="398"/>
      <c r="DE1200" s="393"/>
      <c r="DF1200" s="393"/>
      <c r="DG1200" s="393"/>
      <c r="DH1200" s="393"/>
      <c r="DI1200" s="393"/>
      <c r="DJ1200" s="393"/>
      <c r="DK1200" s="896" t="s">
        <v>9700</v>
      </c>
    </row>
    <row r="1201" spans="1:115" ht="51" x14ac:dyDescent="0.2">
      <c r="A1201" s="295">
        <v>1197</v>
      </c>
      <c r="B1201" s="390" t="s">
        <v>2856</v>
      </c>
      <c r="C1201" s="390"/>
      <c r="D1201" s="391" t="s">
        <v>4959</v>
      </c>
      <c r="E1201" s="704" t="s">
        <v>1997</v>
      </c>
      <c r="F1201" s="393" t="s">
        <v>1340</v>
      </c>
      <c r="G1201" s="393" t="s">
        <v>1359</v>
      </c>
      <c r="H1201" s="393" t="s">
        <v>1346</v>
      </c>
      <c r="I1201" s="392"/>
      <c r="J1201" s="392"/>
      <c r="K1201" s="392" t="s">
        <v>2238</v>
      </c>
      <c r="L1201" s="392" t="s">
        <v>1592</v>
      </c>
      <c r="M1201" s="392"/>
      <c r="N1201" s="393" t="s">
        <v>44</v>
      </c>
      <c r="O1201" s="393" t="s">
        <v>289</v>
      </c>
      <c r="P1201" s="393" t="s">
        <v>289</v>
      </c>
      <c r="Q1201" s="392" t="s">
        <v>721</v>
      </c>
      <c r="R1201" s="392" t="s">
        <v>3499</v>
      </c>
      <c r="S1201" s="392" t="s">
        <v>291</v>
      </c>
      <c r="T1201" s="394">
        <v>1</v>
      </c>
      <c r="U1201" s="395">
        <v>24.135000000000002</v>
      </c>
      <c r="V1201" s="395"/>
      <c r="W1201" s="453"/>
      <c r="X1201" s="394"/>
      <c r="Y1201" s="394">
        <v>7</v>
      </c>
      <c r="Z1201" s="394">
        <v>30</v>
      </c>
      <c r="AA1201" s="395">
        <v>0</v>
      </c>
      <c r="AB1201" s="452">
        <v>42248</v>
      </c>
      <c r="AC1201" s="398">
        <v>0</v>
      </c>
      <c r="AD1201" s="398">
        <v>128.80816438356166</v>
      </c>
      <c r="AE1201" s="393" t="s">
        <v>225</v>
      </c>
      <c r="AF1201" s="417"/>
      <c r="AG1201" s="417"/>
      <c r="AH1201" s="417"/>
      <c r="AI1201" s="394"/>
      <c r="AJ1201" s="453"/>
      <c r="AK1201" s="453"/>
      <c r="AL1201" s="393"/>
      <c r="AM1201" s="393"/>
      <c r="AN1201" s="417"/>
      <c r="AO1201" s="392"/>
      <c r="AP1201" s="392" t="s">
        <v>55</v>
      </c>
      <c r="AQ1201" s="392"/>
      <c r="AR1201" s="392" t="s">
        <v>3798</v>
      </c>
      <c r="AS1201" s="479">
        <v>40992</v>
      </c>
      <c r="AT1201" s="453"/>
      <c r="AU1201" s="453"/>
      <c r="AV1201" s="453"/>
      <c r="AW1201" s="453"/>
      <c r="AX1201" s="453"/>
      <c r="AY1201" s="453"/>
      <c r="AZ1201" s="452">
        <v>41257</v>
      </c>
      <c r="BA1201" s="393"/>
      <c r="BB1201" s="393"/>
      <c r="BC1201" s="393" t="b">
        <v>0</v>
      </c>
      <c r="BD1201" s="393"/>
      <c r="BE1201" s="392"/>
      <c r="BF1201" s="394">
        <v>5</v>
      </c>
      <c r="BG1201" s="394">
        <v>8</v>
      </c>
      <c r="BH1201" s="394">
        <v>9</v>
      </c>
      <c r="BI1201" s="394">
        <v>10</v>
      </c>
      <c r="BJ1201" s="394">
        <v>11</v>
      </c>
      <c r="BK1201" s="394"/>
      <c r="BL1201" s="444" t="s">
        <v>6982</v>
      </c>
      <c r="BM1201" s="392"/>
      <c r="BN1201" s="393"/>
      <c r="BO1201" s="393"/>
      <c r="BP1201" s="399"/>
      <c r="BQ1201" s="400"/>
      <c r="BR1201" s="401"/>
      <c r="BS1201" s="399">
        <v>12</v>
      </c>
      <c r="BT1201" s="394">
        <v>50400</v>
      </c>
      <c r="BU1201" s="417">
        <v>0.58325000000000005</v>
      </c>
      <c r="BV1201" s="399"/>
      <c r="BW1201" s="393" t="s">
        <v>3117</v>
      </c>
      <c r="BX1201" s="392" t="s">
        <v>4059</v>
      </c>
      <c r="BY1201" s="475" t="s">
        <v>7224</v>
      </c>
      <c r="BZ1201" s="393"/>
      <c r="CA1201" s="441" t="s">
        <v>1664</v>
      </c>
      <c r="CB1201" s="400"/>
      <c r="CC1201" s="398"/>
      <c r="CD1201" s="398"/>
      <c r="CE1201" s="398"/>
      <c r="CF1201" s="398"/>
      <c r="CG1201" s="398"/>
      <c r="CH1201" s="398"/>
      <c r="CI1201" s="398"/>
      <c r="CJ1201" s="398">
        <v>9.798</v>
      </c>
      <c r="CK1201" s="398">
        <v>29.395</v>
      </c>
      <c r="CL1201" s="398">
        <v>29.395</v>
      </c>
      <c r="CM1201" s="398">
        <v>29.395</v>
      </c>
      <c r="CN1201" s="398">
        <v>29.395</v>
      </c>
      <c r="CO1201" s="398">
        <v>29.395</v>
      </c>
      <c r="CP1201" s="398">
        <v>29.395</v>
      </c>
      <c r="CQ1201" s="398">
        <v>19.597000000000001</v>
      </c>
      <c r="CR1201" s="398"/>
      <c r="CS1201" s="398"/>
      <c r="CT1201" s="398"/>
      <c r="CU1201" s="398"/>
      <c r="CV1201" s="398"/>
      <c r="CW1201" s="398"/>
      <c r="CX1201" s="398"/>
      <c r="CY1201" s="398"/>
      <c r="CZ1201" s="398"/>
      <c r="DA1201" s="398"/>
      <c r="DB1201" s="398"/>
      <c r="DC1201" s="398"/>
      <c r="DD1201" s="398"/>
      <c r="DE1201" s="393"/>
      <c r="DF1201" s="393"/>
      <c r="DG1201" s="393"/>
      <c r="DH1201" s="393"/>
      <c r="DI1201" s="393"/>
      <c r="DJ1201" s="393"/>
      <c r="DK1201" s="897"/>
    </row>
    <row r="1202" spans="1:115" ht="63.75" x14ac:dyDescent="0.2">
      <c r="A1202" s="295">
        <v>1198</v>
      </c>
      <c r="B1202" s="390" t="s">
        <v>1584</v>
      </c>
      <c r="C1202" s="424" t="s">
        <v>7685</v>
      </c>
      <c r="D1202" s="391"/>
      <c r="E1202" s="706" t="s">
        <v>1593</v>
      </c>
      <c r="F1202" s="390" t="s">
        <v>1352</v>
      </c>
      <c r="G1202" s="390" t="s">
        <v>1672</v>
      </c>
      <c r="H1202" s="390" t="s">
        <v>89</v>
      </c>
      <c r="I1202" s="402"/>
      <c r="J1202" s="402" t="s">
        <v>89</v>
      </c>
      <c r="K1202" s="402"/>
      <c r="L1202" s="402" t="s">
        <v>1594</v>
      </c>
      <c r="M1202" s="402" t="s">
        <v>3500</v>
      </c>
      <c r="N1202" s="390" t="s">
        <v>33</v>
      </c>
      <c r="O1202" s="390" t="s">
        <v>80</v>
      </c>
      <c r="P1202" s="390" t="s">
        <v>80</v>
      </c>
      <c r="Q1202" s="402" t="s">
        <v>403</v>
      </c>
      <c r="R1202" s="402"/>
      <c r="S1202" s="402" t="s">
        <v>81</v>
      </c>
      <c r="T1202" s="411">
        <v>1</v>
      </c>
      <c r="U1202" s="412">
        <v>30.652999999999999</v>
      </c>
      <c r="V1202" s="412"/>
      <c r="W1202" s="457">
        <v>41274</v>
      </c>
      <c r="X1202" s="411">
        <v>28</v>
      </c>
      <c r="Y1202" s="411"/>
      <c r="Z1202" s="411"/>
      <c r="AA1202" s="412"/>
      <c r="AB1202" s="454"/>
      <c r="AC1202" s="413">
        <v>0</v>
      </c>
      <c r="AD1202" s="413">
        <v>542.01222465753426</v>
      </c>
      <c r="AE1202" s="390" t="s">
        <v>82</v>
      </c>
      <c r="AF1202" s="419"/>
      <c r="AG1202" s="419"/>
      <c r="AH1202" s="419">
        <v>0</v>
      </c>
      <c r="AI1202" s="411"/>
      <c r="AJ1202" s="454"/>
      <c r="AK1202" s="454"/>
      <c r="AL1202" s="390"/>
      <c r="AM1202" s="390"/>
      <c r="AN1202" s="419"/>
      <c r="AO1202" s="402"/>
      <c r="AP1202" s="402" t="s">
        <v>7104</v>
      </c>
      <c r="AQ1202" s="402"/>
      <c r="AR1202" s="402" t="s">
        <v>1654</v>
      </c>
      <c r="AS1202" s="481">
        <v>40995</v>
      </c>
      <c r="AT1202" s="454"/>
      <c r="AU1202" s="454"/>
      <c r="AV1202" s="454"/>
      <c r="AW1202" s="454"/>
      <c r="AX1202" s="454"/>
      <c r="AY1202" s="454"/>
      <c r="AZ1202" s="454"/>
      <c r="BA1202" s="390"/>
      <c r="BB1202" s="390" t="s">
        <v>3147</v>
      </c>
      <c r="BC1202" s="390" t="b">
        <v>1</v>
      </c>
      <c r="BD1202" s="390" t="s">
        <v>3147</v>
      </c>
      <c r="BE1202" s="402"/>
      <c r="BF1202" s="411">
        <v>11</v>
      </c>
      <c r="BG1202" s="411">
        <v>1</v>
      </c>
      <c r="BH1202" s="411">
        <v>6</v>
      </c>
      <c r="BI1202" s="411">
        <v>3</v>
      </c>
      <c r="BJ1202" s="411">
        <v>5</v>
      </c>
      <c r="BK1202" s="411">
        <v>8</v>
      </c>
      <c r="BL1202" s="445"/>
      <c r="BM1202" s="402"/>
      <c r="BN1202" s="390"/>
      <c r="BO1202" s="390"/>
      <c r="BP1202" s="414"/>
      <c r="BQ1202" s="415"/>
      <c r="BR1202" s="416"/>
      <c r="BS1202" s="414">
        <v>1</v>
      </c>
      <c r="BT1202" s="411"/>
      <c r="BU1202" s="419"/>
      <c r="BV1202" s="414"/>
      <c r="BW1202" s="390"/>
      <c r="BX1202" s="402"/>
      <c r="BY1202" s="390"/>
      <c r="BZ1202" s="390"/>
      <c r="CA1202" s="442"/>
      <c r="CB1202" s="415"/>
      <c r="CC1202" s="413"/>
      <c r="CD1202" s="413"/>
      <c r="CE1202" s="413"/>
      <c r="CF1202" s="413"/>
      <c r="CG1202" s="413"/>
      <c r="CH1202" s="413"/>
      <c r="CI1202" s="413"/>
      <c r="CJ1202" s="413"/>
      <c r="CK1202" s="413"/>
      <c r="CL1202" s="413"/>
      <c r="CM1202" s="413"/>
      <c r="CN1202" s="413"/>
      <c r="CO1202" s="413"/>
      <c r="CP1202" s="413"/>
      <c r="CQ1202" s="413"/>
      <c r="CR1202" s="413"/>
      <c r="CS1202" s="413"/>
      <c r="CT1202" s="413"/>
      <c r="CU1202" s="413"/>
      <c r="CV1202" s="413"/>
      <c r="CW1202" s="413"/>
      <c r="CX1202" s="413"/>
      <c r="CY1202" s="413"/>
      <c r="CZ1202" s="413"/>
      <c r="DA1202" s="413"/>
      <c r="DB1202" s="413"/>
      <c r="DC1202" s="413"/>
      <c r="DD1202" s="413"/>
      <c r="DE1202" s="390"/>
      <c r="DF1202" s="390"/>
      <c r="DG1202" s="390"/>
      <c r="DH1202" s="390"/>
      <c r="DI1202" s="390"/>
      <c r="DJ1202" s="390"/>
      <c r="DK1202" s="897"/>
    </row>
    <row r="1203" spans="1:115" ht="25.5" x14ac:dyDescent="0.2">
      <c r="A1203" s="295">
        <v>1199</v>
      </c>
      <c r="B1203" s="390" t="s">
        <v>2857</v>
      </c>
      <c r="C1203" s="390"/>
      <c r="D1203" s="391"/>
      <c r="E1203" s="706" t="s">
        <v>1595</v>
      </c>
      <c r="F1203" s="390" t="s">
        <v>1352</v>
      </c>
      <c r="G1203" s="390" t="s">
        <v>1672</v>
      </c>
      <c r="H1203" s="390" t="s">
        <v>89</v>
      </c>
      <c r="I1203" s="402"/>
      <c r="J1203" s="402"/>
      <c r="K1203" s="402" t="s">
        <v>2239</v>
      </c>
      <c r="L1203" s="402" t="s">
        <v>1594</v>
      </c>
      <c r="M1203" s="402"/>
      <c r="N1203" s="390" t="s">
        <v>33</v>
      </c>
      <c r="O1203" s="390" t="s">
        <v>80</v>
      </c>
      <c r="P1203" s="390" t="s">
        <v>80</v>
      </c>
      <c r="Q1203" s="402" t="s">
        <v>403</v>
      </c>
      <c r="R1203" s="402" t="s">
        <v>3501</v>
      </c>
      <c r="S1203" s="402" t="s">
        <v>81</v>
      </c>
      <c r="T1203" s="411">
        <v>1</v>
      </c>
      <c r="U1203" s="412">
        <v>30.652999999999999</v>
      </c>
      <c r="V1203" s="412"/>
      <c r="W1203" s="454"/>
      <c r="X1203" s="411"/>
      <c r="Y1203" s="411">
        <v>7</v>
      </c>
      <c r="Z1203" s="411">
        <v>14</v>
      </c>
      <c r="AA1203" s="412">
        <v>-7.25</v>
      </c>
      <c r="AB1203" s="457">
        <v>37742</v>
      </c>
      <c r="AC1203" s="413">
        <v>0</v>
      </c>
      <c r="AD1203" s="413">
        <v>542.01222465753426</v>
      </c>
      <c r="AE1203" s="390" t="s">
        <v>82</v>
      </c>
      <c r="AF1203" s="419"/>
      <c r="AG1203" s="419"/>
      <c r="AH1203" s="419"/>
      <c r="AI1203" s="411"/>
      <c r="AJ1203" s="454"/>
      <c r="AK1203" s="454"/>
      <c r="AL1203" s="390"/>
      <c r="AM1203" s="390"/>
      <c r="AN1203" s="419"/>
      <c r="AO1203" s="402"/>
      <c r="AP1203" s="402" t="s">
        <v>7104</v>
      </c>
      <c r="AQ1203" s="402"/>
      <c r="AR1203" s="402" t="s">
        <v>1654</v>
      </c>
      <c r="AS1203" s="481">
        <v>40995</v>
      </c>
      <c r="AT1203" s="454"/>
      <c r="AU1203" s="454"/>
      <c r="AV1203" s="454"/>
      <c r="AW1203" s="454"/>
      <c r="AX1203" s="454"/>
      <c r="AY1203" s="454"/>
      <c r="AZ1203" s="454"/>
      <c r="BA1203" s="390"/>
      <c r="BB1203" s="390"/>
      <c r="BC1203" s="390" t="b">
        <v>0</v>
      </c>
      <c r="BD1203" s="390"/>
      <c r="BE1203" s="402"/>
      <c r="BF1203" s="411">
        <v>11</v>
      </c>
      <c r="BG1203" s="411">
        <v>1</v>
      </c>
      <c r="BH1203" s="411">
        <v>6</v>
      </c>
      <c r="BI1203" s="411">
        <v>3</v>
      </c>
      <c r="BJ1203" s="411">
        <v>5</v>
      </c>
      <c r="BK1203" s="411">
        <v>8</v>
      </c>
      <c r="BL1203" s="445" t="s">
        <v>1451</v>
      </c>
      <c r="BM1203" s="402"/>
      <c r="BN1203" s="390"/>
      <c r="BO1203" s="390"/>
      <c r="BP1203" s="414"/>
      <c r="BQ1203" s="415"/>
      <c r="BR1203" s="416"/>
      <c r="BS1203" s="414">
        <v>1</v>
      </c>
      <c r="BT1203" s="411">
        <v>4273</v>
      </c>
      <c r="BU1203" s="419">
        <v>0.57640000000000002</v>
      </c>
      <c r="BV1203" s="414"/>
      <c r="BW1203" s="390" t="s">
        <v>3117</v>
      </c>
      <c r="BX1203" s="402" t="s">
        <v>1450</v>
      </c>
      <c r="BY1203" s="390"/>
      <c r="BZ1203" s="390"/>
      <c r="CA1203" s="442" t="s">
        <v>1662</v>
      </c>
      <c r="CB1203" s="415">
        <v>4</v>
      </c>
      <c r="CC1203" s="413"/>
      <c r="CD1203" s="413"/>
      <c r="CE1203" s="413"/>
      <c r="CF1203" s="413"/>
      <c r="CG1203" s="413"/>
      <c r="CH1203" s="413"/>
      <c r="CI1203" s="413">
        <v>25.736999999999998</v>
      </c>
      <c r="CJ1203" s="413">
        <v>43.784999999999997</v>
      </c>
      <c r="CK1203" s="413">
        <v>47.676000000000002</v>
      </c>
      <c r="CL1203" s="413">
        <v>34.49</v>
      </c>
      <c r="CM1203" s="413">
        <v>25.367000000000001</v>
      </c>
      <c r="CN1203" s="413">
        <v>19.059999999999999</v>
      </c>
      <c r="CO1203" s="413">
        <v>14.657</v>
      </c>
      <c r="CP1203" s="413"/>
      <c r="CQ1203" s="413"/>
      <c r="CR1203" s="413"/>
      <c r="CS1203" s="413"/>
      <c r="CT1203" s="413"/>
      <c r="CU1203" s="413"/>
      <c r="CV1203" s="413"/>
      <c r="CW1203" s="413"/>
      <c r="CX1203" s="413"/>
      <c r="CY1203" s="413"/>
      <c r="CZ1203" s="413"/>
      <c r="DA1203" s="413"/>
      <c r="DB1203" s="413"/>
      <c r="DC1203" s="413"/>
      <c r="DD1203" s="413"/>
      <c r="DE1203" s="390"/>
      <c r="DF1203" s="390"/>
      <c r="DG1203" s="390"/>
      <c r="DH1203" s="390"/>
      <c r="DI1203" s="390"/>
      <c r="DJ1203" s="390"/>
      <c r="DK1203" s="897"/>
    </row>
    <row r="1204" spans="1:115" ht="102" x14ac:dyDescent="0.2">
      <c r="A1204" s="295">
        <v>1200</v>
      </c>
      <c r="B1204" s="390" t="s">
        <v>1597</v>
      </c>
      <c r="C1204" s="424" t="s">
        <v>7686</v>
      </c>
      <c r="D1204" s="391"/>
      <c r="E1204" s="707" t="s">
        <v>1601</v>
      </c>
      <c r="F1204" s="404" t="s">
        <v>1352</v>
      </c>
      <c r="G1204" s="404" t="s">
        <v>1673</v>
      </c>
      <c r="H1204" s="404" t="s">
        <v>42</v>
      </c>
      <c r="I1204" s="403" t="s">
        <v>4105</v>
      </c>
      <c r="J1204" s="403" t="s">
        <v>1602</v>
      </c>
      <c r="K1204" s="403"/>
      <c r="L1204" s="403" t="s">
        <v>3799</v>
      </c>
      <c r="M1204" s="403" t="s">
        <v>3502</v>
      </c>
      <c r="N1204" s="404" t="s">
        <v>3142</v>
      </c>
      <c r="O1204" s="404" t="s">
        <v>827</v>
      </c>
      <c r="P1204" s="404" t="s">
        <v>51</v>
      </c>
      <c r="Q1204" s="403" t="s">
        <v>828</v>
      </c>
      <c r="R1204" s="403"/>
      <c r="S1204" s="403" t="s">
        <v>483</v>
      </c>
      <c r="T1204" s="405">
        <v>1</v>
      </c>
      <c r="U1204" s="406">
        <v>7.7720000000000002</v>
      </c>
      <c r="V1204" s="406"/>
      <c r="W1204" s="456">
        <v>41244</v>
      </c>
      <c r="X1204" s="405">
        <v>28</v>
      </c>
      <c r="Y1204" s="405"/>
      <c r="Z1204" s="405"/>
      <c r="AA1204" s="406"/>
      <c r="AB1204" s="455"/>
      <c r="AC1204" s="407">
        <v>0</v>
      </c>
      <c r="AD1204" s="407">
        <v>62.197293150684935</v>
      </c>
      <c r="AE1204" s="404" t="s">
        <v>133</v>
      </c>
      <c r="AF1204" s="418"/>
      <c r="AG1204" s="418"/>
      <c r="AH1204" s="418">
        <v>0</v>
      </c>
      <c r="AI1204" s="405"/>
      <c r="AJ1204" s="455"/>
      <c r="AK1204" s="455"/>
      <c r="AL1204" s="404"/>
      <c r="AM1204" s="404"/>
      <c r="AN1204" s="418"/>
      <c r="AO1204" s="403"/>
      <c r="AP1204" s="403" t="s">
        <v>55</v>
      </c>
      <c r="AQ1204" s="403"/>
      <c r="AR1204" s="403" t="s">
        <v>3799</v>
      </c>
      <c r="AS1204" s="482">
        <v>40997</v>
      </c>
      <c r="AT1204" s="455"/>
      <c r="AU1204" s="455"/>
      <c r="AV1204" s="455"/>
      <c r="AW1204" s="455"/>
      <c r="AX1204" s="455"/>
      <c r="AY1204" s="455"/>
      <c r="AZ1204" s="455"/>
      <c r="BA1204" s="404"/>
      <c r="BB1204" s="404" t="s">
        <v>3147</v>
      </c>
      <c r="BC1204" s="404" t="b">
        <v>1</v>
      </c>
      <c r="BD1204" s="404" t="s">
        <v>3147</v>
      </c>
      <c r="BE1204" s="403"/>
      <c r="BF1204" s="405">
        <v>4</v>
      </c>
      <c r="BG1204" s="405">
        <v>1</v>
      </c>
      <c r="BH1204" s="405">
        <v>6</v>
      </c>
      <c r="BI1204" s="405">
        <v>8</v>
      </c>
      <c r="BJ1204" s="405">
        <v>6</v>
      </c>
      <c r="BK1204" s="405">
        <v>7</v>
      </c>
      <c r="BL1204" s="446"/>
      <c r="BM1204" s="403"/>
      <c r="BN1204" s="404"/>
      <c r="BO1204" s="404"/>
      <c r="BP1204" s="408"/>
      <c r="BQ1204" s="409"/>
      <c r="BR1204" s="410"/>
      <c r="BS1204" s="408">
        <v>0</v>
      </c>
      <c r="BT1204" s="405"/>
      <c r="BU1204" s="418"/>
      <c r="BV1204" s="408"/>
      <c r="BW1204" s="404"/>
      <c r="BX1204" s="403"/>
      <c r="BY1204" s="404"/>
      <c r="BZ1204" s="404"/>
      <c r="CA1204" s="443"/>
      <c r="CB1204" s="409"/>
      <c r="CC1204" s="407"/>
      <c r="CD1204" s="407"/>
      <c r="CE1204" s="407"/>
      <c r="CF1204" s="407"/>
      <c r="CG1204" s="407"/>
      <c r="CH1204" s="407"/>
      <c r="CI1204" s="407"/>
      <c r="CJ1204" s="407"/>
      <c r="CK1204" s="407"/>
      <c r="CL1204" s="407"/>
      <c r="CM1204" s="407"/>
      <c r="CN1204" s="407"/>
      <c r="CO1204" s="407"/>
      <c r="CP1204" s="407"/>
      <c r="CQ1204" s="407"/>
      <c r="CR1204" s="407"/>
      <c r="CS1204" s="407"/>
      <c r="CT1204" s="407"/>
      <c r="CU1204" s="407"/>
      <c r="CV1204" s="407"/>
      <c r="CW1204" s="407"/>
      <c r="CX1204" s="407"/>
      <c r="CY1204" s="407"/>
      <c r="CZ1204" s="407"/>
      <c r="DA1204" s="407"/>
      <c r="DB1204" s="407"/>
      <c r="DC1204" s="407"/>
      <c r="DD1204" s="407"/>
      <c r="DE1204" s="404"/>
      <c r="DF1204" s="404"/>
      <c r="DG1204" s="404"/>
      <c r="DH1204" s="404"/>
      <c r="DI1204" s="404"/>
      <c r="DJ1204" s="404"/>
      <c r="DK1204" s="897"/>
    </row>
    <row r="1205" spans="1:115" ht="25.5" x14ac:dyDescent="0.2">
      <c r="A1205" s="295">
        <v>1201</v>
      </c>
      <c r="B1205" s="390" t="s">
        <v>2858</v>
      </c>
      <c r="C1205" s="390"/>
      <c r="D1205" s="391"/>
      <c r="E1205" s="707" t="s">
        <v>1604</v>
      </c>
      <c r="F1205" s="404" t="s">
        <v>1352</v>
      </c>
      <c r="G1205" s="404" t="s">
        <v>1673</v>
      </c>
      <c r="H1205" s="404" t="s">
        <v>42</v>
      </c>
      <c r="I1205" s="403"/>
      <c r="J1205" s="403"/>
      <c r="K1205" s="403" t="s">
        <v>2240</v>
      </c>
      <c r="L1205" s="403" t="s">
        <v>3799</v>
      </c>
      <c r="M1205" s="403"/>
      <c r="N1205" s="404" t="s">
        <v>3142</v>
      </c>
      <c r="O1205" s="404" t="s">
        <v>827</v>
      </c>
      <c r="P1205" s="404" t="s">
        <v>51</v>
      </c>
      <c r="Q1205" s="403" t="s">
        <v>828</v>
      </c>
      <c r="R1205" s="403" t="s">
        <v>3503</v>
      </c>
      <c r="S1205" s="403" t="s">
        <v>483</v>
      </c>
      <c r="T1205" s="405">
        <v>1</v>
      </c>
      <c r="U1205" s="406">
        <v>7.7720000000000002</v>
      </c>
      <c r="V1205" s="406"/>
      <c r="W1205" s="455"/>
      <c r="X1205" s="405"/>
      <c r="Y1205" s="405">
        <v>7</v>
      </c>
      <c r="Z1205" s="405">
        <v>7</v>
      </c>
      <c r="AA1205" s="406">
        <v>2.38</v>
      </c>
      <c r="AB1205" s="456">
        <v>41275</v>
      </c>
      <c r="AC1205" s="407">
        <v>0</v>
      </c>
      <c r="AD1205" s="407">
        <v>62.197293150684935</v>
      </c>
      <c r="AE1205" s="404" t="s">
        <v>133</v>
      </c>
      <c r="AF1205" s="418"/>
      <c r="AG1205" s="418"/>
      <c r="AH1205" s="418"/>
      <c r="AI1205" s="405"/>
      <c r="AJ1205" s="455"/>
      <c r="AK1205" s="455"/>
      <c r="AL1205" s="404"/>
      <c r="AM1205" s="404"/>
      <c r="AN1205" s="418"/>
      <c r="AO1205" s="403"/>
      <c r="AP1205" s="403" t="s">
        <v>55</v>
      </c>
      <c r="AQ1205" s="403"/>
      <c r="AR1205" s="403" t="s">
        <v>3799</v>
      </c>
      <c r="AS1205" s="482">
        <v>40997</v>
      </c>
      <c r="AT1205" s="455"/>
      <c r="AU1205" s="455"/>
      <c r="AV1205" s="455"/>
      <c r="AW1205" s="455"/>
      <c r="AX1205" s="455"/>
      <c r="AY1205" s="455"/>
      <c r="AZ1205" s="455"/>
      <c r="BA1205" s="404"/>
      <c r="BB1205" s="404"/>
      <c r="BC1205" s="404" t="b">
        <v>0</v>
      </c>
      <c r="BD1205" s="404"/>
      <c r="BE1205" s="403"/>
      <c r="BF1205" s="405">
        <v>4</v>
      </c>
      <c r="BG1205" s="405">
        <v>1</v>
      </c>
      <c r="BH1205" s="405">
        <v>6</v>
      </c>
      <c r="BI1205" s="405">
        <v>8</v>
      </c>
      <c r="BJ1205" s="405">
        <v>6</v>
      </c>
      <c r="BK1205" s="405">
        <v>7</v>
      </c>
      <c r="BL1205" s="446" t="s">
        <v>6981</v>
      </c>
      <c r="BM1205" s="403"/>
      <c r="BN1205" s="404"/>
      <c r="BO1205" s="404"/>
      <c r="BP1205" s="408"/>
      <c r="BQ1205" s="409"/>
      <c r="BR1205" s="410"/>
      <c r="BS1205" s="408"/>
      <c r="BT1205" s="405"/>
      <c r="BU1205" s="418"/>
      <c r="BV1205" s="408"/>
      <c r="BW1205" s="404" t="s">
        <v>3117</v>
      </c>
      <c r="BX1205" s="403" t="s">
        <v>4364</v>
      </c>
      <c r="BY1205" s="404" t="s">
        <v>7224</v>
      </c>
      <c r="BZ1205" s="404"/>
      <c r="CA1205" s="443"/>
      <c r="CB1205" s="409"/>
      <c r="CC1205" s="407"/>
      <c r="CD1205" s="407"/>
      <c r="CE1205" s="407"/>
      <c r="CF1205" s="407"/>
      <c r="CG1205" s="407"/>
      <c r="CH1205" s="407"/>
      <c r="CI1205" s="407">
        <v>0.56000000000000005</v>
      </c>
      <c r="CJ1205" s="407">
        <v>1.68</v>
      </c>
      <c r="CK1205" s="407">
        <v>3.36</v>
      </c>
      <c r="CL1205" s="407">
        <v>5.74</v>
      </c>
      <c r="CM1205" s="407">
        <v>9.2200000000000006</v>
      </c>
      <c r="CN1205" s="407">
        <v>13.92</v>
      </c>
      <c r="CO1205" s="407">
        <v>19.93</v>
      </c>
      <c r="CP1205" s="407"/>
      <c r="CQ1205" s="407"/>
      <c r="CR1205" s="407"/>
      <c r="CS1205" s="407"/>
      <c r="CT1205" s="407"/>
      <c r="CU1205" s="407"/>
      <c r="CV1205" s="407"/>
      <c r="CW1205" s="407"/>
      <c r="CX1205" s="407"/>
      <c r="CY1205" s="407"/>
      <c r="CZ1205" s="407"/>
      <c r="DA1205" s="407"/>
      <c r="DB1205" s="407"/>
      <c r="DC1205" s="407"/>
      <c r="DD1205" s="407"/>
      <c r="DE1205" s="404"/>
      <c r="DF1205" s="404"/>
      <c r="DG1205" s="404"/>
      <c r="DH1205" s="404"/>
      <c r="DI1205" s="404"/>
      <c r="DJ1205" s="404"/>
      <c r="DK1205" s="897"/>
    </row>
    <row r="1206" spans="1:115" ht="51" x14ac:dyDescent="0.2">
      <c r="A1206" s="295">
        <v>1202</v>
      </c>
      <c r="B1206" s="390" t="s">
        <v>1598</v>
      </c>
      <c r="C1206" s="424" t="s">
        <v>7687</v>
      </c>
      <c r="D1206" s="391"/>
      <c r="E1206" s="707" t="s">
        <v>1603</v>
      </c>
      <c r="F1206" s="404" t="s">
        <v>1358</v>
      </c>
      <c r="G1206" s="404" t="s">
        <v>1407</v>
      </c>
      <c r="H1206" s="404" t="s">
        <v>1368</v>
      </c>
      <c r="I1206" s="403"/>
      <c r="J1206" s="403" t="s">
        <v>1368</v>
      </c>
      <c r="K1206" s="403"/>
      <c r="L1206" s="403" t="s">
        <v>1617</v>
      </c>
      <c r="M1206" s="403" t="s">
        <v>3504</v>
      </c>
      <c r="N1206" s="404" t="s">
        <v>3142</v>
      </c>
      <c r="O1206" s="404" t="s">
        <v>289</v>
      </c>
      <c r="P1206" s="404" t="s">
        <v>289</v>
      </c>
      <c r="Q1206" s="403" t="s">
        <v>721</v>
      </c>
      <c r="R1206" s="403"/>
      <c r="S1206" s="403" t="s">
        <v>291</v>
      </c>
      <c r="T1206" s="405">
        <v>1</v>
      </c>
      <c r="U1206" s="406">
        <v>10.106999999999999</v>
      </c>
      <c r="V1206" s="406"/>
      <c r="W1206" s="456">
        <v>40997</v>
      </c>
      <c r="X1206" s="405">
        <v>28</v>
      </c>
      <c r="Y1206" s="405"/>
      <c r="Z1206" s="405"/>
      <c r="AA1206" s="406"/>
      <c r="AB1206" s="455"/>
      <c r="AC1206" s="407">
        <v>0</v>
      </c>
      <c r="AD1206" s="407">
        <v>101.07</v>
      </c>
      <c r="AE1206" s="404" t="s">
        <v>72</v>
      </c>
      <c r="AF1206" s="418"/>
      <c r="AG1206" s="418"/>
      <c r="AH1206" s="418">
        <v>0</v>
      </c>
      <c r="AI1206" s="405"/>
      <c r="AJ1206" s="455"/>
      <c r="AK1206" s="455"/>
      <c r="AL1206" s="404"/>
      <c r="AM1206" s="404"/>
      <c r="AN1206" s="418"/>
      <c r="AO1206" s="403"/>
      <c r="AP1206" s="403" t="s">
        <v>7084</v>
      </c>
      <c r="AQ1206" s="403"/>
      <c r="AR1206" s="403" t="s">
        <v>1617</v>
      </c>
      <c r="AS1206" s="482">
        <v>40997</v>
      </c>
      <c r="AT1206" s="455"/>
      <c r="AU1206" s="455"/>
      <c r="AV1206" s="455"/>
      <c r="AW1206" s="455"/>
      <c r="AX1206" s="455"/>
      <c r="AY1206" s="455"/>
      <c r="AZ1206" s="455"/>
      <c r="BA1206" s="404"/>
      <c r="BB1206" s="404" t="s">
        <v>3147</v>
      </c>
      <c r="BC1206" s="404" t="b">
        <v>1</v>
      </c>
      <c r="BD1206" s="404" t="s">
        <v>3147</v>
      </c>
      <c r="BE1206" s="403"/>
      <c r="BF1206" s="405">
        <v>10</v>
      </c>
      <c r="BG1206" s="405">
        <v>5</v>
      </c>
      <c r="BH1206" s="405">
        <v>7</v>
      </c>
      <c r="BI1206" s="405"/>
      <c r="BJ1206" s="405"/>
      <c r="BK1206" s="405"/>
      <c r="BL1206" s="446"/>
      <c r="BM1206" s="403"/>
      <c r="BN1206" s="404"/>
      <c r="BO1206" s="404"/>
      <c r="BP1206" s="408"/>
      <c r="BQ1206" s="409"/>
      <c r="BR1206" s="410"/>
      <c r="BS1206" s="408">
        <v>3.0230000000000001</v>
      </c>
      <c r="BT1206" s="405"/>
      <c r="BU1206" s="418"/>
      <c r="BV1206" s="408"/>
      <c r="BW1206" s="404"/>
      <c r="BX1206" s="403"/>
      <c r="BY1206" s="404"/>
      <c r="BZ1206" s="404"/>
      <c r="CA1206" s="443"/>
      <c r="CB1206" s="409"/>
      <c r="CC1206" s="407"/>
      <c r="CD1206" s="407"/>
      <c r="CE1206" s="407"/>
      <c r="CF1206" s="407"/>
      <c r="CG1206" s="407"/>
      <c r="CH1206" s="407"/>
      <c r="CI1206" s="407"/>
      <c r="CJ1206" s="407"/>
      <c r="CK1206" s="407"/>
      <c r="CL1206" s="407"/>
      <c r="CM1206" s="407"/>
      <c r="CN1206" s="407"/>
      <c r="CO1206" s="407"/>
      <c r="CP1206" s="407"/>
      <c r="CQ1206" s="407"/>
      <c r="CR1206" s="407"/>
      <c r="CS1206" s="407"/>
      <c r="CT1206" s="407"/>
      <c r="CU1206" s="407"/>
      <c r="CV1206" s="407"/>
      <c r="CW1206" s="407"/>
      <c r="CX1206" s="407"/>
      <c r="CY1206" s="407"/>
      <c r="CZ1206" s="407"/>
      <c r="DA1206" s="407"/>
      <c r="DB1206" s="407"/>
      <c r="DC1206" s="407"/>
      <c r="DD1206" s="407"/>
      <c r="DE1206" s="404"/>
      <c r="DF1206" s="404"/>
      <c r="DG1206" s="404"/>
      <c r="DH1206" s="404"/>
      <c r="DI1206" s="404"/>
      <c r="DJ1206" s="404"/>
      <c r="DK1206" s="897"/>
    </row>
    <row r="1207" spans="1:115" ht="15" x14ac:dyDescent="0.2">
      <c r="A1207" s="295">
        <v>1203</v>
      </c>
      <c r="B1207" s="390" t="s">
        <v>2859</v>
      </c>
      <c r="C1207" s="390"/>
      <c r="D1207" s="391"/>
      <c r="E1207" s="707" t="s">
        <v>1559</v>
      </c>
      <c r="F1207" s="404" t="s">
        <v>1358</v>
      </c>
      <c r="G1207" s="404" t="s">
        <v>1407</v>
      </c>
      <c r="H1207" s="404" t="s">
        <v>1368</v>
      </c>
      <c r="I1207" s="403"/>
      <c r="J1207" s="403"/>
      <c r="K1207" s="403" t="s">
        <v>2231</v>
      </c>
      <c r="L1207" s="403" t="s">
        <v>1617</v>
      </c>
      <c r="M1207" s="403"/>
      <c r="N1207" s="404" t="s">
        <v>3142</v>
      </c>
      <c r="O1207" s="404" t="s">
        <v>289</v>
      </c>
      <c r="P1207" s="404" t="s">
        <v>289</v>
      </c>
      <c r="Q1207" s="403" t="s">
        <v>721</v>
      </c>
      <c r="R1207" s="403" t="s">
        <v>3505</v>
      </c>
      <c r="S1207" s="403" t="s">
        <v>291</v>
      </c>
      <c r="T1207" s="405">
        <v>1</v>
      </c>
      <c r="U1207" s="406">
        <v>10.106999999999999</v>
      </c>
      <c r="V1207" s="406"/>
      <c r="W1207" s="455"/>
      <c r="X1207" s="405"/>
      <c r="Y1207" s="405">
        <v>10</v>
      </c>
      <c r="Z1207" s="405">
        <v>23</v>
      </c>
      <c r="AA1207" s="406">
        <v>0</v>
      </c>
      <c r="AB1207" s="456">
        <v>42095</v>
      </c>
      <c r="AC1207" s="407">
        <v>0</v>
      </c>
      <c r="AD1207" s="407">
        <v>101.07</v>
      </c>
      <c r="AE1207" s="404" t="s">
        <v>72</v>
      </c>
      <c r="AF1207" s="418"/>
      <c r="AG1207" s="418"/>
      <c r="AH1207" s="418"/>
      <c r="AI1207" s="405"/>
      <c r="AJ1207" s="455"/>
      <c r="AK1207" s="455"/>
      <c r="AL1207" s="404"/>
      <c r="AM1207" s="404"/>
      <c r="AN1207" s="418"/>
      <c r="AO1207" s="403"/>
      <c r="AP1207" s="403" t="s">
        <v>7084</v>
      </c>
      <c r="AQ1207" s="403"/>
      <c r="AR1207" s="403" t="s">
        <v>1617</v>
      </c>
      <c r="AS1207" s="482">
        <v>40997</v>
      </c>
      <c r="AT1207" s="455"/>
      <c r="AU1207" s="455"/>
      <c r="AV1207" s="455"/>
      <c r="AW1207" s="455"/>
      <c r="AX1207" s="455"/>
      <c r="AY1207" s="455"/>
      <c r="AZ1207" s="455"/>
      <c r="BA1207" s="404"/>
      <c r="BB1207" s="404"/>
      <c r="BC1207" s="404" t="b">
        <v>0</v>
      </c>
      <c r="BD1207" s="404"/>
      <c r="BE1207" s="403"/>
      <c r="BF1207" s="405">
        <v>10</v>
      </c>
      <c r="BG1207" s="405">
        <v>5</v>
      </c>
      <c r="BH1207" s="405">
        <v>7</v>
      </c>
      <c r="BI1207" s="405"/>
      <c r="BJ1207" s="405"/>
      <c r="BK1207" s="405"/>
      <c r="BL1207" s="446" t="s">
        <v>6981</v>
      </c>
      <c r="BM1207" s="403"/>
      <c r="BN1207" s="404"/>
      <c r="BO1207" s="404"/>
      <c r="BP1207" s="408"/>
      <c r="BQ1207" s="409"/>
      <c r="BR1207" s="410"/>
      <c r="BS1207" s="408">
        <v>3.0230000000000001</v>
      </c>
      <c r="BT1207" s="405">
        <v>10411</v>
      </c>
      <c r="BU1207" s="418">
        <v>0.96799999999999997</v>
      </c>
      <c r="BV1207" s="408"/>
      <c r="BW1207" s="404" t="s">
        <v>3117</v>
      </c>
      <c r="BX1207" s="403" t="s">
        <v>4364</v>
      </c>
      <c r="BY1207" s="404" t="s">
        <v>7224</v>
      </c>
      <c r="BZ1207" s="404"/>
      <c r="CA1207" s="443"/>
      <c r="CB1207" s="409"/>
      <c r="CC1207" s="407"/>
      <c r="CD1207" s="407"/>
      <c r="CE1207" s="407"/>
      <c r="CF1207" s="407"/>
      <c r="CG1207" s="407"/>
      <c r="CH1207" s="407"/>
      <c r="CI1207" s="407"/>
      <c r="CJ1207" s="407"/>
      <c r="CK1207" s="407">
        <v>10.106999999999999</v>
      </c>
      <c r="CL1207" s="407">
        <v>10.106999999999999</v>
      </c>
      <c r="CM1207" s="407">
        <v>10.106999999999999</v>
      </c>
      <c r="CN1207" s="407">
        <v>10.106999999999999</v>
      </c>
      <c r="CO1207" s="407">
        <v>10.106999999999999</v>
      </c>
      <c r="CP1207" s="407">
        <v>10.106999999999999</v>
      </c>
      <c r="CQ1207" s="407">
        <v>10.106999999999999</v>
      </c>
      <c r="CR1207" s="407">
        <v>10.106999999999999</v>
      </c>
      <c r="CS1207" s="407">
        <v>10.106999999999999</v>
      </c>
      <c r="CT1207" s="407">
        <v>10.106999999999999</v>
      </c>
      <c r="CU1207" s="407"/>
      <c r="CV1207" s="407"/>
      <c r="CW1207" s="407"/>
      <c r="CX1207" s="407"/>
      <c r="CY1207" s="407"/>
      <c r="CZ1207" s="407"/>
      <c r="DA1207" s="407"/>
      <c r="DB1207" s="407"/>
      <c r="DC1207" s="407"/>
      <c r="DD1207" s="407"/>
      <c r="DE1207" s="404"/>
      <c r="DF1207" s="404"/>
      <c r="DG1207" s="404"/>
      <c r="DH1207" s="404"/>
      <c r="DI1207" s="404"/>
      <c r="DJ1207" s="404"/>
      <c r="DK1207" s="897"/>
    </row>
    <row r="1208" spans="1:115" ht="63.75" x14ac:dyDescent="0.2">
      <c r="A1208" s="295">
        <v>1204</v>
      </c>
      <c r="B1208" s="390" t="s">
        <v>1599</v>
      </c>
      <c r="C1208" s="424" t="s">
        <v>7688</v>
      </c>
      <c r="D1208" s="391" t="s">
        <v>5178</v>
      </c>
      <c r="E1208" s="704" t="s">
        <v>1998</v>
      </c>
      <c r="F1208" s="475" t="s">
        <v>1408</v>
      </c>
      <c r="G1208" s="393" t="s">
        <v>1671</v>
      </c>
      <c r="H1208" s="393" t="s">
        <v>117</v>
      </c>
      <c r="I1208" s="392"/>
      <c r="J1208" s="392" t="s">
        <v>117</v>
      </c>
      <c r="K1208" s="392"/>
      <c r="L1208" s="392" t="s">
        <v>1619</v>
      </c>
      <c r="M1208" s="392" t="s">
        <v>3506</v>
      </c>
      <c r="N1208" s="393" t="s">
        <v>44</v>
      </c>
      <c r="O1208" s="393" t="s">
        <v>827</v>
      </c>
      <c r="P1208" s="393" t="s">
        <v>827</v>
      </c>
      <c r="Q1208" s="392" t="s">
        <v>836</v>
      </c>
      <c r="R1208" s="392"/>
      <c r="S1208" s="392" t="s">
        <v>291</v>
      </c>
      <c r="T1208" s="394">
        <v>1</v>
      </c>
      <c r="U1208" s="395">
        <v>14.449</v>
      </c>
      <c r="V1208" s="395"/>
      <c r="W1208" s="452">
        <v>41000</v>
      </c>
      <c r="X1208" s="394">
        <v>28</v>
      </c>
      <c r="Y1208" s="394"/>
      <c r="Z1208" s="394"/>
      <c r="AA1208" s="395"/>
      <c r="AB1208" s="453"/>
      <c r="AC1208" s="398">
        <v>0</v>
      </c>
      <c r="AD1208" s="398">
        <v>115.63158630136986</v>
      </c>
      <c r="AE1208" s="393" t="s">
        <v>147</v>
      </c>
      <c r="AF1208" s="417"/>
      <c r="AG1208" s="417"/>
      <c r="AH1208" s="417">
        <v>0</v>
      </c>
      <c r="AI1208" s="394"/>
      <c r="AJ1208" s="453"/>
      <c r="AK1208" s="453"/>
      <c r="AL1208" s="393"/>
      <c r="AM1208" s="393"/>
      <c r="AN1208" s="417"/>
      <c r="AO1208" s="392"/>
      <c r="AP1208" s="392" t="s">
        <v>7065</v>
      </c>
      <c r="AQ1208" s="392"/>
      <c r="AR1208" s="392" t="s">
        <v>3786</v>
      </c>
      <c r="AS1208" s="479">
        <v>40998</v>
      </c>
      <c r="AT1208" s="453"/>
      <c r="AU1208" s="453"/>
      <c r="AV1208" s="452">
        <v>41214</v>
      </c>
      <c r="AW1208" s="452">
        <v>41235</v>
      </c>
      <c r="AX1208" s="452">
        <v>41265</v>
      </c>
      <c r="AY1208" s="452">
        <v>41236</v>
      </c>
      <c r="AZ1208" s="453"/>
      <c r="BA1208" s="393"/>
      <c r="BB1208" s="393" t="s">
        <v>3147</v>
      </c>
      <c r="BC1208" s="393" t="b">
        <v>1</v>
      </c>
      <c r="BD1208" s="393" t="s">
        <v>3147</v>
      </c>
      <c r="BE1208" s="392"/>
      <c r="BF1208" s="394">
        <v>10</v>
      </c>
      <c r="BG1208" s="394">
        <v>11</v>
      </c>
      <c r="BH1208" s="394"/>
      <c r="BI1208" s="394"/>
      <c r="BJ1208" s="394"/>
      <c r="BK1208" s="394"/>
      <c r="BL1208" s="444"/>
      <c r="BM1208" s="392"/>
      <c r="BN1208" s="393"/>
      <c r="BO1208" s="393"/>
      <c r="BP1208" s="399"/>
      <c r="BQ1208" s="400"/>
      <c r="BR1208" s="401"/>
      <c r="BS1208" s="399">
        <v>10</v>
      </c>
      <c r="BT1208" s="394"/>
      <c r="BU1208" s="417"/>
      <c r="BV1208" s="399"/>
      <c r="BW1208" s="393"/>
      <c r="BX1208" s="392"/>
      <c r="BY1208" s="475" t="s">
        <v>7227</v>
      </c>
      <c r="BZ1208" s="393"/>
      <c r="CA1208" s="441"/>
      <c r="CB1208" s="400"/>
      <c r="CC1208" s="398"/>
      <c r="CD1208" s="398"/>
      <c r="CE1208" s="398"/>
      <c r="CF1208" s="398"/>
      <c r="CG1208" s="398"/>
      <c r="CH1208" s="398"/>
      <c r="CI1208" s="398"/>
      <c r="CJ1208" s="398"/>
      <c r="CK1208" s="398"/>
      <c r="CL1208" s="398"/>
      <c r="CM1208" s="398"/>
      <c r="CN1208" s="398"/>
      <c r="CO1208" s="398"/>
      <c r="CP1208" s="398"/>
      <c r="CQ1208" s="398"/>
      <c r="CR1208" s="398"/>
      <c r="CS1208" s="398"/>
      <c r="CT1208" s="398"/>
      <c r="CU1208" s="398"/>
      <c r="CV1208" s="398"/>
      <c r="CW1208" s="398"/>
      <c r="CX1208" s="398"/>
      <c r="CY1208" s="398"/>
      <c r="CZ1208" s="398"/>
      <c r="DA1208" s="398"/>
      <c r="DB1208" s="398"/>
      <c r="DC1208" s="398"/>
      <c r="DD1208" s="398"/>
      <c r="DE1208" s="393"/>
      <c r="DF1208" s="393"/>
      <c r="DG1208" s="393"/>
      <c r="DH1208" s="393"/>
      <c r="DI1208" s="393"/>
      <c r="DJ1208" s="393"/>
      <c r="DK1208" s="896" t="s">
        <v>9700</v>
      </c>
    </row>
    <row r="1209" spans="1:115" ht="25.5" x14ac:dyDescent="0.2">
      <c r="A1209" s="295">
        <v>1205</v>
      </c>
      <c r="B1209" s="390" t="s">
        <v>2860</v>
      </c>
      <c r="C1209" s="390"/>
      <c r="D1209" s="391" t="s">
        <v>4399</v>
      </c>
      <c r="E1209" s="704" t="s">
        <v>1618</v>
      </c>
      <c r="F1209" s="393" t="s">
        <v>1352</v>
      </c>
      <c r="G1209" s="393" t="s">
        <v>1671</v>
      </c>
      <c r="H1209" s="393" t="s">
        <v>117</v>
      </c>
      <c r="I1209" s="392"/>
      <c r="J1209" s="392"/>
      <c r="K1209" s="392" t="s">
        <v>2241</v>
      </c>
      <c r="L1209" s="392" t="s">
        <v>1619</v>
      </c>
      <c r="M1209" s="392"/>
      <c r="N1209" s="393" t="s">
        <v>44</v>
      </c>
      <c r="O1209" s="393" t="s">
        <v>827</v>
      </c>
      <c r="P1209" s="393" t="s">
        <v>827</v>
      </c>
      <c r="Q1209" s="392" t="s">
        <v>836</v>
      </c>
      <c r="R1209" s="392" t="s">
        <v>3507</v>
      </c>
      <c r="S1209" s="392" t="s">
        <v>291</v>
      </c>
      <c r="T1209" s="394">
        <v>1</v>
      </c>
      <c r="U1209" s="395">
        <v>14.449</v>
      </c>
      <c r="V1209" s="395"/>
      <c r="W1209" s="453"/>
      <c r="X1209" s="394"/>
      <c r="Y1209" s="394">
        <v>7</v>
      </c>
      <c r="Z1209" s="394">
        <v>25</v>
      </c>
      <c r="AA1209" s="395">
        <v>7</v>
      </c>
      <c r="AB1209" s="452">
        <v>41275</v>
      </c>
      <c r="AC1209" s="398"/>
      <c r="AD1209" s="398">
        <v>115.63158630136986</v>
      </c>
      <c r="AE1209" s="393" t="s">
        <v>147</v>
      </c>
      <c r="AF1209" s="417"/>
      <c r="AG1209" s="417"/>
      <c r="AH1209" s="417"/>
      <c r="AI1209" s="394"/>
      <c r="AJ1209" s="453"/>
      <c r="AK1209" s="453"/>
      <c r="AL1209" s="393"/>
      <c r="AM1209" s="393"/>
      <c r="AN1209" s="417"/>
      <c r="AO1209" s="392"/>
      <c r="AP1209" s="392" t="s">
        <v>7065</v>
      </c>
      <c r="AQ1209" s="392"/>
      <c r="AR1209" s="392" t="s">
        <v>3786</v>
      </c>
      <c r="AS1209" s="479">
        <v>40998</v>
      </c>
      <c r="AT1209" s="453"/>
      <c r="AU1209" s="453"/>
      <c r="AV1209" s="453"/>
      <c r="AW1209" s="453"/>
      <c r="AX1209" s="453"/>
      <c r="AY1209" s="453"/>
      <c r="AZ1209" s="452">
        <v>41236</v>
      </c>
      <c r="BA1209" s="393"/>
      <c r="BB1209" s="393"/>
      <c r="BC1209" s="393" t="b">
        <v>0</v>
      </c>
      <c r="BD1209" s="393"/>
      <c r="BE1209" s="392"/>
      <c r="BF1209" s="394">
        <v>1</v>
      </c>
      <c r="BG1209" s="394">
        <v>5</v>
      </c>
      <c r="BH1209" s="394">
        <v>10</v>
      </c>
      <c r="BI1209" s="394">
        <v>5</v>
      </c>
      <c r="BJ1209" s="394">
        <v>11</v>
      </c>
      <c r="BK1209" s="394"/>
      <c r="BL1209" s="444" t="s">
        <v>6981</v>
      </c>
      <c r="BM1209" s="392"/>
      <c r="BN1209" s="393"/>
      <c r="BO1209" s="393"/>
      <c r="BP1209" s="399"/>
      <c r="BQ1209" s="400"/>
      <c r="BR1209" s="401"/>
      <c r="BS1209" s="399">
        <v>10</v>
      </c>
      <c r="BT1209" s="394">
        <v>16120</v>
      </c>
      <c r="BU1209" s="417">
        <v>0.89634999999999998</v>
      </c>
      <c r="BV1209" s="399"/>
      <c r="BW1209" s="393" t="s">
        <v>3117</v>
      </c>
      <c r="BX1209" s="392"/>
      <c r="BY1209" s="475" t="s">
        <v>7227</v>
      </c>
      <c r="BZ1209" s="393"/>
      <c r="CA1209" s="441"/>
      <c r="CB1209" s="400"/>
      <c r="CC1209" s="398"/>
      <c r="CD1209" s="398"/>
      <c r="CE1209" s="398"/>
      <c r="CF1209" s="398"/>
      <c r="CG1209" s="398"/>
      <c r="CH1209" s="398">
        <v>6.02</v>
      </c>
      <c r="CI1209" s="398">
        <v>14.449</v>
      </c>
      <c r="CJ1209" s="398">
        <v>14.449</v>
      </c>
      <c r="CK1209" s="398">
        <v>14.449</v>
      </c>
      <c r="CL1209" s="398">
        <v>14.449</v>
      </c>
      <c r="CM1209" s="398">
        <v>14.449</v>
      </c>
      <c r="CN1209" s="398">
        <v>14.449</v>
      </c>
      <c r="CO1209" s="398">
        <v>8.4290000000000003</v>
      </c>
      <c r="CP1209" s="398"/>
      <c r="CQ1209" s="398"/>
      <c r="CR1209" s="398"/>
      <c r="CS1209" s="398"/>
      <c r="CT1209" s="398"/>
      <c r="CU1209" s="398"/>
      <c r="CV1209" s="398"/>
      <c r="CW1209" s="398"/>
      <c r="CX1209" s="398"/>
      <c r="CY1209" s="398"/>
      <c r="CZ1209" s="398"/>
      <c r="DA1209" s="398"/>
      <c r="DB1209" s="398"/>
      <c r="DC1209" s="398"/>
      <c r="DD1209" s="398"/>
      <c r="DE1209" s="393"/>
      <c r="DF1209" s="393"/>
      <c r="DG1209" s="393"/>
      <c r="DH1209" s="393"/>
      <c r="DI1209" s="393"/>
      <c r="DJ1209" s="393"/>
      <c r="DK1209" s="897"/>
    </row>
    <row r="1210" spans="1:115" ht="63.75" x14ac:dyDescent="0.2">
      <c r="A1210" s="295">
        <v>1206</v>
      </c>
      <c r="B1210" s="390" t="s">
        <v>1600</v>
      </c>
      <c r="C1210" s="424" t="s">
        <v>7689</v>
      </c>
      <c r="D1210" s="391"/>
      <c r="E1210" s="708" t="s">
        <v>676</v>
      </c>
      <c r="F1210" s="404" t="s">
        <v>1340</v>
      </c>
      <c r="G1210" s="404" t="s">
        <v>1677</v>
      </c>
      <c r="H1210" s="404" t="s">
        <v>667</v>
      </c>
      <c r="I1210" s="403"/>
      <c r="J1210" s="403" t="s">
        <v>667</v>
      </c>
      <c r="K1210" s="403"/>
      <c r="L1210" s="403" t="s">
        <v>3800</v>
      </c>
      <c r="M1210" s="403" t="s">
        <v>3508</v>
      </c>
      <c r="N1210" s="459" t="s">
        <v>7359</v>
      </c>
      <c r="O1210" s="404" t="s">
        <v>669</v>
      </c>
      <c r="P1210" s="404" t="s">
        <v>669</v>
      </c>
      <c r="Q1210" s="403" t="s">
        <v>670</v>
      </c>
      <c r="R1210" s="403"/>
      <c r="S1210" s="486" t="s">
        <v>7358</v>
      </c>
      <c r="T1210" s="405"/>
      <c r="U1210" s="406"/>
      <c r="V1210" s="406"/>
      <c r="W1210" s="456">
        <v>40485</v>
      </c>
      <c r="X1210" s="405">
        <v>28</v>
      </c>
      <c r="Y1210" s="405"/>
      <c r="Z1210" s="405"/>
      <c r="AA1210" s="406"/>
      <c r="AB1210" s="455"/>
      <c r="AC1210" s="407"/>
      <c r="AD1210" s="407"/>
      <c r="AE1210" s="404" t="s">
        <v>225</v>
      </c>
      <c r="AF1210" s="418"/>
      <c r="AG1210" s="418"/>
      <c r="AH1210" s="418"/>
      <c r="AI1210" s="405"/>
      <c r="AJ1210" s="455"/>
      <c r="AK1210" s="455"/>
      <c r="AL1210" s="404"/>
      <c r="AM1210" s="404"/>
      <c r="AN1210" s="418"/>
      <c r="AO1210" s="403"/>
      <c r="AP1210" s="403" t="s">
        <v>55</v>
      </c>
      <c r="AQ1210" s="403"/>
      <c r="AR1210" s="403" t="s">
        <v>3800</v>
      </c>
      <c r="AS1210" s="482">
        <v>40486</v>
      </c>
      <c r="AT1210" s="482">
        <v>40998</v>
      </c>
      <c r="AU1210" s="487" t="s">
        <v>675</v>
      </c>
      <c r="AV1210" s="455"/>
      <c r="AW1210" s="455"/>
      <c r="AX1210" s="455"/>
      <c r="AY1210" s="455"/>
      <c r="AZ1210" s="455"/>
      <c r="BA1210" s="404"/>
      <c r="BB1210" s="404" t="s">
        <v>3116</v>
      </c>
      <c r="BC1210" s="404" t="b">
        <v>0</v>
      </c>
      <c r="BD1210" s="404" t="s">
        <v>3116</v>
      </c>
      <c r="BE1210" s="403"/>
      <c r="BF1210" s="405">
        <v>1</v>
      </c>
      <c r="BG1210" s="405">
        <v>6</v>
      </c>
      <c r="BH1210" s="405">
        <v>11</v>
      </c>
      <c r="BI1210" s="405">
        <v>9</v>
      </c>
      <c r="BJ1210" s="405"/>
      <c r="BK1210" s="405"/>
      <c r="BL1210" s="446"/>
      <c r="BM1210" s="403"/>
      <c r="BN1210" s="404"/>
      <c r="BO1210" s="404"/>
      <c r="BP1210" s="408"/>
      <c r="BQ1210" s="409"/>
      <c r="BR1210" s="410"/>
      <c r="BS1210" s="408"/>
      <c r="BT1210" s="405"/>
      <c r="BU1210" s="418"/>
      <c r="BV1210" s="408"/>
      <c r="BW1210" s="404"/>
      <c r="BX1210" s="403"/>
      <c r="BY1210" s="404"/>
      <c r="BZ1210" s="404"/>
      <c r="CA1210" s="443"/>
      <c r="CB1210" s="409"/>
      <c r="CC1210" s="407"/>
      <c r="CD1210" s="407"/>
      <c r="CE1210" s="407"/>
      <c r="CF1210" s="407"/>
      <c r="CG1210" s="407"/>
      <c r="CH1210" s="407"/>
      <c r="CI1210" s="407"/>
      <c r="CJ1210" s="407"/>
      <c r="CK1210" s="407"/>
      <c r="CL1210" s="407"/>
      <c r="CM1210" s="407"/>
      <c r="CN1210" s="407"/>
      <c r="CO1210" s="407"/>
      <c r="CP1210" s="407"/>
      <c r="CQ1210" s="407"/>
      <c r="CR1210" s="407"/>
      <c r="CS1210" s="407"/>
      <c r="CT1210" s="407"/>
      <c r="CU1210" s="407"/>
      <c r="CV1210" s="407"/>
      <c r="CW1210" s="407"/>
      <c r="CX1210" s="407"/>
      <c r="CY1210" s="407"/>
      <c r="CZ1210" s="407"/>
      <c r="DA1210" s="407"/>
      <c r="DB1210" s="407"/>
      <c r="DC1210" s="407"/>
      <c r="DD1210" s="407"/>
      <c r="DE1210" s="404"/>
      <c r="DF1210" s="404"/>
      <c r="DG1210" s="404"/>
      <c r="DH1210" s="404"/>
      <c r="DI1210" s="404"/>
      <c r="DJ1210" s="404"/>
      <c r="DK1210" s="897"/>
    </row>
    <row r="1211" spans="1:115" ht="25.5" x14ac:dyDescent="0.2">
      <c r="A1211" s="295">
        <v>1207</v>
      </c>
      <c r="B1211" s="390" t="s">
        <v>2861</v>
      </c>
      <c r="C1211" s="390"/>
      <c r="D1211" s="391"/>
      <c r="E1211" s="707" t="s">
        <v>1620</v>
      </c>
      <c r="F1211" s="404" t="s">
        <v>1340</v>
      </c>
      <c r="G1211" s="404" t="s">
        <v>1677</v>
      </c>
      <c r="H1211" s="404" t="s">
        <v>667</v>
      </c>
      <c r="I1211" s="403"/>
      <c r="J1211" s="403"/>
      <c r="K1211" s="403" t="s">
        <v>2242</v>
      </c>
      <c r="L1211" s="403" t="s">
        <v>3800</v>
      </c>
      <c r="M1211" s="403"/>
      <c r="N1211" s="459" t="s">
        <v>7359</v>
      </c>
      <c r="O1211" s="404" t="s">
        <v>669</v>
      </c>
      <c r="P1211" s="404" t="s">
        <v>669</v>
      </c>
      <c r="Q1211" s="403" t="s">
        <v>670</v>
      </c>
      <c r="R1211" s="403" t="s">
        <v>3509</v>
      </c>
      <c r="S1211" s="486" t="s">
        <v>7358</v>
      </c>
      <c r="T1211" s="405">
        <v>1</v>
      </c>
      <c r="U1211" s="406">
        <v>0.29099999999999998</v>
      </c>
      <c r="V1211" s="406"/>
      <c r="W1211" s="455"/>
      <c r="X1211" s="405"/>
      <c r="Y1211" s="405">
        <v>10</v>
      </c>
      <c r="Z1211" s="405">
        <v>10</v>
      </c>
      <c r="AA1211" s="406">
        <v>0</v>
      </c>
      <c r="AB1211" s="456">
        <v>41091</v>
      </c>
      <c r="AC1211" s="407">
        <v>0.10663599999999999</v>
      </c>
      <c r="AD1211" s="407">
        <v>2.9099999999999997</v>
      </c>
      <c r="AE1211" s="404" t="s">
        <v>225</v>
      </c>
      <c r="AF1211" s="418"/>
      <c r="AG1211" s="418"/>
      <c r="AH1211" s="418"/>
      <c r="AI1211" s="405"/>
      <c r="AJ1211" s="455"/>
      <c r="AK1211" s="455"/>
      <c r="AL1211" s="404"/>
      <c r="AM1211" s="404"/>
      <c r="AN1211" s="418"/>
      <c r="AO1211" s="403"/>
      <c r="AP1211" s="403" t="s">
        <v>55</v>
      </c>
      <c r="AQ1211" s="403"/>
      <c r="AR1211" s="403" t="s">
        <v>3800</v>
      </c>
      <c r="AS1211" s="482">
        <v>40486</v>
      </c>
      <c r="AT1211" s="482">
        <v>40998</v>
      </c>
      <c r="AU1211" s="487" t="s">
        <v>2647</v>
      </c>
      <c r="AV1211" s="455"/>
      <c r="AW1211" s="455"/>
      <c r="AX1211" s="455"/>
      <c r="AY1211" s="455"/>
      <c r="AZ1211" s="455"/>
      <c r="BA1211" s="404"/>
      <c r="BB1211" s="404"/>
      <c r="BC1211" s="404" t="b">
        <v>0</v>
      </c>
      <c r="BD1211" s="404"/>
      <c r="BE1211" s="403"/>
      <c r="BF1211" s="405">
        <v>1</v>
      </c>
      <c r="BG1211" s="405">
        <v>6</v>
      </c>
      <c r="BH1211" s="405">
        <v>11</v>
      </c>
      <c r="BI1211" s="405">
        <v>9</v>
      </c>
      <c r="BJ1211" s="405"/>
      <c r="BK1211" s="405"/>
      <c r="BL1211" s="446" t="s">
        <v>6982</v>
      </c>
      <c r="BM1211" s="403" t="s">
        <v>3510</v>
      </c>
      <c r="BN1211" s="404" t="s">
        <v>3511</v>
      </c>
      <c r="BO1211" s="404" t="s">
        <v>3512</v>
      </c>
      <c r="BP1211" s="408" t="s">
        <v>3303</v>
      </c>
      <c r="BQ1211" s="409"/>
      <c r="BR1211" s="410"/>
      <c r="BS1211" s="408"/>
      <c r="BT1211" s="405"/>
      <c r="BU1211" s="418"/>
      <c r="BV1211" s="408"/>
      <c r="BW1211" s="404" t="s">
        <v>3117</v>
      </c>
      <c r="BX1211" s="403" t="s">
        <v>1447</v>
      </c>
      <c r="BY1211" s="404"/>
      <c r="BZ1211" s="404"/>
      <c r="CA1211" s="443" t="s">
        <v>1662</v>
      </c>
      <c r="CB1211" s="409">
        <v>3</v>
      </c>
      <c r="CC1211" s="407"/>
      <c r="CD1211" s="407"/>
      <c r="CE1211" s="407"/>
      <c r="CF1211" s="407"/>
      <c r="CG1211" s="407"/>
      <c r="CH1211" s="407">
        <v>0.106</v>
      </c>
      <c r="CI1211" s="407">
        <v>0.21199999999999999</v>
      </c>
      <c r="CJ1211" s="407">
        <v>0.21199999999999999</v>
      </c>
      <c r="CK1211" s="407">
        <v>0.21199999999999999</v>
      </c>
      <c r="CL1211" s="407">
        <v>0.21199999999999999</v>
      </c>
      <c r="CM1211" s="407">
        <v>0.21199999999999999</v>
      </c>
      <c r="CN1211" s="407">
        <v>0.21199999999999999</v>
      </c>
      <c r="CO1211" s="407">
        <v>0.21199999999999999</v>
      </c>
      <c r="CP1211" s="407">
        <v>0.21199999999999999</v>
      </c>
      <c r="CQ1211" s="407">
        <v>0.21199999999999999</v>
      </c>
      <c r="CR1211" s="407">
        <v>0.21199999999999999</v>
      </c>
      <c r="CS1211" s="407">
        <v>0.106</v>
      </c>
      <c r="CT1211" s="407"/>
      <c r="CU1211" s="407"/>
      <c r="CV1211" s="407"/>
      <c r="CW1211" s="407"/>
      <c r="CX1211" s="407"/>
      <c r="CY1211" s="407"/>
      <c r="CZ1211" s="407"/>
      <c r="DA1211" s="407"/>
      <c r="DB1211" s="407"/>
      <c r="DC1211" s="407"/>
      <c r="DD1211" s="407"/>
      <c r="DE1211" s="404"/>
      <c r="DF1211" s="404"/>
      <c r="DG1211" s="404"/>
      <c r="DH1211" s="404"/>
      <c r="DI1211" s="404"/>
      <c r="DJ1211" s="404"/>
      <c r="DK1211" s="897"/>
    </row>
    <row r="1212" spans="1:115" ht="63.75" x14ac:dyDescent="0.2">
      <c r="A1212" s="295">
        <v>1208</v>
      </c>
      <c r="B1212" s="390" t="s">
        <v>1621</v>
      </c>
      <c r="C1212" s="424" t="s">
        <v>7690</v>
      </c>
      <c r="D1212" s="391" t="s">
        <v>5179</v>
      </c>
      <c r="E1212" s="704" t="s">
        <v>1629</v>
      </c>
      <c r="F1212" s="393" t="s">
        <v>1340</v>
      </c>
      <c r="G1212" s="393" t="s">
        <v>1677</v>
      </c>
      <c r="H1212" s="393" t="s">
        <v>718</v>
      </c>
      <c r="I1212" s="392"/>
      <c r="J1212" s="392" t="s">
        <v>718</v>
      </c>
      <c r="K1212" s="392"/>
      <c r="L1212" s="392" t="s">
        <v>3801</v>
      </c>
      <c r="M1212" s="392" t="s">
        <v>3513</v>
      </c>
      <c r="N1212" s="393" t="s">
        <v>44</v>
      </c>
      <c r="O1212" s="393" t="s">
        <v>827</v>
      </c>
      <c r="P1212" s="393" t="s">
        <v>827</v>
      </c>
      <c r="Q1212" s="392" t="s">
        <v>836</v>
      </c>
      <c r="R1212" s="392"/>
      <c r="S1212" s="392" t="s">
        <v>650</v>
      </c>
      <c r="T1212" s="394">
        <v>1</v>
      </c>
      <c r="U1212" s="395">
        <v>22.83</v>
      </c>
      <c r="V1212" s="395"/>
      <c r="W1212" s="452">
        <v>40896</v>
      </c>
      <c r="X1212" s="394">
        <v>28</v>
      </c>
      <c r="Y1212" s="394"/>
      <c r="Z1212" s="394"/>
      <c r="AA1212" s="395"/>
      <c r="AB1212" s="453"/>
      <c r="AC1212" s="398">
        <v>0</v>
      </c>
      <c r="AD1212" s="398">
        <v>228.29999999999998</v>
      </c>
      <c r="AE1212" s="393" t="s">
        <v>37</v>
      </c>
      <c r="AF1212" s="417"/>
      <c r="AG1212" s="417"/>
      <c r="AH1212" s="417">
        <v>0</v>
      </c>
      <c r="AI1212" s="394"/>
      <c r="AJ1212" s="453"/>
      <c r="AK1212" s="453"/>
      <c r="AL1212" s="393"/>
      <c r="AM1212" s="393"/>
      <c r="AN1212" s="417"/>
      <c r="AO1212" s="392"/>
      <c r="AP1212" s="392" t="s">
        <v>55</v>
      </c>
      <c r="AQ1212" s="392"/>
      <c r="AR1212" s="392" t="s">
        <v>3801</v>
      </c>
      <c r="AS1212" s="479">
        <v>40999</v>
      </c>
      <c r="AT1212" s="453"/>
      <c r="AU1212" s="453"/>
      <c r="AV1212" s="452">
        <v>41117</v>
      </c>
      <c r="AW1212" s="452">
        <v>41186</v>
      </c>
      <c r="AX1212" s="453"/>
      <c r="AY1212" s="452">
        <v>41187</v>
      </c>
      <c r="AZ1212" s="453"/>
      <c r="BA1212" s="393"/>
      <c r="BB1212" s="393" t="s">
        <v>3147</v>
      </c>
      <c r="BC1212" s="393" t="b">
        <v>1</v>
      </c>
      <c r="BD1212" s="393" t="s">
        <v>3147</v>
      </c>
      <c r="BE1212" s="392"/>
      <c r="BF1212" s="394">
        <v>3</v>
      </c>
      <c r="BG1212" s="394">
        <v>11</v>
      </c>
      <c r="BH1212" s="394">
        <v>5</v>
      </c>
      <c r="BI1212" s="394">
        <v>7</v>
      </c>
      <c r="BJ1212" s="394"/>
      <c r="BK1212" s="394"/>
      <c r="BL1212" s="444"/>
      <c r="BM1212" s="392"/>
      <c r="BN1212" s="393"/>
      <c r="BO1212" s="393"/>
      <c r="BP1212" s="399"/>
      <c r="BQ1212" s="400"/>
      <c r="BR1212" s="401"/>
      <c r="BS1212" s="399">
        <v>9</v>
      </c>
      <c r="BT1212" s="394"/>
      <c r="BU1212" s="417"/>
      <c r="BV1212" s="399"/>
      <c r="BW1212" s="393"/>
      <c r="BX1212" s="392"/>
      <c r="BY1212" s="393"/>
      <c r="BZ1212" s="393"/>
      <c r="CA1212" s="441"/>
      <c r="CB1212" s="400"/>
      <c r="CC1212" s="398"/>
      <c r="CD1212" s="398"/>
      <c r="CE1212" s="398"/>
      <c r="CF1212" s="398"/>
      <c r="CG1212" s="398"/>
      <c r="CH1212" s="398"/>
      <c r="CI1212" s="398"/>
      <c r="CJ1212" s="398"/>
      <c r="CK1212" s="398"/>
      <c r="CL1212" s="398"/>
      <c r="CM1212" s="398"/>
      <c r="CN1212" s="398"/>
      <c r="CO1212" s="398"/>
      <c r="CP1212" s="398"/>
      <c r="CQ1212" s="398"/>
      <c r="CR1212" s="398"/>
      <c r="CS1212" s="398"/>
      <c r="CT1212" s="398"/>
      <c r="CU1212" s="398"/>
      <c r="CV1212" s="398"/>
      <c r="CW1212" s="398"/>
      <c r="CX1212" s="398"/>
      <c r="CY1212" s="398"/>
      <c r="CZ1212" s="398"/>
      <c r="DA1212" s="398"/>
      <c r="DB1212" s="398"/>
      <c r="DC1212" s="398"/>
      <c r="DD1212" s="398"/>
      <c r="DE1212" s="393"/>
      <c r="DF1212" s="393"/>
      <c r="DG1212" s="393"/>
      <c r="DH1212" s="393"/>
      <c r="DI1212" s="393"/>
      <c r="DJ1212" s="393"/>
      <c r="DK1212" s="896" t="s">
        <v>9701</v>
      </c>
    </row>
    <row r="1213" spans="1:115" ht="25.5" x14ac:dyDescent="0.2">
      <c r="A1213" s="295">
        <v>1209</v>
      </c>
      <c r="B1213" s="390" t="s">
        <v>2862</v>
      </c>
      <c r="C1213" s="390"/>
      <c r="D1213" s="391" t="s">
        <v>4489</v>
      </c>
      <c r="E1213" s="704" t="s">
        <v>1630</v>
      </c>
      <c r="F1213" s="393" t="s">
        <v>1340</v>
      </c>
      <c r="G1213" s="393" t="s">
        <v>1677</v>
      </c>
      <c r="H1213" s="393" t="s">
        <v>718</v>
      </c>
      <c r="I1213" s="392"/>
      <c r="J1213" s="392"/>
      <c r="K1213" s="392" t="s">
        <v>1770</v>
      </c>
      <c r="L1213" s="392" t="s">
        <v>3801</v>
      </c>
      <c r="M1213" s="392"/>
      <c r="N1213" s="393" t="s">
        <v>44</v>
      </c>
      <c r="O1213" s="393" t="s">
        <v>827</v>
      </c>
      <c r="P1213" s="393" t="s">
        <v>827</v>
      </c>
      <c r="Q1213" s="392" t="s">
        <v>836</v>
      </c>
      <c r="R1213" s="392" t="s">
        <v>3514</v>
      </c>
      <c r="S1213" s="392" t="s">
        <v>650</v>
      </c>
      <c r="T1213" s="394">
        <v>1</v>
      </c>
      <c r="U1213" s="395">
        <v>22.83</v>
      </c>
      <c r="V1213" s="395"/>
      <c r="W1213" s="453"/>
      <c r="X1213" s="394"/>
      <c r="Y1213" s="394">
        <v>10</v>
      </c>
      <c r="Z1213" s="394">
        <v>25</v>
      </c>
      <c r="AA1213" s="395">
        <v>-0.1</v>
      </c>
      <c r="AB1213" s="452">
        <v>41640</v>
      </c>
      <c r="AC1213" s="398">
        <v>0</v>
      </c>
      <c r="AD1213" s="398">
        <v>228.29999999999998</v>
      </c>
      <c r="AE1213" s="393" t="s">
        <v>37</v>
      </c>
      <c r="AF1213" s="417"/>
      <c r="AG1213" s="417"/>
      <c r="AH1213" s="417"/>
      <c r="AI1213" s="394"/>
      <c r="AJ1213" s="453"/>
      <c r="AK1213" s="453"/>
      <c r="AL1213" s="393"/>
      <c r="AM1213" s="393"/>
      <c r="AN1213" s="417"/>
      <c r="AO1213" s="392"/>
      <c r="AP1213" s="392" t="s">
        <v>55</v>
      </c>
      <c r="AQ1213" s="392"/>
      <c r="AR1213" s="392" t="s">
        <v>3801</v>
      </c>
      <c r="AS1213" s="479">
        <v>40999</v>
      </c>
      <c r="AT1213" s="453"/>
      <c r="AU1213" s="453"/>
      <c r="AV1213" s="453"/>
      <c r="AW1213" s="453"/>
      <c r="AX1213" s="453"/>
      <c r="AY1213" s="453"/>
      <c r="AZ1213" s="452">
        <v>41187</v>
      </c>
      <c r="BA1213" s="393"/>
      <c r="BB1213" s="393"/>
      <c r="BC1213" s="393" t="b">
        <v>0</v>
      </c>
      <c r="BD1213" s="393"/>
      <c r="BE1213" s="392"/>
      <c r="BF1213" s="394">
        <v>3</v>
      </c>
      <c r="BG1213" s="394">
        <v>11</v>
      </c>
      <c r="BH1213" s="394">
        <v>5</v>
      </c>
      <c r="BI1213" s="394">
        <v>7</v>
      </c>
      <c r="BJ1213" s="394"/>
      <c r="BK1213" s="394"/>
      <c r="BL1213" s="444" t="s">
        <v>6981</v>
      </c>
      <c r="BM1213" s="392"/>
      <c r="BN1213" s="393"/>
      <c r="BO1213" s="393"/>
      <c r="BP1213" s="399"/>
      <c r="BQ1213" s="400"/>
      <c r="BR1213" s="401"/>
      <c r="BS1213" s="399">
        <v>9</v>
      </c>
      <c r="BT1213" s="394">
        <v>27500</v>
      </c>
      <c r="BU1213" s="417">
        <v>0.79874999999999996</v>
      </c>
      <c r="BV1213" s="399"/>
      <c r="BW1213" s="393" t="s">
        <v>3117</v>
      </c>
      <c r="BX1213" s="392" t="s">
        <v>4364</v>
      </c>
      <c r="BY1213" s="393" t="s">
        <v>7225</v>
      </c>
      <c r="BZ1213" s="393"/>
      <c r="CA1213" s="441"/>
      <c r="CB1213" s="400"/>
      <c r="CC1213" s="398"/>
      <c r="CD1213" s="398"/>
      <c r="CE1213" s="398"/>
      <c r="CF1213" s="398"/>
      <c r="CG1213" s="398"/>
      <c r="CH1213" s="398"/>
      <c r="CI1213" s="398">
        <v>10.984999999999999</v>
      </c>
      <c r="CJ1213" s="398">
        <v>21.86</v>
      </c>
      <c r="CK1213" s="398">
        <v>21.751000000000001</v>
      </c>
      <c r="CL1213" s="398">
        <v>21.641999999999999</v>
      </c>
      <c r="CM1213" s="398">
        <v>21.533999999999999</v>
      </c>
      <c r="CN1213" s="398">
        <v>21.425999999999998</v>
      </c>
      <c r="CO1213" s="398">
        <v>21.318999999999999</v>
      </c>
      <c r="CP1213" s="398">
        <v>21.212</v>
      </c>
      <c r="CQ1213" s="398">
        <v>21.106000000000002</v>
      </c>
      <c r="CR1213" s="398">
        <v>21.001000000000001</v>
      </c>
      <c r="CS1213" s="398">
        <v>10.448</v>
      </c>
      <c r="CT1213" s="398"/>
      <c r="CU1213" s="398"/>
      <c r="CV1213" s="398"/>
      <c r="CW1213" s="398"/>
      <c r="CX1213" s="398"/>
      <c r="CY1213" s="398"/>
      <c r="CZ1213" s="398"/>
      <c r="DA1213" s="398"/>
      <c r="DB1213" s="398"/>
      <c r="DC1213" s="398"/>
      <c r="DD1213" s="398"/>
      <c r="DE1213" s="393"/>
      <c r="DF1213" s="393"/>
      <c r="DG1213" s="393"/>
      <c r="DH1213" s="393"/>
      <c r="DI1213" s="393"/>
      <c r="DJ1213" s="393"/>
      <c r="DK1213" s="897"/>
    </row>
    <row r="1214" spans="1:115" ht="51" x14ac:dyDescent="0.2">
      <c r="A1214" s="295">
        <v>1210</v>
      </c>
      <c r="B1214" s="390" t="s">
        <v>1622</v>
      </c>
      <c r="C1214" s="424" t="s">
        <v>7691</v>
      </c>
      <c r="D1214" s="391" t="s">
        <v>5180</v>
      </c>
      <c r="E1214" s="704" t="s">
        <v>1631</v>
      </c>
      <c r="F1214" s="393" t="s">
        <v>1352</v>
      </c>
      <c r="G1214" s="393" t="s">
        <v>1671</v>
      </c>
      <c r="H1214" s="393" t="s">
        <v>117</v>
      </c>
      <c r="I1214" s="392"/>
      <c r="J1214" s="392" t="s">
        <v>196</v>
      </c>
      <c r="K1214" s="392"/>
      <c r="L1214" s="392" t="s">
        <v>1632</v>
      </c>
      <c r="M1214" s="392" t="s">
        <v>4106</v>
      </c>
      <c r="N1214" s="393" t="s">
        <v>44</v>
      </c>
      <c r="O1214" s="393" t="s">
        <v>51</v>
      </c>
      <c r="P1214" s="393" t="s">
        <v>51</v>
      </c>
      <c r="Q1214" s="392" t="s">
        <v>976</v>
      </c>
      <c r="R1214" s="392"/>
      <c r="S1214" s="392" t="s">
        <v>977</v>
      </c>
      <c r="T1214" s="394">
        <v>1</v>
      </c>
      <c r="U1214" s="395">
        <v>9.7159999999999993</v>
      </c>
      <c r="V1214" s="395"/>
      <c r="W1214" s="452">
        <v>41002</v>
      </c>
      <c r="X1214" s="394">
        <v>28</v>
      </c>
      <c r="Y1214" s="394"/>
      <c r="Z1214" s="394"/>
      <c r="AA1214" s="395"/>
      <c r="AB1214" s="453"/>
      <c r="AC1214" s="398">
        <v>4.8579999999999997</v>
      </c>
      <c r="AD1214" s="398">
        <v>77.940953424657522</v>
      </c>
      <c r="AE1214" s="393" t="s">
        <v>72</v>
      </c>
      <c r="AF1214" s="417"/>
      <c r="AG1214" s="417"/>
      <c r="AH1214" s="417">
        <v>0</v>
      </c>
      <c r="AI1214" s="394"/>
      <c r="AJ1214" s="453"/>
      <c r="AK1214" s="453"/>
      <c r="AL1214" s="393"/>
      <c r="AM1214" s="393"/>
      <c r="AN1214" s="417"/>
      <c r="AO1214" s="392"/>
      <c r="AP1214" s="428" t="s">
        <v>8176</v>
      </c>
      <c r="AQ1214" s="392"/>
      <c r="AR1214" s="392" t="s">
        <v>1635</v>
      </c>
      <c r="AS1214" s="479">
        <v>41002</v>
      </c>
      <c r="AT1214" s="453"/>
      <c r="AU1214" s="453"/>
      <c r="AV1214" s="452">
        <v>41061</v>
      </c>
      <c r="AW1214" s="452">
        <v>41268</v>
      </c>
      <c r="AX1214" s="453"/>
      <c r="AY1214" s="452">
        <v>41268</v>
      </c>
      <c r="AZ1214" s="453"/>
      <c r="BA1214" s="393"/>
      <c r="BB1214" s="393" t="s">
        <v>3116</v>
      </c>
      <c r="BC1214" s="393" t="b">
        <v>0</v>
      </c>
      <c r="BD1214" s="393" t="s">
        <v>3147</v>
      </c>
      <c r="BE1214" s="392"/>
      <c r="BF1214" s="394">
        <v>1</v>
      </c>
      <c r="BG1214" s="394">
        <v>6</v>
      </c>
      <c r="BH1214" s="394">
        <v>4</v>
      </c>
      <c r="BI1214" s="394">
        <v>5</v>
      </c>
      <c r="BJ1214" s="394">
        <v>8</v>
      </c>
      <c r="BK1214" s="394">
        <v>7</v>
      </c>
      <c r="BL1214" s="444"/>
      <c r="BM1214" s="392"/>
      <c r="BN1214" s="393"/>
      <c r="BO1214" s="393"/>
      <c r="BP1214" s="399"/>
      <c r="BQ1214" s="400"/>
      <c r="BR1214" s="401"/>
      <c r="BS1214" s="399">
        <v>0</v>
      </c>
      <c r="BT1214" s="394"/>
      <c r="BU1214" s="417"/>
      <c r="BV1214" s="399"/>
      <c r="BW1214" s="393"/>
      <c r="BX1214" s="392"/>
      <c r="BY1214" s="475" t="s">
        <v>7227</v>
      </c>
      <c r="BZ1214" s="393"/>
      <c r="CA1214" s="441"/>
      <c r="CB1214" s="400"/>
      <c r="CC1214" s="398"/>
      <c r="CD1214" s="398"/>
      <c r="CE1214" s="398"/>
      <c r="CF1214" s="398"/>
      <c r="CG1214" s="398"/>
      <c r="CH1214" s="398"/>
      <c r="CI1214" s="398"/>
      <c r="CJ1214" s="398"/>
      <c r="CK1214" s="398"/>
      <c r="CL1214" s="398"/>
      <c r="CM1214" s="398"/>
      <c r="CN1214" s="398"/>
      <c r="CO1214" s="398"/>
      <c r="CP1214" s="398"/>
      <c r="CQ1214" s="398"/>
      <c r="CR1214" s="398"/>
      <c r="CS1214" s="398"/>
      <c r="CT1214" s="398"/>
      <c r="CU1214" s="398"/>
      <c r="CV1214" s="398"/>
      <c r="CW1214" s="398"/>
      <c r="CX1214" s="398"/>
      <c r="CY1214" s="398"/>
      <c r="CZ1214" s="398"/>
      <c r="DA1214" s="398"/>
      <c r="DB1214" s="398"/>
      <c r="DC1214" s="398"/>
      <c r="DD1214" s="398"/>
      <c r="DE1214" s="393"/>
      <c r="DF1214" s="393"/>
      <c r="DG1214" s="393"/>
      <c r="DH1214" s="393"/>
      <c r="DI1214" s="393"/>
      <c r="DJ1214" s="393"/>
      <c r="DK1214" s="896" t="s">
        <v>9711</v>
      </c>
    </row>
    <row r="1215" spans="1:115" ht="38.25" x14ac:dyDescent="0.2">
      <c r="A1215" s="295">
        <v>1211</v>
      </c>
      <c r="B1215" s="390" t="s">
        <v>2863</v>
      </c>
      <c r="C1215" s="390"/>
      <c r="D1215" s="391" t="s">
        <v>4960</v>
      </c>
      <c r="E1215" s="704" t="s">
        <v>1633</v>
      </c>
      <c r="F1215" s="393" t="s">
        <v>1352</v>
      </c>
      <c r="G1215" s="393" t="s">
        <v>1671</v>
      </c>
      <c r="H1215" s="393" t="s">
        <v>117</v>
      </c>
      <c r="I1215" s="392"/>
      <c r="J1215" s="392"/>
      <c r="K1215" s="392" t="s">
        <v>1634</v>
      </c>
      <c r="L1215" s="392" t="s">
        <v>1632</v>
      </c>
      <c r="M1215" s="392"/>
      <c r="N1215" s="393" t="s">
        <v>44</v>
      </c>
      <c r="O1215" s="393" t="s">
        <v>51</v>
      </c>
      <c r="P1215" s="393" t="s">
        <v>51</v>
      </c>
      <c r="Q1215" s="392" t="s">
        <v>976</v>
      </c>
      <c r="R1215" s="392" t="s">
        <v>3515</v>
      </c>
      <c r="S1215" s="392" t="s">
        <v>977</v>
      </c>
      <c r="T1215" s="394">
        <v>1</v>
      </c>
      <c r="U1215" s="395">
        <v>9.7159999999999993</v>
      </c>
      <c r="V1215" s="395"/>
      <c r="W1215" s="453"/>
      <c r="X1215" s="394"/>
      <c r="Y1215" s="394">
        <v>7</v>
      </c>
      <c r="Z1215" s="394">
        <v>10</v>
      </c>
      <c r="AA1215" s="395">
        <v>0</v>
      </c>
      <c r="AB1215" s="452">
        <v>41268</v>
      </c>
      <c r="AC1215" s="398">
        <v>4.8579999999999997</v>
      </c>
      <c r="AD1215" s="398">
        <v>77.940953424657522</v>
      </c>
      <c r="AE1215" s="393" t="s">
        <v>72</v>
      </c>
      <c r="AF1215" s="417"/>
      <c r="AG1215" s="417"/>
      <c r="AH1215" s="417"/>
      <c r="AI1215" s="394"/>
      <c r="AJ1215" s="453"/>
      <c r="AK1215" s="453"/>
      <c r="AL1215" s="393"/>
      <c r="AM1215" s="393"/>
      <c r="AN1215" s="417"/>
      <c r="AO1215" s="392"/>
      <c r="AP1215" s="428" t="s">
        <v>8176</v>
      </c>
      <c r="AQ1215" s="392"/>
      <c r="AR1215" s="392" t="s">
        <v>1635</v>
      </c>
      <c r="AS1215" s="479">
        <v>41002</v>
      </c>
      <c r="AT1215" s="453"/>
      <c r="AU1215" s="453"/>
      <c r="AV1215" s="453"/>
      <c r="AW1215" s="453"/>
      <c r="AX1215" s="453"/>
      <c r="AY1215" s="453"/>
      <c r="AZ1215" s="452">
        <v>41268</v>
      </c>
      <c r="BA1215" s="393"/>
      <c r="BB1215" s="393"/>
      <c r="BC1215" s="393" t="b">
        <v>0</v>
      </c>
      <c r="BD1215" s="393"/>
      <c r="BE1215" s="392"/>
      <c r="BF1215" s="394">
        <v>1</v>
      </c>
      <c r="BG1215" s="394">
        <v>6</v>
      </c>
      <c r="BH1215" s="394">
        <v>4</v>
      </c>
      <c r="BI1215" s="394">
        <v>5</v>
      </c>
      <c r="BJ1215" s="394">
        <v>8</v>
      </c>
      <c r="BK1215" s="394">
        <v>7</v>
      </c>
      <c r="BL1215" s="444" t="s">
        <v>6986</v>
      </c>
      <c r="BM1215" s="392"/>
      <c r="BN1215" s="393"/>
      <c r="BO1215" s="393"/>
      <c r="BP1215" s="399"/>
      <c r="BQ1215" s="400"/>
      <c r="BR1215" s="401"/>
      <c r="BS1215" s="399"/>
      <c r="BT1215" s="394"/>
      <c r="BU1215" s="417"/>
      <c r="BV1215" s="399"/>
      <c r="BW1215" s="393" t="s">
        <v>3117</v>
      </c>
      <c r="BX1215" s="392" t="s">
        <v>1447</v>
      </c>
      <c r="BY1215" s="475" t="s">
        <v>7227</v>
      </c>
      <c r="BZ1215" s="393"/>
      <c r="CA1215" s="441" t="s">
        <v>1664</v>
      </c>
      <c r="CB1215" s="400"/>
      <c r="CC1215" s="398"/>
      <c r="CD1215" s="398"/>
      <c r="CE1215" s="398"/>
      <c r="CF1215" s="398"/>
      <c r="CG1215" s="398"/>
      <c r="CH1215" s="398">
        <v>4.8579999999999997</v>
      </c>
      <c r="CI1215" s="398">
        <v>9.7159999999999993</v>
      </c>
      <c r="CJ1215" s="398">
        <v>9.7159999999999993</v>
      </c>
      <c r="CK1215" s="398">
        <v>9.7159999999999993</v>
      </c>
      <c r="CL1215" s="398">
        <v>9.7159999999999993</v>
      </c>
      <c r="CM1215" s="398">
        <v>9.7159999999999993</v>
      </c>
      <c r="CN1215" s="398">
        <v>9.7159999999999993</v>
      </c>
      <c r="CO1215" s="398">
        <v>9.7159999999999993</v>
      </c>
      <c r="CP1215" s="398">
        <v>9.7159999999999993</v>
      </c>
      <c r="CQ1215" s="398">
        <v>9.7159999999999993</v>
      </c>
      <c r="CR1215" s="398">
        <v>4.8579999999999997</v>
      </c>
      <c r="CS1215" s="398"/>
      <c r="CT1215" s="398"/>
      <c r="CU1215" s="398"/>
      <c r="CV1215" s="398"/>
      <c r="CW1215" s="398"/>
      <c r="CX1215" s="398"/>
      <c r="CY1215" s="398"/>
      <c r="CZ1215" s="398"/>
      <c r="DA1215" s="398"/>
      <c r="DB1215" s="398"/>
      <c r="DC1215" s="398"/>
      <c r="DD1215" s="398"/>
      <c r="DE1215" s="393"/>
      <c r="DF1215" s="393"/>
      <c r="DG1215" s="393"/>
      <c r="DH1215" s="393"/>
      <c r="DI1215" s="393"/>
      <c r="DJ1215" s="393"/>
      <c r="DK1215" s="897"/>
    </row>
    <row r="1216" spans="1:115" ht="38.25" x14ac:dyDescent="0.2">
      <c r="A1216" s="295">
        <v>1212</v>
      </c>
      <c r="B1216" s="390" t="s">
        <v>1623</v>
      </c>
      <c r="C1216" s="424" t="s">
        <v>7692</v>
      </c>
      <c r="D1216" s="391"/>
      <c r="E1216" s="707" t="s">
        <v>546</v>
      </c>
      <c r="F1216" s="404" t="s">
        <v>1340</v>
      </c>
      <c r="G1216" s="404" t="s">
        <v>1676</v>
      </c>
      <c r="H1216" s="404" t="s">
        <v>58</v>
      </c>
      <c r="I1216" s="403"/>
      <c r="J1216" s="403" t="s">
        <v>58</v>
      </c>
      <c r="K1216" s="403"/>
      <c r="L1216" s="403" t="s">
        <v>1636</v>
      </c>
      <c r="M1216" s="403" t="s">
        <v>4107</v>
      </c>
      <c r="N1216" s="459" t="s">
        <v>7359</v>
      </c>
      <c r="O1216" s="404" t="s">
        <v>34</v>
      </c>
      <c r="P1216" s="404" t="s">
        <v>34</v>
      </c>
      <c r="Q1216" s="403" t="s">
        <v>1272</v>
      </c>
      <c r="R1216" s="403"/>
      <c r="S1216" s="403" t="s">
        <v>1637</v>
      </c>
      <c r="T1216" s="405"/>
      <c r="U1216" s="406"/>
      <c r="V1216" s="406"/>
      <c r="W1216" s="456">
        <v>40523</v>
      </c>
      <c r="X1216" s="405">
        <v>28</v>
      </c>
      <c r="Y1216" s="405"/>
      <c r="Z1216" s="405"/>
      <c r="AA1216" s="406"/>
      <c r="AB1216" s="455"/>
      <c r="AC1216" s="407"/>
      <c r="AD1216" s="407"/>
      <c r="AE1216" s="404" t="s">
        <v>54</v>
      </c>
      <c r="AF1216" s="418"/>
      <c r="AG1216" s="418"/>
      <c r="AH1216" s="418"/>
      <c r="AI1216" s="405"/>
      <c r="AJ1216" s="455"/>
      <c r="AK1216" s="455"/>
      <c r="AL1216" s="404"/>
      <c r="AM1216" s="404"/>
      <c r="AN1216" s="418"/>
      <c r="AO1216" s="403"/>
      <c r="AP1216" s="403" t="s">
        <v>55</v>
      </c>
      <c r="AQ1216" s="403"/>
      <c r="AR1216" s="403" t="s">
        <v>3802</v>
      </c>
      <c r="AS1216" s="482">
        <v>41002</v>
      </c>
      <c r="AT1216" s="455"/>
      <c r="AU1216" s="455" t="s">
        <v>545</v>
      </c>
      <c r="AV1216" s="455"/>
      <c r="AW1216" s="455"/>
      <c r="AX1216" s="455"/>
      <c r="AY1216" s="455"/>
      <c r="AZ1216" s="455"/>
      <c r="BA1216" s="404"/>
      <c r="BB1216" s="404" t="s">
        <v>3116</v>
      </c>
      <c r="BC1216" s="404" t="b">
        <v>0</v>
      </c>
      <c r="BD1216" s="404" t="s">
        <v>3116</v>
      </c>
      <c r="BE1216" s="403"/>
      <c r="BF1216" s="405">
        <v>8</v>
      </c>
      <c r="BG1216" s="405"/>
      <c r="BH1216" s="405"/>
      <c r="BI1216" s="405"/>
      <c r="BJ1216" s="405"/>
      <c r="BK1216" s="405"/>
      <c r="BL1216" s="446"/>
      <c r="BM1216" s="403"/>
      <c r="BN1216" s="404"/>
      <c r="BO1216" s="404"/>
      <c r="BP1216" s="408"/>
      <c r="BQ1216" s="409"/>
      <c r="BR1216" s="410"/>
      <c r="BS1216" s="408"/>
      <c r="BT1216" s="405"/>
      <c r="BU1216" s="418"/>
      <c r="BV1216" s="408"/>
      <c r="BW1216" s="404"/>
      <c r="BX1216" s="403"/>
      <c r="BY1216" s="404"/>
      <c r="BZ1216" s="404"/>
      <c r="CA1216" s="443"/>
      <c r="CB1216" s="409"/>
      <c r="CC1216" s="407"/>
      <c r="CD1216" s="407"/>
      <c r="CE1216" s="407"/>
      <c r="CF1216" s="407"/>
      <c r="CG1216" s="407"/>
      <c r="CH1216" s="407"/>
      <c r="CI1216" s="407"/>
      <c r="CJ1216" s="407"/>
      <c r="CK1216" s="407"/>
      <c r="CL1216" s="407"/>
      <c r="CM1216" s="407"/>
      <c r="CN1216" s="407"/>
      <c r="CO1216" s="407"/>
      <c r="CP1216" s="407"/>
      <c r="CQ1216" s="407"/>
      <c r="CR1216" s="407"/>
      <c r="CS1216" s="407"/>
      <c r="CT1216" s="407"/>
      <c r="CU1216" s="407"/>
      <c r="CV1216" s="407"/>
      <c r="CW1216" s="407"/>
      <c r="CX1216" s="407"/>
      <c r="CY1216" s="407"/>
      <c r="CZ1216" s="407"/>
      <c r="DA1216" s="407"/>
      <c r="DB1216" s="407"/>
      <c r="DC1216" s="407"/>
      <c r="DD1216" s="407"/>
      <c r="DE1216" s="404"/>
      <c r="DF1216" s="404"/>
      <c r="DG1216" s="404"/>
      <c r="DH1216" s="404"/>
      <c r="DI1216" s="404"/>
      <c r="DJ1216" s="404"/>
      <c r="DK1216" s="897"/>
    </row>
    <row r="1217" spans="1:115" ht="38.25" x14ac:dyDescent="0.2">
      <c r="A1217" s="295">
        <v>1213</v>
      </c>
      <c r="B1217" s="390" t="s">
        <v>2864</v>
      </c>
      <c r="C1217" s="390"/>
      <c r="D1217" s="391"/>
      <c r="E1217" s="707" t="s">
        <v>1638</v>
      </c>
      <c r="F1217" s="404" t="s">
        <v>1340</v>
      </c>
      <c r="G1217" s="404" t="s">
        <v>1676</v>
      </c>
      <c r="H1217" s="404" t="s">
        <v>58</v>
      </c>
      <c r="I1217" s="403"/>
      <c r="J1217" s="403"/>
      <c r="K1217" s="403" t="s">
        <v>1639</v>
      </c>
      <c r="L1217" s="403" t="s">
        <v>1636</v>
      </c>
      <c r="M1217" s="403"/>
      <c r="N1217" s="459" t="s">
        <v>7359</v>
      </c>
      <c r="O1217" s="404" t="s">
        <v>34</v>
      </c>
      <c r="P1217" s="404" t="s">
        <v>34</v>
      </c>
      <c r="Q1217" s="403" t="s">
        <v>1272</v>
      </c>
      <c r="R1217" s="403" t="s">
        <v>3516</v>
      </c>
      <c r="S1217" s="403" t="s">
        <v>1637</v>
      </c>
      <c r="T1217" s="405">
        <v>1</v>
      </c>
      <c r="U1217" s="406">
        <v>0.13100000000000001</v>
      </c>
      <c r="V1217" s="406"/>
      <c r="W1217" s="455"/>
      <c r="X1217" s="405"/>
      <c r="Y1217" s="405">
        <v>10</v>
      </c>
      <c r="Z1217" s="405">
        <v>10</v>
      </c>
      <c r="AA1217" s="406">
        <v>0</v>
      </c>
      <c r="AB1217" s="456">
        <v>41253</v>
      </c>
      <c r="AC1217" s="407">
        <v>5.2399999999999999E-3</v>
      </c>
      <c r="AD1217" s="407">
        <v>1.31</v>
      </c>
      <c r="AE1217" s="404" t="s">
        <v>54</v>
      </c>
      <c r="AF1217" s="418"/>
      <c r="AG1217" s="418"/>
      <c r="AH1217" s="418"/>
      <c r="AI1217" s="405"/>
      <c r="AJ1217" s="455"/>
      <c r="AK1217" s="455"/>
      <c r="AL1217" s="404"/>
      <c r="AM1217" s="404"/>
      <c r="AN1217" s="418"/>
      <c r="AO1217" s="403"/>
      <c r="AP1217" s="403" t="s">
        <v>55</v>
      </c>
      <c r="AQ1217" s="403"/>
      <c r="AR1217" s="403" t="s">
        <v>3802</v>
      </c>
      <c r="AS1217" s="482">
        <v>41002</v>
      </c>
      <c r="AT1217" s="455"/>
      <c r="AU1217" s="455" t="s">
        <v>2660</v>
      </c>
      <c r="AV1217" s="455"/>
      <c r="AW1217" s="455"/>
      <c r="AX1217" s="455"/>
      <c r="AY1217" s="455"/>
      <c r="AZ1217" s="455"/>
      <c r="BA1217" s="404"/>
      <c r="BB1217" s="404"/>
      <c r="BC1217" s="404" t="b">
        <v>0</v>
      </c>
      <c r="BD1217" s="404"/>
      <c r="BE1217" s="403"/>
      <c r="BF1217" s="405">
        <v>8</v>
      </c>
      <c r="BG1217" s="405"/>
      <c r="BH1217" s="405"/>
      <c r="BI1217" s="405"/>
      <c r="BJ1217" s="405"/>
      <c r="BK1217" s="405"/>
      <c r="BL1217" s="446" t="s">
        <v>6981</v>
      </c>
      <c r="BM1217" s="403"/>
      <c r="BN1217" s="404"/>
      <c r="BO1217" s="404"/>
      <c r="BP1217" s="408"/>
      <c r="BQ1217" s="409"/>
      <c r="BR1217" s="410"/>
      <c r="BS1217" s="408"/>
      <c r="BT1217" s="405"/>
      <c r="BU1217" s="418">
        <v>0.52100000000000002</v>
      </c>
      <c r="BV1217" s="408">
        <v>0</v>
      </c>
      <c r="BW1217" s="404" t="s">
        <v>3165</v>
      </c>
      <c r="BX1217" s="403" t="s">
        <v>4364</v>
      </c>
      <c r="BY1217" s="404" t="s">
        <v>7224</v>
      </c>
      <c r="BZ1217" s="404"/>
      <c r="CA1217" s="443"/>
      <c r="CB1217" s="409"/>
      <c r="CC1217" s="407"/>
      <c r="CD1217" s="407"/>
      <c r="CE1217" s="407"/>
      <c r="CF1217" s="407"/>
      <c r="CG1217" s="407"/>
      <c r="CH1217" s="407"/>
      <c r="CI1217" s="407">
        <v>0.13100000000000001</v>
      </c>
      <c r="CJ1217" s="407">
        <v>0.13100000000000001</v>
      </c>
      <c r="CK1217" s="407">
        <v>0.13100000000000001</v>
      </c>
      <c r="CL1217" s="407">
        <v>0.13100000000000001</v>
      </c>
      <c r="CM1217" s="407">
        <v>0.13100000000000001</v>
      </c>
      <c r="CN1217" s="407">
        <v>0.13100000000000001</v>
      </c>
      <c r="CO1217" s="407">
        <v>0.13100000000000001</v>
      </c>
      <c r="CP1217" s="407">
        <v>0.13100000000000001</v>
      </c>
      <c r="CQ1217" s="407">
        <v>0.13100000000000001</v>
      </c>
      <c r="CR1217" s="407">
        <v>0.13100000000000001</v>
      </c>
      <c r="CS1217" s="407"/>
      <c r="CT1217" s="407"/>
      <c r="CU1217" s="407"/>
      <c r="CV1217" s="407"/>
      <c r="CW1217" s="407"/>
      <c r="CX1217" s="407"/>
      <c r="CY1217" s="407"/>
      <c r="CZ1217" s="407"/>
      <c r="DA1217" s="407"/>
      <c r="DB1217" s="407"/>
      <c r="DC1217" s="407"/>
      <c r="DD1217" s="407"/>
      <c r="DE1217" s="404"/>
      <c r="DF1217" s="404"/>
      <c r="DG1217" s="404"/>
      <c r="DH1217" s="404"/>
      <c r="DI1217" s="404"/>
      <c r="DJ1217" s="404"/>
      <c r="DK1217" s="897"/>
    </row>
    <row r="1218" spans="1:115" ht="127.5" x14ac:dyDescent="0.2">
      <c r="A1218" s="295">
        <v>1214</v>
      </c>
      <c r="B1218" s="390" t="s">
        <v>1624</v>
      </c>
      <c r="C1218" s="424" t="s">
        <v>7693</v>
      </c>
      <c r="D1218" s="391"/>
      <c r="E1218" s="708" t="s">
        <v>1640</v>
      </c>
      <c r="F1218" s="404" t="s">
        <v>1751</v>
      </c>
      <c r="G1218" s="404" t="s">
        <v>1751</v>
      </c>
      <c r="H1218" s="404" t="s">
        <v>918</v>
      </c>
      <c r="I1218" s="403" t="s">
        <v>4108</v>
      </c>
      <c r="J1218" s="403" t="s">
        <v>1641</v>
      </c>
      <c r="K1218" s="403"/>
      <c r="L1218" s="403" t="s">
        <v>1642</v>
      </c>
      <c r="M1218" s="403" t="s">
        <v>4109</v>
      </c>
      <c r="N1218" s="404" t="s">
        <v>3142</v>
      </c>
      <c r="O1218" s="404" t="s">
        <v>827</v>
      </c>
      <c r="P1218" s="404" t="s">
        <v>827</v>
      </c>
      <c r="Q1218" s="403" t="s">
        <v>1834</v>
      </c>
      <c r="R1218" s="403"/>
      <c r="S1218" s="403" t="s">
        <v>650</v>
      </c>
      <c r="T1218" s="405">
        <v>1</v>
      </c>
      <c r="U1218" s="406">
        <v>45.78</v>
      </c>
      <c r="V1218" s="406"/>
      <c r="W1218" s="456">
        <v>41030</v>
      </c>
      <c r="X1218" s="405">
        <v>28</v>
      </c>
      <c r="Y1218" s="405"/>
      <c r="Z1218" s="405"/>
      <c r="AA1218" s="406"/>
      <c r="AB1218" s="455"/>
      <c r="AC1218" s="407">
        <v>0</v>
      </c>
      <c r="AD1218" s="407">
        <v>457.8</v>
      </c>
      <c r="AE1218" s="404" t="s">
        <v>787</v>
      </c>
      <c r="AF1218" s="418"/>
      <c r="AG1218" s="418"/>
      <c r="AH1218" s="418">
        <v>0</v>
      </c>
      <c r="AI1218" s="405"/>
      <c r="AJ1218" s="455"/>
      <c r="AK1218" s="455"/>
      <c r="AL1218" s="404"/>
      <c r="AM1218" s="404"/>
      <c r="AN1218" s="418"/>
      <c r="AO1218" s="403"/>
      <c r="AP1218" s="403" t="s">
        <v>55</v>
      </c>
      <c r="AQ1218" s="403"/>
      <c r="AR1218" s="403" t="s">
        <v>3803</v>
      </c>
      <c r="AS1218" s="482">
        <v>41003</v>
      </c>
      <c r="AT1218" s="455"/>
      <c r="AU1218" s="455"/>
      <c r="AV1218" s="455"/>
      <c r="AW1218" s="455"/>
      <c r="AX1218" s="455"/>
      <c r="AY1218" s="455"/>
      <c r="AZ1218" s="455"/>
      <c r="BA1218" s="404"/>
      <c r="BB1218" s="404" t="s">
        <v>3147</v>
      </c>
      <c r="BC1218" s="404" t="b">
        <v>1</v>
      </c>
      <c r="BD1218" s="404" t="s">
        <v>3147</v>
      </c>
      <c r="BE1218" s="403"/>
      <c r="BF1218" s="405">
        <v>5</v>
      </c>
      <c r="BG1218" s="405">
        <v>9</v>
      </c>
      <c r="BH1218" s="405">
        <v>11</v>
      </c>
      <c r="BI1218" s="405"/>
      <c r="BJ1218" s="405"/>
      <c r="BK1218" s="405"/>
      <c r="BL1218" s="446"/>
      <c r="BM1218" s="403"/>
      <c r="BN1218" s="404"/>
      <c r="BO1218" s="404"/>
      <c r="BP1218" s="408"/>
      <c r="BQ1218" s="409"/>
      <c r="BR1218" s="410"/>
      <c r="BS1218" s="408">
        <v>40</v>
      </c>
      <c r="BT1218" s="405"/>
      <c r="BU1218" s="418"/>
      <c r="BV1218" s="408"/>
      <c r="BW1218" s="404"/>
      <c r="BX1218" s="403"/>
      <c r="BY1218" s="404"/>
      <c r="BZ1218" s="404"/>
      <c r="CA1218" s="443"/>
      <c r="CB1218" s="409"/>
      <c r="CC1218" s="407"/>
      <c r="CD1218" s="407"/>
      <c r="CE1218" s="407"/>
      <c r="CF1218" s="407"/>
      <c r="CG1218" s="407"/>
      <c r="CH1218" s="407"/>
      <c r="CI1218" s="407"/>
      <c r="CJ1218" s="407"/>
      <c r="CK1218" s="407"/>
      <c r="CL1218" s="407"/>
      <c r="CM1218" s="407"/>
      <c r="CN1218" s="407"/>
      <c r="CO1218" s="407"/>
      <c r="CP1218" s="407"/>
      <c r="CQ1218" s="407"/>
      <c r="CR1218" s="407"/>
      <c r="CS1218" s="407"/>
      <c r="CT1218" s="407"/>
      <c r="CU1218" s="407"/>
      <c r="CV1218" s="407"/>
      <c r="CW1218" s="407"/>
      <c r="CX1218" s="407"/>
      <c r="CY1218" s="407"/>
      <c r="CZ1218" s="407"/>
      <c r="DA1218" s="407"/>
      <c r="DB1218" s="407"/>
      <c r="DC1218" s="407"/>
      <c r="DD1218" s="407"/>
      <c r="DE1218" s="404"/>
      <c r="DF1218" s="404"/>
      <c r="DG1218" s="404"/>
      <c r="DH1218" s="404"/>
      <c r="DI1218" s="404"/>
      <c r="DJ1218" s="404"/>
      <c r="DK1218" s="897"/>
    </row>
    <row r="1219" spans="1:115" ht="25.5" x14ac:dyDescent="0.2">
      <c r="A1219" s="295">
        <v>1215</v>
      </c>
      <c r="B1219" s="390" t="s">
        <v>2865</v>
      </c>
      <c r="C1219" s="390"/>
      <c r="D1219" s="391"/>
      <c r="E1219" s="707" t="s">
        <v>1643</v>
      </c>
      <c r="F1219" s="404" t="s">
        <v>1393</v>
      </c>
      <c r="G1219" s="404" t="s">
        <v>1678</v>
      </c>
      <c r="H1219" s="404" t="s">
        <v>1412</v>
      </c>
      <c r="I1219" s="403"/>
      <c r="J1219" s="403"/>
      <c r="K1219" s="403" t="s">
        <v>1644</v>
      </c>
      <c r="L1219" s="403" t="s">
        <v>1642</v>
      </c>
      <c r="M1219" s="403"/>
      <c r="N1219" s="404" t="s">
        <v>3142</v>
      </c>
      <c r="O1219" s="404" t="s">
        <v>827</v>
      </c>
      <c r="P1219" s="404" t="s">
        <v>827</v>
      </c>
      <c r="Q1219" s="403" t="s">
        <v>836</v>
      </c>
      <c r="R1219" s="403" t="s">
        <v>3517</v>
      </c>
      <c r="S1219" s="403" t="s">
        <v>650</v>
      </c>
      <c r="T1219" s="405">
        <v>1</v>
      </c>
      <c r="U1219" s="406">
        <v>45.78</v>
      </c>
      <c r="V1219" s="406">
        <v>0</v>
      </c>
      <c r="W1219" s="455"/>
      <c r="X1219" s="405"/>
      <c r="Y1219" s="405">
        <v>10</v>
      </c>
      <c r="Z1219" s="405">
        <v>30</v>
      </c>
      <c r="AA1219" s="406">
        <v>0</v>
      </c>
      <c r="AB1219" s="456">
        <v>41640</v>
      </c>
      <c r="AC1219" s="407">
        <v>0</v>
      </c>
      <c r="AD1219" s="407">
        <v>457.8</v>
      </c>
      <c r="AE1219" s="404" t="s">
        <v>787</v>
      </c>
      <c r="AF1219" s="418"/>
      <c r="AG1219" s="418"/>
      <c r="AH1219" s="418"/>
      <c r="AI1219" s="405"/>
      <c r="AJ1219" s="455"/>
      <c r="AK1219" s="455"/>
      <c r="AL1219" s="404"/>
      <c r="AM1219" s="404"/>
      <c r="AN1219" s="418"/>
      <c r="AO1219" s="403"/>
      <c r="AP1219" s="403" t="s">
        <v>55</v>
      </c>
      <c r="AQ1219" s="403"/>
      <c r="AR1219" s="403" t="s">
        <v>3803</v>
      </c>
      <c r="AS1219" s="482">
        <v>41003</v>
      </c>
      <c r="AT1219" s="455"/>
      <c r="AU1219" s="455"/>
      <c r="AV1219" s="455"/>
      <c r="AW1219" s="455"/>
      <c r="AX1219" s="455"/>
      <c r="AY1219" s="455"/>
      <c r="AZ1219" s="455"/>
      <c r="BA1219" s="404"/>
      <c r="BB1219" s="404"/>
      <c r="BC1219" s="404" t="b">
        <v>0</v>
      </c>
      <c r="BD1219" s="404"/>
      <c r="BE1219" s="403"/>
      <c r="BF1219" s="405">
        <v>5</v>
      </c>
      <c r="BG1219" s="405">
        <v>7</v>
      </c>
      <c r="BH1219" s="405">
        <v>9</v>
      </c>
      <c r="BI1219" s="405"/>
      <c r="BJ1219" s="405"/>
      <c r="BK1219" s="405"/>
      <c r="BL1219" s="446" t="s">
        <v>6982</v>
      </c>
      <c r="BM1219" s="403"/>
      <c r="BN1219" s="404"/>
      <c r="BO1219" s="404"/>
      <c r="BP1219" s="408"/>
      <c r="BQ1219" s="409"/>
      <c r="BR1219" s="410"/>
      <c r="BS1219" s="408">
        <v>40</v>
      </c>
      <c r="BT1219" s="405">
        <v>70000</v>
      </c>
      <c r="BU1219" s="418">
        <v>0.65400000000000003</v>
      </c>
      <c r="BV1219" s="408"/>
      <c r="BW1219" s="404" t="s">
        <v>3117</v>
      </c>
      <c r="BX1219" s="403" t="s">
        <v>1449</v>
      </c>
      <c r="BY1219" s="404" t="s">
        <v>7225</v>
      </c>
      <c r="BZ1219" s="404"/>
      <c r="CA1219" s="443"/>
      <c r="CB1219" s="409"/>
      <c r="CC1219" s="407"/>
      <c r="CD1219" s="407"/>
      <c r="CE1219" s="407"/>
      <c r="CF1219" s="407"/>
      <c r="CG1219" s="407"/>
      <c r="CH1219" s="407"/>
      <c r="CI1219" s="407"/>
      <c r="CJ1219" s="407">
        <v>45.78</v>
      </c>
      <c r="CK1219" s="407">
        <v>45.78</v>
      </c>
      <c r="CL1219" s="407">
        <v>45.78</v>
      </c>
      <c r="CM1219" s="407">
        <v>45.78</v>
      </c>
      <c r="CN1219" s="407">
        <v>45.78</v>
      </c>
      <c r="CO1219" s="407">
        <v>45.78</v>
      </c>
      <c r="CP1219" s="407">
        <v>45.78</v>
      </c>
      <c r="CQ1219" s="407">
        <v>45.78</v>
      </c>
      <c r="CR1219" s="407">
        <v>45.78</v>
      </c>
      <c r="CS1219" s="407">
        <v>45.78</v>
      </c>
      <c r="CT1219" s="407"/>
      <c r="CU1219" s="407"/>
      <c r="CV1219" s="407"/>
      <c r="CW1219" s="407"/>
      <c r="CX1219" s="407"/>
      <c r="CY1219" s="407"/>
      <c r="CZ1219" s="407"/>
      <c r="DA1219" s="407"/>
      <c r="DB1219" s="407"/>
      <c r="DC1219" s="407"/>
      <c r="DD1219" s="407"/>
      <c r="DE1219" s="404"/>
      <c r="DF1219" s="404"/>
      <c r="DG1219" s="404"/>
      <c r="DH1219" s="404"/>
      <c r="DI1219" s="404"/>
      <c r="DJ1219" s="404"/>
      <c r="DK1219" s="897"/>
    </row>
    <row r="1220" spans="1:115" ht="102" x14ac:dyDescent="0.2">
      <c r="A1220" s="295">
        <v>1216</v>
      </c>
      <c r="B1220" s="390" t="s">
        <v>1625</v>
      </c>
      <c r="C1220" s="424" t="s">
        <v>7694</v>
      </c>
      <c r="D1220" s="391" t="s">
        <v>5181</v>
      </c>
      <c r="E1220" s="704" t="s">
        <v>1645</v>
      </c>
      <c r="F1220" s="393" t="s">
        <v>1375</v>
      </c>
      <c r="G1220" s="393" t="s">
        <v>1361</v>
      </c>
      <c r="H1220" s="393" t="s">
        <v>137</v>
      </c>
      <c r="I1220" s="392" t="s">
        <v>4110</v>
      </c>
      <c r="J1220" s="392" t="s">
        <v>2243</v>
      </c>
      <c r="K1220" s="392"/>
      <c r="L1220" s="392" t="s">
        <v>1646</v>
      </c>
      <c r="M1220" s="392" t="s">
        <v>4111</v>
      </c>
      <c r="N1220" s="393" t="s">
        <v>44</v>
      </c>
      <c r="O1220" s="393" t="s">
        <v>289</v>
      </c>
      <c r="P1220" s="393" t="s">
        <v>289</v>
      </c>
      <c r="Q1220" s="392" t="s">
        <v>721</v>
      </c>
      <c r="R1220" s="392"/>
      <c r="S1220" s="392" t="s">
        <v>291</v>
      </c>
      <c r="T1220" s="394">
        <v>1</v>
      </c>
      <c r="U1220" s="395">
        <v>24.353000000000002</v>
      </c>
      <c r="V1220" s="395"/>
      <c r="W1220" s="452">
        <v>41003</v>
      </c>
      <c r="X1220" s="394">
        <v>28</v>
      </c>
      <c r="Y1220" s="394"/>
      <c r="Z1220" s="394"/>
      <c r="AA1220" s="395"/>
      <c r="AB1220" s="453"/>
      <c r="AC1220" s="398">
        <v>0</v>
      </c>
      <c r="AD1220" s="398">
        <v>243.53000000000003</v>
      </c>
      <c r="AE1220" s="393" t="s">
        <v>133</v>
      </c>
      <c r="AF1220" s="417"/>
      <c r="AG1220" s="417"/>
      <c r="AH1220" s="417">
        <v>0</v>
      </c>
      <c r="AI1220" s="394"/>
      <c r="AJ1220" s="453"/>
      <c r="AK1220" s="453"/>
      <c r="AL1220" s="393"/>
      <c r="AM1220" s="393"/>
      <c r="AN1220" s="417"/>
      <c r="AO1220" s="392"/>
      <c r="AP1220" s="392" t="s">
        <v>55</v>
      </c>
      <c r="AQ1220" s="392"/>
      <c r="AR1220" s="392" t="s">
        <v>138</v>
      </c>
      <c r="AS1220" s="479">
        <v>41003</v>
      </c>
      <c r="AT1220" s="453"/>
      <c r="AU1220" s="453"/>
      <c r="AV1220" s="452">
        <v>41171</v>
      </c>
      <c r="AW1220" s="452">
        <v>41263</v>
      </c>
      <c r="AX1220" s="453"/>
      <c r="AY1220" s="452">
        <v>41264</v>
      </c>
      <c r="AZ1220" s="453"/>
      <c r="BA1220" s="393"/>
      <c r="BB1220" s="393" t="s">
        <v>3147</v>
      </c>
      <c r="BC1220" s="393" t="b">
        <v>1</v>
      </c>
      <c r="BD1220" s="393" t="s">
        <v>3147</v>
      </c>
      <c r="BE1220" s="392"/>
      <c r="BF1220" s="394">
        <v>5</v>
      </c>
      <c r="BG1220" s="394">
        <v>2</v>
      </c>
      <c r="BH1220" s="394">
        <v>10</v>
      </c>
      <c r="BI1220" s="394">
        <v>9</v>
      </c>
      <c r="BJ1220" s="394"/>
      <c r="BK1220" s="394"/>
      <c r="BL1220" s="444"/>
      <c r="BM1220" s="392"/>
      <c r="BN1220" s="393"/>
      <c r="BO1220" s="393"/>
      <c r="BP1220" s="399"/>
      <c r="BQ1220" s="400"/>
      <c r="BR1220" s="401"/>
      <c r="BS1220" s="399">
        <v>4.4000000000000004</v>
      </c>
      <c r="BT1220" s="394"/>
      <c r="BU1220" s="417"/>
      <c r="BV1220" s="399"/>
      <c r="BW1220" s="393"/>
      <c r="BX1220" s="392"/>
      <c r="BY1220" s="393"/>
      <c r="BZ1220" s="393"/>
      <c r="CA1220" s="441"/>
      <c r="CB1220" s="400"/>
      <c r="CC1220" s="398"/>
      <c r="CD1220" s="398"/>
      <c r="CE1220" s="398"/>
      <c r="CF1220" s="398"/>
      <c r="CG1220" s="398"/>
      <c r="CH1220" s="398"/>
      <c r="CI1220" s="398"/>
      <c r="CJ1220" s="398"/>
      <c r="CK1220" s="398"/>
      <c r="CL1220" s="398"/>
      <c r="CM1220" s="398"/>
      <c r="CN1220" s="398"/>
      <c r="CO1220" s="398"/>
      <c r="CP1220" s="398"/>
      <c r="CQ1220" s="398"/>
      <c r="CR1220" s="398"/>
      <c r="CS1220" s="398"/>
      <c r="CT1220" s="398"/>
      <c r="CU1220" s="398"/>
      <c r="CV1220" s="398"/>
      <c r="CW1220" s="398"/>
      <c r="CX1220" s="398"/>
      <c r="CY1220" s="398"/>
      <c r="CZ1220" s="398"/>
      <c r="DA1220" s="398"/>
      <c r="DB1220" s="398"/>
      <c r="DC1220" s="398"/>
      <c r="DD1220" s="398"/>
      <c r="DE1220" s="393"/>
      <c r="DF1220" s="393"/>
      <c r="DG1220" s="393"/>
      <c r="DH1220" s="393"/>
      <c r="DI1220" s="393"/>
      <c r="DJ1220" s="393"/>
      <c r="DK1220" s="896" t="s">
        <v>9701</v>
      </c>
    </row>
    <row r="1221" spans="1:115" ht="25.5" x14ac:dyDescent="0.2">
      <c r="A1221" s="295">
        <v>1217</v>
      </c>
      <c r="B1221" s="390" t="s">
        <v>2866</v>
      </c>
      <c r="C1221" s="390"/>
      <c r="D1221" s="391" t="s">
        <v>4623</v>
      </c>
      <c r="E1221" s="704" t="s">
        <v>1647</v>
      </c>
      <c r="F1221" s="393" t="s">
        <v>1375</v>
      </c>
      <c r="G1221" s="393" t="s">
        <v>1361</v>
      </c>
      <c r="H1221" s="393" t="s">
        <v>137</v>
      </c>
      <c r="I1221" s="392"/>
      <c r="J1221" s="392"/>
      <c r="K1221" s="392" t="s">
        <v>2184</v>
      </c>
      <c r="L1221" s="392" t="s">
        <v>1646</v>
      </c>
      <c r="M1221" s="392"/>
      <c r="N1221" s="393" t="s">
        <v>44</v>
      </c>
      <c r="O1221" s="393" t="s">
        <v>289</v>
      </c>
      <c r="P1221" s="393" t="s">
        <v>289</v>
      </c>
      <c r="Q1221" s="392" t="s">
        <v>290</v>
      </c>
      <c r="R1221" s="392" t="s">
        <v>3518</v>
      </c>
      <c r="S1221" s="392" t="s">
        <v>291</v>
      </c>
      <c r="T1221" s="394">
        <v>1</v>
      </c>
      <c r="U1221" s="395">
        <v>24.353000000000002</v>
      </c>
      <c r="V1221" s="395"/>
      <c r="W1221" s="453"/>
      <c r="X1221" s="394"/>
      <c r="Y1221" s="394">
        <v>10</v>
      </c>
      <c r="Z1221" s="394">
        <v>30</v>
      </c>
      <c r="AA1221" s="395">
        <v>0</v>
      </c>
      <c r="AB1221" s="452">
        <v>41760</v>
      </c>
      <c r="AC1221" s="398">
        <v>0</v>
      </c>
      <c r="AD1221" s="398">
        <v>243.53000000000003</v>
      </c>
      <c r="AE1221" s="393" t="s">
        <v>133</v>
      </c>
      <c r="AF1221" s="417"/>
      <c r="AG1221" s="417"/>
      <c r="AH1221" s="417"/>
      <c r="AI1221" s="394"/>
      <c r="AJ1221" s="453"/>
      <c r="AK1221" s="453"/>
      <c r="AL1221" s="393"/>
      <c r="AM1221" s="393"/>
      <c r="AN1221" s="417"/>
      <c r="AO1221" s="392"/>
      <c r="AP1221" s="392" t="s">
        <v>55</v>
      </c>
      <c r="AQ1221" s="392"/>
      <c r="AR1221" s="392" t="s">
        <v>138</v>
      </c>
      <c r="AS1221" s="479">
        <v>41003</v>
      </c>
      <c r="AT1221" s="453"/>
      <c r="AU1221" s="453"/>
      <c r="AV1221" s="453"/>
      <c r="AW1221" s="453"/>
      <c r="AX1221" s="453"/>
      <c r="AY1221" s="453"/>
      <c r="AZ1221" s="452">
        <v>41264</v>
      </c>
      <c r="BA1221" s="393"/>
      <c r="BB1221" s="393"/>
      <c r="BC1221" s="393" t="b">
        <v>0</v>
      </c>
      <c r="BD1221" s="393"/>
      <c r="BE1221" s="392"/>
      <c r="BF1221" s="394">
        <v>5</v>
      </c>
      <c r="BG1221" s="394">
        <v>2</v>
      </c>
      <c r="BH1221" s="394">
        <v>10</v>
      </c>
      <c r="BI1221" s="394">
        <v>9</v>
      </c>
      <c r="BJ1221" s="394"/>
      <c r="BK1221" s="394"/>
      <c r="BL1221" s="444" t="s">
        <v>6981</v>
      </c>
      <c r="BM1221" s="392"/>
      <c r="BN1221" s="393"/>
      <c r="BO1221" s="393"/>
      <c r="BP1221" s="399"/>
      <c r="BQ1221" s="400"/>
      <c r="BR1221" s="401"/>
      <c r="BS1221" s="399">
        <v>4.4000000000000004</v>
      </c>
      <c r="BT1221" s="394">
        <v>29564</v>
      </c>
      <c r="BU1221" s="417">
        <v>1.0209999999999999</v>
      </c>
      <c r="BV1221" s="399"/>
      <c r="BW1221" s="393" t="s">
        <v>3117</v>
      </c>
      <c r="BX1221" s="392" t="s">
        <v>1447</v>
      </c>
      <c r="BY1221" s="393"/>
      <c r="BZ1221" s="393"/>
      <c r="CA1221" s="441" t="s">
        <v>1662</v>
      </c>
      <c r="CB1221" s="400">
        <v>3</v>
      </c>
      <c r="CC1221" s="398"/>
      <c r="CD1221" s="398"/>
      <c r="CE1221" s="398"/>
      <c r="CF1221" s="398"/>
      <c r="CG1221" s="398"/>
      <c r="CH1221" s="398"/>
      <c r="CI1221" s="398"/>
      <c r="CJ1221" s="398"/>
      <c r="CK1221" s="398">
        <v>16.359000000000002</v>
      </c>
      <c r="CL1221" s="398">
        <v>24.539000000000001</v>
      </c>
      <c r="CM1221" s="398">
        <v>24.539000000000001</v>
      </c>
      <c r="CN1221" s="398">
        <v>24.539000000000001</v>
      </c>
      <c r="CO1221" s="398">
        <v>24.539000000000001</v>
      </c>
      <c r="CP1221" s="398">
        <v>24.539000000000001</v>
      </c>
      <c r="CQ1221" s="398">
        <v>24.539000000000001</v>
      </c>
      <c r="CR1221" s="398">
        <v>24.539000000000001</v>
      </c>
      <c r="CS1221" s="398">
        <v>27.702000000000002</v>
      </c>
      <c r="CT1221" s="398">
        <v>27.702000000000002</v>
      </c>
      <c r="CU1221" s="398"/>
      <c r="CV1221" s="398"/>
      <c r="CW1221" s="398"/>
      <c r="CX1221" s="398"/>
      <c r="CY1221" s="398"/>
      <c r="CZ1221" s="398"/>
      <c r="DA1221" s="398"/>
      <c r="DB1221" s="398"/>
      <c r="DC1221" s="398"/>
      <c r="DD1221" s="398"/>
      <c r="DE1221" s="393"/>
      <c r="DF1221" s="393"/>
      <c r="DG1221" s="393"/>
      <c r="DH1221" s="393"/>
      <c r="DI1221" s="393"/>
      <c r="DJ1221" s="393"/>
      <c r="DK1221" s="897"/>
    </row>
    <row r="1222" spans="1:115" ht="63.75" x14ac:dyDescent="0.2">
      <c r="A1222" s="295">
        <v>1218</v>
      </c>
      <c r="B1222" s="390" t="s">
        <v>1626</v>
      </c>
      <c r="C1222" s="424" t="s">
        <v>7695</v>
      </c>
      <c r="D1222" s="391" t="s">
        <v>5433</v>
      </c>
      <c r="E1222" s="704" t="s">
        <v>1648</v>
      </c>
      <c r="F1222" s="393" t="s">
        <v>1375</v>
      </c>
      <c r="G1222" s="393" t="s">
        <v>1361</v>
      </c>
      <c r="H1222" s="393" t="s">
        <v>137</v>
      </c>
      <c r="I1222" s="392"/>
      <c r="J1222" s="392" t="s">
        <v>137</v>
      </c>
      <c r="K1222" s="392"/>
      <c r="L1222" s="392" t="s">
        <v>879</v>
      </c>
      <c r="M1222" s="392" t="s">
        <v>4112</v>
      </c>
      <c r="N1222" s="393" t="s">
        <v>44</v>
      </c>
      <c r="O1222" s="393" t="s">
        <v>827</v>
      </c>
      <c r="P1222" s="393" t="s">
        <v>827</v>
      </c>
      <c r="Q1222" s="392" t="s">
        <v>836</v>
      </c>
      <c r="R1222" s="392"/>
      <c r="S1222" s="392" t="s">
        <v>650</v>
      </c>
      <c r="T1222" s="394">
        <v>1</v>
      </c>
      <c r="U1222" s="395">
        <v>65.596999999999994</v>
      </c>
      <c r="V1222" s="395"/>
      <c r="W1222" s="452">
        <v>41334</v>
      </c>
      <c r="X1222" s="394">
        <v>28</v>
      </c>
      <c r="Y1222" s="394"/>
      <c r="Z1222" s="394"/>
      <c r="AA1222" s="395"/>
      <c r="AB1222" s="453"/>
      <c r="AC1222" s="398">
        <v>0</v>
      </c>
      <c r="AD1222" s="398">
        <v>514.35236712328765</v>
      </c>
      <c r="AE1222" s="393" t="s">
        <v>133</v>
      </c>
      <c r="AF1222" s="417"/>
      <c r="AG1222" s="417"/>
      <c r="AH1222" s="417">
        <v>0</v>
      </c>
      <c r="AI1222" s="394"/>
      <c r="AJ1222" s="453"/>
      <c r="AK1222" s="453"/>
      <c r="AL1222" s="393"/>
      <c r="AM1222" s="393"/>
      <c r="AN1222" s="417"/>
      <c r="AO1222" s="392"/>
      <c r="AP1222" s="392" t="s">
        <v>55</v>
      </c>
      <c r="AQ1222" s="392"/>
      <c r="AR1222" s="392" t="s">
        <v>3787</v>
      </c>
      <c r="AS1222" s="479">
        <v>41004</v>
      </c>
      <c r="AT1222" s="453"/>
      <c r="AU1222" s="453"/>
      <c r="AV1222" s="452">
        <v>41213</v>
      </c>
      <c r="AW1222" s="452">
        <v>41270</v>
      </c>
      <c r="AX1222" s="452">
        <v>41481</v>
      </c>
      <c r="AY1222" s="452">
        <v>41276</v>
      </c>
      <c r="AZ1222" s="453"/>
      <c r="BA1222" s="393"/>
      <c r="BB1222" s="393" t="s">
        <v>3147</v>
      </c>
      <c r="BC1222" s="393" t="b">
        <v>1</v>
      </c>
      <c r="BD1222" s="393" t="s">
        <v>3147</v>
      </c>
      <c r="BE1222" s="392"/>
      <c r="BF1222" s="394">
        <v>5</v>
      </c>
      <c r="BG1222" s="394">
        <v>9</v>
      </c>
      <c r="BH1222" s="394">
        <v>4</v>
      </c>
      <c r="BI1222" s="394">
        <v>3</v>
      </c>
      <c r="BJ1222" s="394"/>
      <c r="BK1222" s="394"/>
      <c r="BL1222" s="444"/>
      <c r="BM1222" s="392"/>
      <c r="BN1222" s="393"/>
      <c r="BO1222" s="393"/>
      <c r="BP1222" s="399"/>
      <c r="BQ1222" s="400"/>
      <c r="BR1222" s="401"/>
      <c r="BS1222" s="399">
        <v>25</v>
      </c>
      <c r="BT1222" s="394"/>
      <c r="BU1222" s="417"/>
      <c r="BV1222" s="399"/>
      <c r="BW1222" s="393"/>
      <c r="BX1222" s="392"/>
      <c r="BY1222" s="393"/>
      <c r="BZ1222" s="393"/>
      <c r="CA1222" s="441"/>
      <c r="CB1222" s="400"/>
      <c r="CC1222" s="398"/>
      <c r="CD1222" s="398"/>
      <c r="CE1222" s="398"/>
      <c r="CF1222" s="398"/>
      <c r="CG1222" s="398"/>
      <c r="CH1222" s="398"/>
      <c r="CI1222" s="398"/>
      <c r="CJ1222" s="398"/>
      <c r="CK1222" s="398"/>
      <c r="CL1222" s="398"/>
      <c r="CM1222" s="398"/>
      <c r="CN1222" s="398"/>
      <c r="CO1222" s="398"/>
      <c r="CP1222" s="398"/>
      <c r="CQ1222" s="398"/>
      <c r="CR1222" s="398"/>
      <c r="CS1222" s="398"/>
      <c r="CT1222" s="398"/>
      <c r="CU1222" s="398"/>
      <c r="CV1222" s="398"/>
      <c r="CW1222" s="398"/>
      <c r="CX1222" s="398"/>
      <c r="CY1222" s="398"/>
      <c r="CZ1222" s="398"/>
      <c r="DA1222" s="398"/>
      <c r="DB1222" s="398"/>
      <c r="DC1222" s="398"/>
      <c r="DD1222" s="398"/>
      <c r="DE1222" s="393"/>
      <c r="DF1222" s="393"/>
      <c r="DG1222" s="393"/>
      <c r="DH1222" s="393"/>
      <c r="DI1222" s="393"/>
      <c r="DJ1222" s="393"/>
      <c r="DK1222" s="896" t="s">
        <v>9701</v>
      </c>
    </row>
    <row r="1223" spans="1:115" ht="25.5" x14ac:dyDescent="0.2">
      <c r="A1223" s="295">
        <v>1219</v>
      </c>
      <c r="B1223" s="390" t="s">
        <v>2867</v>
      </c>
      <c r="C1223" s="390"/>
      <c r="D1223" s="391" t="s">
        <v>5434</v>
      </c>
      <c r="E1223" s="704" t="s">
        <v>5435</v>
      </c>
      <c r="F1223" s="393" t="s">
        <v>1375</v>
      </c>
      <c r="G1223" s="393" t="s">
        <v>1361</v>
      </c>
      <c r="H1223" s="393" t="s">
        <v>137</v>
      </c>
      <c r="I1223" s="392"/>
      <c r="J1223" s="392"/>
      <c r="K1223" s="392" t="s">
        <v>2188</v>
      </c>
      <c r="L1223" s="392" t="s">
        <v>1649</v>
      </c>
      <c r="M1223" s="392"/>
      <c r="N1223" s="393" t="s">
        <v>44</v>
      </c>
      <c r="O1223" s="393" t="s">
        <v>827</v>
      </c>
      <c r="P1223" s="393" t="s">
        <v>827</v>
      </c>
      <c r="Q1223" s="392" t="s">
        <v>836</v>
      </c>
      <c r="R1223" s="392" t="s">
        <v>3519</v>
      </c>
      <c r="S1223" s="392" t="s">
        <v>650</v>
      </c>
      <c r="T1223" s="394">
        <v>1</v>
      </c>
      <c r="U1223" s="395">
        <v>65.596999999999994</v>
      </c>
      <c r="V1223" s="395"/>
      <c r="W1223" s="453"/>
      <c r="X1223" s="394"/>
      <c r="Y1223" s="394">
        <v>7</v>
      </c>
      <c r="Z1223" s="394">
        <v>30</v>
      </c>
      <c r="AA1223" s="395">
        <v>0</v>
      </c>
      <c r="AB1223" s="452">
        <v>41334</v>
      </c>
      <c r="AC1223" s="398">
        <v>0</v>
      </c>
      <c r="AD1223" s="398">
        <v>514.35236712328765</v>
      </c>
      <c r="AE1223" s="393" t="s">
        <v>133</v>
      </c>
      <c r="AF1223" s="417"/>
      <c r="AG1223" s="417"/>
      <c r="AH1223" s="417"/>
      <c r="AI1223" s="394"/>
      <c r="AJ1223" s="453"/>
      <c r="AK1223" s="453"/>
      <c r="AL1223" s="393"/>
      <c r="AM1223" s="393"/>
      <c r="AN1223" s="417"/>
      <c r="AO1223" s="392"/>
      <c r="AP1223" s="392" t="s">
        <v>55</v>
      </c>
      <c r="AQ1223" s="392"/>
      <c r="AR1223" s="392" t="s">
        <v>3787</v>
      </c>
      <c r="AS1223" s="479">
        <v>41004</v>
      </c>
      <c r="AT1223" s="453"/>
      <c r="AU1223" s="453"/>
      <c r="AV1223" s="453"/>
      <c r="AW1223" s="453"/>
      <c r="AX1223" s="453"/>
      <c r="AY1223" s="453"/>
      <c r="AZ1223" s="452">
        <v>41276</v>
      </c>
      <c r="BA1223" s="393"/>
      <c r="BB1223" s="393"/>
      <c r="BC1223" s="393" t="b">
        <v>0</v>
      </c>
      <c r="BD1223" s="393"/>
      <c r="BE1223" s="392"/>
      <c r="BF1223" s="394">
        <v>5</v>
      </c>
      <c r="BG1223" s="394">
        <v>9</v>
      </c>
      <c r="BH1223" s="394">
        <v>4</v>
      </c>
      <c r="BI1223" s="394">
        <v>3</v>
      </c>
      <c r="BJ1223" s="394"/>
      <c r="BK1223" s="394"/>
      <c r="BL1223" s="444" t="s">
        <v>1451</v>
      </c>
      <c r="BM1223" s="392" t="s">
        <v>3520</v>
      </c>
      <c r="BN1223" s="393" t="s">
        <v>117</v>
      </c>
      <c r="BO1223" s="393"/>
      <c r="BP1223" s="399"/>
      <c r="BQ1223" s="400"/>
      <c r="BR1223" s="401"/>
      <c r="BS1223" s="399">
        <v>25</v>
      </c>
      <c r="BT1223" s="394">
        <v>66395</v>
      </c>
      <c r="BU1223" s="417">
        <v>0.98799999999999999</v>
      </c>
      <c r="BV1223" s="399"/>
      <c r="BW1223" s="393" t="s">
        <v>3117</v>
      </c>
      <c r="BX1223" s="392" t="s">
        <v>4364</v>
      </c>
      <c r="BY1223" s="393" t="s">
        <v>7225</v>
      </c>
      <c r="BZ1223" s="393"/>
      <c r="CA1223" s="441"/>
      <c r="CB1223" s="400"/>
      <c r="CC1223" s="398"/>
      <c r="CD1223" s="398"/>
      <c r="CE1223" s="398"/>
      <c r="CF1223" s="398"/>
      <c r="CG1223" s="398"/>
      <c r="CH1223" s="398"/>
      <c r="CI1223" s="398"/>
      <c r="CJ1223" s="398"/>
      <c r="CK1223" s="398">
        <v>68.873000000000005</v>
      </c>
      <c r="CL1223" s="398">
        <v>68.331999999999994</v>
      </c>
      <c r="CM1223" s="398">
        <v>67.771000000000001</v>
      </c>
      <c r="CN1223" s="398">
        <v>67.22</v>
      </c>
      <c r="CO1223" s="398">
        <v>66.668999999999997</v>
      </c>
      <c r="CP1223" s="398">
        <v>66.117999999999995</v>
      </c>
      <c r="CQ1223" s="398">
        <v>65.566999999999993</v>
      </c>
      <c r="CR1223" s="398">
        <v>65.016000000000005</v>
      </c>
      <c r="CS1223" s="398">
        <v>64.465000000000003</v>
      </c>
      <c r="CT1223" s="398">
        <v>63.914000000000001</v>
      </c>
      <c r="CU1223" s="398"/>
      <c r="CV1223" s="398"/>
      <c r="CW1223" s="398"/>
      <c r="CX1223" s="398"/>
      <c r="CY1223" s="398"/>
      <c r="CZ1223" s="398"/>
      <c r="DA1223" s="398"/>
      <c r="DB1223" s="398"/>
      <c r="DC1223" s="398"/>
      <c r="DD1223" s="398"/>
      <c r="DE1223" s="393"/>
      <c r="DF1223" s="393"/>
      <c r="DG1223" s="393"/>
      <c r="DH1223" s="393"/>
      <c r="DI1223" s="393"/>
      <c r="DJ1223" s="393"/>
      <c r="DK1223" s="897"/>
    </row>
    <row r="1224" spans="1:115" ht="25.5" x14ac:dyDescent="0.2">
      <c r="A1224" s="295">
        <v>1220</v>
      </c>
      <c r="B1224" s="390" t="s">
        <v>1627</v>
      </c>
      <c r="C1224" s="424" t="s">
        <v>7696</v>
      </c>
      <c r="D1224" s="391"/>
      <c r="E1224" s="708" t="s">
        <v>953</v>
      </c>
      <c r="F1224" s="404" t="s">
        <v>1352</v>
      </c>
      <c r="G1224" s="404" t="s">
        <v>1671</v>
      </c>
      <c r="H1224" s="404" t="s">
        <v>107</v>
      </c>
      <c r="I1224" s="403"/>
      <c r="J1224" s="403" t="s">
        <v>957</v>
      </c>
      <c r="K1224" s="403"/>
      <c r="L1224" s="403" t="s">
        <v>954</v>
      </c>
      <c r="M1224" s="403" t="s">
        <v>4113</v>
      </c>
      <c r="N1224" s="404" t="s">
        <v>2412</v>
      </c>
      <c r="O1224" s="404" t="s">
        <v>827</v>
      </c>
      <c r="P1224" s="404" t="s">
        <v>827</v>
      </c>
      <c r="Q1224" s="403" t="s">
        <v>836</v>
      </c>
      <c r="R1224" s="403"/>
      <c r="S1224" s="486" t="s">
        <v>7902</v>
      </c>
      <c r="T1224" s="405"/>
      <c r="U1224" s="406"/>
      <c r="V1224" s="406"/>
      <c r="W1224" s="456">
        <v>40336</v>
      </c>
      <c r="X1224" s="405">
        <v>28</v>
      </c>
      <c r="Y1224" s="405"/>
      <c r="Z1224" s="405"/>
      <c r="AA1224" s="406"/>
      <c r="AB1224" s="455"/>
      <c r="AC1224" s="407"/>
      <c r="AD1224" s="407"/>
      <c r="AE1224" s="404" t="s">
        <v>111</v>
      </c>
      <c r="AF1224" s="418"/>
      <c r="AG1224" s="418"/>
      <c r="AH1224" s="418"/>
      <c r="AI1224" s="405"/>
      <c r="AJ1224" s="455"/>
      <c r="AK1224" s="455"/>
      <c r="AL1224" s="404"/>
      <c r="AM1224" s="404"/>
      <c r="AN1224" s="418"/>
      <c r="AO1224" s="403"/>
      <c r="AP1224" s="403" t="s">
        <v>55</v>
      </c>
      <c r="AQ1224" s="403"/>
      <c r="AR1224" s="403" t="s">
        <v>954</v>
      </c>
      <c r="AS1224" s="482">
        <v>40628</v>
      </c>
      <c r="AT1224" s="456">
        <v>41006</v>
      </c>
      <c r="AU1224" s="455" t="s">
        <v>952</v>
      </c>
      <c r="AV1224" s="455"/>
      <c r="AW1224" s="455"/>
      <c r="AX1224" s="455"/>
      <c r="AY1224" s="455"/>
      <c r="AZ1224" s="455"/>
      <c r="BA1224" s="404"/>
      <c r="BB1224" s="404" t="s">
        <v>3116</v>
      </c>
      <c r="BC1224" s="404" t="b">
        <v>0</v>
      </c>
      <c r="BD1224" s="404" t="s">
        <v>3147</v>
      </c>
      <c r="BE1224" s="403"/>
      <c r="BF1224" s="405">
        <v>8</v>
      </c>
      <c r="BG1224" s="405">
        <v>9</v>
      </c>
      <c r="BH1224" s="405">
        <v>8</v>
      </c>
      <c r="BI1224" s="405">
        <v>1</v>
      </c>
      <c r="BJ1224" s="405"/>
      <c r="BK1224" s="405"/>
      <c r="BL1224" s="446"/>
      <c r="BM1224" s="403"/>
      <c r="BN1224" s="404"/>
      <c r="BO1224" s="404"/>
      <c r="BP1224" s="408"/>
      <c r="BQ1224" s="409"/>
      <c r="BR1224" s="410"/>
      <c r="BS1224" s="408"/>
      <c r="BT1224" s="405"/>
      <c r="BU1224" s="418"/>
      <c r="BV1224" s="408"/>
      <c r="BW1224" s="404"/>
      <c r="BX1224" s="403"/>
      <c r="BY1224" s="404"/>
      <c r="BZ1224" s="404"/>
      <c r="CA1224" s="443"/>
      <c r="CB1224" s="409"/>
      <c r="CC1224" s="407"/>
      <c r="CD1224" s="407"/>
      <c r="CE1224" s="407"/>
      <c r="CF1224" s="407"/>
      <c r="CG1224" s="407"/>
      <c r="CH1224" s="407"/>
      <c r="CI1224" s="407"/>
      <c r="CJ1224" s="407"/>
      <c r="CK1224" s="407"/>
      <c r="CL1224" s="407"/>
      <c r="CM1224" s="407"/>
      <c r="CN1224" s="407"/>
      <c r="CO1224" s="407"/>
      <c r="CP1224" s="407"/>
      <c r="CQ1224" s="407"/>
      <c r="CR1224" s="407"/>
      <c r="CS1224" s="407"/>
      <c r="CT1224" s="407"/>
      <c r="CU1224" s="407"/>
      <c r="CV1224" s="407"/>
      <c r="CW1224" s="407"/>
      <c r="CX1224" s="407"/>
      <c r="CY1224" s="407"/>
      <c r="CZ1224" s="407"/>
      <c r="DA1224" s="407"/>
      <c r="DB1224" s="407"/>
      <c r="DC1224" s="407"/>
      <c r="DD1224" s="407"/>
      <c r="DE1224" s="404"/>
      <c r="DF1224" s="404"/>
      <c r="DG1224" s="404"/>
      <c r="DH1224" s="404"/>
      <c r="DI1224" s="404"/>
      <c r="DJ1224" s="404"/>
      <c r="DK1224" s="897"/>
    </row>
    <row r="1225" spans="1:115" ht="25.5" x14ac:dyDescent="0.2">
      <c r="A1225" s="295">
        <v>1221</v>
      </c>
      <c r="B1225" s="390" t="s">
        <v>2868</v>
      </c>
      <c r="C1225" s="390"/>
      <c r="D1225" s="391"/>
      <c r="E1225" s="707" t="s">
        <v>1650</v>
      </c>
      <c r="F1225" s="404" t="s">
        <v>1352</v>
      </c>
      <c r="G1225" s="404" t="s">
        <v>1671</v>
      </c>
      <c r="H1225" s="404" t="s">
        <v>107</v>
      </c>
      <c r="I1225" s="403"/>
      <c r="J1225" s="403"/>
      <c r="K1225" s="403" t="s">
        <v>957</v>
      </c>
      <c r="L1225" s="403" t="s">
        <v>954</v>
      </c>
      <c r="M1225" s="403"/>
      <c r="N1225" s="404" t="s">
        <v>2412</v>
      </c>
      <c r="O1225" s="404" t="s">
        <v>827</v>
      </c>
      <c r="P1225" s="404" t="s">
        <v>827</v>
      </c>
      <c r="Q1225" s="403" t="s">
        <v>836</v>
      </c>
      <c r="R1225" s="403" t="s">
        <v>4114</v>
      </c>
      <c r="S1225" s="486" t="s">
        <v>7902</v>
      </c>
      <c r="T1225" s="405">
        <v>1</v>
      </c>
      <c r="U1225" s="406">
        <v>2.2259999999999999E-2</v>
      </c>
      <c r="V1225" s="406"/>
      <c r="W1225" s="455"/>
      <c r="X1225" s="405"/>
      <c r="Y1225" s="405">
        <v>10</v>
      </c>
      <c r="Z1225" s="405"/>
      <c r="AA1225" s="406">
        <v>0</v>
      </c>
      <c r="AB1225" s="456">
        <v>40652</v>
      </c>
      <c r="AC1225" s="407">
        <v>3.9E-2</v>
      </c>
      <c r="AD1225" s="407">
        <v>0.22259999999999999</v>
      </c>
      <c r="AE1225" s="404" t="s">
        <v>111</v>
      </c>
      <c r="AF1225" s="418"/>
      <c r="AG1225" s="418"/>
      <c r="AH1225" s="418"/>
      <c r="AI1225" s="405"/>
      <c r="AJ1225" s="455"/>
      <c r="AK1225" s="455"/>
      <c r="AL1225" s="404"/>
      <c r="AM1225" s="404"/>
      <c r="AN1225" s="418"/>
      <c r="AO1225" s="403"/>
      <c r="AP1225" s="403" t="s">
        <v>55</v>
      </c>
      <c r="AQ1225" s="403"/>
      <c r="AR1225" s="403" t="s">
        <v>954</v>
      </c>
      <c r="AS1225" s="482">
        <v>40628</v>
      </c>
      <c r="AT1225" s="456">
        <v>41006</v>
      </c>
      <c r="AU1225" s="455" t="s">
        <v>2671</v>
      </c>
      <c r="AV1225" s="455"/>
      <c r="AW1225" s="455"/>
      <c r="AX1225" s="455"/>
      <c r="AY1225" s="455"/>
      <c r="AZ1225" s="455"/>
      <c r="BA1225" s="404"/>
      <c r="BB1225" s="404"/>
      <c r="BC1225" s="404" t="b">
        <v>0</v>
      </c>
      <c r="BD1225" s="404"/>
      <c r="BE1225" s="403"/>
      <c r="BF1225" s="405">
        <v>8</v>
      </c>
      <c r="BG1225" s="405">
        <v>9</v>
      </c>
      <c r="BH1225" s="405">
        <v>8</v>
      </c>
      <c r="BI1225" s="405">
        <v>1</v>
      </c>
      <c r="BJ1225" s="405"/>
      <c r="BK1225" s="405"/>
      <c r="BL1225" s="446" t="s">
        <v>6981</v>
      </c>
      <c r="BM1225" s="403"/>
      <c r="BN1225" s="404"/>
      <c r="BO1225" s="404"/>
      <c r="BP1225" s="408"/>
      <c r="BQ1225" s="409"/>
      <c r="BR1225" s="410"/>
      <c r="BS1225" s="408"/>
      <c r="BT1225" s="405">
        <v>33</v>
      </c>
      <c r="BU1225" s="418">
        <v>0.67879999999999996</v>
      </c>
      <c r="BV1225" s="408"/>
      <c r="BW1225" s="404" t="s">
        <v>3117</v>
      </c>
      <c r="BX1225" s="403" t="s">
        <v>4364</v>
      </c>
      <c r="BY1225" s="404" t="s">
        <v>7224</v>
      </c>
      <c r="BZ1225" s="404"/>
      <c r="CA1225" s="443"/>
      <c r="CB1225" s="409"/>
      <c r="CC1225" s="407"/>
      <c r="CD1225" s="407"/>
      <c r="CE1225" s="407"/>
      <c r="CF1225" s="407"/>
      <c r="CG1225" s="407">
        <v>2.2259999999999999E-2</v>
      </c>
      <c r="CH1225" s="407">
        <v>2.2259999999999999E-2</v>
      </c>
      <c r="CI1225" s="407">
        <v>2.2259999999999999E-2</v>
      </c>
      <c r="CJ1225" s="407">
        <v>2.2259999999999999E-2</v>
      </c>
      <c r="CK1225" s="407">
        <v>2.2259999999999999E-2</v>
      </c>
      <c r="CL1225" s="407">
        <v>2.2259999999999999E-2</v>
      </c>
      <c r="CM1225" s="407">
        <v>2.2259999999999999E-2</v>
      </c>
      <c r="CN1225" s="407">
        <v>2.2259999999999999E-2</v>
      </c>
      <c r="CO1225" s="407">
        <v>2.2259999999999999E-2</v>
      </c>
      <c r="CP1225" s="407">
        <v>2.2259999999999999E-2</v>
      </c>
      <c r="CQ1225" s="407"/>
      <c r="CR1225" s="407"/>
      <c r="CS1225" s="407"/>
      <c r="CT1225" s="407"/>
      <c r="CU1225" s="407"/>
      <c r="CV1225" s="407"/>
      <c r="CW1225" s="407"/>
      <c r="CX1225" s="407"/>
      <c r="CY1225" s="407"/>
      <c r="CZ1225" s="407"/>
      <c r="DA1225" s="407"/>
      <c r="DB1225" s="407"/>
      <c r="DC1225" s="407"/>
      <c r="DD1225" s="407"/>
      <c r="DE1225" s="404"/>
      <c r="DF1225" s="404"/>
      <c r="DG1225" s="404"/>
      <c r="DH1225" s="404"/>
      <c r="DI1225" s="404"/>
      <c r="DJ1225" s="404"/>
      <c r="DK1225" s="897"/>
    </row>
    <row r="1226" spans="1:115" ht="51" x14ac:dyDescent="0.2">
      <c r="A1226" s="295">
        <v>1222</v>
      </c>
      <c r="B1226" s="390" t="s">
        <v>1628</v>
      </c>
      <c r="C1226" s="424" t="s">
        <v>7697</v>
      </c>
      <c r="D1226" s="391" t="s">
        <v>5182</v>
      </c>
      <c r="E1226" s="704" t="s">
        <v>1651</v>
      </c>
      <c r="F1226" s="393" t="s">
        <v>1375</v>
      </c>
      <c r="G1226" s="393" t="s">
        <v>998</v>
      </c>
      <c r="H1226" s="393" t="s">
        <v>218</v>
      </c>
      <c r="I1226" s="392"/>
      <c r="J1226" s="392" t="s">
        <v>218</v>
      </c>
      <c r="K1226" s="392"/>
      <c r="L1226" s="392" t="s">
        <v>1652</v>
      </c>
      <c r="M1226" s="392" t="s">
        <v>4115</v>
      </c>
      <c r="N1226" s="393" t="s">
        <v>44</v>
      </c>
      <c r="O1226" s="393" t="s">
        <v>51</v>
      </c>
      <c r="P1226" s="393" t="s">
        <v>51</v>
      </c>
      <c r="Q1226" s="392" t="s">
        <v>976</v>
      </c>
      <c r="R1226" s="392"/>
      <c r="S1226" s="392" t="s">
        <v>977</v>
      </c>
      <c r="T1226" s="394">
        <v>1</v>
      </c>
      <c r="U1226" s="395">
        <v>34.765000000000001</v>
      </c>
      <c r="V1226" s="395"/>
      <c r="W1226" s="452">
        <v>41306</v>
      </c>
      <c r="X1226" s="394">
        <v>28</v>
      </c>
      <c r="Y1226" s="394"/>
      <c r="Z1226" s="394"/>
      <c r="AA1226" s="395"/>
      <c r="AB1226" s="453"/>
      <c r="AC1226" s="398">
        <v>0.47599999999999998</v>
      </c>
      <c r="AD1226" s="398">
        <v>347.65</v>
      </c>
      <c r="AE1226" s="393" t="s">
        <v>72</v>
      </c>
      <c r="AF1226" s="417"/>
      <c r="AG1226" s="417"/>
      <c r="AH1226" s="417">
        <v>0</v>
      </c>
      <c r="AI1226" s="394"/>
      <c r="AJ1226" s="453"/>
      <c r="AK1226" s="453"/>
      <c r="AL1226" s="393"/>
      <c r="AM1226" s="393"/>
      <c r="AN1226" s="417"/>
      <c r="AO1226" s="392"/>
      <c r="AP1226" s="392" t="s">
        <v>55</v>
      </c>
      <c r="AQ1226" s="392"/>
      <c r="AR1226" s="392" t="s">
        <v>3804</v>
      </c>
      <c r="AS1226" s="479">
        <v>41006</v>
      </c>
      <c r="AT1226" s="453"/>
      <c r="AU1226" s="453"/>
      <c r="AV1226" s="452">
        <v>41085</v>
      </c>
      <c r="AW1226" s="452">
        <v>41270</v>
      </c>
      <c r="AX1226" s="452">
        <v>41402</v>
      </c>
      <c r="AY1226" s="452">
        <v>41270</v>
      </c>
      <c r="AZ1226" s="453"/>
      <c r="BA1226" s="393"/>
      <c r="BB1226" s="393" t="s">
        <v>3116</v>
      </c>
      <c r="BC1226" s="393" t="b">
        <v>0</v>
      </c>
      <c r="BD1226" s="393" t="s">
        <v>3116</v>
      </c>
      <c r="BE1226" s="392"/>
      <c r="BF1226" s="394">
        <v>4</v>
      </c>
      <c r="BG1226" s="394">
        <v>1</v>
      </c>
      <c r="BH1226" s="394">
        <v>6</v>
      </c>
      <c r="BI1226" s="394"/>
      <c r="BJ1226" s="394"/>
      <c r="BK1226" s="394"/>
      <c r="BL1226" s="444"/>
      <c r="BM1226" s="392"/>
      <c r="BN1226" s="393"/>
      <c r="BO1226" s="393"/>
      <c r="BP1226" s="399"/>
      <c r="BQ1226" s="400"/>
      <c r="BR1226" s="401"/>
      <c r="BS1226" s="399">
        <v>0</v>
      </c>
      <c r="BT1226" s="394"/>
      <c r="BU1226" s="417"/>
      <c r="BV1226" s="399"/>
      <c r="BW1226" s="393"/>
      <c r="BX1226" s="392"/>
      <c r="BY1226" s="393"/>
      <c r="BZ1226" s="393"/>
      <c r="CA1226" s="441"/>
      <c r="CB1226" s="400"/>
      <c r="CC1226" s="398"/>
      <c r="CD1226" s="398"/>
      <c r="CE1226" s="398"/>
      <c r="CF1226" s="398"/>
      <c r="CG1226" s="398"/>
      <c r="CH1226" s="398"/>
      <c r="CI1226" s="398"/>
      <c r="CJ1226" s="398"/>
      <c r="CK1226" s="398"/>
      <c r="CL1226" s="398"/>
      <c r="CM1226" s="398"/>
      <c r="CN1226" s="398"/>
      <c r="CO1226" s="398"/>
      <c r="CP1226" s="398"/>
      <c r="CQ1226" s="398"/>
      <c r="CR1226" s="398"/>
      <c r="CS1226" s="398"/>
      <c r="CT1226" s="398"/>
      <c r="CU1226" s="398"/>
      <c r="CV1226" s="398"/>
      <c r="CW1226" s="398"/>
      <c r="CX1226" s="398"/>
      <c r="CY1226" s="398"/>
      <c r="CZ1226" s="398"/>
      <c r="DA1226" s="398"/>
      <c r="DB1226" s="398"/>
      <c r="DC1226" s="398"/>
      <c r="DD1226" s="398"/>
      <c r="DE1226" s="393"/>
      <c r="DF1226" s="393"/>
      <c r="DG1226" s="393"/>
      <c r="DH1226" s="393"/>
      <c r="DI1226" s="393"/>
      <c r="DJ1226" s="393"/>
      <c r="DK1226" s="896" t="s">
        <v>9701</v>
      </c>
    </row>
    <row r="1227" spans="1:115" ht="15" x14ac:dyDescent="0.2">
      <c r="A1227" s="295">
        <v>1223</v>
      </c>
      <c r="B1227" s="390" t="s">
        <v>2869</v>
      </c>
      <c r="C1227" s="390"/>
      <c r="D1227" s="391" t="s">
        <v>4961</v>
      </c>
      <c r="E1227" s="704" t="s">
        <v>1653</v>
      </c>
      <c r="F1227" s="393" t="s">
        <v>1375</v>
      </c>
      <c r="G1227" s="393" t="s">
        <v>998</v>
      </c>
      <c r="H1227" s="393" t="s">
        <v>218</v>
      </c>
      <c r="I1227" s="392"/>
      <c r="J1227" s="392"/>
      <c r="K1227" s="392" t="s">
        <v>2145</v>
      </c>
      <c r="L1227" s="392" t="s">
        <v>1652</v>
      </c>
      <c r="M1227" s="392"/>
      <c r="N1227" s="393" t="s">
        <v>44</v>
      </c>
      <c r="O1227" s="393" t="s">
        <v>51</v>
      </c>
      <c r="P1227" s="393" t="s">
        <v>51</v>
      </c>
      <c r="Q1227" s="392" t="s">
        <v>976</v>
      </c>
      <c r="R1227" s="392" t="s">
        <v>3521</v>
      </c>
      <c r="S1227" s="392" t="s">
        <v>977</v>
      </c>
      <c r="T1227" s="394">
        <v>1</v>
      </c>
      <c r="U1227" s="395">
        <v>34.765000000000001</v>
      </c>
      <c r="V1227" s="395"/>
      <c r="W1227" s="453"/>
      <c r="X1227" s="394"/>
      <c r="Y1227" s="394">
        <v>10</v>
      </c>
      <c r="Z1227" s="394"/>
      <c r="AA1227" s="395">
        <v>0</v>
      </c>
      <c r="AB1227" s="452">
        <v>41270</v>
      </c>
      <c r="AC1227" s="398">
        <v>0.47599999999999998</v>
      </c>
      <c r="AD1227" s="398">
        <v>347.65</v>
      </c>
      <c r="AE1227" s="393" t="s">
        <v>72</v>
      </c>
      <c r="AF1227" s="417"/>
      <c r="AG1227" s="417"/>
      <c r="AH1227" s="417"/>
      <c r="AI1227" s="394"/>
      <c r="AJ1227" s="453"/>
      <c r="AK1227" s="453"/>
      <c r="AL1227" s="393"/>
      <c r="AM1227" s="393"/>
      <c r="AN1227" s="417"/>
      <c r="AO1227" s="392"/>
      <c r="AP1227" s="392" t="s">
        <v>55</v>
      </c>
      <c r="AQ1227" s="392"/>
      <c r="AR1227" s="392" t="s">
        <v>3804</v>
      </c>
      <c r="AS1227" s="479">
        <v>41006</v>
      </c>
      <c r="AT1227" s="453"/>
      <c r="AU1227" s="453"/>
      <c r="AV1227" s="453"/>
      <c r="AW1227" s="453"/>
      <c r="AX1227" s="453"/>
      <c r="AY1227" s="453"/>
      <c r="AZ1227" s="452">
        <v>41270</v>
      </c>
      <c r="BA1227" s="393"/>
      <c r="BB1227" s="393"/>
      <c r="BC1227" s="393" t="b">
        <v>0</v>
      </c>
      <c r="BD1227" s="393"/>
      <c r="BE1227" s="392"/>
      <c r="BF1227" s="394">
        <v>4</v>
      </c>
      <c r="BG1227" s="394">
        <v>1</v>
      </c>
      <c r="BH1227" s="394">
        <v>6</v>
      </c>
      <c r="BI1227" s="394"/>
      <c r="BJ1227" s="394"/>
      <c r="BK1227" s="394"/>
      <c r="BL1227" s="444" t="s">
        <v>6983</v>
      </c>
      <c r="BM1227" s="392"/>
      <c r="BN1227" s="393"/>
      <c r="BO1227" s="393"/>
      <c r="BP1227" s="399"/>
      <c r="BQ1227" s="400"/>
      <c r="BR1227" s="401"/>
      <c r="BS1227" s="399"/>
      <c r="BT1227" s="394"/>
      <c r="BU1227" s="417"/>
      <c r="BV1227" s="399"/>
      <c r="BW1227" s="393" t="s">
        <v>3117</v>
      </c>
      <c r="BX1227" s="392" t="s">
        <v>4364</v>
      </c>
      <c r="BY1227" s="393" t="s">
        <v>7224</v>
      </c>
      <c r="BZ1227" s="393"/>
      <c r="CA1227" s="441"/>
      <c r="CB1227" s="400"/>
      <c r="CC1227" s="398"/>
      <c r="CD1227" s="398"/>
      <c r="CE1227" s="398"/>
      <c r="CF1227" s="398"/>
      <c r="CG1227" s="398"/>
      <c r="CH1227" s="398"/>
      <c r="CI1227" s="398">
        <v>6.5590000000000002</v>
      </c>
      <c r="CJ1227" s="398">
        <v>26.236999999999998</v>
      </c>
      <c r="CK1227" s="398">
        <v>39.356000000000002</v>
      </c>
      <c r="CL1227" s="398">
        <v>39.356000000000002</v>
      </c>
      <c r="CM1227" s="398">
        <v>39.356000000000002</v>
      </c>
      <c r="CN1227" s="398">
        <v>39.356000000000002</v>
      </c>
      <c r="CO1227" s="398">
        <v>39.356000000000002</v>
      </c>
      <c r="CP1227" s="398">
        <v>39.356000000000002</v>
      </c>
      <c r="CQ1227" s="398">
        <v>39.356000000000002</v>
      </c>
      <c r="CR1227" s="398">
        <v>39.356000000000002</v>
      </c>
      <c r="CS1227" s="398"/>
      <c r="CT1227" s="398"/>
      <c r="CU1227" s="398"/>
      <c r="CV1227" s="398"/>
      <c r="CW1227" s="398"/>
      <c r="CX1227" s="398"/>
      <c r="CY1227" s="398"/>
      <c r="CZ1227" s="398"/>
      <c r="DA1227" s="398"/>
      <c r="DB1227" s="398"/>
      <c r="DC1227" s="398"/>
      <c r="DD1227" s="398"/>
      <c r="DE1227" s="393"/>
      <c r="DF1227" s="393"/>
      <c r="DG1227" s="393"/>
      <c r="DH1227" s="393"/>
      <c r="DI1227" s="393"/>
      <c r="DJ1227" s="393"/>
      <c r="DK1227" s="897"/>
    </row>
    <row r="1228" spans="1:115" ht="25.5" x14ac:dyDescent="0.2">
      <c r="A1228" s="295">
        <v>1224</v>
      </c>
      <c r="B1228" s="390" t="s">
        <v>1679</v>
      </c>
      <c r="C1228" s="424" t="s">
        <v>7698</v>
      </c>
      <c r="D1228" s="391" t="s">
        <v>5436</v>
      </c>
      <c r="E1228" s="704" t="s">
        <v>1680</v>
      </c>
      <c r="F1228" s="393" t="s">
        <v>1340</v>
      </c>
      <c r="G1228" s="393" t="s">
        <v>1677</v>
      </c>
      <c r="H1228" s="393" t="s">
        <v>718</v>
      </c>
      <c r="I1228" s="392"/>
      <c r="J1228" s="392" t="s">
        <v>718</v>
      </c>
      <c r="K1228" s="392"/>
      <c r="L1228" s="392" t="s">
        <v>1681</v>
      </c>
      <c r="M1228" s="392" t="s">
        <v>4116</v>
      </c>
      <c r="N1228" s="393" t="s">
        <v>44</v>
      </c>
      <c r="O1228" s="393" t="s">
        <v>827</v>
      </c>
      <c r="P1228" s="393" t="s">
        <v>827</v>
      </c>
      <c r="Q1228" s="392" t="s">
        <v>1834</v>
      </c>
      <c r="R1228" s="392"/>
      <c r="S1228" s="392" t="s">
        <v>291</v>
      </c>
      <c r="T1228" s="394">
        <v>1</v>
      </c>
      <c r="U1228" s="395">
        <v>18.091000000000001</v>
      </c>
      <c r="V1228" s="395"/>
      <c r="W1228" s="452">
        <v>41334</v>
      </c>
      <c r="X1228" s="394">
        <v>28</v>
      </c>
      <c r="Y1228" s="394"/>
      <c r="Z1228" s="394"/>
      <c r="AA1228" s="395"/>
      <c r="AB1228" s="453"/>
      <c r="AC1228" s="398">
        <v>0</v>
      </c>
      <c r="AD1228" s="398">
        <v>126.7361287671233</v>
      </c>
      <c r="AE1228" s="393" t="s">
        <v>133</v>
      </c>
      <c r="AF1228" s="417"/>
      <c r="AG1228" s="417"/>
      <c r="AH1228" s="417">
        <v>0</v>
      </c>
      <c r="AI1228" s="394"/>
      <c r="AJ1228" s="453"/>
      <c r="AK1228" s="453"/>
      <c r="AL1228" s="393"/>
      <c r="AM1228" s="393"/>
      <c r="AN1228" s="417"/>
      <c r="AO1228" s="392"/>
      <c r="AP1228" s="392" t="s">
        <v>55</v>
      </c>
      <c r="AQ1228" s="392"/>
      <c r="AR1228" s="392" t="s">
        <v>1682</v>
      </c>
      <c r="AS1228" s="479">
        <v>41013</v>
      </c>
      <c r="AT1228" s="453"/>
      <c r="AU1228" s="453"/>
      <c r="AV1228" s="452">
        <v>41074</v>
      </c>
      <c r="AW1228" s="452">
        <v>41272</v>
      </c>
      <c r="AX1228" s="452">
        <v>41467</v>
      </c>
      <c r="AY1228" s="452">
        <v>41274</v>
      </c>
      <c r="AZ1228" s="453"/>
      <c r="BA1228" s="393"/>
      <c r="BB1228" s="393" t="s">
        <v>3147</v>
      </c>
      <c r="BC1228" s="393" t="b">
        <v>1</v>
      </c>
      <c r="BD1228" s="393" t="s">
        <v>3147</v>
      </c>
      <c r="BE1228" s="392"/>
      <c r="BF1228" s="394">
        <v>9</v>
      </c>
      <c r="BG1228" s="394">
        <v>7</v>
      </c>
      <c r="BH1228" s="394"/>
      <c r="BI1228" s="394"/>
      <c r="BJ1228" s="394"/>
      <c r="BK1228" s="394"/>
      <c r="BL1228" s="444"/>
      <c r="BM1228" s="392"/>
      <c r="BN1228" s="393"/>
      <c r="BO1228" s="393"/>
      <c r="BP1228" s="399"/>
      <c r="BQ1228" s="400"/>
      <c r="BR1228" s="401"/>
      <c r="BS1228" s="399">
        <v>8</v>
      </c>
      <c r="BT1228" s="394"/>
      <c r="BU1228" s="417"/>
      <c r="BV1228" s="399"/>
      <c r="BW1228" s="393"/>
      <c r="BX1228" s="392"/>
      <c r="BY1228" s="393"/>
      <c r="BZ1228" s="393"/>
      <c r="CA1228" s="441"/>
      <c r="CB1228" s="400"/>
      <c r="CC1228" s="398"/>
      <c r="CD1228" s="398"/>
      <c r="CE1228" s="398"/>
      <c r="CF1228" s="398"/>
      <c r="CG1228" s="398"/>
      <c r="CH1228" s="398"/>
      <c r="CI1228" s="398"/>
      <c r="CJ1228" s="398"/>
      <c r="CK1228" s="398"/>
      <c r="CL1228" s="398"/>
      <c r="CM1228" s="398"/>
      <c r="CN1228" s="398"/>
      <c r="CO1228" s="398"/>
      <c r="CP1228" s="398"/>
      <c r="CQ1228" s="398"/>
      <c r="CR1228" s="398"/>
      <c r="CS1228" s="398"/>
      <c r="CT1228" s="398"/>
      <c r="CU1228" s="398"/>
      <c r="CV1228" s="398"/>
      <c r="CW1228" s="398"/>
      <c r="CX1228" s="398"/>
      <c r="CY1228" s="398"/>
      <c r="CZ1228" s="398"/>
      <c r="DA1228" s="398"/>
      <c r="DB1228" s="398"/>
      <c r="DC1228" s="398"/>
      <c r="DD1228" s="398"/>
      <c r="DE1228" s="393"/>
      <c r="DF1228" s="393"/>
      <c r="DG1228" s="393"/>
      <c r="DH1228" s="393"/>
      <c r="DI1228" s="393"/>
      <c r="DJ1228" s="393"/>
      <c r="DK1228" s="896" t="s">
        <v>9754</v>
      </c>
    </row>
    <row r="1229" spans="1:115" ht="25.5" x14ac:dyDescent="0.2">
      <c r="A1229" s="295">
        <v>1225</v>
      </c>
      <c r="B1229" s="390" t="s">
        <v>2870</v>
      </c>
      <c r="C1229" s="390"/>
      <c r="D1229" s="391" t="s">
        <v>5437</v>
      </c>
      <c r="E1229" s="704" t="s">
        <v>1683</v>
      </c>
      <c r="F1229" s="393" t="s">
        <v>1340</v>
      </c>
      <c r="G1229" s="393" t="s">
        <v>1677</v>
      </c>
      <c r="H1229" s="393" t="s">
        <v>718</v>
      </c>
      <c r="I1229" s="392"/>
      <c r="J1229" s="392"/>
      <c r="K1229" s="392" t="s">
        <v>1770</v>
      </c>
      <c r="L1229" s="392" t="s">
        <v>1681</v>
      </c>
      <c r="M1229" s="392"/>
      <c r="N1229" s="393" t="s">
        <v>44</v>
      </c>
      <c r="O1229" s="393" t="s">
        <v>827</v>
      </c>
      <c r="P1229" s="393" t="s">
        <v>827</v>
      </c>
      <c r="Q1229" s="392" t="s">
        <v>836</v>
      </c>
      <c r="R1229" s="392" t="s">
        <v>3522</v>
      </c>
      <c r="S1229" s="392" t="s">
        <v>291</v>
      </c>
      <c r="T1229" s="394">
        <v>1</v>
      </c>
      <c r="U1229" s="395">
        <v>18.091000000000001</v>
      </c>
      <c r="V1229" s="395"/>
      <c r="W1229" s="453"/>
      <c r="X1229" s="394"/>
      <c r="Y1229" s="394">
        <v>7</v>
      </c>
      <c r="Z1229" s="394">
        <v>35</v>
      </c>
      <c r="AA1229" s="395">
        <v>0</v>
      </c>
      <c r="AB1229" s="452">
        <v>41639</v>
      </c>
      <c r="AC1229" s="398">
        <v>0</v>
      </c>
      <c r="AD1229" s="398">
        <v>126.7361287671233</v>
      </c>
      <c r="AE1229" s="393" t="s">
        <v>133</v>
      </c>
      <c r="AF1229" s="417"/>
      <c r="AG1229" s="417"/>
      <c r="AH1229" s="417"/>
      <c r="AI1229" s="394"/>
      <c r="AJ1229" s="453"/>
      <c r="AK1229" s="453"/>
      <c r="AL1229" s="393"/>
      <c r="AM1229" s="393"/>
      <c r="AN1229" s="417"/>
      <c r="AO1229" s="392"/>
      <c r="AP1229" s="392" t="s">
        <v>55</v>
      </c>
      <c r="AQ1229" s="392"/>
      <c r="AR1229" s="392" t="s">
        <v>1682</v>
      </c>
      <c r="AS1229" s="479">
        <v>41013</v>
      </c>
      <c r="AT1229" s="453"/>
      <c r="AU1229" s="453"/>
      <c r="AV1229" s="453"/>
      <c r="AW1229" s="453"/>
      <c r="AX1229" s="453"/>
      <c r="AY1229" s="453"/>
      <c r="AZ1229" s="452">
        <v>41274</v>
      </c>
      <c r="BA1229" s="393"/>
      <c r="BB1229" s="393"/>
      <c r="BC1229" s="393" t="b">
        <v>0</v>
      </c>
      <c r="BD1229" s="393"/>
      <c r="BE1229" s="392"/>
      <c r="BF1229" s="394">
        <v>9</v>
      </c>
      <c r="BG1229" s="394">
        <v>7</v>
      </c>
      <c r="BH1229" s="394"/>
      <c r="BI1229" s="394"/>
      <c r="BJ1229" s="394"/>
      <c r="BK1229" s="394"/>
      <c r="BL1229" s="444" t="s">
        <v>6981</v>
      </c>
      <c r="BM1229" s="392"/>
      <c r="BN1229" s="393"/>
      <c r="BO1229" s="393"/>
      <c r="BP1229" s="399"/>
      <c r="BQ1229" s="400"/>
      <c r="BR1229" s="401"/>
      <c r="BS1229" s="399">
        <v>8</v>
      </c>
      <c r="BT1229" s="394">
        <v>23004</v>
      </c>
      <c r="BU1229" s="417">
        <v>0.70220000000000005</v>
      </c>
      <c r="BV1229" s="399"/>
      <c r="BW1229" s="393" t="s">
        <v>3117</v>
      </c>
      <c r="BX1229" s="392"/>
      <c r="BY1229" s="393"/>
      <c r="BZ1229" s="393"/>
      <c r="CA1229" s="441"/>
      <c r="CB1229" s="400"/>
      <c r="CC1229" s="398"/>
      <c r="CD1229" s="398"/>
      <c r="CE1229" s="398"/>
      <c r="CF1229" s="398"/>
      <c r="CG1229" s="398"/>
      <c r="CH1229" s="398"/>
      <c r="CI1229" s="398"/>
      <c r="CJ1229" s="398">
        <v>18.091000000000001</v>
      </c>
      <c r="CK1229" s="398">
        <v>18.091000000000001</v>
      </c>
      <c r="CL1229" s="398">
        <v>18.091000000000001</v>
      </c>
      <c r="CM1229" s="398">
        <v>18.091000000000001</v>
      </c>
      <c r="CN1229" s="398">
        <v>18.091000000000001</v>
      </c>
      <c r="CO1229" s="398">
        <v>18.091000000000001</v>
      </c>
      <c r="CP1229" s="398">
        <v>18.091000000000001</v>
      </c>
      <c r="CQ1229" s="398"/>
      <c r="CR1229" s="398"/>
      <c r="CS1229" s="398"/>
      <c r="CT1229" s="398"/>
      <c r="CU1229" s="398"/>
      <c r="CV1229" s="398"/>
      <c r="CW1229" s="398"/>
      <c r="CX1229" s="398"/>
      <c r="CY1229" s="398"/>
      <c r="CZ1229" s="398"/>
      <c r="DA1229" s="398"/>
      <c r="DB1229" s="398"/>
      <c r="DC1229" s="398"/>
      <c r="DD1229" s="398"/>
      <c r="DE1229" s="393"/>
      <c r="DF1229" s="393"/>
      <c r="DG1229" s="393"/>
      <c r="DH1229" s="393"/>
      <c r="DI1229" s="393"/>
      <c r="DJ1229" s="393"/>
      <c r="DK1229" s="897"/>
    </row>
    <row r="1230" spans="1:115" ht="63.75" x14ac:dyDescent="0.2">
      <c r="A1230" s="295">
        <v>1226</v>
      </c>
      <c r="B1230" s="390" t="s">
        <v>1684</v>
      </c>
      <c r="C1230" s="424" t="s">
        <v>7699</v>
      </c>
      <c r="D1230" s="391" t="s">
        <v>5183</v>
      </c>
      <c r="E1230" s="704" t="s">
        <v>1685</v>
      </c>
      <c r="F1230" s="393" t="s">
        <v>1352</v>
      </c>
      <c r="G1230" s="393" t="s">
        <v>1671</v>
      </c>
      <c r="H1230" s="393" t="s">
        <v>117</v>
      </c>
      <c r="I1230" s="392"/>
      <c r="J1230" s="392" t="s">
        <v>117</v>
      </c>
      <c r="K1230" s="392"/>
      <c r="L1230" s="392" t="s">
        <v>1686</v>
      </c>
      <c r="M1230" s="392" t="s">
        <v>4117</v>
      </c>
      <c r="N1230" s="393" t="s">
        <v>44</v>
      </c>
      <c r="O1230" s="393" t="s">
        <v>827</v>
      </c>
      <c r="P1230" s="393" t="s">
        <v>827</v>
      </c>
      <c r="Q1230" s="392" t="s">
        <v>836</v>
      </c>
      <c r="R1230" s="392"/>
      <c r="S1230" s="392" t="s">
        <v>650</v>
      </c>
      <c r="T1230" s="394">
        <v>12</v>
      </c>
      <c r="U1230" s="395">
        <v>668.66000000000008</v>
      </c>
      <c r="V1230" s="395"/>
      <c r="W1230" s="452">
        <v>41013</v>
      </c>
      <c r="X1230" s="394">
        <v>28</v>
      </c>
      <c r="Y1230" s="394"/>
      <c r="Z1230" s="394"/>
      <c r="AA1230" s="395"/>
      <c r="AB1230" s="453"/>
      <c r="AC1230" s="398">
        <v>0</v>
      </c>
      <c r="AD1230" s="398">
        <v>3982.9247671232879</v>
      </c>
      <c r="AE1230" s="393" t="s">
        <v>72</v>
      </c>
      <c r="AF1230" s="417"/>
      <c r="AG1230" s="417"/>
      <c r="AH1230" s="417">
        <v>0</v>
      </c>
      <c r="AI1230" s="394"/>
      <c r="AJ1230" s="453"/>
      <c r="AK1230" s="453"/>
      <c r="AL1230" s="393"/>
      <c r="AM1230" s="393"/>
      <c r="AN1230" s="417"/>
      <c r="AO1230" s="392"/>
      <c r="AP1230" s="392" t="s">
        <v>7065</v>
      </c>
      <c r="AQ1230" s="392"/>
      <c r="AR1230" s="392" t="s">
        <v>3786</v>
      </c>
      <c r="AS1230" s="479">
        <v>41013</v>
      </c>
      <c r="AT1230" s="453"/>
      <c r="AU1230" s="453"/>
      <c r="AV1230" s="452">
        <v>41183</v>
      </c>
      <c r="AW1230" s="452">
        <v>41261</v>
      </c>
      <c r="AX1230" s="453"/>
      <c r="AY1230" s="452">
        <v>41261</v>
      </c>
      <c r="AZ1230" s="453"/>
      <c r="BA1230" s="393"/>
      <c r="BB1230" s="393" t="s">
        <v>3147</v>
      </c>
      <c r="BC1230" s="393" t="b">
        <v>1</v>
      </c>
      <c r="BD1230" s="393" t="s">
        <v>3147</v>
      </c>
      <c r="BE1230" s="392"/>
      <c r="BF1230" s="394">
        <v>1</v>
      </c>
      <c r="BG1230" s="394">
        <v>10</v>
      </c>
      <c r="BH1230" s="394">
        <v>11</v>
      </c>
      <c r="BI1230" s="394">
        <v>5</v>
      </c>
      <c r="BJ1230" s="394"/>
      <c r="BK1230" s="394"/>
      <c r="BL1230" s="444"/>
      <c r="BM1230" s="392"/>
      <c r="BN1230" s="393"/>
      <c r="BO1230" s="393"/>
      <c r="BP1230" s="399"/>
      <c r="BQ1230" s="400"/>
      <c r="BR1230" s="401"/>
      <c r="BS1230" s="399">
        <v>500</v>
      </c>
      <c r="BT1230" s="394"/>
      <c r="BU1230" s="417"/>
      <c r="BV1230" s="399"/>
      <c r="BW1230" s="393"/>
      <c r="BX1230" s="392"/>
      <c r="BY1230" s="393"/>
      <c r="BZ1230" s="393"/>
      <c r="CA1230" s="441"/>
      <c r="CB1230" s="400"/>
      <c r="CC1230" s="398"/>
      <c r="CD1230" s="398"/>
      <c r="CE1230" s="398"/>
      <c r="CF1230" s="398"/>
      <c r="CG1230" s="398"/>
      <c r="CH1230" s="398"/>
      <c r="CI1230" s="398"/>
      <c r="CJ1230" s="398"/>
      <c r="CK1230" s="398"/>
      <c r="CL1230" s="398"/>
      <c r="CM1230" s="398"/>
      <c r="CN1230" s="398"/>
      <c r="CO1230" s="398"/>
      <c r="CP1230" s="398"/>
      <c r="CQ1230" s="398"/>
      <c r="CR1230" s="398"/>
      <c r="CS1230" s="398"/>
      <c r="CT1230" s="398"/>
      <c r="CU1230" s="398"/>
      <c r="CV1230" s="398"/>
      <c r="CW1230" s="398"/>
      <c r="CX1230" s="398"/>
      <c r="CY1230" s="398"/>
      <c r="CZ1230" s="398"/>
      <c r="DA1230" s="398"/>
      <c r="DB1230" s="398"/>
      <c r="DC1230" s="398"/>
      <c r="DD1230" s="398"/>
      <c r="DE1230" s="393"/>
      <c r="DF1230" s="393"/>
      <c r="DG1230" s="393"/>
      <c r="DH1230" s="393"/>
      <c r="DI1230" s="393"/>
      <c r="DJ1230" s="393"/>
      <c r="DK1230" s="896" t="s">
        <v>9750</v>
      </c>
    </row>
    <row r="1231" spans="1:115" ht="25.5" x14ac:dyDescent="0.2">
      <c r="A1231" s="295">
        <v>1227</v>
      </c>
      <c r="B1231" s="390" t="s">
        <v>2871</v>
      </c>
      <c r="C1231" s="390"/>
      <c r="D1231" s="391" t="s">
        <v>4624</v>
      </c>
      <c r="E1231" s="704" t="s">
        <v>1687</v>
      </c>
      <c r="F1231" s="393" t="s">
        <v>1352</v>
      </c>
      <c r="G1231" s="393" t="s">
        <v>1671</v>
      </c>
      <c r="H1231" s="393" t="s">
        <v>117</v>
      </c>
      <c r="I1231" s="392"/>
      <c r="J1231" s="392"/>
      <c r="K1231" s="392" t="s">
        <v>1688</v>
      </c>
      <c r="L1231" s="392" t="s">
        <v>1686</v>
      </c>
      <c r="M1231" s="392"/>
      <c r="N1231" s="393" t="s">
        <v>44</v>
      </c>
      <c r="O1231" s="393" t="s">
        <v>827</v>
      </c>
      <c r="P1231" s="393" t="s">
        <v>827</v>
      </c>
      <c r="Q1231" s="392" t="s">
        <v>836</v>
      </c>
      <c r="R1231" s="392" t="s">
        <v>3523</v>
      </c>
      <c r="S1231" s="392" t="s">
        <v>650</v>
      </c>
      <c r="T1231" s="394">
        <v>1</v>
      </c>
      <c r="U1231" s="395">
        <v>13.215</v>
      </c>
      <c r="V1231" s="395"/>
      <c r="W1231" s="453"/>
      <c r="X1231" s="394"/>
      <c r="Y1231" s="394">
        <v>7</v>
      </c>
      <c r="Z1231" s="394">
        <v>25</v>
      </c>
      <c r="AA1231" s="395">
        <v>0</v>
      </c>
      <c r="AB1231" s="452">
        <v>41320</v>
      </c>
      <c r="AC1231" s="398">
        <v>0</v>
      </c>
      <c r="AD1231" s="398">
        <v>104.12695890410959</v>
      </c>
      <c r="AE1231" s="393" t="s">
        <v>72</v>
      </c>
      <c r="AF1231" s="417"/>
      <c r="AG1231" s="417"/>
      <c r="AH1231" s="417"/>
      <c r="AI1231" s="394"/>
      <c r="AJ1231" s="453"/>
      <c r="AK1231" s="453"/>
      <c r="AL1231" s="393"/>
      <c r="AM1231" s="393"/>
      <c r="AN1231" s="417"/>
      <c r="AO1231" s="392"/>
      <c r="AP1231" s="392" t="s">
        <v>7065</v>
      </c>
      <c r="AQ1231" s="392"/>
      <c r="AR1231" s="392" t="s">
        <v>3786</v>
      </c>
      <c r="AS1231" s="479">
        <v>41013</v>
      </c>
      <c r="AT1231" s="453"/>
      <c r="AU1231" s="453"/>
      <c r="AV1231" s="453"/>
      <c r="AW1231" s="453"/>
      <c r="AX1231" s="453"/>
      <c r="AY1231" s="453"/>
      <c r="AZ1231" s="452">
        <v>41261</v>
      </c>
      <c r="BA1231" s="393"/>
      <c r="BB1231" s="393"/>
      <c r="BC1231" s="393" t="b">
        <v>0</v>
      </c>
      <c r="BD1231" s="393"/>
      <c r="BE1231" s="392"/>
      <c r="BF1231" s="394">
        <v>1</v>
      </c>
      <c r="BG1231" s="394">
        <v>10</v>
      </c>
      <c r="BH1231" s="394">
        <v>11</v>
      </c>
      <c r="BI1231" s="394">
        <v>5</v>
      </c>
      <c r="BJ1231" s="394"/>
      <c r="BK1231" s="394"/>
      <c r="BL1231" s="444" t="s">
        <v>6981</v>
      </c>
      <c r="BM1231" s="392"/>
      <c r="BN1231" s="393"/>
      <c r="BO1231" s="393"/>
      <c r="BP1231" s="399"/>
      <c r="BQ1231" s="400"/>
      <c r="BR1231" s="401"/>
      <c r="BS1231" s="399">
        <v>10</v>
      </c>
      <c r="BT1231" s="394">
        <v>14636</v>
      </c>
      <c r="BU1231" s="417">
        <v>0.89587499999999998</v>
      </c>
      <c r="BV1231" s="399"/>
      <c r="BW1231" s="393" t="s">
        <v>3117</v>
      </c>
      <c r="BX1231" s="392" t="s">
        <v>1450</v>
      </c>
      <c r="BY1231" s="393"/>
      <c r="BZ1231" s="393"/>
      <c r="CA1231" s="441" t="s">
        <v>1662</v>
      </c>
      <c r="CB1231" s="400">
        <v>3</v>
      </c>
      <c r="CC1231" s="398"/>
      <c r="CD1231" s="398"/>
      <c r="CE1231" s="398"/>
      <c r="CF1231" s="398"/>
      <c r="CG1231" s="398"/>
      <c r="CH1231" s="398">
        <v>4.37</v>
      </c>
      <c r="CI1231" s="398">
        <v>13.111000000000001</v>
      </c>
      <c r="CJ1231" s="398">
        <v>13.111000000000001</v>
      </c>
      <c r="CK1231" s="398">
        <v>13.111000000000001</v>
      </c>
      <c r="CL1231" s="398">
        <v>13.111000000000001</v>
      </c>
      <c r="CM1231" s="398">
        <v>13.111000000000001</v>
      </c>
      <c r="CN1231" s="398">
        <v>13.111000000000001</v>
      </c>
      <c r="CO1231" s="398">
        <v>8.7409999999999997</v>
      </c>
      <c r="CP1231" s="398"/>
      <c r="CQ1231" s="398"/>
      <c r="CR1231" s="398"/>
      <c r="CS1231" s="398"/>
      <c r="CT1231" s="398"/>
      <c r="CU1231" s="398"/>
      <c r="CV1231" s="398"/>
      <c r="CW1231" s="398"/>
      <c r="CX1231" s="398"/>
      <c r="CY1231" s="398"/>
      <c r="CZ1231" s="398"/>
      <c r="DA1231" s="398"/>
      <c r="DB1231" s="398"/>
      <c r="DC1231" s="398"/>
      <c r="DD1231" s="398"/>
      <c r="DE1231" s="393"/>
      <c r="DF1231" s="393"/>
      <c r="DG1231" s="393"/>
      <c r="DH1231" s="393"/>
      <c r="DI1231" s="393"/>
      <c r="DJ1231" s="393"/>
      <c r="DK1231" s="897"/>
    </row>
    <row r="1232" spans="1:115" ht="38.25" x14ac:dyDescent="0.2">
      <c r="A1232" s="295">
        <v>1228</v>
      </c>
      <c r="B1232" s="390" t="s">
        <v>6881</v>
      </c>
      <c r="C1232" s="390"/>
      <c r="D1232" s="391" t="s">
        <v>6882</v>
      </c>
      <c r="E1232" s="704" t="s">
        <v>6883</v>
      </c>
      <c r="F1232" s="393" t="s">
        <v>1352</v>
      </c>
      <c r="G1232" s="393" t="s">
        <v>1671</v>
      </c>
      <c r="H1232" s="393" t="s">
        <v>117</v>
      </c>
      <c r="I1232" s="392"/>
      <c r="J1232" s="392"/>
      <c r="K1232" s="392" t="s">
        <v>1688</v>
      </c>
      <c r="L1232" s="392" t="s">
        <v>1686</v>
      </c>
      <c r="M1232" s="392"/>
      <c r="N1232" s="393" t="s">
        <v>44</v>
      </c>
      <c r="O1232" s="393" t="s">
        <v>827</v>
      </c>
      <c r="P1232" s="393" t="s">
        <v>827</v>
      </c>
      <c r="Q1232" s="392" t="s">
        <v>836</v>
      </c>
      <c r="R1232" s="392" t="s">
        <v>6884</v>
      </c>
      <c r="S1232" s="392" t="s">
        <v>650</v>
      </c>
      <c r="T1232" s="394">
        <v>1</v>
      </c>
      <c r="U1232" s="395">
        <v>67.105000000000004</v>
      </c>
      <c r="V1232" s="395"/>
      <c r="W1232" s="453"/>
      <c r="X1232" s="394"/>
      <c r="Y1232" s="394">
        <v>7</v>
      </c>
      <c r="Z1232" s="394">
        <v>25</v>
      </c>
      <c r="AA1232" s="395">
        <v>0</v>
      </c>
      <c r="AB1232" s="452">
        <v>42036</v>
      </c>
      <c r="AC1232" s="398"/>
      <c r="AD1232" s="398">
        <v>397.11452054794523</v>
      </c>
      <c r="AE1232" s="393" t="s">
        <v>72</v>
      </c>
      <c r="AF1232" s="417"/>
      <c r="AG1232" s="417"/>
      <c r="AH1232" s="417"/>
      <c r="AI1232" s="394"/>
      <c r="AJ1232" s="453"/>
      <c r="AK1232" s="453"/>
      <c r="AL1232" s="393"/>
      <c r="AM1232" s="393"/>
      <c r="AN1232" s="417"/>
      <c r="AO1232" s="392"/>
      <c r="AP1232" s="392"/>
      <c r="AQ1232" s="392"/>
      <c r="AR1232" s="392" t="s">
        <v>3786</v>
      </c>
      <c r="AS1232" s="479">
        <v>41013</v>
      </c>
      <c r="AT1232" s="453"/>
      <c r="AU1232" s="453"/>
      <c r="AV1232" s="453"/>
      <c r="AW1232" s="453"/>
      <c r="AX1232" s="453"/>
      <c r="AY1232" s="453"/>
      <c r="AZ1232" s="452">
        <v>42039</v>
      </c>
      <c r="BA1232" s="393"/>
      <c r="BB1232" s="393"/>
      <c r="BC1232" s="393" t="b">
        <v>0</v>
      </c>
      <c r="BD1232" s="393"/>
      <c r="BE1232" s="392"/>
      <c r="BF1232" s="394">
        <v>1</v>
      </c>
      <c r="BG1232" s="394">
        <v>10</v>
      </c>
      <c r="BH1232" s="394">
        <v>11</v>
      </c>
      <c r="BI1232" s="394">
        <v>5</v>
      </c>
      <c r="BJ1232" s="394"/>
      <c r="BK1232" s="394"/>
      <c r="BL1232" s="444" t="s">
        <v>6981</v>
      </c>
      <c r="BM1232" s="392"/>
      <c r="BN1232" s="393"/>
      <c r="BO1232" s="393"/>
      <c r="BP1232" s="399"/>
      <c r="BQ1232" s="400"/>
      <c r="BR1232" s="401"/>
      <c r="BS1232" s="399">
        <v>50</v>
      </c>
      <c r="BT1232" s="394">
        <v>74904</v>
      </c>
      <c r="BU1232" s="417">
        <v>0.89587499999999998</v>
      </c>
      <c r="BV1232" s="399"/>
      <c r="BW1232" s="393" t="s">
        <v>3117</v>
      </c>
      <c r="BX1232" s="392" t="s">
        <v>1450</v>
      </c>
      <c r="BY1232" s="393"/>
      <c r="BZ1232" s="393"/>
      <c r="CA1232" s="441" t="s">
        <v>1662</v>
      </c>
      <c r="CB1232" s="400">
        <v>3</v>
      </c>
      <c r="CC1232" s="398"/>
      <c r="CD1232" s="398"/>
      <c r="CE1232" s="398"/>
      <c r="CF1232" s="398"/>
      <c r="CG1232" s="398"/>
      <c r="CH1232" s="398"/>
      <c r="CI1232" s="398"/>
      <c r="CJ1232" s="398"/>
      <c r="CK1232" s="398">
        <v>61.512999999999998</v>
      </c>
      <c r="CL1232" s="398">
        <v>67.105000000000004</v>
      </c>
      <c r="CM1232" s="398">
        <v>67.105000000000004</v>
      </c>
      <c r="CN1232" s="398">
        <v>67.105000000000004</v>
      </c>
      <c r="CO1232" s="398">
        <v>67.105000000000004</v>
      </c>
      <c r="CP1232" s="398">
        <v>67.105000000000004</v>
      </c>
      <c r="CQ1232" s="398">
        <v>67.105000000000004</v>
      </c>
      <c r="CR1232" s="398">
        <v>5.5919999999999996</v>
      </c>
      <c r="CS1232" s="398"/>
      <c r="CT1232" s="398"/>
      <c r="CU1232" s="398"/>
      <c r="CV1232" s="398"/>
      <c r="CW1232" s="398"/>
      <c r="CX1232" s="398"/>
      <c r="CY1232" s="398"/>
      <c r="CZ1232" s="398"/>
      <c r="DA1232" s="398"/>
      <c r="DB1232" s="398"/>
      <c r="DC1232" s="398"/>
      <c r="DD1232" s="398"/>
      <c r="DE1232" s="393"/>
      <c r="DF1232" s="393"/>
      <c r="DG1232" s="393"/>
      <c r="DH1232" s="393"/>
      <c r="DI1232" s="393"/>
      <c r="DJ1232" s="393"/>
      <c r="DK1232" s="897"/>
    </row>
    <row r="1233" spans="1:115" ht="38.25" x14ac:dyDescent="0.2">
      <c r="A1233" s="295">
        <v>1229</v>
      </c>
      <c r="B1233" s="390" t="s">
        <v>6885</v>
      </c>
      <c r="C1233" s="390"/>
      <c r="D1233" s="391" t="s">
        <v>6886</v>
      </c>
      <c r="E1233" s="704" t="s">
        <v>6887</v>
      </c>
      <c r="F1233" s="393" t="s">
        <v>1352</v>
      </c>
      <c r="G1233" s="393" t="s">
        <v>1671</v>
      </c>
      <c r="H1233" s="393" t="s">
        <v>117</v>
      </c>
      <c r="I1233" s="392"/>
      <c r="J1233" s="392"/>
      <c r="K1233" s="392" t="s">
        <v>6888</v>
      </c>
      <c r="L1233" s="392" t="s">
        <v>1686</v>
      </c>
      <c r="M1233" s="392"/>
      <c r="N1233" s="393" t="s">
        <v>44</v>
      </c>
      <c r="O1233" s="393" t="s">
        <v>827</v>
      </c>
      <c r="P1233" s="393" t="s">
        <v>827</v>
      </c>
      <c r="Q1233" s="392" t="s">
        <v>836</v>
      </c>
      <c r="R1233" s="392" t="s">
        <v>6884</v>
      </c>
      <c r="S1233" s="392" t="s">
        <v>650</v>
      </c>
      <c r="T1233" s="394">
        <v>1</v>
      </c>
      <c r="U1233" s="395">
        <v>71.48</v>
      </c>
      <c r="V1233" s="395"/>
      <c r="W1233" s="453"/>
      <c r="X1233" s="394"/>
      <c r="Y1233" s="394">
        <v>7</v>
      </c>
      <c r="Z1233" s="394">
        <v>25</v>
      </c>
      <c r="AA1233" s="395">
        <v>0</v>
      </c>
      <c r="AB1233" s="452">
        <v>42036</v>
      </c>
      <c r="AC1233" s="398"/>
      <c r="AD1233" s="398">
        <v>423.00493150684935</v>
      </c>
      <c r="AE1233" s="393" t="s">
        <v>72</v>
      </c>
      <c r="AF1233" s="417"/>
      <c r="AG1233" s="417"/>
      <c r="AH1233" s="417"/>
      <c r="AI1233" s="394"/>
      <c r="AJ1233" s="453"/>
      <c r="AK1233" s="453"/>
      <c r="AL1233" s="393"/>
      <c r="AM1233" s="393"/>
      <c r="AN1233" s="417"/>
      <c r="AO1233" s="392"/>
      <c r="AP1233" s="392"/>
      <c r="AQ1233" s="392"/>
      <c r="AR1233" s="392" t="s">
        <v>3786</v>
      </c>
      <c r="AS1233" s="479">
        <v>41013</v>
      </c>
      <c r="AT1233" s="453"/>
      <c r="AU1233" s="453"/>
      <c r="AV1233" s="453"/>
      <c r="AW1233" s="453"/>
      <c r="AX1233" s="453"/>
      <c r="AY1233" s="453"/>
      <c r="AZ1233" s="452">
        <v>42039</v>
      </c>
      <c r="BA1233" s="393"/>
      <c r="BB1233" s="393"/>
      <c r="BC1233" s="393" t="b">
        <v>0</v>
      </c>
      <c r="BD1233" s="393"/>
      <c r="BE1233" s="392"/>
      <c r="BF1233" s="394">
        <v>1</v>
      </c>
      <c r="BG1233" s="394">
        <v>10</v>
      </c>
      <c r="BH1233" s="394">
        <v>11</v>
      </c>
      <c r="BI1233" s="394">
        <v>5</v>
      </c>
      <c r="BJ1233" s="394"/>
      <c r="BK1233" s="394"/>
      <c r="BL1233" s="444" t="s">
        <v>6981</v>
      </c>
      <c r="BM1233" s="392"/>
      <c r="BN1233" s="393"/>
      <c r="BO1233" s="393"/>
      <c r="BP1233" s="399"/>
      <c r="BQ1233" s="400"/>
      <c r="BR1233" s="401"/>
      <c r="BS1233" s="399">
        <v>50</v>
      </c>
      <c r="BT1233" s="394">
        <v>79735</v>
      </c>
      <c r="BU1233" s="417">
        <v>0.89639999999999997</v>
      </c>
      <c r="BV1233" s="399"/>
      <c r="BW1233" s="393" t="s">
        <v>3117</v>
      </c>
      <c r="BX1233" s="392" t="s">
        <v>1450</v>
      </c>
      <c r="BY1233" s="393"/>
      <c r="BZ1233" s="393"/>
      <c r="CA1233" s="441" t="s">
        <v>1662</v>
      </c>
      <c r="CB1233" s="400">
        <v>3</v>
      </c>
      <c r="CC1233" s="398"/>
      <c r="CD1233" s="398"/>
      <c r="CE1233" s="398"/>
      <c r="CF1233" s="398"/>
      <c r="CG1233" s="398"/>
      <c r="CH1233" s="398"/>
      <c r="CI1233" s="398"/>
      <c r="CJ1233" s="398"/>
      <c r="CK1233" s="398">
        <v>65.522999999999996</v>
      </c>
      <c r="CL1233" s="398">
        <v>71.48</v>
      </c>
      <c r="CM1233" s="398">
        <v>71.48</v>
      </c>
      <c r="CN1233" s="398">
        <v>71.48</v>
      </c>
      <c r="CO1233" s="398">
        <v>71.48</v>
      </c>
      <c r="CP1233" s="398">
        <v>71.48</v>
      </c>
      <c r="CQ1233" s="398">
        <v>71.48</v>
      </c>
      <c r="CR1233" s="398">
        <v>5.9569999999999999</v>
      </c>
      <c r="CS1233" s="398"/>
      <c r="CT1233" s="398"/>
      <c r="CU1233" s="398"/>
      <c r="CV1233" s="398"/>
      <c r="CW1233" s="398"/>
      <c r="CX1233" s="398"/>
      <c r="CY1233" s="398"/>
      <c r="CZ1233" s="398"/>
      <c r="DA1233" s="398"/>
      <c r="DB1233" s="398"/>
      <c r="DC1233" s="398"/>
      <c r="DD1233" s="398"/>
      <c r="DE1233" s="393"/>
      <c r="DF1233" s="393"/>
      <c r="DG1233" s="393"/>
      <c r="DH1233" s="393"/>
      <c r="DI1233" s="393"/>
      <c r="DJ1233" s="393"/>
      <c r="DK1233" s="897"/>
    </row>
    <row r="1234" spans="1:115" ht="25.5" x14ac:dyDescent="0.2">
      <c r="A1234" s="295">
        <v>1230</v>
      </c>
      <c r="B1234" s="390" t="s">
        <v>6889</v>
      </c>
      <c r="C1234" s="390"/>
      <c r="D1234" s="391" t="s">
        <v>6890</v>
      </c>
      <c r="E1234" s="704" t="s">
        <v>6891</v>
      </c>
      <c r="F1234" s="393" t="s">
        <v>1352</v>
      </c>
      <c r="G1234" s="393" t="s">
        <v>1671</v>
      </c>
      <c r="H1234" s="393" t="s">
        <v>117</v>
      </c>
      <c r="I1234" s="392"/>
      <c r="J1234" s="392"/>
      <c r="K1234" s="392" t="s">
        <v>6888</v>
      </c>
      <c r="L1234" s="392" t="s">
        <v>1686</v>
      </c>
      <c r="M1234" s="392"/>
      <c r="N1234" s="393" t="s">
        <v>44</v>
      </c>
      <c r="O1234" s="393" t="s">
        <v>827</v>
      </c>
      <c r="P1234" s="393" t="s">
        <v>827</v>
      </c>
      <c r="Q1234" s="392" t="s">
        <v>836</v>
      </c>
      <c r="R1234" s="392" t="s">
        <v>6884</v>
      </c>
      <c r="S1234" s="392" t="s">
        <v>650</v>
      </c>
      <c r="T1234" s="394">
        <v>1</v>
      </c>
      <c r="U1234" s="395">
        <v>63.326999999999998</v>
      </c>
      <c r="V1234" s="395"/>
      <c r="W1234" s="453"/>
      <c r="X1234" s="394"/>
      <c r="Y1234" s="394">
        <v>7</v>
      </c>
      <c r="Z1234" s="394">
        <v>25</v>
      </c>
      <c r="AA1234" s="395">
        <v>0</v>
      </c>
      <c r="AB1234" s="452">
        <v>42036</v>
      </c>
      <c r="AC1234" s="398"/>
      <c r="AD1234" s="398">
        <v>374.75704109589043</v>
      </c>
      <c r="AE1234" s="393" t="s">
        <v>72</v>
      </c>
      <c r="AF1234" s="417"/>
      <c r="AG1234" s="417"/>
      <c r="AH1234" s="417"/>
      <c r="AI1234" s="394"/>
      <c r="AJ1234" s="453"/>
      <c r="AK1234" s="453"/>
      <c r="AL1234" s="393"/>
      <c r="AM1234" s="393"/>
      <c r="AN1234" s="417"/>
      <c r="AO1234" s="392"/>
      <c r="AP1234" s="392"/>
      <c r="AQ1234" s="392"/>
      <c r="AR1234" s="392" t="s">
        <v>3786</v>
      </c>
      <c r="AS1234" s="479">
        <v>41013</v>
      </c>
      <c r="AT1234" s="453"/>
      <c r="AU1234" s="453"/>
      <c r="AV1234" s="453"/>
      <c r="AW1234" s="453"/>
      <c r="AX1234" s="453"/>
      <c r="AY1234" s="453"/>
      <c r="AZ1234" s="452">
        <v>42039</v>
      </c>
      <c r="BA1234" s="393"/>
      <c r="BB1234" s="393"/>
      <c r="BC1234" s="393" t="b">
        <v>0</v>
      </c>
      <c r="BD1234" s="393"/>
      <c r="BE1234" s="392"/>
      <c r="BF1234" s="394">
        <v>1</v>
      </c>
      <c r="BG1234" s="394">
        <v>10</v>
      </c>
      <c r="BH1234" s="394">
        <v>11</v>
      </c>
      <c r="BI1234" s="394">
        <v>5</v>
      </c>
      <c r="BJ1234" s="394"/>
      <c r="BK1234" s="394"/>
      <c r="BL1234" s="444" t="s">
        <v>6981</v>
      </c>
      <c r="BM1234" s="392"/>
      <c r="BN1234" s="393"/>
      <c r="BO1234" s="393"/>
      <c r="BP1234" s="399"/>
      <c r="BQ1234" s="400"/>
      <c r="BR1234" s="401"/>
      <c r="BS1234" s="399">
        <v>50</v>
      </c>
      <c r="BT1234" s="394">
        <v>70650</v>
      </c>
      <c r="BU1234" s="417">
        <v>0.89639999999999997</v>
      </c>
      <c r="BV1234" s="399"/>
      <c r="BW1234" s="393" t="s">
        <v>3117</v>
      </c>
      <c r="BX1234" s="392" t="s">
        <v>1450</v>
      </c>
      <c r="BY1234" s="393"/>
      <c r="BZ1234" s="393"/>
      <c r="CA1234" s="441" t="s">
        <v>1662</v>
      </c>
      <c r="CB1234" s="400">
        <v>3</v>
      </c>
      <c r="CC1234" s="398"/>
      <c r="CD1234" s="398"/>
      <c r="CE1234" s="398"/>
      <c r="CF1234" s="398"/>
      <c r="CG1234" s="398"/>
      <c r="CH1234" s="398"/>
      <c r="CI1234" s="398"/>
      <c r="CJ1234" s="398"/>
      <c r="CK1234" s="398">
        <v>63.326999999999998</v>
      </c>
      <c r="CL1234" s="398">
        <v>63.326999999999998</v>
      </c>
      <c r="CM1234" s="398">
        <v>63.326999999999998</v>
      </c>
      <c r="CN1234" s="398">
        <v>63.326999999999998</v>
      </c>
      <c r="CO1234" s="398">
        <v>63.326999999999998</v>
      </c>
      <c r="CP1234" s="398">
        <v>63.326999999999998</v>
      </c>
      <c r="CQ1234" s="398">
        <v>63.326999999999998</v>
      </c>
      <c r="CR1234" s="398"/>
      <c r="CS1234" s="398"/>
      <c r="CT1234" s="398"/>
      <c r="CU1234" s="398"/>
      <c r="CV1234" s="398"/>
      <c r="CW1234" s="398"/>
      <c r="CX1234" s="398"/>
      <c r="CY1234" s="398"/>
      <c r="CZ1234" s="398"/>
      <c r="DA1234" s="398"/>
      <c r="DB1234" s="398"/>
      <c r="DC1234" s="398"/>
      <c r="DD1234" s="398"/>
      <c r="DE1234" s="393"/>
      <c r="DF1234" s="393"/>
      <c r="DG1234" s="393"/>
      <c r="DH1234" s="393"/>
      <c r="DI1234" s="393"/>
      <c r="DJ1234" s="393"/>
      <c r="DK1234" s="897"/>
    </row>
    <row r="1235" spans="1:115" ht="25.5" x14ac:dyDescent="0.2">
      <c r="A1235" s="295">
        <v>1231</v>
      </c>
      <c r="B1235" s="390" t="s">
        <v>6892</v>
      </c>
      <c r="C1235" s="390"/>
      <c r="D1235" s="391" t="s">
        <v>6893</v>
      </c>
      <c r="E1235" s="704" t="s">
        <v>6894</v>
      </c>
      <c r="F1235" s="393" t="s">
        <v>1352</v>
      </c>
      <c r="G1235" s="393" t="s">
        <v>1671</v>
      </c>
      <c r="H1235" s="393" t="s">
        <v>117</v>
      </c>
      <c r="I1235" s="392"/>
      <c r="J1235" s="392"/>
      <c r="K1235" s="392" t="s">
        <v>6895</v>
      </c>
      <c r="L1235" s="392" t="s">
        <v>1686</v>
      </c>
      <c r="M1235" s="392"/>
      <c r="N1235" s="393" t="s">
        <v>44</v>
      </c>
      <c r="O1235" s="393" t="s">
        <v>827</v>
      </c>
      <c r="P1235" s="393" t="s">
        <v>827</v>
      </c>
      <c r="Q1235" s="392" t="s">
        <v>836</v>
      </c>
      <c r="R1235" s="392" t="s">
        <v>6884</v>
      </c>
      <c r="S1235" s="392" t="s">
        <v>650</v>
      </c>
      <c r="T1235" s="394">
        <v>1</v>
      </c>
      <c r="U1235" s="395">
        <v>27.728999999999999</v>
      </c>
      <c r="V1235" s="395"/>
      <c r="W1235" s="453"/>
      <c r="X1235" s="394"/>
      <c r="Y1235" s="394">
        <v>7</v>
      </c>
      <c r="Z1235" s="394">
        <v>25</v>
      </c>
      <c r="AA1235" s="395">
        <v>0</v>
      </c>
      <c r="AB1235" s="452">
        <v>42036</v>
      </c>
      <c r="AC1235" s="398"/>
      <c r="AD1235" s="398">
        <v>164.09490410958904</v>
      </c>
      <c r="AE1235" s="393" t="s">
        <v>72</v>
      </c>
      <c r="AF1235" s="417"/>
      <c r="AG1235" s="417"/>
      <c r="AH1235" s="417"/>
      <c r="AI1235" s="394"/>
      <c r="AJ1235" s="453"/>
      <c r="AK1235" s="453"/>
      <c r="AL1235" s="393"/>
      <c r="AM1235" s="393"/>
      <c r="AN1235" s="417"/>
      <c r="AO1235" s="392"/>
      <c r="AP1235" s="392"/>
      <c r="AQ1235" s="392"/>
      <c r="AR1235" s="392" t="s">
        <v>3786</v>
      </c>
      <c r="AS1235" s="479">
        <v>41013</v>
      </c>
      <c r="AT1235" s="453"/>
      <c r="AU1235" s="453"/>
      <c r="AV1235" s="453"/>
      <c r="AW1235" s="453"/>
      <c r="AX1235" s="453"/>
      <c r="AY1235" s="453"/>
      <c r="AZ1235" s="452">
        <v>42039</v>
      </c>
      <c r="BA1235" s="393"/>
      <c r="BB1235" s="393"/>
      <c r="BC1235" s="393" t="b">
        <v>0</v>
      </c>
      <c r="BD1235" s="393"/>
      <c r="BE1235" s="392"/>
      <c r="BF1235" s="394">
        <v>1</v>
      </c>
      <c r="BG1235" s="394">
        <v>10</v>
      </c>
      <c r="BH1235" s="394">
        <v>11</v>
      </c>
      <c r="BI1235" s="394">
        <v>5</v>
      </c>
      <c r="BJ1235" s="394"/>
      <c r="BK1235" s="394"/>
      <c r="BL1235" s="444" t="s">
        <v>6981</v>
      </c>
      <c r="BM1235" s="392"/>
      <c r="BN1235" s="393"/>
      <c r="BO1235" s="393"/>
      <c r="BP1235" s="399"/>
      <c r="BQ1235" s="400"/>
      <c r="BR1235" s="401"/>
      <c r="BS1235" s="399">
        <v>20</v>
      </c>
      <c r="BT1235" s="394">
        <v>30936</v>
      </c>
      <c r="BU1235" s="417">
        <v>0.89639999999999997</v>
      </c>
      <c r="BV1235" s="399"/>
      <c r="BW1235" s="393" t="s">
        <v>3117</v>
      </c>
      <c r="BX1235" s="392" t="s">
        <v>1450</v>
      </c>
      <c r="BY1235" s="393"/>
      <c r="BZ1235" s="393"/>
      <c r="CA1235" s="441" t="s">
        <v>1662</v>
      </c>
      <c r="CB1235" s="400">
        <v>3</v>
      </c>
      <c r="CC1235" s="398"/>
      <c r="CD1235" s="398"/>
      <c r="CE1235" s="398"/>
      <c r="CF1235" s="398"/>
      <c r="CG1235" s="398"/>
      <c r="CH1235" s="398"/>
      <c r="CI1235" s="398"/>
      <c r="CJ1235" s="398"/>
      <c r="CK1235" s="398">
        <v>25.417999999999999</v>
      </c>
      <c r="CL1235" s="398">
        <v>27.728999999999999</v>
      </c>
      <c r="CM1235" s="398">
        <v>27.728999999999999</v>
      </c>
      <c r="CN1235" s="398">
        <v>27.728999999999999</v>
      </c>
      <c r="CO1235" s="398">
        <v>27.728999999999999</v>
      </c>
      <c r="CP1235" s="398">
        <v>27.728999999999999</v>
      </c>
      <c r="CQ1235" s="398">
        <v>27.728999999999999</v>
      </c>
      <c r="CR1235" s="398">
        <v>2.3109999999999999</v>
      </c>
      <c r="CS1235" s="398"/>
      <c r="CT1235" s="398"/>
      <c r="CU1235" s="398"/>
      <c r="CV1235" s="398"/>
      <c r="CW1235" s="398"/>
      <c r="CX1235" s="398"/>
      <c r="CY1235" s="398"/>
      <c r="CZ1235" s="398"/>
      <c r="DA1235" s="398"/>
      <c r="DB1235" s="398"/>
      <c r="DC1235" s="398"/>
      <c r="DD1235" s="398"/>
      <c r="DE1235" s="393"/>
      <c r="DF1235" s="393"/>
      <c r="DG1235" s="393"/>
      <c r="DH1235" s="393"/>
      <c r="DI1235" s="393"/>
      <c r="DJ1235" s="393"/>
      <c r="DK1235" s="897"/>
    </row>
    <row r="1236" spans="1:115" ht="38.25" x14ac:dyDescent="0.2">
      <c r="A1236" s="295">
        <v>1232</v>
      </c>
      <c r="B1236" s="390" t="s">
        <v>6896</v>
      </c>
      <c r="C1236" s="390"/>
      <c r="D1236" s="391" t="s">
        <v>6897</v>
      </c>
      <c r="E1236" s="704" t="s">
        <v>6898</v>
      </c>
      <c r="F1236" s="393" t="s">
        <v>1352</v>
      </c>
      <c r="G1236" s="393" t="s">
        <v>1671</v>
      </c>
      <c r="H1236" s="393" t="s">
        <v>117</v>
      </c>
      <c r="I1236" s="392"/>
      <c r="J1236" s="392"/>
      <c r="K1236" s="392" t="s">
        <v>6888</v>
      </c>
      <c r="L1236" s="392" t="s">
        <v>1686</v>
      </c>
      <c r="M1236" s="392"/>
      <c r="N1236" s="393" t="s">
        <v>44</v>
      </c>
      <c r="O1236" s="393" t="s">
        <v>827</v>
      </c>
      <c r="P1236" s="393" t="s">
        <v>827</v>
      </c>
      <c r="Q1236" s="392" t="s">
        <v>836</v>
      </c>
      <c r="R1236" s="392" t="s">
        <v>6884</v>
      </c>
      <c r="S1236" s="392" t="s">
        <v>650</v>
      </c>
      <c r="T1236" s="394">
        <v>1</v>
      </c>
      <c r="U1236" s="395">
        <v>65.247</v>
      </c>
      <c r="V1236" s="395"/>
      <c r="W1236" s="453"/>
      <c r="X1236" s="394"/>
      <c r="Y1236" s="394">
        <v>7</v>
      </c>
      <c r="Z1236" s="394">
        <v>25</v>
      </c>
      <c r="AA1236" s="395">
        <v>0</v>
      </c>
      <c r="AB1236" s="452">
        <v>42036</v>
      </c>
      <c r="AC1236" s="398"/>
      <c r="AD1236" s="398">
        <v>386.11923287671232</v>
      </c>
      <c r="AE1236" s="393" t="s">
        <v>72</v>
      </c>
      <c r="AF1236" s="417"/>
      <c r="AG1236" s="417"/>
      <c r="AH1236" s="417"/>
      <c r="AI1236" s="394"/>
      <c r="AJ1236" s="453"/>
      <c r="AK1236" s="453"/>
      <c r="AL1236" s="393"/>
      <c r="AM1236" s="393"/>
      <c r="AN1236" s="417"/>
      <c r="AO1236" s="392"/>
      <c r="AP1236" s="392"/>
      <c r="AQ1236" s="392"/>
      <c r="AR1236" s="392" t="s">
        <v>3786</v>
      </c>
      <c r="AS1236" s="479">
        <v>41013</v>
      </c>
      <c r="AT1236" s="453"/>
      <c r="AU1236" s="453"/>
      <c r="AV1236" s="453"/>
      <c r="AW1236" s="453"/>
      <c r="AX1236" s="453"/>
      <c r="AY1236" s="453"/>
      <c r="AZ1236" s="452">
        <v>42039</v>
      </c>
      <c r="BA1236" s="393"/>
      <c r="BB1236" s="393"/>
      <c r="BC1236" s="393" t="b">
        <v>0</v>
      </c>
      <c r="BD1236" s="393"/>
      <c r="BE1236" s="392"/>
      <c r="BF1236" s="394">
        <v>1</v>
      </c>
      <c r="BG1236" s="394">
        <v>10</v>
      </c>
      <c r="BH1236" s="394">
        <v>11</v>
      </c>
      <c r="BI1236" s="394">
        <v>5</v>
      </c>
      <c r="BJ1236" s="394"/>
      <c r="BK1236" s="394"/>
      <c r="BL1236" s="444" t="s">
        <v>6981</v>
      </c>
      <c r="BM1236" s="392"/>
      <c r="BN1236" s="393"/>
      <c r="BO1236" s="393"/>
      <c r="BP1236" s="399"/>
      <c r="BQ1236" s="400"/>
      <c r="BR1236" s="401"/>
      <c r="BS1236" s="399">
        <v>50</v>
      </c>
      <c r="BT1236" s="394">
        <v>72792</v>
      </c>
      <c r="BU1236" s="417">
        <v>0.89639999999999997</v>
      </c>
      <c r="BV1236" s="399"/>
      <c r="BW1236" s="393" t="s">
        <v>3117</v>
      </c>
      <c r="BX1236" s="392" t="s">
        <v>1450</v>
      </c>
      <c r="BY1236" s="393"/>
      <c r="BZ1236" s="393"/>
      <c r="CA1236" s="441" t="s">
        <v>1662</v>
      </c>
      <c r="CB1236" s="400">
        <v>3</v>
      </c>
      <c r="CC1236" s="398"/>
      <c r="CD1236" s="398"/>
      <c r="CE1236" s="398"/>
      <c r="CF1236" s="398"/>
      <c r="CG1236" s="398"/>
      <c r="CH1236" s="398"/>
      <c r="CI1236" s="398"/>
      <c r="CJ1236" s="398"/>
      <c r="CK1236" s="398">
        <v>65.247</v>
      </c>
      <c r="CL1236" s="398">
        <v>65.247</v>
      </c>
      <c r="CM1236" s="398">
        <v>65.247</v>
      </c>
      <c r="CN1236" s="398">
        <v>65.247</v>
      </c>
      <c r="CO1236" s="398">
        <v>65.247</v>
      </c>
      <c r="CP1236" s="398">
        <v>65.247</v>
      </c>
      <c r="CQ1236" s="398">
        <v>65.247</v>
      </c>
      <c r="CR1236" s="398"/>
      <c r="CS1236" s="398"/>
      <c r="CT1236" s="398"/>
      <c r="CU1236" s="398"/>
      <c r="CV1236" s="398"/>
      <c r="CW1236" s="398"/>
      <c r="CX1236" s="398"/>
      <c r="CY1236" s="398"/>
      <c r="CZ1236" s="398"/>
      <c r="DA1236" s="398"/>
      <c r="DB1236" s="398"/>
      <c r="DC1236" s="398"/>
      <c r="DD1236" s="398"/>
      <c r="DE1236" s="393"/>
      <c r="DF1236" s="393"/>
      <c r="DG1236" s="393"/>
      <c r="DH1236" s="393"/>
      <c r="DI1236" s="393"/>
      <c r="DJ1236" s="393"/>
      <c r="DK1236" s="897"/>
    </row>
    <row r="1237" spans="1:115" ht="38.25" x14ac:dyDescent="0.2">
      <c r="A1237" s="295">
        <v>1233</v>
      </c>
      <c r="B1237" s="390" t="s">
        <v>6899</v>
      </c>
      <c r="C1237" s="390"/>
      <c r="D1237" s="391" t="s">
        <v>6900</v>
      </c>
      <c r="E1237" s="704" t="s">
        <v>6901</v>
      </c>
      <c r="F1237" s="393" t="s">
        <v>1352</v>
      </c>
      <c r="G1237" s="393" t="s">
        <v>1671</v>
      </c>
      <c r="H1237" s="393" t="s">
        <v>117</v>
      </c>
      <c r="I1237" s="392"/>
      <c r="J1237" s="392"/>
      <c r="K1237" s="392" t="s">
        <v>6902</v>
      </c>
      <c r="L1237" s="392" t="s">
        <v>1686</v>
      </c>
      <c r="M1237" s="392"/>
      <c r="N1237" s="393" t="s">
        <v>44</v>
      </c>
      <c r="O1237" s="393" t="s">
        <v>827</v>
      </c>
      <c r="P1237" s="393" t="s">
        <v>827</v>
      </c>
      <c r="Q1237" s="392" t="s">
        <v>836</v>
      </c>
      <c r="R1237" s="392" t="s">
        <v>6884</v>
      </c>
      <c r="S1237" s="392" t="s">
        <v>650</v>
      </c>
      <c r="T1237" s="394">
        <v>1</v>
      </c>
      <c r="U1237" s="395">
        <v>23.306999999999999</v>
      </c>
      <c r="V1237" s="395"/>
      <c r="W1237" s="453"/>
      <c r="X1237" s="394"/>
      <c r="Y1237" s="394">
        <v>7</v>
      </c>
      <c r="Z1237" s="394">
        <v>25</v>
      </c>
      <c r="AA1237" s="395">
        <v>0</v>
      </c>
      <c r="AB1237" s="452">
        <v>42036</v>
      </c>
      <c r="AC1237" s="398"/>
      <c r="AD1237" s="398">
        <v>137.92635616438355</v>
      </c>
      <c r="AE1237" s="393" t="s">
        <v>72</v>
      </c>
      <c r="AF1237" s="417"/>
      <c r="AG1237" s="417"/>
      <c r="AH1237" s="417"/>
      <c r="AI1237" s="394"/>
      <c r="AJ1237" s="453"/>
      <c r="AK1237" s="453"/>
      <c r="AL1237" s="393"/>
      <c r="AM1237" s="393"/>
      <c r="AN1237" s="417"/>
      <c r="AO1237" s="392"/>
      <c r="AP1237" s="392"/>
      <c r="AQ1237" s="392"/>
      <c r="AR1237" s="392" t="s">
        <v>3786</v>
      </c>
      <c r="AS1237" s="479">
        <v>41013</v>
      </c>
      <c r="AT1237" s="453"/>
      <c r="AU1237" s="453"/>
      <c r="AV1237" s="453"/>
      <c r="AW1237" s="453"/>
      <c r="AX1237" s="453"/>
      <c r="AY1237" s="453"/>
      <c r="AZ1237" s="452">
        <v>42039</v>
      </c>
      <c r="BA1237" s="393"/>
      <c r="BB1237" s="393"/>
      <c r="BC1237" s="393" t="b">
        <v>0</v>
      </c>
      <c r="BD1237" s="393"/>
      <c r="BE1237" s="392"/>
      <c r="BF1237" s="394">
        <v>1</v>
      </c>
      <c r="BG1237" s="394">
        <v>10</v>
      </c>
      <c r="BH1237" s="394">
        <v>11</v>
      </c>
      <c r="BI1237" s="394">
        <v>5</v>
      </c>
      <c r="BJ1237" s="394"/>
      <c r="BK1237" s="394"/>
      <c r="BL1237" s="444" t="s">
        <v>6981</v>
      </c>
      <c r="BM1237" s="392"/>
      <c r="BN1237" s="393"/>
      <c r="BO1237" s="393"/>
      <c r="BP1237" s="399"/>
      <c r="BQ1237" s="400"/>
      <c r="BR1237" s="401"/>
      <c r="BS1237" s="399">
        <v>20</v>
      </c>
      <c r="BT1237" s="394">
        <v>26003</v>
      </c>
      <c r="BU1237" s="417">
        <v>0.89639999999999997</v>
      </c>
      <c r="BV1237" s="399"/>
      <c r="BW1237" s="393" t="s">
        <v>3117</v>
      </c>
      <c r="BX1237" s="392" t="s">
        <v>1450</v>
      </c>
      <c r="BY1237" s="393"/>
      <c r="BZ1237" s="393"/>
      <c r="CA1237" s="441" t="s">
        <v>1662</v>
      </c>
      <c r="CB1237" s="400">
        <v>3</v>
      </c>
      <c r="CC1237" s="398"/>
      <c r="CD1237" s="398"/>
      <c r="CE1237" s="398"/>
      <c r="CF1237" s="398"/>
      <c r="CG1237" s="398"/>
      <c r="CH1237" s="398"/>
      <c r="CI1237" s="398"/>
      <c r="CJ1237" s="398"/>
      <c r="CK1237" s="398">
        <v>21.364999999999998</v>
      </c>
      <c r="CL1237" s="398">
        <v>23.306999999999999</v>
      </c>
      <c r="CM1237" s="398">
        <v>23.306999999999999</v>
      </c>
      <c r="CN1237" s="398">
        <v>23.306999999999999</v>
      </c>
      <c r="CO1237" s="398">
        <v>23.306999999999999</v>
      </c>
      <c r="CP1237" s="398">
        <v>23.306999999999999</v>
      </c>
      <c r="CQ1237" s="398">
        <v>23.306999999999999</v>
      </c>
      <c r="CR1237" s="398">
        <v>1.9419999999999999</v>
      </c>
      <c r="CS1237" s="398"/>
      <c r="CT1237" s="398"/>
      <c r="CU1237" s="398"/>
      <c r="CV1237" s="398"/>
      <c r="CW1237" s="398"/>
      <c r="CX1237" s="398"/>
      <c r="CY1237" s="398"/>
      <c r="CZ1237" s="398"/>
      <c r="DA1237" s="398"/>
      <c r="DB1237" s="398"/>
      <c r="DC1237" s="398"/>
      <c r="DD1237" s="398"/>
      <c r="DE1237" s="393"/>
      <c r="DF1237" s="393"/>
      <c r="DG1237" s="393"/>
      <c r="DH1237" s="393"/>
      <c r="DI1237" s="393"/>
      <c r="DJ1237" s="393"/>
      <c r="DK1237" s="897"/>
    </row>
    <row r="1238" spans="1:115" ht="38.25" x14ac:dyDescent="0.2">
      <c r="A1238" s="295">
        <v>1234</v>
      </c>
      <c r="B1238" s="390" t="s">
        <v>6903</v>
      </c>
      <c r="C1238" s="390"/>
      <c r="D1238" s="391" t="s">
        <v>6904</v>
      </c>
      <c r="E1238" s="704" t="s">
        <v>6905</v>
      </c>
      <c r="F1238" s="393" t="s">
        <v>1352</v>
      </c>
      <c r="G1238" s="393" t="s">
        <v>1671</v>
      </c>
      <c r="H1238" s="393" t="s">
        <v>117</v>
      </c>
      <c r="I1238" s="392"/>
      <c r="J1238" s="392"/>
      <c r="K1238" s="392" t="s">
        <v>6888</v>
      </c>
      <c r="L1238" s="392" t="s">
        <v>1686</v>
      </c>
      <c r="M1238" s="392"/>
      <c r="N1238" s="393" t="s">
        <v>44</v>
      </c>
      <c r="O1238" s="393" t="s">
        <v>827</v>
      </c>
      <c r="P1238" s="393" t="s">
        <v>827</v>
      </c>
      <c r="Q1238" s="392" t="s">
        <v>836</v>
      </c>
      <c r="R1238" s="392" t="s">
        <v>6884</v>
      </c>
      <c r="S1238" s="392" t="s">
        <v>650</v>
      </c>
      <c r="T1238" s="394">
        <v>1</v>
      </c>
      <c r="U1238" s="395">
        <v>69.052000000000007</v>
      </c>
      <c r="V1238" s="395"/>
      <c r="W1238" s="453"/>
      <c r="X1238" s="394"/>
      <c r="Y1238" s="394">
        <v>7</v>
      </c>
      <c r="Z1238" s="394">
        <v>25</v>
      </c>
      <c r="AA1238" s="395">
        <v>0</v>
      </c>
      <c r="AB1238" s="452">
        <v>42036</v>
      </c>
      <c r="AC1238" s="398"/>
      <c r="AD1238" s="398">
        <v>408.63649315068494</v>
      </c>
      <c r="AE1238" s="393" t="s">
        <v>72</v>
      </c>
      <c r="AF1238" s="417"/>
      <c r="AG1238" s="417"/>
      <c r="AH1238" s="417"/>
      <c r="AI1238" s="394"/>
      <c r="AJ1238" s="453"/>
      <c r="AK1238" s="453"/>
      <c r="AL1238" s="393"/>
      <c r="AM1238" s="393"/>
      <c r="AN1238" s="417"/>
      <c r="AO1238" s="392"/>
      <c r="AP1238" s="392"/>
      <c r="AQ1238" s="392"/>
      <c r="AR1238" s="392" t="s">
        <v>3786</v>
      </c>
      <c r="AS1238" s="479">
        <v>41013</v>
      </c>
      <c r="AT1238" s="453"/>
      <c r="AU1238" s="453"/>
      <c r="AV1238" s="453"/>
      <c r="AW1238" s="453"/>
      <c r="AX1238" s="453"/>
      <c r="AY1238" s="453"/>
      <c r="AZ1238" s="452">
        <v>42039</v>
      </c>
      <c r="BA1238" s="393"/>
      <c r="BB1238" s="393"/>
      <c r="BC1238" s="393" t="b">
        <v>0</v>
      </c>
      <c r="BD1238" s="393"/>
      <c r="BE1238" s="392"/>
      <c r="BF1238" s="394">
        <v>1</v>
      </c>
      <c r="BG1238" s="394">
        <v>10</v>
      </c>
      <c r="BH1238" s="394">
        <v>11</v>
      </c>
      <c r="BI1238" s="394">
        <v>5</v>
      </c>
      <c r="BJ1238" s="394"/>
      <c r="BK1238" s="394"/>
      <c r="BL1238" s="444" t="s">
        <v>6981</v>
      </c>
      <c r="BM1238" s="392"/>
      <c r="BN1238" s="393"/>
      <c r="BO1238" s="393"/>
      <c r="BP1238" s="399"/>
      <c r="BQ1238" s="400"/>
      <c r="BR1238" s="401"/>
      <c r="BS1238" s="399">
        <v>50</v>
      </c>
      <c r="BT1238" s="394">
        <v>77187</v>
      </c>
      <c r="BU1238" s="417">
        <v>0.89639999999999997</v>
      </c>
      <c r="BV1238" s="399"/>
      <c r="BW1238" s="393" t="s">
        <v>3117</v>
      </c>
      <c r="BX1238" s="392" t="s">
        <v>1450</v>
      </c>
      <c r="BY1238" s="393"/>
      <c r="BZ1238" s="393"/>
      <c r="CA1238" s="441" t="s">
        <v>1662</v>
      </c>
      <c r="CB1238" s="400">
        <v>3</v>
      </c>
      <c r="CC1238" s="398"/>
      <c r="CD1238" s="398"/>
      <c r="CE1238" s="398"/>
      <c r="CF1238" s="398"/>
      <c r="CG1238" s="398"/>
      <c r="CH1238" s="398"/>
      <c r="CI1238" s="398"/>
      <c r="CJ1238" s="398"/>
      <c r="CK1238" s="398">
        <v>63.296999999999997</v>
      </c>
      <c r="CL1238" s="398">
        <v>69.052000000000007</v>
      </c>
      <c r="CM1238" s="398">
        <v>69.052000000000007</v>
      </c>
      <c r="CN1238" s="398">
        <v>69.052000000000007</v>
      </c>
      <c r="CO1238" s="398">
        <v>69.052000000000007</v>
      </c>
      <c r="CP1238" s="398">
        <v>69.052000000000007</v>
      </c>
      <c r="CQ1238" s="398">
        <v>69.052000000000007</v>
      </c>
      <c r="CR1238" s="398">
        <v>5.7539999999999996</v>
      </c>
      <c r="CS1238" s="398"/>
      <c r="CT1238" s="398"/>
      <c r="CU1238" s="398"/>
      <c r="CV1238" s="398"/>
      <c r="CW1238" s="398"/>
      <c r="CX1238" s="398"/>
      <c r="CY1238" s="398"/>
      <c r="CZ1238" s="398"/>
      <c r="DA1238" s="398"/>
      <c r="DB1238" s="398"/>
      <c r="DC1238" s="398"/>
      <c r="DD1238" s="398"/>
      <c r="DE1238" s="393"/>
      <c r="DF1238" s="393"/>
      <c r="DG1238" s="393"/>
      <c r="DH1238" s="393"/>
      <c r="DI1238" s="393"/>
      <c r="DJ1238" s="393"/>
      <c r="DK1238" s="897"/>
    </row>
    <row r="1239" spans="1:115" ht="25.5" x14ac:dyDescent="0.2">
      <c r="A1239" s="295">
        <v>1235</v>
      </c>
      <c r="B1239" s="390" t="s">
        <v>6906</v>
      </c>
      <c r="C1239" s="390"/>
      <c r="D1239" s="391" t="s">
        <v>6907</v>
      </c>
      <c r="E1239" s="704" t="s">
        <v>6908</v>
      </c>
      <c r="F1239" s="393" t="s">
        <v>1352</v>
      </c>
      <c r="G1239" s="393" t="s">
        <v>1671</v>
      </c>
      <c r="H1239" s="393" t="s">
        <v>117</v>
      </c>
      <c r="I1239" s="392"/>
      <c r="J1239" s="392"/>
      <c r="K1239" s="392" t="s">
        <v>6909</v>
      </c>
      <c r="L1239" s="392" t="s">
        <v>1686</v>
      </c>
      <c r="M1239" s="392"/>
      <c r="N1239" s="393" t="s">
        <v>44</v>
      </c>
      <c r="O1239" s="393" t="s">
        <v>827</v>
      </c>
      <c r="P1239" s="393" t="s">
        <v>827</v>
      </c>
      <c r="Q1239" s="392" t="s">
        <v>836</v>
      </c>
      <c r="R1239" s="392" t="s">
        <v>6884</v>
      </c>
      <c r="S1239" s="392" t="s">
        <v>650</v>
      </c>
      <c r="T1239" s="394">
        <v>1</v>
      </c>
      <c r="U1239" s="395">
        <v>27.981999999999999</v>
      </c>
      <c r="V1239" s="395"/>
      <c r="W1239" s="453"/>
      <c r="X1239" s="394"/>
      <c r="Y1239" s="394">
        <v>7</v>
      </c>
      <c r="Z1239" s="394">
        <v>25</v>
      </c>
      <c r="AA1239" s="395">
        <v>0</v>
      </c>
      <c r="AB1239" s="452">
        <v>42036</v>
      </c>
      <c r="AC1239" s="398"/>
      <c r="AD1239" s="398">
        <v>165.59210958904109</v>
      </c>
      <c r="AE1239" s="393" t="s">
        <v>72</v>
      </c>
      <c r="AF1239" s="417"/>
      <c r="AG1239" s="417"/>
      <c r="AH1239" s="417"/>
      <c r="AI1239" s="394"/>
      <c r="AJ1239" s="453"/>
      <c r="AK1239" s="453"/>
      <c r="AL1239" s="393"/>
      <c r="AM1239" s="393"/>
      <c r="AN1239" s="417"/>
      <c r="AO1239" s="392"/>
      <c r="AP1239" s="392"/>
      <c r="AQ1239" s="392"/>
      <c r="AR1239" s="392" t="s">
        <v>3786</v>
      </c>
      <c r="AS1239" s="479">
        <v>41013</v>
      </c>
      <c r="AT1239" s="453"/>
      <c r="AU1239" s="453"/>
      <c r="AV1239" s="453"/>
      <c r="AW1239" s="453"/>
      <c r="AX1239" s="453"/>
      <c r="AY1239" s="453"/>
      <c r="AZ1239" s="452">
        <v>42039</v>
      </c>
      <c r="BA1239" s="393"/>
      <c r="BB1239" s="393"/>
      <c r="BC1239" s="393" t="b">
        <v>0</v>
      </c>
      <c r="BD1239" s="393"/>
      <c r="BE1239" s="392"/>
      <c r="BF1239" s="394">
        <v>1</v>
      </c>
      <c r="BG1239" s="394">
        <v>10</v>
      </c>
      <c r="BH1239" s="394">
        <v>11</v>
      </c>
      <c r="BI1239" s="394">
        <v>5</v>
      </c>
      <c r="BJ1239" s="394"/>
      <c r="BK1239" s="394"/>
      <c r="BL1239" s="444" t="s">
        <v>6981</v>
      </c>
      <c r="BM1239" s="392"/>
      <c r="BN1239" s="393"/>
      <c r="BO1239" s="393"/>
      <c r="BP1239" s="399"/>
      <c r="BQ1239" s="400"/>
      <c r="BR1239" s="401"/>
      <c r="BS1239" s="399">
        <v>20</v>
      </c>
      <c r="BT1239" s="394">
        <v>31111</v>
      </c>
      <c r="BU1239" s="417">
        <v>0.89639999999999997</v>
      </c>
      <c r="BV1239" s="399"/>
      <c r="BW1239" s="393" t="s">
        <v>3117</v>
      </c>
      <c r="BX1239" s="392" t="s">
        <v>1450</v>
      </c>
      <c r="BY1239" s="393"/>
      <c r="BZ1239" s="393"/>
      <c r="CA1239" s="441" t="s">
        <v>1662</v>
      </c>
      <c r="CB1239" s="400">
        <v>3</v>
      </c>
      <c r="CC1239" s="398"/>
      <c r="CD1239" s="398"/>
      <c r="CE1239" s="398"/>
      <c r="CF1239" s="398"/>
      <c r="CG1239" s="398"/>
      <c r="CH1239" s="398"/>
      <c r="CI1239" s="398"/>
      <c r="CJ1239" s="398"/>
      <c r="CK1239" s="398">
        <v>25.65</v>
      </c>
      <c r="CL1239" s="398">
        <v>27.981999999999999</v>
      </c>
      <c r="CM1239" s="398">
        <v>27.981999999999999</v>
      </c>
      <c r="CN1239" s="398">
        <v>27.981999999999999</v>
      </c>
      <c r="CO1239" s="398">
        <v>27.981999999999999</v>
      </c>
      <c r="CP1239" s="398">
        <v>27.981999999999999</v>
      </c>
      <c r="CQ1239" s="398">
        <v>27.981999999999999</v>
      </c>
      <c r="CR1239" s="398">
        <v>2.3319999999999999</v>
      </c>
      <c r="CS1239" s="398"/>
      <c r="CT1239" s="398"/>
      <c r="CU1239" s="398"/>
      <c r="CV1239" s="398"/>
      <c r="CW1239" s="398"/>
      <c r="CX1239" s="398"/>
      <c r="CY1239" s="398"/>
      <c r="CZ1239" s="398"/>
      <c r="DA1239" s="398"/>
      <c r="DB1239" s="398"/>
      <c r="DC1239" s="398"/>
      <c r="DD1239" s="398"/>
      <c r="DE1239" s="393"/>
      <c r="DF1239" s="393"/>
      <c r="DG1239" s="393"/>
      <c r="DH1239" s="393"/>
      <c r="DI1239" s="393"/>
      <c r="DJ1239" s="393"/>
      <c r="DK1239" s="897"/>
    </row>
    <row r="1240" spans="1:115" ht="25.5" x14ac:dyDescent="0.2">
      <c r="A1240" s="295">
        <v>1236</v>
      </c>
      <c r="B1240" s="390" t="s">
        <v>6910</v>
      </c>
      <c r="C1240" s="390"/>
      <c r="D1240" s="391" t="s">
        <v>6911</v>
      </c>
      <c r="E1240" s="704" t="s">
        <v>6912</v>
      </c>
      <c r="F1240" s="393" t="s">
        <v>1352</v>
      </c>
      <c r="G1240" s="393" t="s">
        <v>1671</v>
      </c>
      <c r="H1240" s="393" t="s">
        <v>117</v>
      </c>
      <c r="I1240" s="392"/>
      <c r="J1240" s="392"/>
      <c r="K1240" s="392" t="s">
        <v>6888</v>
      </c>
      <c r="L1240" s="392" t="s">
        <v>1686</v>
      </c>
      <c r="M1240" s="392"/>
      <c r="N1240" s="393" t="s">
        <v>44</v>
      </c>
      <c r="O1240" s="393" t="s">
        <v>827</v>
      </c>
      <c r="P1240" s="393" t="s">
        <v>827</v>
      </c>
      <c r="Q1240" s="392" t="s">
        <v>836</v>
      </c>
      <c r="R1240" s="392" t="s">
        <v>6884</v>
      </c>
      <c r="S1240" s="392" t="s">
        <v>650</v>
      </c>
      <c r="T1240" s="394">
        <v>1</v>
      </c>
      <c r="U1240" s="395">
        <v>41.325000000000003</v>
      </c>
      <c r="V1240" s="395"/>
      <c r="W1240" s="453"/>
      <c r="X1240" s="394"/>
      <c r="Y1240" s="394">
        <v>7</v>
      </c>
      <c r="Z1240" s="394">
        <v>25</v>
      </c>
      <c r="AA1240" s="395">
        <v>0</v>
      </c>
      <c r="AB1240" s="452">
        <v>42036</v>
      </c>
      <c r="AC1240" s="398"/>
      <c r="AD1240" s="398">
        <v>244.55342465753424</v>
      </c>
      <c r="AE1240" s="393" t="s">
        <v>72</v>
      </c>
      <c r="AF1240" s="417"/>
      <c r="AG1240" s="417"/>
      <c r="AH1240" s="417"/>
      <c r="AI1240" s="394"/>
      <c r="AJ1240" s="453"/>
      <c r="AK1240" s="453"/>
      <c r="AL1240" s="393"/>
      <c r="AM1240" s="393"/>
      <c r="AN1240" s="417"/>
      <c r="AO1240" s="392"/>
      <c r="AP1240" s="392"/>
      <c r="AQ1240" s="392"/>
      <c r="AR1240" s="392" t="s">
        <v>3786</v>
      </c>
      <c r="AS1240" s="479">
        <v>41013</v>
      </c>
      <c r="AT1240" s="453"/>
      <c r="AU1240" s="453"/>
      <c r="AV1240" s="453"/>
      <c r="AW1240" s="453"/>
      <c r="AX1240" s="453"/>
      <c r="AY1240" s="453"/>
      <c r="AZ1240" s="452">
        <v>42039</v>
      </c>
      <c r="BA1240" s="393"/>
      <c r="BB1240" s="393"/>
      <c r="BC1240" s="393" t="b">
        <v>0</v>
      </c>
      <c r="BD1240" s="393"/>
      <c r="BE1240" s="392"/>
      <c r="BF1240" s="394">
        <v>1</v>
      </c>
      <c r="BG1240" s="394">
        <v>10</v>
      </c>
      <c r="BH1240" s="394">
        <v>11</v>
      </c>
      <c r="BI1240" s="394">
        <v>5</v>
      </c>
      <c r="BJ1240" s="394"/>
      <c r="BK1240" s="394"/>
      <c r="BL1240" s="444" t="s">
        <v>6981</v>
      </c>
      <c r="BM1240" s="392"/>
      <c r="BN1240" s="393"/>
      <c r="BO1240" s="393"/>
      <c r="BP1240" s="399"/>
      <c r="BQ1240" s="400"/>
      <c r="BR1240" s="401"/>
      <c r="BS1240" s="399">
        <v>30</v>
      </c>
      <c r="BT1240" s="394">
        <v>45117</v>
      </c>
      <c r="BU1240" s="417">
        <v>0.89639999999999997</v>
      </c>
      <c r="BV1240" s="399"/>
      <c r="BW1240" s="393" t="s">
        <v>3117</v>
      </c>
      <c r="BX1240" s="392" t="s">
        <v>1450</v>
      </c>
      <c r="BY1240" s="393"/>
      <c r="BZ1240" s="393"/>
      <c r="CA1240" s="441" t="s">
        <v>1662</v>
      </c>
      <c r="CB1240" s="400">
        <v>3</v>
      </c>
      <c r="CC1240" s="398"/>
      <c r="CD1240" s="398"/>
      <c r="CE1240" s="398"/>
      <c r="CF1240" s="398"/>
      <c r="CG1240" s="398"/>
      <c r="CH1240" s="398"/>
      <c r="CI1240" s="398"/>
      <c r="CJ1240" s="398"/>
      <c r="CK1240" s="398">
        <v>37.881</v>
      </c>
      <c r="CL1240" s="398">
        <v>41.325000000000003</v>
      </c>
      <c r="CM1240" s="398">
        <v>41.325000000000003</v>
      </c>
      <c r="CN1240" s="398">
        <v>41.325000000000003</v>
      </c>
      <c r="CO1240" s="398">
        <v>41.325000000000003</v>
      </c>
      <c r="CP1240" s="398">
        <v>41.325000000000003</v>
      </c>
      <c r="CQ1240" s="398">
        <v>41.325000000000003</v>
      </c>
      <c r="CR1240" s="398">
        <v>3.4430000000000001</v>
      </c>
      <c r="CS1240" s="398"/>
      <c r="CT1240" s="398"/>
      <c r="CU1240" s="398"/>
      <c r="CV1240" s="398"/>
      <c r="CW1240" s="398"/>
      <c r="CX1240" s="398"/>
      <c r="CY1240" s="398"/>
      <c r="CZ1240" s="398"/>
      <c r="DA1240" s="398"/>
      <c r="DB1240" s="398"/>
      <c r="DC1240" s="398"/>
      <c r="DD1240" s="398"/>
      <c r="DE1240" s="393"/>
      <c r="DF1240" s="393"/>
      <c r="DG1240" s="393"/>
      <c r="DH1240" s="393"/>
      <c r="DI1240" s="393"/>
      <c r="DJ1240" s="393"/>
      <c r="DK1240" s="897"/>
    </row>
    <row r="1241" spans="1:115" ht="25.5" x14ac:dyDescent="0.2">
      <c r="A1241" s="295">
        <v>1237</v>
      </c>
      <c r="B1241" s="390" t="s">
        <v>6913</v>
      </c>
      <c r="C1241" s="390"/>
      <c r="D1241" s="391" t="s">
        <v>6914</v>
      </c>
      <c r="E1241" s="704" t="s">
        <v>6915</v>
      </c>
      <c r="F1241" s="393" t="s">
        <v>1352</v>
      </c>
      <c r="G1241" s="393" t="s">
        <v>1671</v>
      </c>
      <c r="H1241" s="393" t="s">
        <v>117</v>
      </c>
      <c r="I1241" s="392"/>
      <c r="J1241" s="392"/>
      <c r="K1241" s="392" t="s">
        <v>6888</v>
      </c>
      <c r="L1241" s="392" t="s">
        <v>1686</v>
      </c>
      <c r="M1241" s="392"/>
      <c r="N1241" s="393" t="s">
        <v>44</v>
      </c>
      <c r="O1241" s="393" t="s">
        <v>827</v>
      </c>
      <c r="P1241" s="393" t="s">
        <v>827</v>
      </c>
      <c r="Q1241" s="392" t="s">
        <v>836</v>
      </c>
      <c r="R1241" s="392" t="s">
        <v>6884</v>
      </c>
      <c r="S1241" s="392" t="s">
        <v>650</v>
      </c>
      <c r="T1241" s="394">
        <v>1</v>
      </c>
      <c r="U1241" s="395">
        <v>131.45500000000001</v>
      </c>
      <c r="V1241" s="395"/>
      <c r="W1241" s="453"/>
      <c r="X1241" s="394"/>
      <c r="Y1241" s="394">
        <v>7</v>
      </c>
      <c r="Z1241" s="394">
        <v>25</v>
      </c>
      <c r="AA1241" s="395">
        <v>0</v>
      </c>
      <c r="AB1241" s="452">
        <v>42036</v>
      </c>
      <c r="AC1241" s="398"/>
      <c r="AD1241" s="398">
        <v>777.9254794520549</v>
      </c>
      <c r="AE1241" s="393" t="s">
        <v>72</v>
      </c>
      <c r="AF1241" s="417"/>
      <c r="AG1241" s="417"/>
      <c r="AH1241" s="417"/>
      <c r="AI1241" s="394"/>
      <c r="AJ1241" s="453"/>
      <c r="AK1241" s="453"/>
      <c r="AL1241" s="393"/>
      <c r="AM1241" s="393"/>
      <c r="AN1241" s="417"/>
      <c r="AO1241" s="392"/>
      <c r="AP1241" s="392"/>
      <c r="AQ1241" s="392"/>
      <c r="AR1241" s="392" t="s">
        <v>3786</v>
      </c>
      <c r="AS1241" s="479">
        <v>41013</v>
      </c>
      <c r="AT1241" s="453"/>
      <c r="AU1241" s="453"/>
      <c r="AV1241" s="453"/>
      <c r="AW1241" s="453"/>
      <c r="AX1241" s="453"/>
      <c r="AY1241" s="453"/>
      <c r="AZ1241" s="452">
        <v>42039</v>
      </c>
      <c r="BA1241" s="393"/>
      <c r="BB1241" s="393"/>
      <c r="BC1241" s="393" t="b">
        <v>0</v>
      </c>
      <c r="BD1241" s="393"/>
      <c r="BE1241" s="392"/>
      <c r="BF1241" s="394">
        <v>1</v>
      </c>
      <c r="BG1241" s="394">
        <v>10</v>
      </c>
      <c r="BH1241" s="394">
        <v>11</v>
      </c>
      <c r="BI1241" s="394">
        <v>5</v>
      </c>
      <c r="BJ1241" s="394"/>
      <c r="BK1241" s="394"/>
      <c r="BL1241" s="444" t="s">
        <v>6981</v>
      </c>
      <c r="BM1241" s="392"/>
      <c r="BN1241" s="393"/>
      <c r="BO1241" s="393"/>
      <c r="BP1241" s="399"/>
      <c r="BQ1241" s="400"/>
      <c r="BR1241" s="401"/>
      <c r="BS1241" s="399">
        <v>100</v>
      </c>
      <c r="BT1241" s="394">
        <v>145259</v>
      </c>
      <c r="BU1241" s="417">
        <v>0.89639999999999997</v>
      </c>
      <c r="BV1241" s="399"/>
      <c r="BW1241" s="393" t="s">
        <v>3117</v>
      </c>
      <c r="BX1241" s="392" t="s">
        <v>1450</v>
      </c>
      <c r="BY1241" s="393"/>
      <c r="BZ1241" s="393"/>
      <c r="CA1241" s="441" t="s">
        <v>1662</v>
      </c>
      <c r="CB1241" s="400">
        <v>3</v>
      </c>
      <c r="CC1241" s="398"/>
      <c r="CD1241" s="398"/>
      <c r="CE1241" s="398"/>
      <c r="CF1241" s="398"/>
      <c r="CG1241" s="398"/>
      <c r="CH1241" s="398"/>
      <c r="CI1241" s="398"/>
      <c r="CJ1241" s="398"/>
      <c r="CK1241" s="398">
        <v>120.5</v>
      </c>
      <c r="CL1241" s="398">
        <v>131.45500000000001</v>
      </c>
      <c r="CM1241" s="398">
        <v>131.45500000000001</v>
      </c>
      <c r="CN1241" s="398">
        <v>131.45500000000001</v>
      </c>
      <c r="CO1241" s="398">
        <v>131.45500000000001</v>
      </c>
      <c r="CP1241" s="398">
        <v>131.45500000000001</v>
      </c>
      <c r="CQ1241" s="398">
        <v>131.45500000000001</v>
      </c>
      <c r="CR1241" s="398">
        <v>10.954000000000001</v>
      </c>
      <c r="CS1241" s="398"/>
      <c r="CT1241" s="398"/>
      <c r="CU1241" s="398"/>
      <c r="CV1241" s="398"/>
      <c r="CW1241" s="398"/>
      <c r="CX1241" s="398"/>
      <c r="CY1241" s="398"/>
      <c r="CZ1241" s="398"/>
      <c r="DA1241" s="398"/>
      <c r="DB1241" s="398"/>
      <c r="DC1241" s="398"/>
      <c r="DD1241" s="398"/>
      <c r="DE1241" s="393"/>
      <c r="DF1241" s="393"/>
      <c r="DG1241" s="393"/>
      <c r="DH1241" s="393"/>
      <c r="DI1241" s="393"/>
      <c r="DJ1241" s="393"/>
      <c r="DK1241" s="897"/>
    </row>
    <row r="1242" spans="1:115" ht="38.25" x14ac:dyDescent="0.2">
      <c r="A1242" s="295">
        <v>1238</v>
      </c>
      <c r="B1242" s="390" t="s">
        <v>6916</v>
      </c>
      <c r="C1242" s="390"/>
      <c r="D1242" s="391" t="s">
        <v>6917</v>
      </c>
      <c r="E1242" s="704" t="s">
        <v>6918</v>
      </c>
      <c r="F1242" s="393" t="s">
        <v>1352</v>
      </c>
      <c r="G1242" s="393" t="s">
        <v>1671</v>
      </c>
      <c r="H1242" s="393" t="s">
        <v>117</v>
      </c>
      <c r="I1242" s="392"/>
      <c r="J1242" s="392"/>
      <c r="K1242" s="392" t="s">
        <v>6888</v>
      </c>
      <c r="L1242" s="392" t="s">
        <v>1686</v>
      </c>
      <c r="M1242" s="392"/>
      <c r="N1242" s="393" t="s">
        <v>44</v>
      </c>
      <c r="O1242" s="393" t="s">
        <v>827</v>
      </c>
      <c r="P1242" s="393" t="s">
        <v>827</v>
      </c>
      <c r="Q1242" s="392" t="s">
        <v>836</v>
      </c>
      <c r="R1242" s="392" t="s">
        <v>6884</v>
      </c>
      <c r="S1242" s="392" t="s">
        <v>650</v>
      </c>
      <c r="T1242" s="394">
        <v>1</v>
      </c>
      <c r="U1242" s="395">
        <v>67.436000000000007</v>
      </c>
      <c r="V1242" s="395"/>
      <c r="W1242" s="453"/>
      <c r="X1242" s="394"/>
      <c r="Y1242" s="394">
        <v>7</v>
      </c>
      <c r="Z1242" s="394">
        <v>25</v>
      </c>
      <c r="AA1242" s="395">
        <v>0</v>
      </c>
      <c r="AB1242" s="452">
        <v>42036</v>
      </c>
      <c r="AC1242" s="398"/>
      <c r="AD1242" s="398">
        <v>399.07331506849317</v>
      </c>
      <c r="AE1242" s="393" t="s">
        <v>72</v>
      </c>
      <c r="AF1242" s="417"/>
      <c r="AG1242" s="417"/>
      <c r="AH1242" s="417"/>
      <c r="AI1242" s="394"/>
      <c r="AJ1242" s="453"/>
      <c r="AK1242" s="453"/>
      <c r="AL1242" s="393"/>
      <c r="AM1242" s="393"/>
      <c r="AN1242" s="417"/>
      <c r="AO1242" s="392"/>
      <c r="AP1242" s="392"/>
      <c r="AQ1242" s="392"/>
      <c r="AR1242" s="392" t="s">
        <v>3786</v>
      </c>
      <c r="AS1242" s="479">
        <v>41013</v>
      </c>
      <c r="AT1242" s="453"/>
      <c r="AU1242" s="453"/>
      <c r="AV1242" s="453"/>
      <c r="AW1242" s="453"/>
      <c r="AX1242" s="453"/>
      <c r="AY1242" s="453"/>
      <c r="AZ1242" s="452">
        <v>42039</v>
      </c>
      <c r="BA1242" s="393"/>
      <c r="BB1242" s="393"/>
      <c r="BC1242" s="393" t="b">
        <v>0</v>
      </c>
      <c r="BD1242" s="393"/>
      <c r="BE1242" s="392"/>
      <c r="BF1242" s="394">
        <v>1</v>
      </c>
      <c r="BG1242" s="394">
        <v>10</v>
      </c>
      <c r="BH1242" s="394">
        <v>11</v>
      </c>
      <c r="BI1242" s="394">
        <v>5</v>
      </c>
      <c r="BJ1242" s="394"/>
      <c r="BK1242" s="394"/>
      <c r="BL1242" s="444" t="s">
        <v>6981</v>
      </c>
      <c r="BM1242" s="392"/>
      <c r="BN1242" s="393"/>
      <c r="BO1242" s="393"/>
      <c r="BP1242" s="399"/>
      <c r="BQ1242" s="400"/>
      <c r="BR1242" s="401"/>
      <c r="BS1242" s="399">
        <v>50</v>
      </c>
      <c r="BT1242" s="394">
        <v>75530</v>
      </c>
      <c r="BU1242" s="417">
        <v>0.89639999999999997</v>
      </c>
      <c r="BV1242" s="399"/>
      <c r="BW1242" s="393" t="s">
        <v>3117</v>
      </c>
      <c r="BX1242" s="392" t="s">
        <v>1450</v>
      </c>
      <c r="BY1242" s="393"/>
      <c r="BZ1242" s="393"/>
      <c r="CA1242" s="441" t="s">
        <v>1662</v>
      </c>
      <c r="CB1242" s="400">
        <v>3</v>
      </c>
      <c r="CC1242" s="398"/>
      <c r="CD1242" s="398"/>
      <c r="CE1242" s="398"/>
      <c r="CF1242" s="398"/>
      <c r="CG1242" s="398"/>
      <c r="CH1242" s="398"/>
      <c r="CI1242" s="398"/>
      <c r="CJ1242" s="398"/>
      <c r="CK1242" s="398">
        <v>61.817</v>
      </c>
      <c r="CL1242" s="398">
        <v>67.436000000000007</v>
      </c>
      <c r="CM1242" s="398">
        <v>67.436000000000007</v>
      </c>
      <c r="CN1242" s="398">
        <v>67.436000000000007</v>
      </c>
      <c r="CO1242" s="398">
        <v>67.436000000000007</v>
      </c>
      <c r="CP1242" s="398">
        <v>67.436000000000007</v>
      </c>
      <c r="CQ1242" s="398">
        <v>67.436000000000007</v>
      </c>
      <c r="CR1242" s="398">
        <v>5.6189999999999998</v>
      </c>
      <c r="CS1242" s="398"/>
      <c r="CT1242" s="398"/>
      <c r="CU1242" s="398"/>
      <c r="CV1242" s="398"/>
      <c r="CW1242" s="398"/>
      <c r="CX1242" s="398"/>
      <c r="CY1242" s="398"/>
      <c r="CZ1242" s="398"/>
      <c r="DA1242" s="398"/>
      <c r="DB1242" s="398"/>
      <c r="DC1242" s="398"/>
      <c r="DD1242" s="398"/>
      <c r="DE1242" s="393"/>
      <c r="DF1242" s="393"/>
      <c r="DG1242" s="393"/>
      <c r="DH1242" s="393"/>
      <c r="DI1242" s="393"/>
      <c r="DJ1242" s="393"/>
      <c r="DK1242" s="897"/>
    </row>
    <row r="1243" spans="1:115" ht="38.25" x14ac:dyDescent="0.2">
      <c r="A1243" s="295">
        <v>1239</v>
      </c>
      <c r="B1243" s="390" t="s">
        <v>1689</v>
      </c>
      <c r="C1243" s="424" t="s">
        <v>7700</v>
      </c>
      <c r="D1243" s="391" t="s">
        <v>6210</v>
      </c>
      <c r="E1243" s="704" t="s">
        <v>1690</v>
      </c>
      <c r="F1243" s="393" t="s">
        <v>1375</v>
      </c>
      <c r="G1243" s="393" t="s">
        <v>998</v>
      </c>
      <c r="H1243" s="393" t="s">
        <v>218</v>
      </c>
      <c r="I1243" s="392"/>
      <c r="J1243" s="392" t="s">
        <v>218</v>
      </c>
      <c r="K1243" s="392"/>
      <c r="L1243" s="428" t="s">
        <v>8128</v>
      </c>
      <c r="M1243" s="392" t="s">
        <v>4118</v>
      </c>
      <c r="N1243" s="393" t="s">
        <v>44</v>
      </c>
      <c r="O1243" s="393" t="s">
        <v>271</v>
      </c>
      <c r="P1243" s="393" t="s">
        <v>271</v>
      </c>
      <c r="Q1243" s="392" t="s">
        <v>272</v>
      </c>
      <c r="R1243" s="392"/>
      <c r="S1243" s="392" t="s">
        <v>1691</v>
      </c>
      <c r="T1243" s="394">
        <v>1</v>
      </c>
      <c r="U1243" s="395">
        <v>23.021000000000001</v>
      </c>
      <c r="V1243" s="395"/>
      <c r="W1243" s="452">
        <v>41456</v>
      </c>
      <c r="X1243" s="394">
        <v>28</v>
      </c>
      <c r="Y1243" s="394"/>
      <c r="Z1243" s="394"/>
      <c r="AA1243" s="395"/>
      <c r="AB1243" s="453"/>
      <c r="AC1243" s="398">
        <v>0</v>
      </c>
      <c r="AD1243" s="398">
        <v>172.81517808219178</v>
      </c>
      <c r="AE1243" s="393" t="s">
        <v>355</v>
      </c>
      <c r="AF1243" s="417"/>
      <c r="AG1243" s="417"/>
      <c r="AH1243" s="417">
        <v>0</v>
      </c>
      <c r="AI1243" s="394"/>
      <c r="AJ1243" s="453"/>
      <c r="AK1243" s="453"/>
      <c r="AL1243" s="393"/>
      <c r="AM1243" s="393"/>
      <c r="AN1243" s="417"/>
      <c r="AO1243" s="392"/>
      <c r="AP1243" s="428" t="s">
        <v>55</v>
      </c>
      <c r="AQ1243" s="428" t="s">
        <v>7057</v>
      </c>
      <c r="AR1243" s="392" t="s">
        <v>1692</v>
      </c>
      <c r="AS1243" s="479">
        <v>41016</v>
      </c>
      <c r="AT1243" s="453"/>
      <c r="AU1243" s="453"/>
      <c r="AV1243" s="452">
        <v>41085</v>
      </c>
      <c r="AW1243" s="452">
        <v>41809</v>
      </c>
      <c r="AX1243" s="452">
        <v>41873</v>
      </c>
      <c r="AY1243" s="452">
        <v>41809</v>
      </c>
      <c r="AZ1243" s="453"/>
      <c r="BA1243" s="393"/>
      <c r="BB1243" s="393" t="s">
        <v>3116</v>
      </c>
      <c r="BC1243" s="393" t="b">
        <v>0</v>
      </c>
      <c r="BD1243" s="393" t="s">
        <v>3116</v>
      </c>
      <c r="BE1243" s="392"/>
      <c r="BF1243" s="394">
        <v>10</v>
      </c>
      <c r="BG1243" s="394">
        <v>5</v>
      </c>
      <c r="BH1243" s="394">
        <v>7</v>
      </c>
      <c r="BI1243" s="394">
        <v>9</v>
      </c>
      <c r="BJ1243" s="394"/>
      <c r="BK1243" s="394"/>
      <c r="BL1243" s="444"/>
      <c r="BM1243" s="392"/>
      <c r="BN1243" s="393"/>
      <c r="BO1243" s="393"/>
      <c r="BP1243" s="399"/>
      <c r="BQ1243" s="400"/>
      <c r="BR1243" s="401"/>
      <c r="BS1243" s="399">
        <v>0</v>
      </c>
      <c r="BT1243" s="394"/>
      <c r="BU1243" s="417"/>
      <c r="BV1243" s="399"/>
      <c r="BW1243" s="393"/>
      <c r="BX1243" s="392"/>
      <c r="BY1243" s="393"/>
      <c r="BZ1243" s="393"/>
      <c r="CA1243" s="441"/>
      <c r="CB1243" s="400"/>
      <c r="CC1243" s="398"/>
      <c r="CD1243" s="398"/>
      <c r="CE1243" s="398"/>
      <c r="CF1243" s="398"/>
      <c r="CG1243" s="398"/>
      <c r="CH1243" s="398"/>
      <c r="CI1243" s="398"/>
      <c r="CJ1243" s="398"/>
      <c r="CK1243" s="398"/>
      <c r="CL1243" s="398"/>
      <c r="CM1243" s="398"/>
      <c r="CN1243" s="398"/>
      <c r="CO1243" s="398"/>
      <c r="CP1243" s="398"/>
      <c r="CQ1243" s="398"/>
      <c r="CR1243" s="398"/>
      <c r="CS1243" s="398"/>
      <c r="CT1243" s="398"/>
      <c r="CU1243" s="398"/>
      <c r="CV1243" s="398"/>
      <c r="CW1243" s="398"/>
      <c r="CX1243" s="398"/>
      <c r="CY1243" s="398"/>
      <c r="CZ1243" s="398"/>
      <c r="DA1243" s="398"/>
      <c r="DB1243" s="398"/>
      <c r="DC1243" s="398"/>
      <c r="DD1243" s="398"/>
      <c r="DE1243" s="393"/>
      <c r="DF1243" s="393"/>
      <c r="DG1243" s="393"/>
      <c r="DH1243" s="393"/>
      <c r="DI1243" s="393"/>
      <c r="DJ1243" s="393"/>
      <c r="DK1243" s="896" t="s">
        <v>9743</v>
      </c>
    </row>
    <row r="1244" spans="1:115" ht="25.5" x14ac:dyDescent="0.2">
      <c r="A1244" s="295">
        <v>1240</v>
      </c>
      <c r="B1244" s="390" t="s">
        <v>2872</v>
      </c>
      <c r="C1244" s="390"/>
      <c r="D1244" s="391" t="s">
        <v>6211</v>
      </c>
      <c r="E1244" s="704" t="s">
        <v>1693</v>
      </c>
      <c r="F1244" s="393" t="s">
        <v>1375</v>
      </c>
      <c r="G1244" s="393" t="s">
        <v>998</v>
      </c>
      <c r="H1244" s="393" t="s">
        <v>218</v>
      </c>
      <c r="I1244" s="392"/>
      <c r="J1244" s="392"/>
      <c r="K1244" s="392" t="s">
        <v>218</v>
      </c>
      <c r="L1244" s="428" t="s">
        <v>8128</v>
      </c>
      <c r="M1244" s="392"/>
      <c r="N1244" s="393" t="s">
        <v>44</v>
      </c>
      <c r="O1244" s="393" t="s">
        <v>271</v>
      </c>
      <c r="P1244" s="393" t="s">
        <v>271</v>
      </c>
      <c r="Q1244" s="392" t="s">
        <v>272</v>
      </c>
      <c r="R1244" s="392" t="s">
        <v>3524</v>
      </c>
      <c r="S1244" s="392" t="s">
        <v>1691</v>
      </c>
      <c r="T1244" s="394">
        <v>1</v>
      </c>
      <c r="U1244" s="395">
        <v>23.021000000000001</v>
      </c>
      <c r="V1244" s="395"/>
      <c r="W1244" s="453"/>
      <c r="X1244" s="394"/>
      <c r="Y1244" s="394">
        <v>7</v>
      </c>
      <c r="Z1244" s="394">
        <v>28</v>
      </c>
      <c r="AA1244" s="395">
        <v>0</v>
      </c>
      <c r="AB1244" s="452">
        <v>41456</v>
      </c>
      <c r="AC1244" s="398">
        <v>0</v>
      </c>
      <c r="AD1244" s="398">
        <v>172.81517808219178</v>
      </c>
      <c r="AE1244" s="393" t="s">
        <v>355</v>
      </c>
      <c r="AF1244" s="417"/>
      <c r="AG1244" s="417"/>
      <c r="AH1244" s="417"/>
      <c r="AI1244" s="394"/>
      <c r="AJ1244" s="453"/>
      <c r="AK1244" s="453"/>
      <c r="AL1244" s="393"/>
      <c r="AM1244" s="393"/>
      <c r="AN1244" s="417"/>
      <c r="AO1244" s="392"/>
      <c r="AP1244" s="428" t="s">
        <v>55</v>
      </c>
      <c r="AQ1244" s="392"/>
      <c r="AR1244" s="392" t="s">
        <v>1692</v>
      </c>
      <c r="AS1244" s="479">
        <v>41016</v>
      </c>
      <c r="AT1244" s="453"/>
      <c r="AU1244" s="453"/>
      <c r="AV1244" s="453"/>
      <c r="AW1244" s="453"/>
      <c r="AX1244" s="453"/>
      <c r="AY1244" s="453"/>
      <c r="AZ1244" s="452">
        <v>41809</v>
      </c>
      <c r="BA1244" s="393"/>
      <c r="BB1244" s="393"/>
      <c r="BC1244" s="393" t="b">
        <v>0</v>
      </c>
      <c r="BD1244" s="393"/>
      <c r="BE1244" s="392"/>
      <c r="BF1244" s="394">
        <v>10</v>
      </c>
      <c r="BG1244" s="394">
        <v>5</v>
      </c>
      <c r="BH1244" s="394">
        <v>7</v>
      </c>
      <c r="BI1244" s="394">
        <v>9</v>
      </c>
      <c r="BJ1244" s="394"/>
      <c r="BK1244" s="394"/>
      <c r="BL1244" s="444" t="s">
        <v>6981</v>
      </c>
      <c r="BM1244" s="392"/>
      <c r="BN1244" s="393"/>
      <c r="BO1244" s="393"/>
      <c r="BP1244" s="399"/>
      <c r="BQ1244" s="400"/>
      <c r="BR1244" s="401"/>
      <c r="BS1244" s="399"/>
      <c r="BT1244" s="394"/>
      <c r="BU1244" s="417">
        <v>0.65049999999999997</v>
      </c>
      <c r="BV1244" s="399"/>
      <c r="BW1244" s="393" t="s">
        <v>3117</v>
      </c>
      <c r="BX1244" s="392" t="s">
        <v>1449</v>
      </c>
      <c r="BY1244" s="475" t="s">
        <v>7225</v>
      </c>
      <c r="BZ1244" s="393"/>
      <c r="CA1244" s="441"/>
      <c r="CB1244" s="400"/>
      <c r="CC1244" s="398"/>
      <c r="CD1244" s="398"/>
      <c r="CE1244" s="398"/>
      <c r="CF1244" s="398"/>
      <c r="CG1244" s="398"/>
      <c r="CH1244" s="398"/>
      <c r="CI1244" s="398">
        <v>32</v>
      </c>
      <c r="CJ1244" s="398">
        <v>32</v>
      </c>
      <c r="CK1244" s="398">
        <v>32</v>
      </c>
      <c r="CL1244" s="398">
        <v>32</v>
      </c>
      <c r="CM1244" s="398">
        <v>32</v>
      </c>
      <c r="CN1244" s="398">
        <v>32</v>
      </c>
      <c r="CO1244" s="398">
        <v>32</v>
      </c>
      <c r="CP1244" s="398"/>
      <c r="CQ1244" s="398"/>
      <c r="CR1244" s="398"/>
      <c r="CS1244" s="398"/>
      <c r="CT1244" s="398"/>
      <c r="CU1244" s="398"/>
      <c r="CV1244" s="398"/>
      <c r="CW1244" s="398"/>
      <c r="CX1244" s="398"/>
      <c r="CY1244" s="398"/>
      <c r="CZ1244" s="398"/>
      <c r="DA1244" s="398"/>
      <c r="DB1244" s="398"/>
      <c r="DC1244" s="398"/>
      <c r="DD1244" s="398"/>
      <c r="DE1244" s="393"/>
      <c r="DF1244" s="393"/>
      <c r="DG1244" s="393"/>
      <c r="DH1244" s="393"/>
      <c r="DI1244" s="393"/>
      <c r="DJ1244" s="393"/>
      <c r="DK1244" s="897"/>
    </row>
    <row r="1245" spans="1:115" ht="38.25" x14ac:dyDescent="0.2">
      <c r="A1245" s="295">
        <v>1241</v>
      </c>
      <c r="B1245" s="390" t="s">
        <v>1694</v>
      </c>
      <c r="C1245" s="424" t="s">
        <v>7701</v>
      </c>
      <c r="D1245" s="391" t="s">
        <v>6536</v>
      </c>
      <c r="E1245" s="704" t="s">
        <v>1695</v>
      </c>
      <c r="F1245" s="393" t="s">
        <v>1375</v>
      </c>
      <c r="G1245" s="393" t="s">
        <v>1361</v>
      </c>
      <c r="H1245" s="393" t="s">
        <v>137</v>
      </c>
      <c r="I1245" s="392"/>
      <c r="J1245" s="392" t="s">
        <v>1696</v>
      </c>
      <c r="K1245" s="392"/>
      <c r="L1245" s="392" t="s">
        <v>1697</v>
      </c>
      <c r="M1245" s="392" t="s">
        <v>4119</v>
      </c>
      <c r="N1245" s="393" t="s">
        <v>44</v>
      </c>
      <c r="O1245" s="393" t="s">
        <v>80</v>
      </c>
      <c r="P1245" s="393" t="s">
        <v>80</v>
      </c>
      <c r="Q1245" s="392" t="s">
        <v>403</v>
      </c>
      <c r="R1245" s="392"/>
      <c r="S1245" s="392" t="s">
        <v>81</v>
      </c>
      <c r="T1245" s="394">
        <v>1</v>
      </c>
      <c r="U1245" s="395">
        <v>34.049999999999997</v>
      </c>
      <c r="V1245" s="395"/>
      <c r="W1245" s="452">
        <v>40875</v>
      </c>
      <c r="X1245" s="394">
        <v>28</v>
      </c>
      <c r="Y1245" s="394"/>
      <c r="Z1245" s="394"/>
      <c r="AA1245" s="395"/>
      <c r="AB1245" s="453"/>
      <c r="AC1245" s="398">
        <v>0</v>
      </c>
      <c r="AD1245" s="398">
        <v>212.97575342465751</v>
      </c>
      <c r="AE1245" s="393" t="s">
        <v>133</v>
      </c>
      <c r="AF1245" s="417"/>
      <c r="AG1245" s="417"/>
      <c r="AH1245" s="417">
        <v>0</v>
      </c>
      <c r="AI1245" s="394"/>
      <c r="AJ1245" s="453"/>
      <c r="AK1245" s="453"/>
      <c r="AL1245" s="393"/>
      <c r="AM1245" s="393"/>
      <c r="AN1245" s="417"/>
      <c r="AO1245" s="392"/>
      <c r="AP1245" s="392" t="s">
        <v>55</v>
      </c>
      <c r="AQ1245" s="392"/>
      <c r="AR1245" s="392" t="s">
        <v>3805</v>
      </c>
      <c r="AS1245" s="479">
        <v>41016</v>
      </c>
      <c r="AT1245" s="453"/>
      <c r="AU1245" s="453"/>
      <c r="AV1245" s="452">
        <v>41198</v>
      </c>
      <c r="AW1245" s="452">
        <v>41837</v>
      </c>
      <c r="AX1245" s="452">
        <v>41944</v>
      </c>
      <c r="AY1245" s="452">
        <v>41898</v>
      </c>
      <c r="AZ1245" s="453"/>
      <c r="BA1245" s="393"/>
      <c r="BB1245" s="393" t="s">
        <v>3147</v>
      </c>
      <c r="BC1245" s="393" t="b">
        <v>1</v>
      </c>
      <c r="BD1245" s="393" t="s">
        <v>3147</v>
      </c>
      <c r="BE1245" s="392"/>
      <c r="BF1245" s="394">
        <v>1</v>
      </c>
      <c r="BG1245" s="394">
        <v>6</v>
      </c>
      <c r="BH1245" s="394">
        <v>11</v>
      </c>
      <c r="BI1245" s="394">
        <v>5</v>
      </c>
      <c r="BJ1245" s="394"/>
      <c r="BK1245" s="394"/>
      <c r="BL1245" s="444"/>
      <c r="BM1245" s="392"/>
      <c r="BN1245" s="393"/>
      <c r="BO1245" s="393"/>
      <c r="BP1245" s="399"/>
      <c r="BQ1245" s="400"/>
      <c r="BR1245" s="401"/>
      <c r="BS1245" s="399">
        <v>2</v>
      </c>
      <c r="BT1245" s="394"/>
      <c r="BU1245" s="417"/>
      <c r="BV1245" s="399"/>
      <c r="BW1245" s="393"/>
      <c r="BX1245" s="392"/>
      <c r="BY1245" s="393"/>
      <c r="BZ1245" s="393"/>
      <c r="CA1245" s="441"/>
      <c r="CB1245" s="400"/>
      <c r="CC1245" s="398"/>
      <c r="CD1245" s="398"/>
      <c r="CE1245" s="398"/>
      <c r="CF1245" s="398"/>
      <c r="CG1245" s="398"/>
      <c r="CH1245" s="398"/>
      <c r="CI1245" s="398"/>
      <c r="CJ1245" s="398"/>
      <c r="CK1245" s="398"/>
      <c r="CL1245" s="398"/>
      <c r="CM1245" s="398"/>
      <c r="CN1245" s="398"/>
      <c r="CO1245" s="398"/>
      <c r="CP1245" s="398"/>
      <c r="CQ1245" s="398"/>
      <c r="CR1245" s="398"/>
      <c r="CS1245" s="398"/>
      <c r="CT1245" s="398"/>
      <c r="CU1245" s="398"/>
      <c r="CV1245" s="398"/>
      <c r="CW1245" s="398"/>
      <c r="CX1245" s="398"/>
      <c r="CY1245" s="398"/>
      <c r="CZ1245" s="398"/>
      <c r="DA1245" s="398"/>
      <c r="DB1245" s="398"/>
      <c r="DC1245" s="398"/>
      <c r="DD1245" s="398"/>
      <c r="DE1245" s="393"/>
      <c r="DF1245" s="393"/>
      <c r="DG1245" s="393"/>
      <c r="DH1245" s="393"/>
      <c r="DI1245" s="393"/>
      <c r="DJ1245" s="393"/>
      <c r="DK1245" s="896" t="s">
        <v>9736</v>
      </c>
    </row>
    <row r="1246" spans="1:115" ht="38.25" x14ac:dyDescent="0.2">
      <c r="A1246" s="295">
        <v>1242</v>
      </c>
      <c r="B1246" s="390" t="s">
        <v>2873</v>
      </c>
      <c r="C1246" s="390"/>
      <c r="D1246" s="391" t="s">
        <v>6537</v>
      </c>
      <c r="E1246" s="704" t="s">
        <v>1698</v>
      </c>
      <c r="F1246" s="393" t="s">
        <v>1375</v>
      </c>
      <c r="G1246" s="393" t="s">
        <v>1361</v>
      </c>
      <c r="H1246" s="393" t="s">
        <v>137</v>
      </c>
      <c r="I1246" s="392"/>
      <c r="J1246" s="392"/>
      <c r="K1246" s="392" t="s">
        <v>534</v>
      </c>
      <c r="L1246" s="392" t="s">
        <v>1697</v>
      </c>
      <c r="M1246" s="392"/>
      <c r="N1246" s="393" t="s">
        <v>44</v>
      </c>
      <c r="O1246" s="393" t="s">
        <v>80</v>
      </c>
      <c r="P1246" s="393" t="s">
        <v>80</v>
      </c>
      <c r="Q1246" s="392" t="s">
        <v>403</v>
      </c>
      <c r="R1246" s="392" t="s">
        <v>3525</v>
      </c>
      <c r="S1246" s="392" t="s">
        <v>81</v>
      </c>
      <c r="T1246" s="394">
        <v>1</v>
      </c>
      <c r="U1246" s="395">
        <v>34.049999999999997</v>
      </c>
      <c r="V1246" s="395"/>
      <c r="W1246" s="453"/>
      <c r="X1246" s="394"/>
      <c r="Y1246" s="394">
        <v>7</v>
      </c>
      <c r="Z1246" s="394">
        <v>21</v>
      </c>
      <c r="AA1246" s="395">
        <v>3.8</v>
      </c>
      <c r="AB1246" s="452">
        <v>41913</v>
      </c>
      <c r="AC1246" s="398">
        <v>0</v>
      </c>
      <c r="AD1246" s="398">
        <v>212.97575342465751</v>
      </c>
      <c r="AE1246" s="393" t="s">
        <v>133</v>
      </c>
      <c r="AF1246" s="417"/>
      <c r="AG1246" s="417"/>
      <c r="AH1246" s="417"/>
      <c r="AI1246" s="394"/>
      <c r="AJ1246" s="453"/>
      <c r="AK1246" s="453"/>
      <c r="AL1246" s="393"/>
      <c r="AM1246" s="393"/>
      <c r="AN1246" s="417"/>
      <c r="AO1246" s="392"/>
      <c r="AP1246" s="392" t="s">
        <v>55</v>
      </c>
      <c r="AQ1246" s="392"/>
      <c r="AR1246" s="392" t="s">
        <v>3805</v>
      </c>
      <c r="AS1246" s="479">
        <v>41016</v>
      </c>
      <c r="AT1246" s="453"/>
      <c r="AU1246" s="453"/>
      <c r="AV1246" s="453"/>
      <c r="AW1246" s="453"/>
      <c r="AX1246" s="453"/>
      <c r="AY1246" s="453"/>
      <c r="AZ1246" s="452">
        <v>41898</v>
      </c>
      <c r="BA1246" s="393"/>
      <c r="BB1246" s="393"/>
      <c r="BC1246" s="393" t="b">
        <v>0</v>
      </c>
      <c r="BD1246" s="393"/>
      <c r="BE1246" s="392"/>
      <c r="BF1246" s="394">
        <v>1</v>
      </c>
      <c r="BG1246" s="394">
        <v>6</v>
      </c>
      <c r="BH1246" s="394">
        <v>11</v>
      </c>
      <c r="BI1246" s="394">
        <v>5</v>
      </c>
      <c r="BJ1246" s="394"/>
      <c r="BK1246" s="394"/>
      <c r="BL1246" s="444" t="s">
        <v>6985</v>
      </c>
      <c r="BM1246" s="392"/>
      <c r="BN1246" s="393"/>
      <c r="BO1246" s="393"/>
      <c r="BP1246" s="399"/>
      <c r="BQ1246" s="400"/>
      <c r="BR1246" s="401"/>
      <c r="BS1246" s="399">
        <v>2</v>
      </c>
      <c r="BT1246" s="394">
        <v>15040</v>
      </c>
      <c r="BU1246" s="417">
        <v>0.92300000000000004</v>
      </c>
      <c r="BV1246" s="399"/>
      <c r="BW1246" s="393" t="s">
        <v>3117</v>
      </c>
      <c r="BX1246" s="392" t="s">
        <v>3253</v>
      </c>
      <c r="BY1246" s="393"/>
      <c r="BZ1246" s="393"/>
      <c r="CA1246" s="441" t="s">
        <v>1662</v>
      </c>
      <c r="CB1246" s="400"/>
      <c r="CC1246" s="398"/>
      <c r="CD1246" s="398"/>
      <c r="CE1246" s="398"/>
      <c r="CF1246" s="398"/>
      <c r="CG1246" s="398"/>
      <c r="CH1246" s="398"/>
      <c r="CI1246" s="398"/>
      <c r="CJ1246" s="398">
        <v>27</v>
      </c>
      <c r="CK1246" s="398">
        <v>110</v>
      </c>
      <c r="CL1246" s="398">
        <v>112</v>
      </c>
      <c r="CM1246" s="398">
        <v>115</v>
      </c>
      <c r="CN1246" s="398">
        <v>118</v>
      </c>
      <c r="CO1246" s="398">
        <v>121</v>
      </c>
      <c r="CP1246" s="398">
        <v>125</v>
      </c>
      <c r="CQ1246" s="398">
        <v>90</v>
      </c>
      <c r="CR1246" s="398"/>
      <c r="CS1246" s="398"/>
      <c r="CT1246" s="398"/>
      <c r="CU1246" s="398"/>
      <c r="CV1246" s="398"/>
      <c r="CW1246" s="398"/>
      <c r="CX1246" s="398"/>
      <c r="CY1246" s="398"/>
      <c r="CZ1246" s="398"/>
      <c r="DA1246" s="398"/>
      <c r="DB1246" s="398"/>
      <c r="DC1246" s="398"/>
      <c r="DD1246" s="398"/>
      <c r="DE1246" s="393"/>
      <c r="DF1246" s="393"/>
      <c r="DG1246" s="393"/>
      <c r="DH1246" s="393"/>
      <c r="DI1246" s="393"/>
      <c r="DJ1246" s="393"/>
      <c r="DK1246" s="897"/>
    </row>
    <row r="1247" spans="1:115" ht="38.25" x14ac:dyDescent="0.2">
      <c r="A1247" s="295">
        <v>1243</v>
      </c>
      <c r="B1247" s="390" t="s">
        <v>1709</v>
      </c>
      <c r="C1247" s="424" t="s">
        <v>7702</v>
      </c>
      <c r="D1247" s="391" t="s">
        <v>5184</v>
      </c>
      <c r="E1247" s="704" t="s">
        <v>1715</v>
      </c>
      <c r="F1247" s="393" t="s">
        <v>1352</v>
      </c>
      <c r="G1247" s="393" t="s">
        <v>1672</v>
      </c>
      <c r="H1247" s="393" t="s">
        <v>684</v>
      </c>
      <c r="I1247" s="392"/>
      <c r="J1247" s="392" t="s">
        <v>684</v>
      </c>
      <c r="K1247" s="392"/>
      <c r="L1247" s="392" t="s">
        <v>1718</v>
      </c>
      <c r="M1247" s="392" t="s">
        <v>4120</v>
      </c>
      <c r="N1247" s="393" t="s">
        <v>44</v>
      </c>
      <c r="O1247" s="393" t="s">
        <v>69</v>
      </c>
      <c r="P1247" s="393" t="s">
        <v>69</v>
      </c>
      <c r="Q1247" s="392" t="s">
        <v>690</v>
      </c>
      <c r="R1247" s="392"/>
      <c r="S1247" s="392" t="s">
        <v>153</v>
      </c>
      <c r="T1247" s="394">
        <v>1</v>
      </c>
      <c r="U1247" s="395">
        <v>16.681000000000001</v>
      </c>
      <c r="V1247" s="395"/>
      <c r="W1247" s="452">
        <v>41019</v>
      </c>
      <c r="X1247" s="394">
        <v>28</v>
      </c>
      <c r="Y1247" s="394"/>
      <c r="Z1247" s="394"/>
      <c r="AA1247" s="395"/>
      <c r="AB1247" s="453"/>
      <c r="AC1247" s="398">
        <v>0</v>
      </c>
      <c r="AD1247" s="398">
        <v>133.72220821917807</v>
      </c>
      <c r="AE1247" s="393" t="s">
        <v>96</v>
      </c>
      <c r="AF1247" s="417"/>
      <c r="AG1247" s="417"/>
      <c r="AH1247" s="417">
        <v>0</v>
      </c>
      <c r="AI1247" s="394"/>
      <c r="AJ1247" s="453"/>
      <c r="AK1247" s="453"/>
      <c r="AL1247" s="393"/>
      <c r="AM1247" s="393"/>
      <c r="AN1247" s="417"/>
      <c r="AO1247" s="392"/>
      <c r="AP1247" s="392" t="s">
        <v>7105</v>
      </c>
      <c r="AQ1247" s="392"/>
      <c r="AR1247" s="392" t="s">
        <v>1719</v>
      </c>
      <c r="AS1247" s="479">
        <v>41019</v>
      </c>
      <c r="AT1247" s="453"/>
      <c r="AU1247" s="453"/>
      <c r="AV1247" s="452">
        <v>41135</v>
      </c>
      <c r="AW1247" s="452">
        <v>41269</v>
      </c>
      <c r="AX1247" s="453"/>
      <c r="AY1247" s="452">
        <v>41270</v>
      </c>
      <c r="AZ1247" s="453"/>
      <c r="BA1247" s="393"/>
      <c r="BB1247" s="393" t="s">
        <v>3147</v>
      </c>
      <c r="BC1247" s="393" t="b">
        <v>0</v>
      </c>
      <c r="BD1247" s="393" t="s">
        <v>3147</v>
      </c>
      <c r="BE1247" s="392"/>
      <c r="BF1247" s="394">
        <v>2</v>
      </c>
      <c r="BG1247" s="394">
        <v>9</v>
      </c>
      <c r="BH1247" s="394">
        <v>3</v>
      </c>
      <c r="BI1247" s="394"/>
      <c r="BJ1247" s="394"/>
      <c r="BK1247" s="394"/>
      <c r="BL1247" s="444"/>
      <c r="BM1247" s="392"/>
      <c r="BN1247" s="393"/>
      <c r="BO1247" s="393"/>
      <c r="BP1247" s="399"/>
      <c r="BQ1247" s="400"/>
      <c r="BR1247" s="401"/>
      <c r="BS1247" s="399">
        <v>0</v>
      </c>
      <c r="BT1247" s="394"/>
      <c r="BU1247" s="417"/>
      <c r="BV1247" s="399"/>
      <c r="BW1247" s="393"/>
      <c r="BX1247" s="392"/>
      <c r="BY1247" s="393"/>
      <c r="BZ1247" s="393"/>
      <c r="CA1247" s="441"/>
      <c r="CB1247" s="400"/>
      <c r="CC1247" s="398"/>
      <c r="CD1247" s="398"/>
      <c r="CE1247" s="398"/>
      <c r="CF1247" s="398"/>
      <c r="CG1247" s="398"/>
      <c r="CH1247" s="398"/>
      <c r="CI1247" s="398"/>
      <c r="CJ1247" s="398"/>
      <c r="CK1247" s="398"/>
      <c r="CL1247" s="398"/>
      <c r="CM1247" s="398"/>
      <c r="CN1247" s="398"/>
      <c r="CO1247" s="398"/>
      <c r="CP1247" s="398"/>
      <c r="CQ1247" s="398"/>
      <c r="CR1247" s="398"/>
      <c r="CS1247" s="398"/>
      <c r="CT1247" s="398"/>
      <c r="CU1247" s="398"/>
      <c r="CV1247" s="398"/>
      <c r="CW1247" s="398"/>
      <c r="CX1247" s="398"/>
      <c r="CY1247" s="398"/>
      <c r="CZ1247" s="398"/>
      <c r="DA1247" s="398"/>
      <c r="DB1247" s="398"/>
      <c r="DC1247" s="398"/>
      <c r="DD1247" s="398"/>
      <c r="DE1247" s="393"/>
      <c r="DF1247" s="393"/>
      <c r="DG1247" s="393"/>
      <c r="DH1247" s="393"/>
      <c r="DI1247" s="393"/>
      <c r="DJ1247" s="393"/>
      <c r="DK1247" s="896" t="s">
        <v>9751</v>
      </c>
    </row>
    <row r="1248" spans="1:115" ht="38.25" x14ac:dyDescent="0.2">
      <c r="A1248" s="295">
        <v>1244</v>
      </c>
      <c r="B1248" s="390" t="s">
        <v>2874</v>
      </c>
      <c r="C1248" s="390"/>
      <c r="D1248" s="391" t="s">
        <v>4962</v>
      </c>
      <c r="E1248" s="704" t="s">
        <v>1716</v>
      </c>
      <c r="F1248" s="393" t="s">
        <v>1352</v>
      </c>
      <c r="G1248" s="393" t="s">
        <v>1672</v>
      </c>
      <c r="H1248" s="393" t="s">
        <v>684</v>
      </c>
      <c r="I1248" s="392"/>
      <c r="J1248" s="392"/>
      <c r="K1248" s="392" t="s">
        <v>1717</v>
      </c>
      <c r="L1248" s="392" t="s">
        <v>1718</v>
      </c>
      <c r="M1248" s="392"/>
      <c r="N1248" s="393" t="s">
        <v>44</v>
      </c>
      <c r="O1248" s="393" t="s">
        <v>69</v>
      </c>
      <c r="P1248" s="393" t="s">
        <v>69</v>
      </c>
      <c r="Q1248" s="392" t="s">
        <v>690</v>
      </c>
      <c r="R1248" s="392" t="s">
        <v>3526</v>
      </c>
      <c r="S1248" s="392" t="s">
        <v>153</v>
      </c>
      <c r="T1248" s="394">
        <v>1</v>
      </c>
      <c r="U1248" s="395">
        <v>16.681000000000001</v>
      </c>
      <c r="V1248" s="395"/>
      <c r="W1248" s="453"/>
      <c r="X1248" s="394"/>
      <c r="Y1248" s="394">
        <v>7</v>
      </c>
      <c r="Z1248" s="394">
        <v>10</v>
      </c>
      <c r="AA1248" s="395">
        <v>2</v>
      </c>
      <c r="AB1248" s="452">
        <v>41270</v>
      </c>
      <c r="AC1248" s="398">
        <v>0</v>
      </c>
      <c r="AD1248" s="398">
        <v>133.72220821917807</v>
      </c>
      <c r="AE1248" s="393" t="s">
        <v>96</v>
      </c>
      <c r="AF1248" s="417"/>
      <c r="AG1248" s="417"/>
      <c r="AH1248" s="417"/>
      <c r="AI1248" s="394"/>
      <c r="AJ1248" s="453"/>
      <c r="AK1248" s="453"/>
      <c r="AL1248" s="393"/>
      <c r="AM1248" s="393"/>
      <c r="AN1248" s="417"/>
      <c r="AO1248" s="392"/>
      <c r="AP1248" s="392" t="s">
        <v>7105</v>
      </c>
      <c r="AQ1248" s="392"/>
      <c r="AR1248" s="392" t="s">
        <v>1719</v>
      </c>
      <c r="AS1248" s="479">
        <v>41019</v>
      </c>
      <c r="AT1248" s="453"/>
      <c r="AU1248" s="453"/>
      <c r="AV1248" s="453"/>
      <c r="AW1248" s="453"/>
      <c r="AX1248" s="453"/>
      <c r="AY1248" s="453"/>
      <c r="AZ1248" s="452">
        <v>41270</v>
      </c>
      <c r="BA1248" s="393"/>
      <c r="BB1248" s="393"/>
      <c r="BC1248" s="393" t="b">
        <v>0</v>
      </c>
      <c r="BD1248" s="393"/>
      <c r="BE1248" s="392"/>
      <c r="BF1248" s="394">
        <v>2</v>
      </c>
      <c r="BG1248" s="394">
        <v>9</v>
      </c>
      <c r="BH1248" s="394">
        <v>3</v>
      </c>
      <c r="BI1248" s="394"/>
      <c r="BJ1248" s="394"/>
      <c r="BK1248" s="394"/>
      <c r="BL1248" s="444" t="s">
        <v>6981</v>
      </c>
      <c r="BM1248" s="392"/>
      <c r="BN1248" s="393"/>
      <c r="BO1248" s="393"/>
      <c r="BP1248" s="399"/>
      <c r="BQ1248" s="400"/>
      <c r="BR1248" s="401"/>
      <c r="BS1248" s="399"/>
      <c r="BT1248" s="394"/>
      <c r="BU1248" s="417"/>
      <c r="BV1248" s="399"/>
      <c r="BW1248" s="393" t="s">
        <v>3117</v>
      </c>
      <c r="BX1248" s="392" t="s">
        <v>3253</v>
      </c>
      <c r="BY1248" s="393"/>
      <c r="BZ1248" s="393"/>
      <c r="CA1248" s="441" t="s">
        <v>1662</v>
      </c>
      <c r="CB1248" s="400"/>
      <c r="CC1248" s="398"/>
      <c r="CD1248" s="398"/>
      <c r="CE1248" s="398"/>
      <c r="CF1248" s="398"/>
      <c r="CG1248" s="398"/>
      <c r="CH1248" s="398"/>
      <c r="CI1248" s="398">
        <v>5</v>
      </c>
      <c r="CJ1248" s="398">
        <v>9</v>
      </c>
      <c r="CK1248" s="398">
        <v>12</v>
      </c>
      <c r="CL1248" s="398">
        <v>15</v>
      </c>
      <c r="CM1248" s="398">
        <v>17</v>
      </c>
      <c r="CN1248" s="398">
        <v>18</v>
      </c>
      <c r="CO1248" s="398">
        <v>20</v>
      </c>
      <c r="CP1248" s="398">
        <v>21</v>
      </c>
      <c r="CQ1248" s="398">
        <v>22</v>
      </c>
      <c r="CR1248" s="398">
        <v>23</v>
      </c>
      <c r="CS1248" s="398"/>
      <c r="CT1248" s="398"/>
      <c r="CU1248" s="398"/>
      <c r="CV1248" s="398"/>
      <c r="CW1248" s="398"/>
      <c r="CX1248" s="398"/>
      <c r="CY1248" s="398"/>
      <c r="CZ1248" s="398"/>
      <c r="DA1248" s="398"/>
      <c r="DB1248" s="398"/>
      <c r="DC1248" s="398"/>
      <c r="DD1248" s="398"/>
      <c r="DE1248" s="393"/>
      <c r="DF1248" s="393"/>
      <c r="DG1248" s="393"/>
      <c r="DH1248" s="393"/>
      <c r="DI1248" s="393"/>
      <c r="DJ1248" s="393"/>
      <c r="DK1248" s="897"/>
    </row>
    <row r="1249" spans="1:115" ht="76.5" x14ac:dyDescent="0.2">
      <c r="A1249" s="295">
        <v>1245</v>
      </c>
      <c r="B1249" s="390" t="s">
        <v>1710</v>
      </c>
      <c r="C1249" s="424" t="s">
        <v>7703</v>
      </c>
      <c r="D1249" s="391" t="s">
        <v>5586</v>
      </c>
      <c r="E1249" s="704" t="s">
        <v>1720</v>
      </c>
      <c r="F1249" s="393" t="s">
        <v>1375</v>
      </c>
      <c r="G1249" s="393" t="s">
        <v>1670</v>
      </c>
      <c r="H1249" s="393" t="s">
        <v>523</v>
      </c>
      <c r="I1249" s="392" t="s">
        <v>4121</v>
      </c>
      <c r="J1249" s="392" t="s">
        <v>1721</v>
      </c>
      <c r="K1249" s="392"/>
      <c r="L1249" s="392" t="s">
        <v>1089</v>
      </c>
      <c r="M1249" s="392" t="s">
        <v>4122</v>
      </c>
      <c r="N1249" s="393" t="s">
        <v>44</v>
      </c>
      <c r="O1249" s="393" t="s">
        <v>51</v>
      </c>
      <c r="P1249" s="393" t="s">
        <v>51</v>
      </c>
      <c r="Q1249" s="392" t="s">
        <v>976</v>
      </c>
      <c r="R1249" s="392"/>
      <c r="S1249" s="392" t="s">
        <v>977</v>
      </c>
      <c r="T1249" s="394">
        <v>3</v>
      </c>
      <c r="U1249" s="395">
        <v>232.74</v>
      </c>
      <c r="V1249" s="395"/>
      <c r="W1249" s="452">
        <v>41019</v>
      </c>
      <c r="X1249" s="394">
        <v>28</v>
      </c>
      <c r="Y1249" s="394"/>
      <c r="Z1249" s="394"/>
      <c r="AA1249" s="395"/>
      <c r="AB1249" s="453"/>
      <c r="AC1249" s="398">
        <v>19.045152359999999</v>
      </c>
      <c r="AD1249" s="398">
        <v>805.78790136986299</v>
      </c>
      <c r="AE1249" s="393" t="s">
        <v>37</v>
      </c>
      <c r="AF1249" s="417"/>
      <c r="AG1249" s="417"/>
      <c r="AH1249" s="417">
        <v>0</v>
      </c>
      <c r="AI1249" s="394"/>
      <c r="AJ1249" s="453"/>
      <c r="AK1249" s="453"/>
      <c r="AL1249" s="393"/>
      <c r="AM1249" s="393"/>
      <c r="AN1249" s="417"/>
      <c r="AO1249" s="392"/>
      <c r="AP1249" s="428" t="s">
        <v>8101</v>
      </c>
      <c r="AQ1249" s="392"/>
      <c r="AR1249" s="392" t="s">
        <v>1722</v>
      </c>
      <c r="AS1249" s="479">
        <v>41019</v>
      </c>
      <c r="AT1249" s="453"/>
      <c r="AU1249" s="453"/>
      <c r="AV1249" s="452">
        <v>41151</v>
      </c>
      <c r="AW1249" s="452">
        <v>41389</v>
      </c>
      <c r="AX1249" s="452">
        <v>41543</v>
      </c>
      <c r="AY1249" s="452">
        <v>41389</v>
      </c>
      <c r="AZ1249" s="453"/>
      <c r="BA1249" s="393"/>
      <c r="BB1249" s="393" t="s">
        <v>3116</v>
      </c>
      <c r="BC1249" s="393" t="b">
        <v>0</v>
      </c>
      <c r="BD1249" s="393" t="s">
        <v>3116</v>
      </c>
      <c r="BE1249" s="392"/>
      <c r="BF1249" s="394">
        <v>6</v>
      </c>
      <c r="BG1249" s="394">
        <v>11</v>
      </c>
      <c r="BH1249" s="394">
        <v>9</v>
      </c>
      <c r="BI1249" s="394">
        <v>4</v>
      </c>
      <c r="BJ1249" s="394">
        <v>8</v>
      </c>
      <c r="BK1249" s="394"/>
      <c r="BL1249" s="444"/>
      <c r="BM1249" s="392"/>
      <c r="BN1249" s="393"/>
      <c r="BO1249" s="393"/>
      <c r="BP1249" s="399"/>
      <c r="BQ1249" s="400"/>
      <c r="BR1249" s="401"/>
      <c r="BS1249" s="399">
        <v>0</v>
      </c>
      <c r="BT1249" s="394"/>
      <c r="BU1249" s="417"/>
      <c r="BV1249" s="399"/>
      <c r="BW1249" s="393"/>
      <c r="BX1249" s="392"/>
      <c r="BY1249" s="475" t="s">
        <v>7227</v>
      </c>
      <c r="BZ1249" s="393"/>
      <c r="CA1249" s="441"/>
      <c r="CB1249" s="400"/>
      <c r="CC1249" s="398"/>
      <c r="CD1249" s="398"/>
      <c r="CE1249" s="398"/>
      <c r="CF1249" s="398"/>
      <c r="CG1249" s="398"/>
      <c r="CH1249" s="398"/>
      <c r="CI1249" s="398"/>
      <c r="CJ1249" s="398"/>
      <c r="CK1249" s="398"/>
      <c r="CL1249" s="398"/>
      <c r="CM1249" s="398"/>
      <c r="CN1249" s="398"/>
      <c r="CO1249" s="398"/>
      <c r="CP1249" s="398"/>
      <c r="CQ1249" s="398"/>
      <c r="CR1249" s="398"/>
      <c r="CS1249" s="398"/>
      <c r="CT1249" s="398"/>
      <c r="CU1249" s="398"/>
      <c r="CV1249" s="398"/>
      <c r="CW1249" s="398"/>
      <c r="CX1249" s="398"/>
      <c r="CY1249" s="398"/>
      <c r="CZ1249" s="398"/>
      <c r="DA1249" s="398"/>
      <c r="DB1249" s="398"/>
      <c r="DC1249" s="398"/>
      <c r="DD1249" s="398"/>
      <c r="DE1249" s="393"/>
      <c r="DF1249" s="393"/>
      <c r="DG1249" s="393"/>
      <c r="DH1249" s="393"/>
      <c r="DI1249" s="393"/>
      <c r="DJ1249" s="393"/>
      <c r="DK1249" s="896" t="s">
        <v>9698</v>
      </c>
    </row>
    <row r="1250" spans="1:115" ht="25.5" x14ac:dyDescent="0.2">
      <c r="A1250" s="295">
        <v>1246</v>
      </c>
      <c r="B1250" s="390" t="s">
        <v>2875</v>
      </c>
      <c r="C1250" s="390"/>
      <c r="D1250" s="391" t="s">
        <v>5587</v>
      </c>
      <c r="E1250" s="704" t="s">
        <v>1723</v>
      </c>
      <c r="F1250" s="393" t="s">
        <v>1375</v>
      </c>
      <c r="G1250" s="393" t="s">
        <v>1670</v>
      </c>
      <c r="H1250" s="393" t="s">
        <v>523</v>
      </c>
      <c r="I1250" s="392"/>
      <c r="J1250" s="392"/>
      <c r="K1250" s="392" t="s">
        <v>523</v>
      </c>
      <c r="L1250" s="392" t="s">
        <v>1089</v>
      </c>
      <c r="M1250" s="392"/>
      <c r="N1250" s="393" t="s">
        <v>44</v>
      </c>
      <c r="O1250" s="393" t="s">
        <v>51</v>
      </c>
      <c r="P1250" s="393" t="s">
        <v>51</v>
      </c>
      <c r="Q1250" s="392" t="s">
        <v>976</v>
      </c>
      <c r="R1250" s="392" t="s">
        <v>3257</v>
      </c>
      <c r="S1250" s="392" t="s">
        <v>977</v>
      </c>
      <c r="T1250" s="394">
        <v>1</v>
      </c>
      <c r="U1250" s="395">
        <v>39.113999999999997</v>
      </c>
      <c r="V1250" s="395"/>
      <c r="W1250" s="453"/>
      <c r="X1250" s="394"/>
      <c r="Y1250" s="394">
        <v>7</v>
      </c>
      <c r="Z1250" s="394">
        <v>21</v>
      </c>
      <c r="AA1250" s="395">
        <v>0</v>
      </c>
      <c r="AB1250" s="452">
        <v>41122</v>
      </c>
      <c r="AC1250" s="398">
        <v>19.045152359999999</v>
      </c>
      <c r="AD1250" s="398">
        <v>329.41489315068492</v>
      </c>
      <c r="AE1250" s="393" t="s">
        <v>37</v>
      </c>
      <c r="AF1250" s="417"/>
      <c r="AG1250" s="417"/>
      <c r="AH1250" s="417"/>
      <c r="AI1250" s="394"/>
      <c r="AJ1250" s="453"/>
      <c r="AK1250" s="453"/>
      <c r="AL1250" s="393"/>
      <c r="AM1250" s="393"/>
      <c r="AN1250" s="417"/>
      <c r="AO1250" s="392"/>
      <c r="AP1250" s="428" t="s">
        <v>8101</v>
      </c>
      <c r="AQ1250" s="392"/>
      <c r="AR1250" s="392" t="s">
        <v>1722</v>
      </c>
      <c r="AS1250" s="479">
        <v>41019</v>
      </c>
      <c r="AT1250" s="453"/>
      <c r="AU1250" s="453"/>
      <c r="AV1250" s="453"/>
      <c r="AW1250" s="453"/>
      <c r="AX1250" s="453"/>
      <c r="AY1250" s="453"/>
      <c r="AZ1250" s="452">
        <v>41389</v>
      </c>
      <c r="BA1250" s="393"/>
      <c r="BB1250" s="393"/>
      <c r="BC1250" s="393" t="b">
        <v>0</v>
      </c>
      <c r="BD1250" s="393"/>
      <c r="BE1250" s="392"/>
      <c r="BF1250" s="394">
        <v>4</v>
      </c>
      <c r="BG1250" s="394">
        <v>8</v>
      </c>
      <c r="BH1250" s="394">
        <v>6</v>
      </c>
      <c r="BI1250" s="394">
        <v>9</v>
      </c>
      <c r="BJ1250" s="394"/>
      <c r="BK1250" s="394"/>
      <c r="BL1250" s="444" t="s">
        <v>1451</v>
      </c>
      <c r="BM1250" s="392" t="s">
        <v>3527</v>
      </c>
      <c r="BN1250" s="393" t="s">
        <v>117</v>
      </c>
      <c r="BO1250" s="393"/>
      <c r="BP1250" s="399"/>
      <c r="BQ1250" s="400"/>
      <c r="BR1250" s="401"/>
      <c r="BS1250" s="399"/>
      <c r="BT1250" s="394"/>
      <c r="BU1250" s="417"/>
      <c r="BV1250" s="399">
        <v>1.8</v>
      </c>
      <c r="BW1250" s="393" t="s">
        <v>3117</v>
      </c>
      <c r="BX1250" s="392" t="s">
        <v>1447</v>
      </c>
      <c r="BY1250" s="475" t="s">
        <v>7227</v>
      </c>
      <c r="BZ1250" s="393"/>
      <c r="CA1250" s="441"/>
      <c r="CB1250" s="400"/>
      <c r="CC1250" s="398"/>
      <c r="CD1250" s="398"/>
      <c r="CE1250" s="398"/>
      <c r="CF1250" s="398"/>
      <c r="CG1250" s="398"/>
      <c r="CH1250" s="398"/>
      <c r="CI1250" s="398">
        <v>46</v>
      </c>
      <c r="CJ1250" s="398">
        <v>46</v>
      </c>
      <c r="CK1250" s="398">
        <v>46</v>
      </c>
      <c r="CL1250" s="398">
        <v>46</v>
      </c>
      <c r="CM1250" s="398">
        <v>46</v>
      </c>
      <c r="CN1250" s="398">
        <v>46</v>
      </c>
      <c r="CO1250" s="398">
        <v>46</v>
      </c>
      <c r="CP1250" s="398"/>
      <c r="CQ1250" s="398"/>
      <c r="CR1250" s="398"/>
      <c r="CS1250" s="398"/>
      <c r="CT1250" s="398"/>
      <c r="CU1250" s="398"/>
      <c r="CV1250" s="398"/>
      <c r="CW1250" s="398"/>
      <c r="CX1250" s="398"/>
      <c r="CY1250" s="398"/>
      <c r="CZ1250" s="398"/>
      <c r="DA1250" s="398"/>
      <c r="DB1250" s="398"/>
      <c r="DC1250" s="398"/>
      <c r="DD1250" s="398"/>
      <c r="DE1250" s="393"/>
      <c r="DF1250" s="393"/>
      <c r="DG1250" s="393"/>
      <c r="DH1250" s="393"/>
      <c r="DI1250" s="393"/>
      <c r="DJ1250" s="393"/>
      <c r="DK1250" s="897"/>
    </row>
    <row r="1251" spans="1:115" ht="25.5" x14ac:dyDescent="0.2">
      <c r="A1251" s="295">
        <v>1247</v>
      </c>
      <c r="B1251" s="390" t="s">
        <v>9633</v>
      </c>
      <c r="C1251" s="390"/>
      <c r="D1251" s="391" t="s">
        <v>9634</v>
      </c>
      <c r="E1251" s="705" t="s">
        <v>9637</v>
      </c>
      <c r="F1251" s="475" t="s">
        <v>1375</v>
      </c>
      <c r="G1251" s="475" t="s">
        <v>7340</v>
      </c>
      <c r="H1251" s="475" t="s">
        <v>504</v>
      </c>
      <c r="I1251" s="392"/>
      <c r="J1251" s="392"/>
      <c r="K1251" s="428" t="s">
        <v>504</v>
      </c>
      <c r="L1251" s="428" t="s">
        <v>1089</v>
      </c>
      <c r="M1251" s="392"/>
      <c r="N1251" s="393" t="s">
        <v>44</v>
      </c>
      <c r="O1251" s="393" t="s">
        <v>51</v>
      </c>
      <c r="P1251" s="393" t="s">
        <v>51</v>
      </c>
      <c r="Q1251" s="392" t="s">
        <v>976</v>
      </c>
      <c r="R1251" s="428" t="s">
        <v>9639</v>
      </c>
      <c r="S1251" s="428" t="s">
        <v>977</v>
      </c>
      <c r="T1251" s="394">
        <v>1</v>
      </c>
      <c r="U1251" s="395">
        <v>75.814999999999998</v>
      </c>
      <c r="V1251" s="395"/>
      <c r="W1251" s="453"/>
      <c r="X1251" s="394"/>
      <c r="Y1251" s="394">
        <v>7</v>
      </c>
      <c r="Z1251" s="394">
        <v>21</v>
      </c>
      <c r="AA1251" s="395">
        <v>0</v>
      </c>
      <c r="AB1251" s="452">
        <v>43298</v>
      </c>
      <c r="AC1251" s="398">
        <v>0</v>
      </c>
      <c r="AD1251" s="398">
        <v>186.5256712328767</v>
      </c>
      <c r="AE1251" s="475" t="s">
        <v>37</v>
      </c>
      <c r="AF1251" s="417"/>
      <c r="AG1251" s="417"/>
      <c r="AH1251" s="417"/>
      <c r="AI1251" s="394"/>
      <c r="AJ1251" s="453"/>
      <c r="AK1251" s="453"/>
      <c r="AL1251" s="393"/>
      <c r="AM1251" s="393"/>
      <c r="AN1251" s="417"/>
      <c r="AO1251" s="392"/>
      <c r="AP1251" s="428" t="s">
        <v>8101</v>
      </c>
      <c r="AQ1251" s="392"/>
      <c r="AR1251" s="392"/>
      <c r="AS1251" s="479">
        <v>41019</v>
      </c>
      <c r="AT1251" s="453"/>
      <c r="AU1251" s="453"/>
      <c r="AV1251" s="453"/>
      <c r="AW1251" s="453"/>
      <c r="AX1251" s="453"/>
      <c r="AY1251" s="453"/>
      <c r="AZ1251" s="452">
        <v>43299</v>
      </c>
      <c r="BA1251" s="393"/>
      <c r="BB1251" s="393"/>
      <c r="BC1251" s="393" t="b">
        <v>0</v>
      </c>
      <c r="BD1251" s="393"/>
      <c r="BE1251" s="392"/>
      <c r="BF1251" s="394">
        <v>4</v>
      </c>
      <c r="BG1251" s="394">
        <v>8</v>
      </c>
      <c r="BH1251" s="394">
        <v>6</v>
      </c>
      <c r="BI1251" s="394">
        <v>9</v>
      </c>
      <c r="BJ1251" s="394"/>
      <c r="BK1251" s="394"/>
      <c r="BL1251" s="444" t="s">
        <v>1451</v>
      </c>
      <c r="BM1251" s="392"/>
      <c r="BN1251" s="393"/>
      <c r="BO1251" s="393"/>
      <c r="BP1251" s="399"/>
      <c r="BQ1251" s="400"/>
      <c r="BR1251" s="401"/>
      <c r="BS1251" s="399"/>
      <c r="BT1251" s="394"/>
      <c r="BU1251" s="417"/>
      <c r="BV1251" s="399"/>
      <c r="BW1251" s="393"/>
      <c r="BX1251" s="392"/>
      <c r="BY1251" s="475" t="s">
        <v>7227</v>
      </c>
      <c r="BZ1251" s="393"/>
      <c r="CA1251" s="441"/>
      <c r="CB1251" s="400"/>
      <c r="CC1251" s="398"/>
      <c r="CD1251" s="398"/>
      <c r="CE1251" s="398"/>
      <c r="CF1251" s="398"/>
      <c r="CG1251" s="398"/>
      <c r="CH1251" s="398"/>
      <c r="CI1251" s="398"/>
      <c r="CJ1251" s="398"/>
      <c r="CK1251" s="398"/>
      <c r="CL1251" s="398"/>
      <c r="CM1251" s="398"/>
      <c r="CN1251" s="398">
        <v>75.814999999999998</v>
      </c>
      <c r="CO1251" s="398">
        <v>75.814999999999998</v>
      </c>
      <c r="CP1251" s="398">
        <v>75.814999999999998</v>
      </c>
      <c r="CQ1251" s="398">
        <v>75.814999999999998</v>
      </c>
      <c r="CR1251" s="398">
        <v>75.814999999999998</v>
      </c>
      <c r="CS1251" s="398">
        <v>75.814999999999998</v>
      </c>
      <c r="CT1251" s="398">
        <v>75.814999999999998</v>
      </c>
      <c r="CU1251" s="398"/>
      <c r="CV1251" s="398"/>
      <c r="CW1251" s="398"/>
      <c r="CX1251" s="398"/>
      <c r="CY1251" s="398"/>
      <c r="CZ1251" s="398"/>
      <c r="DA1251" s="398"/>
      <c r="DB1251" s="398"/>
      <c r="DC1251" s="398"/>
      <c r="DD1251" s="398"/>
      <c r="DE1251" s="393"/>
      <c r="DF1251" s="393"/>
      <c r="DG1251" s="393"/>
      <c r="DH1251" s="393"/>
      <c r="DI1251" s="393"/>
      <c r="DJ1251" s="393"/>
      <c r="DK1251" s="897"/>
    </row>
    <row r="1252" spans="1:115" ht="25.5" x14ac:dyDescent="0.2">
      <c r="A1252" s="295">
        <v>1248</v>
      </c>
      <c r="B1252" s="390" t="s">
        <v>9635</v>
      </c>
      <c r="C1252" s="390"/>
      <c r="D1252" s="391" t="s">
        <v>9636</v>
      </c>
      <c r="E1252" s="705" t="s">
        <v>9638</v>
      </c>
      <c r="F1252" s="393" t="s">
        <v>1375</v>
      </c>
      <c r="G1252" s="393" t="s">
        <v>1670</v>
      </c>
      <c r="H1252" s="393" t="s">
        <v>1048</v>
      </c>
      <c r="I1252" s="392"/>
      <c r="J1252" s="392"/>
      <c r="K1252" s="428" t="s">
        <v>6851</v>
      </c>
      <c r="L1252" s="428" t="s">
        <v>1089</v>
      </c>
      <c r="M1252" s="392"/>
      <c r="N1252" s="475" t="s">
        <v>44</v>
      </c>
      <c r="O1252" s="393" t="s">
        <v>51</v>
      </c>
      <c r="P1252" s="393" t="s">
        <v>51</v>
      </c>
      <c r="Q1252" s="392" t="s">
        <v>976</v>
      </c>
      <c r="R1252" s="428" t="s">
        <v>9639</v>
      </c>
      <c r="S1252" s="428" t="s">
        <v>977</v>
      </c>
      <c r="T1252" s="394">
        <v>1</v>
      </c>
      <c r="U1252" s="395">
        <v>117.81100000000001</v>
      </c>
      <c r="V1252" s="395"/>
      <c r="W1252" s="453"/>
      <c r="X1252" s="394"/>
      <c r="Y1252" s="394">
        <v>7</v>
      </c>
      <c r="Z1252" s="394">
        <v>21</v>
      </c>
      <c r="AA1252" s="395">
        <v>0</v>
      </c>
      <c r="AB1252" s="452">
        <v>43298</v>
      </c>
      <c r="AC1252" s="398">
        <v>0</v>
      </c>
      <c r="AD1252" s="398">
        <v>289.8473369863014</v>
      </c>
      <c r="AE1252" s="475" t="s">
        <v>37</v>
      </c>
      <c r="AF1252" s="417"/>
      <c r="AG1252" s="417"/>
      <c r="AH1252" s="417"/>
      <c r="AI1252" s="394"/>
      <c r="AJ1252" s="453"/>
      <c r="AK1252" s="453"/>
      <c r="AL1252" s="393"/>
      <c r="AM1252" s="393"/>
      <c r="AN1252" s="417"/>
      <c r="AO1252" s="392"/>
      <c r="AP1252" s="428" t="s">
        <v>8101</v>
      </c>
      <c r="AQ1252" s="392"/>
      <c r="AR1252" s="392"/>
      <c r="AS1252" s="479">
        <v>41019</v>
      </c>
      <c r="AT1252" s="453"/>
      <c r="AU1252" s="453"/>
      <c r="AV1252" s="453"/>
      <c r="AW1252" s="453"/>
      <c r="AX1252" s="453"/>
      <c r="AY1252" s="453"/>
      <c r="AZ1252" s="452">
        <v>43299</v>
      </c>
      <c r="BA1252" s="393"/>
      <c r="BB1252" s="393"/>
      <c r="BC1252" s="393" t="b">
        <v>0</v>
      </c>
      <c r="BD1252" s="393"/>
      <c r="BE1252" s="392"/>
      <c r="BF1252" s="394">
        <v>4</v>
      </c>
      <c r="BG1252" s="394">
        <v>8</v>
      </c>
      <c r="BH1252" s="394">
        <v>6</v>
      </c>
      <c r="BI1252" s="394">
        <v>9</v>
      </c>
      <c r="BJ1252" s="394"/>
      <c r="BK1252" s="394"/>
      <c r="BL1252" s="444" t="s">
        <v>1451</v>
      </c>
      <c r="BM1252" s="392"/>
      <c r="BN1252" s="393"/>
      <c r="BO1252" s="393"/>
      <c r="BP1252" s="399"/>
      <c r="BQ1252" s="400"/>
      <c r="BR1252" s="401"/>
      <c r="BS1252" s="399"/>
      <c r="BT1252" s="394"/>
      <c r="BU1252" s="417"/>
      <c r="BV1252" s="399"/>
      <c r="BW1252" s="393"/>
      <c r="BX1252" s="392"/>
      <c r="BY1252" s="475" t="s">
        <v>7227</v>
      </c>
      <c r="BZ1252" s="393"/>
      <c r="CA1252" s="441"/>
      <c r="CB1252" s="400"/>
      <c r="CC1252" s="398"/>
      <c r="CD1252" s="398"/>
      <c r="CE1252" s="398"/>
      <c r="CF1252" s="398"/>
      <c r="CG1252" s="398"/>
      <c r="CH1252" s="398"/>
      <c r="CI1252" s="398"/>
      <c r="CJ1252" s="398"/>
      <c r="CK1252" s="398"/>
      <c r="CL1252" s="398"/>
      <c r="CM1252" s="398"/>
      <c r="CN1252" s="398">
        <v>117.81100000000001</v>
      </c>
      <c r="CO1252" s="398">
        <v>117.81100000000001</v>
      </c>
      <c r="CP1252" s="398">
        <v>117.81100000000001</v>
      </c>
      <c r="CQ1252" s="398">
        <v>117.81100000000001</v>
      </c>
      <c r="CR1252" s="398">
        <v>117.81100000000001</v>
      </c>
      <c r="CS1252" s="398">
        <v>117.81100000000001</v>
      </c>
      <c r="CT1252" s="398">
        <v>117.81100000000001</v>
      </c>
      <c r="CU1252" s="398"/>
      <c r="CV1252" s="398"/>
      <c r="CW1252" s="398"/>
      <c r="CX1252" s="398"/>
      <c r="CY1252" s="398"/>
      <c r="CZ1252" s="398"/>
      <c r="DA1252" s="398"/>
      <c r="DB1252" s="398"/>
      <c r="DC1252" s="398"/>
      <c r="DD1252" s="398"/>
      <c r="DE1252" s="393"/>
      <c r="DF1252" s="393"/>
      <c r="DG1252" s="393"/>
      <c r="DH1252" s="393"/>
      <c r="DI1252" s="393"/>
      <c r="DJ1252" s="393"/>
      <c r="DK1252" s="897"/>
    </row>
    <row r="1253" spans="1:115" ht="63.75" x14ac:dyDescent="0.2">
      <c r="A1253" s="295">
        <v>1249</v>
      </c>
      <c r="B1253" s="390" t="s">
        <v>1711</v>
      </c>
      <c r="C1253" s="424" t="s">
        <v>7704</v>
      </c>
      <c r="D1253" s="391"/>
      <c r="E1253" s="707" t="s">
        <v>1724</v>
      </c>
      <c r="F1253" s="404" t="s">
        <v>1340</v>
      </c>
      <c r="G1253" s="404" t="s">
        <v>1677</v>
      </c>
      <c r="H1253" s="404" t="s">
        <v>718</v>
      </c>
      <c r="I1253" s="403"/>
      <c r="J1253" s="403" t="s">
        <v>718</v>
      </c>
      <c r="K1253" s="403"/>
      <c r="L1253" s="403" t="s">
        <v>3806</v>
      </c>
      <c r="M1253" s="403" t="s">
        <v>4123</v>
      </c>
      <c r="N1253" s="459" t="s">
        <v>3142</v>
      </c>
      <c r="O1253" s="404" t="s">
        <v>69</v>
      </c>
      <c r="P1253" s="404" t="s">
        <v>69</v>
      </c>
      <c r="Q1253" s="403" t="s">
        <v>152</v>
      </c>
      <c r="R1253" s="403"/>
      <c r="S1253" s="403" t="s">
        <v>146</v>
      </c>
      <c r="T1253" s="405">
        <v>1</v>
      </c>
      <c r="U1253" s="406">
        <v>0.505</v>
      </c>
      <c r="V1253" s="406"/>
      <c r="W1253" s="456">
        <v>41244</v>
      </c>
      <c r="X1253" s="405">
        <v>28</v>
      </c>
      <c r="Y1253" s="405"/>
      <c r="Z1253" s="405"/>
      <c r="AA1253" s="406"/>
      <c r="AB1253" s="455"/>
      <c r="AC1253" s="407">
        <v>0</v>
      </c>
      <c r="AD1253" s="407">
        <v>4.0413835616438361</v>
      </c>
      <c r="AE1253" s="404" t="s">
        <v>133</v>
      </c>
      <c r="AF1253" s="418"/>
      <c r="AG1253" s="418"/>
      <c r="AH1253" s="418">
        <v>0</v>
      </c>
      <c r="AI1253" s="405"/>
      <c r="AJ1253" s="455"/>
      <c r="AK1253" s="455"/>
      <c r="AL1253" s="404"/>
      <c r="AM1253" s="404"/>
      <c r="AN1253" s="418"/>
      <c r="AO1253" s="403"/>
      <c r="AP1253" s="403" t="s">
        <v>55</v>
      </c>
      <c r="AQ1253" s="403"/>
      <c r="AR1253" s="403" t="s">
        <v>3806</v>
      </c>
      <c r="AS1253" s="482">
        <v>41019</v>
      </c>
      <c r="AT1253" s="455"/>
      <c r="AU1253" s="455"/>
      <c r="AV1253" s="455"/>
      <c r="AW1253" s="455"/>
      <c r="AX1253" s="455"/>
      <c r="AY1253" s="455"/>
      <c r="AZ1253" s="455"/>
      <c r="BA1253" s="404"/>
      <c r="BB1253" s="404" t="s">
        <v>3147</v>
      </c>
      <c r="BC1253" s="404" t="b">
        <v>1</v>
      </c>
      <c r="BD1253" s="404" t="s">
        <v>3147</v>
      </c>
      <c r="BE1253" s="403"/>
      <c r="BF1253" s="405">
        <v>2</v>
      </c>
      <c r="BG1253" s="405">
        <v>5</v>
      </c>
      <c r="BH1253" s="405">
        <v>9</v>
      </c>
      <c r="BI1253" s="405">
        <v>7</v>
      </c>
      <c r="BJ1253" s="405">
        <v>11</v>
      </c>
      <c r="BK1253" s="405"/>
      <c r="BL1253" s="446"/>
      <c r="BM1253" s="403"/>
      <c r="BN1253" s="404"/>
      <c r="BO1253" s="404"/>
      <c r="BP1253" s="408"/>
      <c r="BQ1253" s="409"/>
      <c r="BR1253" s="410"/>
      <c r="BS1253" s="408">
        <v>0</v>
      </c>
      <c r="BT1253" s="405"/>
      <c r="BU1253" s="418"/>
      <c r="BV1253" s="408"/>
      <c r="BW1253" s="404"/>
      <c r="BX1253" s="403"/>
      <c r="BY1253" s="404"/>
      <c r="BZ1253" s="404"/>
      <c r="CA1253" s="443"/>
      <c r="CB1253" s="409"/>
      <c r="CC1253" s="407"/>
      <c r="CD1253" s="407"/>
      <c r="CE1253" s="407"/>
      <c r="CF1253" s="407"/>
      <c r="CG1253" s="407"/>
      <c r="CH1253" s="407"/>
      <c r="CI1253" s="407"/>
      <c r="CJ1253" s="407"/>
      <c r="CK1253" s="407"/>
      <c r="CL1253" s="407"/>
      <c r="CM1253" s="407"/>
      <c r="CN1253" s="407"/>
      <c r="CO1253" s="407"/>
      <c r="CP1253" s="407"/>
      <c r="CQ1253" s="407"/>
      <c r="CR1253" s="407"/>
      <c r="CS1253" s="407"/>
      <c r="CT1253" s="407"/>
      <c r="CU1253" s="407"/>
      <c r="CV1253" s="407"/>
      <c r="CW1253" s="407"/>
      <c r="CX1253" s="407"/>
      <c r="CY1253" s="407"/>
      <c r="CZ1253" s="407"/>
      <c r="DA1253" s="407"/>
      <c r="DB1253" s="407"/>
      <c r="DC1253" s="407"/>
      <c r="DD1253" s="407"/>
      <c r="DE1253" s="404"/>
      <c r="DF1253" s="404"/>
      <c r="DG1253" s="404"/>
      <c r="DH1253" s="404"/>
      <c r="DI1253" s="404"/>
      <c r="DJ1253" s="404"/>
      <c r="DK1253" s="897"/>
    </row>
    <row r="1254" spans="1:115" ht="25.5" x14ac:dyDescent="0.2">
      <c r="A1254" s="295">
        <v>1250</v>
      </c>
      <c r="B1254" s="390" t="s">
        <v>2876</v>
      </c>
      <c r="C1254" s="390"/>
      <c r="D1254" s="391"/>
      <c r="E1254" s="707" t="s">
        <v>1725</v>
      </c>
      <c r="F1254" s="404" t="s">
        <v>1340</v>
      </c>
      <c r="G1254" s="404" t="s">
        <v>1677</v>
      </c>
      <c r="H1254" s="404" t="s">
        <v>718</v>
      </c>
      <c r="I1254" s="403"/>
      <c r="J1254" s="403"/>
      <c r="K1254" s="403" t="s">
        <v>1726</v>
      </c>
      <c r="L1254" s="403" t="s">
        <v>3806</v>
      </c>
      <c r="M1254" s="403"/>
      <c r="N1254" s="459" t="s">
        <v>3142</v>
      </c>
      <c r="O1254" s="404" t="s">
        <v>69</v>
      </c>
      <c r="P1254" s="404" t="s">
        <v>69</v>
      </c>
      <c r="Q1254" s="403" t="s">
        <v>152</v>
      </c>
      <c r="R1254" s="403" t="s">
        <v>3528</v>
      </c>
      <c r="S1254" s="403" t="s">
        <v>146</v>
      </c>
      <c r="T1254" s="405">
        <v>1</v>
      </c>
      <c r="U1254" s="406">
        <v>0.505</v>
      </c>
      <c r="V1254" s="406"/>
      <c r="W1254" s="455"/>
      <c r="X1254" s="405"/>
      <c r="Y1254" s="405">
        <v>7</v>
      </c>
      <c r="Z1254" s="405">
        <v>25</v>
      </c>
      <c r="AA1254" s="406">
        <v>0</v>
      </c>
      <c r="AB1254" s="456">
        <v>41275</v>
      </c>
      <c r="AC1254" s="407">
        <v>0</v>
      </c>
      <c r="AD1254" s="407">
        <v>4.0413835616438361</v>
      </c>
      <c r="AE1254" s="404" t="s">
        <v>133</v>
      </c>
      <c r="AF1254" s="418"/>
      <c r="AG1254" s="418"/>
      <c r="AH1254" s="418"/>
      <c r="AI1254" s="405"/>
      <c r="AJ1254" s="455"/>
      <c r="AK1254" s="455"/>
      <c r="AL1254" s="404"/>
      <c r="AM1254" s="404"/>
      <c r="AN1254" s="418"/>
      <c r="AO1254" s="403"/>
      <c r="AP1254" s="403" t="s">
        <v>55</v>
      </c>
      <c r="AQ1254" s="403"/>
      <c r="AR1254" s="403" t="s">
        <v>3806</v>
      </c>
      <c r="AS1254" s="482">
        <v>41019</v>
      </c>
      <c r="AT1254" s="455"/>
      <c r="AU1254" s="455"/>
      <c r="AV1254" s="455"/>
      <c r="AW1254" s="455"/>
      <c r="AX1254" s="455"/>
      <c r="AY1254" s="455"/>
      <c r="AZ1254" s="455"/>
      <c r="BA1254" s="404"/>
      <c r="BB1254" s="404"/>
      <c r="BC1254" s="404" t="b">
        <v>0</v>
      </c>
      <c r="BD1254" s="404"/>
      <c r="BE1254" s="403"/>
      <c r="BF1254" s="405">
        <v>2</v>
      </c>
      <c r="BG1254" s="405">
        <v>5</v>
      </c>
      <c r="BH1254" s="405"/>
      <c r="BI1254" s="405"/>
      <c r="BJ1254" s="405"/>
      <c r="BK1254" s="405"/>
      <c r="BL1254" s="446" t="s">
        <v>1451</v>
      </c>
      <c r="BM1254" s="403"/>
      <c r="BN1254" s="404"/>
      <c r="BO1254" s="404"/>
      <c r="BP1254" s="408"/>
      <c r="BQ1254" s="409"/>
      <c r="BR1254" s="410"/>
      <c r="BS1254" s="408"/>
      <c r="BT1254" s="405"/>
      <c r="BU1254" s="418"/>
      <c r="BV1254" s="408"/>
      <c r="BW1254" s="404" t="s">
        <v>3117</v>
      </c>
      <c r="BX1254" s="403" t="s">
        <v>3172</v>
      </c>
      <c r="BY1254" s="404"/>
      <c r="BZ1254" s="404"/>
      <c r="CA1254" s="443"/>
      <c r="CB1254" s="409"/>
      <c r="CC1254" s="407"/>
      <c r="CD1254" s="407"/>
      <c r="CE1254" s="407"/>
      <c r="CF1254" s="407"/>
      <c r="CG1254" s="407"/>
      <c r="CH1254" s="407"/>
      <c r="CI1254" s="407">
        <v>0</v>
      </c>
      <c r="CJ1254" s="407">
        <v>0</v>
      </c>
      <c r="CK1254" s="407">
        <v>0</v>
      </c>
      <c r="CL1254" s="407">
        <v>1</v>
      </c>
      <c r="CM1254" s="407">
        <v>1</v>
      </c>
      <c r="CN1254" s="407">
        <v>1</v>
      </c>
      <c r="CO1254" s="407">
        <v>1</v>
      </c>
      <c r="CP1254" s="407"/>
      <c r="CQ1254" s="407"/>
      <c r="CR1254" s="407"/>
      <c r="CS1254" s="407"/>
      <c r="CT1254" s="407"/>
      <c r="CU1254" s="407"/>
      <c r="CV1254" s="407"/>
      <c r="CW1254" s="407"/>
      <c r="CX1254" s="407"/>
      <c r="CY1254" s="407"/>
      <c r="CZ1254" s="407"/>
      <c r="DA1254" s="407"/>
      <c r="DB1254" s="407"/>
      <c r="DC1254" s="407"/>
      <c r="DD1254" s="407"/>
      <c r="DE1254" s="404"/>
      <c r="DF1254" s="404"/>
      <c r="DG1254" s="404"/>
      <c r="DH1254" s="404"/>
      <c r="DI1254" s="404"/>
      <c r="DJ1254" s="404"/>
      <c r="DK1254" s="897"/>
    </row>
    <row r="1255" spans="1:115" ht="63.75" x14ac:dyDescent="0.2">
      <c r="A1255" s="295">
        <v>1251</v>
      </c>
      <c r="B1255" s="390" t="s">
        <v>1712</v>
      </c>
      <c r="C1255" s="424" t="s">
        <v>7705</v>
      </c>
      <c r="D1255" s="391" t="s">
        <v>5185</v>
      </c>
      <c r="E1255" s="704" t="s">
        <v>1727</v>
      </c>
      <c r="F1255" s="393" t="s">
        <v>1340</v>
      </c>
      <c r="G1255" s="393" t="s">
        <v>1677</v>
      </c>
      <c r="H1255" s="393" t="s">
        <v>151</v>
      </c>
      <c r="I1255" s="392"/>
      <c r="J1255" s="392" t="s">
        <v>151</v>
      </c>
      <c r="K1255" s="392"/>
      <c r="L1255" s="392" t="s">
        <v>3807</v>
      </c>
      <c r="M1255" s="392" t="s">
        <v>4124</v>
      </c>
      <c r="N1255" s="393" t="s">
        <v>44</v>
      </c>
      <c r="O1255" s="393" t="s">
        <v>1155</v>
      </c>
      <c r="P1255" s="393" t="s">
        <v>1155</v>
      </c>
      <c r="Q1255" s="392" t="s">
        <v>1155</v>
      </c>
      <c r="R1255" s="392"/>
      <c r="S1255" s="392" t="s">
        <v>650</v>
      </c>
      <c r="T1255" s="394">
        <v>1</v>
      </c>
      <c r="U1255" s="395">
        <v>38.978999999999999</v>
      </c>
      <c r="V1255" s="395"/>
      <c r="W1255" s="452">
        <v>41306</v>
      </c>
      <c r="X1255" s="394">
        <v>28</v>
      </c>
      <c r="Y1255" s="394"/>
      <c r="Z1255" s="394"/>
      <c r="AA1255" s="395"/>
      <c r="AB1255" s="453"/>
      <c r="AC1255" s="398">
        <v>0</v>
      </c>
      <c r="AD1255" s="398">
        <v>195.00179178082192</v>
      </c>
      <c r="AE1255" s="393" t="s">
        <v>47</v>
      </c>
      <c r="AF1255" s="417"/>
      <c r="AG1255" s="417"/>
      <c r="AH1255" s="417">
        <v>0</v>
      </c>
      <c r="AI1255" s="394"/>
      <c r="AJ1255" s="453"/>
      <c r="AK1255" s="453"/>
      <c r="AL1255" s="393"/>
      <c r="AM1255" s="393"/>
      <c r="AN1255" s="417"/>
      <c r="AO1255" s="392"/>
      <c r="AP1255" s="392" t="s">
        <v>55</v>
      </c>
      <c r="AQ1255" s="392"/>
      <c r="AR1255" s="392" t="s">
        <v>3807</v>
      </c>
      <c r="AS1255" s="479">
        <v>41019</v>
      </c>
      <c r="AT1255" s="453"/>
      <c r="AU1255" s="453"/>
      <c r="AV1255" s="452">
        <v>41222</v>
      </c>
      <c r="AW1255" s="452">
        <v>41242</v>
      </c>
      <c r="AX1255" s="452">
        <v>41298</v>
      </c>
      <c r="AY1255" s="452">
        <v>41255</v>
      </c>
      <c r="AZ1255" s="453"/>
      <c r="BA1255" s="393"/>
      <c r="BB1255" s="393" t="s">
        <v>3147</v>
      </c>
      <c r="BC1255" s="393" t="b">
        <v>1</v>
      </c>
      <c r="BD1255" s="393" t="s">
        <v>3147</v>
      </c>
      <c r="BE1255" s="392"/>
      <c r="BF1255" s="394">
        <v>5</v>
      </c>
      <c r="BG1255" s="394">
        <v>10</v>
      </c>
      <c r="BH1255" s="394">
        <v>9</v>
      </c>
      <c r="BI1255" s="394"/>
      <c r="BJ1255" s="394"/>
      <c r="BK1255" s="394"/>
      <c r="BL1255" s="444"/>
      <c r="BM1255" s="392"/>
      <c r="BN1255" s="393"/>
      <c r="BO1255" s="393"/>
      <c r="BP1255" s="399"/>
      <c r="BQ1255" s="400"/>
      <c r="BR1255" s="401"/>
      <c r="BS1255" s="399">
        <v>28.8</v>
      </c>
      <c r="BT1255" s="394"/>
      <c r="BU1255" s="417"/>
      <c r="BV1255" s="399"/>
      <c r="BW1255" s="393"/>
      <c r="BX1255" s="392"/>
      <c r="BY1255" s="393"/>
      <c r="BZ1255" s="393"/>
      <c r="CA1255" s="441"/>
      <c r="CB1255" s="400"/>
      <c r="CC1255" s="398"/>
      <c r="CD1255" s="398"/>
      <c r="CE1255" s="398"/>
      <c r="CF1255" s="398"/>
      <c r="CG1255" s="398"/>
      <c r="CH1255" s="398"/>
      <c r="CI1255" s="398"/>
      <c r="CJ1255" s="398"/>
      <c r="CK1255" s="398"/>
      <c r="CL1255" s="398"/>
      <c r="CM1255" s="398"/>
      <c r="CN1255" s="398"/>
      <c r="CO1255" s="398"/>
      <c r="CP1255" s="398"/>
      <c r="CQ1255" s="398"/>
      <c r="CR1255" s="398"/>
      <c r="CS1255" s="398"/>
      <c r="CT1255" s="398"/>
      <c r="CU1255" s="398"/>
      <c r="CV1255" s="398"/>
      <c r="CW1255" s="398"/>
      <c r="CX1255" s="398"/>
      <c r="CY1255" s="398"/>
      <c r="CZ1255" s="398"/>
      <c r="DA1255" s="398"/>
      <c r="DB1255" s="398"/>
      <c r="DC1255" s="398"/>
      <c r="DD1255" s="398"/>
      <c r="DE1255" s="393"/>
      <c r="DF1255" s="393"/>
      <c r="DG1255" s="393"/>
      <c r="DH1255" s="393"/>
      <c r="DI1255" s="393"/>
      <c r="DJ1255" s="393"/>
      <c r="DK1255" s="896" t="s">
        <v>9700</v>
      </c>
    </row>
    <row r="1256" spans="1:115" ht="25.5" x14ac:dyDescent="0.2">
      <c r="A1256" s="295">
        <v>1252</v>
      </c>
      <c r="B1256" s="390" t="s">
        <v>2877</v>
      </c>
      <c r="C1256" s="390"/>
      <c r="D1256" s="391" t="s">
        <v>4490</v>
      </c>
      <c r="E1256" s="704" t="s">
        <v>1728</v>
      </c>
      <c r="F1256" s="393" t="s">
        <v>1340</v>
      </c>
      <c r="G1256" s="393" t="s">
        <v>1677</v>
      </c>
      <c r="H1256" s="393" t="s">
        <v>151</v>
      </c>
      <c r="I1256" s="392"/>
      <c r="J1256" s="392"/>
      <c r="K1256" s="392" t="s">
        <v>1729</v>
      </c>
      <c r="L1256" s="392" t="s">
        <v>3807</v>
      </c>
      <c r="M1256" s="392"/>
      <c r="N1256" s="393" t="s">
        <v>44</v>
      </c>
      <c r="O1256" s="393" t="s">
        <v>1155</v>
      </c>
      <c r="P1256" s="393" t="s">
        <v>1155</v>
      </c>
      <c r="Q1256" s="392" t="s">
        <v>1155</v>
      </c>
      <c r="R1256" s="392" t="s">
        <v>4125</v>
      </c>
      <c r="S1256" s="392" t="s">
        <v>650</v>
      </c>
      <c r="T1256" s="394">
        <v>1</v>
      </c>
      <c r="U1256" s="395">
        <v>38.978999999999999</v>
      </c>
      <c r="V1256" s="395"/>
      <c r="W1256" s="453"/>
      <c r="X1256" s="394"/>
      <c r="Y1256" s="394">
        <v>7</v>
      </c>
      <c r="Z1256" s="394">
        <v>20</v>
      </c>
      <c r="AA1256" s="395">
        <v>0</v>
      </c>
      <c r="AB1256" s="452">
        <v>42370</v>
      </c>
      <c r="AC1256" s="398">
        <v>0</v>
      </c>
      <c r="AD1256" s="398">
        <v>195.00179178082192</v>
      </c>
      <c r="AE1256" s="393" t="s">
        <v>47</v>
      </c>
      <c r="AF1256" s="417"/>
      <c r="AG1256" s="417"/>
      <c r="AH1256" s="417"/>
      <c r="AI1256" s="394"/>
      <c r="AJ1256" s="453"/>
      <c r="AK1256" s="453"/>
      <c r="AL1256" s="393"/>
      <c r="AM1256" s="393"/>
      <c r="AN1256" s="417"/>
      <c r="AO1256" s="392"/>
      <c r="AP1256" s="392" t="s">
        <v>55</v>
      </c>
      <c r="AQ1256" s="392"/>
      <c r="AR1256" s="392" t="s">
        <v>3807</v>
      </c>
      <c r="AS1256" s="479">
        <v>41019</v>
      </c>
      <c r="AT1256" s="453"/>
      <c r="AU1256" s="453"/>
      <c r="AV1256" s="453"/>
      <c r="AW1256" s="453"/>
      <c r="AX1256" s="453"/>
      <c r="AY1256" s="453"/>
      <c r="AZ1256" s="452">
        <v>41255</v>
      </c>
      <c r="BA1256" s="393"/>
      <c r="BB1256" s="393"/>
      <c r="BC1256" s="393" t="b">
        <v>0</v>
      </c>
      <c r="BD1256" s="393"/>
      <c r="BE1256" s="392"/>
      <c r="BF1256" s="394">
        <v>5</v>
      </c>
      <c r="BG1256" s="394">
        <v>10</v>
      </c>
      <c r="BH1256" s="394">
        <v>9</v>
      </c>
      <c r="BI1256" s="394"/>
      <c r="BJ1256" s="394"/>
      <c r="BK1256" s="394"/>
      <c r="BL1256" s="444" t="s">
        <v>6981</v>
      </c>
      <c r="BM1256" s="392" t="s">
        <v>3529</v>
      </c>
      <c r="BN1256" s="393"/>
      <c r="BO1256" s="393"/>
      <c r="BP1256" s="399"/>
      <c r="BQ1256" s="400"/>
      <c r="BR1256" s="401"/>
      <c r="BS1256" s="399">
        <v>28.8</v>
      </c>
      <c r="BT1256" s="394">
        <v>158858</v>
      </c>
      <c r="BU1256" s="417">
        <v>0.394125</v>
      </c>
      <c r="BV1256" s="399"/>
      <c r="BW1256" s="393" t="s">
        <v>3117</v>
      </c>
      <c r="BX1256" s="392" t="s">
        <v>1450</v>
      </c>
      <c r="BY1256" s="393"/>
      <c r="BZ1256" s="393"/>
      <c r="CA1256" s="441" t="s">
        <v>1662</v>
      </c>
      <c r="CB1256" s="400"/>
      <c r="CC1256" s="398"/>
      <c r="CD1256" s="398"/>
      <c r="CE1256" s="398"/>
      <c r="CF1256" s="398"/>
      <c r="CG1256" s="398"/>
      <c r="CH1256" s="398"/>
      <c r="CI1256" s="398"/>
      <c r="CJ1256" s="398"/>
      <c r="CK1256" s="398"/>
      <c r="CL1256" s="398">
        <v>63</v>
      </c>
      <c r="CM1256" s="398">
        <v>63</v>
      </c>
      <c r="CN1256" s="398">
        <v>63</v>
      </c>
      <c r="CO1256" s="398">
        <v>63</v>
      </c>
      <c r="CP1256" s="398">
        <v>63</v>
      </c>
      <c r="CQ1256" s="398">
        <v>63</v>
      </c>
      <c r="CR1256" s="398">
        <v>63</v>
      </c>
      <c r="CS1256" s="398"/>
      <c r="CT1256" s="398"/>
      <c r="CU1256" s="398"/>
      <c r="CV1256" s="398"/>
      <c r="CW1256" s="398"/>
      <c r="CX1256" s="398"/>
      <c r="CY1256" s="398"/>
      <c r="CZ1256" s="398"/>
      <c r="DA1256" s="398"/>
      <c r="DB1256" s="398"/>
      <c r="DC1256" s="398"/>
      <c r="DD1256" s="398"/>
      <c r="DE1256" s="393"/>
      <c r="DF1256" s="393"/>
      <c r="DG1256" s="393"/>
      <c r="DH1256" s="393"/>
      <c r="DI1256" s="393"/>
      <c r="DJ1256" s="393"/>
      <c r="DK1256" s="897"/>
    </row>
    <row r="1257" spans="1:115" ht="38.25" x14ac:dyDescent="0.2">
      <c r="A1257" s="295">
        <v>1253</v>
      </c>
      <c r="B1257" s="390" t="s">
        <v>1713</v>
      </c>
      <c r="C1257" s="424" t="s">
        <v>7706</v>
      </c>
      <c r="D1257" s="391" t="s">
        <v>5186</v>
      </c>
      <c r="E1257" s="843" t="s">
        <v>1731</v>
      </c>
      <c r="F1257" s="393" t="s">
        <v>1340</v>
      </c>
      <c r="G1257" s="393" t="s">
        <v>1677</v>
      </c>
      <c r="H1257" s="393" t="s">
        <v>718</v>
      </c>
      <c r="I1257" s="563"/>
      <c r="J1257" s="563" t="s">
        <v>718</v>
      </c>
      <c r="K1257" s="563"/>
      <c r="L1257" s="563" t="s">
        <v>1049</v>
      </c>
      <c r="M1257" s="563" t="s">
        <v>4126</v>
      </c>
      <c r="N1257" s="393" t="s">
        <v>44</v>
      </c>
      <c r="O1257" s="393" t="s">
        <v>827</v>
      </c>
      <c r="P1257" s="393" t="s">
        <v>827</v>
      </c>
      <c r="Q1257" s="392" t="s">
        <v>836</v>
      </c>
      <c r="R1257" s="563"/>
      <c r="S1257" s="563" t="s">
        <v>650</v>
      </c>
      <c r="T1257" s="564">
        <v>2</v>
      </c>
      <c r="U1257" s="565">
        <v>407.73500000000001</v>
      </c>
      <c r="V1257" s="565"/>
      <c r="W1257" s="567">
        <v>41019</v>
      </c>
      <c r="X1257" s="564">
        <v>28</v>
      </c>
      <c r="Y1257" s="564"/>
      <c r="Z1257" s="564"/>
      <c r="AA1257" s="565"/>
      <c r="AB1257" s="566"/>
      <c r="AC1257" s="568">
        <v>0.879</v>
      </c>
      <c r="AD1257" s="568">
        <v>3267.4654109589042</v>
      </c>
      <c r="AE1257" s="561" t="s">
        <v>37</v>
      </c>
      <c r="AF1257" s="569"/>
      <c r="AG1257" s="569"/>
      <c r="AH1257" s="569">
        <v>245.27500000000001</v>
      </c>
      <c r="AI1257" s="564"/>
      <c r="AJ1257" s="566"/>
      <c r="AK1257" s="566"/>
      <c r="AL1257" s="561"/>
      <c r="AM1257" s="561"/>
      <c r="AN1257" s="569"/>
      <c r="AO1257" s="563"/>
      <c r="AP1257" s="428" t="s">
        <v>8103</v>
      </c>
      <c r="AQ1257" s="563"/>
      <c r="AR1257" s="563" t="s">
        <v>3808</v>
      </c>
      <c r="AS1257" s="578">
        <v>41019</v>
      </c>
      <c r="AT1257" s="566"/>
      <c r="AU1257" s="566"/>
      <c r="AV1257" s="567">
        <v>41256</v>
      </c>
      <c r="AW1257" s="567">
        <v>41270</v>
      </c>
      <c r="AX1257" s="566"/>
      <c r="AY1257" s="567">
        <v>41271</v>
      </c>
      <c r="AZ1257" s="566"/>
      <c r="BA1257" s="561"/>
      <c r="BB1257" s="561" t="s">
        <v>3147</v>
      </c>
      <c r="BC1257" s="561" t="b">
        <v>1</v>
      </c>
      <c r="BD1257" s="561" t="s">
        <v>3147</v>
      </c>
      <c r="BE1257" s="563"/>
      <c r="BF1257" s="394">
        <v>5</v>
      </c>
      <c r="BG1257" s="394">
        <v>9</v>
      </c>
      <c r="BH1257" s="394">
        <v>7</v>
      </c>
      <c r="BI1257" s="394"/>
      <c r="BJ1257" s="394"/>
      <c r="BK1257" s="394"/>
      <c r="BL1257" s="444"/>
      <c r="BM1257" s="563"/>
      <c r="BN1257" s="561"/>
      <c r="BO1257" s="561"/>
      <c r="BP1257" s="571"/>
      <c r="BQ1257" s="572"/>
      <c r="BR1257" s="573"/>
      <c r="BS1257" s="571">
        <v>171.24</v>
      </c>
      <c r="BT1257" s="564"/>
      <c r="BU1257" s="569"/>
      <c r="BV1257" s="571"/>
      <c r="BW1257" s="561"/>
      <c r="BX1257" s="563"/>
      <c r="BY1257" s="561"/>
      <c r="BZ1257" s="561"/>
      <c r="CA1257" s="574"/>
      <c r="CB1257" s="572"/>
      <c r="CC1257" s="568"/>
      <c r="CD1257" s="568"/>
      <c r="CE1257" s="568"/>
      <c r="CF1257" s="568"/>
      <c r="CG1257" s="568"/>
      <c r="CH1257" s="568"/>
      <c r="CI1257" s="568"/>
      <c r="CJ1257" s="568"/>
      <c r="CK1257" s="568"/>
      <c r="CL1257" s="568"/>
      <c r="CM1257" s="568"/>
      <c r="CN1257" s="568"/>
      <c r="CO1257" s="568"/>
      <c r="CP1257" s="568"/>
      <c r="CQ1257" s="568"/>
      <c r="CR1257" s="568"/>
      <c r="CS1257" s="568"/>
      <c r="CT1257" s="568"/>
      <c r="CU1257" s="568"/>
      <c r="CV1257" s="568"/>
      <c r="CW1257" s="568"/>
      <c r="CX1257" s="568"/>
      <c r="CY1257" s="568"/>
      <c r="CZ1257" s="568"/>
      <c r="DA1257" s="568"/>
      <c r="DB1257" s="568"/>
      <c r="DC1257" s="568"/>
      <c r="DD1257" s="568"/>
      <c r="DE1257" s="561"/>
      <c r="DF1257" s="561"/>
      <c r="DG1257" s="561"/>
      <c r="DH1257" s="561"/>
      <c r="DI1257" s="561"/>
      <c r="DJ1257" s="561"/>
      <c r="DK1257" s="896" t="s">
        <v>9716</v>
      </c>
    </row>
    <row r="1258" spans="1:115" ht="25.5" x14ac:dyDescent="0.2">
      <c r="A1258" s="295">
        <v>1254</v>
      </c>
      <c r="B1258" s="390" t="s">
        <v>2878</v>
      </c>
      <c r="C1258" s="390"/>
      <c r="D1258" s="391" t="s">
        <v>4963</v>
      </c>
      <c r="E1258" s="843" t="s">
        <v>1732</v>
      </c>
      <c r="F1258" s="393" t="s">
        <v>1340</v>
      </c>
      <c r="G1258" s="393" t="s">
        <v>1677</v>
      </c>
      <c r="H1258" s="393" t="s">
        <v>718</v>
      </c>
      <c r="I1258" s="563"/>
      <c r="J1258" s="563"/>
      <c r="K1258" s="563" t="s">
        <v>1733</v>
      </c>
      <c r="L1258" s="563" t="s">
        <v>1049</v>
      </c>
      <c r="M1258" s="563"/>
      <c r="N1258" s="561" t="s">
        <v>44</v>
      </c>
      <c r="O1258" s="393" t="s">
        <v>827</v>
      </c>
      <c r="P1258" s="393" t="s">
        <v>827</v>
      </c>
      <c r="Q1258" s="392" t="s">
        <v>836</v>
      </c>
      <c r="R1258" s="563" t="s">
        <v>3530</v>
      </c>
      <c r="S1258" s="563" t="s">
        <v>650</v>
      </c>
      <c r="T1258" s="564">
        <v>1</v>
      </c>
      <c r="U1258" s="565">
        <v>80.206999999999994</v>
      </c>
      <c r="V1258" s="565"/>
      <c r="W1258" s="566"/>
      <c r="X1258" s="564"/>
      <c r="Y1258" s="564">
        <v>7</v>
      </c>
      <c r="Z1258" s="564">
        <v>20</v>
      </c>
      <c r="AA1258" s="565">
        <v>0</v>
      </c>
      <c r="AB1258" s="567">
        <v>41271</v>
      </c>
      <c r="AC1258" s="568">
        <v>0.879</v>
      </c>
      <c r="AD1258" s="568">
        <v>642.75472602739717</v>
      </c>
      <c r="AE1258" s="561" t="s">
        <v>37</v>
      </c>
      <c r="AF1258" s="569"/>
      <c r="AG1258" s="569"/>
      <c r="AH1258" s="569"/>
      <c r="AI1258" s="564"/>
      <c r="AJ1258" s="566"/>
      <c r="AK1258" s="566"/>
      <c r="AL1258" s="561"/>
      <c r="AM1258" s="561"/>
      <c r="AN1258" s="569"/>
      <c r="AO1258" s="563"/>
      <c r="AP1258" s="428" t="s">
        <v>8103</v>
      </c>
      <c r="AQ1258" s="563"/>
      <c r="AR1258" s="563" t="s">
        <v>3808</v>
      </c>
      <c r="AS1258" s="578">
        <v>41019</v>
      </c>
      <c r="AT1258" s="566"/>
      <c r="AU1258" s="566"/>
      <c r="AV1258" s="566"/>
      <c r="AW1258" s="566"/>
      <c r="AX1258" s="566"/>
      <c r="AY1258" s="566"/>
      <c r="AZ1258" s="567">
        <v>41271</v>
      </c>
      <c r="BA1258" s="561"/>
      <c r="BB1258" s="561"/>
      <c r="BC1258" s="561" t="b">
        <v>0</v>
      </c>
      <c r="BD1258" s="561"/>
      <c r="BE1258" s="563"/>
      <c r="BF1258" s="394">
        <v>5</v>
      </c>
      <c r="BG1258" s="394">
        <v>9</v>
      </c>
      <c r="BH1258" s="394">
        <v>7</v>
      </c>
      <c r="BI1258" s="394"/>
      <c r="BJ1258" s="394"/>
      <c r="BK1258" s="394"/>
      <c r="BL1258" s="444" t="s">
        <v>6986</v>
      </c>
      <c r="BM1258" s="563" t="s">
        <v>3302</v>
      </c>
      <c r="BN1258" s="561" t="s">
        <v>718</v>
      </c>
      <c r="BO1258" s="561"/>
      <c r="BP1258" s="571"/>
      <c r="BQ1258" s="572"/>
      <c r="BR1258" s="573"/>
      <c r="BS1258" s="571">
        <v>30.24</v>
      </c>
      <c r="BT1258" s="564">
        <v>90340</v>
      </c>
      <c r="BU1258" s="569">
        <v>0.74927500000000002</v>
      </c>
      <c r="BV1258" s="571"/>
      <c r="BW1258" s="561" t="s">
        <v>3117</v>
      </c>
      <c r="BX1258" s="563" t="s">
        <v>1449</v>
      </c>
      <c r="BY1258" s="561"/>
      <c r="BZ1258" s="561"/>
      <c r="CA1258" s="574"/>
      <c r="CB1258" s="572"/>
      <c r="CC1258" s="568"/>
      <c r="CD1258" s="568"/>
      <c r="CE1258" s="568"/>
      <c r="CF1258" s="568"/>
      <c r="CG1258" s="568"/>
      <c r="CH1258" s="568"/>
      <c r="CI1258" s="568">
        <v>33.42</v>
      </c>
      <c r="CJ1258" s="568">
        <v>80.206999999999994</v>
      </c>
      <c r="CK1258" s="568">
        <v>80.206999999999994</v>
      </c>
      <c r="CL1258" s="568">
        <v>80.206999999999994</v>
      </c>
      <c r="CM1258" s="568">
        <v>80.206999999999994</v>
      </c>
      <c r="CN1258" s="568">
        <v>80.206999999999994</v>
      </c>
      <c r="CO1258" s="568">
        <v>80.206999999999994</v>
      </c>
      <c r="CP1258" s="568">
        <v>80.206999999999994</v>
      </c>
      <c r="CQ1258" s="568">
        <v>80.206999999999994</v>
      </c>
      <c r="CR1258" s="568">
        <v>80.206999999999994</v>
      </c>
      <c r="CS1258" s="568">
        <v>46.786999999999999</v>
      </c>
      <c r="CT1258" s="568"/>
      <c r="CU1258" s="568"/>
      <c r="CV1258" s="568"/>
      <c r="CW1258" s="568"/>
      <c r="CX1258" s="568"/>
      <c r="CY1258" s="568"/>
      <c r="CZ1258" s="568"/>
      <c r="DA1258" s="568"/>
      <c r="DB1258" s="568"/>
      <c r="DC1258" s="568"/>
      <c r="DD1258" s="568"/>
      <c r="DE1258" s="561"/>
      <c r="DF1258" s="561"/>
      <c r="DG1258" s="561"/>
      <c r="DH1258" s="561"/>
      <c r="DI1258" s="561"/>
      <c r="DJ1258" s="561"/>
      <c r="DK1258" s="897"/>
    </row>
    <row r="1259" spans="1:115" ht="25.5" x14ac:dyDescent="0.2">
      <c r="A1259" s="295">
        <v>1255</v>
      </c>
      <c r="B1259" s="390" t="s">
        <v>7199</v>
      </c>
      <c r="C1259" s="390"/>
      <c r="D1259" s="391" t="s">
        <v>7200</v>
      </c>
      <c r="E1259" s="704" t="s">
        <v>7201</v>
      </c>
      <c r="F1259" s="393" t="s">
        <v>1340</v>
      </c>
      <c r="G1259" s="393" t="s">
        <v>1677</v>
      </c>
      <c r="H1259" s="393" t="s">
        <v>718</v>
      </c>
      <c r="I1259" s="392"/>
      <c r="J1259" s="392"/>
      <c r="K1259" s="392" t="s">
        <v>1733</v>
      </c>
      <c r="L1259" s="392" t="s">
        <v>1049</v>
      </c>
      <c r="M1259" s="392"/>
      <c r="N1259" s="393" t="s">
        <v>44</v>
      </c>
      <c r="O1259" s="393" t="s">
        <v>827</v>
      </c>
      <c r="P1259" s="393" t="s">
        <v>827</v>
      </c>
      <c r="Q1259" s="392" t="s">
        <v>836</v>
      </c>
      <c r="R1259" s="392" t="s">
        <v>3530</v>
      </c>
      <c r="S1259" s="392" t="s">
        <v>650</v>
      </c>
      <c r="T1259" s="394">
        <v>1</v>
      </c>
      <c r="U1259" s="395">
        <v>327.52800000000002</v>
      </c>
      <c r="V1259" s="395"/>
      <c r="W1259" s="453"/>
      <c r="X1259" s="394"/>
      <c r="Y1259" s="394">
        <v>7</v>
      </c>
      <c r="Z1259" s="394">
        <v>20</v>
      </c>
      <c r="AA1259" s="395">
        <v>0</v>
      </c>
      <c r="AB1259" s="452">
        <v>41271</v>
      </c>
      <c r="AC1259" s="398"/>
      <c r="AD1259" s="398">
        <v>2624.7106849315069</v>
      </c>
      <c r="AE1259" s="393" t="s">
        <v>37</v>
      </c>
      <c r="AF1259" s="417"/>
      <c r="AG1259" s="417">
        <f>245.275</f>
        <v>245.27500000000001</v>
      </c>
      <c r="AH1259" s="417">
        <v>245.27500000000001</v>
      </c>
      <c r="AI1259" s="394"/>
      <c r="AJ1259" s="453">
        <v>43026</v>
      </c>
      <c r="AK1259" s="453">
        <v>42674</v>
      </c>
      <c r="AL1259" s="393"/>
      <c r="AM1259" s="393"/>
      <c r="AN1259" s="417"/>
      <c r="AO1259" s="392"/>
      <c r="AP1259" s="392"/>
      <c r="AQ1259" s="392"/>
      <c r="AR1259" s="392" t="s">
        <v>3808</v>
      </c>
      <c r="AS1259" s="479">
        <v>41019</v>
      </c>
      <c r="AT1259" s="453"/>
      <c r="AU1259" s="453"/>
      <c r="AV1259" s="453"/>
      <c r="AW1259" s="453"/>
      <c r="AX1259" s="453"/>
      <c r="AY1259" s="453"/>
      <c r="AZ1259" s="452">
        <v>42233</v>
      </c>
      <c r="BA1259" s="393"/>
      <c r="BB1259" s="393"/>
      <c r="BC1259" s="393" t="b">
        <v>0</v>
      </c>
      <c r="BD1259" s="393"/>
      <c r="BE1259" s="392"/>
      <c r="BF1259" s="394">
        <v>5</v>
      </c>
      <c r="BG1259" s="394">
        <v>9</v>
      </c>
      <c r="BH1259" s="394">
        <v>7</v>
      </c>
      <c r="BI1259" s="394"/>
      <c r="BJ1259" s="394"/>
      <c r="BK1259" s="394"/>
      <c r="BL1259" s="444" t="s">
        <v>6986</v>
      </c>
      <c r="BM1259" s="392" t="s">
        <v>3302</v>
      </c>
      <c r="BN1259" s="393" t="s">
        <v>718</v>
      </c>
      <c r="BO1259" s="393"/>
      <c r="BP1259" s="399"/>
      <c r="BQ1259" s="400"/>
      <c r="BR1259" s="401"/>
      <c r="BS1259" s="399">
        <v>141</v>
      </c>
      <c r="BT1259" s="394">
        <v>382108</v>
      </c>
      <c r="BU1259" s="417"/>
      <c r="BV1259" s="399"/>
      <c r="BW1259" s="393" t="s">
        <v>3117</v>
      </c>
      <c r="BX1259" s="392" t="s">
        <v>1449</v>
      </c>
      <c r="BY1259" s="393"/>
      <c r="BZ1259" s="393"/>
      <c r="CA1259" s="441"/>
      <c r="CB1259" s="400"/>
      <c r="CC1259" s="398"/>
      <c r="CD1259" s="398"/>
      <c r="CE1259" s="398"/>
      <c r="CF1259" s="398"/>
      <c r="CG1259" s="398"/>
      <c r="CH1259" s="398"/>
      <c r="CI1259" s="398"/>
      <c r="CJ1259" s="398"/>
      <c r="CK1259" s="398">
        <v>321.95100000000002</v>
      </c>
      <c r="CL1259" s="398">
        <v>321.95100000000002</v>
      </c>
      <c r="CM1259" s="398">
        <v>321.95100000000002</v>
      </c>
      <c r="CN1259" s="398">
        <v>321.95100000000002</v>
      </c>
      <c r="CO1259" s="398">
        <v>321.95100000000002</v>
      </c>
      <c r="CP1259" s="398">
        <v>321.95100000000002</v>
      </c>
      <c r="CQ1259" s="398">
        <v>321.95100000000002</v>
      </c>
      <c r="CR1259" s="398"/>
      <c r="CS1259" s="398"/>
      <c r="CT1259" s="398"/>
      <c r="CU1259" s="398"/>
      <c r="CV1259" s="398"/>
      <c r="CW1259" s="398"/>
      <c r="CX1259" s="398"/>
      <c r="CY1259" s="398"/>
      <c r="CZ1259" s="398"/>
      <c r="DA1259" s="398"/>
      <c r="DB1259" s="398"/>
      <c r="DC1259" s="398"/>
      <c r="DD1259" s="398"/>
      <c r="DE1259" s="393"/>
      <c r="DF1259" s="393"/>
      <c r="DG1259" s="393"/>
      <c r="DH1259" s="393"/>
      <c r="DI1259" s="393"/>
      <c r="DJ1259" s="393"/>
      <c r="DK1259" s="897"/>
    </row>
    <row r="1260" spans="1:115" ht="25.5" x14ac:dyDescent="0.2">
      <c r="A1260" s="295">
        <v>1256</v>
      </c>
      <c r="B1260" s="390" t="s">
        <v>1714</v>
      </c>
      <c r="C1260" s="424" t="s">
        <v>7707</v>
      </c>
      <c r="D1260" s="391" t="s">
        <v>5187</v>
      </c>
      <c r="E1260" s="704" t="s">
        <v>1734</v>
      </c>
      <c r="F1260" s="393" t="s">
        <v>1375</v>
      </c>
      <c r="G1260" s="393" t="s">
        <v>1670</v>
      </c>
      <c r="H1260" s="393" t="s">
        <v>1008</v>
      </c>
      <c r="I1260" s="392"/>
      <c r="J1260" s="392" t="s">
        <v>5536</v>
      </c>
      <c r="K1260" s="392"/>
      <c r="L1260" s="392" t="s">
        <v>266</v>
      </c>
      <c r="M1260" s="392" t="s">
        <v>3531</v>
      </c>
      <c r="N1260" s="393" t="s">
        <v>44</v>
      </c>
      <c r="O1260" s="393" t="s">
        <v>5030</v>
      </c>
      <c r="P1260" s="393" t="s">
        <v>5030</v>
      </c>
      <c r="Q1260" s="392" t="s">
        <v>1834</v>
      </c>
      <c r="R1260" s="392"/>
      <c r="S1260" s="392" t="s">
        <v>650</v>
      </c>
      <c r="T1260" s="394">
        <v>1</v>
      </c>
      <c r="U1260" s="395">
        <v>1.0740000000000001</v>
      </c>
      <c r="V1260" s="395"/>
      <c r="W1260" s="452">
        <v>41051</v>
      </c>
      <c r="X1260" s="394">
        <v>28</v>
      </c>
      <c r="Y1260" s="394"/>
      <c r="Z1260" s="394"/>
      <c r="AA1260" s="395"/>
      <c r="AB1260" s="453"/>
      <c r="AC1260" s="398">
        <v>0</v>
      </c>
      <c r="AD1260" s="398">
        <v>10.74</v>
      </c>
      <c r="AE1260" s="393" t="s">
        <v>355</v>
      </c>
      <c r="AF1260" s="417"/>
      <c r="AG1260" s="417"/>
      <c r="AH1260" s="417">
        <v>0</v>
      </c>
      <c r="AI1260" s="394"/>
      <c r="AJ1260" s="453"/>
      <c r="AK1260" s="453"/>
      <c r="AL1260" s="393"/>
      <c r="AM1260" s="393"/>
      <c r="AN1260" s="417"/>
      <c r="AO1260" s="392"/>
      <c r="AP1260" s="392" t="s">
        <v>55</v>
      </c>
      <c r="AQ1260" s="392"/>
      <c r="AR1260" s="392" t="s">
        <v>1737</v>
      </c>
      <c r="AS1260" s="479">
        <v>41019</v>
      </c>
      <c r="AT1260" s="453"/>
      <c r="AU1260" s="453"/>
      <c r="AV1260" s="452">
        <v>41163</v>
      </c>
      <c r="AW1260" s="452">
        <v>41183</v>
      </c>
      <c r="AX1260" s="452">
        <v>41243</v>
      </c>
      <c r="AY1260" s="452">
        <v>41184</v>
      </c>
      <c r="AZ1260" s="453"/>
      <c r="BA1260" s="393"/>
      <c r="BB1260" s="393" t="s">
        <v>3147</v>
      </c>
      <c r="BC1260" s="393" t="b">
        <v>1</v>
      </c>
      <c r="BD1260" s="393" t="s">
        <v>3147</v>
      </c>
      <c r="BE1260" s="392"/>
      <c r="BF1260" s="394">
        <v>8</v>
      </c>
      <c r="BG1260" s="394">
        <v>11</v>
      </c>
      <c r="BH1260" s="394">
        <v>6</v>
      </c>
      <c r="BI1260" s="394">
        <v>9</v>
      </c>
      <c r="BJ1260" s="394"/>
      <c r="BK1260" s="394"/>
      <c r="BL1260" s="444"/>
      <c r="BM1260" s="392"/>
      <c r="BN1260" s="393"/>
      <c r="BO1260" s="393"/>
      <c r="BP1260" s="399"/>
      <c r="BQ1260" s="400"/>
      <c r="BR1260" s="401"/>
      <c r="BS1260" s="399">
        <v>9.8450000000000006</v>
      </c>
      <c r="BT1260" s="394"/>
      <c r="BU1260" s="417"/>
      <c r="BV1260" s="399"/>
      <c r="BW1260" s="393"/>
      <c r="BX1260" s="392"/>
      <c r="BY1260" s="393"/>
      <c r="BZ1260" s="393"/>
      <c r="CA1260" s="441"/>
      <c r="CB1260" s="400"/>
      <c r="CC1260" s="398"/>
      <c r="CD1260" s="398"/>
      <c r="CE1260" s="398"/>
      <c r="CF1260" s="398"/>
      <c r="CG1260" s="398"/>
      <c r="CH1260" s="398"/>
      <c r="CI1260" s="398"/>
      <c r="CJ1260" s="398"/>
      <c r="CK1260" s="398"/>
      <c r="CL1260" s="398"/>
      <c r="CM1260" s="398"/>
      <c r="CN1260" s="398"/>
      <c r="CO1260" s="398"/>
      <c r="CP1260" s="398"/>
      <c r="CQ1260" s="398"/>
      <c r="CR1260" s="398"/>
      <c r="CS1260" s="398"/>
      <c r="CT1260" s="398"/>
      <c r="CU1260" s="398"/>
      <c r="CV1260" s="398"/>
      <c r="CW1260" s="398"/>
      <c r="CX1260" s="398"/>
      <c r="CY1260" s="398"/>
      <c r="CZ1260" s="398"/>
      <c r="DA1260" s="398"/>
      <c r="DB1260" s="398"/>
      <c r="DC1260" s="398"/>
      <c r="DD1260" s="398"/>
      <c r="DE1260" s="393"/>
      <c r="DF1260" s="393"/>
      <c r="DG1260" s="393"/>
      <c r="DH1260" s="393"/>
      <c r="DI1260" s="393"/>
      <c r="DJ1260" s="393"/>
      <c r="DK1260" s="896" t="s">
        <v>9701</v>
      </c>
    </row>
    <row r="1261" spans="1:115" ht="25.5" x14ac:dyDescent="0.2">
      <c r="A1261" s="295">
        <v>1257</v>
      </c>
      <c r="B1261" s="390" t="s">
        <v>2879</v>
      </c>
      <c r="C1261" s="390"/>
      <c r="D1261" s="391" t="s">
        <v>4254</v>
      </c>
      <c r="E1261" s="704" t="s">
        <v>1735</v>
      </c>
      <c r="F1261" s="393" t="s">
        <v>1375</v>
      </c>
      <c r="G1261" s="393" t="s">
        <v>1670</v>
      </c>
      <c r="H1261" s="393" t="s">
        <v>1008</v>
      </c>
      <c r="I1261" s="392"/>
      <c r="J1261" s="392"/>
      <c r="K1261" s="392" t="s">
        <v>1736</v>
      </c>
      <c r="L1261" s="392" t="s">
        <v>266</v>
      </c>
      <c r="M1261" s="392"/>
      <c r="N1261" s="393" t="s">
        <v>44</v>
      </c>
      <c r="O1261" s="393" t="s">
        <v>827</v>
      </c>
      <c r="P1261" s="393" t="s">
        <v>827</v>
      </c>
      <c r="Q1261" s="392" t="s">
        <v>836</v>
      </c>
      <c r="R1261" s="392" t="s">
        <v>3532</v>
      </c>
      <c r="S1261" s="392" t="s">
        <v>650</v>
      </c>
      <c r="T1261" s="394">
        <v>1</v>
      </c>
      <c r="U1261" s="395">
        <v>1.0740000000000001</v>
      </c>
      <c r="V1261" s="395"/>
      <c r="W1261" s="453"/>
      <c r="X1261" s="394"/>
      <c r="Y1261" s="394">
        <v>10</v>
      </c>
      <c r="Z1261" s="394">
        <v>20</v>
      </c>
      <c r="AA1261" s="395">
        <v>0</v>
      </c>
      <c r="AB1261" s="452">
        <v>41275</v>
      </c>
      <c r="AC1261" s="398">
        <v>0</v>
      </c>
      <c r="AD1261" s="398">
        <v>10.74</v>
      </c>
      <c r="AE1261" s="393" t="s">
        <v>355</v>
      </c>
      <c r="AF1261" s="417"/>
      <c r="AG1261" s="417"/>
      <c r="AH1261" s="417"/>
      <c r="AI1261" s="394"/>
      <c r="AJ1261" s="453"/>
      <c r="AK1261" s="453"/>
      <c r="AL1261" s="393"/>
      <c r="AM1261" s="393"/>
      <c r="AN1261" s="417"/>
      <c r="AO1261" s="392"/>
      <c r="AP1261" s="392" t="s">
        <v>55</v>
      </c>
      <c r="AQ1261" s="392"/>
      <c r="AR1261" s="392" t="s">
        <v>1737</v>
      </c>
      <c r="AS1261" s="479">
        <v>41019</v>
      </c>
      <c r="AT1261" s="453"/>
      <c r="AU1261" s="453"/>
      <c r="AV1261" s="453"/>
      <c r="AW1261" s="453"/>
      <c r="AX1261" s="453"/>
      <c r="AY1261" s="453"/>
      <c r="AZ1261" s="452">
        <v>40949</v>
      </c>
      <c r="BA1261" s="393"/>
      <c r="BB1261" s="393"/>
      <c r="BC1261" s="393" t="b">
        <v>0</v>
      </c>
      <c r="BD1261" s="393"/>
      <c r="BE1261" s="392"/>
      <c r="BF1261" s="394">
        <v>8</v>
      </c>
      <c r="BG1261" s="394">
        <v>11</v>
      </c>
      <c r="BH1261" s="394">
        <v>6</v>
      </c>
      <c r="BI1261" s="394">
        <v>9</v>
      </c>
      <c r="BJ1261" s="394">
        <v>5</v>
      </c>
      <c r="BK1261" s="394"/>
      <c r="BL1261" s="444" t="s">
        <v>6985</v>
      </c>
      <c r="BM1261" s="392"/>
      <c r="BN1261" s="393"/>
      <c r="BO1261" s="393"/>
      <c r="BP1261" s="399"/>
      <c r="BQ1261" s="400"/>
      <c r="BR1261" s="401"/>
      <c r="BS1261" s="399">
        <v>9.8450000000000006</v>
      </c>
      <c r="BT1261" s="394">
        <v>22574</v>
      </c>
      <c r="BU1261" s="417">
        <v>0.39634999999999998</v>
      </c>
      <c r="BV1261" s="399"/>
      <c r="BW1261" s="393" t="s">
        <v>3117</v>
      </c>
      <c r="BX1261" s="392"/>
      <c r="BY1261" s="393"/>
      <c r="BZ1261" s="393"/>
      <c r="CA1261" s="441"/>
      <c r="CB1261" s="400"/>
      <c r="CC1261" s="398"/>
      <c r="CD1261" s="398"/>
      <c r="CE1261" s="398"/>
      <c r="CF1261" s="398"/>
      <c r="CG1261" s="398"/>
      <c r="CH1261" s="398"/>
      <c r="CI1261" s="398">
        <v>9</v>
      </c>
      <c r="CJ1261" s="398">
        <v>9</v>
      </c>
      <c r="CK1261" s="398">
        <v>9</v>
      </c>
      <c r="CL1261" s="398">
        <v>9</v>
      </c>
      <c r="CM1261" s="398">
        <v>9</v>
      </c>
      <c r="CN1261" s="398">
        <v>9</v>
      </c>
      <c r="CO1261" s="398">
        <v>9</v>
      </c>
      <c r="CP1261" s="398">
        <v>9</v>
      </c>
      <c r="CQ1261" s="398">
        <v>9</v>
      </c>
      <c r="CR1261" s="398">
        <v>9</v>
      </c>
      <c r="CS1261" s="398"/>
      <c r="CT1261" s="398"/>
      <c r="CU1261" s="398"/>
      <c r="CV1261" s="398"/>
      <c r="CW1261" s="398"/>
      <c r="CX1261" s="398"/>
      <c r="CY1261" s="398"/>
      <c r="CZ1261" s="398"/>
      <c r="DA1261" s="398"/>
      <c r="DB1261" s="398"/>
      <c r="DC1261" s="398"/>
      <c r="DD1261" s="398"/>
      <c r="DE1261" s="393"/>
      <c r="DF1261" s="393"/>
      <c r="DG1261" s="393"/>
      <c r="DH1261" s="393"/>
      <c r="DI1261" s="393"/>
      <c r="DJ1261" s="393"/>
      <c r="DK1261" s="897"/>
    </row>
    <row r="1262" spans="1:115" ht="15" x14ac:dyDescent="0.2">
      <c r="A1262" s="295">
        <v>1258</v>
      </c>
      <c r="B1262" s="390" t="s">
        <v>1738</v>
      </c>
      <c r="C1262" s="424" t="s">
        <v>7708</v>
      </c>
      <c r="D1262" s="391"/>
      <c r="E1262" s="707" t="s">
        <v>1742</v>
      </c>
      <c r="F1262" s="404" t="s">
        <v>1352</v>
      </c>
      <c r="G1262" s="404" t="s">
        <v>1672</v>
      </c>
      <c r="H1262" s="404" t="s">
        <v>301</v>
      </c>
      <c r="I1262" s="403"/>
      <c r="J1262" s="403" t="s">
        <v>301</v>
      </c>
      <c r="K1262" s="403"/>
      <c r="L1262" s="403" t="s">
        <v>1743</v>
      </c>
      <c r="M1262" s="403" t="s">
        <v>3533</v>
      </c>
      <c r="N1262" s="404" t="s">
        <v>3142</v>
      </c>
      <c r="O1262" s="404" t="s">
        <v>45</v>
      </c>
      <c r="P1262" s="404" t="s">
        <v>45</v>
      </c>
      <c r="Q1262" s="403" t="s">
        <v>1212</v>
      </c>
      <c r="R1262" s="403"/>
      <c r="S1262" s="403" t="s">
        <v>291</v>
      </c>
      <c r="T1262" s="405">
        <v>1</v>
      </c>
      <c r="U1262" s="406">
        <v>25.812999999999999</v>
      </c>
      <c r="V1262" s="406"/>
      <c r="W1262" s="456">
        <v>41020</v>
      </c>
      <c r="X1262" s="405">
        <v>28</v>
      </c>
      <c r="Y1262" s="405"/>
      <c r="Z1262" s="405"/>
      <c r="AA1262" s="406"/>
      <c r="AB1262" s="455"/>
      <c r="AC1262" s="407">
        <v>25.812999999999999</v>
      </c>
      <c r="AD1262" s="407">
        <v>258.13</v>
      </c>
      <c r="AE1262" s="404" t="s">
        <v>397</v>
      </c>
      <c r="AF1262" s="418"/>
      <c r="AG1262" s="418"/>
      <c r="AH1262" s="418">
        <v>0</v>
      </c>
      <c r="AI1262" s="405"/>
      <c r="AJ1262" s="455"/>
      <c r="AK1262" s="455"/>
      <c r="AL1262" s="404"/>
      <c r="AM1262" s="404"/>
      <c r="AN1262" s="418"/>
      <c r="AO1262" s="403"/>
      <c r="AP1262" s="403" t="s">
        <v>55</v>
      </c>
      <c r="AQ1262" s="403"/>
      <c r="AR1262" s="403" t="s">
        <v>3809</v>
      </c>
      <c r="AS1262" s="482">
        <v>41020</v>
      </c>
      <c r="AT1262" s="455"/>
      <c r="AU1262" s="455"/>
      <c r="AV1262" s="455"/>
      <c r="AW1262" s="455"/>
      <c r="AX1262" s="455"/>
      <c r="AY1262" s="455"/>
      <c r="AZ1262" s="455"/>
      <c r="BA1262" s="404"/>
      <c r="BB1262" s="404" t="s">
        <v>3147</v>
      </c>
      <c r="BC1262" s="404" t="b">
        <v>0</v>
      </c>
      <c r="BD1262" s="404" t="s">
        <v>3147</v>
      </c>
      <c r="BE1262" s="403"/>
      <c r="BF1262" s="405">
        <v>9</v>
      </c>
      <c r="BG1262" s="405">
        <v>8</v>
      </c>
      <c r="BH1262" s="405">
        <v>12</v>
      </c>
      <c r="BI1262" s="405">
        <v>5</v>
      </c>
      <c r="BJ1262" s="405"/>
      <c r="BK1262" s="405"/>
      <c r="BL1262" s="446"/>
      <c r="BM1262" s="403"/>
      <c r="BN1262" s="404"/>
      <c r="BO1262" s="404"/>
      <c r="BP1262" s="408"/>
      <c r="BQ1262" s="409"/>
      <c r="BR1262" s="410"/>
      <c r="BS1262" s="408">
        <v>7.5</v>
      </c>
      <c r="BT1262" s="405"/>
      <c r="BU1262" s="418"/>
      <c r="BV1262" s="408"/>
      <c r="BW1262" s="404"/>
      <c r="BX1262" s="403"/>
      <c r="BY1262" s="404"/>
      <c r="BZ1262" s="404"/>
      <c r="CA1262" s="443"/>
      <c r="CB1262" s="409"/>
      <c r="CC1262" s="407"/>
      <c r="CD1262" s="407"/>
      <c r="CE1262" s="407"/>
      <c r="CF1262" s="407"/>
      <c r="CG1262" s="407"/>
      <c r="CH1262" s="407"/>
      <c r="CI1262" s="407"/>
      <c r="CJ1262" s="407"/>
      <c r="CK1262" s="407"/>
      <c r="CL1262" s="407"/>
      <c r="CM1262" s="407"/>
      <c r="CN1262" s="407"/>
      <c r="CO1262" s="407"/>
      <c r="CP1262" s="407"/>
      <c r="CQ1262" s="407"/>
      <c r="CR1262" s="407"/>
      <c r="CS1262" s="407"/>
      <c r="CT1262" s="407"/>
      <c r="CU1262" s="407"/>
      <c r="CV1262" s="407"/>
      <c r="CW1262" s="407"/>
      <c r="CX1262" s="407"/>
      <c r="CY1262" s="407"/>
      <c r="CZ1262" s="407"/>
      <c r="DA1262" s="407"/>
      <c r="DB1262" s="407"/>
      <c r="DC1262" s="407"/>
      <c r="DD1262" s="407"/>
      <c r="DE1262" s="404"/>
      <c r="DF1262" s="404"/>
      <c r="DG1262" s="404"/>
      <c r="DH1262" s="404"/>
      <c r="DI1262" s="404"/>
      <c r="DJ1262" s="404"/>
      <c r="DK1262" s="897"/>
    </row>
    <row r="1263" spans="1:115" ht="25.5" x14ac:dyDescent="0.2">
      <c r="A1263" s="295">
        <v>1259</v>
      </c>
      <c r="B1263" s="390" t="s">
        <v>2880</v>
      </c>
      <c r="C1263" s="390"/>
      <c r="D1263" s="391"/>
      <c r="E1263" s="707" t="s">
        <v>1744</v>
      </c>
      <c r="F1263" s="404" t="s">
        <v>1352</v>
      </c>
      <c r="G1263" s="404" t="s">
        <v>1672</v>
      </c>
      <c r="H1263" s="404" t="s">
        <v>301</v>
      </c>
      <c r="I1263" s="403"/>
      <c r="J1263" s="403"/>
      <c r="K1263" s="403" t="s">
        <v>1745</v>
      </c>
      <c r="L1263" s="403" t="s">
        <v>1743</v>
      </c>
      <c r="M1263" s="403"/>
      <c r="N1263" s="404" t="s">
        <v>3142</v>
      </c>
      <c r="O1263" s="404" t="s">
        <v>45</v>
      </c>
      <c r="P1263" s="404" t="s">
        <v>45</v>
      </c>
      <c r="Q1263" s="403" t="s">
        <v>1212</v>
      </c>
      <c r="R1263" s="403" t="s">
        <v>3534</v>
      </c>
      <c r="S1263" s="403" t="s">
        <v>291</v>
      </c>
      <c r="T1263" s="405">
        <v>1</v>
      </c>
      <c r="U1263" s="406">
        <v>25.812999999999999</v>
      </c>
      <c r="V1263" s="406"/>
      <c r="W1263" s="455"/>
      <c r="X1263" s="405"/>
      <c r="Y1263" s="405">
        <v>10</v>
      </c>
      <c r="Z1263" s="405">
        <v>20</v>
      </c>
      <c r="AA1263" s="406">
        <v>0</v>
      </c>
      <c r="AB1263" s="456">
        <v>40909</v>
      </c>
      <c r="AC1263" s="407">
        <v>25.812999999999999</v>
      </c>
      <c r="AD1263" s="407">
        <v>258.13</v>
      </c>
      <c r="AE1263" s="404" t="s">
        <v>397</v>
      </c>
      <c r="AF1263" s="418"/>
      <c r="AG1263" s="418"/>
      <c r="AH1263" s="418"/>
      <c r="AI1263" s="405"/>
      <c r="AJ1263" s="455"/>
      <c r="AK1263" s="455"/>
      <c r="AL1263" s="404"/>
      <c r="AM1263" s="404"/>
      <c r="AN1263" s="418"/>
      <c r="AO1263" s="403"/>
      <c r="AP1263" s="403" t="s">
        <v>55</v>
      </c>
      <c r="AQ1263" s="403"/>
      <c r="AR1263" s="403" t="s">
        <v>3809</v>
      </c>
      <c r="AS1263" s="482">
        <v>41020</v>
      </c>
      <c r="AT1263" s="455"/>
      <c r="AU1263" s="455"/>
      <c r="AV1263" s="455"/>
      <c r="AW1263" s="455"/>
      <c r="AX1263" s="455"/>
      <c r="AY1263" s="455"/>
      <c r="AZ1263" s="455"/>
      <c r="BA1263" s="404"/>
      <c r="BB1263" s="404"/>
      <c r="BC1263" s="404" t="b">
        <v>0</v>
      </c>
      <c r="BD1263" s="404"/>
      <c r="BE1263" s="403"/>
      <c r="BF1263" s="405">
        <v>5</v>
      </c>
      <c r="BG1263" s="405">
        <v>10</v>
      </c>
      <c r="BH1263" s="405">
        <v>8</v>
      </c>
      <c r="BI1263" s="405">
        <v>9</v>
      </c>
      <c r="BJ1263" s="405">
        <v>4</v>
      </c>
      <c r="BK1263" s="405"/>
      <c r="BL1263" s="446" t="s">
        <v>6981</v>
      </c>
      <c r="BM1263" s="403"/>
      <c r="BN1263" s="404"/>
      <c r="BO1263" s="404"/>
      <c r="BP1263" s="408"/>
      <c r="BQ1263" s="409"/>
      <c r="BR1263" s="410"/>
      <c r="BS1263" s="408">
        <v>7.5</v>
      </c>
      <c r="BT1263" s="405">
        <v>53547</v>
      </c>
      <c r="BU1263" s="418">
        <v>0.51134999999999997</v>
      </c>
      <c r="BV1263" s="408"/>
      <c r="BW1263" s="404" t="s">
        <v>3117</v>
      </c>
      <c r="BX1263" s="403" t="s">
        <v>1450</v>
      </c>
      <c r="BY1263" s="404"/>
      <c r="BZ1263" s="404"/>
      <c r="CA1263" s="443" t="s">
        <v>1662</v>
      </c>
      <c r="CB1263" s="409"/>
      <c r="CC1263" s="407"/>
      <c r="CD1263" s="407"/>
      <c r="CE1263" s="407"/>
      <c r="CF1263" s="407"/>
      <c r="CG1263" s="407"/>
      <c r="CH1263" s="407">
        <v>26</v>
      </c>
      <c r="CI1263" s="407">
        <v>26</v>
      </c>
      <c r="CJ1263" s="407">
        <v>26</v>
      </c>
      <c r="CK1263" s="407">
        <v>26</v>
      </c>
      <c r="CL1263" s="407">
        <v>26</v>
      </c>
      <c r="CM1263" s="407">
        <v>26</v>
      </c>
      <c r="CN1263" s="407">
        <v>26</v>
      </c>
      <c r="CO1263" s="407">
        <v>26</v>
      </c>
      <c r="CP1263" s="407">
        <v>26</v>
      </c>
      <c r="CQ1263" s="407">
        <v>26</v>
      </c>
      <c r="CR1263" s="407"/>
      <c r="CS1263" s="407"/>
      <c r="CT1263" s="407"/>
      <c r="CU1263" s="407"/>
      <c r="CV1263" s="407"/>
      <c r="CW1263" s="407"/>
      <c r="CX1263" s="407"/>
      <c r="CY1263" s="407"/>
      <c r="CZ1263" s="407"/>
      <c r="DA1263" s="407"/>
      <c r="DB1263" s="407"/>
      <c r="DC1263" s="407"/>
      <c r="DD1263" s="407"/>
      <c r="DE1263" s="404"/>
      <c r="DF1263" s="404"/>
      <c r="DG1263" s="404"/>
      <c r="DH1263" s="404"/>
      <c r="DI1263" s="404"/>
      <c r="DJ1263" s="404"/>
      <c r="DK1263" s="897"/>
    </row>
    <row r="1264" spans="1:115" ht="25.5" x14ac:dyDescent="0.2">
      <c r="A1264" s="295">
        <v>1260</v>
      </c>
      <c r="B1264" s="390" t="s">
        <v>1739</v>
      </c>
      <c r="C1264" s="424" t="s">
        <v>7709</v>
      </c>
      <c r="D1264" s="391" t="s">
        <v>5631</v>
      </c>
      <c r="E1264" s="704" t="s">
        <v>1746</v>
      </c>
      <c r="F1264" s="393" t="s">
        <v>1375</v>
      </c>
      <c r="G1264" s="393" t="s">
        <v>998</v>
      </c>
      <c r="H1264" s="393" t="s">
        <v>1703</v>
      </c>
      <c r="I1264" s="392"/>
      <c r="J1264" s="392" t="s">
        <v>1703</v>
      </c>
      <c r="K1264" s="392"/>
      <c r="L1264" s="392" t="s">
        <v>1747</v>
      </c>
      <c r="M1264" s="392" t="s">
        <v>3535</v>
      </c>
      <c r="N1264" s="393" t="s">
        <v>44</v>
      </c>
      <c r="O1264" s="393" t="s">
        <v>51</v>
      </c>
      <c r="P1264" s="393" t="s">
        <v>51</v>
      </c>
      <c r="Q1264" s="392" t="s">
        <v>976</v>
      </c>
      <c r="R1264" s="392"/>
      <c r="S1264" s="392" t="s">
        <v>166</v>
      </c>
      <c r="T1264" s="394">
        <v>1</v>
      </c>
      <c r="U1264" s="395">
        <v>168.27099999999999</v>
      </c>
      <c r="V1264" s="395"/>
      <c r="W1264" s="452">
        <v>41014</v>
      </c>
      <c r="X1264" s="394">
        <v>28</v>
      </c>
      <c r="Y1264" s="394"/>
      <c r="Z1264" s="394"/>
      <c r="AA1264" s="395"/>
      <c r="AB1264" s="453"/>
      <c r="AC1264" s="398">
        <v>41.137</v>
      </c>
      <c r="AD1264" s="398">
        <v>1374.7510191780821</v>
      </c>
      <c r="AE1264" s="393" t="s">
        <v>96</v>
      </c>
      <c r="AF1264" s="417"/>
      <c r="AG1264" s="417"/>
      <c r="AH1264" s="417">
        <v>0</v>
      </c>
      <c r="AI1264" s="394"/>
      <c r="AJ1264" s="453"/>
      <c r="AK1264" s="453"/>
      <c r="AL1264" s="393"/>
      <c r="AM1264" s="393"/>
      <c r="AN1264" s="417"/>
      <c r="AO1264" s="392"/>
      <c r="AP1264" s="392" t="s">
        <v>7085</v>
      </c>
      <c r="AQ1264" s="392"/>
      <c r="AR1264" s="392" t="s">
        <v>1737</v>
      </c>
      <c r="AS1264" s="479">
        <v>41020</v>
      </c>
      <c r="AT1264" s="453"/>
      <c r="AU1264" s="453"/>
      <c r="AV1264" s="452">
        <v>41255</v>
      </c>
      <c r="AW1264" s="452">
        <v>41409</v>
      </c>
      <c r="AX1264" s="452">
        <v>41566</v>
      </c>
      <c r="AY1264" s="452">
        <v>41610</v>
      </c>
      <c r="AZ1264" s="453"/>
      <c r="BA1264" s="393"/>
      <c r="BB1264" s="393" t="s">
        <v>3116</v>
      </c>
      <c r="BC1264" s="393" t="b">
        <v>0</v>
      </c>
      <c r="BD1264" s="393" t="s">
        <v>3116</v>
      </c>
      <c r="BE1264" s="392"/>
      <c r="BF1264" s="394">
        <v>1</v>
      </c>
      <c r="BG1264" s="394">
        <v>11</v>
      </c>
      <c r="BH1264" s="394">
        <v>8</v>
      </c>
      <c r="BI1264" s="394">
        <v>6</v>
      </c>
      <c r="BJ1264" s="394"/>
      <c r="BK1264" s="394"/>
      <c r="BL1264" s="444"/>
      <c r="BM1264" s="392"/>
      <c r="BN1264" s="393"/>
      <c r="BO1264" s="393"/>
      <c r="BP1264" s="399"/>
      <c r="BQ1264" s="400"/>
      <c r="BR1264" s="401"/>
      <c r="BS1264" s="399">
        <v>0</v>
      </c>
      <c r="BT1264" s="394"/>
      <c r="BU1264" s="417"/>
      <c r="BV1264" s="399"/>
      <c r="BW1264" s="393"/>
      <c r="BX1264" s="392"/>
      <c r="BY1264" s="475" t="s">
        <v>7227</v>
      </c>
      <c r="BZ1264" s="393"/>
      <c r="CA1264" s="441"/>
      <c r="CB1264" s="400"/>
      <c r="CC1264" s="398"/>
      <c r="CD1264" s="398"/>
      <c r="CE1264" s="398"/>
      <c r="CF1264" s="398"/>
      <c r="CG1264" s="398"/>
      <c r="CH1264" s="398"/>
      <c r="CI1264" s="398"/>
      <c r="CJ1264" s="398"/>
      <c r="CK1264" s="398"/>
      <c r="CL1264" s="398"/>
      <c r="CM1264" s="398"/>
      <c r="CN1264" s="398"/>
      <c r="CO1264" s="398"/>
      <c r="CP1264" s="398"/>
      <c r="CQ1264" s="398"/>
      <c r="CR1264" s="398"/>
      <c r="CS1264" s="398"/>
      <c r="CT1264" s="398"/>
      <c r="CU1264" s="398"/>
      <c r="CV1264" s="398"/>
      <c r="CW1264" s="398"/>
      <c r="CX1264" s="398"/>
      <c r="CY1264" s="398"/>
      <c r="CZ1264" s="398"/>
      <c r="DA1264" s="398"/>
      <c r="DB1264" s="398"/>
      <c r="DC1264" s="398"/>
      <c r="DD1264" s="398"/>
      <c r="DE1264" s="393"/>
      <c r="DF1264" s="393"/>
      <c r="DG1264" s="393"/>
      <c r="DH1264" s="393"/>
      <c r="DI1264" s="393"/>
      <c r="DJ1264" s="393"/>
      <c r="DK1264" s="896" t="s">
        <v>9701</v>
      </c>
    </row>
    <row r="1265" spans="1:115" ht="51" x14ac:dyDescent="0.2">
      <c r="A1265" s="295">
        <v>1261</v>
      </c>
      <c r="B1265" s="390" t="s">
        <v>2881</v>
      </c>
      <c r="C1265" s="390"/>
      <c r="D1265" s="391" t="s">
        <v>5632</v>
      </c>
      <c r="E1265" s="704" t="s">
        <v>1748</v>
      </c>
      <c r="F1265" s="393" t="s">
        <v>1375</v>
      </c>
      <c r="G1265" s="393" t="s">
        <v>998</v>
      </c>
      <c r="H1265" s="393" t="s">
        <v>1703</v>
      </c>
      <c r="I1265" s="392"/>
      <c r="J1265" s="392"/>
      <c r="K1265" s="392" t="s">
        <v>1749</v>
      </c>
      <c r="L1265" s="392" t="s">
        <v>1747</v>
      </c>
      <c r="M1265" s="392"/>
      <c r="N1265" s="393" t="s">
        <v>44</v>
      </c>
      <c r="O1265" s="393" t="s">
        <v>51</v>
      </c>
      <c r="P1265" s="393" t="s">
        <v>51</v>
      </c>
      <c r="Q1265" s="392" t="s">
        <v>976</v>
      </c>
      <c r="R1265" s="392" t="s">
        <v>3536</v>
      </c>
      <c r="S1265" s="392" t="s">
        <v>166</v>
      </c>
      <c r="T1265" s="394">
        <v>1</v>
      </c>
      <c r="U1265" s="395">
        <v>168.27099999999999</v>
      </c>
      <c r="V1265" s="395"/>
      <c r="W1265" s="453"/>
      <c r="X1265" s="394"/>
      <c r="Y1265" s="394">
        <v>7</v>
      </c>
      <c r="Z1265" s="394">
        <v>21</v>
      </c>
      <c r="AA1265" s="395">
        <v>0</v>
      </c>
      <c r="AB1265" s="452">
        <v>41214</v>
      </c>
      <c r="AC1265" s="398">
        <v>41.137</v>
      </c>
      <c r="AD1265" s="398">
        <v>1374.7510191780821</v>
      </c>
      <c r="AE1265" s="393" t="s">
        <v>96</v>
      </c>
      <c r="AF1265" s="417"/>
      <c r="AG1265" s="417"/>
      <c r="AH1265" s="417"/>
      <c r="AI1265" s="394"/>
      <c r="AJ1265" s="453"/>
      <c r="AK1265" s="453"/>
      <c r="AL1265" s="393"/>
      <c r="AM1265" s="393"/>
      <c r="AN1265" s="417"/>
      <c r="AO1265" s="392"/>
      <c r="AP1265" s="392" t="s">
        <v>7085</v>
      </c>
      <c r="AQ1265" s="392"/>
      <c r="AR1265" s="392" t="s">
        <v>1737</v>
      </c>
      <c r="AS1265" s="479">
        <v>41020</v>
      </c>
      <c r="AT1265" s="453"/>
      <c r="AU1265" s="453"/>
      <c r="AV1265" s="453"/>
      <c r="AW1265" s="453"/>
      <c r="AX1265" s="453"/>
      <c r="AY1265" s="453"/>
      <c r="AZ1265" s="452">
        <v>41610</v>
      </c>
      <c r="BA1265" s="393"/>
      <c r="BB1265" s="393"/>
      <c r="BC1265" s="393" t="b">
        <v>0</v>
      </c>
      <c r="BD1265" s="393"/>
      <c r="BE1265" s="392"/>
      <c r="BF1265" s="394">
        <v>1</v>
      </c>
      <c r="BG1265" s="394">
        <v>11</v>
      </c>
      <c r="BH1265" s="394">
        <v>8</v>
      </c>
      <c r="BI1265" s="394">
        <v>6</v>
      </c>
      <c r="BJ1265" s="394">
        <v>9</v>
      </c>
      <c r="BK1265" s="394"/>
      <c r="BL1265" s="444" t="s">
        <v>6982</v>
      </c>
      <c r="BM1265" s="392" t="s">
        <v>3537</v>
      </c>
      <c r="BN1265" s="393" t="s">
        <v>3538</v>
      </c>
      <c r="BO1265" s="393"/>
      <c r="BP1265" s="399"/>
      <c r="BQ1265" s="400"/>
      <c r="BR1265" s="401"/>
      <c r="BS1265" s="399"/>
      <c r="BT1265" s="394"/>
      <c r="BU1265" s="417"/>
      <c r="BV1265" s="399"/>
      <c r="BW1265" s="393" t="s">
        <v>3117</v>
      </c>
      <c r="BX1265" s="392" t="s">
        <v>3253</v>
      </c>
      <c r="BY1265" s="475" t="s">
        <v>7227</v>
      </c>
      <c r="BZ1265" s="393"/>
      <c r="CA1265" s="441"/>
      <c r="CB1265" s="400"/>
      <c r="CC1265" s="398"/>
      <c r="CD1265" s="398"/>
      <c r="CE1265" s="398"/>
      <c r="CF1265" s="398"/>
      <c r="CG1265" s="398"/>
      <c r="CH1265" s="398">
        <v>41</v>
      </c>
      <c r="CI1265" s="398">
        <v>247</v>
      </c>
      <c r="CJ1265" s="398">
        <v>247</v>
      </c>
      <c r="CK1265" s="398">
        <v>247</v>
      </c>
      <c r="CL1265" s="398">
        <v>247</v>
      </c>
      <c r="CM1265" s="398">
        <v>247</v>
      </c>
      <c r="CN1265" s="398">
        <v>247</v>
      </c>
      <c r="CO1265" s="398">
        <v>206</v>
      </c>
      <c r="CP1265" s="398"/>
      <c r="CQ1265" s="398"/>
      <c r="CR1265" s="398"/>
      <c r="CS1265" s="398"/>
      <c r="CT1265" s="398"/>
      <c r="CU1265" s="398"/>
      <c r="CV1265" s="398"/>
      <c r="CW1265" s="398"/>
      <c r="CX1265" s="398"/>
      <c r="CY1265" s="398"/>
      <c r="CZ1265" s="398"/>
      <c r="DA1265" s="398"/>
      <c r="DB1265" s="398"/>
      <c r="DC1265" s="398"/>
      <c r="DD1265" s="398"/>
      <c r="DE1265" s="393"/>
      <c r="DF1265" s="393"/>
      <c r="DG1265" s="393"/>
      <c r="DH1265" s="393"/>
      <c r="DI1265" s="393"/>
      <c r="DJ1265" s="393"/>
      <c r="DK1265" s="897"/>
    </row>
    <row r="1266" spans="1:115" ht="127.5" x14ac:dyDescent="0.2">
      <c r="A1266" s="295">
        <v>1262</v>
      </c>
      <c r="B1266" s="390" t="s">
        <v>1740</v>
      </c>
      <c r="C1266" s="424" t="s">
        <v>7710</v>
      </c>
      <c r="D1266" s="391"/>
      <c r="E1266" s="707" t="s">
        <v>1750</v>
      </c>
      <c r="F1266" s="404" t="s">
        <v>1751</v>
      </c>
      <c r="G1266" s="404" t="s">
        <v>1751</v>
      </c>
      <c r="H1266" s="404" t="s">
        <v>1412</v>
      </c>
      <c r="I1266" s="403" t="s">
        <v>4127</v>
      </c>
      <c r="J1266" s="403" t="s">
        <v>1752</v>
      </c>
      <c r="K1266" s="403"/>
      <c r="L1266" s="403" t="s">
        <v>3803</v>
      </c>
      <c r="M1266" s="403" t="s">
        <v>3539</v>
      </c>
      <c r="N1266" s="404" t="s">
        <v>3142</v>
      </c>
      <c r="O1266" s="404" t="s">
        <v>1155</v>
      </c>
      <c r="P1266" s="404" t="s">
        <v>1155</v>
      </c>
      <c r="Q1266" s="403" t="s">
        <v>1834</v>
      </c>
      <c r="R1266" s="403"/>
      <c r="S1266" s="403" t="s">
        <v>352</v>
      </c>
      <c r="T1266" s="405">
        <v>1</v>
      </c>
      <c r="U1266" s="406">
        <v>15.696</v>
      </c>
      <c r="V1266" s="406"/>
      <c r="W1266" s="456">
        <v>41030</v>
      </c>
      <c r="X1266" s="405">
        <v>28</v>
      </c>
      <c r="Y1266" s="405"/>
      <c r="Z1266" s="405"/>
      <c r="AA1266" s="406"/>
      <c r="AB1266" s="455"/>
      <c r="AC1266" s="407">
        <v>0</v>
      </c>
      <c r="AD1266" s="407">
        <v>156.96</v>
      </c>
      <c r="AE1266" s="404" t="s">
        <v>787</v>
      </c>
      <c r="AF1266" s="418"/>
      <c r="AG1266" s="418"/>
      <c r="AH1266" s="418">
        <v>0</v>
      </c>
      <c r="AI1266" s="405"/>
      <c r="AJ1266" s="455"/>
      <c r="AK1266" s="455"/>
      <c r="AL1266" s="404"/>
      <c r="AM1266" s="404"/>
      <c r="AN1266" s="418"/>
      <c r="AO1266" s="403"/>
      <c r="AP1266" s="403" t="s">
        <v>55</v>
      </c>
      <c r="AQ1266" s="403"/>
      <c r="AR1266" s="403" t="s">
        <v>3810</v>
      </c>
      <c r="AS1266" s="482">
        <v>41020</v>
      </c>
      <c r="AT1266" s="455"/>
      <c r="AU1266" s="455"/>
      <c r="AV1266" s="455"/>
      <c r="AW1266" s="455"/>
      <c r="AX1266" s="455"/>
      <c r="AY1266" s="455"/>
      <c r="AZ1266" s="455"/>
      <c r="BA1266" s="404"/>
      <c r="BB1266" s="404" t="s">
        <v>3147</v>
      </c>
      <c r="BC1266" s="404" t="b">
        <v>1</v>
      </c>
      <c r="BD1266" s="404" t="s">
        <v>3147</v>
      </c>
      <c r="BE1266" s="403"/>
      <c r="BF1266" s="405">
        <v>5</v>
      </c>
      <c r="BG1266" s="405">
        <v>9</v>
      </c>
      <c r="BH1266" s="405">
        <v>11</v>
      </c>
      <c r="BI1266" s="405"/>
      <c r="BJ1266" s="405"/>
      <c r="BK1266" s="405"/>
      <c r="BL1266" s="446"/>
      <c r="BM1266" s="403"/>
      <c r="BN1266" s="404"/>
      <c r="BO1266" s="404"/>
      <c r="BP1266" s="408"/>
      <c r="BQ1266" s="409"/>
      <c r="BR1266" s="410"/>
      <c r="BS1266" s="408">
        <v>10</v>
      </c>
      <c r="BT1266" s="405"/>
      <c r="BU1266" s="418"/>
      <c r="BV1266" s="408"/>
      <c r="BW1266" s="404"/>
      <c r="BX1266" s="403"/>
      <c r="BY1266" s="404"/>
      <c r="BZ1266" s="404"/>
      <c r="CA1266" s="443"/>
      <c r="CB1266" s="409"/>
      <c r="CC1266" s="407"/>
      <c r="CD1266" s="407"/>
      <c r="CE1266" s="407"/>
      <c r="CF1266" s="407"/>
      <c r="CG1266" s="407"/>
      <c r="CH1266" s="407"/>
      <c r="CI1266" s="407"/>
      <c r="CJ1266" s="407"/>
      <c r="CK1266" s="407"/>
      <c r="CL1266" s="407"/>
      <c r="CM1266" s="407"/>
      <c r="CN1266" s="407"/>
      <c r="CO1266" s="407"/>
      <c r="CP1266" s="407"/>
      <c r="CQ1266" s="407"/>
      <c r="CR1266" s="407"/>
      <c r="CS1266" s="407"/>
      <c r="CT1266" s="407"/>
      <c r="CU1266" s="407"/>
      <c r="CV1266" s="407"/>
      <c r="CW1266" s="407"/>
      <c r="CX1266" s="407"/>
      <c r="CY1266" s="407"/>
      <c r="CZ1266" s="407"/>
      <c r="DA1266" s="407"/>
      <c r="DB1266" s="407"/>
      <c r="DC1266" s="407"/>
      <c r="DD1266" s="407"/>
      <c r="DE1266" s="404"/>
      <c r="DF1266" s="404"/>
      <c r="DG1266" s="404"/>
      <c r="DH1266" s="404"/>
      <c r="DI1266" s="404"/>
      <c r="DJ1266" s="404"/>
      <c r="DK1266" s="897"/>
    </row>
    <row r="1267" spans="1:115" ht="25.5" x14ac:dyDescent="0.2">
      <c r="A1267" s="295">
        <v>1263</v>
      </c>
      <c r="B1267" s="390" t="s">
        <v>2882</v>
      </c>
      <c r="C1267" s="390"/>
      <c r="D1267" s="391"/>
      <c r="E1267" s="707" t="s">
        <v>1753</v>
      </c>
      <c r="F1267" s="404" t="s">
        <v>1393</v>
      </c>
      <c r="G1267" s="404" t="s">
        <v>1678</v>
      </c>
      <c r="H1267" s="404" t="s">
        <v>1412</v>
      </c>
      <c r="I1267" s="403"/>
      <c r="J1267" s="403"/>
      <c r="K1267" s="403" t="s">
        <v>1754</v>
      </c>
      <c r="L1267" s="403" t="s">
        <v>3803</v>
      </c>
      <c r="M1267" s="403"/>
      <c r="N1267" s="404" t="s">
        <v>3142</v>
      </c>
      <c r="O1267" s="404" t="s">
        <v>1155</v>
      </c>
      <c r="P1267" s="404" t="s">
        <v>1155</v>
      </c>
      <c r="Q1267" s="403" t="s">
        <v>1155</v>
      </c>
      <c r="R1267" s="403" t="s">
        <v>3540</v>
      </c>
      <c r="S1267" s="403" t="s">
        <v>291</v>
      </c>
      <c r="T1267" s="405">
        <v>1</v>
      </c>
      <c r="U1267" s="406">
        <v>15.696</v>
      </c>
      <c r="V1267" s="406"/>
      <c r="W1267" s="455"/>
      <c r="X1267" s="405"/>
      <c r="Y1267" s="405">
        <v>10</v>
      </c>
      <c r="Z1267" s="405">
        <v>30</v>
      </c>
      <c r="AA1267" s="406">
        <v>0</v>
      </c>
      <c r="AB1267" s="456">
        <v>41640</v>
      </c>
      <c r="AC1267" s="407">
        <v>0</v>
      </c>
      <c r="AD1267" s="407">
        <v>156.96</v>
      </c>
      <c r="AE1267" s="404" t="s">
        <v>787</v>
      </c>
      <c r="AF1267" s="418"/>
      <c r="AG1267" s="418"/>
      <c r="AH1267" s="418"/>
      <c r="AI1267" s="405"/>
      <c r="AJ1267" s="455"/>
      <c r="AK1267" s="455"/>
      <c r="AL1267" s="404"/>
      <c r="AM1267" s="404"/>
      <c r="AN1267" s="418"/>
      <c r="AO1267" s="403"/>
      <c r="AP1267" s="403" t="s">
        <v>55</v>
      </c>
      <c r="AQ1267" s="403"/>
      <c r="AR1267" s="403" t="s">
        <v>3810</v>
      </c>
      <c r="AS1267" s="482">
        <v>41020</v>
      </c>
      <c r="AT1267" s="455"/>
      <c r="AU1267" s="455"/>
      <c r="AV1267" s="455"/>
      <c r="AW1267" s="455"/>
      <c r="AX1267" s="455"/>
      <c r="AY1267" s="455"/>
      <c r="AZ1267" s="455"/>
      <c r="BA1267" s="404"/>
      <c r="BB1267" s="404"/>
      <c r="BC1267" s="404" t="b">
        <v>0</v>
      </c>
      <c r="BD1267" s="404"/>
      <c r="BE1267" s="403"/>
      <c r="BF1267" s="405">
        <v>5</v>
      </c>
      <c r="BG1267" s="405">
        <v>4</v>
      </c>
      <c r="BH1267" s="405">
        <v>11</v>
      </c>
      <c r="BI1267" s="405">
        <v>9</v>
      </c>
      <c r="BJ1267" s="405"/>
      <c r="BK1267" s="405"/>
      <c r="BL1267" s="446" t="s">
        <v>1451</v>
      </c>
      <c r="BM1267" s="403"/>
      <c r="BN1267" s="404"/>
      <c r="BO1267" s="404"/>
      <c r="BP1267" s="408"/>
      <c r="BQ1267" s="409"/>
      <c r="BR1267" s="410"/>
      <c r="BS1267" s="408">
        <v>10</v>
      </c>
      <c r="BT1267" s="405">
        <v>27000</v>
      </c>
      <c r="BU1267" s="418">
        <v>0.65400000000000003</v>
      </c>
      <c r="BV1267" s="408"/>
      <c r="BW1267" s="404" t="s">
        <v>3117</v>
      </c>
      <c r="BX1267" s="403" t="s">
        <v>1449</v>
      </c>
      <c r="BY1267" s="404"/>
      <c r="BZ1267" s="404"/>
      <c r="CA1267" s="443"/>
      <c r="CB1267" s="409"/>
      <c r="CC1267" s="407"/>
      <c r="CD1267" s="407"/>
      <c r="CE1267" s="407"/>
      <c r="CF1267" s="407"/>
      <c r="CG1267" s="407"/>
      <c r="CH1267" s="407"/>
      <c r="CI1267" s="407"/>
      <c r="CJ1267" s="407">
        <v>16</v>
      </c>
      <c r="CK1267" s="407">
        <v>16</v>
      </c>
      <c r="CL1267" s="407">
        <v>16</v>
      </c>
      <c r="CM1267" s="407">
        <v>16</v>
      </c>
      <c r="CN1267" s="407">
        <v>16</v>
      </c>
      <c r="CO1267" s="407">
        <v>16</v>
      </c>
      <c r="CP1267" s="407">
        <v>16</v>
      </c>
      <c r="CQ1267" s="407">
        <v>16</v>
      </c>
      <c r="CR1267" s="407">
        <v>16</v>
      </c>
      <c r="CS1267" s="407">
        <v>16</v>
      </c>
      <c r="CT1267" s="407"/>
      <c r="CU1267" s="407"/>
      <c r="CV1267" s="407"/>
      <c r="CW1267" s="407"/>
      <c r="CX1267" s="407"/>
      <c r="CY1267" s="407"/>
      <c r="CZ1267" s="407"/>
      <c r="DA1267" s="407"/>
      <c r="DB1267" s="407"/>
      <c r="DC1267" s="407"/>
      <c r="DD1267" s="407"/>
      <c r="DE1267" s="404"/>
      <c r="DF1267" s="404"/>
      <c r="DG1267" s="404"/>
      <c r="DH1267" s="404"/>
      <c r="DI1267" s="404"/>
      <c r="DJ1267" s="404"/>
      <c r="DK1267" s="897"/>
    </row>
    <row r="1268" spans="1:115" ht="51" x14ac:dyDescent="0.2">
      <c r="A1268" s="295">
        <v>1264</v>
      </c>
      <c r="B1268" s="390" t="s">
        <v>1741</v>
      </c>
      <c r="C1268" s="424" t="s">
        <v>7711</v>
      </c>
      <c r="D1268" s="391" t="s">
        <v>5188</v>
      </c>
      <c r="E1268" s="704" t="s">
        <v>1758</v>
      </c>
      <c r="F1268" s="393" t="s">
        <v>1751</v>
      </c>
      <c r="G1268" s="393" t="s">
        <v>1751</v>
      </c>
      <c r="H1268" s="393" t="s">
        <v>1412</v>
      </c>
      <c r="I1268" s="392" t="s">
        <v>4128</v>
      </c>
      <c r="J1268" s="392" t="s">
        <v>1759</v>
      </c>
      <c r="K1268" s="392"/>
      <c r="L1268" s="392" t="s">
        <v>1551</v>
      </c>
      <c r="M1268" s="392" t="s">
        <v>3541</v>
      </c>
      <c r="N1268" s="393" t="s">
        <v>44</v>
      </c>
      <c r="O1268" s="393" t="s">
        <v>827</v>
      </c>
      <c r="P1268" s="393" t="s">
        <v>827</v>
      </c>
      <c r="Q1268" s="392" t="s">
        <v>1831</v>
      </c>
      <c r="R1268" s="392"/>
      <c r="S1268" s="392" t="s">
        <v>650</v>
      </c>
      <c r="T1268" s="394">
        <v>1</v>
      </c>
      <c r="U1268" s="395">
        <v>1.2589999999999999</v>
      </c>
      <c r="V1268" s="395"/>
      <c r="W1268" s="452">
        <v>41153</v>
      </c>
      <c r="X1268" s="394">
        <v>28</v>
      </c>
      <c r="Y1268" s="394"/>
      <c r="Z1268" s="394"/>
      <c r="AA1268" s="395"/>
      <c r="AB1268" s="453"/>
      <c r="AC1268" s="398">
        <v>1.4E-2</v>
      </c>
      <c r="AD1268" s="398">
        <v>10.089246575342464</v>
      </c>
      <c r="AE1268" s="393" t="s">
        <v>1760</v>
      </c>
      <c r="AF1268" s="417"/>
      <c r="AG1268" s="417"/>
      <c r="AH1268" s="417">
        <v>0</v>
      </c>
      <c r="AI1268" s="394"/>
      <c r="AJ1268" s="453"/>
      <c r="AK1268" s="453"/>
      <c r="AL1268" s="393"/>
      <c r="AM1268" s="393"/>
      <c r="AN1268" s="417"/>
      <c r="AO1268" s="392"/>
      <c r="AP1268" s="392" t="s">
        <v>7106</v>
      </c>
      <c r="AQ1268" s="392"/>
      <c r="AR1268" s="392" t="s">
        <v>3822</v>
      </c>
      <c r="AS1268" s="479">
        <v>41024</v>
      </c>
      <c r="AT1268" s="453"/>
      <c r="AU1268" s="453"/>
      <c r="AV1268" s="452">
        <v>41252</v>
      </c>
      <c r="AW1268" s="452">
        <v>41271</v>
      </c>
      <c r="AX1268" s="452">
        <v>41431</v>
      </c>
      <c r="AY1268" s="452">
        <v>41271</v>
      </c>
      <c r="AZ1268" s="453"/>
      <c r="BA1268" s="393"/>
      <c r="BB1268" s="393" t="s">
        <v>3147</v>
      </c>
      <c r="BC1268" s="393" t="b">
        <v>1</v>
      </c>
      <c r="BD1268" s="393" t="s">
        <v>3147</v>
      </c>
      <c r="BE1268" s="392"/>
      <c r="BF1268" s="394">
        <v>4</v>
      </c>
      <c r="BG1268" s="394">
        <v>5</v>
      </c>
      <c r="BH1268" s="394">
        <v>8</v>
      </c>
      <c r="BI1268" s="394">
        <v>10</v>
      </c>
      <c r="BJ1268" s="394">
        <v>11</v>
      </c>
      <c r="BK1268" s="394">
        <v>9</v>
      </c>
      <c r="BL1268" s="444"/>
      <c r="BM1268" s="392"/>
      <c r="BN1268" s="393"/>
      <c r="BO1268" s="393"/>
      <c r="BP1268" s="399"/>
      <c r="BQ1268" s="400"/>
      <c r="BR1268" s="401"/>
      <c r="BS1268" s="399">
        <v>1.0980000000000001</v>
      </c>
      <c r="BT1268" s="394"/>
      <c r="BU1268" s="417"/>
      <c r="BV1268" s="399"/>
      <c r="BW1268" s="393"/>
      <c r="BX1268" s="392"/>
      <c r="BY1268" s="393"/>
      <c r="BZ1268" s="393"/>
      <c r="CA1268" s="441"/>
      <c r="CB1268" s="400"/>
      <c r="CC1268" s="398"/>
      <c r="CD1268" s="398"/>
      <c r="CE1268" s="398"/>
      <c r="CF1268" s="398"/>
      <c r="CG1268" s="398"/>
      <c r="CH1268" s="398"/>
      <c r="CI1268" s="398"/>
      <c r="CJ1268" s="398"/>
      <c r="CK1268" s="398"/>
      <c r="CL1268" s="398"/>
      <c r="CM1268" s="398"/>
      <c r="CN1268" s="398"/>
      <c r="CO1268" s="398"/>
      <c r="CP1268" s="398"/>
      <c r="CQ1268" s="398"/>
      <c r="CR1268" s="398"/>
      <c r="CS1268" s="398"/>
      <c r="CT1268" s="398"/>
      <c r="CU1268" s="398"/>
      <c r="CV1268" s="398"/>
      <c r="CW1268" s="398"/>
      <c r="CX1268" s="398"/>
      <c r="CY1268" s="398"/>
      <c r="CZ1268" s="398"/>
      <c r="DA1268" s="398"/>
      <c r="DB1268" s="398"/>
      <c r="DC1268" s="398"/>
      <c r="DD1268" s="398"/>
      <c r="DE1268" s="393"/>
      <c r="DF1268" s="393"/>
      <c r="DG1268" s="393"/>
      <c r="DH1268" s="393"/>
      <c r="DI1268" s="393"/>
      <c r="DJ1268" s="393"/>
      <c r="DK1268" s="896" t="s">
        <v>9753</v>
      </c>
    </row>
    <row r="1269" spans="1:115" ht="15" x14ac:dyDescent="0.2">
      <c r="A1269" s="295">
        <v>1265</v>
      </c>
      <c r="B1269" s="390" t="s">
        <v>2883</v>
      </c>
      <c r="C1269" s="390"/>
      <c r="D1269" s="391" t="s">
        <v>5189</v>
      </c>
      <c r="E1269" s="704" t="s">
        <v>1761</v>
      </c>
      <c r="F1269" s="393" t="s">
        <v>1393</v>
      </c>
      <c r="G1269" s="393" t="s">
        <v>1678</v>
      </c>
      <c r="H1269" s="393" t="s">
        <v>1412</v>
      </c>
      <c r="I1269" s="392"/>
      <c r="J1269" s="392"/>
      <c r="K1269" s="392" t="s">
        <v>1762</v>
      </c>
      <c r="L1269" s="392" t="s">
        <v>1551</v>
      </c>
      <c r="M1269" s="392"/>
      <c r="N1269" s="393" t="s">
        <v>44</v>
      </c>
      <c r="O1269" s="393" t="s">
        <v>827</v>
      </c>
      <c r="P1269" s="393" t="s">
        <v>827</v>
      </c>
      <c r="Q1269" s="392" t="s">
        <v>836</v>
      </c>
      <c r="R1269" s="392" t="s">
        <v>3542</v>
      </c>
      <c r="S1269" s="392" t="s">
        <v>650</v>
      </c>
      <c r="T1269" s="394">
        <v>1</v>
      </c>
      <c r="U1269" s="395">
        <v>1.2589999999999999</v>
      </c>
      <c r="V1269" s="395"/>
      <c r="W1269" s="453"/>
      <c r="X1269" s="394"/>
      <c r="Y1269" s="394">
        <v>7</v>
      </c>
      <c r="Z1269" s="394">
        <v>25</v>
      </c>
      <c r="AA1269" s="395">
        <v>0</v>
      </c>
      <c r="AB1269" s="452">
        <v>41271</v>
      </c>
      <c r="AC1269" s="398">
        <v>1.4E-2</v>
      </c>
      <c r="AD1269" s="398">
        <v>10.089246575342464</v>
      </c>
      <c r="AE1269" s="393" t="s">
        <v>1760</v>
      </c>
      <c r="AF1269" s="417"/>
      <c r="AG1269" s="417"/>
      <c r="AH1269" s="417"/>
      <c r="AI1269" s="394"/>
      <c r="AJ1269" s="453"/>
      <c r="AK1269" s="453"/>
      <c r="AL1269" s="393"/>
      <c r="AM1269" s="393"/>
      <c r="AN1269" s="417"/>
      <c r="AO1269" s="392"/>
      <c r="AP1269" s="392" t="s">
        <v>7106</v>
      </c>
      <c r="AQ1269" s="392"/>
      <c r="AR1269" s="392" t="s">
        <v>3822</v>
      </c>
      <c r="AS1269" s="479">
        <v>41024</v>
      </c>
      <c r="AT1269" s="453"/>
      <c r="AU1269" s="453"/>
      <c r="AV1269" s="453"/>
      <c r="AW1269" s="453"/>
      <c r="AX1269" s="453"/>
      <c r="AY1269" s="453"/>
      <c r="AZ1269" s="452">
        <v>41271</v>
      </c>
      <c r="BA1269" s="393"/>
      <c r="BB1269" s="393"/>
      <c r="BC1269" s="393" t="b">
        <v>0</v>
      </c>
      <c r="BD1269" s="393"/>
      <c r="BE1269" s="392"/>
      <c r="BF1269" s="394">
        <v>5</v>
      </c>
      <c r="BG1269" s="394">
        <v>8</v>
      </c>
      <c r="BH1269" s="394">
        <v>9</v>
      </c>
      <c r="BI1269" s="394"/>
      <c r="BJ1269" s="394"/>
      <c r="BK1269" s="394"/>
      <c r="BL1269" s="444" t="s">
        <v>6982</v>
      </c>
      <c r="BM1269" s="392"/>
      <c r="BN1269" s="393"/>
      <c r="BO1269" s="393"/>
      <c r="BP1269" s="399"/>
      <c r="BQ1269" s="400"/>
      <c r="BR1269" s="401"/>
      <c r="BS1269" s="399">
        <v>1.0980000000000001</v>
      </c>
      <c r="BT1269" s="394">
        <v>1926</v>
      </c>
      <c r="BU1269" s="417">
        <v>0.65400000000000003</v>
      </c>
      <c r="BV1269" s="399"/>
      <c r="BW1269" s="393" t="s">
        <v>3117</v>
      </c>
      <c r="BX1269" s="392" t="s">
        <v>4364</v>
      </c>
      <c r="BY1269" s="393" t="s">
        <v>7224</v>
      </c>
      <c r="BZ1269" s="393"/>
      <c r="CA1269" s="441"/>
      <c r="CB1269" s="400"/>
      <c r="CC1269" s="398"/>
      <c r="CD1269" s="398"/>
      <c r="CE1269" s="398"/>
      <c r="CF1269" s="398"/>
      <c r="CG1269" s="398"/>
      <c r="CH1269" s="398"/>
      <c r="CI1269" s="398"/>
      <c r="CJ1269" s="398">
        <v>1.2589999999999999</v>
      </c>
      <c r="CK1269" s="398">
        <v>1.2589999999999999</v>
      </c>
      <c r="CL1269" s="398">
        <v>1.2589999999999999</v>
      </c>
      <c r="CM1269" s="398">
        <v>1.2589999999999999</v>
      </c>
      <c r="CN1269" s="398">
        <v>1.2589999999999999</v>
      </c>
      <c r="CO1269" s="398">
        <v>1.2589999999999999</v>
      </c>
      <c r="CP1269" s="398">
        <v>1.2589999999999999</v>
      </c>
      <c r="CQ1269" s="398"/>
      <c r="CR1269" s="398"/>
      <c r="CS1269" s="398"/>
      <c r="CT1269" s="398"/>
      <c r="CU1269" s="398"/>
      <c r="CV1269" s="398"/>
      <c r="CW1269" s="398"/>
      <c r="CX1269" s="398"/>
      <c r="CY1269" s="398"/>
      <c r="CZ1269" s="398"/>
      <c r="DA1269" s="398"/>
      <c r="DB1269" s="398"/>
      <c r="DC1269" s="398"/>
      <c r="DD1269" s="398"/>
      <c r="DE1269" s="393"/>
      <c r="DF1269" s="393"/>
      <c r="DG1269" s="393"/>
      <c r="DH1269" s="393"/>
      <c r="DI1269" s="393"/>
      <c r="DJ1269" s="393"/>
      <c r="DK1269" s="897"/>
    </row>
    <row r="1270" spans="1:115" ht="15.75" x14ac:dyDescent="0.2">
      <c r="A1270" s="295">
        <v>1266</v>
      </c>
      <c r="B1270" s="390" t="s">
        <v>1755</v>
      </c>
      <c r="C1270" s="424" t="s">
        <v>7712</v>
      </c>
      <c r="D1270" s="391" t="s">
        <v>5190</v>
      </c>
      <c r="E1270" s="704" t="s">
        <v>1763</v>
      </c>
      <c r="F1270" s="393" t="s">
        <v>1375</v>
      </c>
      <c r="G1270" s="393" t="s">
        <v>1670</v>
      </c>
      <c r="H1270" s="393" t="s">
        <v>1008</v>
      </c>
      <c r="I1270" s="392"/>
      <c r="J1270" s="392" t="s">
        <v>1008</v>
      </c>
      <c r="K1270" s="392"/>
      <c r="L1270" s="392" t="s">
        <v>266</v>
      </c>
      <c r="M1270" s="392" t="s">
        <v>3543</v>
      </c>
      <c r="N1270" s="393" t="s">
        <v>44</v>
      </c>
      <c r="O1270" s="393" t="s">
        <v>69</v>
      </c>
      <c r="P1270" s="393" t="s">
        <v>69</v>
      </c>
      <c r="Q1270" s="392" t="s">
        <v>152</v>
      </c>
      <c r="R1270" s="392"/>
      <c r="S1270" s="392" t="s">
        <v>146</v>
      </c>
      <c r="T1270" s="394">
        <v>1</v>
      </c>
      <c r="U1270" s="395">
        <v>27.94</v>
      </c>
      <c r="V1270" s="395"/>
      <c r="W1270" s="452">
        <v>41024</v>
      </c>
      <c r="X1270" s="394">
        <v>28</v>
      </c>
      <c r="Y1270" s="394"/>
      <c r="Z1270" s="394"/>
      <c r="AA1270" s="395"/>
      <c r="AB1270" s="453"/>
      <c r="AC1270" s="398">
        <v>0</v>
      </c>
      <c r="AD1270" s="398">
        <v>279.40000000000003</v>
      </c>
      <c r="AE1270" s="393" t="s">
        <v>355</v>
      </c>
      <c r="AF1270" s="417"/>
      <c r="AG1270" s="417"/>
      <c r="AH1270" s="417">
        <v>0</v>
      </c>
      <c r="AI1270" s="394"/>
      <c r="AJ1270" s="453"/>
      <c r="AK1270" s="453"/>
      <c r="AL1270" s="393"/>
      <c r="AM1270" s="393"/>
      <c r="AN1270" s="417"/>
      <c r="AO1270" s="392"/>
      <c r="AP1270" s="392" t="s">
        <v>55</v>
      </c>
      <c r="AQ1270" s="392"/>
      <c r="AR1270" s="392" t="s">
        <v>1737</v>
      </c>
      <c r="AS1270" s="479">
        <v>41024</v>
      </c>
      <c r="AT1270" s="453"/>
      <c r="AU1270" s="453"/>
      <c r="AV1270" s="453"/>
      <c r="AW1270" s="453">
        <v>41264</v>
      </c>
      <c r="AX1270" s="453"/>
      <c r="AY1270" s="452">
        <v>41264</v>
      </c>
      <c r="AZ1270" s="453"/>
      <c r="BA1270" s="393"/>
      <c r="BB1270" s="393" t="s">
        <v>3147</v>
      </c>
      <c r="BC1270" s="393" t="b">
        <v>1</v>
      </c>
      <c r="BD1270" s="393" t="s">
        <v>3147</v>
      </c>
      <c r="BE1270" s="392"/>
      <c r="BF1270" s="394">
        <v>5</v>
      </c>
      <c r="BG1270" s="394">
        <v>6</v>
      </c>
      <c r="BH1270" s="394">
        <v>3</v>
      </c>
      <c r="BI1270" s="394">
        <v>9</v>
      </c>
      <c r="BJ1270" s="394">
        <v>1</v>
      </c>
      <c r="BK1270" s="394">
        <v>11</v>
      </c>
      <c r="BL1270" s="444"/>
      <c r="BM1270" s="392"/>
      <c r="BN1270" s="393"/>
      <c r="BO1270" s="393"/>
      <c r="BP1270" s="399"/>
      <c r="BQ1270" s="400"/>
      <c r="BR1270" s="401"/>
      <c r="BS1270" s="399">
        <v>0</v>
      </c>
      <c r="BT1270" s="394"/>
      <c r="BU1270" s="417"/>
      <c r="BV1270" s="399"/>
      <c r="BW1270" s="393"/>
      <c r="BX1270" s="392"/>
      <c r="BY1270" s="475" t="s">
        <v>7226</v>
      </c>
      <c r="BZ1270" s="393"/>
      <c r="CA1270" s="441"/>
      <c r="CB1270" s="400"/>
      <c r="CC1270" s="398"/>
      <c r="CD1270" s="398"/>
      <c r="CE1270" s="398"/>
      <c r="CF1270" s="398"/>
      <c r="CG1270" s="398"/>
      <c r="CH1270" s="398"/>
      <c r="CI1270" s="398"/>
      <c r="CJ1270" s="398"/>
      <c r="CK1270" s="398"/>
      <c r="CL1270" s="398"/>
      <c r="CM1270" s="398"/>
      <c r="CN1270" s="398"/>
      <c r="CO1270" s="398"/>
      <c r="CP1270" s="398"/>
      <c r="CQ1270" s="398"/>
      <c r="CR1270" s="398"/>
      <c r="CS1270" s="398"/>
      <c r="CT1270" s="398"/>
      <c r="CU1270" s="398"/>
      <c r="CV1270" s="398"/>
      <c r="CW1270" s="398"/>
      <c r="CX1270" s="398"/>
      <c r="CY1270" s="398"/>
      <c r="CZ1270" s="398"/>
      <c r="DA1270" s="398"/>
      <c r="DB1270" s="398"/>
      <c r="DC1270" s="398"/>
      <c r="DD1270" s="398"/>
      <c r="DE1270" s="393"/>
      <c r="DF1270" s="393"/>
      <c r="DG1270" s="393"/>
      <c r="DH1270" s="393"/>
      <c r="DI1270" s="393"/>
      <c r="DJ1270" s="393"/>
      <c r="DK1270" s="896" t="s">
        <v>9745</v>
      </c>
    </row>
    <row r="1271" spans="1:115" ht="38.25" x14ac:dyDescent="0.2">
      <c r="A1271" s="295">
        <v>1267</v>
      </c>
      <c r="B1271" s="390" t="s">
        <v>2884</v>
      </c>
      <c r="C1271" s="390"/>
      <c r="D1271" s="391" t="s">
        <v>4625</v>
      </c>
      <c r="E1271" s="704" t="s">
        <v>1764</v>
      </c>
      <c r="F1271" s="393" t="s">
        <v>1375</v>
      </c>
      <c r="G1271" s="393" t="s">
        <v>1670</v>
      </c>
      <c r="H1271" s="393" t="s">
        <v>1008</v>
      </c>
      <c r="I1271" s="392"/>
      <c r="J1271" s="392"/>
      <c r="K1271" s="392" t="s">
        <v>1765</v>
      </c>
      <c r="L1271" s="392" t="s">
        <v>266</v>
      </c>
      <c r="M1271" s="392"/>
      <c r="N1271" s="393" t="s">
        <v>44</v>
      </c>
      <c r="O1271" s="393" t="s">
        <v>69</v>
      </c>
      <c r="P1271" s="393" t="s">
        <v>69</v>
      </c>
      <c r="Q1271" s="392" t="s">
        <v>152</v>
      </c>
      <c r="R1271" s="392" t="s">
        <v>3544</v>
      </c>
      <c r="S1271" s="392" t="s">
        <v>146</v>
      </c>
      <c r="T1271" s="394">
        <v>1</v>
      </c>
      <c r="U1271" s="395">
        <v>27.94</v>
      </c>
      <c r="V1271" s="395"/>
      <c r="W1271" s="453"/>
      <c r="X1271" s="394"/>
      <c r="Y1271" s="394">
        <v>10</v>
      </c>
      <c r="Z1271" s="394">
        <v>20</v>
      </c>
      <c r="AA1271" s="395">
        <v>6</v>
      </c>
      <c r="AB1271" s="452">
        <v>41365</v>
      </c>
      <c r="AC1271" s="398">
        <v>0</v>
      </c>
      <c r="AD1271" s="398">
        <v>279.40000000000003</v>
      </c>
      <c r="AE1271" s="393" t="s">
        <v>355</v>
      </c>
      <c r="AF1271" s="417"/>
      <c r="AG1271" s="417"/>
      <c r="AH1271" s="417"/>
      <c r="AI1271" s="394"/>
      <c r="AJ1271" s="453"/>
      <c r="AK1271" s="453"/>
      <c r="AL1271" s="393"/>
      <c r="AM1271" s="393"/>
      <c r="AN1271" s="417"/>
      <c r="AO1271" s="392"/>
      <c r="AP1271" s="392" t="s">
        <v>55</v>
      </c>
      <c r="AQ1271" s="392"/>
      <c r="AR1271" s="392" t="s">
        <v>1737</v>
      </c>
      <c r="AS1271" s="479">
        <v>41024</v>
      </c>
      <c r="AT1271" s="453"/>
      <c r="AU1271" s="453"/>
      <c r="AV1271" s="453"/>
      <c r="AW1271" s="453"/>
      <c r="AX1271" s="453"/>
      <c r="AY1271" s="453"/>
      <c r="AZ1271" s="452">
        <v>41264</v>
      </c>
      <c r="BA1271" s="393"/>
      <c r="BB1271" s="393"/>
      <c r="BC1271" s="393" t="b">
        <v>0</v>
      </c>
      <c r="BD1271" s="393"/>
      <c r="BE1271" s="392"/>
      <c r="BF1271" s="394">
        <v>5</v>
      </c>
      <c r="BG1271" s="394">
        <v>6</v>
      </c>
      <c r="BH1271" s="394">
        <v>3</v>
      </c>
      <c r="BI1271" s="394">
        <v>9</v>
      </c>
      <c r="BJ1271" s="394">
        <v>1</v>
      </c>
      <c r="BK1271" s="394">
        <v>11</v>
      </c>
      <c r="BL1271" s="444" t="s">
        <v>6982</v>
      </c>
      <c r="BM1271" s="392"/>
      <c r="BN1271" s="393"/>
      <c r="BO1271" s="393"/>
      <c r="BP1271" s="399"/>
      <c r="BQ1271" s="400"/>
      <c r="BR1271" s="401"/>
      <c r="BS1271" s="399"/>
      <c r="BT1271" s="394"/>
      <c r="BU1271" s="417"/>
      <c r="BV1271" s="399"/>
      <c r="BW1271" s="393" t="s">
        <v>3117</v>
      </c>
      <c r="BX1271" s="392" t="s">
        <v>3253</v>
      </c>
      <c r="BY1271" s="475" t="s">
        <v>7226</v>
      </c>
      <c r="BZ1271" s="393"/>
      <c r="CA1271" s="441"/>
      <c r="CB1271" s="400"/>
      <c r="CC1271" s="398"/>
      <c r="CD1271" s="398"/>
      <c r="CE1271" s="398"/>
      <c r="CF1271" s="398"/>
      <c r="CG1271" s="398"/>
      <c r="CH1271" s="398"/>
      <c r="CI1271" s="398">
        <v>-1</v>
      </c>
      <c r="CJ1271" s="398">
        <v>4</v>
      </c>
      <c r="CK1271" s="398">
        <v>11</v>
      </c>
      <c r="CL1271" s="398">
        <v>21</v>
      </c>
      <c r="CM1271" s="398">
        <v>29</v>
      </c>
      <c r="CN1271" s="398">
        <v>34</v>
      </c>
      <c r="CO1271" s="398">
        <v>38</v>
      </c>
      <c r="CP1271" s="398">
        <v>42</v>
      </c>
      <c r="CQ1271" s="398">
        <v>44</v>
      </c>
      <c r="CR1271" s="398">
        <v>46</v>
      </c>
      <c r="CS1271" s="398">
        <v>12</v>
      </c>
      <c r="CT1271" s="398"/>
      <c r="CU1271" s="398"/>
      <c r="CV1271" s="398"/>
      <c r="CW1271" s="398"/>
      <c r="CX1271" s="398"/>
      <c r="CY1271" s="398"/>
      <c r="CZ1271" s="398"/>
      <c r="DA1271" s="398"/>
      <c r="DB1271" s="398"/>
      <c r="DC1271" s="398"/>
      <c r="DD1271" s="398"/>
      <c r="DE1271" s="393"/>
      <c r="DF1271" s="393"/>
      <c r="DG1271" s="393"/>
      <c r="DH1271" s="393"/>
      <c r="DI1271" s="393"/>
      <c r="DJ1271" s="393"/>
      <c r="DK1271" s="897"/>
    </row>
    <row r="1272" spans="1:115" ht="38.25" x14ac:dyDescent="0.2">
      <c r="A1272" s="295">
        <v>1268</v>
      </c>
      <c r="B1272" s="390" t="s">
        <v>1756</v>
      </c>
      <c r="C1272" s="424" t="s">
        <v>7713</v>
      </c>
      <c r="D1272" s="391" t="s">
        <v>5438</v>
      </c>
      <c r="E1272" s="704" t="s">
        <v>1766</v>
      </c>
      <c r="F1272" s="393" t="s">
        <v>1340</v>
      </c>
      <c r="G1272" s="393" t="s">
        <v>1677</v>
      </c>
      <c r="H1272" s="393" t="s">
        <v>718</v>
      </c>
      <c r="I1272" s="392"/>
      <c r="J1272" s="392" t="s">
        <v>718</v>
      </c>
      <c r="K1272" s="392"/>
      <c r="L1272" s="392" t="s">
        <v>1767</v>
      </c>
      <c r="M1272" s="392" t="s">
        <v>3545</v>
      </c>
      <c r="N1272" s="393" t="s">
        <v>44</v>
      </c>
      <c r="O1272" s="393" t="s">
        <v>827</v>
      </c>
      <c r="P1272" s="393" t="s">
        <v>827</v>
      </c>
      <c r="Q1272" s="392" t="s">
        <v>1768</v>
      </c>
      <c r="R1272" s="392"/>
      <c r="S1272" s="392" t="s">
        <v>650</v>
      </c>
      <c r="T1272" s="394">
        <v>1</v>
      </c>
      <c r="U1272" s="395">
        <v>191.13399999999999</v>
      </c>
      <c r="V1272" s="395"/>
      <c r="W1272" s="452">
        <v>41334</v>
      </c>
      <c r="X1272" s="394">
        <v>28</v>
      </c>
      <c r="Y1272" s="394"/>
      <c r="Z1272" s="394"/>
      <c r="AA1272" s="395"/>
      <c r="AB1272" s="453"/>
      <c r="AC1272" s="398">
        <v>0</v>
      </c>
      <c r="AD1272" s="398">
        <v>1259.3897808219176</v>
      </c>
      <c r="AE1272" s="393" t="s">
        <v>133</v>
      </c>
      <c r="AF1272" s="417"/>
      <c r="AG1272" s="417"/>
      <c r="AH1272" s="417">
        <v>0</v>
      </c>
      <c r="AI1272" s="394"/>
      <c r="AJ1272" s="453"/>
      <c r="AK1272" s="453"/>
      <c r="AL1272" s="393"/>
      <c r="AM1272" s="393"/>
      <c r="AN1272" s="417"/>
      <c r="AO1272" s="392"/>
      <c r="AP1272" s="392" t="s">
        <v>55</v>
      </c>
      <c r="AQ1272" s="392"/>
      <c r="AR1272" s="392" t="s">
        <v>1769</v>
      </c>
      <c r="AS1272" s="479">
        <v>41024</v>
      </c>
      <c r="AT1272" s="453"/>
      <c r="AU1272" s="453"/>
      <c r="AV1272" s="452">
        <v>41122</v>
      </c>
      <c r="AW1272" s="452">
        <v>41273</v>
      </c>
      <c r="AX1272" s="452">
        <v>41467</v>
      </c>
      <c r="AY1272" s="452">
        <v>41274</v>
      </c>
      <c r="AZ1272" s="453"/>
      <c r="BA1272" s="393"/>
      <c r="BB1272" s="393" t="s">
        <v>3147</v>
      </c>
      <c r="BC1272" s="393" t="b">
        <v>1</v>
      </c>
      <c r="BD1272" s="393" t="s">
        <v>3147</v>
      </c>
      <c r="BE1272" s="392"/>
      <c r="BF1272" s="394">
        <v>10</v>
      </c>
      <c r="BG1272" s="394">
        <v>7</v>
      </c>
      <c r="BH1272" s="394"/>
      <c r="BI1272" s="394"/>
      <c r="BJ1272" s="394"/>
      <c r="BK1272" s="394"/>
      <c r="BL1272" s="444"/>
      <c r="BM1272" s="392"/>
      <c r="BN1272" s="393"/>
      <c r="BO1272" s="393"/>
      <c r="BP1272" s="399"/>
      <c r="BQ1272" s="400"/>
      <c r="BR1272" s="401"/>
      <c r="BS1272" s="399">
        <v>110</v>
      </c>
      <c r="BT1272" s="394"/>
      <c r="BU1272" s="417"/>
      <c r="BV1272" s="399"/>
      <c r="BW1272" s="393"/>
      <c r="BX1272" s="392"/>
      <c r="BY1272" s="393"/>
      <c r="BZ1272" s="393"/>
      <c r="CA1272" s="441"/>
      <c r="CB1272" s="400"/>
      <c r="CC1272" s="398"/>
      <c r="CD1272" s="398"/>
      <c r="CE1272" s="398"/>
      <c r="CF1272" s="398"/>
      <c r="CG1272" s="398"/>
      <c r="CH1272" s="398"/>
      <c r="CI1272" s="398"/>
      <c r="CJ1272" s="398"/>
      <c r="CK1272" s="398"/>
      <c r="CL1272" s="398"/>
      <c r="CM1272" s="398"/>
      <c r="CN1272" s="398"/>
      <c r="CO1272" s="398"/>
      <c r="CP1272" s="398"/>
      <c r="CQ1272" s="398"/>
      <c r="CR1272" s="398"/>
      <c r="CS1272" s="398"/>
      <c r="CT1272" s="398"/>
      <c r="CU1272" s="398"/>
      <c r="CV1272" s="398"/>
      <c r="CW1272" s="398"/>
      <c r="CX1272" s="398"/>
      <c r="CY1272" s="398"/>
      <c r="CZ1272" s="398"/>
      <c r="DA1272" s="398"/>
      <c r="DB1272" s="398"/>
      <c r="DC1272" s="398"/>
      <c r="DD1272" s="398"/>
      <c r="DE1272" s="393"/>
      <c r="DF1272" s="393"/>
      <c r="DG1272" s="393"/>
      <c r="DH1272" s="393"/>
      <c r="DI1272" s="393"/>
      <c r="DJ1272" s="393"/>
      <c r="DK1272" s="896" t="s">
        <v>9735</v>
      </c>
    </row>
    <row r="1273" spans="1:115" ht="25.5" x14ac:dyDescent="0.2">
      <c r="A1273" s="295">
        <v>1269</v>
      </c>
      <c r="B1273" s="390" t="s">
        <v>2885</v>
      </c>
      <c r="C1273" s="390"/>
      <c r="D1273" s="391" t="s">
        <v>5439</v>
      </c>
      <c r="E1273" s="704" t="s">
        <v>5440</v>
      </c>
      <c r="F1273" s="393" t="s">
        <v>1340</v>
      </c>
      <c r="G1273" s="393" t="s">
        <v>1677</v>
      </c>
      <c r="H1273" s="393" t="s">
        <v>718</v>
      </c>
      <c r="I1273" s="392"/>
      <c r="J1273" s="392"/>
      <c r="K1273" s="392" t="s">
        <v>1770</v>
      </c>
      <c r="L1273" s="392" t="s">
        <v>1767</v>
      </c>
      <c r="M1273" s="392"/>
      <c r="N1273" s="393" t="s">
        <v>44</v>
      </c>
      <c r="O1273" s="393" t="s">
        <v>827</v>
      </c>
      <c r="P1273" s="393" t="s">
        <v>827</v>
      </c>
      <c r="Q1273" s="392" t="s">
        <v>836</v>
      </c>
      <c r="R1273" s="392" t="s">
        <v>3546</v>
      </c>
      <c r="S1273" s="392" t="s">
        <v>650</v>
      </c>
      <c r="T1273" s="394">
        <v>1</v>
      </c>
      <c r="U1273" s="395">
        <v>191.13399999999999</v>
      </c>
      <c r="V1273" s="395"/>
      <c r="W1273" s="453"/>
      <c r="X1273" s="394"/>
      <c r="Y1273" s="394">
        <v>7</v>
      </c>
      <c r="Z1273" s="394">
        <v>25</v>
      </c>
      <c r="AA1273" s="395">
        <v>28.5</v>
      </c>
      <c r="AB1273" s="452">
        <v>41791</v>
      </c>
      <c r="AC1273" s="398">
        <v>0</v>
      </c>
      <c r="AD1273" s="398">
        <v>1259.3897808219176</v>
      </c>
      <c r="AE1273" s="393" t="s">
        <v>133</v>
      </c>
      <c r="AF1273" s="417"/>
      <c r="AG1273" s="417"/>
      <c r="AH1273" s="417"/>
      <c r="AI1273" s="394"/>
      <c r="AJ1273" s="453"/>
      <c r="AK1273" s="453"/>
      <c r="AL1273" s="393"/>
      <c r="AM1273" s="393"/>
      <c r="AN1273" s="417"/>
      <c r="AO1273" s="392"/>
      <c r="AP1273" s="392" t="s">
        <v>55</v>
      </c>
      <c r="AQ1273" s="392"/>
      <c r="AR1273" s="392" t="s">
        <v>1769</v>
      </c>
      <c r="AS1273" s="479">
        <v>41024</v>
      </c>
      <c r="AT1273" s="453"/>
      <c r="AU1273" s="453"/>
      <c r="AV1273" s="453"/>
      <c r="AW1273" s="453"/>
      <c r="AX1273" s="453"/>
      <c r="AY1273" s="453"/>
      <c r="AZ1273" s="452">
        <v>41274</v>
      </c>
      <c r="BA1273" s="393"/>
      <c r="BB1273" s="393"/>
      <c r="BC1273" s="393" t="b">
        <v>0</v>
      </c>
      <c r="BD1273" s="393"/>
      <c r="BE1273" s="392"/>
      <c r="BF1273" s="394">
        <v>10</v>
      </c>
      <c r="BG1273" s="394">
        <v>7</v>
      </c>
      <c r="BH1273" s="394"/>
      <c r="BI1273" s="394"/>
      <c r="BJ1273" s="394"/>
      <c r="BK1273" s="394"/>
      <c r="BL1273" s="444" t="s">
        <v>1451</v>
      </c>
      <c r="BM1273" s="392" t="s">
        <v>3520</v>
      </c>
      <c r="BN1273" s="393" t="s">
        <v>117</v>
      </c>
      <c r="BO1273" s="393" t="s">
        <v>3547</v>
      </c>
      <c r="BP1273" s="399" t="s">
        <v>3288</v>
      </c>
      <c r="BQ1273" s="400"/>
      <c r="BR1273" s="401"/>
      <c r="BS1273" s="399">
        <v>110</v>
      </c>
      <c r="BT1273" s="394">
        <v>297042</v>
      </c>
      <c r="BU1273" s="417">
        <v>0.78649999999999998</v>
      </c>
      <c r="BV1273" s="399"/>
      <c r="BW1273" s="393" t="s">
        <v>3117</v>
      </c>
      <c r="BX1273" s="392"/>
      <c r="BY1273" s="393"/>
      <c r="BZ1273" s="393"/>
      <c r="CA1273" s="441" t="s">
        <v>1662</v>
      </c>
      <c r="CB1273" s="400"/>
      <c r="CC1273" s="398"/>
      <c r="CD1273" s="398"/>
      <c r="CE1273" s="398"/>
      <c r="CF1273" s="398"/>
      <c r="CG1273" s="398"/>
      <c r="CH1273" s="398"/>
      <c r="CI1273" s="398"/>
      <c r="CJ1273" s="398">
        <v>21.236999999999998</v>
      </c>
      <c r="CK1273" s="398">
        <v>84.947999999999993</v>
      </c>
      <c r="CL1273" s="398">
        <v>180.51499999999999</v>
      </c>
      <c r="CM1273" s="398">
        <v>233.608</v>
      </c>
      <c r="CN1273" s="398">
        <v>233.608</v>
      </c>
      <c r="CO1273" s="398">
        <v>233.608</v>
      </c>
      <c r="CP1273" s="398">
        <v>233.608</v>
      </c>
      <c r="CQ1273" s="398">
        <v>116.804</v>
      </c>
      <c r="CR1273" s="398"/>
      <c r="CS1273" s="398"/>
      <c r="CT1273" s="398"/>
      <c r="CU1273" s="398"/>
      <c r="CV1273" s="398"/>
      <c r="CW1273" s="398"/>
      <c r="CX1273" s="398"/>
      <c r="CY1273" s="398"/>
      <c r="CZ1273" s="398"/>
      <c r="DA1273" s="398"/>
      <c r="DB1273" s="398"/>
      <c r="DC1273" s="398"/>
      <c r="DD1273" s="398"/>
      <c r="DE1273" s="393"/>
      <c r="DF1273" s="393"/>
      <c r="DG1273" s="393"/>
      <c r="DH1273" s="393"/>
      <c r="DI1273" s="393"/>
      <c r="DJ1273" s="393"/>
      <c r="DK1273" s="897"/>
    </row>
    <row r="1274" spans="1:115" ht="25.5" x14ac:dyDescent="0.2">
      <c r="A1274" s="295">
        <v>1270</v>
      </c>
      <c r="B1274" s="390" t="s">
        <v>1757</v>
      </c>
      <c r="C1274" s="424" t="s">
        <v>7714</v>
      </c>
      <c r="D1274" s="391" t="s">
        <v>5191</v>
      </c>
      <c r="E1274" s="707" t="s">
        <v>1771</v>
      </c>
      <c r="F1274" s="404" t="s">
        <v>1340</v>
      </c>
      <c r="G1274" s="404" t="s">
        <v>1677</v>
      </c>
      <c r="H1274" s="404" t="s">
        <v>718</v>
      </c>
      <c r="I1274" s="403"/>
      <c r="J1274" s="403" t="s">
        <v>718</v>
      </c>
      <c r="K1274" s="403"/>
      <c r="L1274" s="403" t="s">
        <v>1772</v>
      </c>
      <c r="M1274" s="403" t="s">
        <v>3548</v>
      </c>
      <c r="N1274" s="459" t="s">
        <v>4659</v>
      </c>
      <c r="O1274" s="404" t="s">
        <v>45</v>
      </c>
      <c r="P1274" s="404" t="s">
        <v>45</v>
      </c>
      <c r="Q1274" s="403" t="s">
        <v>1210</v>
      </c>
      <c r="R1274" s="403"/>
      <c r="S1274" s="403" t="s">
        <v>1773</v>
      </c>
      <c r="T1274" s="405">
        <v>1</v>
      </c>
      <c r="U1274" s="406">
        <v>36.226999999999997</v>
      </c>
      <c r="V1274" s="406"/>
      <c r="W1274" s="456">
        <v>41330</v>
      </c>
      <c r="X1274" s="405">
        <v>28</v>
      </c>
      <c r="Y1274" s="405"/>
      <c r="Z1274" s="405"/>
      <c r="AA1274" s="406"/>
      <c r="AB1274" s="455"/>
      <c r="AC1274" s="407">
        <v>0</v>
      </c>
      <c r="AD1274" s="407">
        <v>284.45638904109586</v>
      </c>
      <c r="AE1274" s="404" t="s">
        <v>133</v>
      </c>
      <c r="AF1274" s="418"/>
      <c r="AG1274" s="418"/>
      <c r="AH1274" s="418">
        <v>0</v>
      </c>
      <c r="AI1274" s="405"/>
      <c r="AJ1274" s="455"/>
      <c r="AK1274" s="455"/>
      <c r="AL1274" s="404"/>
      <c r="AM1274" s="404"/>
      <c r="AN1274" s="418"/>
      <c r="AO1274" s="403"/>
      <c r="AP1274" s="403" t="s">
        <v>55</v>
      </c>
      <c r="AQ1274" s="403"/>
      <c r="AR1274" s="403" t="s">
        <v>1774</v>
      </c>
      <c r="AS1274" s="482">
        <v>41024</v>
      </c>
      <c r="AT1274" s="455"/>
      <c r="AU1274" s="455"/>
      <c r="AV1274" s="456">
        <v>41200</v>
      </c>
      <c r="AW1274" s="456">
        <v>41270</v>
      </c>
      <c r="AX1274" s="455"/>
      <c r="AY1274" s="455"/>
      <c r="AZ1274" s="455"/>
      <c r="BA1274" s="459" t="s">
        <v>4659</v>
      </c>
      <c r="BB1274" s="404" t="s">
        <v>3147</v>
      </c>
      <c r="BC1274" s="404" t="b">
        <v>1</v>
      </c>
      <c r="BD1274" s="404" t="s">
        <v>3310</v>
      </c>
      <c r="BE1274" s="403"/>
      <c r="BF1274" s="405">
        <v>5</v>
      </c>
      <c r="BG1274" s="405">
        <v>8</v>
      </c>
      <c r="BH1274" s="405">
        <v>9</v>
      </c>
      <c r="BI1274" s="405"/>
      <c r="BJ1274" s="405"/>
      <c r="BK1274" s="405"/>
      <c r="BL1274" s="446"/>
      <c r="BM1274" s="403"/>
      <c r="BN1274" s="404"/>
      <c r="BO1274" s="404"/>
      <c r="BP1274" s="408"/>
      <c r="BQ1274" s="409"/>
      <c r="BR1274" s="410"/>
      <c r="BS1274" s="408">
        <v>1</v>
      </c>
      <c r="BT1274" s="405"/>
      <c r="BU1274" s="418"/>
      <c r="BV1274" s="408"/>
      <c r="BW1274" s="404"/>
      <c r="BX1274" s="403"/>
      <c r="BY1274" s="404"/>
      <c r="BZ1274" s="404"/>
      <c r="CA1274" s="443"/>
      <c r="CB1274" s="409"/>
      <c r="CC1274" s="407"/>
      <c r="CD1274" s="407"/>
      <c r="CE1274" s="407"/>
      <c r="CF1274" s="407"/>
      <c r="CG1274" s="407"/>
      <c r="CH1274" s="407"/>
      <c r="CI1274" s="407"/>
      <c r="CJ1274" s="407"/>
      <c r="CK1274" s="407"/>
      <c r="CL1274" s="407"/>
      <c r="CM1274" s="407"/>
      <c r="CN1274" s="407"/>
      <c r="CO1274" s="407"/>
      <c r="CP1274" s="407"/>
      <c r="CQ1274" s="407"/>
      <c r="CR1274" s="407"/>
      <c r="CS1274" s="407"/>
      <c r="CT1274" s="407"/>
      <c r="CU1274" s="407"/>
      <c r="CV1274" s="407"/>
      <c r="CW1274" s="407"/>
      <c r="CX1274" s="407"/>
      <c r="CY1274" s="407"/>
      <c r="CZ1274" s="407"/>
      <c r="DA1274" s="407"/>
      <c r="DB1274" s="407"/>
      <c r="DC1274" s="407"/>
      <c r="DD1274" s="407"/>
      <c r="DE1274" s="404"/>
      <c r="DF1274" s="404"/>
      <c r="DG1274" s="404"/>
      <c r="DH1274" s="404"/>
      <c r="DI1274" s="404"/>
      <c r="DJ1274" s="404"/>
      <c r="DK1274" s="896" t="s">
        <v>9731</v>
      </c>
    </row>
    <row r="1275" spans="1:115" ht="25.5" x14ac:dyDescent="0.2">
      <c r="A1275" s="295">
        <v>1271</v>
      </c>
      <c r="B1275" s="390" t="s">
        <v>2886</v>
      </c>
      <c r="C1275" s="390"/>
      <c r="D1275" s="391" t="s">
        <v>4964</v>
      </c>
      <c r="E1275" s="707" t="s">
        <v>1778</v>
      </c>
      <c r="F1275" s="404" t="s">
        <v>1340</v>
      </c>
      <c r="G1275" s="404" t="s">
        <v>1677</v>
      </c>
      <c r="H1275" s="404" t="s">
        <v>718</v>
      </c>
      <c r="I1275" s="403"/>
      <c r="J1275" s="403"/>
      <c r="K1275" s="403" t="s">
        <v>1779</v>
      </c>
      <c r="L1275" s="403" t="s">
        <v>1772</v>
      </c>
      <c r="M1275" s="403"/>
      <c r="N1275" s="459" t="s">
        <v>4659</v>
      </c>
      <c r="O1275" s="404" t="s">
        <v>45</v>
      </c>
      <c r="P1275" s="404" t="s">
        <v>45</v>
      </c>
      <c r="Q1275" s="403" t="s">
        <v>303</v>
      </c>
      <c r="R1275" s="403" t="s">
        <v>3549</v>
      </c>
      <c r="S1275" s="403" t="s">
        <v>1773</v>
      </c>
      <c r="T1275" s="405">
        <v>1</v>
      </c>
      <c r="U1275" s="406">
        <v>36.226999999999997</v>
      </c>
      <c r="V1275" s="406"/>
      <c r="W1275" s="455"/>
      <c r="X1275" s="405"/>
      <c r="Y1275" s="405">
        <v>7</v>
      </c>
      <c r="Z1275" s="405">
        <v>10</v>
      </c>
      <c r="AA1275" s="406">
        <v>0</v>
      </c>
      <c r="AB1275" s="456">
        <v>41330</v>
      </c>
      <c r="AC1275" s="407">
        <v>0</v>
      </c>
      <c r="AD1275" s="407">
        <v>284.45638904109586</v>
      </c>
      <c r="AE1275" s="404" t="s">
        <v>133</v>
      </c>
      <c r="AF1275" s="418"/>
      <c r="AG1275" s="418"/>
      <c r="AH1275" s="418"/>
      <c r="AI1275" s="405"/>
      <c r="AJ1275" s="455"/>
      <c r="AK1275" s="455"/>
      <c r="AL1275" s="404"/>
      <c r="AM1275" s="404"/>
      <c r="AN1275" s="418"/>
      <c r="AO1275" s="403"/>
      <c r="AP1275" s="403" t="s">
        <v>55</v>
      </c>
      <c r="AQ1275" s="403"/>
      <c r="AR1275" s="403" t="s">
        <v>1774</v>
      </c>
      <c r="AS1275" s="482">
        <v>41024</v>
      </c>
      <c r="AT1275" s="455"/>
      <c r="AU1275" s="455"/>
      <c r="AV1275" s="455"/>
      <c r="AW1275" s="455"/>
      <c r="AX1275" s="455"/>
      <c r="AY1275" s="455"/>
      <c r="AZ1275" s="455"/>
      <c r="BA1275" s="459" t="s">
        <v>4659</v>
      </c>
      <c r="BB1275" s="404"/>
      <c r="BC1275" s="404" t="b">
        <v>0</v>
      </c>
      <c r="BD1275" s="404"/>
      <c r="BE1275" s="403"/>
      <c r="BF1275" s="405">
        <v>5</v>
      </c>
      <c r="BG1275" s="405">
        <v>8</v>
      </c>
      <c r="BH1275" s="405">
        <v>9</v>
      </c>
      <c r="BI1275" s="405"/>
      <c r="BJ1275" s="405"/>
      <c r="BK1275" s="405"/>
      <c r="BL1275" s="446" t="s">
        <v>1451</v>
      </c>
      <c r="BM1275" s="403" t="s">
        <v>3550</v>
      </c>
      <c r="BN1275" s="404" t="s">
        <v>3303</v>
      </c>
      <c r="BO1275" s="404" t="s">
        <v>3551</v>
      </c>
      <c r="BP1275" s="408" t="s">
        <v>3303</v>
      </c>
      <c r="BQ1275" s="409"/>
      <c r="BR1275" s="410"/>
      <c r="BS1275" s="408">
        <v>1</v>
      </c>
      <c r="BT1275" s="405">
        <v>7140</v>
      </c>
      <c r="BU1275" s="418">
        <v>0.48139999999999999</v>
      </c>
      <c r="BV1275" s="408"/>
      <c r="BW1275" s="404" t="s">
        <v>3117</v>
      </c>
      <c r="BX1275" s="403" t="s">
        <v>3172</v>
      </c>
      <c r="BY1275" s="404"/>
      <c r="BZ1275" s="404"/>
      <c r="CA1275" s="443"/>
      <c r="CB1275" s="409"/>
      <c r="CC1275" s="407"/>
      <c r="CD1275" s="407"/>
      <c r="CE1275" s="407"/>
      <c r="CF1275" s="407"/>
      <c r="CG1275" s="407"/>
      <c r="CH1275" s="407"/>
      <c r="CI1275" s="407">
        <v>91</v>
      </c>
      <c r="CJ1275" s="407">
        <v>91</v>
      </c>
      <c r="CK1275" s="407">
        <v>91</v>
      </c>
      <c r="CL1275" s="407">
        <v>91</v>
      </c>
      <c r="CM1275" s="407">
        <v>91</v>
      </c>
      <c r="CN1275" s="407">
        <v>91</v>
      </c>
      <c r="CO1275" s="407">
        <v>91</v>
      </c>
      <c r="CP1275" s="407">
        <v>91</v>
      </c>
      <c r="CQ1275" s="407">
        <v>91</v>
      </c>
      <c r="CR1275" s="407">
        <v>91</v>
      </c>
      <c r="CS1275" s="407"/>
      <c r="CT1275" s="407"/>
      <c r="CU1275" s="407"/>
      <c r="CV1275" s="407"/>
      <c r="CW1275" s="407"/>
      <c r="CX1275" s="407"/>
      <c r="CY1275" s="407"/>
      <c r="CZ1275" s="407"/>
      <c r="DA1275" s="407"/>
      <c r="DB1275" s="407"/>
      <c r="DC1275" s="407"/>
      <c r="DD1275" s="407"/>
      <c r="DE1275" s="404"/>
      <c r="DF1275" s="404"/>
      <c r="DG1275" s="404"/>
      <c r="DH1275" s="404"/>
      <c r="DI1275" s="404"/>
      <c r="DJ1275" s="404"/>
      <c r="DK1275" s="897"/>
    </row>
    <row r="1276" spans="1:115" ht="38.25" x14ac:dyDescent="0.2">
      <c r="A1276" s="295">
        <v>1272</v>
      </c>
      <c r="B1276" s="390" t="s">
        <v>1775</v>
      </c>
      <c r="C1276" s="424" t="s">
        <v>7715</v>
      </c>
      <c r="D1276" s="391"/>
      <c r="E1276" s="707" t="s">
        <v>1816</v>
      </c>
      <c r="F1276" s="404" t="s">
        <v>1340</v>
      </c>
      <c r="G1276" s="404" t="s">
        <v>1677</v>
      </c>
      <c r="H1276" s="404" t="s">
        <v>718</v>
      </c>
      <c r="I1276" s="403"/>
      <c r="J1276" s="403" t="s">
        <v>718</v>
      </c>
      <c r="K1276" s="403"/>
      <c r="L1276" s="403" t="s">
        <v>3806</v>
      </c>
      <c r="M1276" s="403" t="s">
        <v>3552</v>
      </c>
      <c r="N1276" s="459" t="s">
        <v>3142</v>
      </c>
      <c r="O1276" s="404" t="s">
        <v>80</v>
      </c>
      <c r="P1276" s="404" t="s">
        <v>80</v>
      </c>
      <c r="Q1276" s="403" t="s">
        <v>380</v>
      </c>
      <c r="R1276" s="403"/>
      <c r="S1276" s="403" t="s">
        <v>1817</v>
      </c>
      <c r="T1276" s="405">
        <v>1</v>
      </c>
      <c r="U1276" s="406">
        <v>5.0999999999999997E-2</v>
      </c>
      <c r="V1276" s="406"/>
      <c r="W1276" s="456">
        <v>41244</v>
      </c>
      <c r="X1276" s="405">
        <v>28</v>
      </c>
      <c r="Y1276" s="405"/>
      <c r="Z1276" s="405"/>
      <c r="AA1276" s="406"/>
      <c r="AB1276" s="455"/>
      <c r="AC1276" s="407">
        <v>0</v>
      </c>
      <c r="AD1276" s="407">
        <v>0.51</v>
      </c>
      <c r="AE1276" s="404" t="s">
        <v>133</v>
      </c>
      <c r="AF1276" s="418"/>
      <c r="AG1276" s="418"/>
      <c r="AH1276" s="418">
        <v>0</v>
      </c>
      <c r="AI1276" s="405"/>
      <c r="AJ1276" s="455"/>
      <c r="AK1276" s="455"/>
      <c r="AL1276" s="404"/>
      <c r="AM1276" s="404"/>
      <c r="AN1276" s="418"/>
      <c r="AO1276" s="403"/>
      <c r="AP1276" s="403" t="s">
        <v>55</v>
      </c>
      <c r="AQ1276" s="403"/>
      <c r="AR1276" s="403" t="s">
        <v>3806</v>
      </c>
      <c r="AS1276" s="482">
        <v>41025</v>
      </c>
      <c r="AT1276" s="455"/>
      <c r="AU1276" s="455"/>
      <c r="AV1276" s="455"/>
      <c r="AW1276" s="455"/>
      <c r="AX1276" s="455"/>
      <c r="AY1276" s="455"/>
      <c r="AZ1276" s="455"/>
      <c r="BA1276" s="404"/>
      <c r="BB1276" s="404" t="s">
        <v>3147</v>
      </c>
      <c r="BC1276" s="404" t="b">
        <v>0</v>
      </c>
      <c r="BD1276" s="404" t="s">
        <v>3147</v>
      </c>
      <c r="BE1276" s="403"/>
      <c r="BF1276" s="405">
        <v>1</v>
      </c>
      <c r="BG1276" s="405">
        <v>5</v>
      </c>
      <c r="BH1276" s="405">
        <v>9</v>
      </c>
      <c r="BI1276" s="405"/>
      <c r="BJ1276" s="405"/>
      <c r="BK1276" s="405"/>
      <c r="BL1276" s="446"/>
      <c r="BM1276" s="403"/>
      <c r="BN1276" s="404"/>
      <c r="BO1276" s="404"/>
      <c r="BP1276" s="408"/>
      <c r="BQ1276" s="409"/>
      <c r="BR1276" s="410"/>
      <c r="BS1276" s="408">
        <v>0</v>
      </c>
      <c r="BT1276" s="405"/>
      <c r="BU1276" s="418"/>
      <c r="BV1276" s="408"/>
      <c r="BW1276" s="404"/>
      <c r="BX1276" s="403"/>
      <c r="BY1276" s="404"/>
      <c r="BZ1276" s="404"/>
      <c r="CA1276" s="443"/>
      <c r="CB1276" s="409"/>
      <c r="CC1276" s="407"/>
      <c r="CD1276" s="407"/>
      <c r="CE1276" s="407"/>
      <c r="CF1276" s="407"/>
      <c r="CG1276" s="407"/>
      <c r="CH1276" s="407"/>
      <c r="CI1276" s="407"/>
      <c r="CJ1276" s="407"/>
      <c r="CK1276" s="407"/>
      <c r="CL1276" s="407"/>
      <c r="CM1276" s="407"/>
      <c r="CN1276" s="407"/>
      <c r="CO1276" s="407"/>
      <c r="CP1276" s="407"/>
      <c r="CQ1276" s="407"/>
      <c r="CR1276" s="407"/>
      <c r="CS1276" s="407"/>
      <c r="CT1276" s="407"/>
      <c r="CU1276" s="407"/>
      <c r="CV1276" s="407"/>
      <c r="CW1276" s="407"/>
      <c r="CX1276" s="407"/>
      <c r="CY1276" s="407"/>
      <c r="CZ1276" s="407"/>
      <c r="DA1276" s="407"/>
      <c r="DB1276" s="407"/>
      <c r="DC1276" s="407"/>
      <c r="DD1276" s="407"/>
      <c r="DE1276" s="404"/>
      <c r="DF1276" s="404"/>
      <c r="DG1276" s="404"/>
      <c r="DH1276" s="404"/>
      <c r="DI1276" s="404"/>
      <c r="DJ1276" s="404"/>
      <c r="DK1276" s="897"/>
    </row>
    <row r="1277" spans="1:115" ht="38.25" x14ac:dyDescent="0.2">
      <c r="A1277" s="295">
        <v>1273</v>
      </c>
      <c r="B1277" s="390" t="s">
        <v>2887</v>
      </c>
      <c r="C1277" s="390"/>
      <c r="D1277" s="391"/>
      <c r="E1277" s="707" t="s">
        <v>1818</v>
      </c>
      <c r="F1277" s="404" t="s">
        <v>1340</v>
      </c>
      <c r="G1277" s="404" t="s">
        <v>1677</v>
      </c>
      <c r="H1277" s="404" t="s">
        <v>718</v>
      </c>
      <c r="I1277" s="403"/>
      <c r="J1277" s="403"/>
      <c r="K1277" s="403" t="s">
        <v>1819</v>
      </c>
      <c r="L1277" s="403" t="s">
        <v>3806</v>
      </c>
      <c r="M1277" s="403"/>
      <c r="N1277" s="459" t="s">
        <v>3142</v>
      </c>
      <c r="O1277" s="404" t="s">
        <v>80</v>
      </c>
      <c r="P1277" s="404" t="s">
        <v>80</v>
      </c>
      <c r="Q1277" s="403" t="s">
        <v>380</v>
      </c>
      <c r="R1277" s="403" t="s">
        <v>3553</v>
      </c>
      <c r="S1277" s="403" t="s">
        <v>1817</v>
      </c>
      <c r="T1277" s="405">
        <v>1</v>
      </c>
      <c r="U1277" s="406">
        <v>5.0999999999999997E-2</v>
      </c>
      <c r="V1277" s="406"/>
      <c r="W1277" s="455"/>
      <c r="X1277" s="405"/>
      <c r="Y1277" s="405">
        <v>10</v>
      </c>
      <c r="Z1277" s="405">
        <v>25</v>
      </c>
      <c r="AA1277" s="406"/>
      <c r="AB1277" s="456">
        <v>41275</v>
      </c>
      <c r="AC1277" s="407">
        <v>0</v>
      </c>
      <c r="AD1277" s="407">
        <v>0.51</v>
      </c>
      <c r="AE1277" s="404" t="s">
        <v>133</v>
      </c>
      <c r="AF1277" s="418"/>
      <c r="AG1277" s="418"/>
      <c r="AH1277" s="418"/>
      <c r="AI1277" s="405"/>
      <c r="AJ1277" s="455"/>
      <c r="AK1277" s="455"/>
      <c r="AL1277" s="404"/>
      <c r="AM1277" s="404"/>
      <c r="AN1277" s="418"/>
      <c r="AO1277" s="403"/>
      <c r="AP1277" s="403" t="s">
        <v>55</v>
      </c>
      <c r="AQ1277" s="403"/>
      <c r="AR1277" s="403" t="s">
        <v>3806</v>
      </c>
      <c r="AS1277" s="482">
        <v>41025</v>
      </c>
      <c r="AT1277" s="455"/>
      <c r="AU1277" s="455"/>
      <c r="AV1277" s="455"/>
      <c r="AW1277" s="455"/>
      <c r="AX1277" s="455"/>
      <c r="AY1277" s="455"/>
      <c r="AZ1277" s="455"/>
      <c r="BA1277" s="404"/>
      <c r="BB1277" s="404"/>
      <c r="BC1277" s="404" t="b">
        <v>0</v>
      </c>
      <c r="BD1277" s="404"/>
      <c r="BE1277" s="403"/>
      <c r="BF1277" s="405">
        <v>1</v>
      </c>
      <c r="BG1277" s="405">
        <v>5</v>
      </c>
      <c r="BH1277" s="405">
        <v>9</v>
      </c>
      <c r="BI1277" s="405"/>
      <c r="BJ1277" s="405"/>
      <c r="BK1277" s="405"/>
      <c r="BL1277" s="446" t="s">
        <v>6982</v>
      </c>
      <c r="BM1277" s="403"/>
      <c r="BN1277" s="404"/>
      <c r="BO1277" s="404"/>
      <c r="BP1277" s="408"/>
      <c r="BQ1277" s="409"/>
      <c r="BR1277" s="410"/>
      <c r="BS1277" s="408"/>
      <c r="BT1277" s="405"/>
      <c r="BU1277" s="418"/>
      <c r="BV1277" s="408"/>
      <c r="BW1277" s="404" t="s">
        <v>3117</v>
      </c>
      <c r="BX1277" s="403" t="s">
        <v>3185</v>
      </c>
      <c r="BY1277" s="404"/>
      <c r="BZ1277" s="404"/>
      <c r="CA1277" s="443"/>
      <c r="CB1277" s="409"/>
      <c r="CC1277" s="407"/>
      <c r="CD1277" s="407"/>
      <c r="CE1277" s="407"/>
      <c r="CF1277" s="407"/>
      <c r="CG1277" s="407"/>
      <c r="CH1277" s="407"/>
      <c r="CI1277" s="407">
        <v>0</v>
      </c>
      <c r="CJ1277" s="407">
        <v>0</v>
      </c>
      <c r="CK1277" s="407">
        <v>0</v>
      </c>
      <c r="CL1277" s="407">
        <v>0</v>
      </c>
      <c r="CM1277" s="407">
        <v>0</v>
      </c>
      <c r="CN1277" s="407">
        <v>0</v>
      </c>
      <c r="CO1277" s="407">
        <v>0</v>
      </c>
      <c r="CP1277" s="407">
        <v>0</v>
      </c>
      <c r="CQ1277" s="407">
        <v>0</v>
      </c>
      <c r="CR1277" s="407">
        <v>0</v>
      </c>
      <c r="CS1277" s="407"/>
      <c r="CT1277" s="407"/>
      <c r="CU1277" s="407"/>
      <c r="CV1277" s="407"/>
      <c r="CW1277" s="407"/>
      <c r="CX1277" s="407"/>
      <c r="CY1277" s="407"/>
      <c r="CZ1277" s="407"/>
      <c r="DA1277" s="407"/>
      <c r="DB1277" s="407"/>
      <c r="DC1277" s="407"/>
      <c r="DD1277" s="407"/>
      <c r="DE1277" s="404"/>
      <c r="DF1277" s="404"/>
      <c r="DG1277" s="404"/>
      <c r="DH1277" s="404"/>
      <c r="DI1277" s="404"/>
      <c r="DJ1277" s="404"/>
      <c r="DK1277" s="897"/>
    </row>
    <row r="1278" spans="1:115" ht="25.5" x14ac:dyDescent="0.2">
      <c r="A1278" s="295">
        <v>1274</v>
      </c>
      <c r="B1278" s="390" t="s">
        <v>1776</v>
      </c>
      <c r="C1278" s="424" t="s">
        <v>7716</v>
      </c>
      <c r="D1278" s="391"/>
      <c r="E1278" s="707" t="s">
        <v>1820</v>
      </c>
      <c r="F1278" s="404" t="s">
        <v>1375</v>
      </c>
      <c r="G1278" s="404" t="s">
        <v>1361</v>
      </c>
      <c r="H1278" s="404" t="s">
        <v>137</v>
      </c>
      <c r="I1278" s="403"/>
      <c r="J1278" s="403" t="s">
        <v>137</v>
      </c>
      <c r="K1278" s="403"/>
      <c r="L1278" s="403" t="s">
        <v>1821</v>
      </c>
      <c r="M1278" s="403" t="s">
        <v>3554</v>
      </c>
      <c r="N1278" s="404" t="s">
        <v>3142</v>
      </c>
      <c r="O1278" s="404" t="s">
        <v>119</v>
      </c>
      <c r="P1278" s="404" t="s">
        <v>119</v>
      </c>
      <c r="Q1278" s="403" t="s">
        <v>127</v>
      </c>
      <c r="R1278" s="403"/>
      <c r="S1278" s="403" t="s">
        <v>121</v>
      </c>
      <c r="T1278" s="405">
        <v>1</v>
      </c>
      <c r="U1278" s="406">
        <v>180.154</v>
      </c>
      <c r="V1278" s="406"/>
      <c r="W1278" s="456">
        <v>41274</v>
      </c>
      <c r="X1278" s="405">
        <v>28</v>
      </c>
      <c r="Y1278" s="405"/>
      <c r="Z1278" s="405"/>
      <c r="AA1278" s="406"/>
      <c r="AB1278" s="455"/>
      <c r="AC1278" s="407">
        <v>0</v>
      </c>
      <c r="AD1278" s="407">
        <v>1441.7255726027397</v>
      </c>
      <c r="AE1278" s="404" t="s">
        <v>133</v>
      </c>
      <c r="AF1278" s="418"/>
      <c r="AG1278" s="418"/>
      <c r="AH1278" s="418">
        <v>0</v>
      </c>
      <c r="AI1278" s="405"/>
      <c r="AJ1278" s="455"/>
      <c r="AK1278" s="455"/>
      <c r="AL1278" s="404"/>
      <c r="AM1278" s="404"/>
      <c r="AN1278" s="418"/>
      <c r="AO1278" s="403"/>
      <c r="AP1278" s="403" t="s">
        <v>7107</v>
      </c>
      <c r="AQ1278" s="403"/>
      <c r="AR1278" s="403" t="s">
        <v>1821</v>
      </c>
      <c r="AS1278" s="482">
        <v>41025</v>
      </c>
      <c r="AT1278" s="455"/>
      <c r="AU1278" s="455"/>
      <c r="AV1278" s="455"/>
      <c r="AW1278" s="455"/>
      <c r="AX1278" s="455"/>
      <c r="AY1278" s="455"/>
      <c r="AZ1278" s="455"/>
      <c r="BA1278" s="404"/>
      <c r="BB1278" s="404" t="s">
        <v>3147</v>
      </c>
      <c r="BC1278" s="404" t="b">
        <v>1</v>
      </c>
      <c r="BD1278" s="404" t="s">
        <v>3147</v>
      </c>
      <c r="BE1278" s="403"/>
      <c r="BF1278" s="405">
        <v>1</v>
      </c>
      <c r="BG1278" s="405">
        <v>3</v>
      </c>
      <c r="BH1278" s="405">
        <v>5</v>
      </c>
      <c r="BI1278" s="405"/>
      <c r="BJ1278" s="405"/>
      <c r="BK1278" s="405"/>
      <c r="BL1278" s="446"/>
      <c r="BM1278" s="403"/>
      <c r="BN1278" s="404"/>
      <c r="BO1278" s="404"/>
      <c r="BP1278" s="408"/>
      <c r="BQ1278" s="409"/>
      <c r="BR1278" s="410"/>
      <c r="BS1278" s="408">
        <v>0</v>
      </c>
      <c r="BT1278" s="405"/>
      <c r="BU1278" s="418"/>
      <c r="BV1278" s="408"/>
      <c r="BW1278" s="404"/>
      <c r="BX1278" s="403"/>
      <c r="BY1278" s="404"/>
      <c r="BZ1278" s="404"/>
      <c r="CA1278" s="443"/>
      <c r="CB1278" s="409"/>
      <c r="CC1278" s="407"/>
      <c r="CD1278" s="407"/>
      <c r="CE1278" s="407"/>
      <c r="CF1278" s="407"/>
      <c r="CG1278" s="407"/>
      <c r="CH1278" s="407"/>
      <c r="CI1278" s="407"/>
      <c r="CJ1278" s="407"/>
      <c r="CK1278" s="407"/>
      <c r="CL1278" s="407"/>
      <c r="CM1278" s="407"/>
      <c r="CN1278" s="407"/>
      <c r="CO1278" s="407"/>
      <c r="CP1278" s="407"/>
      <c r="CQ1278" s="407"/>
      <c r="CR1278" s="407"/>
      <c r="CS1278" s="407"/>
      <c r="CT1278" s="407"/>
      <c r="CU1278" s="407"/>
      <c r="CV1278" s="407"/>
      <c r="CW1278" s="407"/>
      <c r="CX1278" s="407"/>
      <c r="CY1278" s="407"/>
      <c r="CZ1278" s="407"/>
      <c r="DA1278" s="407"/>
      <c r="DB1278" s="407"/>
      <c r="DC1278" s="407"/>
      <c r="DD1278" s="407"/>
      <c r="DE1278" s="404"/>
      <c r="DF1278" s="404"/>
      <c r="DG1278" s="404"/>
      <c r="DH1278" s="404"/>
      <c r="DI1278" s="404"/>
      <c r="DJ1278" s="404"/>
      <c r="DK1278" s="897"/>
    </row>
    <row r="1279" spans="1:115" ht="25.5" x14ac:dyDescent="0.2">
      <c r="A1279" s="295">
        <v>1275</v>
      </c>
      <c r="B1279" s="390" t="s">
        <v>2888</v>
      </c>
      <c r="C1279" s="390"/>
      <c r="D1279" s="391"/>
      <c r="E1279" s="707" t="s">
        <v>1822</v>
      </c>
      <c r="F1279" s="404" t="s">
        <v>1375</v>
      </c>
      <c r="G1279" s="404" t="s">
        <v>1361</v>
      </c>
      <c r="H1279" s="404" t="s">
        <v>137</v>
      </c>
      <c r="I1279" s="403"/>
      <c r="J1279" s="403"/>
      <c r="K1279" s="403" t="s">
        <v>1823</v>
      </c>
      <c r="L1279" s="403" t="s">
        <v>1821</v>
      </c>
      <c r="M1279" s="403"/>
      <c r="N1279" s="404" t="s">
        <v>3142</v>
      </c>
      <c r="O1279" s="404" t="s">
        <v>119</v>
      </c>
      <c r="P1279" s="404" t="s">
        <v>119</v>
      </c>
      <c r="Q1279" s="403" t="s">
        <v>127</v>
      </c>
      <c r="R1279" s="403" t="s">
        <v>3555</v>
      </c>
      <c r="S1279" s="403" t="s">
        <v>121</v>
      </c>
      <c r="T1279" s="405">
        <v>1</v>
      </c>
      <c r="U1279" s="406">
        <v>180.154</v>
      </c>
      <c r="V1279" s="406"/>
      <c r="W1279" s="455"/>
      <c r="X1279" s="405"/>
      <c r="Y1279" s="405">
        <v>7</v>
      </c>
      <c r="Z1279" s="405">
        <v>21</v>
      </c>
      <c r="AA1279" s="406"/>
      <c r="AB1279" s="456">
        <v>41275</v>
      </c>
      <c r="AC1279" s="407">
        <v>0</v>
      </c>
      <c r="AD1279" s="407">
        <v>1441.7255726027397</v>
      </c>
      <c r="AE1279" s="404" t="s">
        <v>133</v>
      </c>
      <c r="AF1279" s="418"/>
      <c r="AG1279" s="418"/>
      <c r="AH1279" s="418"/>
      <c r="AI1279" s="405"/>
      <c r="AJ1279" s="455"/>
      <c r="AK1279" s="455"/>
      <c r="AL1279" s="404"/>
      <c r="AM1279" s="404"/>
      <c r="AN1279" s="418"/>
      <c r="AO1279" s="403"/>
      <c r="AP1279" s="403" t="s">
        <v>7107</v>
      </c>
      <c r="AQ1279" s="403"/>
      <c r="AR1279" s="403" t="s">
        <v>1821</v>
      </c>
      <c r="AS1279" s="482">
        <v>41025</v>
      </c>
      <c r="AT1279" s="455"/>
      <c r="AU1279" s="455"/>
      <c r="AV1279" s="455"/>
      <c r="AW1279" s="455"/>
      <c r="AX1279" s="455"/>
      <c r="AY1279" s="455"/>
      <c r="AZ1279" s="455"/>
      <c r="BA1279" s="404"/>
      <c r="BB1279" s="404"/>
      <c r="BC1279" s="404" t="b">
        <v>0</v>
      </c>
      <c r="BD1279" s="404"/>
      <c r="BE1279" s="403"/>
      <c r="BF1279" s="405">
        <v>1</v>
      </c>
      <c r="BG1279" s="405">
        <v>3</v>
      </c>
      <c r="BH1279" s="405">
        <v>5</v>
      </c>
      <c r="BI1279" s="405"/>
      <c r="BJ1279" s="405"/>
      <c r="BK1279" s="405"/>
      <c r="BL1279" s="446" t="s">
        <v>6981</v>
      </c>
      <c r="BM1279" s="403"/>
      <c r="BN1279" s="404"/>
      <c r="BO1279" s="404"/>
      <c r="BP1279" s="408"/>
      <c r="BQ1279" s="409"/>
      <c r="BR1279" s="410"/>
      <c r="BS1279" s="408"/>
      <c r="BT1279" s="405"/>
      <c r="BU1279" s="418">
        <v>1.04</v>
      </c>
      <c r="BV1279" s="408"/>
      <c r="BW1279" s="404" t="s">
        <v>3117</v>
      </c>
      <c r="BX1279" s="403" t="s">
        <v>3202</v>
      </c>
      <c r="BY1279" s="404"/>
      <c r="BZ1279" s="404"/>
      <c r="CA1279" s="443" t="s">
        <v>1662</v>
      </c>
      <c r="CB1279" s="409"/>
      <c r="CC1279" s="407"/>
      <c r="CD1279" s="407"/>
      <c r="CE1279" s="407"/>
      <c r="CF1279" s="407"/>
      <c r="CG1279" s="407"/>
      <c r="CH1279" s="407"/>
      <c r="CI1279" s="407">
        <v>105</v>
      </c>
      <c r="CJ1279" s="407">
        <v>210</v>
      </c>
      <c r="CK1279" s="407">
        <v>210</v>
      </c>
      <c r="CL1279" s="407">
        <v>210</v>
      </c>
      <c r="CM1279" s="407">
        <v>210</v>
      </c>
      <c r="CN1279" s="407">
        <v>210</v>
      </c>
      <c r="CO1279" s="407">
        <v>210</v>
      </c>
      <c r="CP1279" s="407"/>
      <c r="CQ1279" s="407"/>
      <c r="CR1279" s="407"/>
      <c r="CS1279" s="407"/>
      <c r="CT1279" s="407"/>
      <c r="CU1279" s="407"/>
      <c r="CV1279" s="407"/>
      <c r="CW1279" s="407"/>
      <c r="CX1279" s="407"/>
      <c r="CY1279" s="407"/>
      <c r="CZ1279" s="407"/>
      <c r="DA1279" s="407"/>
      <c r="DB1279" s="407"/>
      <c r="DC1279" s="407"/>
      <c r="DD1279" s="407"/>
      <c r="DE1279" s="404"/>
      <c r="DF1279" s="404"/>
      <c r="DG1279" s="404"/>
      <c r="DH1279" s="404"/>
      <c r="DI1279" s="404"/>
      <c r="DJ1279" s="404"/>
      <c r="DK1279" s="897"/>
    </row>
    <row r="1280" spans="1:115" ht="38.25" x14ac:dyDescent="0.2">
      <c r="A1280" s="295">
        <v>1276</v>
      </c>
      <c r="B1280" s="390" t="s">
        <v>1777</v>
      </c>
      <c r="C1280" s="424" t="s">
        <v>7717</v>
      </c>
      <c r="D1280" s="391" t="s">
        <v>5441</v>
      </c>
      <c r="E1280" s="704" t="s">
        <v>1824</v>
      </c>
      <c r="F1280" s="393" t="s">
        <v>1375</v>
      </c>
      <c r="G1280" s="393" t="s">
        <v>1670</v>
      </c>
      <c r="H1280" s="393" t="s">
        <v>1048</v>
      </c>
      <c r="I1280" s="392"/>
      <c r="J1280" s="392" t="s">
        <v>1048</v>
      </c>
      <c r="K1280" s="392"/>
      <c r="L1280" s="392" t="s">
        <v>1825</v>
      </c>
      <c r="M1280" s="392" t="s">
        <v>3556</v>
      </c>
      <c r="N1280" s="393" t="s">
        <v>44</v>
      </c>
      <c r="O1280" s="393" t="s">
        <v>51</v>
      </c>
      <c r="P1280" s="393" t="s">
        <v>51</v>
      </c>
      <c r="Q1280" s="392" t="s">
        <v>1275</v>
      </c>
      <c r="R1280" s="392"/>
      <c r="S1280" s="392" t="s">
        <v>427</v>
      </c>
      <c r="T1280" s="394">
        <v>1</v>
      </c>
      <c r="U1280" s="395">
        <v>28.891999999999999</v>
      </c>
      <c r="V1280" s="395"/>
      <c r="W1280" s="452">
        <v>41334</v>
      </c>
      <c r="X1280" s="394">
        <v>28</v>
      </c>
      <c r="Y1280" s="394"/>
      <c r="Z1280" s="394"/>
      <c r="AA1280" s="395"/>
      <c r="AB1280" s="453"/>
      <c r="AC1280" s="398">
        <v>0</v>
      </c>
      <c r="AD1280" s="398">
        <v>288.92</v>
      </c>
      <c r="AE1280" s="393" t="s">
        <v>133</v>
      </c>
      <c r="AF1280" s="417"/>
      <c r="AG1280" s="417"/>
      <c r="AH1280" s="417">
        <v>0</v>
      </c>
      <c r="AI1280" s="394"/>
      <c r="AJ1280" s="453"/>
      <c r="AK1280" s="453"/>
      <c r="AL1280" s="393"/>
      <c r="AM1280" s="393"/>
      <c r="AN1280" s="417"/>
      <c r="AO1280" s="392"/>
      <c r="AP1280" s="392" t="s">
        <v>55</v>
      </c>
      <c r="AQ1280" s="392"/>
      <c r="AR1280" s="392" t="s">
        <v>1826</v>
      </c>
      <c r="AS1280" s="479">
        <v>41025</v>
      </c>
      <c r="AT1280" s="453"/>
      <c r="AU1280" s="453"/>
      <c r="AV1280" s="452">
        <v>40826</v>
      </c>
      <c r="AW1280" s="452">
        <v>41274</v>
      </c>
      <c r="AX1280" s="452">
        <v>41467</v>
      </c>
      <c r="AY1280" s="452">
        <v>41274</v>
      </c>
      <c r="AZ1280" s="453"/>
      <c r="BA1280" s="393"/>
      <c r="BB1280" s="393" t="s">
        <v>3116</v>
      </c>
      <c r="BC1280" s="393" t="b">
        <v>0</v>
      </c>
      <c r="BD1280" s="393" t="s">
        <v>3116</v>
      </c>
      <c r="BE1280" s="392" t="s">
        <v>6245</v>
      </c>
      <c r="BF1280" s="394">
        <v>6</v>
      </c>
      <c r="BG1280" s="394">
        <v>9</v>
      </c>
      <c r="BH1280" s="394"/>
      <c r="BI1280" s="394"/>
      <c r="BJ1280" s="394"/>
      <c r="BK1280" s="394"/>
      <c r="BL1280" s="444"/>
      <c r="BM1280" s="392"/>
      <c r="BN1280" s="393"/>
      <c r="BO1280" s="393"/>
      <c r="BP1280" s="399"/>
      <c r="BQ1280" s="400"/>
      <c r="BR1280" s="401"/>
      <c r="BS1280" s="399">
        <v>0</v>
      </c>
      <c r="BT1280" s="394"/>
      <c r="BU1280" s="417">
        <v>0.63</v>
      </c>
      <c r="BV1280" s="399"/>
      <c r="BW1280" s="393"/>
      <c r="BX1280" s="392"/>
      <c r="BY1280" s="393"/>
      <c r="BZ1280" s="393"/>
      <c r="CA1280" s="441"/>
      <c r="CB1280" s="400"/>
      <c r="CC1280" s="398"/>
      <c r="CD1280" s="398"/>
      <c r="CE1280" s="398"/>
      <c r="CF1280" s="398"/>
      <c r="CG1280" s="398"/>
      <c r="CH1280" s="398"/>
      <c r="CI1280" s="398"/>
      <c r="CJ1280" s="398"/>
      <c r="CK1280" s="398"/>
      <c r="CL1280" s="398"/>
      <c r="CM1280" s="398"/>
      <c r="CN1280" s="398"/>
      <c r="CO1280" s="398"/>
      <c r="CP1280" s="398"/>
      <c r="CQ1280" s="398"/>
      <c r="CR1280" s="398"/>
      <c r="CS1280" s="398"/>
      <c r="CT1280" s="398"/>
      <c r="CU1280" s="398"/>
      <c r="CV1280" s="398"/>
      <c r="CW1280" s="398"/>
      <c r="CX1280" s="398"/>
      <c r="CY1280" s="398"/>
      <c r="CZ1280" s="398"/>
      <c r="DA1280" s="398"/>
      <c r="DB1280" s="398"/>
      <c r="DC1280" s="398"/>
      <c r="DD1280" s="398"/>
      <c r="DE1280" s="393"/>
      <c r="DF1280" s="393"/>
      <c r="DG1280" s="393"/>
      <c r="DH1280" s="393"/>
      <c r="DI1280" s="393"/>
      <c r="DJ1280" s="393"/>
      <c r="DK1280" s="896" t="s">
        <v>9701</v>
      </c>
    </row>
    <row r="1281" spans="1:115" ht="25.5" x14ac:dyDescent="0.2">
      <c r="A1281" s="295">
        <v>1277</v>
      </c>
      <c r="B1281" s="390" t="s">
        <v>2889</v>
      </c>
      <c r="C1281" s="390"/>
      <c r="D1281" s="391" t="s">
        <v>5442</v>
      </c>
      <c r="E1281" s="704" t="s">
        <v>5443</v>
      </c>
      <c r="F1281" s="393" t="s">
        <v>1375</v>
      </c>
      <c r="G1281" s="393" t="s">
        <v>1670</v>
      </c>
      <c r="H1281" s="393" t="s">
        <v>1048</v>
      </c>
      <c r="I1281" s="392"/>
      <c r="J1281" s="392"/>
      <c r="K1281" s="392" t="s">
        <v>1048</v>
      </c>
      <c r="L1281" s="392" t="s">
        <v>1825</v>
      </c>
      <c r="M1281" s="392"/>
      <c r="N1281" s="393" t="s">
        <v>44</v>
      </c>
      <c r="O1281" s="393" t="s">
        <v>51</v>
      </c>
      <c r="P1281" s="393" t="s">
        <v>51</v>
      </c>
      <c r="Q1281" s="392" t="s">
        <v>426</v>
      </c>
      <c r="R1281" s="392" t="s">
        <v>1421</v>
      </c>
      <c r="S1281" s="392" t="s">
        <v>427</v>
      </c>
      <c r="T1281" s="394">
        <v>1</v>
      </c>
      <c r="U1281" s="395">
        <v>28.891999999999999</v>
      </c>
      <c r="V1281" s="395"/>
      <c r="W1281" s="453"/>
      <c r="X1281" s="394"/>
      <c r="Y1281" s="394">
        <v>10</v>
      </c>
      <c r="Z1281" s="394">
        <v>10</v>
      </c>
      <c r="AA1281" s="395"/>
      <c r="AB1281" s="452">
        <v>41334</v>
      </c>
      <c r="AC1281" s="398">
        <v>0</v>
      </c>
      <c r="AD1281" s="398">
        <v>288.92</v>
      </c>
      <c r="AE1281" s="393" t="s">
        <v>133</v>
      </c>
      <c r="AF1281" s="417"/>
      <c r="AG1281" s="417"/>
      <c r="AH1281" s="417"/>
      <c r="AI1281" s="394"/>
      <c r="AJ1281" s="453"/>
      <c r="AK1281" s="453"/>
      <c r="AL1281" s="393"/>
      <c r="AM1281" s="393"/>
      <c r="AN1281" s="417"/>
      <c r="AO1281" s="392"/>
      <c r="AP1281" s="392" t="s">
        <v>55</v>
      </c>
      <c r="AQ1281" s="392"/>
      <c r="AR1281" s="392" t="s">
        <v>1826</v>
      </c>
      <c r="AS1281" s="479">
        <v>41025</v>
      </c>
      <c r="AT1281" s="453"/>
      <c r="AU1281" s="453"/>
      <c r="AV1281" s="453"/>
      <c r="AW1281" s="453"/>
      <c r="AX1281" s="453"/>
      <c r="AY1281" s="453"/>
      <c r="AZ1281" s="452">
        <v>41274</v>
      </c>
      <c r="BA1281" s="393"/>
      <c r="BB1281" s="393"/>
      <c r="BC1281" s="393" t="b">
        <v>0</v>
      </c>
      <c r="BD1281" s="393"/>
      <c r="BE1281" s="392"/>
      <c r="BF1281" s="394">
        <v>6</v>
      </c>
      <c r="BG1281" s="394">
        <v>9</v>
      </c>
      <c r="BH1281" s="394"/>
      <c r="BI1281" s="394"/>
      <c r="BJ1281" s="394"/>
      <c r="BK1281" s="394"/>
      <c r="BL1281" s="444" t="s">
        <v>6982</v>
      </c>
      <c r="BM1281" s="392"/>
      <c r="BN1281" s="393"/>
      <c r="BO1281" s="393"/>
      <c r="BP1281" s="399"/>
      <c r="BQ1281" s="400" t="s">
        <v>3557</v>
      </c>
      <c r="BR1281" s="401" t="s">
        <v>3258</v>
      </c>
      <c r="BS1281" s="399"/>
      <c r="BT1281" s="394"/>
      <c r="BU1281" s="417">
        <v>0.625</v>
      </c>
      <c r="BV1281" s="399">
        <v>35.899000000000001</v>
      </c>
      <c r="BW1281" s="393" t="s">
        <v>3117</v>
      </c>
      <c r="BX1281" s="392" t="s">
        <v>3831</v>
      </c>
      <c r="BY1281" s="393" t="s">
        <v>7227</v>
      </c>
      <c r="BZ1281" s="393"/>
      <c r="CA1281" s="441" t="s">
        <v>1664</v>
      </c>
      <c r="CB1281" s="400"/>
      <c r="CC1281" s="398"/>
      <c r="CD1281" s="398"/>
      <c r="CE1281" s="398"/>
      <c r="CF1281" s="398"/>
      <c r="CG1281" s="398"/>
      <c r="CH1281" s="398"/>
      <c r="CI1281" s="398">
        <v>37.069000000000003</v>
      </c>
      <c r="CJ1281" s="398">
        <v>34.539000000000001</v>
      </c>
      <c r="CK1281" s="398">
        <v>32.01</v>
      </c>
      <c r="CL1281" s="398">
        <v>29.481000000000002</v>
      </c>
      <c r="CM1281" s="398">
        <v>26.951000000000001</v>
      </c>
      <c r="CN1281" s="398">
        <v>24.422000000000001</v>
      </c>
      <c r="CO1281" s="398">
        <v>21.893000000000001</v>
      </c>
      <c r="CP1281" s="398">
        <v>19.798999999999999</v>
      </c>
      <c r="CQ1281" s="398">
        <v>0</v>
      </c>
      <c r="CR1281" s="398">
        <v>0</v>
      </c>
      <c r="CS1281" s="398"/>
      <c r="CT1281" s="398"/>
      <c r="CU1281" s="398"/>
      <c r="CV1281" s="398"/>
      <c r="CW1281" s="398"/>
      <c r="CX1281" s="398"/>
      <c r="CY1281" s="398"/>
      <c r="CZ1281" s="398"/>
      <c r="DA1281" s="398"/>
      <c r="DB1281" s="398"/>
      <c r="DC1281" s="398"/>
      <c r="DD1281" s="398"/>
      <c r="DE1281" s="393"/>
      <c r="DF1281" s="393"/>
      <c r="DG1281" s="393"/>
      <c r="DH1281" s="393"/>
      <c r="DI1281" s="393"/>
      <c r="DJ1281" s="393"/>
      <c r="DK1281" s="897"/>
    </row>
    <row r="1282" spans="1:115" ht="25.5" x14ac:dyDescent="0.2">
      <c r="A1282" s="295">
        <v>1278</v>
      </c>
      <c r="B1282" s="390" t="s">
        <v>1791</v>
      </c>
      <c r="C1282" s="424" t="s">
        <v>7718</v>
      </c>
      <c r="D1282" s="391"/>
      <c r="E1282" s="708" t="s">
        <v>1780</v>
      </c>
      <c r="F1282" s="404" t="s">
        <v>1352</v>
      </c>
      <c r="G1282" s="404" t="s">
        <v>1671</v>
      </c>
      <c r="H1282" s="404" t="s">
        <v>117</v>
      </c>
      <c r="I1282" s="403"/>
      <c r="J1282" s="403" t="s">
        <v>117</v>
      </c>
      <c r="K1282" s="403"/>
      <c r="L1282" s="403" t="s">
        <v>1781</v>
      </c>
      <c r="M1282" s="403" t="s">
        <v>3558</v>
      </c>
      <c r="N1282" s="404" t="s">
        <v>3142</v>
      </c>
      <c r="O1282" s="404" t="s">
        <v>34</v>
      </c>
      <c r="P1282" s="404" t="s">
        <v>34</v>
      </c>
      <c r="Q1282" s="403" t="s">
        <v>1275</v>
      </c>
      <c r="R1282" s="403"/>
      <c r="S1282" s="403" t="s">
        <v>64</v>
      </c>
      <c r="T1282" s="405">
        <v>1</v>
      </c>
      <c r="U1282" s="406">
        <v>6.4000000000000001E-2</v>
      </c>
      <c r="V1282" s="406"/>
      <c r="W1282" s="456">
        <v>41061</v>
      </c>
      <c r="X1282" s="405">
        <v>28</v>
      </c>
      <c r="Y1282" s="405"/>
      <c r="Z1282" s="405"/>
      <c r="AA1282" s="406"/>
      <c r="AB1282" s="455"/>
      <c r="AC1282" s="407">
        <v>3.6999999999999998E-2</v>
      </c>
      <c r="AD1282" s="407">
        <v>0.64</v>
      </c>
      <c r="AE1282" s="404" t="s">
        <v>72</v>
      </c>
      <c r="AF1282" s="418"/>
      <c r="AG1282" s="418"/>
      <c r="AH1282" s="418">
        <v>0</v>
      </c>
      <c r="AI1282" s="405"/>
      <c r="AJ1282" s="455"/>
      <c r="AK1282" s="455"/>
      <c r="AL1282" s="404"/>
      <c r="AM1282" s="404"/>
      <c r="AN1282" s="418"/>
      <c r="AO1282" s="403"/>
      <c r="AP1282" s="403" t="s">
        <v>55</v>
      </c>
      <c r="AQ1282" s="403"/>
      <c r="AR1282" s="403" t="s">
        <v>236</v>
      </c>
      <c r="AS1282" s="482">
        <v>41026</v>
      </c>
      <c r="AT1282" s="455"/>
      <c r="AU1282" s="455"/>
      <c r="AV1282" s="455"/>
      <c r="AW1282" s="455"/>
      <c r="AX1282" s="455"/>
      <c r="AY1282" s="455"/>
      <c r="AZ1282" s="455"/>
      <c r="BA1282" s="404"/>
      <c r="BB1282" s="404" t="s">
        <v>3116</v>
      </c>
      <c r="BC1282" s="404" t="b">
        <v>0</v>
      </c>
      <c r="BD1282" s="404" t="s">
        <v>3147</v>
      </c>
      <c r="BE1282" s="403"/>
      <c r="BF1282" s="405">
        <v>4</v>
      </c>
      <c r="BG1282" s="405">
        <v>9</v>
      </c>
      <c r="BH1282" s="405"/>
      <c r="BI1282" s="405"/>
      <c r="BJ1282" s="405"/>
      <c r="BK1282" s="405"/>
      <c r="BL1282" s="446"/>
      <c r="BM1282" s="403"/>
      <c r="BN1282" s="404"/>
      <c r="BO1282" s="404"/>
      <c r="BP1282" s="408"/>
      <c r="BQ1282" s="409"/>
      <c r="BR1282" s="410"/>
      <c r="BS1282" s="408">
        <v>0</v>
      </c>
      <c r="BT1282" s="405"/>
      <c r="BU1282" s="418"/>
      <c r="BV1282" s="408"/>
      <c r="BW1282" s="404"/>
      <c r="BX1282" s="403"/>
      <c r="BY1282" s="404"/>
      <c r="BZ1282" s="404"/>
      <c r="CA1282" s="443"/>
      <c r="CB1282" s="409"/>
      <c r="CC1282" s="407"/>
      <c r="CD1282" s="407"/>
      <c r="CE1282" s="407"/>
      <c r="CF1282" s="407"/>
      <c r="CG1282" s="407"/>
      <c r="CH1282" s="407"/>
      <c r="CI1282" s="407"/>
      <c r="CJ1282" s="407"/>
      <c r="CK1282" s="407"/>
      <c r="CL1282" s="407"/>
      <c r="CM1282" s="407"/>
      <c r="CN1282" s="407"/>
      <c r="CO1282" s="407"/>
      <c r="CP1282" s="407"/>
      <c r="CQ1282" s="407"/>
      <c r="CR1282" s="407"/>
      <c r="CS1282" s="407"/>
      <c r="CT1282" s="407"/>
      <c r="CU1282" s="407"/>
      <c r="CV1282" s="407"/>
      <c r="CW1282" s="407"/>
      <c r="CX1282" s="407"/>
      <c r="CY1282" s="407"/>
      <c r="CZ1282" s="407"/>
      <c r="DA1282" s="407"/>
      <c r="DB1282" s="407"/>
      <c r="DC1282" s="407"/>
      <c r="DD1282" s="407"/>
      <c r="DE1282" s="404"/>
      <c r="DF1282" s="404"/>
      <c r="DG1282" s="404"/>
      <c r="DH1282" s="404"/>
      <c r="DI1282" s="404"/>
      <c r="DJ1282" s="404"/>
      <c r="DK1282" s="897"/>
    </row>
    <row r="1283" spans="1:115" ht="25.5" x14ac:dyDescent="0.2">
      <c r="A1283" s="295">
        <v>1279</v>
      </c>
      <c r="B1283" s="390" t="s">
        <v>2890</v>
      </c>
      <c r="C1283" s="390"/>
      <c r="D1283" s="391"/>
      <c r="E1283" s="707" t="s">
        <v>1782</v>
      </c>
      <c r="F1283" s="404" t="s">
        <v>1352</v>
      </c>
      <c r="G1283" s="404" t="s">
        <v>1671</v>
      </c>
      <c r="H1283" s="404" t="s">
        <v>117</v>
      </c>
      <c r="I1283" s="403"/>
      <c r="J1283" s="403"/>
      <c r="K1283" s="403" t="s">
        <v>1783</v>
      </c>
      <c r="L1283" s="403" t="s">
        <v>1781</v>
      </c>
      <c r="M1283" s="403"/>
      <c r="N1283" s="404" t="s">
        <v>3142</v>
      </c>
      <c r="O1283" s="404" t="s">
        <v>34</v>
      </c>
      <c r="P1283" s="404" t="s">
        <v>34</v>
      </c>
      <c r="Q1283" s="403" t="s">
        <v>1275</v>
      </c>
      <c r="R1283" s="403" t="s">
        <v>3559</v>
      </c>
      <c r="S1283" s="403" t="s">
        <v>64</v>
      </c>
      <c r="T1283" s="405">
        <v>1</v>
      </c>
      <c r="U1283" s="406">
        <v>6.4000000000000001E-2</v>
      </c>
      <c r="V1283" s="406"/>
      <c r="W1283" s="455"/>
      <c r="X1283" s="405"/>
      <c r="Y1283" s="405">
        <v>10</v>
      </c>
      <c r="Z1283" s="405">
        <v>20</v>
      </c>
      <c r="AA1283" s="406">
        <v>0</v>
      </c>
      <c r="AB1283" s="456">
        <v>41061</v>
      </c>
      <c r="AC1283" s="407">
        <v>3.6999999999999998E-2</v>
      </c>
      <c r="AD1283" s="407">
        <v>0.64</v>
      </c>
      <c r="AE1283" s="404" t="s">
        <v>72</v>
      </c>
      <c r="AF1283" s="418"/>
      <c r="AG1283" s="418"/>
      <c r="AH1283" s="418"/>
      <c r="AI1283" s="405"/>
      <c r="AJ1283" s="455"/>
      <c r="AK1283" s="455"/>
      <c r="AL1283" s="404"/>
      <c r="AM1283" s="404"/>
      <c r="AN1283" s="418"/>
      <c r="AO1283" s="403"/>
      <c r="AP1283" s="403" t="s">
        <v>55</v>
      </c>
      <c r="AQ1283" s="403"/>
      <c r="AR1283" s="403" t="s">
        <v>236</v>
      </c>
      <c r="AS1283" s="482">
        <v>41026</v>
      </c>
      <c r="AT1283" s="455"/>
      <c r="AU1283" s="455"/>
      <c r="AV1283" s="455"/>
      <c r="AW1283" s="455"/>
      <c r="AX1283" s="455"/>
      <c r="AY1283" s="455"/>
      <c r="AZ1283" s="455"/>
      <c r="BA1283" s="404"/>
      <c r="BB1283" s="404"/>
      <c r="BC1283" s="404" t="b">
        <v>0</v>
      </c>
      <c r="BD1283" s="404"/>
      <c r="BE1283" s="403"/>
      <c r="BF1283" s="405">
        <v>4</v>
      </c>
      <c r="BG1283" s="405">
        <v>9</v>
      </c>
      <c r="BH1283" s="405"/>
      <c r="BI1283" s="405"/>
      <c r="BJ1283" s="405"/>
      <c r="BK1283" s="405"/>
      <c r="BL1283" s="446" t="s">
        <v>6981</v>
      </c>
      <c r="BM1283" s="403"/>
      <c r="BN1283" s="404"/>
      <c r="BO1283" s="404"/>
      <c r="BP1283" s="408"/>
      <c r="BQ1283" s="409"/>
      <c r="BR1283" s="410"/>
      <c r="BS1283" s="408"/>
      <c r="BT1283" s="405"/>
      <c r="BU1283" s="418"/>
      <c r="BV1283" s="408">
        <v>0.08</v>
      </c>
      <c r="BW1283" s="404" t="s">
        <v>3117</v>
      </c>
      <c r="BX1283" s="403" t="s">
        <v>4364</v>
      </c>
      <c r="BY1283" s="404" t="s">
        <v>7224</v>
      </c>
      <c r="BZ1283" s="404"/>
      <c r="CA1283" s="443"/>
      <c r="CB1283" s="409"/>
      <c r="CC1283" s="407"/>
      <c r="CD1283" s="407"/>
      <c r="CE1283" s="407"/>
      <c r="CF1283" s="407"/>
      <c r="CG1283" s="407"/>
      <c r="CH1283" s="407"/>
      <c r="CI1283" s="407">
        <v>0</v>
      </c>
      <c r="CJ1283" s="407">
        <v>0</v>
      </c>
      <c r="CK1283" s="407">
        <v>0</v>
      </c>
      <c r="CL1283" s="407">
        <v>0</v>
      </c>
      <c r="CM1283" s="407">
        <v>0</v>
      </c>
      <c r="CN1283" s="407">
        <v>0</v>
      </c>
      <c r="CO1283" s="407">
        <v>0</v>
      </c>
      <c r="CP1283" s="407">
        <v>0</v>
      </c>
      <c r="CQ1283" s="407">
        <v>0</v>
      </c>
      <c r="CR1283" s="407">
        <v>0</v>
      </c>
      <c r="CS1283" s="407"/>
      <c r="CT1283" s="407"/>
      <c r="CU1283" s="407"/>
      <c r="CV1283" s="407"/>
      <c r="CW1283" s="407"/>
      <c r="CX1283" s="407"/>
      <c r="CY1283" s="407"/>
      <c r="CZ1283" s="407"/>
      <c r="DA1283" s="407"/>
      <c r="DB1283" s="407"/>
      <c r="DC1283" s="407"/>
      <c r="DD1283" s="407"/>
      <c r="DE1283" s="404"/>
      <c r="DF1283" s="404"/>
      <c r="DG1283" s="404"/>
      <c r="DH1283" s="404"/>
      <c r="DI1283" s="404"/>
      <c r="DJ1283" s="404"/>
      <c r="DK1283" s="897"/>
    </row>
    <row r="1284" spans="1:115" ht="25.5" x14ac:dyDescent="0.2">
      <c r="A1284" s="295">
        <v>1280</v>
      </c>
      <c r="B1284" s="390" t="s">
        <v>1792</v>
      </c>
      <c r="C1284" s="424" t="s">
        <v>7719</v>
      </c>
      <c r="D1284" s="391" t="s">
        <v>5537</v>
      </c>
      <c r="E1284" s="707" t="s">
        <v>5538</v>
      </c>
      <c r="F1284" s="404" t="s">
        <v>1352</v>
      </c>
      <c r="G1284" s="404" t="s">
        <v>1671</v>
      </c>
      <c r="H1284" s="404" t="s">
        <v>117</v>
      </c>
      <c r="I1284" s="403"/>
      <c r="J1284" s="403" t="s">
        <v>117</v>
      </c>
      <c r="K1284" s="403"/>
      <c r="L1284" s="403" t="s">
        <v>408</v>
      </c>
      <c r="M1284" s="403" t="s">
        <v>3560</v>
      </c>
      <c r="N1284" s="404" t="s">
        <v>4659</v>
      </c>
      <c r="O1284" s="404" t="s">
        <v>80</v>
      </c>
      <c r="P1284" s="404" t="s">
        <v>80</v>
      </c>
      <c r="Q1284" s="403" t="s">
        <v>403</v>
      </c>
      <c r="R1284" s="403"/>
      <c r="S1284" s="403" t="s">
        <v>1784</v>
      </c>
      <c r="T1284" s="405">
        <v>1</v>
      </c>
      <c r="U1284" s="406">
        <v>31.925000000000001</v>
      </c>
      <c r="V1284" s="406"/>
      <c r="W1284" s="456">
        <v>41030</v>
      </c>
      <c r="X1284" s="405">
        <v>28</v>
      </c>
      <c r="Y1284" s="405"/>
      <c r="Z1284" s="405"/>
      <c r="AA1284" s="406"/>
      <c r="AB1284" s="455"/>
      <c r="AC1284" s="407">
        <v>2.5630000000000002</v>
      </c>
      <c r="AD1284" s="407">
        <v>319.25</v>
      </c>
      <c r="AE1284" s="404" t="s">
        <v>309</v>
      </c>
      <c r="AF1284" s="418"/>
      <c r="AG1284" s="418"/>
      <c r="AH1284" s="418">
        <v>0</v>
      </c>
      <c r="AI1284" s="405"/>
      <c r="AJ1284" s="455"/>
      <c r="AK1284" s="455"/>
      <c r="AL1284" s="404"/>
      <c r="AM1284" s="404"/>
      <c r="AN1284" s="418"/>
      <c r="AO1284" s="403"/>
      <c r="AP1284" s="403" t="s">
        <v>55</v>
      </c>
      <c r="AQ1284" s="403"/>
      <c r="AR1284" s="403" t="s">
        <v>409</v>
      </c>
      <c r="AS1284" s="482">
        <v>41026</v>
      </c>
      <c r="AT1284" s="455"/>
      <c r="AU1284" s="455" t="s">
        <v>406</v>
      </c>
      <c r="AV1284" s="456">
        <v>41244</v>
      </c>
      <c r="AW1284" s="456">
        <v>41274</v>
      </c>
      <c r="AX1284" s="455"/>
      <c r="AY1284" s="455"/>
      <c r="AZ1284" s="455"/>
      <c r="BA1284" s="404"/>
      <c r="BB1284" s="404" t="s">
        <v>3147</v>
      </c>
      <c r="BC1284" s="404" t="b">
        <v>1</v>
      </c>
      <c r="BD1284" s="404" t="s">
        <v>3147</v>
      </c>
      <c r="BE1284" s="403"/>
      <c r="BF1284" s="405">
        <v>5</v>
      </c>
      <c r="BG1284" s="405">
        <v>8</v>
      </c>
      <c r="BH1284" s="405"/>
      <c r="BI1284" s="405"/>
      <c r="BJ1284" s="405"/>
      <c r="BK1284" s="405"/>
      <c r="BL1284" s="446"/>
      <c r="BM1284" s="403"/>
      <c r="BN1284" s="404"/>
      <c r="BO1284" s="404"/>
      <c r="BP1284" s="408"/>
      <c r="BQ1284" s="409"/>
      <c r="BR1284" s="410"/>
      <c r="BS1284" s="408">
        <v>2</v>
      </c>
      <c r="BT1284" s="405"/>
      <c r="BU1284" s="418"/>
      <c r="BV1284" s="408"/>
      <c r="BW1284" s="404"/>
      <c r="BX1284" s="403"/>
      <c r="BY1284" s="404"/>
      <c r="BZ1284" s="404"/>
      <c r="CA1284" s="443"/>
      <c r="CB1284" s="409"/>
      <c r="CC1284" s="407"/>
      <c r="CD1284" s="407"/>
      <c r="CE1284" s="407"/>
      <c r="CF1284" s="407"/>
      <c r="CG1284" s="407"/>
      <c r="CH1284" s="407"/>
      <c r="CI1284" s="407"/>
      <c r="CJ1284" s="407"/>
      <c r="CK1284" s="407"/>
      <c r="CL1284" s="407"/>
      <c r="CM1284" s="407"/>
      <c r="CN1284" s="407"/>
      <c r="CO1284" s="407"/>
      <c r="CP1284" s="407"/>
      <c r="CQ1284" s="407"/>
      <c r="CR1284" s="407"/>
      <c r="CS1284" s="407"/>
      <c r="CT1284" s="407"/>
      <c r="CU1284" s="407"/>
      <c r="CV1284" s="407"/>
      <c r="CW1284" s="407"/>
      <c r="CX1284" s="407"/>
      <c r="CY1284" s="407"/>
      <c r="CZ1284" s="407"/>
      <c r="DA1284" s="407"/>
      <c r="DB1284" s="407"/>
      <c r="DC1284" s="407"/>
      <c r="DD1284" s="407"/>
      <c r="DE1284" s="404"/>
      <c r="DF1284" s="404"/>
      <c r="DG1284" s="404"/>
      <c r="DH1284" s="404"/>
      <c r="DI1284" s="404"/>
      <c r="DJ1284" s="404"/>
      <c r="DK1284" s="896" t="s">
        <v>9702</v>
      </c>
    </row>
    <row r="1285" spans="1:115" ht="38.25" x14ac:dyDescent="0.2">
      <c r="A1285" s="295">
        <v>1281</v>
      </c>
      <c r="B1285" s="390" t="s">
        <v>2891</v>
      </c>
      <c r="C1285" s="390"/>
      <c r="D1285" s="391" t="s">
        <v>5539</v>
      </c>
      <c r="E1285" s="707" t="s">
        <v>410</v>
      </c>
      <c r="F1285" s="404" t="s">
        <v>1352</v>
      </c>
      <c r="G1285" s="404" t="s">
        <v>1671</v>
      </c>
      <c r="H1285" s="404" t="s">
        <v>117</v>
      </c>
      <c r="I1285" s="403"/>
      <c r="J1285" s="403"/>
      <c r="K1285" s="403" t="s">
        <v>433</v>
      </c>
      <c r="L1285" s="403" t="s">
        <v>408</v>
      </c>
      <c r="M1285" s="403"/>
      <c r="N1285" s="404" t="s">
        <v>4659</v>
      </c>
      <c r="O1285" s="404" t="s">
        <v>80</v>
      </c>
      <c r="P1285" s="404" t="s">
        <v>80</v>
      </c>
      <c r="Q1285" s="403" t="s">
        <v>403</v>
      </c>
      <c r="R1285" s="403" t="s">
        <v>3561</v>
      </c>
      <c r="S1285" s="403" t="s">
        <v>1784</v>
      </c>
      <c r="T1285" s="405">
        <v>1</v>
      </c>
      <c r="U1285" s="406">
        <v>31.925000000000001</v>
      </c>
      <c r="V1285" s="406"/>
      <c r="W1285" s="455"/>
      <c r="X1285" s="405"/>
      <c r="Y1285" s="405">
        <v>10</v>
      </c>
      <c r="Z1285" s="405">
        <v>19</v>
      </c>
      <c r="AA1285" s="406">
        <v>3.4</v>
      </c>
      <c r="AB1285" s="456">
        <v>41214</v>
      </c>
      <c r="AC1285" s="407">
        <v>2.5630000000000002</v>
      </c>
      <c r="AD1285" s="407">
        <v>319.25</v>
      </c>
      <c r="AE1285" s="404" t="s">
        <v>309</v>
      </c>
      <c r="AF1285" s="418"/>
      <c r="AG1285" s="418"/>
      <c r="AH1285" s="418"/>
      <c r="AI1285" s="405"/>
      <c r="AJ1285" s="455"/>
      <c r="AK1285" s="455"/>
      <c r="AL1285" s="404"/>
      <c r="AM1285" s="404"/>
      <c r="AN1285" s="418"/>
      <c r="AO1285" s="403"/>
      <c r="AP1285" s="403" t="s">
        <v>55</v>
      </c>
      <c r="AQ1285" s="403"/>
      <c r="AR1285" s="403" t="s">
        <v>409</v>
      </c>
      <c r="AS1285" s="482">
        <v>41026</v>
      </c>
      <c r="AT1285" s="455"/>
      <c r="AU1285" s="455" t="s">
        <v>2813</v>
      </c>
      <c r="AV1285" s="455"/>
      <c r="AW1285" s="455"/>
      <c r="AX1285" s="455"/>
      <c r="AY1285" s="455"/>
      <c r="AZ1285" s="455"/>
      <c r="BA1285" s="404"/>
      <c r="BB1285" s="404"/>
      <c r="BC1285" s="404" t="b">
        <v>0</v>
      </c>
      <c r="BD1285" s="404"/>
      <c r="BE1285" s="403"/>
      <c r="BF1285" s="405">
        <v>5</v>
      </c>
      <c r="BG1285" s="405">
        <v>8</v>
      </c>
      <c r="BH1285" s="405"/>
      <c r="BI1285" s="405"/>
      <c r="BJ1285" s="405"/>
      <c r="BK1285" s="405"/>
      <c r="BL1285" s="446" t="s">
        <v>6981</v>
      </c>
      <c r="BM1285" s="403"/>
      <c r="BN1285" s="404"/>
      <c r="BO1285" s="404"/>
      <c r="BP1285" s="408"/>
      <c r="BQ1285" s="409"/>
      <c r="BR1285" s="410"/>
      <c r="BS1285" s="408">
        <v>2</v>
      </c>
      <c r="BT1285" s="405">
        <v>6980</v>
      </c>
      <c r="BU1285" s="418">
        <v>0.72440000000000004</v>
      </c>
      <c r="BV1285" s="408"/>
      <c r="BW1285" s="404" t="s">
        <v>3117</v>
      </c>
      <c r="BX1285" s="403" t="s">
        <v>1450</v>
      </c>
      <c r="BY1285" s="404"/>
      <c r="BZ1285" s="404"/>
      <c r="CA1285" s="443" t="s">
        <v>1662</v>
      </c>
      <c r="CB1285" s="409"/>
      <c r="CC1285" s="407"/>
      <c r="CD1285" s="407"/>
      <c r="CE1285" s="407"/>
      <c r="CF1285" s="407"/>
      <c r="CG1285" s="407"/>
      <c r="CH1285" s="407">
        <v>3</v>
      </c>
      <c r="CI1285" s="407">
        <v>19</v>
      </c>
      <c r="CJ1285" s="407">
        <v>22</v>
      </c>
      <c r="CK1285" s="407">
        <v>25</v>
      </c>
      <c r="CL1285" s="407">
        <v>28</v>
      </c>
      <c r="CM1285" s="407">
        <v>31</v>
      </c>
      <c r="CN1285" s="407">
        <v>34</v>
      </c>
      <c r="CO1285" s="407">
        <v>37</v>
      </c>
      <c r="CP1285" s="407">
        <v>40</v>
      </c>
      <c r="CQ1285" s="407">
        <v>43</v>
      </c>
      <c r="CR1285" s="407">
        <v>38</v>
      </c>
      <c r="CS1285" s="407"/>
      <c r="CT1285" s="407"/>
      <c r="CU1285" s="407"/>
      <c r="CV1285" s="407"/>
      <c r="CW1285" s="407"/>
      <c r="CX1285" s="407"/>
      <c r="CY1285" s="407"/>
      <c r="CZ1285" s="407"/>
      <c r="DA1285" s="407"/>
      <c r="DB1285" s="407"/>
      <c r="DC1285" s="407"/>
      <c r="DD1285" s="407"/>
      <c r="DE1285" s="404"/>
      <c r="DF1285" s="404"/>
      <c r="DG1285" s="404"/>
      <c r="DH1285" s="404"/>
      <c r="DI1285" s="404"/>
      <c r="DJ1285" s="404"/>
      <c r="DK1285" s="897"/>
    </row>
    <row r="1286" spans="1:115" ht="38.25" x14ac:dyDescent="0.2">
      <c r="A1286" s="295">
        <v>1282</v>
      </c>
      <c r="B1286" s="390" t="s">
        <v>1793</v>
      </c>
      <c r="C1286" s="424" t="s">
        <v>7720</v>
      </c>
      <c r="D1286" s="391" t="s">
        <v>5192</v>
      </c>
      <c r="E1286" s="704" t="s">
        <v>1785</v>
      </c>
      <c r="F1286" s="393" t="s">
        <v>1352</v>
      </c>
      <c r="G1286" s="393" t="s">
        <v>1671</v>
      </c>
      <c r="H1286" s="393" t="s">
        <v>117</v>
      </c>
      <c r="I1286" s="392"/>
      <c r="J1286" s="392" t="s">
        <v>117</v>
      </c>
      <c r="K1286" s="392"/>
      <c r="L1286" s="392" t="s">
        <v>1786</v>
      </c>
      <c r="M1286" s="392" t="s">
        <v>3562</v>
      </c>
      <c r="N1286" s="393" t="s">
        <v>44</v>
      </c>
      <c r="O1286" s="393" t="s">
        <v>289</v>
      </c>
      <c r="P1286" s="393" t="s">
        <v>289</v>
      </c>
      <c r="Q1286" s="392" t="s">
        <v>721</v>
      </c>
      <c r="R1286" s="392"/>
      <c r="S1286" s="392" t="s">
        <v>291</v>
      </c>
      <c r="T1286" s="394">
        <v>1</v>
      </c>
      <c r="U1286" s="395">
        <v>22.001000000000001</v>
      </c>
      <c r="V1286" s="395"/>
      <c r="W1286" s="452">
        <v>41026</v>
      </c>
      <c r="X1286" s="394">
        <v>28</v>
      </c>
      <c r="Y1286" s="394"/>
      <c r="Z1286" s="394"/>
      <c r="AA1286" s="395"/>
      <c r="AB1286" s="453"/>
      <c r="AC1286" s="398">
        <v>0</v>
      </c>
      <c r="AD1286" s="398">
        <v>159.61273424657534</v>
      </c>
      <c r="AE1286" s="393" t="s">
        <v>446</v>
      </c>
      <c r="AF1286" s="417"/>
      <c r="AG1286" s="417"/>
      <c r="AH1286" s="417">
        <v>0</v>
      </c>
      <c r="AI1286" s="394"/>
      <c r="AJ1286" s="453"/>
      <c r="AK1286" s="453"/>
      <c r="AL1286" s="393"/>
      <c r="AM1286" s="393"/>
      <c r="AN1286" s="417"/>
      <c r="AO1286" s="392"/>
      <c r="AP1286" s="392" t="s">
        <v>55</v>
      </c>
      <c r="AQ1286" s="392"/>
      <c r="AR1286" s="392" t="s">
        <v>1788</v>
      </c>
      <c r="AS1286" s="479">
        <v>41026</v>
      </c>
      <c r="AT1286" s="453"/>
      <c r="AU1286" s="453"/>
      <c r="AV1286" s="452">
        <v>41183</v>
      </c>
      <c r="AW1286" s="452">
        <v>41231</v>
      </c>
      <c r="AX1286" s="452">
        <v>41293</v>
      </c>
      <c r="AY1286" s="452">
        <v>41241</v>
      </c>
      <c r="AZ1286" s="453"/>
      <c r="BA1286" s="393"/>
      <c r="BB1286" s="393" t="s">
        <v>3147</v>
      </c>
      <c r="BC1286" s="393" t="b">
        <v>1</v>
      </c>
      <c r="BD1286" s="393" t="s">
        <v>3147</v>
      </c>
      <c r="BE1286" s="392"/>
      <c r="BF1286" s="394">
        <v>10</v>
      </c>
      <c r="BG1286" s="394">
        <v>8</v>
      </c>
      <c r="BH1286" s="394">
        <v>5</v>
      </c>
      <c r="BI1286" s="394">
        <v>9</v>
      </c>
      <c r="BJ1286" s="394"/>
      <c r="BK1286" s="394"/>
      <c r="BL1286" s="444"/>
      <c r="BM1286" s="392"/>
      <c r="BN1286" s="393"/>
      <c r="BO1286" s="393"/>
      <c r="BP1286" s="399"/>
      <c r="BQ1286" s="400"/>
      <c r="BR1286" s="401"/>
      <c r="BS1286" s="399">
        <v>8</v>
      </c>
      <c r="BT1286" s="394"/>
      <c r="BU1286" s="417"/>
      <c r="BV1286" s="399"/>
      <c r="BW1286" s="393"/>
      <c r="BX1286" s="392"/>
      <c r="BY1286" s="475" t="s">
        <v>7224</v>
      </c>
      <c r="BZ1286" s="393"/>
      <c r="CA1286" s="441"/>
      <c r="CB1286" s="400"/>
      <c r="CC1286" s="398"/>
      <c r="CD1286" s="398"/>
      <c r="CE1286" s="398"/>
      <c r="CF1286" s="398"/>
      <c r="CG1286" s="398"/>
      <c r="CH1286" s="398"/>
      <c r="CI1286" s="398"/>
      <c r="CJ1286" s="398"/>
      <c r="CK1286" s="398"/>
      <c r="CL1286" s="398"/>
      <c r="CM1286" s="398"/>
      <c r="CN1286" s="398"/>
      <c r="CO1286" s="398"/>
      <c r="CP1286" s="398"/>
      <c r="CQ1286" s="398"/>
      <c r="CR1286" s="398"/>
      <c r="CS1286" s="398"/>
      <c r="CT1286" s="398"/>
      <c r="CU1286" s="398"/>
      <c r="CV1286" s="398"/>
      <c r="CW1286" s="398"/>
      <c r="CX1286" s="398"/>
      <c r="CY1286" s="398"/>
      <c r="CZ1286" s="398"/>
      <c r="DA1286" s="398"/>
      <c r="DB1286" s="398"/>
      <c r="DC1286" s="398"/>
      <c r="DD1286" s="398"/>
      <c r="DE1286" s="393"/>
      <c r="DF1286" s="393"/>
      <c r="DG1286" s="393"/>
      <c r="DH1286" s="393"/>
      <c r="DI1286" s="393"/>
      <c r="DJ1286" s="393"/>
      <c r="DK1286" s="896" t="s">
        <v>9700</v>
      </c>
    </row>
    <row r="1287" spans="1:115" ht="38.25" x14ac:dyDescent="0.2">
      <c r="A1287" s="295">
        <v>1283</v>
      </c>
      <c r="B1287" s="390" t="s">
        <v>2892</v>
      </c>
      <c r="C1287" s="390"/>
      <c r="D1287" s="391" t="s">
        <v>4491</v>
      </c>
      <c r="E1287" s="704" t="s">
        <v>1789</v>
      </c>
      <c r="F1287" s="393" t="s">
        <v>1352</v>
      </c>
      <c r="G1287" s="393" t="s">
        <v>1671</v>
      </c>
      <c r="H1287" s="393" t="s">
        <v>117</v>
      </c>
      <c r="I1287" s="392"/>
      <c r="J1287" s="392"/>
      <c r="K1287" s="392" t="s">
        <v>1790</v>
      </c>
      <c r="L1287" s="392" t="s">
        <v>1786</v>
      </c>
      <c r="M1287" s="392"/>
      <c r="N1287" s="393" t="s">
        <v>44</v>
      </c>
      <c r="O1287" s="393" t="s">
        <v>289</v>
      </c>
      <c r="P1287" s="393" t="s">
        <v>289</v>
      </c>
      <c r="Q1287" s="392" t="s">
        <v>721</v>
      </c>
      <c r="R1287" s="392" t="s">
        <v>3563</v>
      </c>
      <c r="S1287" s="392" t="s">
        <v>291</v>
      </c>
      <c r="T1287" s="394">
        <v>1</v>
      </c>
      <c r="U1287" s="395">
        <v>22.001000000000001</v>
      </c>
      <c r="V1287" s="395"/>
      <c r="W1287" s="453"/>
      <c r="X1287" s="394"/>
      <c r="Y1287" s="394">
        <v>7</v>
      </c>
      <c r="Z1287" s="394">
        <v>20</v>
      </c>
      <c r="AA1287" s="395">
        <v>0</v>
      </c>
      <c r="AB1287" s="452">
        <v>41548</v>
      </c>
      <c r="AC1287" s="398">
        <v>0</v>
      </c>
      <c r="AD1287" s="398">
        <v>159.61273424657534</v>
      </c>
      <c r="AE1287" s="393" t="s">
        <v>446</v>
      </c>
      <c r="AF1287" s="417"/>
      <c r="AG1287" s="417"/>
      <c r="AH1287" s="417"/>
      <c r="AI1287" s="394"/>
      <c r="AJ1287" s="453"/>
      <c r="AK1287" s="453"/>
      <c r="AL1287" s="393"/>
      <c r="AM1287" s="393"/>
      <c r="AN1287" s="417"/>
      <c r="AO1287" s="392"/>
      <c r="AP1287" s="392" t="s">
        <v>55</v>
      </c>
      <c r="AQ1287" s="392"/>
      <c r="AR1287" s="392" t="s">
        <v>1788</v>
      </c>
      <c r="AS1287" s="479">
        <v>41026</v>
      </c>
      <c r="AT1287" s="453"/>
      <c r="AU1287" s="453"/>
      <c r="AV1287" s="453"/>
      <c r="AW1287" s="453"/>
      <c r="AX1287" s="453"/>
      <c r="AY1287" s="453"/>
      <c r="AZ1287" s="452">
        <v>41241</v>
      </c>
      <c r="BA1287" s="393"/>
      <c r="BB1287" s="393"/>
      <c r="BC1287" s="393" t="b">
        <v>0</v>
      </c>
      <c r="BD1287" s="393"/>
      <c r="BE1287" s="392"/>
      <c r="BF1287" s="394">
        <v>10</v>
      </c>
      <c r="BG1287" s="394">
        <v>8</v>
      </c>
      <c r="BH1287" s="394">
        <v>5</v>
      </c>
      <c r="BI1287" s="394">
        <v>9</v>
      </c>
      <c r="BJ1287" s="394"/>
      <c r="BK1287" s="394"/>
      <c r="BL1287" s="444" t="s">
        <v>6981</v>
      </c>
      <c r="BM1287" s="392"/>
      <c r="BN1287" s="393"/>
      <c r="BO1287" s="393"/>
      <c r="BP1287" s="399"/>
      <c r="BQ1287" s="400"/>
      <c r="BR1287" s="401"/>
      <c r="BS1287" s="399">
        <v>8</v>
      </c>
      <c r="BT1287" s="394">
        <v>34795</v>
      </c>
      <c r="BU1287" s="417">
        <v>0.63229999999999997</v>
      </c>
      <c r="BV1287" s="399"/>
      <c r="BW1287" s="393" t="s">
        <v>3117</v>
      </c>
      <c r="BX1287" s="392" t="s">
        <v>1450</v>
      </c>
      <c r="BY1287" s="475" t="s">
        <v>7224</v>
      </c>
      <c r="BZ1287" s="393"/>
      <c r="CA1287" s="441" t="s">
        <v>1662</v>
      </c>
      <c r="CB1287" s="400"/>
      <c r="CC1287" s="398"/>
      <c r="CD1287" s="398"/>
      <c r="CE1287" s="398"/>
      <c r="CF1287" s="398"/>
      <c r="CG1287" s="398"/>
      <c r="CH1287" s="398"/>
      <c r="CI1287" s="398"/>
      <c r="CJ1287" s="398">
        <v>22</v>
      </c>
      <c r="CK1287" s="398">
        <v>22</v>
      </c>
      <c r="CL1287" s="398">
        <v>22</v>
      </c>
      <c r="CM1287" s="398">
        <v>22</v>
      </c>
      <c r="CN1287" s="398">
        <v>22</v>
      </c>
      <c r="CO1287" s="398">
        <v>22</v>
      </c>
      <c r="CP1287" s="398">
        <v>22</v>
      </c>
      <c r="CQ1287" s="398"/>
      <c r="CR1287" s="398"/>
      <c r="CS1287" s="398"/>
      <c r="CT1287" s="398"/>
      <c r="CU1287" s="398"/>
      <c r="CV1287" s="398"/>
      <c r="CW1287" s="398"/>
      <c r="CX1287" s="398"/>
      <c r="CY1287" s="398"/>
      <c r="CZ1287" s="398"/>
      <c r="DA1287" s="398"/>
      <c r="DB1287" s="398"/>
      <c r="DC1287" s="398"/>
      <c r="DD1287" s="398"/>
      <c r="DE1287" s="393"/>
      <c r="DF1287" s="393"/>
      <c r="DG1287" s="393"/>
      <c r="DH1287" s="393"/>
      <c r="DI1287" s="393"/>
      <c r="DJ1287" s="393"/>
      <c r="DK1287" s="897"/>
    </row>
    <row r="1288" spans="1:115" ht="25.5" x14ac:dyDescent="0.2">
      <c r="A1288" s="295">
        <v>1284</v>
      </c>
      <c r="B1288" s="390" t="s">
        <v>1794</v>
      </c>
      <c r="C1288" s="424" t="s">
        <v>7721</v>
      </c>
      <c r="D1288" s="391"/>
      <c r="E1288" s="706" t="s">
        <v>1795</v>
      </c>
      <c r="F1288" s="390" t="s">
        <v>1352</v>
      </c>
      <c r="G1288" s="390" t="s">
        <v>1672</v>
      </c>
      <c r="H1288" s="390" t="s">
        <v>632</v>
      </c>
      <c r="I1288" s="402"/>
      <c r="J1288" s="402" t="s">
        <v>632</v>
      </c>
      <c r="K1288" s="402"/>
      <c r="L1288" s="402" t="s">
        <v>3811</v>
      </c>
      <c r="M1288" s="402" t="s">
        <v>3564</v>
      </c>
      <c r="N1288" s="390" t="s">
        <v>33</v>
      </c>
      <c r="O1288" s="390" t="s">
        <v>45</v>
      </c>
      <c r="P1288" s="390" t="s">
        <v>45</v>
      </c>
      <c r="Q1288" s="402" t="s">
        <v>1834</v>
      </c>
      <c r="R1288" s="402"/>
      <c r="S1288" s="402" t="s">
        <v>291</v>
      </c>
      <c r="T1288" s="411">
        <v>1</v>
      </c>
      <c r="U1288" s="412">
        <v>20.928000000000001</v>
      </c>
      <c r="V1288" s="412"/>
      <c r="W1288" s="457">
        <v>41023</v>
      </c>
      <c r="X1288" s="411">
        <v>28</v>
      </c>
      <c r="Y1288" s="411"/>
      <c r="Z1288" s="411"/>
      <c r="AA1288" s="412"/>
      <c r="AB1288" s="454"/>
      <c r="AC1288" s="413">
        <v>0</v>
      </c>
      <c r="AD1288" s="413">
        <v>209.28</v>
      </c>
      <c r="AE1288" s="390" t="s">
        <v>1413</v>
      </c>
      <c r="AF1288" s="419"/>
      <c r="AG1288" s="419"/>
      <c r="AH1288" s="419">
        <v>0</v>
      </c>
      <c r="AI1288" s="411"/>
      <c r="AJ1288" s="454"/>
      <c r="AK1288" s="454"/>
      <c r="AL1288" s="390"/>
      <c r="AM1288" s="390"/>
      <c r="AN1288" s="419"/>
      <c r="AO1288" s="402"/>
      <c r="AP1288" s="402" t="s">
        <v>55</v>
      </c>
      <c r="AQ1288" s="402"/>
      <c r="AR1288" s="402" t="s">
        <v>3811</v>
      </c>
      <c r="AS1288" s="481">
        <v>41027</v>
      </c>
      <c r="AT1288" s="454"/>
      <c r="AU1288" s="454"/>
      <c r="AV1288" s="454"/>
      <c r="AW1288" s="454"/>
      <c r="AX1288" s="454"/>
      <c r="AY1288" s="454"/>
      <c r="AZ1288" s="454"/>
      <c r="BA1288" s="390"/>
      <c r="BB1288" s="390" t="s">
        <v>3147</v>
      </c>
      <c r="BC1288" s="390" t="b">
        <v>1</v>
      </c>
      <c r="BD1288" s="390" t="s">
        <v>3310</v>
      </c>
      <c r="BE1288" s="402"/>
      <c r="BF1288" s="411">
        <v>5</v>
      </c>
      <c r="BG1288" s="411">
        <v>10</v>
      </c>
      <c r="BH1288" s="411">
        <v>9</v>
      </c>
      <c r="BI1288" s="411"/>
      <c r="BJ1288" s="411"/>
      <c r="BK1288" s="411"/>
      <c r="BL1288" s="445"/>
      <c r="BM1288" s="402"/>
      <c r="BN1288" s="390"/>
      <c r="BO1288" s="390"/>
      <c r="BP1288" s="414"/>
      <c r="BQ1288" s="415"/>
      <c r="BR1288" s="416"/>
      <c r="BS1288" s="414">
        <v>5</v>
      </c>
      <c r="BT1288" s="411"/>
      <c r="BU1288" s="419"/>
      <c r="BV1288" s="414"/>
      <c r="BW1288" s="390"/>
      <c r="BX1288" s="402"/>
      <c r="BY1288" s="390"/>
      <c r="BZ1288" s="390"/>
      <c r="CA1288" s="442"/>
      <c r="CB1288" s="415"/>
      <c r="CC1288" s="413"/>
      <c r="CD1288" s="413"/>
      <c r="CE1288" s="413"/>
      <c r="CF1288" s="413"/>
      <c r="CG1288" s="413"/>
      <c r="CH1288" s="413"/>
      <c r="CI1288" s="413"/>
      <c r="CJ1288" s="413"/>
      <c r="CK1288" s="413"/>
      <c r="CL1288" s="413"/>
      <c r="CM1288" s="413"/>
      <c r="CN1288" s="413"/>
      <c r="CO1288" s="413"/>
      <c r="CP1288" s="413"/>
      <c r="CQ1288" s="413"/>
      <c r="CR1288" s="413"/>
      <c r="CS1288" s="413"/>
      <c r="CT1288" s="413"/>
      <c r="CU1288" s="413"/>
      <c r="CV1288" s="413"/>
      <c r="CW1288" s="413"/>
      <c r="CX1288" s="413"/>
      <c r="CY1288" s="413"/>
      <c r="CZ1288" s="413"/>
      <c r="DA1288" s="413"/>
      <c r="DB1288" s="413"/>
      <c r="DC1288" s="413"/>
      <c r="DD1288" s="413"/>
      <c r="DE1288" s="390"/>
      <c r="DF1288" s="390"/>
      <c r="DG1288" s="390"/>
      <c r="DH1288" s="390"/>
      <c r="DI1288" s="390"/>
      <c r="DJ1288" s="390"/>
      <c r="DK1288" s="897"/>
    </row>
    <row r="1289" spans="1:115" ht="25.5" x14ac:dyDescent="0.2">
      <c r="A1289" s="295">
        <v>1285</v>
      </c>
      <c r="B1289" s="390" t="s">
        <v>2893</v>
      </c>
      <c r="C1289" s="390"/>
      <c r="D1289" s="391"/>
      <c r="E1289" s="706" t="s">
        <v>1796</v>
      </c>
      <c r="F1289" s="390" t="s">
        <v>1352</v>
      </c>
      <c r="G1289" s="390" t="s">
        <v>1672</v>
      </c>
      <c r="H1289" s="390" t="s">
        <v>632</v>
      </c>
      <c r="I1289" s="402"/>
      <c r="J1289" s="402"/>
      <c r="K1289" s="402" t="s">
        <v>1797</v>
      </c>
      <c r="L1289" s="402" t="s">
        <v>3811</v>
      </c>
      <c r="M1289" s="402"/>
      <c r="N1289" s="390" t="s">
        <v>33</v>
      </c>
      <c r="O1289" s="390" t="s">
        <v>45</v>
      </c>
      <c r="P1289" s="390" t="s">
        <v>45</v>
      </c>
      <c r="Q1289" s="402" t="s">
        <v>1212</v>
      </c>
      <c r="R1289" s="402" t="s">
        <v>3565</v>
      </c>
      <c r="S1289" s="402" t="s">
        <v>291</v>
      </c>
      <c r="T1289" s="411">
        <v>1</v>
      </c>
      <c r="U1289" s="412">
        <v>20.928000000000001</v>
      </c>
      <c r="V1289" s="412"/>
      <c r="W1289" s="454"/>
      <c r="X1289" s="411"/>
      <c r="Y1289" s="411">
        <v>10</v>
      </c>
      <c r="Z1289" s="411">
        <v>10</v>
      </c>
      <c r="AA1289" s="412">
        <v>0</v>
      </c>
      <c r="AB1289" s="457">
        <v>41456</v>
      </c>
      <c r="AC1289" s="413">
        <v>0</v>
      </c>
      <c r="AD1289" s="413">
        <v>209.28</v>
      </c>
      <c r="AE1289" s="390" t="s">
        <v>1413</v>
      </c>
      <c r="AF1289" s="419"/>
      <c r="AG1289" s="419"/>
      <c r="AH1289" s="419"/>
      <c r="AI1289" s="411"/>
      <c r="AJ1289" s="454"/>
      <c r="AK1289" s="454"/>
      <c r="AL1289" s="390"/>
      <c r="AM1289" s="390"/>
      <c r="AN1289" s="419"/>
      <c r="AO1289" s="402"/>
      <c r="AP1289" s="402" t="s">
        <v>55</v>
      </c>
      <c r="AQ1289" s="402"/>
      <c r="AR1289" s="402" t="s">
        <v>3811</v>
      </c>
      <c r="AS1289" s="481">
        <v>41027</v>
      </c>
      <c r="AT1289" s="454"/>
      <c r="AU1289" s="454"/>
      <c r="AV1289" s="454"/>
      <c r="AW1289" s="454"/>
      <c r="AX1289" s="454"/>
      <c r="AY1289" s="454"/>
      <c r="AZ1289" s="454"/>
      <c r="BA1289" s="390"/>
      <c r="BB1289" s="390"/>
      <c r="BC1289" s="390" t="b">
        <v>0</v>
      </c>
      <c r="BD1289" s="390"/>
      <c r="BE1289" s="402"/>
      <c r="BF1289" s="411">
        <v>1</v>
      </c>
      <c r="BG1289" s="411">
        <v>3</v>
      </c>
      <c r="BH1289" s="411">
        <v>5</v>
      </c>
      <c r="BI1289" s="411">
        <v>9</v>
      </c>
      <c r="BJ1289" s="411">
        <v>11</v>
      </c>
      <c r="BK1289" s="411">
        <v>4</v>
      </c>
      <c r="BL1289" s="445" t="s">
        <v>6981</v>
      </c>
      <c r="BM1289" s="402"/>
      <c r="BN1289" s="390"/>
      <c r="BO1289" s="390"/>
      <c r="BP1289" s="414"/>
      <c r="BQ1289" s="415"/>
      <c r="BR1289" s="416"/>
      <c r="BS1289" s="414">
        <v>5</v>
      </c>
      <c r="BT1289" s="411">
        <v>37440</v>
      </c>
      <c r="BU1289" s="419">
        <v>0.47399999999999998</v>
      </c>
      <c r="BV1289" s="414"/>
      <c r="BW1289" s="390" t="s">
        <v>3117</v>
      </c>
      <c r="BX1289" s="402" t="s">
        <v>1447</v>
      </c>
      <c r="BY1289" s="390"/>
      <c r="BZ1289" s="390"/>
      <c r="CA1289" s="442"/>
      <c r="CB1289" s="415"/>
      <c r="CC1289" s="413"/>
      <c r="CD1289" s="413"/>
      <c r="CE1289" s="413"/>
      <c r="CF1289" s="413"/>
      <c r="CG1289" s="413"/>
      <c r="CH1289" s="413"/>
      <c r="CI1289" s="413">
        <v>10</v>
      </c>
      <c r="CJ1289" s="413">
        <v>21</v>
      </c>
      <c r="CK1289" s="413">
        <v>21</v>
      </c>
      <c r="CL1289" s="413">
        <v>21</v>
      </c>
      <c r="CM1289" s="413">
        <v>21</v>
      </c>
      <c r="CN1289" s="413">
        <v>21</v>
      </c>
      <c r="CO1289" s="413">
        <v>21</v>
      </c>
      <c r="CP1289" s="413">
        <v>21</v>
      </c>
      <c r="CQ1289" s="413">
        <v>21</v>
      </c>
      <c r="CR1289" s="413">
        <v>21</v>
      </c>
      <c r="CS1289" s="413">
        <v>10</v>
      </c>
      <c r="CT1289" s="413"/>
      <c r="CU1289" s="413"/>
      <c r="CV1289" s="413"/>
      <c r="CW1289" s="413"/>
      <c r="CX1289" s="413"/>
      <c r="CY1289" s="413"/>
      <c r="CZ1289" s="413"/>
      <c r="DA1289" s="413"/>
      <c r="DB1289" s="413"/>
      <c r="DC1289" s="413"/>
      <c r="DD1289" s="413"/>
      <c r="DE1289" s="390"/>
      <c r="DF1289" s="390"/>
      <c r="DG1289" s="390"/>
      <c r="DH1289" s="390"/>
      <c r="DI1289" s="390"/>
      <c r="DJ1289" s="390"/>
      <c r="DK1289" s="897"/>
    </row>
    <row r="1290" spans="1:115" ht="114.75" x14ac:dyDescent="0.2">
      <c r="A1290" s="295">
        <v>1286</v>
      </c>
      <c r="B1290" s="390" t="s">
        <v>1807</v>
      </c>
      <c r="C1290" s="424" t="s">
        <v>7722</v>
      </c>
      <c r="D1290" s="391" t="s">
        <v>6152</v>
      </c>
      <c r="E1290" s="704" t="s">
        <v>1798</v>
      </c>
      <c r="F1290" s="393" t="s">
        <v>1375</v>
      </c>
      <c r="G1290" s="393" t="s">
        <v>1751</v>
      </c>
      <c r="H1290" s="393" t="s">
        <v>1008</v>
      </c>
      <c r="I1290" s="392" t="s">
        <v>4129</v>
      </c>
      <c r="J1290" s="392" t="s">
        <v>1999</v>
      </c>
      <c r="K1290" s="392"/>
      <c r="L1290" s="392" t="s">
        <v>1799</v>
      </c>
      <c r="M1290" s="392" t="s">
        <v>3566</v>
      </c>
      <c r="N1290" s="393" t="s">
        <v>44</v>
      </c>
      <c r="O1290" s="393" t="s">
        <v>80</v>
      </c>
      <c r="P1290" s="393" t="s">
        <v>80</v>
      </c>
      <c r="Q1290" s="392" t="s">
        <v>403</v>
      </c>
      <c r="R1290" s="392"/>
      <c r="S1290" s="392" t="s">
        <v>81</v>
      </c>
      <c r="T1290" s="394">
        <v>1</v>
      </c>
      <c r="U1290" s="395">
        <v>103.249</v>
      </c>
      <c r="V1290" s="395"/>
      <c r="W1290" s="452">
        <v>40988</v>
      </c>
      <c r="X1290" s="394">
        <v>21</v>
      </c>
      <c r="Y1290" s="394"/>
      <c r="Z1290" s="394"/>
      <c r="AA1290" s="395"/>
      <c r="AB1290" s="453"/>
      <c r="AC1290" s="398">
        <v>6.4427551999999997</v>
      </c>
      <c r="AD1290" s="398">
        <v>835.04396712328764</v>
      </c>
      <c r="AE1290" s="393" t="s">
        <v>355</v>
      </c>
      <c r="AF1290" s="417"/>
      <c r="AG1290" s="417"/>
      <c r="AH1290" s="417">
        <v>0</v>
      </c>
      <c r="AI1290" s="394"/>
      <c r="AJ1290" s="453"/>
      <c r="AK1290" s="453"/>
      <c r="AL1290" s="393"/>
      <c r="AM1290" s="393"/>
      <c r="AN1290" s="417"/>
      <c r="AO1290" s="392"/>
      <c r="AP1290" s="392" t="s">
        <v>55</v>
      </c>
      <c r="AQ1290" s="392"/>
      <c r="AR1290" s="392" t="s">
        <v>1800</v>
      </c>
      <c r="AS1290" s="479">
        <v>41027</v>
      </c>
      <c r="AT1290" s="453"/>
      <c r="AU1290" s="453"/>
      <c r="AV1290" s="452">
        <v>41263</v>
      </c>
      <c r="AW1290" s="452">
        <v>41775</v>
      </c>
      <c r="AX1290" s="453"/>
      <c r="AY1290" s="452">
        <v>41775</v>
      </c>
      <c r="AZ1290" s="453"/>
      <c r="BA1290" s="393"/>
      <c r="BB1290" s="393" t="s">
        <v>3147</v>
      </c>
      <c r="BC1290" s="393" t="b">
        <v>1</v>
      </c>
      <c r="BD1290" s="393" t="s">
        <v>3147</v>
      </c>
      <c r="BE1290" s="392"/>
      <c r="BF1290" s="394">
        <v>5</v>
      </c>
      <c r="BG1290" s="394">
        <v>11</v>
      </c>
      <c r="BH1290" s="394">
        <v>1</v>
      </c>
      <c r="BI1290" s="394">
        <v>7</v>
      </c>
      <c r="BJ1290" s="394"/>
      <c r="BK1290" s="394"/>
      <c r="BL1290" s="444"/>
      <c r="BM1290" s="392"/>
      <c r="BN1290" s="393"/>
      <c r="BO1290" s="393"/>
      <c r="BP1290" s="399"/>
      <c r="BQ1290" s="400"/>
      <c r="BR1290" s="401"/>
      <c r="BS1290" s="399">
        <v>2</v>
      </c>
      <c r="BT1290" s="394"/>
      <c r="BU1290" s="417"/>
      <c r="BV1290" s="399"/>
      <c r="BW1290" s="393"/>
      <c r="BX1290" s="392"/>
      <c r="BY1290" s="393"/>
      <c r="BZ1290" s="393"/>
      <c r="CA1290" s="441"/>
      <c r="CB1290" s="400"/>
      <c r="CC1290" s="398"/>
      <c r="CD1290" s="398"/>
      <c r="CE1290" s="398"/>
      <c r="CF1290" s="398"/>
      <c r="CG1290" s="398"/>
      <c r="CH1290" s="398"/>
      <c r="CI1290" s="398"/>
      <c r="CJ1290" s="398"/>
      <c r="CK1290" s="398"/>
      <c r="CL1290" s="398"/>
      <c r="CM1290" s="398"/>
      <c r="CN1290" s="398"/>
      <c r="CO1290" s="398"/>
      <c r="CP1290" s="398"/>
      <c r="CQ1290" s="398"/>
      <c r="CR1290" s="398"/>
      <c r="CS1290" s="398"/>
      <c r="CT1290" s="398"/>
      <c r="CU1290" s="398"/>
      <c r="CV1290" s="398"/>
      <c r="CW1290" s="398"/>
      <c r="CX1290" s="398"/>
      <c r="CY1290" s="398"/>
      <c r="CZ1290" s="398"/>
      <c r="DA1290" s="398"/>
      <c r="DB1290" s="398"/>
      <c r="DC1290" s="398"/>
      <c r="DD1290" s="398"/>
      <c r="DE1290" s="393"/>
      <c r="DF1290" s="393"/>
      <c r="DG1290" s="393"/>
      <c r="DH1290" s="393"/>
      <c r="DI1290" s="393"/>
      <c r="DJ1290" s="393"/>
      <c r="DK1290" s="896" t="s">
        <v>9701</v>
      </c>
    </row>
    <row r="1291" spans="1:115" ht="25.5" x14ac:dyDescent="0.2">
      <c r="A1291" s="295">
        <v>1287</v>
      </c>
      <c r="B1291" s="390" t="s">
        <v>2894</v>
      </c>
      <c r="C1291" s="390"/>
      <c r="D1291" s="391" t="s">
        <v>6153</v>
      </c>
      <c r="E1291" s="704" t="s">
        <v>1801</v>
      </c>
      <c r="F1291" s="393" t="s">
        <v>1375</v>
      </c>
      <c r="G1291" s="393" t="s">
        <v>1670</v>
      </c>
      <c r="H1291" s="393" t="s">
        <v>1008</v>
      </c>
      <c r="I1291" s="392"/>
      <c r="J1291" s="392"/>
      <c r="K1291" s="392" t="s">
        <v>1802</v>
      </c>
      <c r="L1291" s="392" t="s">
        <v>1799</v>
      </c>
      <c r="M1291" s="392"/>
      <c r="N1291" s="393" t="s">
        <v>44</v>
      </c>
      <c r="O1291" s="393" t="s">
        <v>80</v>
      </c>
      <c r="P1291" s="393" t="s">
        <v>80</v>
      </c>
      <c r="Q1291" s="392" t="s">
        <v>403</v>
      </c>
      <c r="R1291" s="392" t="s">
        <v>3567</v>
      </c>
      <c r="S1291" s="392" t="s">
        <v>81</v>
      </c>
      <c r="T1291" s="394">
        <v>1</v>
      </c>
      <c r="U1291" s="395">
        <v>103.249</v>
      </c>
      <c r="V1291" s="395"/>
      <c r="W1291" s="453"/>
      <c r="X1291" s="394"/>
      <c r="Y1291" s="394">
        <v>7</v>
      </c>
      <c r="Z1291" s="394">
        <v>21</v>
      </c>
      <c r="AA1291" s="395">
        <v>3.5</v>
      </c>
      <c r="AB1291" s="452">
        <v>41244</v>
      </c>
      <c r="AC1291" s="398">
        <v>6.4427551999999997</v>
      </c>
      <c r="AD1291" s="398">
        <v>835.04396712328764</v>
      </c>
      <c r="AE1291" s="393" t="s">
        <v>355</v>
      </c>
      <c r="AF1291" s="417"/>
      <c r="AG1291" s="417"/>
      <c r="AH1291" s="417"/>
      <c r="AI1291" s="394"/>
      <c r="AJ1291" s="453"/>
      <c r="AK1291" s="453"/>
      <c r="AL1291" s="393"/>
      <c r="AM1291" s="393"/>
      <c r="AN1291" s="417"/>
      <c r="AO1291" s="392"/>
      <c r="AP1291" s="392" t="s">
        <v>55</v>
      </c>
      <c r="AQ1291" s="392"/>
      <c r="AR1291" s="392" t="s">
        <v>1800</v>
      </c>
      <c r="AS1291" s="479">
        <v>41027</v>
      </c>
      <c r="AT1291" s="453"/>
      <c r="AU1291" s="453"/>
      <c r="AV1291" s="453"/>
      <c r="AW1291" s="453"/>
      <c r="AX1291" s="453"/>
      <c r="AY1291" s="453"/>
      <c r="AZ1291" s="452">
        <v>41775</v>
      </c>
      <c r="BA1291" s="393"/>
      <c r="BB1291" s="393"/>
      <c r="BC1291" s="393" t="b">
        <v>0</v>
      </c>
      <c r="BD1291" s="393"/>
      <c r="BE1291" s="392"/>
      <c r="BF1291" s="394">
        <v>5</v>
      </c>
      <c r="BG1291" s="394">
        <v>11</v>
      </c>
      <c r="BH1291" s="394">
        <v>1</v>
      </c>
      <c r="BI1291" s="394">
        <v>7</v>
      </c>
      <c r="BJ1291" s="394"/>
      <c r="BK1291" s="394"/>
      <c r="BL1291" s="444" t="s">
        <v>6981</v>
      </c>
      <c r="BM1291" s="392"/>
      <c r="BN1291" s="393"/>
      <c r="BO1291" s="393"/>
      <c r="BP1291" s="399"/>
      <c r="BQ1291" s="400"/>
      <c r="BR1291" s="401"/>
      <c r="BS1291" s="399">
        <v>2</v>
      </c>
      <c r="BT1291" s="394">
        <v>13714</v>
      </c>
      <c r="BU1291" s="417">
        <v>0.54215000000000002</v>
      </c>
      <c r="BV1291" s="399"/>
      <c r="BW1291" s="393" t="s">
        <v>3117</v>
      </c>
      <c r="BX1291" s="392" t="s">
        <v>3154</v>
      </c>
      <c r="BY1291" s="393"/>
      <c r="BZ1291" s="393"/>
      <c r="CA1291" s="441" t="s">
        <v>1662</v>
      </c>
      <c r="CB1291" s="400"/>
      <c r="CC1291" s="398"/>
      <c r="CD1291" s="398"/>
      <c r="CE1291" s="398"/>
      <c r="CF1291" s="398"/>
      <c r="CG1291" s="398"/>
      <c r="CH1291" s="398"/>
      <c r="CI1291" s="398">
        <v>77</v>
      </c>
      <c r="CJ1291" s="398">
        <v>80</v>
      </c>
      <c r="CK1291" s="398">
        <v>92</v>
      </c>
      <c r="CL1291" s="398">
        <v>94</v>
      </c>
      <c r="CM1291" s="398">
        <v>95</v>
      </c>
      <c r="CN1291" s="398">
        <v>97</v>
      </c>
      <c r="CO1291" s="398">
        <v>98</v>
      </c>
      <c r="CP1291" s="398"/>
      <c r="CQ1291" s="398"/>
      <c r="CR1291" s="398"/>
      <c r="CS1291" s="398"/>
      <c r="CT1291" s="398"/>
      <c r="CU1291" s="398"/>
      <c r="CV1291" s="398"/>
      <c r="CW1291" s="398"/>
      <c r="CX1291" s="398"/>
      <c r="CY1291" s="398"/>
      <c r="CZ1291" s="398"/>
      <c r="DA1291" s="398"/>
      <c r="DB1291" s="398"/>
      <c r="DC1291" s="398"/>
      <c r="DD1291" s="398"/>
      <c r="DE1291" s="393"/>
      <c r="DF1291" s="393"/>
      <c r="DG1291" s="393"/>
      <c r="DH1291" s="393"/>
      <c r="DI1291" s="393"/>
      <c r="DJ1291" s="393"/>
      <c r="DK1291" s="897"/>
    </row>
    <row r="1292" spans="1:115" ht="25.5" x14ac:dyDescent="0.2">
      <c r="A1292" s="295">
        <v>1288</v>
      </c>
      <c r="B1292" s="390" t="s">
        <v>1827</v>
      </c>
      <c r="C1292" s="424" t="s">
        <v>7723</v>
      </c>
      <c r="D1292" s="391" t="s">
        <v>5193</v>
      </c>
      <c r="E1292" s="704" t="s">
        <v>1803</v>
      </c>
      <c r="F1292" s="393" t="s">
        <v>1352</v>
      </c>
      <c r="G1292" s="393" t="s">
        <v>1671</v>
      </c>
      <c r="H1292" s="393" t="s">
        <v>117</v>
      </c>
      <c r="I1292" s="392"/>
      <c r="J1292" s="392" t="s">
        <v>1804</v>
      </c>
      <c r="K1292" s="392"/>
      <c r="L1292" s="392" t="s">
        <v>1805</v>
      </c>
      <c r="M1292" s="392" t="s">
        <v>3568</v>
      </c>
      <c r="N1292" s="393" t="s">
        <v>44</v>
      </c>
      <c r="O1292" s="393" t="s">
        <v>69</v>
      </c>
      <c r="P1292" s="393" t="s">
        <v>69</v>
      </c>
      <c r="Q1292" s="392" t="s">
        <v>572</v>
      </c>
      <c r="R1292" s="392"/>
      <c r="S1292" s="392" t="s">
        <v>589</v>
      </c>
      <c r="T1292" s="394">
        <v>1</v>
      </c>
      <c r="U1292" s="395">
        <v>5.3449999999999998</v>
      </c>
      <c r="V1292" s="395"/>
      <c r="W1292" s="452">
        <v>41027</v>
      </c>
      <c r="X1292" s="394">
        <v>28</v>
      </c>
      <c r="Y1292" s="394"/>
      <c r="Z1292" s="394"/>
      <c r="AA1292" s="395"/>
      <c r="AB1292" s="453"/>
      <c r="AC1292" s="398">
        <v>0</v>
      </c>
      <c r="AD1292" s="398">
        <v>42.774643835616438</v>
      </c>
      <c r="AE1292" s="393" t="s">
        <v>446</v>
      </c>
      <c r="AF1292" s="417"/>
      <c r="AG1292" s="417"/>
      <c r="AH1292" s="417">
        <v>0</v>
      </c>
      <c r="AI1292" s="394"/>
      <c r="AJ1292" s="453"/>
      <c r="AK1292" s="453"/>
      <c r="AL1292" s="393"/>
      <c r="AM1292" s="393"/>
      <c r="AN1292" s="417"/>
      <c r="AO1292" s="392"/>
      <c r="AP1292" s="392" t="s">
        <v>55</v>
      </c>
      <c r="AQ1292" s="392"/>
      <c r="AR1292" s="392" t="s">
        <v>1788</v>
      </c>
      <c r="AS1292" s="479">
        <v>41027</v>
      </c>
      <c r="AT1292" s="453"/>
      <c r="AU1292" s="453"/>
      <c r="AV1292" s="452">
        <v>41159</v>
      </c>
      <c r="AW1292" s="452">
        <v>41219</v>
      </c>
      <c r="AX1292" s="452">
        <v>41278</v>
      </c>
      <c r="AY1292" s="452">
        <v>41219</v>
      </c>
      <c r="AZ1292" s="453"/>
      <c r="BA1292" s="393"/>
      <c r="BB1292" s="393" t="s">
        <v>3147</v>
      </c>
      <c r="BC1292" s="393" t="b">
        <v>1</v>
      </c>
      <c r="BD1292" s="393" t="s">
        <v>3116</v>
      </c>
      <c r="BE1292" s="392"/>
      <c r="BF1292" s="394">
        <v>5</v>
      </c>
      <c r="BG1292" s="394">
        <v>6</v>
      </c>
      <c r="BH1292" s="394">
        <v>9</v>
      </c>
      <c r="BI1292" s="394">
        <v>8</v>
      </c>
      <c r="BJ1292" s="394"/>
      <c r="BK1292" s="394"/>
      <c r="BL1292" s="444"/>
      <c r="BM1292" s="392"/>
      <c r="BN1292" s="393"/>
      <c r="BO1292" s="393"/>
      <c r="BP1292" s="399"/>
      <c r="BQ1292" s="400"/>
      <c r="BR1292" s="401"/>
      <c r="BS1292" s="399">
        <v>0</v>
      </c>
      <c r="BT1292" s="394"/>
      <c r="BU1292" s="417"/>
      <c r="BV1292" s="399"/>
      <c r="BW1292" s="393"/>
      <c r="BX1292" s="392"/>
      <c r="BY1292" s="393"/>
      <c r="BZ1292" s="475" t="s">
        <v>7224</v>
      </c>
      <c r="CA1292" s="441"/>
      <c r="CB1292" s="400"/>
      <c r="CC1292" s="398"/>
      <c r="CD1292" s="398"/>
      <c r="CE1292" s="398"/>
      <c r="CF1292" s="398"/>
      <c r="CG1292" s="398"/>
      <c r="CH1292" s="398"/>
      <c r="CI1292" s="398"/>
      <c r="CJ1292" s="398"/>
      <c r="CK1292" s="398"/>
      <c r="CL1292" s="398"/>
      <c r="CM1292" s="398"/>
      <c r="CN1292" s="398"/>
      <c r="CO1292" s="398"/>
      <c r="CP1292" s="398"/>
      <c r="CQ1292" s="398"/>
      <c r="CR1292" s="398"/>
      <c r="CS1292" s="398"/>
      <c r="CT1292" s="398"/>
      <c r="CU1292" s="398"/>
      <c r="CV1292" s="398"/>
      <c r="CW1292" s="398"/>
      <c r="CX1292" s="398"/>
      <c r="CY1292" s="398"/>
      <c r="CZ1292" s="398"/>
      <c r="DA1292" s="398"/>
      <c r="DB1292" s="398"/>
      <c r="DC1292" s="398"/>
      <c r="DD1292" s="398"/>
      <c r="DE1292" s="393"/>
      <c r="DF1292" s="393"/>
      <c r="DG1292" s="393"/>
      <c r="DH1292" s="393"/>
      <c r="DI1292" s="393"/>
      <c r="DJ1292" s="393"/>
      <c r="DK1292" s="896" t="s">
        <v>9700</v>
      </c>
    </row>
    <row r="1293" spans="1:115" ht="25.5" x14ac:dyDescent="0.2">
      <c r="A1293" s="295">
        <v>1289</v>
      </c>
      <c r="B1293" s="390" t="s">
        <v>2895</v>
      </c>
      <c r="C1293" s="390"/>
      <c r="D1293" s="391" t="s">
        <v>4492</v>
      </c>
      <c r="E1293" s="704" t="s">
        <v>1806</v>
      </c>
      <c r="F1293" s="393" t="s">
        <v>1352</v>
      </c>
      <c r="G1293" s="393" t="s">
        <v>1671</v>
      </c>
      <c r="H1293" s="393" t="s">
        <v>117</v>
      </c>
      <c r="I1293" s="392"/>
      <c r="J1293" s="392"/>
      <c r="K1293" s="392" t="s">
        <v>170</v>
      </c>
      <c r="L1293" s="392" t="s">
        <v>1805</v>
      </c>
      <c r="M1293" s="392"/>
      <c r="N1293" s="393" t="s">
        <v>44</v>
      </c>
      <c r="O1293" s="393" t="s">
        <v>69</v>
      </c>
      <c r="P1293" s="393" t="s">
        <v>69</v>
      </c>
      <c r="Q1293" s="392" t="s">
        <v>572</v>
      </c>
      <c r="R1293" s="392" t="s">
        <v>3569</v>
      </c>
      <c r="S1293" s="392" t="s">
        <v>589</v>
      </c>
      <c r="T1293" s="394">
        <v>1</v>
      </c>
      <c r="U1293" s="395">
        <v>5.3449999999999998</v>
      </c>
      <c r="V1293" s="395"/>
      <c r="W1293" s="453"/>
      <c r="X1293" s="394"/>
      <c r="Y1293" s="394">
        <v>7</v>
      </c>
      <c r="Z1293" s="394">
        <v>15</v>
      </c>
      <c r="AA1293" s="395">
        <v>0</v>
      </c>
      <c r="AB1293" s="452">
        <v>41275</v>
      </c>
      <c r="AC1293" s="398">
        <v>0</v>
      </c>
      <c r="AD1293" s="398">
        <v>42.774643835616438</v>
      </c>
      <c r="AE1293" s="393" t="s">
        <v>446</v>
      </c>
      <c r="AF1293" s="417"/>
      <c r="AG1293" s="417"/>
      <c r="AH1293" s="417"/>
      <c r="AI1293" s="394"/>
      <c r="AJ1293" s="453"/>
      <c r="AK1293" s="453"/>
      <c r="AL1293" s="393"/>
      <c r="AM1293" s="393"/>
      <c r="AN1293" s="417"/>
      <c r="AO1293" s="392"/>
      <c r="AP1293" s="392" t="s">
        <v>55</v>
      </c>
      <c r="AQ1293" s="392"/>
      <c r="AR1293" s="392" t="s">
        <v>1788</v>
      </c>
      <c r="AS1293" s="479">
        <v>41027</v>
      </c>
      <c r="AT1293" s="453"/>
      <c r="AU1293" s="453"/>
      <c r="AV1293" s="453"/>
      <c r="AW1293" s="453"/>
      <c r="AX1293" s="453"/>
      <c r="AY1293" s="453"/>
      <c r="AZ1293" s="452">
        <v>41219</v>
      </c>
      <c r="BA1293" s="393"/>
      <c r="BB1293" s="393"/>
      <c r="BC1293" s="393" t="b">
        <v>0</v>
      </c>
      <c r="BD1293" s="393"/>
      <c r="BE1293" s="392"/>
      <c r="BF1293" s="394">
        <v>5</v>
      </c>
      <c r="BG1293" s="394">
        <v>6</v>
      </c>
      <c r="BH1293" s="394">
        <v>9</v>
      </c>
      <c r="BI1293" s="394">
        <v>8</v>
      </c>
      <c r="BJ1293" s="394"/>
      <c r="BK1293" s="394"/>
      <c r="BL1293" s="444" t="s">
        <v>6983</v>
      </c>
      <c r="BM1293" s="392"/>
      <c r="BN1293" s="393"/>
      <c r="BO1293" s="393"/>
      <c r="BP1293" s="399"/>
      <c r="BQ1293" s="400"/>
      <c r="BR1293" s="401"/>
      <c r="BS1293" s="399"/>
      <c r="BT1293" s="394"/>
      <c r="BU1293" s="417">
        <v>0.72440000000000004</v>
      </c>
      <c r="BV1293" s="399"/>
      <c r="BW1293" s="393" t="s">
        <v>3117</v>
      </c>
      <c r="BX1293" s="392" t="s">
        <v>1447</v>
      </c>
      <c r="BY1293" s="393"/>
      <c r="BZ1293" s="475" t="s">
        <v>7224</v>
      </c>
      <c r="CA1293" s="441" t="s">
        <v>1662</v>
      </c>
      <c r="CB1293" s="400"/>
      <c r="CC1293" s="398"/>
      <c r="CD1293" s="398"/>
      <c r="CE1293" s="398"/>
      <c r="CF1293" s="398"/>
      <c r="CG1293" s="398"/>
      <c r="CH1293" s="398"/>
      <c r="CI1293" s="398">
        <v>5</v>
      </c>
      <c r="CJ1293" s="398">
        <v>5</v>
      </c>
      <c r="CK1293" s="398">
        <v>5</v>
      </c>
      <c r="CL1293" s="398">
        <v>5</v>
      </c>
      <c r="CM1293" s="398">
        <v>5</v>
      </c>
      <c r="CN1293" s="398">
        <v>5</v>
      </c>
      <c r="CO1293" s="398">
        <v>5</v>
      </c>
      <c r="CP1293" s="398"/>
      <c r="CQ1293" s="398"/>
      <c r="CR1293" s="398"/>
      <c r="CS1293" s="398"/>
      <c r="CT1293" s="398"/>
      <c r="CU1293" s="398"/>
      <c r="CV1293" s="398"/>
      <c r="CW1293" s="398"/>
      <c r="CX1293" s="398"/>
      <c r="CY1293" s="398"/>
      <c r="CZ1293" s="398"/>
      <c r="DA1293" s="398"/>
      <c r="DB1293" s="398"/>
      <c r="DC1293" s="398"/>
      <c r="DD1293" s="398"/>
      <c r="DE1293" s="393"/>
      <c r="DF1293" s="393"/>
      <c r="DG1293" s="393"/>
      <c r="DH1293" s="393"/>
      <c r="DI1293" s="393"/>
      <c r="DJ1293" s="393"/>
      <c r="DK1293" s="897"/>
    </row>
    <row r="1294" spans="1:115" ht="38.25" x14ac:dyDescent="0.2">
      <c r="A1294" s="295">
        <v>1290</v>
      </c>
      <c r="B1294" s="390" t="s">
        <v>1828</v>
      </c>
      <c r="C1294" s="424" t="s">
        <v>7724</v>
      </c>
      <c r="D1294" s="391"/>
      <c r="E1294" s="707" t="s">
        <v>1808</v>
      </c>
      <c r="F1294" s="404" t="s">
        <v>1375</v>
      </c>
      <c r="G1294" s="404" t="s">
        <v>1361</v>
      </c>
      <c r="H1294" s="404" t="s">
        <v>137</v>
      </c>
      <c r="I1294" s="403"/>
      <c r="J1294" s="403" t="s">
        <v>137</v>
      </c>
      <c r="K1294" s="403"/>
      <c r="L1294" s="403" t="s">
        <v>1809</v>
      </c>
      <c r="M1294" s="403" t="s">
        <v>3570</v>
      </c>
      <c r="N1294" s="404" t="s">
        <v>3142</v>
      </c>
      <c r="O1294" s="404" t="s">
        <v>93</v>
      </c>
      <c r="P1294" s="404" t="s">
        <v>93</v>
      </c>
      <c r="Q1294" s="403" t="s">
        <v>1810</v>
      </c>
      <c r="R1294" s="403"/>
      <c r="S1294" s="403" t="s">
        <v>256</v>
      </c>
      <c r="T1294" s="405">
        <v>1</v>
      </c>
      <c r="U1294" s="406">
        <v>58.512</v>
      </c>
      <c r="V1294" s="406"/>
      <c r="W1294" s="456">
        <v>41029</v>
      </c>
      <c r="X1294" s="405">
        <v>28</v>
      </c>
      <c r="Y1294" s="405"/>
      <c r="Z1294" s="405"/>
      <c r="AA1294" s="406"/>
      <c r="AB1294" s="455"/>
      <c r="AC1294" s="407">
        <v>0</v>
      </c>
      <c r="AD1294" s="407">
        <v>585.12</v>
      </c>
      <c r="AE1294" s="404" t="s">
        <v>54</v>
      </c>
      <c r="AF1294" s="418"/>
      <c r="AG1294" s="418"/>
      <c r="AH1294" s="418">
        <v>0</v>
      </c>
      <c r="AI1294" s="405"/>
      <c r="AJ1294" s="455"/>
      <c r="AK1294" s="455"/>
      <c r="AL1294" s="404"/>
      <c r="AM1294" s="404"/>
      <c r="AN1294" s="418"/>
      <c r="AO1294" s="403"/>
      <c r="AP1294" s="403" t="s">
        <v>55</v>
      </c>
      <c r="AQ1294" s="403"/>
      <c r="AR1294" s="403" t="s">
        <v>138</v>
      </c>
      <c r="AS1294" s="482">
        <v>41027</v>
      </c>
      <c r="AT1294" s="455"/>
      <c r="AU1294" s="455"/>
      <c r="AV1294" s="455"/>
      <c r="AW1294" s="455"/>
      <c r="AX1294" s="455"/>
      <c r="AY1294" s="455"/>
      <c r="AZ1294" s="455"/>
      <c r="BA1294" s="404"/>
      <c r="BB1294" s="404" t="s">
        <v>3147</v>
      </c>
      <c r="BC1294" s="404" t="b">
        <v>1</v>
      </c>
      <c r="BD1294" s="404" t="s">
        <v>3147</v>
      </c>
      <c r="BE1294" s="403"/>
      <c r="BF1294" s="405">
        <v>1</v>
      </c>
      <c r="BG1294" s="405">
        <v>3</v>
      </c>
      <c r="BH1294" s="405">
        <v>9</v>
      </c>
      <c r="BI1294" s="405">
        <v>5</v>
      </c>
      <c r="BJ1294" s="405">
        <v>6</v>
      </c>
      <c r="BK1294" s="405"/>
      <c r="BL1294" s="446"/>
      <c r="BM1294" s="403"/>
      <c r="BN1294" s="404"/>
      <c r="BO1294" s="404"/>
      <c r="BP1294" s="408"/>
      <c r="BQ1294" s="409"/>
      <c r="BR1294" s="410"/>
      <c r="BS1294" s="408">
        <v>0</v>
      </c>
      <c r="BT1294" s="405"/>
      <c r="BU1294" s="418"/>
      <c r="BV1294" s="408"/>
      <c r="BW1294" s="404"/>
      <c r="BX1294" s="403"/>
      <c r="BY1294" s="404"/>
      <c r="BZ1294" s="404"/>
      <c r="CA1294" s="443"/>
      <c r="CB1294" s="409"/>
      <c r="CC1294" s="407"/>
      <c r="CD1294" s="407"/>
      <c r="CE1294" s="407"/>
      <c r="CF1294" s="407"/>
      <c r="CG1294" s="407"/>
      <c r="CH1294" s="407"/>
      <c r="CI1294" s="407"/>
      <c r="CJ1294" s="407"/>
      <c r="CK1294" s="407"/>
      <c r="CL1294" s="407"/>
      <c r="CM1294" s="407"/>
      <c r="CN1294" s="407"/>
      <c r="CO1294" s="407"/>
      <c r="CP1294" s="407"/>
      <c r="CQ1294" s="407"/>
      <c r="CR1294" s="407"/>
      <c r="CS1294" s="407"/>
      <c r="CT1294" s="407"/>
      <c r="CU1294" s="407"/>
      <c r="CV1294" s="407"/>
      <c r="CW1294" s="407"/>
      <c r="CX1294" s="407"/>
      <c r="CY1294" s="407"/>
      <c r="CZ1294" s="407"/>
      <c r="DA1294" s="407"/>
      <c r="DB1294" s="407"/>
      <c r="DC1294" s="407"/>
      <c r="DD1294" s="407"/>
      <c r="DE1294" s="404"/>
      <c r="DF1294" s="404"/>
      <c r="DG1294" s="404"/>
      <c r="DH1294" s="404"/>
      <c r="DI1294" s="404"/>
      <c r="DJ1294" s="404"/>
      <c r="DK1294" s="897"/>
    </row>
    <row r="1295" spans="1:115" ht="25.5" x14ac:dyDescent="0.2">
      <c r="A1295" s="295">
        <v>1291</v>
      </c>
      <c r="B1295" s="390" t="s">
        <v>2896</v>
      </c>
      <c r="C1295" s="390"/>
      <c r="D1295" s="391"/>
      <c r="E1295" s="707" t="s">
        <v>1811</v>
      </c>
      <c r="F1295" s="404" t="s">
        <v>1375</v>
      </c>
      <c r="G1295" s="404" t="s">
        <v>1361</v>
      </c>
      <c r="H1295" s="404" t="s">
        <v>137</v>
      </c>
      <c r="I1295" s="403"/>
      <c r="J1295" s="403"/>
      <c r="K1295" s="403" t="s">
        <v>1812</v>
      </c>
      <c r="L1295" s="403" t="s">
        <v>1809</v>
      </c>
      <c r="M1295" s="403"/>
      <c r="N1295" s="404" t="s">
        <v>3142</v>
      </c>
      <c r="O1295" s="404" t="s">
        <v>93</v>
      </c>
      <c r="P1295" s="404" t="s">
        <v>93</v>
      </c>
      <c r="Q1295" s="403" t="s">
        <v>1810</v>
      </c>
      <c r="R1295" s="403" t="s">
        <v>3571</v>
      </c>
      <c r="S1295" s="403" t="s">
        <v>256</v>
      </c>
      <c r="T1295" s="405">
        <v>1</v>
      </c>
      <c r="U1295" s="406">
        <v>58.512</v>
      </c>
      <c r="V1295" s="406"/>
      <c r="W1295" s="455"/>
      <c r="X1295" s="405"/>
      <c r="Y1295" s="405">
        <v>10</v>
      </c>
      <c r="Z1295" s="405">
        <v>10</v>
      </c>
      <c r="AA1295" s="406">
        <v>0</v>
      </c>
      <c r="AB1295" s="456">
        <v>41275</v>
      </c>
      <c r="AC1295" s="407">
        <v>0</v>
      </c>
      <c r="AD1295" s="407">
        <v>585.12</v>
      </c>
      <c r="AE1295" s="404" t="s">
        <v>54</v>
      </c>
      <c r="AF1295" s="418"/>
      <c r="AG1295" s="418"/>
      <c r="AH1295" s="418"/>
      <c r="AI1295" s="405"/>
      <c r="AJ1295" s="455"/>
      <c r="AK1295" s="455"/>
      <c r="AL1295" s="404"/>
      <c r="AM1295" s="404"/>
      <c r="AN1295" s="418"/>
      <c r="AO1295" s="403"/>
      <c r="AP1295" s="403" t="s">
        <v>55</v>
      </c>
      <c r="AQ1295" s="403"/>
      <c r="AR1295" s="403" t="s">
        <v>138</v>
      </c>
      <c r="AS1295" s="482">
        <v>41027</v>
      </c>
      <c r="AT1295" s="455"/>
      <c r="AU1295" s="455"/>
      <c r="AV1295" s="455"/>
      <c r="AW1295" s="455"/>
      <c r="AX1295" s="455"/>
      <c r="AY1295" s="455"/>
      <c r="AZ1295" s="455"/>
      <c r="BA1295" s="404"/>
      <c r="BB1295" s="404"/>
      <c r="BC1295" s="404" t="b">
        <v>0</v>
      </c>
      <c r="BD1295" s="404"/>
      <c r="BE1295" s="403"/>
      <c r="BF1295" s="405">
        <v>1</v>
      </c>
      <c r="BG1295" s="405">
        <v>3</v>
      </c>
      <c r="BH1295" s="405">
        <v>9</v>
      </c>
      <c r="BI1295" s="405">
        <v>5</v>
      </c>
      <c r="BJ1295" s="405">
        <v>6</v>
      </c>
      <c r="BK1295" s="405"/>
      <c r="BL1295" s="446" t="s">
        <v>6983</v>
      </c>
      <c r="BM1295" s="403"/>
      <c r="BN1295" s="404"/>
      <c r="BO1295" s="404"/>
      <c r="BP1295" s="408"/>
      <c r="BQ1295" s="409"/>
      <c r="BR1295" s="410"/>
      <c r="BS1295" s="408"/>
      <c r="BT1295" s="405"/>
      <c r="BU1295" s="418"/>
      <c r="BV1295" s="408"/>
      <c r="BW1295" s="404" t="s">
        <v>3117</v>
      </c>
      <c r="BX1295" s="403" t="s">
        <v>1447</v>
      </c>
      <c r="BY1295" s="404"/>
      <c r="BZ1295" s="404"/>
      <c r="CA1295" s="443"/>
      <c r="CB1295" s="409"/>
      <c r="CC1295" s="407"/>
      <c r="CD1295" s="407"/>
      <c r="CE1295" s="407"/>
      <c r="CF1295" s="407"/>
      <c r="CG1295" s="407"/>
      <c r="CH1295" s="407"/>
      <c r="CI1295" s="407">
        <v>59</v>
      </c>
      <c r="CJ1295" s="407">
        <v>59</v>
      </c>
      <c r="CK1295" s="407">
        <v>59</v>
      </c>
      <c r="CL1295" s="407">
        <v>59</v>
      </c>
      <c r="CM1295" s="407">
        <v>59</v>
      </c>
      <c r="CN1295" s="407">
        <v>59</v>
      </c>
      <c r="CO1295" s="407">
        <v>59</v>
      </c>
      <c r="CP1295" s="407">
        <v>59</v>
      </c>
      <c r="CQ1295" s="407">
        <v>59</v>
      </c>
      <c r="CR1295" s="407">
        <v>59</v>
      </c>
      <c r="CS1295" s="407"/>
      <c r="CT1295" s="407"/>
      <c r="CU1295" s="407"/>
      <c r="CV1295" s="407"/>
      <c r="CW1295" s="407"/>
      <c r="CX1295" s="407"/>
      <c r="CY1295" s="407"/>
      <c r="CZ1295" s="407"/>
      <c r="DA1295" s="407"/>
      <c r="DB1295" s="407"/>
      <c r="DC1295" s="407"/>
      <c r="DD1295" s="407"/>
      <c r="DE1295" s="404"/>
      <c r="DF1295" s="404"/>
      <c r="DG1295" s="404"/>
      <c r="DH1295" s="404"/>
      <c r="DI1295" s="404"/>
      <c r="DJ1295" s="404"/>
      <c r="DK1295" s="897"/>
    </row>
    <row r="1296" spans="1:115" ht="25.5" x14ac:dyDescent="0.2">
      <c r="A1296" s="295">
        <v>1292</v>
      </c>
      <c r="B1296" s="390" t="s">
        <v>1829</v>
      </c>
      <c r="C1296" s="424" t="s">
        <v>7725</v>
      </c>
      <c r="D1296" s="391"/>
      <c r="E1296" s="707" t="s">
        <v>1813</v>
      </c>
      <c r="F1296" s="404" t="s">
        <v>1340</v>
      </c>
      <c r="G1296" s="404" t="s">
        <v>1677</v>
      </c>
      <c r="H1296" s="404" t="s">
        <v>151</v>
      </c>
      <c r="I1296" s="403"/>
      <c r="J1296" s="403" t="s">
        <v>151</v>
      </c>
      <c r="K1296" s="403"/>
      <c r="L1296" s="403" t="s">
        <v>3773</v>
      </c>
      <c r="M1296" s="403" t="s">
        <v>3572</v>
      </c>
      <c r="N1296" s="404" t="s">
        <v>2412</v>
      </c>
      <c r="O1296" s="404" t="s">
        <v>289</v>
      </c>
      <c r="P1296" s="404" t="s">
        <v>289</v>
      </c>
      <c r="Q1296" s="403" t="s">
        <v>721</v>
      </c>
      <c r="R1296" s="403"/>
      <c r="S1296" s="403" t="s">
        <v>650</v>
      </c>
      <c r="T1296" s="405"/>
      <c r="U1296" s="406"/>
      <c r="V1296" s="406"/>
      <c r="W1296" s="456">
        <v>41022</v>
      </c>
      <c r="X1296" s="405">
        <v>28</v>
      </c>
      <c r="Y1296" s="405"/>
      <c r="Z1296" s="405"/>
      <c r="AA1296" s="406"/>
      <c r="AB1296" s="455"/>
      <c r="AC1296" s="407"/>
      <c r="AD1296" s="407"/>
      <c r="AE1296" s="404" t="s">
        <v>103</v>
      </c>
      <c r="AF1296" s="418"/>
      <c r="AG1296" s="418"/>
      <c r="AH1296" s="418"/>
      <c r="AI1296" s="405"/>
      <c r="AJ1296" s="455"/>
      <c r="AK1296" s="455"/>
      <c r="AL1296" s="404"/>
      <c r="AM1296" s="404"/>
      <c r="AN1296" s="418"/>
      <c r="AO1296" s="403"/>
      <c r="AP1296" s="403" t="s">
        <v>55</v>
      </c>
      <c r="AQ1296" s="403"/>
      <c r="AR1296" s="403" t="s">
        <v>3773</v>
      </c>
      <c r="AS1296" s="482">
        <v>41029</v>
      </c>
      <c r="AT1296" s="456">
        <v>41153</v>
      </c>
      <c r="AU1296" s="455"/>
      <c r="AV1296" s="455"/>
      <c r="AW1296" s="455"/>
      <c r="AX1296" s="455"/>
      <c r="AY1296" s="455"/>
      <c r="AZ1296" s="455"/>
      <c r="BA1296" s="404"/>
      <c r="BB1296" s="404" t="s">
        <v>3147</v>
      </c>
      <c r="BC1296" s="404" t="b">
        <v>1</v>
      </c>
      <c r="BD1296" s="404" t="s">
        <v>3116</v>
      </c>
      <c r="BE1296" s="403"/>
      <c r="BF1296" s="405">
        <v>4</v>
      </c>
      <c r="BG1296" s="405">
        <v>5</v>
      </c>
      <c r="BH1296" s="405">
        <v>8</v>
      </c>
      <c r="BI1296" s="405"/>
      <c r="BJ1296" s="405"/>
      <c r="BK1296" s="405"/>
      <c r="BL1296" s="446"/>
      <c r="BM1296" s="403"/>
      <c r="BN1296" s="404"/>
      <c r="BO1296" s="404"/>
      <c r="BP1296" s="408"/>
      <c r="BQ1296" s="409"/>
      <c r="BR1296" s="410"/>
      <c r="BS1296" s="408"/>
      <c r="BT1296" s="405"/>
      <c r="BU1296" s="418"/>
      <c r="BV1296" s="408"/>
      <c r="BW1296" s="404"/>
      <c r="BX1296" s="403"/>
      <c r="BY1296" s="404"/>
      <c r="BZ1296" s="404"/>
      <c r="CA1296" s="443"/>
      <c r="CB1296" s="409"/>
      <c r="CC1296" s="407"/>
      <c r="CD1296" s="407"/>
      <c r="CE1296" s="407"/>
      <c r="CF1296" s="407"/>
      <c r="CG1296" s="407"/>
      <c r="CH1296" s="407"/>
      <c r="CI1296" s="407"/>
      <c r="CJ1296" s="407"/>
      <c r="CK1296" s="407"/>
      <c r="CL1296" s="407"/>
      <c r="CM1296" s="407"/>
      <c r="CN1296" s="407"/>
      <c r="CO1296" s="407"/>
      <c r="CP1296" s="407"/>
      <c r="CQ1296" s="407"/>
      <c r="CR1296" s="407"/>
      <c r="CS1296" s="407"/>
      <c r="CT1296" s="407"/>
      <c r="CU1296" s="407"/>
      <c r="CV1296" s="407"/>
      <c r="CW1296" s="407"/>
      <c r="CX1296" s="407"/>
      <c r="CY1296" s="407"/>
      <c r="CZ1296" s="407"/>
      <c r="DA1296" s="407"/>
      <c r="DB1296" s="407"/>
      <c r="DC1296" s="407"/>
      <c r="DD1296" s="407"/>
      <c r="DE1296" s="404"/>
      <c r="DF1296" s="404"/>
      <c r="DG1296" s="404"/>
      <c r="DH1296" s="404"/>
      <c r="DI1296" s="404"/>
      <c r="DJ1296" s="404"/>
      <c r="DK1296" s="897"/>
    </row>
    <row r="1297" spans="1:115" ht="25.5" x14ac:dyDescent="0.2">
      <c r="A1297" s="295">
        <v>1293</v>
      </c>
      <c r="B1297" s="390" t="s">
        <v>2897</v>
      </c>
      <c r="C1297" s="390"/>
      <c r="D1297" s="391"/>
      <c r="E1297" s="707" t="s">
        <v>1814</v>
      </c>
      <c r="F1297" s="404" t="s">
        <v>1340</v>
      </c>
      <c r="G1297" s="404" t="s">
        <v>1677</v>
      </c>
      <c r="H1297" s="404" t="s">
        <v>151</v>
      </c>
      <c r="I1297" s="403"/>
      <c r="J1297" s="403"/>
      <c r="K1297" s="403" t="s">
        <v>1815</v>
      </c>
      <c r="L1297" s="403" t="s">
        <v>3773</v>
      </c>
      <c r="M1297" s="403"/>
      <c r="N1297" s="404" t="s">
        <v>2412</v>
      </c>
      <c r="O1297" s="404" t="s">
        <v>289</v>
      </c>
      <c r="P1297" s="404" t="s">
        <v>289</v>
      </c>
      <c r="Q1297" s="403" t="s">
        <v>721</v>
      </c>
      <c r="R1297" s="403" t="s">
        <v>3573</v>
      </c>
      <c r="S1297" s="403" t="s">
        <v>650</v>
      </c>
      <c r="T1297" s="405">
        <v>1</v>
      </c>
      <c r="U1297" s="406">
        <v>49.387999999999998</v>
      </c>
      <c r="V1297" s="406"/>
      <c r="W1297" s="455"/>
      <c r="X1297" s="405"/>
      <c r="Y1297" s="405">
        <v>7</v>
      </c>
      <c r="Z1297" s="405">
        <v>30</v>
      </c>
      <c r="AA1297" s="406">
        <v>0</v>
      </c>
      <c r="AB1297" s="456">
        <v>41275</v>
      </c>
      <c r="AC1297" s="407">
        <v>0</v>
      </c>
      <c r="AD1297" s="407">
        <v>395.23930958904111</v>
      </c>
      <c r="AE1297" s="404" t="s">
        <v>103</v>
      </c>
      <c r="AF1297" s="418"/>
      <c r="AG1297" s="418"/>
      <c r="AH1297" s="418"/>
      <c r="AI1297" s="405"/>
      <c r="AJ1297" s="455"/>
      <c r="AK1297" s="455"/>
      <c r="AL1297" s="404"/>
      <c r="AM1297" s="404"/>
      <c r="AN1297" s="418"/>
      <c r="AO1297" s="403"/>
      <c r="AP1297" s="403" t="s">
        <v>55</v>
      </c>
      <c r="AQ1297" s="403"/>
      <c r="AR1297" s="403" t="s">
        <v>3773</v>
      </c>
      <c r="AS1297" s="482">
        <v>41029</v>
      </c>
      <c r="AT1297" s="456">
        <v>41153</v>
      </c>
      <c r="AU1297" s="455"/>
      <c r="AV1297" s="455"/>
      <c r="AW1297" s="455"/>
      <c r="AX1297" s="455"/>
      <c r="AY1297" s="455"/>
      <c r="AZ1297" s="455"/>
      <c r="BA1297" s="404"/>
      <c r="BB1297" s="404"/>
      <c r="BC1297" s="404" t="b">
        <v>0</v>
      </c>
      <c r="BD1297" s="404"/>
      <c r="BE1297" s="403"/>
      <c r="BF1297" s="405">
        <v>4</v>
      </c>
      <c r="BG1297" s="405">
        <v>5</v>
      </c>
      <c r="BH1297" s="405">
        <v>8</v>
      </c>
      <c r="BI1297" s="405"/>
      <c r="BJ1297" s="405"/>
      <c r="BK1297" s="405"/>
      <c r="BL1297" s="446" t="s">
        <v>6981</v>
      </c>
      <c r="BM1297" s="403"/>
      <c r="BN1297" s="404"/>
      <c r="BO1297" s="404"/>
      <c r="BP1297" s="408"/>
      <c r="BQ1297" s="409"/>
      <c r="BR1297" s="410"/>
      <c r="BS1297" s="408">
        <v>23</v>
      </c>
      <c r="BT1297" s="405">
        <v>159555</v>
      </c>
      <c r="BU1297" s="418">
        <v>0.3095</v>
      </c>
      <c r="BV1297" s="408"/>
      <c r="BW1297" s="404" t="s">
        <v>3117</v>
      </c>
      <c r="BX1297" s="403" t="s">
        <v>1447</v>
      </c>
      <c r="BY1297" s="404"/>
      <c r="BZ1297" s="404"/>
      <c r="CA1297" s="443" t="s">
        <v>1662</v>
      </c>
      <c r="CB1297" s="409"/>
      <c r="CC1297" s="407"/>
      <c r="CD1297" s="407"/>
      <c r="CE1297" s="407"/>
      <c r="CF1297" s="407"/>
      <c r="CG1297" s="407"/>
      <c r="CH1297" s="407"/>
      <c r="CI1297" s="407">
        <v>49</v>
      </c>
      <c r="CJ1297" s="407">
        <v>49</v>
      </c>
      <c r="CK1297" s="407">
        <v>49</v>
      </c>
      <c r="CL1297" s="407">
        <v>49</v>
      </c>
      <c r="CM1297" s="407">
        <v>49</v>
      </c>
      <c r="CN1297" s="407">
        <v>49</v>
      </c>
      <c r="CO1297" s="407">
        <v>49</v>
      </c>
      <c r="CP1297" s="407"/>
      <c r="CQ1297" s="407"/>
      <c r="CR1297" s="407"/>
      <c r="CS1297" s="407"/>
      <c r="CT1297" s="407"/>
      <c r="CU1297" s="407"/>
      <c r="CV1297" s="407"/>
      <c r="CW1297" s="407"/>
      <c r="CX1297" s="407"/>
      <c r="CY1297" s="407"/>
      <c r="CZ1297" s="407"/>
      <c r="DA1297" s="407"/>
      <c r="DB1297" s="407"/>
      <c r="DC1297" s="407"/>
      <c r="DD1297" s="407"/>
      <c r="DE1297" s="404"/>
      <c r="DF1297" s="404"/>
      <c r="DG1297" s="404"/>
      <c r="DH1297" s="404"/>
      <c r="DI1297" s="404"/>
      <c r="DJ1297" s="404"/>
      <c r="DK1297" s="897"/>
    </row>
    <row r="1298" spans="1:115" ht="51" x14ac:dyDescent="0.2">
      <c r="A1298" s="295">
        <v>1294</v>
      </c>
      <c r="B1298" s="390" t="s">
        <v>2000</v>
      </c>
      <c r="C1298" s="424" t="s">
        <v>7726</v>
      </c>
      <c r="D1298" s="391" t="s">
        <v>5194</v>
      </c>
      <c r="E1298" s="704" t="s">
        <v>2001</v>
      </c>
      <c r="F1298" s="393" t="s">
        <v>1375</v>
      </c>
      <c r="G1298" s="393" t="s">
        <v>1361</v>
      </c>
      <c r="H1298" s="393" t="s">
        <v>137</v>
      </c>
      <c r="I1298" s="392"/>
      <c r="J1298" s="392" t="s">
        <v>137</v>
      </c>
      <c r="K1298" s="392"/>
      <c r="L1298" s="392" t="s">
        <v>2002</v>
      </c>
      <c r="M1298" s="392" t="s">
        <v>3574</v>
      </c>
      <c r="N1298" s="393" t="s">
        <v>44</v>
      </c>
      <c r="O1298" s="393" t="s">
        <v>827</v>
      </c>
      <c r="P1298" s="393" t="s">
        <v>827</v>
      </c>
      <c r="Q1298" s="392" t="s">
        <v>836</v>
      </c>
      <c r="R1298" s="392"/>
      <c r="S1298" s="392" t="s">
        <v>650</v>
      </c>
      <c r="T1298" s="394">
        <v>1</v>
      </c>
      <c r="U1298" s="395">
        <v>18.241</v>
      </c>
      <c r="V1298" s="395"/>
      <c r="W1298" s="452">
        <v>41030</v>
      </c>
      <c r="X1298" s="394">
        <v>28</v>
      </c>
      <c r="Y1298" s="394"/>
      <c r="Z1298" s="394"/>
      <c r="AA1298" s="395"/>
      <c r="AB1298" s="453"/>
      <c r="AC1298" s="398">
        <v>0</v>
      </c>
      <c r="AD1298" s="398">
        <v>182.41</v>
      </c>
      <c r="AE1298" s="393" t="s">
        <v>54</v>
      </c>
      <c r="AF1298" s="417"/>
      <c r="AG1298" s="417"/>
      <c r="AH1298" s="417">
        <v>0</v>
      </c>
      <c r="AI1298" s="394"/>
      <c r="AJ1298" s="453"/>
      <c r="AK1298" s="453"/>
      <c r="AL1298" s="393"/>
      <c r="AM1298" s="393"/>
      <c r="AN1298" s="417"/>
      <c r="AO1298" s="392"/>
      <c r="AP1298" s="392" t="s">
        <v>55</v>
      </c>
      <c r="AQ1298" s="392"/>
      <c r="AR1298" s="392" t="s">
        <v>138</v>
      </c>
      <c r="AS1298" s="479">
        <v>41030</v>
      </c>
      <c r="AT1298" s="453"/>
      <c r="AU1298" s="453"/>
      <c r="AV1298" s="452">
        <v>41172</v>
      </c>
      <c r="AW1298" s="452">
        <v>41257</v>
      </c>
      <c r="AX1298" s="453"/>
      <c r="AY1298" s="452">
        <v>41261</v>
      </c>
      <c r="AZ1298" s="453"/>
      <c r="BA1298" s="393"/>
      <c r="BB1298" s="393" t="s">
        <v>3147</v>
      </c>
      <c r="BC1298" s="393" t="b">
        <v>1</v>
      </c>
      <c r="BD1298" s="393" t="s">
        <v>3147</v>
      </c>
      <c r="BE1298" s="392"/>
      <c r="BF1298" s="394">
        <v>8</v>
      </c>
      <c r="BG1298" s="394">
        <v>5</v>
      </c>
      <c r="BH1298" s="394">
        <v>11</v>
      </c>
      <c r="BI1298" s="394">
        <v>1</v>
      </c>
      <c r="BJ1298" s="394">
        <v>3</v>
      </c>
      <c r="BK1298" s="394"/>
      <c r="BL1298" s="444"/>
      <c r="BM1298" s="392"/>
      <c r="BN1298" s="393"/>
      <c r="BO1298" s="393"/>
      <c r="BP1298" s="399"/>
      <c r="BQ1298" s="400"/>
      <c r="BR1298" s="401"/>
      <c r="BS1298" s="399">
        <v>10</v>
      </c>
      <c r="BT1298" s="394"/>
      <c r="BU1298" s="417"/>
      <c r="BV1298" s="399"/>
      <c r="BW1298" s="393" t="s">
        <v>3117</v>
      </c>
      <c r="BX1298" s="392"/>
      <c r="BY1298" s="393"/>
      <c r="BZ1298" s="393"/>
      <c r="CA1298" s="441"/>
      <c r="CB1298" s="400"/>
      <c r="CC1298" s="398"/>
      <c r="CD1298" s="398"/>
      <c r="CE1298" s="398"/>
      <c r="CF1298" s="398"/>
      <c r="CG1298" s="398"/>
      <c r="CH1298" s="398"/>
      <c r="CI1298" s="398"/>
      <c r="CJ1298" s="398"/>
      <c r="CK1298" s="398"/>
      <c r="CL1298" s="398"/>
      <c r="CM1298" s="398"/>
      <c r="CN1298" s="398"/>
      <c r="CO1298" s="398"/>
      <c r="CP1298" s="398"/>
      <c r="CQ1298" s="398"/>
      <c r="CR1298" s="398"/>
      <c r="CS1298" s="398"/>
      <c r="CT1298" s="398"/>
      <c r="CU1298" s="398"/>
      <c r="CV1298" s="398"/>
      <c r="CW1298" s="398"/>
      <c r="CX1298" s="398"/>
      <c r="CY1298" s="398"/>
      <c r="CZ1298" s="398"/>
      <c r="DA1298" s="398"/>
      <c r="DB1298" s="398"/>
      <c r="DC1298" s="398"/>
      <c r="DD1298" s="398"/>
      <c r="DE1298" s="393"/>
      <c r="DF1298" s="393"/>
      <c r="DG1298" s="393"/>
      <c r="DH1298" s="393"/>
      <c r="DI1298" s="393"/>
      <c r="DJ1298" s="393"/>
      <c r="DK1298" s="896" t="s">
        <v>9722</v>
      </c>
    </row>
    <row r="1299" spans="1:115" ht="25.5" x14ac:dyDescent="0.2">
      <c r="A1299" s="295">
        <v>1295</v>
      </c>
      <c r="B1299" s="390" t="s">
        <v>2898</v>
      </c>
      <c r="C1299" s="390"/>
      <c r="D1299" s="391" t="s">
        <v>4626</v>
      </c>
      <c r="E1299" s="704" t="s">
        <v>2003</v>
      </c>
      <c r="F1299" s="393" t="s">
        <v>1375</v>
      </c>
      <c r="G1299" s="393" t="s">
        <v>1361</v>
      </c>
      <c r="H1299" s="393" t="s">
        <v>137</v>
      </c>
      <c r="I1299" s="392"/>
      <c r="J1299" s="392"/>
      <c r="K1299" s="392" t="s">
        <v>2004</v>
      </c>
      <c r="L1299" s="392" t="s">
        <v>2002</v>
      </c>
      <c r="M1299" s="392"/>
      <c r="N1299" s="393" t="s">
        <v>44</v>
      </c>
      <c r="O1299" s="393" t="s">
        <v>827</v>
      </c>
      <c r="P1299" s="393" t="s">
        <v>827</v>
      </c>
      <c r="Q1299" s="392" t="s">
        <v>836</v>
      </c>
      <c r="R1299" s="392" t="s">
        <v>3575</v>
      </c>
      <c r="S1299" s="392" t="s">
        <v>650</v>
      </c>
      <c r="T1299" s="394">
        <v>1</v>
      </c>
      <c r="U1299" s="395">
        <v>18.241</v>
      </c>
      <c r="V1299" s="395"/>
      <c r="W1299" s="453"/>
      <c r="X1299" s="394"/>
      <c r="Y1299" s="394">
        <v>10</v>
      </c>
      <c r="Z1299" s="394">
        <v>30</v>
      </c>
      <c r="AA1299" s="395">
        <v>-0.01</v>
      </c>
      <c r="AB1299" s="452">
        <v>42013</v>
      </c>
      <c r="AC1299" s="398">
        <v>0</v>
      </c>
      <c r="AD1299" s="398">
        <v>182.41</v>
      </c>
      <c r="AE1299" s="393" t="s">
        <v>54</v>
      </c>
      <c r="AF1299" s="417"/>
      <c r="AG1299" s="417"/>
      <c r="AH1299" s="417"/>
      <c r="AI1299" s="394"/>
      <c r="AJ1299" s="453"/>
      <c r="AK1299" s="453"/>
      <c r="AL1299" s="393"/>
      <c r="AM1299" s="393"/>
      <c r="AN1299" s="417"/>
      <c r="AO1299" s="392"/>
      <c r="AP1299" s="392" t="s">
        <v>55</v>
      </c>
      <c r="AQ1299" s="392"/>
      <c r="AR1299" s="392" t="s">
        <v>138</v>
      </c>
      <c r="AS1299" s="479">
        <v>41030</v>
      </c>
      <c r="AT1299" s="453"/>
      <c r="AU1299" s="453"/>
      <c r="AV1299" s="453"/>
      <c r="AW1299" s="453"/>
      <c r="AX1299" s="453"/>
      <c r="AY1299" s="453"/>
      <c r="AZ1299" s="452">
        <v>41261</v>
      </c>
      <c r="BA1299" s="393"/>
      <c r="BB1299" s="393"/>
      <c r="BC1299" s="393" t="b">
        <v>0</v>
      </c>
      <c r="BD1299" s="393"/>
      <c r="BE1299" s="392"/>
      <c r="BF1299" s="394">
        <v>8</v>
      </c>
      <c r="BG1299" s="394">
        <v>5</v>
      </c>
      <c r="BH1299" s="394">
        <v>11</v>
      </c>
      <c r="BI1299" s="394">
        <v>1</v>
      </c>
      <c r="BJ1299" s="394">
        <v>3</v>
      </c>
      <c r="BK1299" s="394"/>
      <c r="BL1299" s="444" t="s">
        <v>6982</v>
      </c>
      <c r="BM1299" s="392"/>
      <c r="BN1299" s="393"/>
      <c r="BO1299" s="393"/>
      <c r="BP1299" s="399"/>
      <c r="BQ1299" s="400"/>
      <c r="BR1299" s="401"/>
      <c r="BS1299" s="399">
        <v>10</v>
      </c>
      <c r="BT1299" s="394">
        <v>20045</v>
      </c>
      <c r="BU1299" s="417">
        <v>1.016</v>
      </c>
      <c r="BV1299" s="399"/>
      <c r="BW1299" s="393"/>
      <c r="BX1299" s="392"/>
      <c r="BY1299" s="393"/>
      <c r="BZ1299" s="393"/>
      <c r="CA1299" s="441"/>
      <c r="CB1299" s="400"/>
      <c r="CC1299" s="398"/>
      <c r="CD1299" s="398"/>
      <c r="CE1299" s="398"/>
      <c r="CF1299" s="398"/>
      <c r="CG1299" s="398"/>
      <c r="CH1299" s="398"/>
      <c r="CI1299" s="398"/>
      <c r="CJ1299" s="398"/>
      <c r="CK1299" s="398">
        <v>18.655000000000001</v>
      </c>
      <c r="CL1299" s="398">
        <v>18.561</v>
      </c>
      <c r="CM1299" s="398">
        <v>18.468</v>
      </c>
      <c r="CN1299" s="398">
        <v>18.376999999999999</v>
      </c>
      <c r="CO1299" s="398">
        <v>18.285</v>
      </c>
      <c r="CP1299" s="398">
        <v>18.193999999999999</v>
      </c>
      <c r="CQ1299" s="398">
        <v>18.103000000000002</v>
      </c>
      <c r="CR1299" s="398">
        <v>18.012</v>
      </c>
      <c r="CS1299" s="398">
        <v>17.922000000000001</v>
      </c>
      <c r="CT1299" s="398">
        <v>17.832000000000001</v>
      </c>
      <c r="CU1299" s="398"/>
      <c r="CV1299" s="398"/>
      <c r="CW1299" s="398"/>
      <c r="CX1299" s="398"/>
      <c r="CY1299" s="398"/>
      <c r="CZ1299" s="398"/>
      <c r="DA1299" s="398"/>
      <c r="DB1299" s="398"/>
      <c r="DC1299" s="398"/>
      <c r="DD1299" s="398"/>
      <c r="DE1299" s="393"/>
      <c r="DF1299" s="393"/>
      <c r="DG1299" s="393"/>
      <c r="DH1299" s="393"/>
      <c r="DI1299" s="393"/>
      <c r="DJ1299" s="393"/>
      <c r="DK1299" s="897"/>
    </row>
    <row r="1300" spans="1:115" ht="51" x14ac:dyDescent="0.2">
      <c r="A1300" s="295">
        <v>1296</v>
      </c>
      <c r="B1300" s="390" t="s">
        <v>2005</v>
      </c>
      <c r="C1300" s="424" t="s">
        <v>7727</v>
      </c>
      <c r="D1300" s="391" t="s">
        <v>6040</v>
      </c>
      <c r="E1300" s="704" t="s">
        <v>2006</v>
      </c>
      <c r="F1300" s="393" t="s">
        <v>1375</v>
      </c>
      <c r="G1300" s="393" t="s">
        <v>998</v>
      </c>
      <c r="H1300" s="393" t="s">
        <v>504</v>
      </c>
      <c r="I1300" s="392"/>
      <c r="J1300" s="392" t="s">
        <v>2007</v>
      </c>
      <c r="K1300" s="392"/>
      <c r="L1300" s="392" t="s">
        <v>1049</v>
      </c>
      <c r="M1300" s="392" t="s">
        <v>3576</v>
      </c>
      <c r="N1300" s="393" t="s">
        <v>44</v>
      </c>
      <c r="O1300" s="393" t="s">
        <v>51</v>
      </c>
      <c r="P1300" s="393" t="s">
        <v>51</v>
      </c>
      <c r="Q1300" s="392" t="s">
        <v>976</v>
      </c>
      <c r="R1300" s="392"/>
      <c r="S1300" s="392" t="s">
        <v>977</v>
      </c>
      <c r="T1300" s="394">
        <v>5</v>
      </c>
      <c r="U1300" s="395">
        <v>206.27700000000002</v>
      </c>
      <c r="V1300" s="395"/>
      <c r="W1300" s="452">
        <v>41029</v>
      </c>
      <c r="X1300" s="394">
        <v>28</v>
      </c>
      <c r="Y1300" s="394"/>
      <c r="Z1300" s="394"/>
      <c r="AA1300" s="395"/>
      <c r="AB1300" s="453"/>
      <c r="AC1300" s="398">
        <v>6.7663000000000002</v>
      </c>
      <c r="AD1300" s="398">
        <v>1190.3149589041095</v>
      </c>
      <c r="AE1300" s="393" t="s">
        <v>37</v>
      </c>
      <c r="AF1300" s="417">
        <f>SUM(AF1301:AF1303)</f>
        <v>0</v>
      </c>
      <c r="AG1300" s="417">
        <f>SUM(AG1301:AG1303)</f>
        <v>250.845</v>
      </c>
      <c r="AH1300" s="417">
        <v>253.50299999999999</v>
      </c>
      <c r="AI1300" s="394"/>
      <c r="AJ1300" s="453">
        <v>42395</v>
      </c>
      <c r="AK1300" s="453">
        <v>42840</v>
      </c>
      <c r="AL1300" s="393"/>
      <c r="AM1300" s="393"/>
      <c r="AN1300" s="417"/>
      <c r="AO1300" s="392"/>
      <c r="AP1300" s="428" t="s">
        <v>8104</v>
      </c>
      <c r="AQ1300" s="392"/>
      <c r="AR1300" s="392" t="s">
        <v>3823</v>
      </c>
      <c r="AS1300" s="479">
        <v>41030</v>
      </c>
      <c r="AT1300" s="453"/>
      <c r="AU1300" s="453"/>
      <c r="AV1300" s="452">
        <v>41299</v>
      </c>
      <c r="AW1300" s="452">
        <v>41711</v>
      </c>
      <c r="AX1300" s="452">
        <v>41723</v>
      </c>
      <c r="AY1300" s="452">
        <v>41711</v>
      </c>
      <c r="AZ1300" s="453"/>
      <c r="BA1300" s="393"/>
      <c r="BB1300" s="393" t="s">
        <v>3116</v>
      </c>
      <c r="BC1300" s="393" t="b">
        <v>0</v>
      </c>
      <c r="BD1300" s="393" t="s">
        <v>3116</v>
      </c>
      <c r="BE1300" s="392"/>
      <c r="BF1300" s="394">
        <v>4</v>
      </c>
      <c r="BG1300" s="394">
        <v>8</v>
      </c>
      <c r="BH1300" s="394">
        <v>6</v>
      </c>
      <c r="BI1300" s="394">
        <v>9</v>
      </c>
      <c r="BJ1300" s="394"/>
      <c r="BK1300" s="394"/>
      <c r="BL1300" s="444"/>
      <c r="BM1300" s="392"/>
      <c r="BN1300" s="393"/>
      <c r="BO1300" s="393"/>
      <c r="BP1300" s="399"/>
      <c r="BQ1300" s="400"/>
      <c r="BR1300" s="401"/>
      <c r="BS1300" s="399">
        <v>0</v>
      </c>
      <c r="BT1300" s="394"/>
      <c r="BU1300" s="417"/>
      <c r="BV1300" s="399"/>
      <c r="BW1300" s="393"/>
      <c r="BX1300" s="392"/>
      <c r="BY1300" s="393"/>
      <c r="BZ1300" s="393"/>
      <c r="CA1300" s="441"/>
      <c r="CB1300" s="400"/>
      <c r="CC1300" s="398"/>
      <c r="CD1300" s="398"/>
      <c r="CE1300" s="398"/>
      <c r="CF1300" s="398"/>
      <c r="CG1300" s="398"/>
      <c r="CH1300" s="398"/>
      <c r="CI1300" s="398"/>
      <c r="CJ1300" s="398"/>
      <c r="CK1300" s="398"/>
      <c r="CL1300" s="398"/>
      <c r="CM1300" s="398"/>
      <c r="CN1300" s="398"/>
      <c r="CO1300" s="398"/>
      <c r="CP1300" s="398"/>
      <c r="CQ1300" s="398"/>
      <c r="CR1300" s="398"/>
      <c r="CS1300" s="398"/>
      <c r="CT1300" s="398"/>
      <c r="CU1300" s="398"/>
      <c r="CV1300" s="398"/>
      <c r="CW1300" s="398"/>
      <c r="CX1300" s="398"/>
      <c r="CY1300" s="398"/>
      <c r="CZ1300" s="398"/>
      <c r="DA1300" s="398"/>
      <c r="DB1300" s="398"/>
      <c r="DC1300" s="398"/>
      <c r="DD1300" s="398"/>
      <c r="DE1300" s="393"/>
      <c r="DF1300" s="393"/>
      <c r="DG1300" s="393"/>
      <c r="DH1300" s="393"/>
      <c r="DI1300" s="393"/>
      <c r="DJ1300" s="393"/>
      <c r="DK1300" s="896" t="s">
        <v>9716</v>
      </c>
    </row>
    <row r="1301" spans="1:115" ht="25.5" x14ac:dyDescent="0.2">
      <c r="A1301" s="295">
        <v>1297</v>
      </c>
      <c r="B1301" s="390" t="s">
        <v>2899</v>
      </c>
      <c r="C1301" s="390"/>
      <c r="D1301" s="391" t="s">
        <v>6041</v>
      </c>
      <c r="E1301" s="704" t="s">
        <v>2008</v>
      </c>
      <c r="F1301" s="393" t="s">
        <v>1375</v>
      </c>
      <c r="G1301" s="393" t="s">
        <v>998</v>
      </c>
      <c r="H1301" s="393" t="s">
        <v>504</v>
      </c>
      <c r="I1301" s="392"/>
      <c r="J1301" s="392"/>
      <c r="K1301" s="392" t="s">
        <v>2007</v>
      </c>
      <c r="L1301" s="392" t="s">
        <v>1049</v>
      </c>
      <c r="M1301" s="392"/>
      <c r="N1301" s="393" t="s">
        <v>44</v>
      </c>
      <c r="O1301" s="393" t="s">
        <v>51</v>
      </c>
      <c r="P1301" s="393" t="s">
        <v>51</v>
      </c>
      <c r="Q1301" s="392" t="s">
        <v>976</v>
      </c>
      <c r="R1301" s="392" t="s">
        <v>3577</v>
      </c>
      <c r="S1301" s="392" t="s">
        <v>977</v>
      </c>
      <c r="T1301" s="394">
        <v>1</v>
      </c>
      <c r="U1301" s="395">
        <v>38.856999999999999</v>
      </c>
      <c r="V1301" s="395"/>
      <c r="W1301" s="453"/>
      <c r="X1301" s="394"/>
      <c r="Y1301" s="394">
        <v>7</v>
      </c>
      <c r="Z1301" s="394">
        <v>21</v>
      </c>
      <c r="AA1301" s="395">
        <v>0</v>
      </c>
      <c r="AB1301" s="452">
        <v>41122</v>
      </c>
      <c r="AC1301" s="398">
        <v>6.7663000000000002</v>
      </c>
      <c r="AD1301" s="398">
        <v>327.25046027397264</v>
      </c>
      <c r="AE1301" s="393" t="s">
        <v>37</v>
      </c>
      <c r="AF1301" s="417">
        <v>0</v>
      </c>
      <c r="AG1301" s="417">
        <f>37.637+44.471+29.186</f>
        <v>111.29400000000001</v>
      </c>
      <c r="AH1301" s="417">
        <v>111.29400000000001</v>
      </c>
      <c r="AI1301" s="394"/>
      <c r="AJ1301" s="453">
        <v>42395</v>
      </c>
      <c r="AK1301" s="453">
        <v>42840</v>
      </c>
      <c r="AL1301" s="393"/>
      <c r="AM1301" s="393"/>
      <c r="AN1301" s="417"/>
      <c r="AO1301" s="392"/>
      <c r="AP1301" s="428" t="s">
        <v>8104</v>
      </c>
      <c r="AQ1301" s="392"/>
      <c r="AR1301" s="392" t="s">
        <v>3823</v>
      </c>
      <c r="AS1301" s="479">
        <v>41030</v>
      </c>
      <c r="AT1301" s="453"/>
      <c r="AU1301" s="453"/>
      <c r="AV1301" s="453"/>
      <c r="AW1301" s="453"/>
      <c r="AX1301" s="453"/>
      <c r="AY1301" s="453"/>
      <c r="AZ1301" s="452">
        <v>41711</v>
      </c>
      <c r="BA1301" s="393"/>
      <c r="BB1301" s="393"/>
      <c r="BC1301" s="393" t="b">
        <v>0</v>
      </c>
      <c r="BD1301" s="393"/>
      <c r="BE1301" s="392"/>
      <c r="BF1301" s="394">
        <v>4</v>
      </c>
      <c r="BG1301" s="394">
        <v>8</v>
      </c>
      <c r="BH1301" s="394">
        <v>6</v>
      </c>
      <c r="BI1301" s="394">
        <v>9</v>
      </c>
      <c r="BJ1301" s="394"/>
      <c r="BK1301" s="394"/>
      <c r="BL1301" s="444" t="s">
        <v>6981</v>
      </c>
      <c r="BM1301" s="392"/>
      <c r="BN1301" s="393"/>
      <c r="BO1301" s="393"/>
      <c r="BP1301" s="399"/>
      <c r="BQ1301" s="400"/>
      <c r="BR1301" s="401"/>
      <c r="BS1301" s="399"/>
      <c r="BT1301" s="394"/>
      <c r="BU1301" s="417"/>
      <c r="BV1301" s="399">
        <v>59.99</v>
      </c>
      <c r="BW1301" s="393" t="s">
        <v>3117</v>
      </c>
      <c r="BX1301" s="392" t="s">
        <v>4364</v>
      </c>
      <c r="BY1301" s="393" t="s">
        <v>7224</v>
      </c>
      <c r="BZ1301" s="393"/>
      <c r="CA1301" s="441"/>
      <c r="CB1301" s="400"/>
      <c r="CC1301" s="398"/>
      <c r="CD1301" s="398"/>
      <c r="CE1301" s="398"/>
      <c r="CF1301" s="398"/>
      <c r="CG1301" s="398"/>
      <c r="CH1301" s="398"/>
      <c r="CI1301" s="398">
        <v>16.239000000000001</v>
      </c>
      <c r="CJ1301" s="398">
        <v>16.239000000000001</v>
      </c>
      <c r="CK1301" s="398">
        <v>16.239000000000001</v>
      </c>
      <c r="CL1301" s="398">
        <v>16.239000000000001</v>
      </c>
      <c r="CM1301" s="398">
        <v>16.239000000000001</v>
      </c>
      <c r="CN1301" s="398">
        <v>16.239000000000001</v>
      </c>
      <c r="CO1301" s="398">
        <v>16.239000000000001</v>
      </c>
      <c r="CP1301" s="398"/>
      <c r="CQ1301" s="398"/>
      <c r="CR1301" s="398"/>
      <c r="CS1301" s="398"/>
      <c r="CT1301" s="398"/>
      <c r="CU1301" s="398"/>
      <c r="CV1301" s="398"/>
      <c r="CW1301" s="398"/>
      <c r="CX1301" s="398"/>
      <c r="CY1301" s="398"/>
      <c r="CZ1301" s="398"/>
      <c r="DA1301" s="398"/>
      <c r="DB1301" s="398"/>
      <c r="DC1301" s="398"/>
      <c r="DD1301" s="398"/>
      <c r="DE1301" s="393"/>
      <c r="DF1301" s="393"/>
      <c r="DG1301" s="393"/>
      <c r="DH1301" s="393"/>
      <c r="DI1301" s="393"/>
      <c r="DJ1301" s="393"/>
      <c r="DK1301" s="897"/>
    </row>
    <row r="1302" spans="1:115" ht="25.5" x14ac:dyDescent="0.2">
      <c r="A1302" s="295">
        <v>1298</v>
      </c>
      <c r="B1302" s="390" t="s">
        <v>6744</v>
      </c>
      <c r="C1302" s="390"/>
      <c r="D1302" s="391" t="s">
        <v>6745</v>
      </c>
      <c r="E1302" s="704" t="s">
        <v>6746</v>
      </c>
      <c r="F1302" s="393" t="s">
        <v>1375</v>
      </c>
      <c r="G1302" s="393" t="s">
        <v>998</v>
      </c>
      <c r="H1302" s="393" t="s">
        <v>504</v>
      </c>
      <c r="I1302" s="392"/>
      <c r="J1302" s="392"/>
      <c r="K1302" s="392" t="s">
        <v>5627</v>
      </c>
      <c r="L1302" s="392" t="s">
        <v>1049</v>
      </c>
      <c r="M1302" s="392"/>
      <c r="N1302" s="393" t="s">
        <v>44</v>
      </c>
      <c r="O1302" s="393" t="s">
        <v>51</v>
      </c>
      <c r="P1302" s="393" t="s">
        <v>51</v>
      </c>
      <c r="Q1302" s="392" t="s">
        <v>976</v>
      </c>
      <c r="R1302" s="392" t="s">
        <v>6747</v>
      </c>
      <c r="S1302" s="392" t="s">
        <v>977</v>
      </c>
      <c r="T1302" s="394">
        <v>1</v>
      </c>
      <c r="U1302" s="395">
        <v>38.856999999999999</v>
      </c>
      <c r="V1302" s="395"/>
      <c r="W1302" s="453"/>
      <c r="X1302" s="394"/>
      <c r="Y1302" s="394">
        <v>7</v>
      </c>
      <c r="Z1302" s="394">
        <v>21</v>
      </c>
      <c r="AA1302" s="395">
        <v>0</v>
      </c>
      <c r="AB1302" s="452">
        <v>41927</v>
      </c>
      <c r="AC1302" s="398"/>
      <c r="AD1302" s="398">
        <v>241.55214520547943</v>
      </c>
      <c r="AE1302" s="393" t="s">
        <v>37</v>
      </c>
      <c r="AF1302" s="417">
        <v>0</v>
      </c>
      <c r="AG1302" s="417">
        <f>3.969+40.035+39.397</f>
        <v>83.400999999999996</v>
      </c>
      <c r="AH1302" s="417">
        <v>83.400999999999996</v>
      </c>
      <c r="AI1302" s="394"/>
      <c r="AJ1302" s="453">
        <v>42395</v>
      </c>
      <c r="AK1302" s="453">
        <v>42840</v>
      </c>
      <c r="AL1302" s="393"/>
      <c r="AM1302" s="393"/>
      <c r="AN1302" s="417"/>
      <c r="AO1302" s="392"/>
      <c r="AP1302" s="428" t="s">
        <v>8104</v>
      </c>
      <c r="AQ1302" s="392"/>
      <c r="AR1302" s="392" t="s">
        <v>3823</v>
      </c>
      <c r="AS1302" s="479">
        <v>41030</v>
      </c>
      <c r="AT1302" s="453"/>
      <c r="AU1302" s="453"/>
      <c r="AV1302" s="453"/>
      <c r="AW1302" s="453"/>
      <c r="AX1302" s="453"/>
      <c r="AY1302" s="453"/>
      <c r="AZ1302" s="452">
        <v>41983</v>
      </c>
      <c r="BA1302" s="393"/>
      <c r="BB1302" s="393"/>
      <c r="BC1302" s="393" t="b">
        <v>0</v>
      </c>
      <c r="BD1302" s="393"/>
      <c r="BE1302" s="392"/>
      <c r="BF1302" s="394">
        <v>4</v>
      </c>
      <c r="BG1302" s="394">
        <v>8</v>
      </c>
      <c r="BH1302" s="394">
        <v>6</v>
      </c>
      <c r="BI1302" s="394">
        <v>9</v>
      </c>
      <c r="BJ1302" s="394"/>
      <c r="BK1302" s="394"/>
      <c r="BL1302" s="444" t="s">
        <v>6981</v>
      </c>
      <c r="BM1302" s="392"/>
      <c r="BN1302" s="393"/>
      <c r="BO1302" s="393"/>
      <c r="BP1302" s="399"/>
      <c r="BQ1302" s="400"/>
      <c r="BR1302" s="401"/>
      <c r="BS1302" s="399"/>
      <c r="BT1302" s="394"/>
      <c r="BU1302" s="417"/>
      <c r="BV1302" s="399"/>
      <c r="BW1302" s="393" t="s">
        <v>3117</v>
      </c>
      <c r="BX1302" s="392" t="s">
        <v>4364</v>
      </c>
      <c r="BY1302" s="393" t="s">
        <v>7224</v>
      </c>
      <c r="BZ1302" s="393"/>
      <c r="CA1302" s="441"/>
      <c r="CB1302" s="400"/>
      <c r="CC1302" s="398"/>
      <c r="CD1302" s="398"/>
      <c r="CE1302" s="398"/>
      <c r="CF1302" s="398"/>
      <c r="CG1302" s="398"/>
      <c r="CH1302" s="398"/>
      <c r="CI1302" s="398"/>
      <c r="CJ1302" s="398">
        <v>38.856999999999999</v>
      </c>
      <c r="CK1302" s="398">
        <v>38.856999999999999</v>
      </c>
      <c r="CL1302" s="398">
        <v>38.856999999999999</v>
      </c>
      <c r="CM1302" s="398">
        <v>38.856999999999999</v>
      </c>
      <c r="CN1302" s="398">
        <v>38.856999999999999</v>
      </c>
      <c r="CO1302" s="398">
        <v>38.856999999999999</v>
      </c>
      <c r="CP1302" s="398">
        <v>38.856999999999999</v>
      </c>
      <c r="CQ1302" s="398"/>
      <c r="CR1302" s="398"/>
      <c r="CS1302" s="398"/>
      <c r="CT1302" s="398"/>
      <c r="CU1302" s="398"/>
      <c r="CV1302" s="398"/>
      <c r="CW1302" s="398"/>
      <c r="CX1302" s="398"/>
      <c r="CY1302" s="398"/>
      <c r="CZ1302" s="398"/>
      <c r="DA1302" s="398"/>
      <c r="DB1302" s="398"/>
      <c r="DC1302" s="398"/>
      <c r="DD1302" s="398"/>
      <c r="DE1302" s="393"/>
      <c r="DF1302" s="393"/>
      <c r="DG1302" s="393"/>
      <c r="DH1302" s="393"/>
      <c r="DI1302" s="393"/>
      <c r="DJ1302" s="393"/>
      <c r="DK1302" s="897"/>
    </row>
    <row r="1303" spans="1:115" ht="25.5" x14ac:dyDescent="0.2">
      <c r="A1303" s="295">
        <v>1299</v>
      </c>
      <c r="B1303" s="390" t="s">
        <v>6748</v>
      </c>
      <c r="C1303" s="390"/>
      <c r="D1303" s="391" t="s">
        <v>6749</v>
      </c>
      <c r="E1303" s="704" t="s">
        <v>6750</v>
      </c>
      <c r="F1303" s="393" t="s">
        <v>1375</v>
      </c>
      <c r="G1303" s="393" t="s">
        <v>998</v>
      </c>
      <c r="H1303" s="393" t="s">
        <v>504</v>
      </c>
      <c r="I1303" s="392"/>
      <c r="J1303" s="392"/>
      <c r="K1303" s="392" t="s">
        <v>5627</v>
      </c>
      <c r="L1303" s="392" t="s">
        <v>1049</v>
      </c>
      <c r="M1303" s="392"/>
      <c r="N1303" s="393" t="s">
        <v>44</v>
      </c>
      <c r="O1303" s="393" t="s">
        <v>51</v>
      </c>
      <c r="P1303" s="393" t="s">
        <v>51</v>
      </c>
      <c r="Q1303" s="392" t="s">
        <v>976</v>
      </c>
      <c r="R1303" s="392" t="s">
        <v>6747</v>
      </c>
      <c r="S1303" s="392" t="s">
        <v>977</v>
      </c>
      <c r="T1303" s="394">
        <v>1</v>
      </c>
      <c r="U1303" s="395">
        <v>38.856999999999999</v>
      </c>
      <c r="V1303" s="395"/>
      <c r="W1303" s="453"/>
      <c r="X1303" s="394"/>
      <c r="Y1303" s="394">
        <v>7</v>
      </c>
      <c r="Z1303" s="394">
        <v>21</v>
      </c>
      <c r="AA1303" s="395">
        <v>0</v>
      </c>
      <c r="AB1303" s="452">
        <v>41927</v>
      </c>
      <c r="AC1303" s="398"/>
      <c r="AD1303" s="398">
        <v>241.55214520547943</v>
      </c>
      <c r="AE1303" s="393" t="s">
        <v>37</v>
      </c>
      <c r="AF1303" s="417"/>
      <c r="AG1303" s="417">
        <f>15.434+40.716</f>
        <v>56.15</v>
      </c>
      <c r="AH1303" s="417">
        <v>56.15</v>
      </c>
      <c r="AI1303" s="394"/>
      <c r="AJ1303" s="453">
        <v>43013</v>
      </c>
      <c r="AK1303" s="453">
        <v>42840</v>
      </c>
      <c r="AL1303" s="393"/>
      <c r="AM1303" s="393"/>
      <c r="AN1303" s="417"/>
      <c r="AO1303" s="392"/>
      <c r="AP1303" s="428" t="s">
        <v>8104</v>
      </c>
      <c r="AQ1303" s="392"/>
      <c r="AR1303" s="392" t="s">
        <v>3823</v>
      </c>
      <c r="AS1303" s="479">
        <v>41030</v>
      </c>
      <c r="AT1303" s="453"/>
      <c r="AU1303" s="453"/>
      <c r="AV1303" s="453"/>
      <c r="AW1303" s="453"/>
      <c r="AX1303" s="453"/>
      <c r="AY1303" s="453"/>
      <c r="AZ1303" s="452">
        <v>41983</v>
      </c>
      <c r="BA1303" s="393"/>
      <c r="BB1303" s="393"/>
      <c r="BC1303" s="393" t="b">
        <v>0</v>
      </c>
      <c r="BD1303" s="393"/>
      <c r="BE1303" s="392"/>
      <c r="BF1303" s="394">
        <v>4</v>
      </c>
      <c r="BG1303" s="394">
        <v>8</v>
      </c>
      <c r="BH1303" s="394">
        <v>6</v>
      </c>
      <c r="BI1303" s="394">
        <v>9</v>
      </c>
      <c r="BJ1303" s="394"/>
      <c r="BK1303" s="394"/>
      <c r="BL1303" s="444" t="s">
        <v>6981</v>
      </c>
      <c r="BM1303" s="392"/>
      <c r="BN1303" s="393"/>
      <c r="BO1303" s="393"/>
      <c r="BP1303" s="399"/>
      <c r="BQ1303" s="400"/>
      <c r="BR1303" s="401"/>
      <c r="BS1303" s="399"/>
      <c r="BT1303" s="394"/>
      <c r="BU1303" s="417"/>
      <c r="BV1303" s="399"/>
      <c r="BW1303" s="393" t="s">
        <v>3117</v>
      </c>
      <c r="BX1303" s="392" t="s">
        <v>4364</v>
      </c>
      <c r="BY1303" s="393" t="s">
        <v>7224</v>
      </c>
      <c r="BZ1303" s="393"/>
      <c r="CA1303" s="441"/>
      <c r="CB1303" s="400"/>
      <c r="CC1303" s="398"/>
      <c r="CD1303" s="398"/>
      <c r="CE1303" s="398"/>
      <c r="CF1303" s="398"/>
      <c r="CG1303" s="398"/>
      <c r="CH1303" s="398"/>
      <c r="CI1303" s="398"/>
      <c r="CJ1303" s="398">
        <v>38.856999999999999</v>
      </c>
      <c r="CK1303" s="398">
        <v>38.856999999999999</v>
      </c>
      <c r="CL1303" s="398">
        <v>38.856999999999999</v>
      </c>
      <c r="CM1303" s="398">
        <v>38.856999999999999</v>
      </c>
      <c r="CN1303" s="398">
        <v>38.856999999999999</v>
      </c>
      <c r="CO1303" s="398">
        <v>38.856999999999999</v>
      </c>
      <c r="CP1303" s="398">
        <v>38.856999999999999</v>
      </c>
      <c r="CQ1303" s="398"/>
      <c r="CR1303" s="398"/>
      <c r="CS1303" s="398"/>
      <c r="CT1303" s="398"/>
      <c r="CU1303" s="398"/>
      <c r="CV1303" s="398"/>
      <c r="CW1303" s="398"/>
      <c r="CX1303" s="398"/>
      <c r="CY1303" s="398"/>
      <c r="CZ1303" s="398"/>
      <c r="DA1303" s="398"/>
      <c r="DB1303" s="398"/>
      <c r="DC1303" s="398"/>
      <c r="DD1303" s="398"/>
      <c r="DE1303" s="393"/>
      <c r="DF1303" s="393"/>
      <c r="DG1303" s="393"/>
      <c r="DH1303" s="393"/>
      <c r="DI1303" s="393"/>
      <c r="DJ1303" s="393"/>
      <c r="DK1303" s="897"/>
    </row>
    <row r="1304" spans="1:115" ht="25.5" x14ac:dyDescent="0.2">
      <c r="A1304" s="295">
        <v>1300</v>
      </c>
      <c r="B1304" s="390" t="s">
        <v>8344</v>
      </c>
      <c r="C1304" s="390"/>
      <c r="D1304" s="391" t="s">
        <v>8345</v>
      </c>
      <c r="E1304" s="705" t="s">
        <v>8348</v>
      </c>
      <c r="F1304" s="393" t="s">
        <v>1375</v>
      </c>
      <c r="G1304" s="393" t="s">
        <v>998</v>
      </c>
      <c r="H1304" s="393" t="s">
        <v>504</v>
      </c>
      <c r="I1304" s="392"/>
      <c r="J1304" s="392"/>
      <c r="K1304" s="392" t="s">
        <v>5627</v>
      </c>
      <c r="L1304" s="392" t="s">
        <v>1049</v>
      </c>
      <c r="M1304" s="392"/>
      <c r="N1304" s="475" t="s">
        <v>44</v>
      </c>
      <c r="O1304" s="393" t="s">
        <v>51</v>
      </c>
      <c r="P1304" s="393" t="s">
        <v>51</v>
      </c>
      <c r="Q1304" s="392" t="s">
        <v>976</v>
      </c>
      <c r="R1304" s="428" t="s">
        <v>6747</v>
      </c>
      <c r="S1304" s="428" t="s">
        <v>977</v>
      </c>
      <c r="T1304" s="394">
        <v>1</v>
      </c>
      <c r="U1304" s="395">
        <v>44.853000000000002</v>
      </c>
      <c r="V1304" s="395"/>
      <c r="W1304" s="453"/>
      <c r="X1304" s="394"/>
      <c r="Y1304" s="394">
        <v>7</v>
      </c>
      <c r="Z1304" s="394">
        <v>21</v>
      </c>
      <c r="AA1304" s="395">
        <v>0</v>
      </c>
      <c r="AB1304" s="452">
        <v>42650</v>
      </c>
      <c r="AC1304" s="398"/>
      <c r="AD1304" s="398">
        <v>189.98010410958904</v>
      </c>
      <c r="AE1304" s="475" t="s">
        <v>37</v>
      </c>
      <c r="AF1304" s="417"/>
      <c r="AG1304" s="417">
        <f>2.658</f>
        <v>2.6579999999999999</v>
      </c>
      <c r="AH1304" s="417">
        <v>2.6579999999999999</v>
      </c>
      <c r="AI1304" s="394"/>
      <c r="AJ1304" s="453">
        <v>43013</v>
      </c>
      <c r="AK1304" s="453">
        <v>42840</v>
      </c>
      <c r="AL1304" s="393"/>
      <c r="AM1304" s="393"/>
      <c r="AN1304" s="417"/>
      <c r="AO1304" s="392"/>
      <c r="AP1304" s="428" t="s">
        <v>8104</v>
      </c>
      <c r="AQ1304" s="392"/>
      <c r="AR1304" s="392" t="s">
        <v>3823</v>
      </c>
      <c r="AS1304" s="479">
        <v>41030</v>
      </c>
      <c r="AT1304" s="453"/>
      <c r="AU1304" s="453"/>
      <c r="AV1304" s="453"/>
      <c r="AW1304" s="453"/>
      <c r="AX1304" s="453"/>
      <c r="AY1304" s="453"/>
      <c r="AZ1304" s="452">
        <v>42649</v>
      </c>
      <c r="BA1304" s="393"/>
      <c r="BB1304" s="393"/>
      <c r="BC1304" s="393" t="b">
        <v>0</v>
      </c>
      <c r="BD1304" s="393"/>
      <c r="BE1304" s="392"/>
      <c r="BF1304" s="394">
        <v>4</v>
      </c>
      <c r="BG1304" s="394">
        <v>8</v>
      </c>
      <c r="BH1304" s="394">
        <v>6</v>
      </c>
      <c r="BI1304" s="394">
        <v>9</v>
      </c>
      <c r="BJ1304" s="394"/>
      <c r="BK1304" s="394"/>
      <c r="BL1304" s="444" t="s">
        <v>6981</v>
      </c>
      <c r="BM1304" s="392"/>
      <c r="BN1304" s="393"/>
      <c r="BO1304" s="393"/>
      <c r="BP1304" s="399"/>
      <c r="BQ1304" s="400"/>
      <c r="BR1304" s="401"/>
      <c r="BS1304" s="399"/>
      <c r="BT1304" s="394"/>
      <c r="BU1304" s="417"/>
      <c r="BV1304" s="399"/>
      <c r="BW1304" s="475" t="s">
        <v>3117</v>
      </c>
      <c r="BX1304" s="392" t="s">
        <v>4364</v>
      </c>
      <c r="BY1304" s="393" t="s">
        <v>7224</v>
      </c>
      <c r="BZ1304" s="393"/>
      <c r="CA1304" s="441"/>
      <c r="CB1304" s="400"/>
      <c r="CC1304" s="398"/>
      <c r="CD1304" s="398"/>
      <c r="CE1304" s="398"/>
      <c r="CF1304" s="398"/>
      <c r="CG1304" s="398"/>
      <c r="CH1304" s="398"/>
      <c r="CI1304" s="398"/>
      <c r="CJ1304" s="398"/>
      <c r="CK1304" s="398"/>
      <c r="CL1304" s="398">
        <v>44.853000000000002</v>
      </c>
      <c r="CM1304" s="398">
        <v>44.853000000000002</v>
      </c>
      <c r="CN1304" s="398">
        <v>44.853000000000002</v>
      </c>
      <c r="CO1304" s="398">
        <v>44.853000000000002</v>
      </c>
      <c r="CP1304" s="398">
        <v>44.853000000000002</v>
      </c>
      <c r="CQ1304" s="398">
        <v>44.853000000000002</v>
      </c>
      <c r="CR1304" s="398">
        <v>44.853000000000002</v>
      </c>
      <c r="CS1304" s="398"/>
      <c r="CT1304" s="398"/>
      <c r="CU1304" s="398"/>
      <c r="CV1304" s="398"/>
      <c r="CW1304" s="398"/>
      <c r="CX1304" s="398"/>
      <c r="CY1304" s="398"/>
      <c r="CZ1304" s="398"/>
      <c r="DA1304" s="398"/>
      <c r="DB1304" s="398"/>
      <c r="DC1304" s="398"/>
      <c r="DD1304" s="398"/>
      <c r="DE1304" s="393"/>
      <c r="DF1304" s="393"/>
      <c r="DG1304" s="393"/>
      <c r="DH1304" s="393"/>
      <c r="DI1304" s="393"/>
      <c r="DJ1304" s="393"/>
      <c r="DK1304" s="897"/>
    </row>
    <row r="1305" spans="1:115" ht="25.5" x14ac:dyDescent="0.2">
      <c r="A1305" s="295">
        <v>1301</v>
      </c>
      <c r="B1305" s="390" t="s">
        <v>8346</v>
      </c>
      <c r="C1305" s="390"/>
      <c r="D1305" s="391" t="s">
        <v>8347</v>
      </c>
      <c r="E1305" s="705" t="s">
        <v>8349</v>
      </c>
      <c r="F1305" s="393" t="s">
        <v>1375</v>
      </c>
      <c r="G1305" s="393" t="s">
        <v>998</v>
      </c>
      <c r="H1305" s="393" t="s">
        <v>504</v>
      </c>
      <c r="I1305" s="392"/>
      <c r="J1305" s="392"/>
      <c r="K1305" s="392" t="s">
        <v>5627</v>
      </c>
      <c r="L1305" s="428" t="s">
        <v>1049</v>
      </c>
      <c r="M1305" s="392"/>
      <c r="N1305" s="475" t="s">
        <v>44</v>
      </c>
      <c r="O1305" s="393" t="s">
        <v>51</v>
      </c>
      <c r="P1305" s="393" t="s">
        <v>51</v>
      </c>
      <c r="Q1305" s="392" t="s">
        <v>976</v>
      </c>
      <c r="R1305" s="428" t="s">
        <v>8350</v>
      </c>
      <c r="S1305" s="428" t="s">
        <v>977</v>
      </c>
      <c r="T1305" s="394">
        <v>1</v>
      </c>
      <c r="U1305" s="395">
        <v>44.853000000000002</v>
      </c>
      <c r="V1305" s="395"/>
      <c r="W1305" s="453"/>
      <c r="X1305" s="394"/>
      <c r="Y1305" s="394">
        <v>7</v>
      </c>
      <c r="Z1305" s="394">
        <v>21</v>
      </c>
      <c r="AA1305" s="395">
        <v>0</v>
      </c>
      <c r="AB1305" s="452">
        <v>42650</v>
      </c>
      <c r="AC1305" s="398"/>
      <c r="AD1305" s="398">
        <v>189.98010410958904</v>
      </c>
      <c r="AE1305" s="475" t="s">
        <v>37</v>
      </c>
      <c r="AF1305" s="417"/>
      <c r="AG1305" s="417"/>
      <c r="AH1305" s="417"/>
      <c r="AI1305" s="394"/>
      <c r="AJ1305" s="453">
        <v>43013</v>
      </c>
      <c r="AK1305" s="453">
        <v>42840</v>
      </c>
      <c r="AL1305" s="393"/>
      <c r="AM1305" s="393"/>
      <c r="AN1305" s="417"/>
      <c r="AO1305" s="392"/>
      <c r="AP1305" s="428" t="s">
        <v>8104</v>
      </c>
      <c r="AQ1305" s="392"/>
      <c r="AR1305" s="392" t="s">
        <v>3823</v>
      </c>
      <c r="AS1305" s="479">
        <v>41030</v>
      </c>
      <c r="AT1305" s="453"/>
      <c r="AU1305" s="453"/>
      <c r="AV1305" s="453"/>
      <c r="AW1305" s="453"/>
      <c r="AX1305" s="453"/>
      <c r="AY1305" s="453"/>
      <c r="AZ1305" s="452">
        <v>42649</v>
      </c>
      <c r="BA1305" s="393"/>
      <c r="BB1305" s="393"/>
      <c r="BC1305" s="393" t="b">
        <v>0</v>
      </c>
      <c r="BD1305" s="393"/>
      <c r="BE1305" s="392"/>
      <c r="BF1305" s="394">
        <v>4</v>
      </c>
      <c r="BG1305" s="394">
        <v>8</v>
      </c>
      <c r="BH1305" s="394">
        <v>6</v>
      </c>
      <c r="BI1305" s="394">
        <v>9</v>
      </c>
      <c r="BJ1305" s="394"/>
      <c r="BK1305" s="394"/>
      <c r="BL1305" s="444" t="s">
        <v>6981</v>
      </c>
      <c r="BM1305" s="392"/>
      <c r="BN1305" s="393"/>
      <c r="BO1305" s="393"/>
      <c r="BP1305" s="399"/>
      <c r="BQ1305" s="400"/>
      <c r="BR1305" s="401"/>
      <c r="BS1305" s="399"/>
      <c r="BT1305" s="394"/>
      <c r="BU1305" s="417"/>
      <c r="BV1305" s="399"/>
      <c r="BW1305" s="393"/>
      <c r="BX1305" s="392" t="s">
        <v>4364</v>
      </c>
      <c r="BY1305" s="393" t="s">
        <v>7224</v>
      </c>
      <c r="BZ1305" s="393"/>
      <c r="CA1305" s="441"/>
      <c r="CB1305" s="400"/>
      <c r="CC1305" s="398"/>
      <c r="CD1305" s="398"/>
      <c r="CE1305" s="398"/>
      <c r="CF1305" s="398"/>
      <c r="CG1305" s="398"/>
      <c r="CH1305" s="398"/>
      <c r="CI1305" s="398"/>
      <c r="CJ1305" s="398"/>
      <c r="CK1305" s="398"/>
      <c r="CL1305" s="398">
        <v>44.853000000000002</v>
      </c>
      <c r="CM1305" s="398">
        <v>44.853000000000002</v>
      </c>
      <c r="CN1305" s="398">
        <v>44.853000000000002</v>
      </c>
      <c r="CO1305" s="398">
        <v>44.853000000000002</v>
      </c>
      <c r="CP1305" s="398">
        <v>44.853000000000002</v>
      </c>
      <c r="CQ1305" s="398">
        <v>44.853000000000002</v>
      </c>
      <c r="CR1305" s="398">
        <v>44.853000000000002</v>
      </c>
      <c r="CS1305" s="398"/>
      <c r="CT1305" s="398"/>
      <c r="CU1305" s="398"/>
      <c r="CV1305" s="398"/>
      <c r="CW1305" s="398"/>
      <c r="CX1305" s="398"/>
      <c r="CY1305" s="398"/>
      <c r="CZ1305" s="398"/>
      <c r="DA1305" s="398"/>
      <c r="DB1305" s="398"/>
      <c r="DC1305" s="398"/>
      <c r="DD1305" s="398"/>
      <c r="DE1305" s="393"/>
      <c r="DF1305" s="393"/>
      <c r="DG1305" s="393"/>
      <c r="DH1305" s="393"/>
      <c r="DI1305" s="393"/>
      <c r="DJ1305" s="393"/>
      <c r="DK1305" s="897"/>
    </row>
    <row r="1306" spans="1:115" ht="25.5" x14ac:dyDescent="0.2">
      <c r="A1306" s="295">
        <v>1302</v>
      </c>
      <c r="B1306" s="390" t="s">
        <v>2009</v>
      </c>
      <c r="C1306" s="424" t="s">
        <v>7728</v>
      </c>
      <c r="D1306" s="391" t="s">
        <v>5540</v>
      </c>
      <c r="E1306" s="704" t="s">
        <v>1968</v>
      </c>
      <c r="F1306" s="393" t="s">
        <v>1375</v>
      </c>
      <c r="G1306" s="393" t="s">
        <v>1361</v>
      </c>
      <c r="H1306" s="393" t="s">
        <v>1085</v>
      </c>
      <c r="I1306" s="392"/>
      <c r="J1306" s="392" t="s">
        <v>1085</v>
      </c>
      <c r="K1306" s="392"/>
      <c r="L1306" s="392" t="s">
        <v>3774</v>
      </c>
      <c r="M1306" s="392" t="s">
        <v>3578</v>
      </c>
      <c r="N1306" s="393" t="s">
        <v>44</v>
      </c>
      <c r="O1306" s="393" t="s">
        <v>51</v>
      </c>
      <c r="P1306" s="393" t="s">
        <v>51</v>
      </c>
      <c r="Q1306" s="392" t="s">
        <v>976</v>
      </c>
      <c r="R1306" s="392"/>
      <c r="S1306" s="392" t="s">
        <v>977</v>
      </c>
      <c r="T1306" s="394">
        <v>3</v>
      </c>
      <c r="U1306" s="395">
        <v>122.05199999999999</v>
      </c>
      <c r="V1306" s="395"/>
      <c r="W1306" s="452">
        <v>40534</v>
      </c>
      <c r="X1306" s="394">
        <v>21</v>
      </c>
      <c r="Y1306" s="394"/>
      <c r="Z1306" s="394"/>
      <c r="AA1306" s="395"/>
      <c r="AB1306" s="453"/>
      <c r="AC1306" s="398">
        <v>0</v>
      </c>
      <c r="AD1306" s="398">
        <v>908.98087671232872</v>
      </c>
      <c r="AE1306" s="393" t="s">
        <v>37</v>
      </c>
      <c r="AF1306" s="417">
        <f>SUM(AF1307:AF1309)</f>
        <v>0</v>
      </c>
      <c r="AG1306" s="417">
        <f>SUM(AG1307:AG1309)</f>
        <v>216.05099999999999</v>
      </c>
      <c r="AH1306" s="417">
        <v>216.05099999999999</v>
      </c>
      <c r="AI1306" s="394"/>
      <c r="AJ1306" s="453">
        <v>42531</v>
      </c>
      <c r="AK1306" s="453">
        <v>43127</v>
      </c>
      <c r="AL1306" s="393"/>
      <c r="AM1306" s="393"/>
      <c r="AN1306" s="417"/>
      <c r="AO1306" s="428" t="s">
        <v>37</v>
      </c>
      <c r="AP1306" s="392" t="s">
        <v>7071</v>
      </c>
      <c r="AQ1306" s="392"/>
      <c r="AR1306" s="392" t="s">
        <v>3774</v>
      </c>
      <c r="AS1306" s="479">
        <v>41030</v>
      </c>
      <c r="AT1306" s="453"/>
      <c r="AU1306" s="453"/>
      <c r="AV1306" s="452">
        <v>40648</v>
      </c>
      <c r="AW1306" s="452">
        <v>41302</v>
      </c>
      <c r="AX1306" s="452">
        <v>41502</v>
      </c>
      <c r="AY1306" s="453">
        <v>41302</v>
      </c>
      <c r="AZ1306" s="453"/>
      <c r="BA1306" s="393"/>
      <c r="BB1306" s="393" t="s">
        <v>3116</v>
      </c>
      <c r="BC1306" s="393" t="b">
        <v>0</v>
      </c>
      <c r="BD1306" s="393" t="s">
        <v>3116</v>
      </c>
      <c r="BE1306" s="392"/>
      <c r="BF1306" s="394">
        <v>4</v>
      </c>
      <c r="BG1306" s="394">
        <v>8</v>
      </c>
      <c r="BH1306" s="394">
        <v>6</v>
      </c>
      <c r="BI1306" s="394">
        <v>5</v>
      </c>
      <c r="BJ1306" s="394"/>
      <c r="BK1306" s="394"/>
      <c r="BL1306" s="444"/>
      <c r="BM1306" s="392"/>
      <c r="BN1306" s="393"/>
      <c r="BO1306" s="393"/>
      <c r="BP1306" s="399"/>
      <c r="BQ1306" s="400"/>
      <c r="BR1306" s="401"/>
      <c r="BS1306" s="399">
        <v>0</v>
      </c>
      <c r="BT1306" s="394"/>
      <c r="BU1306" s="417"/>
      <c r="BV1306" s="399"/>
      <c r="BW1306" s="393"/>
      <c r="BX1306" s="392"/>
      <c r="BY1306" s="475" t="s">
        <v>7227</v>
      </c>
      <c r="BZ1306" s="475" t="s">
        <v>3165</v>
      </c>
      <c r="CA1306" s="441"/>
      <c r="CB1306" s="400"/>
      <c r="CC1306" s="398"/>
      <c r="CD1306" s="398"/>
      <c r="CE1306" s="398"/>
      <c r="CF1306" s="398"/>
      <c r="CG1306" s="398"/>
      <c r="CH1306" s="398"/>
      <c r="CI1306" s="398"/>
      <c r="CJ1306" s="398"/>
      <c r="CK1306" s="398"/>
      <c r="CL1306" s="398"/>
      <c r="CM1306" s="398"/>
      <c r="CN1306" s="398"/>
      <c r="CO1306" s="398"/>
      <c r="CP1306" s="398"/>
      <c r="CQ1306" s="398"/>
      <c r="CR1306" s="398"/>
      <c r="CS1306" s="398"/>
      <c r="CT1306" s="398"/>
      <c r="CU1306" s="398"/>
      <c r="CV1306" s="398"/>
      <c r="CW1306" s="398"/>
      <c r="CX1306" s="398"/>
      <c r="CY1306" s="398"/>
      <c r="CZ1306" s="398"/>
      <c r="DA1306" s="398"/>
      <c r="DB1306" s="398"/>
      <c r="DC1306" s="398"/>
      <c r="DD1306" s="398"/>
      <c r="DE1306" s="393"/>
      <c r="DF1306" s="393"/>
      <c r="DG1306" s="393"/>
      <c r="DH1306" s="393"/>
      <c r="DI1306" s="393"/>
      <c r="DJ1306" s="393"/>
      <c r="DK1306" s="896" t="s">
        <v>9706</v>
      </c>
    </row>
    <row r="1307" spans="1:115" ht="25.5" x14ac:dyDescent="0.2">
      <c r="A1307" s="295">
        <v>1303</v>
      </c>
      <c r="B1307" s="390" t="s">
        <v>2900</v>
      </c>
      <c r="C1307" s="390"/>
      <c r="D1307" s="391" t="s">
        <v>5541</v>
      </c>
      <c r="E1307" s="704" t="s">
        <v>1086</v>
      </c>
      <c r="F1307" s="393" t="s">
        <v>1375</v>
      </c>
      <c r="G1307" s="393" t="s">
        <v>1361</v>
      </c>
      <c r="H1307" s="393" t="s">
        <v>1085</v>
      </c>
      <c r="I1307" s="392"/>
      <c r="J1307" s="392"/>
      <c r="K1307" s="392"/>
      <c r="L1307" s="392" t="s">
        <v>3774</v>
      </c>
      <c r="M1307" s="392"/>
      <c r="N1307" s="393" t="s">
        <v>44</v>
      </c>
      <c r="O1307" s="393" t="s">
        <v>51</v>
      </c>
      <c r="P1307" s="393" t="s">
        <v>51</v>
      </c>
      <c r="Q1307" s="392" t="s">
        <v>976</v>
      </c>
      <c r="R1307" s="392" t="s">
        <v>3579</v>
      </c>
      <c r="S1307" s="392" t="s">
        <v>977</v>
      </c>
      <c r="T1307" s="394">
        <v>1</v>
      </c>
      <c r="U1307" s="395">
        <v>40.683999999999997</v>
      </c>
      <c r="V1307" s="395"/>
      <c r="W1307" s="453"/>
      <c r="X1307" s="394"/>
      <c r="Y1307" s="394">
        <v>7</v>
      </c>
      <c r="Z1307" s="394">
        <v>21</v>
      </c>
      <c r="AA1307" s="395">
        <v>0</v>
      </c>
      <c r="AB1307" s="452">
        <v>41275</v>
      </c>
      <c r="AC1307" s="398">
        <v>0</v>
      </c>
      <c r="AD1307" s="398">
        <v>325.58346301369863</v>
      </c>
      <c r="AE1307" s="393" t="s">
        <v>37</v>
      </c>
      <c r="AF1307" s="417"/>
      <c r="AG1307" s="417">
        <f>27.302+42.296+20.211</f>
        <v>89.808999999999997</v>
      </c>
      <c r="AH1307" s="417">
        <v>89.808999999999997</v>
      </c>
      <c r="AI1307" s="394"/>
      <c r="AJ1307" s="453">
        <v>42531</v>
      </c>
      <c r="AK1307" s="453">
        <v>43127</v>
      </c>
      <c r="AL1307" s="393"/>
      <c r="AM1307" s="393"/>
      <c r="AN1307" s="417"/>
      <c r="AO1307" s="428" t="s">
        <v>37</v>
      </c>
      <c r="AP1307" s="392" t="s">
        <v>7071</v>
      </c>
      <c r="AQ1307" s="392"/>
      <c r="AR1307" s="392" t="s">
        <v>3774</v>
      </c>
      <c r="AS1307" s="479">
        <v>41030</v>
      </c>
      <c r="AT1307" s="453"/>
      <c r="AU1307" s="453"/>
      <c r="AV1307" s="453"/>
      <c r="AW1307" s="453"/>
      <c r="AX1307" s="453"/>
      <c r="AY1307" s="453"/>
      <c r="AZ1307" s="453">
        <v>41302</v>
      </c>
      <c r="BA1307" s="393"/>
      <c r="BB1307" s="393" t="s">
        <v>3116</v>
      </c>
      <c r="BC1307" s="393" t="b">
        <v>0</v>
      </c>
      <c r="BD1307" s="393" t="s">
        <v>3116</v>
      </c>
      <c r="BE1307" s="392"/>
      <c r="BF1307" s="394">
        <v>4</v>
      </c>
      <c r="BG1307" s="394">
        <v>8</v>
      </c>
      <c r="BH1307" s="394">
        <v>6</v>
      </c>
      <c r="BI1307" s="394">
        <v>5</v>
      </c>
      <c r="BJ1307" s="394">
        <v>9</v>
      </c>
      <c r="BK1307" s="394"/>
      <c r="BL1307" s="444" t="s">
        <v>6981</v>
      </c>
      <c r="BM1307" s="392"/>
      <c r="BN1307" s="393"/>
      <c r="BO1307" s="393"/>
      <c r="BP1307" s="399"/>
      <c r="BQ1307" s="400"/>
      <c r="BR1307" s="401"/>
      <c r="BS1307" s="399"/>
      <c r="BT1307" s="394"/>
      <c r="BU1307" s="417"/>
      <c r="BV1307" s="399">
        <v>180</v>
      </c>
      <c r="BW1307" s="393" t="s">
        <v>3117</v>
      </c>
      <c r="BX1307" s="392"/>
      <c r="BY1307" s="475" t="s">
        <v>7227</v>
      </c>
      <c r="BZ1307" s="475" t="s">
        <v>3165</v>
      </c>
      <c r="CA1307" s="441" t="s">
        <v>1664</v>
      </c>
      <c r="CB1307" s="400"/>
      <c r="CC1307" s="398"/>
      <c r="CD1307" s="398"/>
      <c r="CE1307" s="398"/>
      <c r="CF1307" s="398"/>
      <c r="CG1307" s="398"/>
      <c r="CH1307" s="398"/>
      <c r="CI1307" s="398">
        <v>46.712000000000003</v>
      </c>
      <c r="CJ1307" s="398">
        <v>46.712000000000003</v>
      </c>
      <c r="CK1307" s="398">
        <v>46.712000000000003</v>
      </c>
      <c r="CL1307" s="398">
        <v>46.712000000000003</v>
      </c>
      <c r="CM1307" s="398">
        <v>46.712000000000003</v>
      </c>
      <c r="CN1307" s="398">
        <v>46.712000000000003</v>
      </c>
      <c r="CO1307" s="398">
        <v>46.712000000000003</v>
      </c>
      <c r="CP1307" s="398"/>
      <c r="CQ1307" s="398"/>
      <c r="CR1307" s="398"/>
      <c r="CS1307" s="398"/>
      <c r="CT1307" s="398"/>
      <c r="CU1307" s="398"/>
      <c r="CV1307" s="398"/>
      <c r="CW1307" s="398"/>
      <c r="CX1307" s="398"/>
      <c r="CY1307" s="398"/>
      <c r="CZ1307" s="398"/>
      <c r="DA1307" s="398"/>
      <c r="DB1307" s="398"/>
      <c r="DC1307" s="398"/>
      <c r="DD1307" s="398"/>
      <c r="DE1307" s="393"/>
      <c r="DF1307" s="393"/>
      <c r="DG1307" s="393"/>
      <c r="DH1307" s="393"/>
      <c r="DI1307" s="393"/>
      <c r="DJ1307" s="393"/>
      <c r="DK1307" s="897"/>
    </row>
    <row r="1308" spans="1:115" ht="15" x14ac:dyDescent="0.2">
      <c r="A1308" s="295">
        <v>1304</v>
      </c>
      <c r="B1308" s="390" t="s">
        <v>5633</v>
      </c>
      <c r="C1308" s="390"/>
      <c r="D1308" s="391" t="s">
        <v>6067</v>
      </c>
      <c r="E1308" s="704" t="s">
        <v>5634</v>
      </c>
      <c r="F1308" s="393" t="s">
        <v>1375</v>
      </c>
      <c r="G1308" s="393" t="s">
        <v>1361</v>
      </c>
      <c r="H1308" s="393" t="s">
        <v>1085</v>
      </c>
      <c r="I1308" s="392"/>
      <c r="J1308" s="392"/>
      <c r="K1308" s="392"/>
      <c r="L1308" s="392" t="s">
        <v>3774</v>
      </c>
      <c r="M1308" s="392"/>
      <c r="N1308" s="393" t="s">
        <v>44</v>
      </c>
      <c r="O1308" s="393" t="s">
        <v>51</v>
      </c>
      <c r="P1308" s="393" t="s">
        <v>51</v>
      </c>
      <c r="Q1308" s="392" t="s">
        <v>976</v>
      </c>
      <c r="R1308" s="392" t="s">
        <v>3579</v>
      </c>
      <c r="S1308" s="392" t="s">
        <v>977</v>
      </c>
      <c r="T1308" s="394">
        <v>1</v>
      </c>
      <c r="U1308" s="395">
        <v>40.683999999999997</v>
      </c>
      <c r="V1308" s="395"/>
      <c r="W1308" s="453"/>
      <c r="X1308" s="394"/>
      <c r="Y1308" s="394">
        <v>7</v>
      </c>
      <c r="Z1308" s="394">
        <v>21</v>
      </c>
      <c r="AA1308" s="395">
        <v>0</v>
      </c>
      <c r="AB1308" s="452">
        <v>41579</v>
      </c>
      <c r="AC1308" s="398">
        <v>0</v>
      </c>
      <c r="AD1308" s="398">
        <v>291.69870684931504</v>
      </c>
      <c r="AE1308" s="393" t="s">
        <v>37</v>
      </c>
      <c r="AF1308" s="417"/>
      <c r="AG1308" s="417">
        <f>16.594+40.797+19.495</f>
        <v>76.885999999999996</v>
      </c>
      <c r="AH1308" s="417">
        <v>76.885999999999996</v>
      </c>
      <c r="AI1308" s="394"/>
      <c r="AJ1308" s="453">
        <v>42531</v>
      </c>
      <c r="AK1308" s="453">
        <v>43127</v>
      </c>
      <c r="AL1308" s="393"/>
      <c r="AM1308" s="393"/>
      <c r="AN1308" s="417"/>
      <c r="AO1308" s="428" t="s">
        <v>37</v>
      </c>
      <c r="AP1308" s="392" t="s">
        <v>7071</v>
      </c>
      <c r="AQ1308" s="392"/>
      <c r="AR1308" s="392" t="s">
        <v>3774</v>
      </c>
      <c r="AS1308" s="479">
        <v>41030</v>
      </c>
      <c r="AT1308" s="453"/>
      <c r="AU1308" s="453"/>
      <c r="AV1308" s="453"/>
      <c r="AW1308" s="453"/>
      <c r="AX1308" s="453"/>
      <c r="AY1308" s="453"/>
      <c r="AZ1308" s="452">
        <v>41579</v>
      </c>
      <c r="BA1308" s="393"/>
      <c r="BB1308" s="393" t="s">
        <v>3116</v>
      </c>
      <c r="BC1308" s="393" t="b">
        <v>0</v>
      </c>
      <c r="BD1308" s="393" t="s">
        <v>3116</v>
      </c>
      <c r="BE1308" s="392"/>
      <c r="BF1308" s="394">
        <v>4</v>
      </c>
      <c r="BG1308" s="394">
        <v>8</v>
      </c>
      <c r="BH1308" s="394">
        <v>6</v>
      </c>
      <c r="BI1308" s="394">
        <v>5</v>
      </c>
      <c r="BJ1308" s="394">
        <v>9</v>
      </c>
      <c r="BK1308" s="394"/>
      <c r="BL1308" s="444" t="s">
        <v>6981</v>
      </c>
      <c r="BM1308" s="392"/>
      <c r="BN1308" s="393"/>
      <c r="BO1308" s="393"/>
      <c r="BP1308" s="399"/>
      <c r="BQ1308" s="400"/>
      <c r="BR1308" s="401"/>
      <c r="BS1308" s="399"/>
      <c r="BT1308" s="394"/>
      <c r="BU1308" s="417"/>
      <c r="BV1308" s="399"/>
      <c r="BW1308" s="393" t="s">
        <v>3117</v>
      </c>
      <c r="BX1308" s="392" t="s">
        <v>4364</v>
      </c>
      <c r="BY1308" s="475" t="s">
        <v>7227</v>
      </c>
      <c r="BZ1308" s="393"/>
      <c r="CA1308" s="441"/>
      <c r="CB1308" s="400"/>
      <c r="CC1308" s="398"/>
      <c r="CD1308" s="398"/>
      <c r="CE1308" s="398"/>
      <c r="CF1308" s="398"/>
      <c r="CG1308" s="398"/>
      <c r="CH1308" s="398"/>
      <c r="CI1308" s="398">
        <v>40.683999999999997</v>
      </c>
      <c r="CJ1308" s="398">
        <v>40.683999999999997</v>
      </c>
      <c r="CK1308" s="398">
        <v>40.683999999999997</v>
      </c>
      <c r="CL1308" s="398">
        <v>40.683999999999997</v>
      </c>
      <c r="CM1308" s="398">
        <v>40.683999999999997</v>
      </c>
      <c r="CN1308" s="398">
        <v>40.683999999999997</v>
      </c>
      <c r="CO1308" s="398">
        <v>40.683999999999997</v>
      </c>
      <c r="CP1308" s="398"/>
      <c r="CQ1308" s="398"/>
      <c r="CR1308" s="398"/>
      <c r="CS1308" s="398"/>
      <c r="CT1308" s="398"/>
      <c r="CU1308" s="398"/>
      <c r="CV1308" s="398"/>
      <c r="CW1308" s="398"/>
      <c r="CX1308" s="398"/>
      <c r="CY1308" s="398"/>
      <c r="CZ1308" s="398"/>
      <c r="DA1308" s="398"/>
      <c r="DB1308" s="398"/>
      <c r="DC1308" s="398"/>
      <c r="DD1308" s="398"/>
      <c r="DE1308" s="393"/>
      <c r="DF1308" s="393"/>
      <c r="DG1308" s="393"/>
      <c r="DH1308" s="393"/>
      <c r="DI1308" s="393"/>
      <c r="DJ1308" s="393"/>
      <c r="DK1308" s="897"/>
    </row>
    <row r="1309" spans="1:115" ht="15" x14ac:dyDescent="0.2">
      <c r="A1309" s="295">
        <v>1305</v>
      </c>
      <c r="B1309" s="390" t="s">
        <v>5635</v>
      </c>
      <c r="C1309" s="390"/>
      <c r="D1309" s="391" t="s">
        <v>6068</v>
      </c>
      <c r="E1309" s="704" t="s">
        <v>5636</v>
      </c>
      <c r="F1309" s="393" t="s">
        <v>1375</v>
      </c>
      <c r="G1309" s="393" t="s">
        <v>1361</v>
      </c>
      <c r="H1309" s="393" t="s">
        <v>1085</v>
      </c>
      <c r="I1309" s="392"/>
      <c r="J1309" s="392"/>
      <c r="K1309" s="392"/>
      <c r="L1309" s="392" t="s">
        <v>3774</v>
      </c>
      <c r="M1309" s="392"/>
      <c r="N1309" s="393" t="s">
        <v>44</v>
      </c>
      <c r="O1309" s="393" t="s">
        <v>51</v>
      </c>
      <c r="P1309" s="393" t="s">
        <v>51</v>
      </c>
      <c r="Q1309" s="392" t="s">
        <v>976</v>
      </c>
      <c r="R1309" s="392" t="s">
        <v>3579</v>
      </c>
      <c r="S1309" s="392" t="s">
        <v>977</v>
      </c>
      <c r="T1309" s="394">
        <v>1</v>
      </c>
      <c r="U1309" s="395">
        <v>40.683999999999997</v>
      </c>
      <c r="V1309" s="395"/>
      <c r="W1309" s="453"/>
      <c r="X1309" s="394"/>
      <c r="Y1309" s="394">
        <v>7</v>
      </c>
      <c r="Z1309" s="394">
        <v>21</v>
      </c>
      <c r="AA1309" s="395">
        <v>0</v>
      </c>
      <c r="AB1309" s="452">
        <v>41579</v>
      </c>
      <c r="AC1309" s="398">
        <v>0</v>
      </c>
      <c r="AD1309" s="398">
        <v>291.69870684931504</v>
      </c>
      <c r="AE1309" s="393" t="s">
        <v>37</v>
      </c>
      <c r="AF1309" s="417"/>
      <c r="AG1309" s="417">
        <f>10.525+26.275+12.556</f>
        <v>49.355999999999995</v>
      </c>
      <c r="AH1309" s="417">
        <v>49.355999999999995</v>
      </c>
      <c r="AI1309" s="394"/>
      <c r="AJ1309" s="453">
        <v>42531</v>
      </c>
      <c r="AK1309" s="453">
        <v>43127</v>
      </c>
      <c r="AL1309" s="393"/>
      <c r="AM1309" s="393"/>
      <c r="AN1309" s="417"/>
      <c r="AO1309" s="428" t="s">
        <v>37</v>
      </c>
      <c r="AP1309" s="392" t="s">
        <v>7071</v>
      </c>
      <c r="AQ1309" s="392"/>
      <c r="AR1309" s="392" t="s">
        <v>3774</v>
      </c>
      <c r="AS1309" s="479">
        <v>41030</v>
      </c>
      <c r="AT1309" s="453"/>
      <c r="AU1309" s="453"/>
      <c r="AV1309" s="453"/>
      <c r="AW1309" s="453"/>
      <c r="AX1309" s="453"/>
      <c r="AY1309" s="453"/>
      <c r="AZ1309" s="452">
        <v>41579</v>
      </c>
      <c r="BA1309" s="393"/>
      <c r="BB1309" s="393" t="s">
        <v>3116</v>
      </c>
      <c r="BC1309" s="393" t="b">
        <v>0</v>
      </c>
      <c r="BD1309" s="393" t="s">
        <v>3116</v>
      </c>
      <c r="BE1309" s="392"/>
      <c r="BF1309" s="394">
        <v>4</v>
      </c>
      <c r="BG1309" s="394">
        <v>8</v>
      </c>
      <c r="BH1309" s="394">
        <v>6</v>
      </c>
      <c r="BI1309" s="394">
        <v>5</v>
      </c>
      <c r="BJ1309" s="394">
        <v>9</v>
      </c>
      <c r="BK1309" s="394"/>
      <c r="BL1309" s="444" t="s">
        <v>6981</v>
      </c>
      <c r="BM1309" s="392"/>
      <c r="BN1309" s="393"/>
      <c r="BO1309" s="393"/>
      <c r="BP1309" s="399"/>
      <c r="BQ1309" s="400"/>
      <c r="BR1309" s="401"/>
      <c r="BS1309" s="399"/>
      <c r="BT1309" s="394"/>
      <c r="BU1309" s="417"/>
      <c r="BV1309" s="399"/>
      <c r="BW1309" s="393" t="s">
        <v>3117</v>
      </c>
      <c r="BX1309" s="392" t="s">
        <v>4364</v>
      </c>
      <c r="BY1309" s="475" t="s">
        <v>7227</v>
      </c>
      <c r="BZ1309" s="393"/>
      <c r="CA1309" s="441"/>
      <c r="CB1309" s="400"/>
      <c r="CC1309" s="398"/>
      <c r="CD1309" s="398"/>
      <c r="CE1309" s="398"/>
      <c r="CF1309" s="398"/>
      <c r="CG1309" s="398"/>
      <c r="CH1309" s="398"/>
      <c r="CI1309" s="398">
        <v>40.683999999999997</v>
      </c>
      <c r="CJ1309" s="398">
        <v>40.683999999999997</v>
      </c>
      <c r="CK1309" s="398">
        <v>40.683999999999997</v>
      </c>
      <c r="CL1309" s="398">
        <v>40.683999999999997</v>
      </c>
      <c r="CM1309" s="398">
        <v>40.683999999999997</v>
      </c>
      <c r="CN1309" s="398">
        <v>40.683999999999997</v>
      </c>
      <c r="CO1309" s="398">
        <v>40.683999999999997</v>
      </c>
      <c r="CP1309" s="398"/>
      <c r="CQ1309" s="398"/>
      <c r="CR1309" s="398"/>
      <c r="CS1309" s="398"/>
      <c r="CT1309" s="398"/>
      <c r="CU1309" s="398"/>
      <c r="CV1309" s="398"/>
      <c r="CW1309" s="398"/>
      <c r="CX1309" s="398"/>
      <c r="CY1309" s="398"/>
      <c r="CZ1309" s="398"/>
      <c r="DA1309" s="398"/>
      <c r="DB1309" s="398"/>
      <c r="DC1309" s="398"/>
      <c r="DD1309" s="398"/>
      <c r="DE1309" s="393"/>
      <c r="DF1309" s="393"/>
      <c r="DG1309" s="393"/>
      <c r="DH1309" s="393"/>
      <c r="DI1309" s="393"/>
      <c r="DJ1309" s="393"/>
      <c r="DK1309" s="897"/>
    </row>
    <row r="1310" spans="1:115" ht="51" x14ac:dyDescent="0.2">
      <c r="A1310" s="295">
        <v>1306</v>
      </c>
      <c r="B1310" s="390" t="s">
        <v>2010</v>
      </c>
      <c r="C1310" s="424" t="s">
        <v>7729</v>
      </c>
      <c r="D1310" s="391"/>
      <c r="E1310" s="845" t="s">
        <v>2011</v>
      </c>
      <c r="F1310" s="404" t="s">
        <v>1375</v>
      </c>
      <c r="G1310" s="404" t="s">
        <v>1751</v>
      </c>
      <c r="H1310" s="404" t="s">
        <v>523</v>
      </c>
      <c r="I1310" s="403" t="s">
        <v>4130</v>
      </c>
      <c r="J1310" s="403" t="s">
        <v>2012</v>
      </c>
      <c r="K1310" s="403"/>
      <c r="L1310" s="403" t="s">
        <v>1049</v>
      </c>
      <c r="M1310" s="848" t="s">
        <v>3580</v>
      </c>
      <c r="N1310" s="758" t="s">
        <v>2412</v>
      </c>
      <c r="O1310" s="404" t="s">
        <v>51</v>
      </c>
      <c r="P1310" s="404" t="s">
        <v>51</v>
      </c>
      <c r="Q1310" s="403" t="s">
        <v>976</v>
      </c>
      <c r="R1310" s="848"/>
      <c r="S1310" s="848" t="s">
        <v>166</v>
      </c>
      <c r="T1310" s="849"/>
      <c r="U1310" s="853"/>
      <c r="V1310" s="853"/>
      <c r="W1310" s="857">
        <v>41029</v>
      </c>
      <c r="X1310" s="849">
        <v>28</v>
      </c>
      <c r="Y1310" s="849"/>
      <c r="Z1310" s="849"/>
      <c r="AA1310" s="853"/>
      <c r="AB1310" s="859"/>
      <c r="AC1310" s="863"/>
      <c r="AD1310" s="863"/>
      <c r="AE1310" s="758" t="s">
        <v>37</v>
      </c>
      <c r="AF1310" s="867"/>
      <c r="AG1310" s="867"/>
      <c r="AH1310" s="867"/>
      <c r="AI1310" s="849"/>
      <c r="AJ1310" s="455"/>
      <c r="AK1310" s="455"/>
      <c r="AL1310" s="758"/>
      <c r="AM1310" s="758"/>
      <c r="AN1310" s="867"/>
      <c r="AO1310" s="848"/>
      <c r="AP1310" s="403" t="s">
        <v>55</v>
      </c>
      <c r="AQ1310" s="848"/>
      <c r="AR1310" s="403" t="s">
        <v>3823</v>
      </c>
      <c r="AS1310" s="482">
        <v>41030</v>
      </c>
      <c r="AT1310" s="859">
        <v>41314</v>
      </c>
      <c r="AU1310" s="859"/>
      <c r="AV1310" s="859"/>
      <c r="AW1310" s="859"/>
      <c r="AX1310" s="859"/>
      <c r="AY1310" s="859"/>
      <c r="AZ1310" s="859"/>
      <c r="BA1310" s="758"/>
      <c r="BB1310" s="758" t="s">
        <v>3116</v>
      </c>
      <c r="BC1310" s="404" t="b">
        <v>1</v>
      </c>
      <c r="BD1310" s="758" t="s">
        <v>3116</v>
      </c>
      <c r="BE1310" s="848"/>
      <c r="BF1310" s="405">
        <v>4</v>
      </c>
      <c r="BG1310" s="405">
        <v>8</v>
      </c>
      <c r="BH1310" s="405">
        <v>6</v>
      </c>
      <c r="BI1310" s="405">
        <v>9</v>
      </c>
      <c r="BJ1310" s="405">
        <v>5</v>
      </c>
      <c r="BK1310" s="405"/>
      <c r="BL1310" s="446"/>
      <c r="BM1310" s="848"/>
      <c r="BN1310" s="758"/>
      <c r="BO1310" s="758"/>
      <c r="BP1310" s="876"/>
      <c r="BQ1310" s="881"/>
      <c r="BR1310" s="886"/>
      <c r="BS1310" s="876"/>
      <c r="BT1310" s="849"/>
      <c r="BU1310" s="867"/>
      <c r="BV1310" s="876"/>
      <c r="BW1310" s="758"/>
      <c r="BX1310" s="403"/>
      <c r="BY1310" s="404"/>
      <c r="BZ1310" s="758"/>
      <c r="CA1310" s="891"/>
      <c r="CB1310" s="881"/>
      <c r="CC1310" s="863"/>
      <c r="CD1310" s="863"/>
      <c r="CE1310" s="863"/>
      <c r="CF1310" s="863"/>
      <c r="CG1310" s="863"/>
      <c r="CH1310" s="863"/>
      <c r="CI1310" s="863"/>
      <c r="CJ1310" s="863"/>
      <c r="CK1310" s="863"/>
      <c r="CL1310" s="863"/>
      <c r="CM1310" s="863"/>
      <c r="CN1310" s="863"/>
      <c r="CO1310" s="863"/>
      <c r="CP1310" s="863"/>
      <c r="CQ1310" s="863"/>
      <c r="CR1310" s="863"/>
      <c r="CS1310" s="863"/>
      <c r="CT1310" s="863"/>
      <c r="CU1310" s="863"/>
      <c r="CV1310" s="863"/>
      <c r="CW1310" s="863"/>
      <c r="CX1310" s="863"/>
      <c r="CY1310" s="863"/>
      <c r="CZ1310" s="863"/>
      <c r="DA1310" s="863"/>
      <c r="DB1310" s="863"/>
      <c r="DC1310" s="863"/>
      <c r="DD1310" s="863"/>
      <c r="DE1310" s="758"/>
      <c r="DF1310" s="758"/>
      <c r="DG1310" s="758"/>
      <c r="DH1310" s="758"/>
      <c r="DI1310" s="758"/>
      <c r="DJ1310" s="758"/>
      <c r="DK1310" s="897"/>
    </row>
    <row r="1311" spans="1:115" ht="25.5" x14ac:dyDescent="0.2">
      <c r="A1311" s="295">
        <v>1307</v>
      </c>
      <c r="B1311" s="390" t="s">
        <v>2901</v>
      </c>
      <c r="C1311" s="390"/>
      <c r="D1311" s="391"/>
      <c r="E1311" s="846" t="s">
        <v>2013</v>
      </c>
      <c r="F1311" s="404" t="s">
        <v>1375</v>
      </c>
      <c r="G1311" s="404" t="s">
        <v>1670</v>
      </c>
      <c r="H1311" s="404" t="s">
        <v>523</v>
      </c>
      <c r="I1311" s="403"/>
      <c r="J1311" s="403"/>
      <c r="K1311" s="403" t="s">
        <v>2014</v>
      </c>
      <c r="L1311" s="848" t="s">
        <v>1049</v>
      </c>
      <c r="M1311" s="848"/>
      <c r="N1311" s="758" t="s">
        <v>2412</v>
      </c>
      <c r="O1311" s="404" t="s">
        <v>51</v>
      </c>
      <c r="P1311" s="404" t="s">
        <v>51</v>
      </c>
      <c r="Q1311" s="403" t="s">
        <v>976</v>
      </c>
      <c r="R1311" s="848" t="s">
        <v>3581</v>
      </c>
      <c r="S1311" s="848" t="s">
        <v>166</v>
      </c>
      <c r="T1311" s="849">
        <v>1</v>
      </c>
      <c r="U1311" s="853">
        <v>138.559</v>
      </c>
      <c r="V1311" s="853"/>
      <c r="W1311" s="859"/>
      <c r="X1311" s="849"/>
      <c r="Y1311" s="849">
        <v>10</v>
      </c>
      <c r="Z1311" s="849">
        <v>10</v>
      </c>
      <c r="AA1311" s="853">
        <v>0</v>
      </c>
      <c r="AB1311" s="857">
        <v>41122</v>
      </c>
      <c r="AC1311" s="863">
        <v>57.732999999999997</v>
      </c>
      <c r="AD1311" s="863">
        <v>1385.59</v>
      </c>
      <c r="AE1311" s="758" t="s">
        <v>37</v>
      </c>
      <c r="AF1311" s="867"/>
      <c r="AG1311" s="867"/>
      <c r="AH1311" s="867"/>
      <c r="AI1311" s="849"/>
      <c r="AJ1311" s="455"/>
      <c r="AK1311" s="455"/>
      <c r="AL1311" s="758"/>
      <c r="AM1311" s="758"/>
      <c r="AN1311" s="867"/>
      <c r="AO1311" s="848"/>
      <c r="AP1311" s="403" t="s">
        <v>55</v>
      </c>
      <c r="AQ1311" s="848"/>
      <c r="AR1311" s="403" t="s">
        <v>3823</v>
      </c>
      <c r="AS1311" s="482">
        <v>41030</v>
      </c>
      <c r="AT1311" s="859">
        <v>41314</v>
      </c>
      <c r="AU1311" s="859"/>
      <c r="AV1311" s="859"/>
      <c r="AW1311" s="859"/>
      <c r="AX1311" s="859"/>
      <c r="AY1311" s="859"/>
      <c r="AZ1311" s="859"/>
      <c r="BA1311" s="758"/>
      <c r="BB1311" s="758"/>
      <c r="BC1311" s="404" t="b">
        <v>0</v>
      </c>
      <c r="BD1311" s="758"/>
      <c r="BE1311" s="848"/>
      <c r="BF1311" s="405">
        <v>4</v>
      </c>
      <c r="BG1311" s="405">
        <v>8</v>
      </c>
      <c r="BH1311" s="405">
        <v>6</v>
      </c>
      <c r="BI1311" s="405">
        <v>9</v>
      </c>
      <c r="BJ1311" s="405">
        <v>5</v>
      </c>
      <c r="BK1311" s="405"/>
      <c r="BL1311" s="446" t="s">
        <v>6981</v>
      </c>
      <c r="BM1311" s="848"/>
      <c r="BN1311" s="758"/>
      <c r="BO1311" s="758"/>
      <c r="BP1311" s="876"/>
      <c r="BQ1311" s="881"/>
      <c r="BR1311" s="886"/>
      <c r="BS1311" s="876"/>
      <c r="BT1311" s="849"/>
      <c r="BU1311" s="867"/>
      <c r="BV1311" s="876"/>
      <c r="BW1311" s="758" t="s">
        <v>3117</v>
      </c>
      <c r="BX1311" s="403" t="s">
        <v>3205</v>
      </c>
      <c r="BY1311" s="404"/>
      <c r="BZ1311" s="758"/>
      <c r="CA1311" s="891"/>
      <c r="CB1311" s="881"/>
      <c r="CC1311" s="863"/>
      <c r="CD1311" s="863"/>
      <c r="CE1311" s="863"/>
      <c r="CF1311" s="863"/>
      <c r="CG1311" s="863"/>
      <c r="CH1311" s="863"/>
      <c r="CI1311" s="863">
        <v>138.559</v>
      </c>
      <c r="CJ1311" s="863">
        <v>138.559</v>
      </c>
      <c r="CK1311" s="863">
        <v>138.559</v>
      </c>
      <c r="CL1311" s="863">
        <v>138.559</v>
      </c>
      <c r="CM1311" s="863">
        <v>138.559</v>
      </c>
      <c r="CN1311" s="863">
        <v>138.559</v>
      </c>
      <c r="CO1311" s="863">
        <v>138.559</v>
      </c>
      <c r="CP1311" s="863">
        <v>138.559</v>
      </c>
      <c r="CQ1311" s="863">
        <v>138.559</v>
      </c>
      <c r="CR1311" s="863">
        <v>138.559</v>
      </c>
      <c r="CS1311" s="863"/>
      <c r="CT1311" s="863"/>
      <c r="CU1311" s="863"/>
      <c r="CV1311" s="863"/>
      <c r="CW1311" s="863"/>
      <c r="CX1311" s="863"/>
      <c r="CY1311" s="863"/>
      <c r="CZ1311" s="863"/>
      <c r="DA1311" s="863"/>
      <c r="DB1311" s="863"/>
      <c r="DC1311" s="863"/>
      <c r="DD1311" s="863"/>
      <c r="DE1311" s="758"/>
      <c r="DF1311" s="758"/>
      <c r="DG1311" s="758"/>
      <c r="DH1311" s="758"/>
      <c r="DI1311" s="758"/>
      <c r="DJ1311" s="758"/>
      <c r="DK1311" s="897"/>
    </row>
    <row r="1312" spans="1:115" ht="51" x14ac:dyDescent="0.2">
      <c r="A1312" s="295">
        <v>1308</v>
      </c>
      <c r="B1312" s="390" t="s">
        <v>2015</v>
      </c>
      <c r="C1312" s="424" t="s">
        <v>7730</v>
      </c>
      <c r="D1312" s="391"/>
      <c r="E1312" s="707" t="s">
        <v>2016</v>
      </c>
      <c r="F1312" s="404" t="s">
        <v>1375</v>
      </c>
      <c r="G1312" s="404" t="s">
        <v>1361</v>
      </c>
      <c r="H1312" s="404" t="s">
        <v>137</v>
      </c>
      <c r="I1312" s="403"/>
      <c r="J1312" s="403" t="s">
        <v>137</v>
      </c>
      <c r="K1312" s="403"/>
      <c r="L1312" s="403" t="s">
        <v>3812</v>
      </c>
      <c r="M1312" s="403" t="s">
        <v>3582</v>
      </c>
      <c r="N1312" s="404" t="s">
        <v>3142</v>
      </c>
      <c r="O1312" s="404" t="s">
        <v>93</v>
      </c>
      <c r="P1312" s="404" t="s">
        <v>93</v>
      </c>
      <c r="Q1312" s="403" t="s">
        <v>1810</v>
      </c>
      <c r="R1312" s="403"/>
      <c r="S1312" s="403" t="s">
        <v>102</v>
      </c>
      <c r="T1312" s="405">
        <v>1</v>
      </c>
      <c r="U1312" s="406">
        <v>26.832000000000001</v>
      </c>
      <c r="V1312" s="406"/>
      <c r="W1312" s="456">
        <v>41029</v>
      </c>
      <c r="X1312" s="405">
        <v>28</v>
      </c>
      <c r="Y1312" s="405"/>
      <c r="Z1312" s="405"/>
      <c r="AA1312" s="406"/>
      <c r="AB1312" s="455"/>
      <c r="AC1312" s="407">
        <v>0</v>
      </c>
      <c r="AD1312" s="407">
        <v>268.32</v>
      </c>
      <c r="AE1312" s="404" t="s">
        <v>54</v>
      </c>
      <c r="AF1312" s="418"/>
      <c r="AG1312" s="418"/>
      <c r="AH1312" s="418">
        <v>0</v>
      </c>
      <c r="AI1312" s="405"/>
      <c r="AJ1312" s="455"/>
      <c r="AK1312" s="455"/>
      <c r="AL1312" s="404"/>
      <c r="AM1312" s="404"/>
      <c r="AN1312" s="418"/>
      <c r="AO1312" s="403"/>
      <c r="AP1312" s="403" t="s">
        <v>55</v>
      </c>
      <c r="AQ1312" s="403"/>
      <c r="AR1312" s="403" t="s">
        <v>3812</v>
      </c>
      <c r="AS1312" s="482">
        <v>41030</v>
      </c>
      <c r="AT1312" s="455"/>
      <c r="AU1312" s="455"/>
      <c r="AV1312" s="455"/>
      <c r="AW1312" s="455"/>
      <c r="AX1312" s="455"/>
      <c r="AY1312" s="455"/>
      <c r="AZ1312" s="455"/>
      <c r="BA1312" s="404"/>
      <c r="BB1312" s="404" t="s">
        <v>3147</v>
      </c>
      <c r="BC1312" s="404" t="b">
        <v>1</v>
      </c>
      <c r="BD1312" s="404" t="s">
        <v>3147</v>
      </c>
      <c r="BE1312" s="403"/>
      <c r="BF1312" s="405">
        <v>10</v>
      </c>
      <c r="BG1312" s="405">
        <v>5</v>
      </c>
      <c r="BH1312" s="405"/>
      <c r="BI1312" s="405"/>
      <c r="BJ1312" s="405"/>
      <c r="BK1312" s="405"/>
      <c r="BL1312" s="446"/>
      <c r="BM1312" s="403"/>
      <c r="BN1312" s="404"/>
      <c r="BO1312" s="404"/>
      <c r="BP1312" s="408"/>
      <c r="BQ1312" s="409"/>
      <c r="BR1312" s="410"/>
      <c r="BS1312" s="408">
        <v>0</v>
      </c>
      <c r="BT1312" s="405"/>
      <c r="BU1312" s="418"/>
      <c r="BV1312" s="408"/>
      <c r="BW1312" s="404"/>
      <c r="BX1312" s="403"/>
      <c r="BY1312" s="404"/>
      <c r="BZ1312" s="404"/>
      <c r="CA1312" s="443"/>
      <c r="CB1312" s="409"/>
      <c r="CC1312" s="407"/>
      <c r="CD1312" s="407"/>
      <c r="CE1312" s="407"/>
      <c r="CF1312" s="407"/>
      <c r="CG1312" s="407"/>
      <c r="CH1312" s="407"/>
      <c r="CI1312" s="407"/>
      <c r="CJ1312" s="407"/>
      <c r="CK1312" s="407"/>
      <c r="CL1312" s="407"/>
      <c r="CM1312" s="407"/>
      <c r="CN1312" s="407"/>
      <c r="CO1312" s="407"/>
      <c r="CP1312" s="407"/>
      <c r="CQ1312" s="407"/>
      <c r="CR1312" s="407"/>
      <c r="CS1312" s="407"/>
      <c r="CT1312" s="407"/>
      <c r="CU1312" s="407"/>
      <c r="CV1312" s="407"/>
      <c r="CW1312" s="407"/>
      <c r="CX1312" s="407"/>
      <c r="CY1312" s="407"/>
      <c r="CZ1312" s="407"/>
      <c r="DA1312" s="407"/>
      <c r="DB1312" s="407"/>
      <c r="DC1312" s="407"/>
      <c r="DD1312" s="407"/>
      <c r="DE1312" s="404"/>
      <c r="DF1312" s="404"/>
      <c r="DG1312" s="404"/>
      <c r="DH1312" s="404"/>
      <c r="DI1312" s="404"/>
      <c r="DJ1312" s="404"/>
      <c r="DK1312" s="901"/>
    </row>
    <row r="1313" spans="1:115" ht="38.25" x14ac:dyDescent="0.2">
      <c r="A1313" s="295">
        <v>1309</v>
      </c>
      <c r="B1313" s="390" t="s">
        <v>2902</v>
      </c>
      <c r="C1313" s="390"/>
      <c r="D1313" s="391"/>
      <c r="E1313" s="707" t="s">
        <v>2017</v>
      </c>
      <c r="F1313" s="404" t="s">
        <v>1375</v>
      </c>
      <c r="G1313" s="404" t="s">
        <v>1361</v>
      </c>
      <c r="H1313" s="404" t="s">
        <v>137</v>
      </c>
      <c r="I1313" s="403"/>
      <c r="J1313" s="403"/>
      <c r="K1313" s="403" t="s">
        <v>2018</v>
      </c>
      <c r="L1313" s="403" t="s">
        <v>3812</v>
      </c>
      <c r="M1313" s="403"/>
      <c r="N1313" s="404" t="s">
        <v>3142</v>
      </c>
      <c r="O1313" s="404" t="s">
        <v>93</v>
      </c>
      <c r="P1313" s="404" t="s">
        <v>93</v>
      </c>
      <c r="Q1313" s="403" t="s">
        <v>1810</v>
      </c>
      <c r="R1313" s="403" t="s">
        <v>4131</v>
      </c>
      <c r="S1313" s="403" t="s">
        <v>102</v>
      </c>
      <c r="T1313" s="405">
        <v>1</v>
      </c>
      <c r="U1313" s="406">
        <v>26.832000000000001</v>
      </c>
      <c r="V1313" s="406"/>
      <c r="W1313" s="455"/>
      <c r="X1313" s="405"/>
      <c r="Y1313" s="405">
        <v>10</v>
      </c>
      <c r="Z1313" s="405">
        <v>20</v>
      </c>
      <c r="AA1313" s="406">
        <v>0</v>
      </c>
      <c r="AB1313" s="456">
        <v>41640</v>
      </c>
      <c r="AC1313" s="407">
        <v>0</v>
      </c>
      <c r="AD1313" s="407">
        <v>268.32</v>
      </c>
      <c r="AE1313" s="404" t="s">
        <v>54</v>
      </c>
      <c r="AF1313" s="418"/>
      <c r="AG1313" s="418"/>
      <c r="AH1313" s="418"/>
      <c r="AI1313" s="405"/>
      <c r="AJ1313" s="455"/>
      <c r="AK1313" s="455"/>
      <c r="AL1313" s="404"/>
      <c r="AM1313" s="404"/>
      <c r="AN1313" s="418"/>
      <c r="AO1313" s="403"/>
      <c r="AP1313" s="403" t="s">
        <v>55</v>
      </c>
      <c r="AQ1313" s="403"/>
      <c r="AR1313" s="403" t="s">
        <v>3812</v>
      </c>
      <c r="AS1313" s="482">
        <v>41030</v>
      </c>
      <c r="AT1313" s="455"/>
      <c r="AU1313" s="455"/>
      <c r="AV1313" s="455"/>
      <c r="AW1313" s="455"/>
      <c r="AX1313" s="455"/>
      <c r="AY1313" s="455"/>
      <c r="AZ1313" s="455"/>
      <c r="BA1313" s="404"/>
      <c r="BB1313" s="404"/>
      <c r="BC1313" s="404" t="b">
        <v>0</v>
      </c>
      <c r="BD1313" s="404"/>
      <c r="BE1313" s="403"/>
      <c r="BF1313" s="405">
        <v>10</v>
      </c>
      <c r="BG1313" s="405">
        <v>5</v>
      </c>
      <c r="BH1313" s="405"/>
      <c r="BI1313" s="405"/>
      <c r="BJ1313" s="405"/>
      <c r="BK1313" s="405"/>
      <c r="BL1313" s="446" t="s">
        <v>6982</v>
      </c>
      <c r="BM1313" s="403"/>
      <c r="BN1313" s="404"/>
      <c r="BO1313" s="404"/>
      <c r="BP1313" s="408"/>
      <c r="BQ1313" s="409"/>
      <c r="BR1313" s="410"/>
      <c r="BS1313" s="408"/>
      <c r="BT1313" s="405"/>
      <c r="BU1313" s="418"/>
      <c r="BV1313" s="408">
        <v>11</v>
      </c>
      <c r="BW1313" s="404" t="s">
        <v>3117</v>
      </c>
      <c r="BX1313" s="403" t="s">
        <v>3253</v>
      </c>
      <c r="BY1313" s="404"/>
      <c r="BZ1313" s="404"/>
      <c r="CA1313" s="443"/>
      <c r="CB1313" s="409"/>
      <c r="CC1313" s="407"/>
      <c r="CD1313" s="407"/>
      <c r="CE1313" s="407"/>
      <c r="CF1313" s="407"/>
      <c r="CG1313" s="407"/>
      <c r="CH1313" s="407"/>
      <c r="CI1313" s="407"/>
      <c r="CJ1313" s="407">
        <v>26.832000000000001</v>
      </c>
      <c r="CK1313" s="407">
        <v>26.832000000000001</v>
      </c>
      <c r="CL1313" s="407">
        <v>26.832000000000001</v>
      </c>
      <c r="CM1313" s="407">
        <v>26.832000000000001</v>
      </c>
      <c r="CN1313" s="407">
        <v>26.832000000000001</v>
      </c>
      <c r="CO1313" s="407">
        <v>26.832000000000001</v>
      </c>
      <c r="CP1313" s="407">
        <v>26.832000000000001</v>
      </c>
      <c r="CQ1313" s="407">
        <v>26.832000000000001</v>
      </c>
      <c r="CR1313" s="407">
        <v>26.832000000000001</v>
      </c>
      <c r="CS1313" s="407">
        <v>26.832000000000001</v>
      </c>
      <c r="CT1313" s="407"/>
      <c r="CU1313" s="407"/>
      <c r="CV1313" s="407"/>
      <c r="CW1313" s="407"/>
      <c r="CX1313" s="407"/>
      <c r="CY1313" s="407"/>
      <c r="CZ1313" s="407"/>
      <c r="DA1313" s="407"/>
      <c r="DB1313" s="407"/>
      <c r="DC1313" s="407"/>
      <c r="DD1313" s="407"/>
      <c r="DE1313" s="404"/>
      <c r="DF1313" s="404"/>
      <c r="DG1313" s="404"/>
      <c r="DH1313" s="404"/>
      <c r="DI1313" s="404"/>
      <c r="DJ1313" s="404"/>
      <c r="DK1313" s="897"/>
    </row>
    <row r="1314" spans="1:115" ht="51" x14ac:dyDescent="0.2">
      <c r="A1314" s="295">
        <v>1310</v>
      </c>
      <c r="B1314" s="390" t="s">
        <v>2019</v>
      </c>
      <c r="C1314" s="424" t="s">
        <v>7731</v>
      </c>
      <c r="D1314" s="391"/>
      <c r="E1314" s="706" t="s">
        <v>2020</v>
      </c>
      <c r="F1314" s="390" t="s">
        <v>1375</v>
      </c>
      <c r="G1314" s="390" t="s">
        <v>998</v>
      </c>
      <c r="H1314" s="390" t="s">
        <v>218</v>
      </c>
      <c r="I1314" s="402" t="s">
        <v>245</v>
      </c>
      <c r="J1314" s="402" t="s">
        <v>861</v>
      </c>
      <c r="K1314" s="402"/>
      <c r="L1314" s="402" t="s">
        <v>266</v>
      </c>
      <c r="M1314" s="402" t="s">
        <v>3583</v>
      </c>
      <c r="N1314" s="390" t="s">
        <v>33</v>
      </c>
      <c r="O1314" s="390" t="s">
        <v>5030</v>
      </c>
      <c r="P1314" s="390" t="s">
        <v>5030</v>
      </c>
      <c r="Q1314" s="402" t="s">
        <v>1835</v>
      </c>
      <c r="R1314" s="402"/>
      <c r="S1314" s="402" t="s">
        <v>650</v>
      </c>
      <c r="T1314" s="411">
        <v>1</v>
      </c>
      <c r="U1314" s="412">
        <v>101.77</v>
      </c>
      <c r="V1314" s="412"/>
      <c r="W1314" s="457">
        <v>40806</v>
      </c>
      <c r="X1314" s="411">
        <v>28</v>
      </c>
      <c r="Y1314" s="411"/>
      <c r="Z1314" s="411"/>
      <c r="AA1314" s="412"/>
      <c r="AB1314" s="454"/>
      <c r="AC1314" s="413">
        <v>0</v>
      </c>
      <c r="AD1314" s="413">
        <v>1017.6999999999999</v>
      </c>
      <c r="AE1314" s="390" t="s">
        <v>355</v>
      </c>
      <c r="AF1314" s="419"/>
      <c r="AG1314" s="419"/>
      <c r="AH1314" s="419">
        <v>0</v>
      </c>
      <c r="AI1314" s="411"/>
      <c r="AJ1314" s="454"/>
      <c r="AK1314" s="454"/>
      <c r="AL1314" s="390"/>
      <c r="AM1314" s="390"/>
      <c r="AN1314" s="419"/>
      <c r="AO1314" s="402"/>
      <c r="AP1314" s="402" t="s">
        <v>55</v>
      </c>
      <c r="AQ1314" s="402"/>
      <c r="AR1314" s="402" t="s">
        <v>564</v>
      </c>
      <c r="AS1314" s="481">
        <v>41031</v>
      </c>
      <c r="AT1314" s="454"/>
      <c r="AU1314" s="454"/>
      <c r="AV1314" s="454"/>
      <c r="AW1314" s="454"/>
      <c r="AX1314" s="454"/>
      <c r="AY1314" s="454"/>
      <c r="AZ1314" s="454"/>
      <c r="BA1314" s="390"/>
      <c r="BB1314" s="390" t="s">
        <v>3147</v>
      </c>
      <c r="BC1314" s="390" t="b">
        <v>1</v>
      </c>
      <c r="BD1314" s="390" t="s">
        <v>3147</v>
      </c>
      <c r="BE1314" s="402"/>
      <c r="BF1314" s="411">
        <v>1</v>
      </c>
      <c r="BG1314" s="411">
        <v>4</v>
      </c>
      <c r="BH1314" s="411">
        <v>5</v>
      </c>
      <c r="BI1314" s="411">
        <v>11</v>
      </c>
      <c r="BJ1314" s="411">
        <v>3</v>
      </c>
      <c r="BK1314" s="411"/>
      <c r="BL1314" s="445"/>
      <c r="BM1314" s="402"/>
      <c r="BN1314" s="390"/>
      <c r="BO1314" s="390"/>
      <c r="BP1314" s="414"/>
      <c r="BQ1314" s="415"/>
      <c r="BR1314" s="416"/>
      <c r="BS1314" s="414">
        <v>40.5</v>
      </c>
      <c r="BT1314" s="411"/>
      <c r="BU1314" s="419"/>
      <c r="BV1314" s="414"/>
      <c r="BW1314" s="390"/>
      <c r="BX1314" s="402"/>
      <c r="BY1314" s="390"/>
      <c r="BZ1314" s="390"/>
      <c r="CA1314" s="442"/>
      <c r="CB1314" s="415"/>
      <c r="CC1314" s="413"/>
      <c r="CD1314" s="413"/>
      <c r="CE1314" s="413"/>
      <c r="CF1314" s="413"/>
      <c r="CG1314" s="413"/>
      <c r="CH1314" s="413"/>
      <c r="CI1314" s="413"/>
      <c r="CJ1314" s="413"/>
      <c r="CK1314" s="413"/>
      <c r="CL1314" s="413"/>
      <c r="CM1314" s="413"/>
      <c r="CN1314" s="413"/>
      <c r="CO1314" s="413"/>
      <c r="CP1314" s="413"/>
      <c r="CQ1314" s="413"/>
      <c r="CR1314" s="413"/>
      <c r="CS1314" s="413"/>
      <c r="CT1314" s="413"/>
      <c r="CU1314" s="413"/>
      <c r="CV1314" s="413"/>
      <c r="CW1314" s="413"/>
      <c r="CX1314" s="413"/>
      <c r="CY1314" s="413"/>
      <c r="CZ1314" s="413"/>
      <c r="DA1314" s="413"/>
      <c r="DB1314" s="413"/>
      <c r="DC1314" s="413"/>
      <c r="DD1314" s="413"/>
      <c r="DE1314" s="390"/>
      <c r="DF1314" s="390"/>
      <c r="DG1314" s="390"/>
      <c r="DH1314" s="390"/>
      <c r="DI1314" s="390"/>
      <c r="DJ1314" s="390"/>
      <c r="DK1314" s="901"/>
    </row>
    <row r="1315" spans="1:115" ht="38.25" x14ac:dyDescent="0.2">
      <c r="A1315" s="295">
        <v>1311</v>
      </c>
      <c r="B1315" s="390" t="s">
        <v>2903</v>
      </c>
      <c r="C1315" s="390"/>
      <c r="D1315" s="391"/>
      <c r="E1315" s="706" t="s">
        <v>2021</v>
      </c>
      <c r="F1315" s="390" t="s">
        <v>1375</v>
      </c>
      <c r="G1315" s="390" t="s">
        <v>998</v>
      </c>
      <c r="H1315" s="390" t="s">
        <v>218</v>
      </c>
      <c r="I1315" s="402"/>
      <c r="J1315" s="402"/>
      <c r="K1315" s="402" t="s">
        <v>2022</v>
      </c>
      <c r="L1315" s="402" t="s">
        <v>266</v>
      </c>
      <c r="M1315" s="402"/>
      <c r="N1315" s="390" t="s">
        <v>33</v>
      </c>
      <c r="O1315" s="390" t="s">
        <v>1155</v>
      </c>
      <c r="P1315" s="390" t="s">
        <v>1155</v>
      </c>
      <c r="Q1315" s="402" t="s">
        <v>1155</v>
      </c>
      <c r="R1315" s="402" t="s">
        <v>3584</v>
      </c>
      <c r="S1315" s="402" t="s">
        <v>650</v>
      </c>
      <c r="T1315" s="411">
        <v>1</v>
      </c>
      <c r="U1315" s="412">
        <v>101.77</v>
      </c>
      <c r="V1315" s="412"/>
      <c r="W1315" s="454"/>
      <c r="X1315" s="411"/>
      <c r="Y1315" s="411">
        <v>10</v>
      </c>
      <c r="Z1315" s="411">
        <v>20</v>
      </c>
      <c r="AA1315" s="412">
        <v>0</v>
      </c>
      <c r="AB1315" s="457">
        <v>41275</v>
      </c>
      <c r="AC1315" s="413">
        <v>0</v>
      </c>
      <c r="AD1315" s="413">
        <v>1017.6999999999999</v>
      </c>
      <c r="AE1315" s="390" t="s">
        <v>355</v>
      </c>
      <c r="AF1315" s="419"/>
      <c r="AG1315" s="419"/>
      <c r="AH1315" s="419"/>
      <c r="AI1315" s="411"/>
      <c r="AJ1315" s="454"/>
      <c r="AK1315" s="454"/>
      <c r="AL1315" s="390"/>
      <c r="AM1315" s="390"/>
      <c r="AN1315" s="419"/>
      <c r="AO1315" s="402"/>
      <c r="AP1315" s="402" t="s">
        <v>55</v>
      </c>
      <c r="AQ1315" s="402"/>
      <c r="AR1315" s="402" t="s">
        <v>564</v>
      </c>
      <c r="AS1315" s="481">
        <v>41031</v>
      </c>
      <c r="AT1315" s="454"/>
      <c r="AU1315" s="454"/>
      <c r="AV1315" s="454"/>
      <c r="AW1315" s="454"/>
      <c r="AX1315" s="454"/>
      <c r="AY1315" s="454"/>
      <c r="AZ1315" s="454"/>
      <c r="BA1315" s="390"/>
      <c r="BB1315" s="390"/>
      <c r="BC1315" s="390" t="b">
        <v>0</v>
      </c>
      <c r="BD1315" s="390"/>
      <c r="BE1315" s="402"/>
      <c r="BF1315" s="411">
        <v>1</v>
      </c>
      <c r="BG1315" s="411">
        <v>3</v>
      </c>
      <c r="BH1315" s="411">
        <v>6</v>
      </c>
      <c r="BI1315" s="411">
        <v>5</v>
      </c>
      <c r="BJ1315" s="411"/>
      <c r="BK1315" s="411"/>
      <c r="BL1315" s="445" t="s">
        <v>6982</v>
      </c>
      <c r="BM1315" s="402"/>
      <c r="BN1315" s="390"/>
      <c r="BO1315" s="390"/>
      <c r="BP1315" s="414"/>
      <c r="BQ1315" s="415"/>
      <c r="BR1315" s="416"/>
      <c r="BS1315" s="414">
        <v>40.5</v>
      </c>
      <c r="BT1315" s="411">
        <v>165086</v>
      </c>
      <c r="BU1315" s="419">
        <v>0.62</v>
      </c>
      <c r="BV1315" s="414"/>
      <c r="BW1315" s="390" t="s">
        <v>3117</v>
      </c>
      <c r="BX1315" s="402" t="s">
        <v>3253</v>
      </c>
      <c r="BY1315" s="390"/>
      <c r="BZ1315" s="390"/>
      <c r="CA1315" s="442"/>
      <c r="CB1315" s="415"/>
      <c r="CC1315" s="413"/>
      <c r="CD1315" s="413"/>
      <c r="CE1315" s="413"/>
      <c r="CF1315" s="413"/>
      <c r="CG1315" s="413"/>
      <c r="CH1315" s="413"/>
      <c r="CI1315" s="413">
        <v>101.77</v>
      </c>
      <c r="CJ1315" s="413">
        <v>101.77</v>
      </c>
      <c r="CK1315" s="413">
        <v>101.77</v>
      </c>
      <c r="CL1315" s="413">
        <v>101.77</v>
      </c>
      <c r="CM1315" s="413">
        <v>101.77</v>
      </c>
      <c r="CN1315" s="413">
        <v>101.77</v>
      </c>
      <c r="CO1315" s="413">
        <v>101.77</v>
      </c>
      <c r="CP1315" s="413">
        <v>101.77</v>
      </c>
      <c r="CQ1315" s="413">
        <v>101.77</v>
      </c>
      <c r="CR1315" s="413">
        <v>101.77</v>
      </c>
      <c r="CS1315" s="413"/>
      <c r="CT1315" s="413"/>
      <c r="CU1315" s="413"/>
      <c r="CV1315" s="413"/>
      <c r="CW1315" s="413"/>
      <c r="CX1315" s="413"/>
      <c r="CY1315" s="413"/>
      <c r="CZ1315" s="413"/>
      <c r="DA1315" s="413"/>
      <c r="DB1315" s="413"/>
      <c r="DC1315" s="413"/>
      <c r="DD1315" s="413"/>
      <c r="DE1315" s="390"/>
      <c r="DF1315" s="390"/>
      <c r="DG1315" s="390"/>
      <c r="DH1315" s="390"/>
      <c r="DI1315" s="390"/>
      <c r="DJ1315" s="390"/>
      <c r="DK1315" s="897"/>
    </row>
    <row r="1316" spans="1:115" ht="38.25" x14ac:dyDescent="0.2">
      <c r="A1316" s="295">
        <v>1312</v>
      </c>
      <c r="B1316" s="390" t="s">
        <v>2023</v>
      </c>
      <c r="C1316" s="424" t="s">
        <v>7732</v>
      </c>
      <c r="D1316" s="391" t="s">
        <v>5195</v>
      </c>
      <c r="E1316" s="704" t="s">
        <v>2024</v>
      </c>
      <c r="F1316" s="393" t="s">
        <v>1375</v>
      </c>
      <c r="G1316" s="393" t="s">
        <v>1361</v>
      </c>
      <c r="H1316" s="393" t="s">
        <v>137</v>
      </c>
      <c r="I1316" s="392"/>
      <c r="J1316" s="392" t="s">
        <v>137</v>
      </c>
      <c r="K1316" s="392"/>
      <c r="L1316" s="392" t="s">
        <v>4255</v>
      </c>
      <c r="M1316" s="392" t="s">
        <v>3585</v>
      </c>
      <c r="N1316" s="393" t="s">
        <v>44</v>
      </c>
      <c r="O1316" s="393" t="s">
        <v>51</v>
      </c>
      <c r="P1316" s="393" t="s">
        <v>51</v>
      </c>
      <c r="Q1316" s="392" t="s">
        <v>976</v>
      </c>
      <c r="R1316" s="392"/>
      <c r="S1316" s="392" t="s">
        <v>977</v>
      </c>
      <c r="T1316" s="394">
        <v>1</v>
      </c>
      <c r="U1316" s="395">
        <v>31.576000000000001</v>
      </c>
      <c r="V1316" s="395"/>
      <c r="W1316" s="452">
        <v>41033</v>
      </c>
      <c r="X1316" s="394">
        <v>28</v>
      </c>
      <c r="Y1316" s="394"/>
      <c r="Z1316" s="394"/>
      <c r="AA1316" s="395"/>
      <c r="AB1316" s="453"/>
      <c r="AC1316" s="398">
        <v>0</v>
      </c>
      <c r="AD1316" s="398">
        <v>251.48337534246576</v>
      </c>
      <c r="AE1316" s="393" t="s">
        <v>96</v>
      </c>
      <c r="AF1316" s="417"/>
      <c r="AG1316" s="417"/>
      <c r="AH1316" s="417">
        <v>0</v>
      </c>
      <c r="AI1316" s="394"/>
      <c r="AJ1316" s="453"/>
      <c r="AK1316" s="453"/>
      <c r="AL1316" s="393"/>
      <c r="AM1316" s="393"/>
      <c r="AN1316" s="417"/>
      <c r="AO1316" s="392"/>
      <c r="AP1316" s="392" t="s">
        <v>55</v>
      </c>
      <c r="AQ1316" s="392"/>
      <c r="AR1316" s="392" t="s">
        <v>4214</v>
      </c>
      <c r="AS1316" s="479">
        <v>41033</v>
      </c>
      <c r="AT1316" s="453"/>
      <c r="AU1316" s="453"/>
      <c r="AV1316" s="452">
        <v>41149</v>
      </c>
      <c r="AW1316" s="452">
        <v>41253</v>
      </c>
      <c r="AX1316" s="452">
        <v>41299</v>
      </c>
      <c r="AY1316" s="452">
        <v>41255</v>
      </c>
      <c r="AZ1316" s="453"/>
      <c r="BA1316" s="393"/>
      <c r="BB1316" s="393" t="s">
        <v>3116</v>
      </c>
      <c r="BC1316" s="393" t="b">
        <v>0</v>
      </c>
      <c r="BD1316" s="393" t="s">
        <v>3147</v>
      </c>
      <c r="BE1316" s="392"/>
      <c r="BF1316" s="394">
        <v>1</v>
      </c>
      <c r="BG1316" s="394">
        <v>6</v>
      </c>
      <c r="BH1316" s="394">
        <v>4</v>
      </c>
      <c r="BI1316" s="394">
        <v>5</v>
      </c>
      <c r="BJ1316" s="394">
        <v>8</v>
      </c>
      <c r="BK1316" s="394">
        <v>11</v>
      </c>
      <c r="BL1316" s="444"/>
      <c r="BM1316" s="392"/>
      <c r="BN1316" s="393"/>
      <c r="BO1316" s="393"/>
      <c r="BP1316" s="399"/>
      <c r="BQ1316" s="400"/>
      <c r="BR1316" s="401"/>
      <c r="BS1316" s="399">
        <v>0</v>
      </c>
      <c r="BT1316" s="394"/>
      <c r="BU1316" s="417"/>
      <c r="BV1316" s="399"/>
      <c r="BW1316" s="393"/>
      <c r="BX1316" s="392"/>
      <c r="BY1316" s="475" t="s">
        <v>7227</v>
      </c>
      <c r="BZ1316" s="393"/>
      <c r="CA1316" s="441"/>
      <c r="CB1316" s="400"/>
      <c r="CC1316" s="398"/>
      <c r="CD1316" s="398"/>
      <c r="CE1316" s="398"/>
      <c r="CF1316" s="398"/>
      <c r="CG1316" s="398"/>
      <c r="CH1316" s="398"/>
      <c r="CI1316" s="398"/>
      <c r="CJ1316" s="398"/>
      <c r="CK1316" s="398"/>
      <c r="CL1316" s="398"/>
      <c r="CM1316" s="398"/>
      <c r="CN1316" s="398"/>
      <c r="CO1316" s="398"/>
      <c r="CP1316" s="398"/>
      <c r="CQ1316" s="398"/>
      <c r="CR1316" s="398"/>
      <c r="CS1316" s="398"/>
      <c r="CT1316" s="398"/>
      <c r="CU1316" s="398"/>
      <c r="CV1316" s="398"/>
      <c r="CW1316" s="398"/>
      <c r="CX1316" s="398"/>
      <c r="CY1316" s="398"/>
      <c r="CZ1316" s="398"/>
      <c r="DA1316" s="398"/>
      <c r="DB1316" s="398"/>
      <c r="DC1316" s="398"/>
      <c r="DD1316" s="398"/>
      <c r="DE1316" s="393"/>
      <c r="DF1316" s="393"/>
      <c r="DG1316" s="393"/>
      <c r="DH1316" s="393"/>
      <c r="DI1316" s="393"/>
      <c r="DJ1316" s="393"/>
      <c r="DK1316" s="896" t="s">
        <v>9700</v>
      </c>
    </row>
    <row r="1317" spans="1:115" ht="38.25" x14ac:dyDescent="0.2">
      <c r="A1317" s="295">
        <v>1313</v>
      </c>
      <c r="B1317" s="390" t="s">
        <v>2904</v>
      </c>
      <c r="C1317" s="390"/>
      <c r="D1317" s="391" t="s">
        <v>4493</v>
      </c>
      <c r="E1317" s="704" t="s">
        <v>4132</v>
      </c>
      <c r="F1317" s="393" t="s">
        <v>1375</v>
      </c>
      <c r="G1317" s="393" t="s">
        <v>1361</v>
      </c>
      <c r="H1317" s="393" t="s">
        <v>137</v>
      </c>
      <c r="I1317" s="392"/>
      <c r="J1317" s="392"/>
      <c r="K1317" s="392" t="s">
        <v>1518</v>
      </c>
      <c r="L1317" s="392" t="s">
        <v>4255</v>
      </c>
      <c r="M1317" s="392"/>
      <c r="N1317" s="393" t="s">
        <v>44</v>
      </c>
      <c r="O1317" s="393" t="s">
        <v>51</v>
      </c>
      <c r="P1317" s="393" t="s">
        <v>51</v>
      </c>
      <c r="Q1317" s="392" t="s">
        <v>976</v>
      </c>
      <c r="R1317" s="392" t="s">
        <v>3586</v>
      </c>
      <c r="S1317" s="392" t="s">
        <v>977</v>
      </c>
      <c r="T1317" s="394">
        <v>1</v>
      </c>
      <c r="U1317" s="395">
        <v>31.576000000000001</v>
      </c>
      <c r="V1317" s="395"/>
      <c r="W1317" s="453"/>
      <c r="X1317" s="394"/>
      <c r="Y1317" s="394">
        <v>7</v>
      </c>
      <c r="Z1317" s="394">
        <v>10</v>
      </c>
      <c r="AA1317" s="395">
        <v>0</v>
      </c>
      <c r="AB1317" s="452">
        <v>41289</v>
      </c>
      <c r="AC1317" s="398">
        <v>0</v>
      </c>
      <c r="AD1317" s="398">
        <v>251.48337534246576</v>
      </c>
      <c r="AE1317" s="393" t="s">
        <v>96</v>
      </c>
      <c r="AF1317" s="417"/>
      <c r="AG1317" s="417"/>
      <c r="AH1317" s="417"/>
      <c r="AI1317" s="394"/>
      <c r="AJ1317" s="453"/>
      <c r="AK1317" s="453"/>
      <c r="AL1317" s="393"/>
      <c r="AM1317" s="393"/>
      <c r="AN1317" s="417"/>
      <c r="AO1317" s="392"/>
      <c r="AP1317" s="392" t="s">
        <v>55</v>
      </c>
      <c r="AQ1317" s="392"/>
      <c r="AR1317" s="392" t="s">
        <v>4214</v>
      </c>
      <c r="AS1317" s="479">
        <v>41033</v>
      </c>
      <c r="AT1317" s="453"/>
      <c r="AU1317" s="453"/>
      <c r="AV1317" s="453"/>
      <c r="AW1317" s="453"/>
      <c r="AX1317" s="453"/>
      <c r="AY1317" s="453"/>
      <c r="AZ1317" s="452">
        <v>41255</v>
      </c>
      <c r="BA1317" s="393"/>
      <c r="BB1317" s="393"/>
      <c r="BC1317" s="393" t="b">
        <v>0</v>
      </c>
      <c r="BD1317" s="393"/>
      <c r="BE1317" s="392"/>
      <c r="BF1317" s="394">
        <v>1</v>
      </c>
      <c r="BG1317" s="394">
        <v>6</v>
      </c>
      <c r="BH1317" s="394">
        <v>4</v>
      </c>
      <c r="BI1317" s="394">
        <v>5</v>
      </c>
      <c r="BJ1317" s="394">
        <v>8</v>
      </c>
      <c r="BK1317" s="394">
        <v>11</v>
      </c>
      <c r="BL1317" s="444" t="s">
        <v>6981</v>
      </c>
      <c r="BM1317" s="392"/>
      <c r="BN1317" s="393"/>
      <c r="BO1317" s="393"/>
      <c r="BP1317" s="399"/>
      <c r="BQ1317" s="400"/>
      <c r="BR1317" s="401"/>
      <c r="BS1317" s="399"/>
      <c r="BT1317" s="394"/>
      <c r="BU1317" s="417"/>
      <c r="BV1317" s="399"/>
      <c r="BW1317" s="393" t="s">
        <v>3117</v>
      </c>
      <c r="BX1317" s="392" t="s">
        <v>3154</v>
      </c>
      <c r="BY1317" s="475" t="s">
        <v>7227</v>
      </c>
      <c r="BZ1317" s="393"/>
      <c r="CA1317" s="441"/>
      <c r="CB1317" s="400"/>
      <c r="CC1317" s="398"/>
      <c r="CD1317" s="398"/>
      <c r="CE1317" s="398"/>
      <c r="CF1317" s="398"/>
      <c r="CG1317" s="398"/>
      <c r="CH1317" s="398"/>
      <c r="CI1317" s="398">
        <v>34.381</v>
      </c>
      <c r="CJ1317" s="398">
        <v>31.576000000000001</v>
      </c>
      <c r="CK1317" s="398">
        <v>31.576000000000001</v>
      </c>
      <c r="CL1317" s="398">
        <v>31.576000000000001</v>
      </c>
      <c r="CM1317" s="398">
        <v>31.576000000000001</v>
      </c>
      <c r="CN1317" s="398">
        <v>31.576000000000001</v>
      </c>
      <c r="CO1317" s="398">
        <v>31.576000000000001</v>
      </c>
      <c r="CP1317" s="398">
        <v>31.576000000000001</v>
      </c>
      <c r="CQ1317" s="398">
        <v>31.576000000000001</v>
      </c>
      <c r="CR1317" s="398">
        <v>31.576000000000001</v>
      </c>
      <c r="CS1317" s="398"/>
      <c r="CT1317" s="398"/>
      <c r="CU1317" s="398"/>
      <c r="CV1317" s="398"/>
      <c r="CW1317" s="398"/>
      <c r="CX1317" s="398"/>
      <c r="CY1317" s="398"/>
      <c r="CZ1317" s="398"/>
      <c r="DA1317" s="398"/>
      <c r="DB1317" s="398"/>
      <c r="DC1317" s="398"/>
      <c r="DD1317" s="398"/>
      <c r="DE1317" s="393"/>
      <c r="DF1317" s="393"/>
      <c r="DG1317" s="393"/>
      <c r="DH1317" s="393"/>
      <c r="DI1317" s="393"/>
      <c r="DJ1317" s="393"/>
      <c r="DK1317" s="897"/>
    </row>
    <row r="1318" spans="1:115" ht="63.75" x14ac:dyDescent="0.2">
      <c r="A1318" s="295">
        <v>1314</v>
      </c>
      <c r="B1318" s="390" t="s">
        <v>2025</v>
      </c>
      <c r="C1318" s="424" t="s">
        <v>7733</v>
      </c>
      <c r="D1318" s="391" t="s">
        <v>5542</v>
      </c>
      <c r="E1318" s="704" t="s">
        <v>2026</v>
      </c>
      <c r="F1318" s="393" t="s">
        <v>1352</v>
      </c>
      <c r="G1318" s="393" t="s">
        <v>1673</v>
      </c>
      <c r="H1318" s="393" t="s">
        <v>42</v>
      </c>
      <c r="I1318" s="392"/>
      <c r="J1318" s="392" t="s">
        <v>42</v>
      </c>
      <c r="K1318" s="392"/>
      <c r="L1318" s="392" t="s">
        <v>3813</v>
      </c>
      <c r="M1318" s="392" t="s">
        <v>3587</v>
      </c>
      <c r="N1318" s="393" t="s">
        <v>44</v>
      </c>
      <c r="O1318" s="393" t="s">
        <v>51</v>
      </c>
      <c r="P1318" s="393" t="s">
        <v>51</v>
      </c>
      <c r="Q1318" s="392" t="s">
        <v>976</v>
      </c>
      <c r="R1318" s="392"/>
      <c r="S1318" s="392" t="s">
        <v>977</v>
      </c>
      <c r="T1318" s="394">
        <v>1</v>
      </c>
      <c r="U1318" s="395">
        <v>46.814</v>
      </c>
      <c r="V1318" s="395"/>
      <c r="W1318" s="452">
        <v>41029</v>
      </c>
      <c r="X1318" s="394">
        <v>28</v>
      </c>
      <c r="Y1318" s="394"/>
      <c r="Z1318" s="394"/>
      <c r="AA1318" s="395"/>
      <c r="AB1318" s="453"/>
      <c r="AC1318" s="398">
        <v>0</v>
      </c>
      <c r="AD1318" s="398">
        <v>468.14</v>
      </c>
      <c r="AE1318" s="393" t="s">
        <v>37</v>
      </c>
      <c r="AF1318" s="417"/>
      <c r="AG1318" s="417"/>
      <c r="AH1318" s="417">
        <v>0</v>
      </c>
      <c r="AI1318" s="394"/>
      <c r="AJ1318" s="453"/>
      <c r="AK1318" s="453"/>
      <c r="AL1318" s="393"/>
      <c r="AM1318" s="393"/>
      <c r="AN1318" s="417"/>
      <c r="AO1318" s="392"/>
      <c r="AP1318" s="392" t="s">
        <v>55</v>
      </c>
      <c r="AQ1318" s="392"/>
      <c r="AR1318" s="392" t="s">
        <v>3813</v>
      </c>
      <c r="AS1318" s="479">
        <v>41038</v>
      </c>
      <c r="AT1318" s="453"/>
      <c r="AU1318" s="453"/>
      <c r="AV1318" s="452">
        <v>41137</v>
      </c>
      <c r="AW1318" s="452">
        <v>41263</v>
      </c>
      <c r="AX1318" s="452">
        <v>41436</v>
      </c>
      <c r="AY1318" s="452">
        <v>41271</v>
      </c>
      <c r="AZ1318" s="453"/>
      <c r="BA1318" s="393" t="s">
        <v>6984</v>
      </c>
      <c r="BB1318" s="393" t="s">
        <v>3116</v>
      </c>
      <c r="BC1318" s="393" t="b">
        <v>0</v>
      </c>
      <c r="BD1318" s="393" t="s">
        <v>3310</v>
      </c>
      <c r="BE1318" s="392"/>
      <c r="BF1318" s="394">
        <v>8</v>
      </c>
      <c r="BG1318" s="394">
        <v>6</v>
      </c>
      <c r="BH1318" s="394">
        <v>4</v>
      </c>
      <c r="BI1318" s="394">
        <v>9</v>
      </c>
      <c r="BJ1318" s="394">
        <v>5</v>
      </c>
      <c r="BK1318" s="394">
        <v>11</v>
      </c>
      <c r="BL1318" s="444"/>
      <c r="BM1318" s="392"/>
      <c r="BN1318" s="393"/>
      <c r="BO1318" s="393"/>
      <c r="BP1318" s="399"/>
      <c r="BQ1318" s="400"/>
      <c r="BR1318" s="401"/>
      <c r="BS1318" s="399">
        <v>0</v>
      </c>
      <c r="BT1318" s="394"/>
      <c r="BU1318" s="417"/>
      <c r="BV1318" s="399"/>
      <c r="BW1318" s="393"/>
      <c r="BX1318" s="392"/>
      <c r="BY1318" s="475" t="s">
        <v>7227</v>
      </c>
      <c r="BZ1318" s="393"/>
      <c r="CA1318" s="441"/>
      <c r="CB1318" s="400"/>
      <c r="CC1318" s="398"/>
      <c r="CD1318" s="398"/>
      <c r="CE1318" s="398"/>
      <c r="CF1318" s="398"/>
      <c r="CG1318" s="398"/>
      <c r="CH1318" s="398"/>
      <c r="CI1318" s="398"/>
      <c r="CJ1318" s="398"/>
      <c r="CK1318" s="398"/>
      <c r="CL1318" s="398"/>
      <c r="CM1318" s="398"/>
      <c r="CN1318" s="398"/>
      <c r="CO1318" s="398"/>
      <c r="CP1318" s="398"/>
      <c r="CQ1318" s="398"/>
      <c r="CR1318" s="398"/>
      <c r="CS1318" s="398"/>
      <c r="CT1318" s="398"/>
      <c r="CU1318" s="398"/>
      <c r="CV1318" s="398"/>
      <c r="CW1318" s="398"/>
      <c r="CX1318" s="398"/>
      <c r="CY1318" s="398"/>
      <c r="CZ1318" s="398"/>
      <c r="DA1318" s="398"/>
      <c r="DB1318" s="398"/>
      <c r="DC1318" s="398"/>
      <c r="DD1318" s="398"/>
      <c r="DE1318" s="393"/>
      <c r="DF1318" s="393"/>
      <c r="DG1318" s="393"/>
      <c r="DH1318" s="393"/>
      <c r="DI1318" s="393"/>
      <c r="DJ1318" s="393"/>
      <c r="DK1318" s="896" t="s">
        <v>9700</v>
      </c>
    </row>
    <row r="1319" spans="1:115" ht="38.25" x14ac:dyDescent="0.2">
      <c r="A1319" s="295">
        <v>1315</v>
      </c>
      <c r="B1319" s="390" t="s">
        <v>2905</v>
      </c>
      <c r="C1319" s="390"/>
      <c r="D1319" s="391" t="s">
        <v>5196</v>
      </c>
      <c r="E1319" s="704" t="s">
        <v>2027</v>
      </c>
      <c r="F1319" s="393" t="s">
        <v>1352</v>
      </c>
      <c r="G1319" s="393" t="s">
        <v>1673</v>
      </c>
      <c r="H1319" s="393" t="s">
        <v>42</v>
      </c>
      <c r="I1319" s="392"/>
      <c r="J1319" s="392"/>
      <c r="K1319" s="392" t="s">
        <v>2116</v>
      </c>
      <c r="L1319" s="392" t="s">
        <v>3813</v>
      </c>
      <c r="M1319" s="392"/>
      <c r="N1319" s="393" t="s">
        <v>44</v>
      </c>
      <c r="O1319" s="393" t="s">
        <v>51</v>
      </c>
      <c r="P1319" s="393" t="s">
        <v>51</v>
      </c>
      <c r="Q1319" s="392" t="s">
        <v>976</v>
      </c>
      <c r="R1319" s="392" t="s">
        <v>3588</v>
      </c>
      <c r="S1319" s="392" t="s">
        <v>977</v>
      </c>
      <c r="T1319" s="394">
        <v>1</v>
      </c>
      <c r="U1319" s="395">
        <v>46.814</v>
      </c>
      <c r="V1319" s="395"/>
      <c r="W1319" s="453"/>
      <c r="X1319" s="394"/>
      <c r="Y1319" s="394">
        <v>10</v>
      </c>
      <c r="Z1319" s="394">
        <v>10</v>
      </c>
      <c r="AA1319" s="395">
        <v>0</v>
      </c>
      <c r="AB1319" s="452">
        <v>41487</v>
      </c>
      <c r="AC1319" s="398">
        <v>0</v>
      </c>
      <c r="AD1319" s="398">
        <v>468.14</v>
      </c>
      <c r="AE1319" s="393" t="s">
        <v>37</v>
      </c>
      <c r="AF1319" s="417"/>
      <c r="AG1319" s="417"/>
      <c r="AH1319" s="417"/>
      <c r="AI1319" s="394"/>
      <c r="AJ1319" s="453"/>
      <c r="AK1319" s="453"/>
      <c r="AL1319" s="393"/>
      <c r="AM1319" s="393"/>
      <c r="AN1319" s="417"/>
      <c r="AO1319" s="392"/>
      <c r="AP1319" s="392" t="s">
        <v>55</v>
      </c>
      <c r="AQ1319" s="392"/>
      <c r="AR1319" s="392" t="s">
        <v>3813</v>
      </c>
      <c r="AS1319" s="479">
        <v>41038</v>
      </c>
      <c r="AT1319" s="453"/>
      <c r="AU1319" s="453"/>
      <c r="AV1319" s="453"/>
      <c r="AW1319" s="453"/>
      <c r="AX1319" s="453"/>
      <c r="AY1319" s="453"/>
      <c r="AZ1319" s="452">
        <v>41271</v>
      </c>
      <c r="BA1319" s="393" t="s">
        <v>6984</v>
      </c>
      <c r="BB1319" s="393"/>
      <c r="BC1319" s="393" t="b">
        <v>0</v>
      </c>
      <c r="BD1319" s="393"/>
      <c r="BE1319" s="392"/>
      <c r="BF1319" s="394">
        <v>8</v>
      </c>
      <c r="BG1319" s="394">
        <v>6</v>
      </c>
      <c r="BH1319" s="394">
        <v>4</v>
      </c>
      <c r="BI1319" s="394">
        <v>9</v>
      </c>
      <c r="BJ1319" s="394">
        <v>5</v>
      </c>
      <c r="BK1319" s="394">
        <v>11</v>
      </c>
      <c r="BL1319" s="444" t="s">
        <v>6981</v>
      </c>
      <c r="BM1319" s="392"/>
      <c r="BN1319" s="393"/>
      <c r="BO1319" s="393"/>
      <c r="BP1319" s="399"/>
      <c r="BQ1319" s="400"/>
      <c r="BR1319" s="401"/>
      <c r="BS1319" s="399"/>
      <c r="BT1319" s="394"/>
      <c r="BU1319" s="417"/>
      <c r="BV1319" s="399">
        <v>175</v>
      </c>
      <c r="BW1319" s="393" t="s">
        <v>3117</v>
      </c>
      <c r="BX1319" s="392" t="s">
        <v>3154</v>
      </c>
      <c r="BY1319" s="475" t="s">
        <v>7227</v>
      </c>
      <c r="BZ1319" s="393"/>
      <c r="CA1319" s="441" t="s">
        <v>1662</v>
      </c>
      <c r="CB1319" s="400">
        <v>4</v>
      </c>
      <c r="CC1319" s="398"/>
      <c r="CD1319" s="398"/>
      <c r="CE1319" s="398"/>
      <c r="CF1319" s="398"/>
      <c r="CG1319" s="398"/>
      <c r="CH1319" s="398"/>
      <c r="CI1319" s="398">
        <v>15.605</v>
      </c>
      <c r="CJ1319" s="398">
        <v>46.814</v>
      </c>
      <c r="CK1319" s="398">
        <v>46.814</v>
      </c>
      <c r="CL1319" s="398">
        <v>46.814</v>
      </c>
      <c r="CM1319" s="398">
        <v>46.814</v>
      </c>
      <c r="CN1319" s="398">
        <v>46.814</v>
      </c>
      <c r="CO1319" s="398">
        <v>46.814</v>
      </c>
      <c r="CP1319" s="398">
        <v>46.814</v>
      </c>
      <c r="CQ1319" s="398">
        <v>46.814</v>
      </c>
      <c r="CR1319" s="398">
        <v>46.814</v>
      </c>
      <c r="CS1319" s="398">
        <v>31.209</v>
      </c>
      <c r="CT1319" s="398"/>
      <c r="CU1319" s="398"/>
      <c r="CV1319" s="398"/>
      <c r="CW1319" s="398"/>
      <c r="CX1319" s="398"/>
      <c r="CY1319" s="398"/>
      <c r="CZ1319" s="398"/>
      <c r="DA1319" s="398"/>
      <c r="DB1319" s="398"/>
      <c r="DC1319" s="398"/>
      <c r="DD1319" s="398"/>
      <c r="DE1319" s="393"/>
      <c r="DF1319" s="393"/>
      <c r="DG1319" s="393"/>
      <c r="DH1319" s="393"/>
      <c r="DI1319" s="393"/>
      <c r="DJ1319" s="393"/>
      <c r="DK1319" s="897"/>
    </row>
    <row r="1320" spans="1:115" ht="51" x14ac:dyDescent="0.2">
      <c r="A1320" s="295">
        <v>1316</v>
      </c>
      <c r="B1320" s="390" t="s">
        <v>2028</v>
      </c>
      <c r="C1320" s="424" t="s">
        <v>7734</v>
      </c>
      <c r="D1320" s="391"/>
      <c r="E1320" s="706" t="s">
        <v>2029</v>
      </c>
      <c r="F1320" s="390" t="s">
        <v>4256</v>
      </c>
      <c r="G1320" s="390" t="s">
        <v>1708</v>
      </c>
      <c r="H1320" s="390" t="s">
        <v>1397</v>
      </c>
      <c r="I1320" s="402"/>
      <c r="J1320" s="402" t="s">
        <v>1397</v>
      </c>
      <c r="K1320" s="402"/>
      <c r="L1320" s="402" t="s">
        <v>2030</v>
      </c>
      <c r="M1320" s="402" t="s">
        <v>3589</v>
      </c>
      <c r="N1320" s="390" t="s">
        <v>33</v>
      </c>
      <c r="O1320" s="390" t="s">
        <v>827</v>
      </c>
      <c r="P1320" s="390" t="s">
        <v>827</v>
      </c>
      <c r="Q1320" s="402" t="s">
        <v>923</v>
      </c>
      <c r="R1320" s="402"/>
      <c r="S1320" s="402" t="s">
        <v>946</v>
      </c>
      <c r="T1320" s="411">
        <v>1</v>
      </c>
      <c r="U1320" s="412">
        <v>2.6080000000000001</v>
      </c>
      <c r="V1320" s="412"/>
      <c r="W1320" s="457">
        <v>41032</v>
      </c>
      <c r="X1320" s="411">
        <v>28</v>
      </c>
      <c r="Y1320" s="411"/>
      <c r="Z1320" s="411"/>
      <c r="AA1320" s="412"/>
      <c r="AB1320" s="454"/>
      <c r="AC1320" s="413">
        <v>0</v>
      </c>
      <c r="AD1320" s="413">
        <v>26.080000000000002</v>
      </c>
      <c r="AE1320" s="390" t="s">
        <v>434</v>
      </c>
      <c r="AF1320" s="419"/>
      <c r="AG1320" s="419"/>
      <c r="AH1320" s="419">
        <v>0</v>
      </c>
      <c r="AI1320" s="411"/>
      <c r="AJ1320" s="454"/>
      <c r="AK1320" s="454"/>
      <c r="AL1320" s="390"/>
      <c r="AM1320" s="390"/>
      <c r="AN1320" s="419"/>
      <c r="AO1320" s="402"/>
      <c r="AP1320" s="402" t="s">
        <v>7108</v>
      </c>
      <c r="AQ1320" s="402"/>
      <c r="AR1320" s="402" t="s">
        <v>2031</v>
      </c>
      <c r="AS1320" s="481">
        <v>41039</v>
      </c>
      <c r="AT1320" s="454"/>
      <c r="AU1320" s="454"/>
      <c r="AV1320" s="454"/>
      <c r="AW1320" s="454"/>
      <c r="AX1320" s="454"/>
      <c r="AY1320" s="454"/>
      <c r="AZ1320" s="454"/>
      <c r="BA1320" s="390"/>
      <c r="BB1320" s="390" t="s">
        <v>3116</v>
      </c>
      <c r="BC1320" s="390" t="b">
        <v>0</v>
      </c>
      <c r="BD1320" s="390" t="s">
        <v>3116</v>
      </c>
      <c r="BE1320" s="402"/>
      <c r="BF1320" s="411">
        <v>1</v>
      </c>
      <c r="BG1320" s="411">
        <v>4</v>
      </c>
      <c r="BH1320" s="411"/>
      <c r="BI1320" s="411"/>
      <c r="BJ1320" s="411"/>
      <c r="BK1320" s="411"/>
      <c r="BL1320" s="445"/>
      <c r="BM1320" s="402"/>
      <c r="BN1320" s="390"/>
      <c r="BO1320" s="390"/>
      <c r="BP1320" s="414"/>
      <c r="BQ1320" s="415"/>
      <c r="BR1320" s="416"/>
      <c r="BS1320" s="414">
        <v>0</v>
      </c>
      <c r="BT1320" s="411"/>
      <c r="BU1320" s="419"/>
      <c r="BV1320" s="414"/>
      <c r="BW1320" s="390"/>
      <c r="BX1320" s="402"/>
      <c r="BY1320" s="390"/>
      <c r="BZ1320" s="390"/>
      <c r="CA1320" s="442"/>
      <c r="CB1320" s="415"/>
      <c r="CC1320" s="413"/>
      <c r="CD1320" s="413"/>
      <c r="CE1320" s="413"/>
      <c r="CF1320" s="413"/>
      <c r="CG1320" s="413"/>
      <c r="CH1320" s="413"/>
      <c r="CI1320" s="413"/>
      <c r="CJ1320" s="413"/>
      <c r="CK1320" s="413"/>
      <c r="CL1320" s="413"/>
      <c r="CM1320" s="413"/>
      <c r="CN1320" s="413"/>
      <c r="CO1320" s="413"/>
      <c r="CP1320" s="413"/>
      <c r="CQ1320" s="413"/>
      <c r="CR1320" s="413"/>
      <c r="CS1320" s="413"/>
      <c r="CT1320" s="413"/>
      <c r="CU1320" s="413"/>
      <c r="CV1320" s="413"/>
      <c r="CW1320" s="413"/>
      <c r="CX1320" s="413"/>
      <c r="CY1320" s="413"/>
      <c r="CZ1320" s="413"/>
      <c r="DA1320" s="413"/>
      <c r="DB1320" s="413"/>
      <c r="DC1320" s="413"/>
      <c r="DD1320" s="413"/>
      <c r="DE1320" s="390"/>
      <c r="DF1320" s="390"/>
      <c r="DG1320" s="390"/>
      <c r="DH1320" s="390"/>
      <c r="DI1320" s="390"/>
      <c r="DJ1320" s="390"/>
      <c r="DK1320" s="901"/>
    </row>
    <row r="1321" spans="1:115" ht="25.5" x14ac:dyDescent="0.2">
      <c r="A1321" s="295">
        <v>1317</v>
      </c>
      <c r="B1321" s="390" t="s">
        <v>2906</v>
      </c>
      <c r="C1321" s="390"/>
      <c r="D1321" s="391"/>
      <c r="E1321" s="706" t="s">
        <v>2032</v>
      </c>
      <c r="F1321" s="390" t="s">
        <v>4256</v>
      </c>
      <c r="G1321" s="390" t="s">
        <v>1708</v>
      </c>
      <c r="H1321" s="390" t="s">
        <v>1397</v>
      </c>
      <c r="I1321" s="402"/>
      <c r="J1321" s="402"/>
      <c r="K1321" s="402" t="s">
        <v>1397</v>
      </c>
      <c r="L1321" s="402" t="s">
        <v>2030</v>
      </c>
      <c r="M1321" s="402"/>
      <c r="N1321" s="390" t="s">
        <v>33</v>
      </c>
      <c r="O1321" s="390" t="s">
        <v>827</v>
      </c>
      <c r="P1321" s="390" t="s">
        <v>827</v>
      </c>
      <c r="Q1321" s="402" t="s">
        <v>923</v>
      </c>
      <c r="R1321" s="402" t="s">
        <v>3590</v>
      </c>
      <c r="S1321" s="402" t="s">
        <v>946</v>
      </c>
      <c r="T1321" s="411">
        <v>1</v>
      </c>
      <c r="U1321" s="412">
        <v>2.6080000000000001</v>
      </c>
      <c r="V1321" s="412"/>
      <c r="W1321" s="454"/>
      <c r="X1321" s="411"/>
      <c r="Y1321" s="411">
        <v>10</v>
      </c>
      <c r="Z1321" s="411">
        <v>15</v>
      </c>
      <c r="AA1321" s="412">
        <v>0</v>
      </c>
      <c r="AB1321" s="457">
        <v>41274</v>
      </c>
      <c r="AC1321" s="413">
        <v>0</v>
      </c>
      <c r="AD1321" s="413">
        <v>26.080000000000002</v>
      </c>
      <c r="AE1321" s="390" t="s">
        <v>434</v>
      </c>
      <c r="AF1321" s="419"/>
      <c r="AG1321" s="419"/>
      <c r="AH1321" s="419"/>
      <c r="AI1321" s="411"/>
      <c r="AJ1321" s="454"/>
      <c r="AK1321" s="454"/>
      <c r="AL1321" s="390"/>
      <c r="AM1321" s="390"/>
      <c r="AN1321" s="419"/>
      <c r="AO1321" s="402"/>
      <c r="AP1321" s="402" t="s">
        <v>7108</v>
      </c>
      <c r="AQ1321" s="402"/>
      <c r="AR1321" s="402" t="s">
        <v>2031</v>
      </c>
      <c r="AS1321" s="481">
        <v>41039</v>
      </c>
      <c r="AT1321" s="454"/>
      <c r="AU1321" s="454"/>
      <c r="AV1321" s="454"/>
      <c r="AW1321" s="454"/>
      <c r="AX1321" s="454"/>
      <c r="AY1321" s="454"/>
      <c r="AZ1321" s="454"/>
      <c r="BA1321" s="390"/>
      <c r="BB1321" s="390"/>
      <c r="BC1321" s="390" t="b">
        <v>0</v>
      </c>
      <c r="BD1321" s="390"/>
      <c r="BE1321" s="402"/>
      <c r="BF1321" s="411">
        <v>1</v>
      </c>
      <c r="BG1321" s="411">
        <v>4</v>
      </c>
      <c r="BH1321" s="411"/>
      <c r="BI1321" s="411"/>
      <c r="BJ1321" s="411"/>
      <c r="BK1321" s="411"/>
      <c r="BL1321" s="445" t="s">
        <v>6981</v>
      </c>
      <c r="BM1321" s="402" t="s">
        <v>3591</v>
      </c>
      <c r="BN1321" s="390" t="s">
        <v>1397</v>
      </c>
      <c r="BO1321" s="390"/>
      <c r="BP1321" s="414"/>
      <c r="BQ1321" s="415"/>
      <c r="BR1321" s="416"/>
      <c r="BS1321" s="414"/>
      <c r="BT1321" s="411"/>
      <c r="BU1321" s="419"/>
      <c r="BV1321" s="414">
        <v>0.32836199999999999</v>
      </c>
      <c r="BW1321" s="390" t="s">
        <v>3117</v>
      </c>
      <c r="BX1321" s="402" t="s">
        <v>4364</v>
      </c>
      <c r="BY1321" s="390" t="s">
        <v>7224</v>
      </c>
      <c r="BZ1321" s="390"/>
      <c r="CA1321" s="442"/>
      <c r="CB1321" s="415"/>
      <c r="CC1321" s="413"/>
      <c r="CD1321" s="413"/>
      <c r="CE1321" s="413"/>
      <c r="CF1321" s="413"/>
      <c r="CG1321" s="413"/>
      <c r="CH1321" s="413"/>
      <c r="CI1321" s="413">
        <v>2.6080000000000001</v>
      </c>
      <c r="CJ1321" s="413">
        <v>2.6080000000000001</v>
      </c>
      <c r="CK1321" s="413">
        <v>2.6080000000000001</v>
      </c>
      <c r="CL1321" s="413">
        <v>2.6080000000000001</v>
      </c>
      <c r="CM1321" s="413">
        <v>2.6080000000000001</v>
      </c>
      <c r="CN1321" s="413">
        <v>2.6080000000000001</v>
      </c>
      <c r="CO1321" s="413">
        <v>2.6080000000000001</v>
      </c>
      <c r="CP1321" s="413">
        <v>2.6080000000000001</v>
      </c>
      <c r="CQ1321" s="413">
        <v>2.6080000000000001</v>
      </c>
      <c r="CR1321" s="413">
        <v>2.6080000000000001</v>
      </c>
      <c r="CS1321" s="413"/>
      <c r="CT1321" s="413"/>
      <c r="CU1321" s="413"/>
      <c r="CV1321" s="413"/>
      <c r="CW1321" s="413"/>
      <c r="CX1321" s="413"/>
      <c r="CY1321" s="413"/>
      <c r="CZ1321" s="413"/>
      <c r="DA1321" s="413"/>
      <c r="DB1321" s="413"/>
      <c r="DC1321" s="413"/>
      <c r="DD1321" s="413"/>
      <c r="DE1321" s="390"/>
      <c r="DF1321" s="390"/>
      <c r="DG1321" s="390"/>
      <c r="DH1321" s="390"/>
      <c r="DI1321" s="390"/>
      <c r="DJ1321" s="390"/>
      <c r="DK1321" s="897"/>
    </row>
    <row r="1322" spans="1:115" ht="38.25" x14ac:dyDescent="0.2">
      <c r="A1322" s="295">
        <v>1318</v>
      </c>
      <c r="B1322" s="390" t="s">
        <v>2033</v>
      </c>
      <c r="C1322" s="424" t="s">
        <v>7735</v>
      </c>
      <c r="D1322" s="391" t="s">
        <v>5197</v>
      </c>
      <c r="E1322" s="704" t="s">
        <v>2034</v>
      </c>
      <c r="F1322" s="393" t="s">
        <v>1352</v>
      </c>
      <c r="G1322" s="393" t="s">
        <v>1673</v>
      </c>
      <c r="H1322" s="393" t="s">
        <v>42</v>
      </c>
      <c r="I1322" s="392"/>
      <c r="J1322" s="392" t="s">
        <v>42</v>
      </c>
      <c r="K1322" s="392"/>
      <c r="L1322" s="392" t="s">
        <v>2035</v>
      </c>
      <c r="M1322" s="392" t="s">
        <v>3592</v>
      </c>
      <c r="N1322" s="393" t="s">
        <v>44</v>
      </c>
      <c r="O1322" s="393" t="s">
        <v>5030</v>
      </c>
      <c r="P1322" s="393" t="s">
        <v>5030</v>
      </c>
      <c r="Q1322" s="392" t="s">
        <v>2036</v>
      </c>
      <c r="R1322" s="392"/>
      <c r="S1322" s="392" t="s">
        <v>4400</v>
      </c>
      <c r="T1322" s="394">
        <v>1</v>
      </c>
      <c r="U1322" s="395">
        <v>37.738999999999997</v>
      </c>
      <c r="V1322" s="395"/>
      <c r="W1322" s="452">
        <v>41041</v>
      </c>
      <c r="X1322" s="394">
        <v>28</v>
      </c>
      <c r="Y1322" s="394"/>
      <c r="Z1322" s="394"/>
      <c r="AA1322" s="395"/>
      <c r="AB1322" s="453"/>
      <c r="AC1322" s="398">
        <v>0</v>
      </c>
      <c r="AD1322" s="398">
        <v>292.81328219178084</v>
      </c>
      <c r="AE1322" s="393" t="s">
        <v>96</v>
      </c>
      <c r="AF1322" s="417"/>
      <c r="AG1322" s="417"/>
      <c r="AH1322" s="417">
        <v>0</v>
      </c>
      <c r="AI1322" s="394"/>
      <c r="AJ1322" s="453"/>
      <c r="AK1322" s="453"/>
      <c r="AL1322" s="393"/>
      <c r="AM1322" s="393"/>
      <c r="AN1322" s="417"/>
      <c r="AO1322" s="392"/>
      <c r="AP1322" s="392" t="s">
        <v>55</v>
      </c>
      <c r="AQ1322" s="392"/>
      <c r="AR1322" s="392" t="s">
        <v>55</v>
      </c>
      <c r="AS1322" s="479">
        <v>41041</v>
      </c>
      <c r="AT1322" s="453"/>
      <c r="AU1322" s="453"/>
      <c r="AV1322" s="452">
        <v>41193</v>
      </c>
      <c r="AW1322" s="452">
        <v>41219</v>
      </c>
      <c r="AX1322" s="452">
        <v>41271</v>
      </c>
      <c r="AY1322" s="452">
        <v>41232</v>
      </c>
      <c r="AZ1322" s="453"/>
      <c r="BA1322" s="393"/>
      <c r="BB1322" s="393" t="s">
        <v>3147</v>
      </c>
      <c r="BC1322" s="393" t="b">
        <v>1</v>
      </c>
      <c r="BD1322" s="393" t="s">
        <v>3147</v>
      </c>
      <c r="BE1322" s="392"/>
      <c r="BF1322" s="394">
        <v>5</v>
      </c>
      <c r="BG1322" s="394">
        <v>9</v>
      </c>
      <c r="BH1322" s="394">
        <v>10</v>
      </c>
      <c r="BI1322" s="394">
        <v>4</v>
      </c>
      <c r="BJ1322" s="394">
        <v>8</v>
      </c>
      <c r="BK1322" s="394"/>
      <c r="BL1322" s="444"/>
      <c r="BM1322" s="392"/>
      <c r="BN1322" s="393"/>
      <c r="BO1322" s="393"/>
      <c r="BP1322" s="399"/>
      <c r="BQ1322" s="400"/>
      <c r="BR1322" s="401"/>
      <c r="BS1322" s="399">
        <v>25</v>
      </c>
      <c r="BT1322" s="394"/>
      <c r="BU1322" s="417"/>
      <c r="BV1322" s="399"/>
      <c r="BW1322" s="393"/>
      <c r="BX1322" s="392"/>
      <c r="BY1322" s="393"/>
      <c r="BZ1322" s="393"/>
      <c r="CA1322" s="441"/>
      <c r="CB1322" s="400"/>
      <c r="CC1322" s="398"/>
      <c r="CD1322" s="398"/>
      <c r="CE1322" s="398"/>
      <c r="CF1322" s="398"/>
      <c r="CG1322" s="398"/>
      <c r="CH1322" s="398"/>
      <c r="CI1322" s="398"/>
      <c r="CJ1322" s="398"/>
      <c r="CK1322" s="398"/>
      <c r="CL1322" s="398"/>
      <c r="CM1322" s="398"/>
      <c r="CN1322" s="398"/>
      <c r="CO1322" s="398"/>
      <c r="CP1322" s="398"/>
      <c r="CQ1322" s="398"/>
      <c r="CR1322" s="398"/>
      <c r="CS1322" s="398"/>
      <c r="CT1322" s="398"/>
      <c r="CU1322" s="398"/>
      <c r="CV1322" s="398"/>
      <c r="CW1322" s="398"/>
      <c r="CX1322" s="398"/>
      <c r="CY1322" s="398"/>
      <c r="CZ1322" s="398"/>
      <c r="DA1322" s="398"/>
      <c r="DB1322" s="398"/>
      <c r="DC1322" s="398"/>
      <c r="DD1322" s="398"/>
      <c r="DE1322" s="393"/>
      <c r="DF1322" s="393"/>
      <c r="DG1322" s="393"/>
      <c r="DH1322" s="393"/>
      <c r="DI1322" s="393"/>
      <c r="DJ1322" s="393"/>
      <c r="DK1322" s="896" t="s">
        <v>9700</v>
      </c>
    </row>
    <row r="1323" spans="1:115" ht="25.5" x14ac:dyDescent="0.2">
      <c r="A1323" s="295">
        <v>1319</v>
      </c>
      <c r="B1323" s="390" t="s">
        <v>2907</v>
      </c>
      <c r="C1323" s="390"/>
      <c r="D1323" s="391" t="s">
        <v>4401</v>
      </c>
      <c r="E1323" s="704" t="s">
        <v>2037</v>
      </c>
      <c r="F1323" s="393" t="s">
        <v>1352</v>
      </c>
      <c r="G1323" s="393" t="s">
        <v>1673</v>
      </c>
      <c r="H1323" s="393" t="s">
        <v>42</v>
      </c>
      <c r="I1323" s="392"/>
      <c r="J1323" s="392"/>
      <c r="K1323" s="392" t="s">
        <v>2252</v>
      </c>
      <c r="L1323" s="392" t="s">
        <v>2035</v>
      </c>
      <c r="M1323" s="392"/>
      <c r="N1323" s="393" t="s">
        <v>44</v>
      </c>
      <c r="O1323" s="393" t="s">
        <v>827</v>
      </c>
      <c r="P1323" s="393" t="s">
        <v>827</v>
      </c>
      <c r="Q1323" s="392" t="s">
        <v>836</v>
      </c>
      <c r="R1323" s="392" t="s">
        <v>4133</v>
      </c>
      <c r="S1323" s="392" t="s">
        <v>4400</v>
      </c>
      <c r="T1323" s="394">
        <v>1</v>
      </c>
      <c r="U1323" s="395">
        <v>37.738999999999997</v>
      </c>
      <c r="V1323" s="395"/>
      <c r="W1323" s="453"/>
      <c r="X1323" s="394"/>
      <c r="Y1323" s="394">
        <v>7</v>
      </c>
      <c r="Z1323" s="394">
        <v>25</v>
      </c>
      <c r="AA1323" s="395">
        <v>-0.2</v>
      </c>
      <c r="AB1323" s="452">
        <v>41364</v>
      </c>
      <c r="AC1323" s="398">
        <v>0</v>
      </c>
      <c r="AD1323" s="398">
        <v>292.81328219178084</v>
      </c>
      <c r="AE1323" s="393" t="s">
        <v>96</v>
      </c>
      <c r="AF1323" s="417"/>
      <c r="AG1323" s="417"/>
      <c r="AH1323" s="417"/>
      <c r="AI1323" s="394"/>
      <c r="AJ1323" s="453"/>
      <c r="AK1323" s="453"/>
      <c r="AL1323" s="393"/>
      <c r="AM1323" s="393"/>
      <c r="AN1323" s="417"/>
      <c r="AO1323" s="392"/>
      <c r="AP1323" s="392" t="s">
        <v>55</v>
      </c>
      <c r="AQ1323" s="392"/>
      <c r="AR1323" s="392" t="s">
        <v>55</v>
      </c>
      <c r="AS1323" s="479">
        <v>41041</v>
      </c>
      <c r="AT1323" s="453"/>
      <c r="AU1323" s="453"/>
      <c r="AV1323" s="453"/>
      <c r="AW1323" s="453"/>
      <c r="AX1323" s="453"/>
      <c r="AY1323" s="453"/>
      <c r="AZ1323" s="452">
        <v>41232</v>
      </c>
      <c r="BA1323" s="393"/>
      <c r="BB1323" s="393"/>
      <c r="BC1323" s="393" t="b">
        <v>0</v>
      </c>
      <c r="BD1323" s="393"/>
      <c r="BE1323" s="392"/>
      <c r="BF1323" s="394">
        <v>5</v>
      </c>
      <c r="BG1323" s="394">
        <v>9</v>
      </c>
      <c r="BH1323" s="394">
        <v>10</v>
      </c>
      <c r="BI1323" s="394">
        <v>4</v>
      </c>
      <c r="BJ1323" s="394">
        <v>8</v>
      </c>
      <c r="BK1323" s="394"/>
      <c r="BL1323" s="444" t="s">
        <v>6983</v>
      </c>
      <c r="BM1323" s="392"/>
      <c r="BN1323" s="393"/>
      <c r="BO1323" s="393"/>
      <c r="BP1323" s="399"/>
      <c r="BQ1323" s="400"/>
      <c r="BR1323" s="401"/>
      <c r="BS1323" s="399">
        <v>25</v>
      </c>
      <c r="BT1323" s="394">
        <v>40449</v>
      </c>
      <c r="BU1323" s="417">
        <v>0.95289999999999997</v>
      </c>
      <c r="BV1323" s="399"/>
      <c r="BW1323" s="393" t="s">
        <v>3117</v>
      </c>
      <c r="BX1323" s="392" t="s">
        <v>1450</v>
      </c>
      <c r="BY1323" s="393"/>
      <c r="BZ1323" s="393"/>
      <c r="CA1323" s="441" t="s">
        <v>1662</v>
      </c>
      <c r="CB1323" s="400">
        <v>3</v>
      </c>
      <c r="CC1323" s="398"/>
      <c r="CD1323" s="398"/>
      <c r="CE1323" s="398"/>
      <c r="CF1323" s="398"/>
      <c r="CG1323" s="398"/>
      <c r="CH1323" s="398"/>
      <c r="CI1323" s="398">
        <v>38.543999999999997</v>
      </c>
      <c r="CJ1323" s="398">
        <v>38.350999999999999</v>
      </c>
      <c r="CK1323" s="398">
        <v>38.159999999999997</v>
      </c>
      <c r="CL1323" s="398">
        <v>37.969000000000001</v>
      </c>
      <c r="CM1323" s="398">
        <v>37.779000000000003</v>
      </c>
      <c r="CN1323" s="398">
        <v>37.590000000000003</v>
      </c>
      <c r="CO1323" s="398">
        <v>37.402000000000001</v>
      </c>
      <c r="CP1323" s="398"/>
      <c r="CQ1323" s="398"/>
      <c r="CR1323" s="398"/>
      <c r="CS1323" s="398"/>
      <c r="CT1323" s="398"/>
      <c r="CU1323" s="398"/>
      <c r="CV1323" s="398"/>
      <c r="CW1323" s="398"/>
      <c r="CX1323" s="398"/>
      <c r="CY1323" s="398"/>
      <c r="CZ1323" s="398"/>
      <c r="DA1323" s="398"/>
      <c r="DB1323" s="398"/>
      <c r="DC1323" s="398"/>
      <c r="DD1323" s="398"/>
      <c r="DE1323" s="393"/>
      <c r="DF1323" s="393"/>
      <c r="DG1323" s="393"/>
      <c r="DH1323" s="393"/>
      <c r="DI1323" s="393"/>
      <c r="DJ1323" s="393"/>
      <c r="DK1323" s="897"/>
    </row>
    <row r="1324" spans="1:115" ht="89.25" x14ac:dyDescent="0.2">
      <c r="A1324" s="295">
        <v>1320</v>
      </c>
      <c r="B1324" s="390" t="s">
        <v>2038</v>
      </c>
      <c r="C1324" s="424" t="s">
        <v>7736</v>
      </c>
      <c r="D1324" s="391" t="s">
        <v>5198</v>
      </c>
      <c r="E1324" s="704" t="s">
        <v>2039</v>
      </c>
      <c r="F1324" s="393" t="s">
        <v>1358</v>
      </c>
      <c r="G1324" s="393" t="s">
        <v>1407</v>
      </c>
      <c r="H1324" s="393" t="s">
        <v>1360</v>
      </c>
      <c r="I1324" s="392" t="s">
        <v>1372</v>
      </c>
      <c r="J1324" s="392" t="s">
        <v>2040</v>
      </c>
      <c r="K1324" s="392"/>
      <c r="L1324" s="392" t="s">
        <v>3814</v>
      </c>
      <c r="M1324" s="392" t="s">
        <v>3593</v>
      </c>
      <c r="N1324" s="393" t="s">
        <v>44</v>
      </c>
      <c r="O1324" s="393" t="s">
        <v>289</v>
      </c>
      <c r="P1324" s="393" t="s">
        <v>289</v>
      </c>
      <c r="Q1324" s="392" t="s">
        <v>2041</v>
      </c>
      <c r="R1324" s="392"/>
      <c r="S1324" s="392" t="s">
        <v>291</v>
      </c>
      <c r="T1324" s="394">
        <v>1</v>
      </c>
      <c r="U1324" s="395">
        <v>9.1300000000000008</v>
      </c>
      <c r="V1324" s="395"/>
      <c r="W1324" s="452">
        <v>41045</v>
      </c>
      <c r="X1324" s="394">
        <v>28</v>
      </c>
      <c r="Y1324" s="394"/>
      <c r="Z1324" s="394"/>
      <c r="AA1324" s="395"/>
      <c r="AB1324" s="453"/>
      <c r="AC1324" s="398">
        <v>0</v>
      </c>
      <c r="AD1324" s="398">
        <v>54.805013698630141</v>
      </c>
      <c r="AE1324" s="393" t="s">
        <v>660</v>
      </c>
      <c r="AF1324" s="417"/>
      <c r="AG1324" s="417"/>
      <c r="AH1324" s="417">
        <v>0</v>
      </c>
      <c r="AI1324" s="394"/>
      <c r="AJ1324" s="453"/>
      <c r="AK1324" s="453"/>
      <c r="AL1324" s="393"/>
      <c r="AM1324" s="393"/>
      <c r="AN1324" s="417"/>
      <c r="AO1324" s="392"/>
      <c r="AP1324" s="428" t="s">
        <v>8090</v>
      </c>
      <c r="AQ1324" s="392"/>
      <c r="AR1324" s="392" t="s">
        <v>3814</v>
      </c>
      <c r="AS1324" s="479">
        <v>41045</v>
      </c>
      <c r="AT1324" s="453"/>
      <c r="AU1324" s="453"/>
      <c r="AV1324" s="452">
        <v>41267</v>
      </c>
      <c r="AW1324" s="452">
        <v>41274</v>
      </c>
      <c r="AX1324" s="452">
        <v>41453</v>
      </c>
      <c r="AY1324" s="452">
        <v>41274</v>
      </c>
      <c r="AZ1324" s="453"/>
      <c r="BA1324" s="393"/>
      <c r="BB1324" s="393" t="s">
        <v>3147</v>
      </c>
      <c r="BC1324" s="393" t="b">
        <v>1</v>
      </c>
      <c r="BD1324" s="393" t="s">
        <v>3147</v>
      </c>
      <c r="BE1324" s="392"/>
      <c r="BF1324" s="394">
        <v>9</v>
      </c>
      <c r="BG1324" s="394">
        <v>8</v>
      </c>
      <c r="BH1324" s="394">
        <v>5</v>
      </c>
      <c r="BI1324" s="394">
        <v>11</v>
      </c>
      <c r="BJ1324" s="394"/>
      <c r="BK1324" s="394"/>
      <c r="BL1324" s="444"/>
      <c r="BM1324" s="392"/>
      <c r="BN1324" s="393"/>
      <c r="BO1324" s="393"/>
      <c r="BP1324" s="399"/>
      <c r="BQ1324" s="400"/>
      <c r="BR1324" s="401"/>
      <c r="BS1324" s="399">
        <v>8.9600000000000009</v>
      </c>
      <c r="BT1324" s="394"/>
      <c r="BU1324" s="417"/>
      <c r="BV1324" s="399"/>
      <c r="BW1324" s="393"/>
      <c r="BX1324" s="392"/>
      <c r="BY1324" s="393"/>
      <c r="BZ1324" s="393"/>
      <c r="CA1324" s="441"/>
      <c r="CB1324" s="400"/>
      <c r="CC1324" s="398"/>
      <c r="CD1324" s="398"/>
      <c r="CE1324" s="398"/>
      <c r="CF1324" s="398"/>
      <c r="CG1324" s="398"/>
      <c r="CH1324" s="398"/>
      <c r="CI1324" s="398"/>
      <c r="CJ1324" s="398"/>
      <c r="CK1324" s="398"/>
      <c r="CL1324" s="398"/>
      <c r="CM1324" s="398"/>
      <c r="CN1324" s="398"/>
      <c r="CO1324" s="398"/>
      <c r="CP1324" s="398"/>
      <c r="CQ1324" s="398"/>
      <c r="CR1324" s="398"/>
      <c r="CS1324" s="398"/>
      <c r="CT1324" s="398"/>
      <c r="CU1324" s="398"/>
      <c r="CV1324" s="398"/>
      <c r="CW1324" s="398"/>
      <c r="CX1324" s="398"/>
      <c r="CY1324" s="398"/>
      <c r="CZ1324" s="398"/>
      <c r="DA1324" s="398"/>
      <c r="DB1324" s="398"/>
      <c r="DC1324" s="398"/>
      <c r="DD1324" s="398"/>
      <c r="DE1324" s="393"/>
      <c r="DF1324" s="393"/>
      <c r="DG1324" s="393"/>
      <c r="DH1324" s="393"/>
      <c r="DI1324" s="393"/>
      <c r="DJ1324" s="393"/>
      <c r="DK1324" s="896" t="s">
        <v>9700</v>
      </c>
    </row>
    <row r="1325" spans="1:115" ht="25.5" x14ac:dyDescent="0.2">
      <c r="A1325" s="295">
        <v>1321</v>
      </c>
      <c r="B1325" s="390" t="s">
        <v>2908</v>
      </c>
      <c r="C1325" s="390"/>
      <c r="D1325" s="391" t="s">
        <v>5199</v>
      </c>
      <c r="E1325" s="704" t="s">
        <v>2042</v>
      </c>
      <c r="F1325" s="393" t="s">
        <v>1358</v>
      </c>
      <c r="G1325" s="393" t="s">
        <v>1407</v>
      </c>
      <c r="H1325" s="393" t="s">
        <v>1360</v>
      </c>
      <c r="I1325" s="392"/>
      <c r="J1325" s="392"/>
      <c r="K1325" s="392" t="s">
        <v>2251</v>
      </c>
      <c r="L1325" s="392" t="s">
        <v>3814</v>
      </c>
      <c r="M1325" s="392"/>
      <c r="N1325" s="393" t="s">
        <v>44</v>
      </c>
      <c r="O1325" s="393" t="s">
        <v>289</v>
      </c>
      <c r="P1325" s="393" t="s">
        <v>289</v>
      </c>
      <c r="Q1325" s="392" t="s">
        <v>721</v>
      </c>
      <c r="R1325" s="392" t="s">
        <v>3594</v>
      </c>
      <c r="S1325" s="392" t="s">
        <v>291</v>
      </c>
      <c r="T1325" s="394">
        <v>1</v>
      </c>
      <c r="U1325" s="395">
        <v>9.1300000000000008</v>
      </c>
      <c r="V1325" s="395"/>
      <c r="W1325" s="453"/>
      <c r="X1325" s="394"/>
      <c r="Y1325" s="394">
        <v>7</v>
      </c>
      <c r="Z1325" s="394">
        <v>35</v>
      </c>
      <c r="AA1325" s="395">
        <v>0</v>
      </c>
      <c r="AB1325" s="452">
        <v>42005</v>
      </c>
      <c r="AC1325" s="398">
        <v>0</v>
      </c>
      <c r="AD1325" s="398">
        <v>54.805013698630141</v>
      </c>
      <c r="AE1325" s="393" t="s">
        <v>660</v>
      </c>
      <c r="AF1325" s="417"/>
      <c r="AG1325" s="417"/>
      <c r="AH1325" s="417"/>
      <c r="AI1325" s="394"/>
      <c r="AJ1325" s="453"/>
      <c r="AK1325" s="453"/>
      <c r="AL1325" s="393"/>
      <c r="AM1325" s="393"/>
      <c r="AN1325" s="417"/>
      <c r="AO1325" s="392"/>
      <c r="AP1325" s="428" t="s">
        <v>8090</v>
      </c>
      <c r="AQ1325" s="392"/>
      <c r="AR1325" s="392" t="s">
        <v>3814</v>
      </c>
      <c r="AS1325" s="479">
        <v>41045</v>
      </c>
      <c r="AT1325" s="453"/>
      <c r="AU1325" s="453"/>
      <c r="AV1325" s="453"/>
      <c r="AW1325" s="453"/>
      <c r="AX1325" s="453"/>
      <c r="AY1325" s="453"/>
      <c r="AZ1325" s="452">
        <v>41274</v>
      </c>
      <c r="BA1325" s="393"/>
      <c r="BB1325" s="393"/>
      <c r="BC1325" s="393" t="b">
        <v>0</v>
      </c>
      <c r="BD1325" s="393"/>
      <c r="BE1325" s="392"/>
      <c r="BF1325" s="394">
        <v>9</v>
      </c>
      <c r="BG1325" s="394">
        <v>8</v>
      </c>
      <c r="BH1325" s="394">
        <v>5</v>
      </c>
      <c r="BI1325" s="394">
        <v>11</v>
      </c>
      <c r="BJ1325" s="394"/>
      <c r="BK1325" s="394"/>
      <c r="BL1325" s="444" t="s">
        <v>6981</v>
      </c>
      <c r="BM1325" s="392"/>
      <c r="BN1325" s="393"/>
      <c r="BO1325" s="393"/>
      <c r="BP1325" s="399"/>
      <c r="BQ1325" s="400"/>
      <c r="BR1325" s="401"/>
      <c r="BS1325" s="399">
        <v>8.9600000000000009</v>
      </c>
      <c r="BT1325" s="394">
        <v>32193</v>
      </c>
      <c r="BU1325" s="417">
        <v>0.28360000000000002</v>
      </c>
      <c r="BV1325" s="399"/>
      <c r="BW1325" s="393" t="s">
        <v>3117</v>
      </c>
      <c r="BX1325" s="392" t="s">
        <v>1447</v>
      </c>
      <c r="BY1325" s="393"/>
      <c r="BZ1325" s="393"/>
      <c r="CA1325" s="441"/>
      <c r="CB1325" s="400"/>
      <c r="CC1325" s="398"/>
      <c r="CD1325" s="398"/>
      <c r="CE1325" s="398"/>
      <c r="CF1325" s="398"/>
      <c r="CG1325" s="398"/>
      <c r="CH1325" s="398"/>
      <c r="CI1325" s="398"/>
      <c r="CJ1325" s="398"/>
      <c r="CK1325" s="398">
        <v>9.1300000000000008</v>
      </c>
      <c r="CL1325" s="398">
        <v>9.1300000000000008</v>
      </c>
      <c r="CM1325" s="398">
        <v>9.1300000000000008</v>
      </c>
      <c r="CN1325" s="398">
        <v>9.1300000000000008</v>
      </c>
      <c r="CO1325" s="398">
        <v>9.1300000000000008</v>
      </c>
      <c r="CP1325" s="398">
        <v>9.1300000000000008</v>
      </c>
      <c r="CQ1325" s="398">
        <v>9.1300000000000008</v>
      </c>
      <c r="CR1325" s="398"/>
      <c r="CS1325" s="398"/>
      <c r="CT1325" s="398"/>
      <c r="CU1325" s="398"/>
      <c r="CV1325" s="398"/>
      <c r="CW1325" s="398"/>
      <c r="CX1325" s="398"/>
      <c r="CY1325" s="398"/>
      <c r="CZ1325" s="398"/>
      <c r="DA1325" s="398"/>
      <c r="DB1325" s="398"/>
      <c r="DC1325" s="398"/>
      <c r="DD1325" s="398"/>
      <c r="DE1325" s="393"/>
      <c r="DF1325" s="393"/>
      <c r="DG1325" s="393"/>
      <c r="DH1325" s="393"/>
      <c r="DI1325" s="393"/>
      <c r="DJ1325" s="393"/>
      <c r="DK1325" s="897"/>
    </row>
    <row r="1326" spans="1:115" ht="38.25" x14ac:dyDescent="0.2">
      <c r="A1326" s="295">
        <v>1322</v>
      </c>
      <c r="B1326" s="390" t="s">
        <v>2043</v>
      </c>
      <c r="C1326" s="424" t="s">
        <v>7737</v>
      </c>
      <c r="D1326" s="391"/>
      <c r="E1326" s="707" t="s">
        <v>2044</v>
      </c>
      <c r="F1326" s="404" t="s">
        <v>1375</v>
      </c>
      <c r="G1326" s="404" t="s">
        <v>1361</v>
      </c>
      <c r="H1326" s="404" t="s">
        <v>137</v>
      </c>
      <c r="I1326" s="403" t="s">
        <v>4134</v>
      </c>
      <c r="J1326" s="403" t="s">
        <v>2250</v>
      </c>
      <c r="K1326" s="403"/>
      <c r="L1326" s="403" t="s">
        <v>2045</v>
      </c>
      <c r="M1326" s="403" t="s">
        <v>3595</v>
      </c>
      <c r="N1326" s="404" t="s">
        <v>3142</v>
      </c>
      <c r="O1326" s="404" t="s">
        <v>45</v>
      </c>
      <c r="P1326" s="404" t="s">
        <v>45</v>
      </c>
      <c r="Q1326" s="403" t="s">
        <v>1210</v>
      </c>
      <c r="R1326" s="403"/>
      <c r="S1326" s="403" t="s">
        <v>46</v>
      </c>
      <c r="T1326" s="405">
        <v>1</v>
      </c>
      <c r="U1326" s="406">
        <v>53.726999999999997</v>
      </c>
      <c r="V1326" s="406"/>
      <c r="W1326" s="456">
        <v>41456</v>
      </c>
      <c r="X1326" s="405">
        <v>28</v>
      </c>
      <c r="Y1326" s="405"/>
      <c r="Z1326" s="405"/>
      <c r="AA1326" s="406"/>
      <c r="AB1326" s="455"/>
      <c r="AC1326" s="407">
        <v>0</v>
      </c>
      <c r="AD1326" s="407">
        <v>537.27</v>
      </c>
      <c r="AE1326" s="404" t="s">
        <v>54</v>
      </c>
      <c r="AF1326" s="418"/>
      <c r="AG1326" s="418"/>
      <c r="AH1326" s="418">
        <v>0</v>
      </c>
      <c r="AI1326" s="405"/>
      <c r="AJ1326" s="455"/>
      <c r="AK1326" s="455"/>
      <c r="AL1326" s="404"/>
      <c r="AM1326" s="404"/>
      <c r="AN1326" s="418"/>
      <c r="AO1326" s="403"/>
      <c r="AP1326" s="403" t="s">
        <v>55</v>
      </c>
      <c r="AQ1326" s="403"/>
      <c r="AR1326" s="403" t="s">
        <v>55</v>
      </c>
      <c r="AS1326" s="482">
        <v>41048</v>
      </c>
      <c r="AT1326" s="455"/>
      <c r="AU1326" s="455"/>
      <c r="AV1326" s="455"/>
      <c r="AW1326" s="455"/>
      <c r="AX1326" s="455"/>
      <c r="AY1326" s="455"/>
      <c r="AZ1326" s="455"/>
      <c r="BA1326" s="404"/>
      <c r="BB1326" s="404" t="s">
        <v>3147</v>
      </c>
      <c r="BC1326" s="404" t="b">
        <v>1</v>
      </c>
      <c r="BD1326" s="404" t="s">
        <v>3147</v>
      </c>
      <c r="BE1326" s="403"/>
      <c r="BF1326" s="405">
        <v>5</v>
      </c>
      <c r="BG1326" s="405">
        <v>9</v>
      </c>
      <c r="BH1326" s="405"/>
      <c r="BI1326" s="405"/>
      <c r="BJ1326" s="405"/>
      <c r="BK1326" s="405"/>
      <c r="BL1326" s="446"/>
      <c r="BM1326" s="403"/>
      <c r="BN1326" s="404"/>
      <c r="BO1326" s="404"/>
      <c r="BP1326" s="408"/>
      <c r="BQ1326" s="409"/>
      <c r="BR1326" s="410"/>
      <c r="BS1326" s="408">
        <v>0</v>
      </c>
      <c r="BT1326" s="405"/>
      <c r="BU1326" s="418"/>
      <c r="BV1326" s="408"/>
      <c r="BW1326" s="404"/>
      <c r="BX1326" s="403"/>
      <c r="BY1326" s="404"/>
      <c r="BZ1326" s="404"/>
      <c r="CA1326" s="443"/>
      <c r="CB1326" s="409"/>
      <c r="CC1326" s="407"/>
      <c r="CD1326" s="407"/>
      <c r="CE1326" s="407"/>
      <c r="CF1326" s="407"/>
      <c r="CG1326" s="407"/>
      <c r="CH1326" s="407"/>
      <c r="CI1326" s="407"/>
      <c r="CJ1326" s="407"/>
      <c r="CK1326" s="407"/>
      <c r="CL1326" s="407"/>
      <c r="CM1326" s="407"/>
      <c r="CN1326" s="407"/>
      <c r="CO1326" s="407"/>
      <c r="CP1326" s="407"/>
      <c r="CQ1326" s="407"/>
      <c r="CR1326" s="407"/>
      <c r="CS1326" s="407"/>
      <c r="CT1326" s="407"/>
      <c r="CU1326" s="407"/>
      <c r="CV1326" s="407"/>
      <c r="CW1326" s="407"/>
      <c r="CX1326" s="407"/>
      <c r="CY1326" s="407"/>
      <c r="CZ1326" s="407"/>
      <c r="DA1326" s="407"/>
      <c r="DB1326" s="407"/>
      <c r="DC1326" s="407"/>
      <c r="DD1326" s="407"/>
      <c r="DE1326" s="404"/>
      <c r="DF1326" s="404"/>
      <c r="DG1326" s="404"/>
      <c r="DH1326" s="404"/>
      <c r="DI1326" s="404"/>
      <c r="DJ1326" s="404"/>
      <c r="DK1326" s="901"/>
    </row>
    <row r="1327" spans="1:115" ht="25.5" x14ac:dyDescent="0.2">
      <c r="A1327" s="295">
        <v>1323</v>
      </c>
      <c r="B1327" s="390" t="s">
        <v>2909</v>
      </c>
      <c r="C1327" s="390"/>
      <c r="D1327" s="391"/>
      <c r="E1327" s="707" t="s">
        <v>2046</v>
      </c>
      <c r="F1327" s="404" t="s">
        <v>1375</v>
      </c>
      <c r="G1327" s="404" t="s">
        <v>1361</v>
      </c>
      <c r="H1327" s="404" t="s">
        <v>137</v>
      </c>
      <c r="I1327" s="403"/>
      <c r="J1327" s="403"/>
      <c r="K1327" s="403" t="s">
        <v>1823</v>
      </c>
      <c r="L1327" s="403" t="s">
        <v>2045</v>
      </c>
      <c r="M1327" s="403"/>
      <c r="N1327" s="404" t="s">
        <v>3142</v>
      </c>
      <c r="O1327" s="404" t="s">
        <v>45</v>
      </c>
      <c r="P1327" s="404" t="s">
        <v>45</v>
      </c>
      <c r="Q1327" s="403" t="s">
        <v>86</v>
      </c>
      <c r="R1327" s="403" t="s">
        <v>3596</v>
      </c>
      <c r="S1327" s="403" t="s">
        <v>46</v>
      </c>
      <c r="T1327" s="405">
        <v>1</v>
      </c>
      <c r="U1327" s="406">
        <v>53.726999999999997</v>
      </c>
      <c r="V1327" s="406"/>
      <c r="W1327" s="455"/>
      <c r="X1327" s="405"/>
      <c r="Y1327" s="405">
        <v>10</v>
      </c>
      <c r="Z1327" s="405">
        <v>28</v>
      </c>
      <c r="AA1327" s="406">
        <v>0</v>
      </c>
      <c r="AB1327" s="456">
        <v>41456</v>
      </c>
      <c r="AC1327" s="407">
        <v>0</v>
      </c>
      <c r="AD1327" s="407">
        <v>537.27</v>
      </c>
      <c r="AE1327" s="404" t="s">
        <v>54</v>
      </c>
      <c r="AF1327" s="418"/>
      <c r="AG1327" s="418"/>
      <c r="AH1327" s="418"/>
      <c r="AI1327" s="405"/>
      <c r="AJ1327" s="455"/>
      <c r="AK1327" s="455"/>
      <c r="AL1327" s="404"/>
      <c r="AM1327" s="404"/>
      <c r="AN1327" s="418"/>
      <c r="AO1327" s="403"/>
      <c r="AP1327" s="403" t="s">
        <v>55</v>
      </c>
      <c r="AQ1327" s="403"/>
      <c r="AR1327" s="403" t="s">
        <v>55</v>
      </c>
      <c r="AS1327" s="482">
        <v>41048</v>
      </c>
      <c r="AT1327" s="455"/>
      <c r="AU1327" s="455"/>
      <c r="AV1327" s="455"/>
      <c r="AW1327" s="455"/>
      <c r="AX1327" s="455"/>
      <c r="AY1327" s="455"/>
      <c r="AZ1327" s="455"/>
      <c r="BA1327" s="404"/>
      <c r="BB1327" s="404"/>
      <c r="BC1327" s="404" t="b">
        <v>0</v>
      </c>
      <c r="BD1327" s="404"/>
      <c r="BE1327" s="403"/>
      <c r="BF1327" s="405">
        <v>5</v>
      </c>
      <c r="BG1327" s="405">
        <v>9</v>
      </c>
      <c r="BH1327" s="405"/>
      <c r="BI1327" s="405"/>
      <c r="BJ1327" s="405"/>
      <c r="BK1327" s="405"/>
      <c r="BL1327" s="446" t="s">
        <v>6981</v>
      </c>
      <c r="BM1327" s="403"/>
      <c r="BN1327" s="404"/>
      <c r="BO1327" s="404"/>
      <c r="BP1327" s="408"/>
      <c r="BQ1327" s="409"/>
      <c r="BR1327" s="410"/>
      <c r="BS1327" s="408"/>
      <c r="BT1327" s="405"/>
      <c r="BU1327" s="418"/>
      <c r="BV1327" s="408"/>
      <c r="BW1327" s="404" t="s">
        <v>3117</v>
      </c>
      <c r="BX1327" s="403" t="s">
        <v>1449</v>
      </c>
      <c r="BY1327" s="404" t="s">
        <v>7225</v>
      </c>
      <c r="BZ1327" s="404"/>
      <c r="CA1327" s="443"/>
      <c r="CB1327" s="409"/>
      <c r="CC1327" s="407"/>
      <c r="CD1327" s="407"/>
      <c r="CE1327" s="407"/>
      <c r="CF1327" s="407"/>
      <c r="CG1327" s="407"/>
      <c r="CH1327" s="407"/>
      <c r="CI1327" s="407">
        <v>26.863</v>
      </c>
      <c r="CJ1327" s="407">
        <v>53.726999999999997</v>
      </c>
      <c r="CK1327" s="407">
        <v>53.726999999999997</v>
      </c>
      <c r="CL1327" s="407">
        <v>53.726999999999997</v>
      </c>
      <c r="CM1327" s="407">
        <v>53.726999999999997</v>
      </c>
      <c r="CN1327" s="407">
        <v>53.726999999999997</v>
      </c>
      <c r="CO1327" s="407">
        <v>53.726999999999997</v>
      </c>
      <c r="CP1327" s="407">
        <v>53.726999999999997</v>
      </c>
      <c r="CQ1327" s="407">
        <v>53.726999999999997</v>
      </c>
      <c r="CR1327" s="407">
        <v>53.726999999999997</v>
      </c>
      <c r="CS1327" s="407">
        <v>26.864000000000001</v>
      </c>
      <c r="CT1327" s="407"/>
      <c r="CU1327" s="407"/>
      <c r="CV1327" s="407"/>
      <c r="CW1327" s="407"/>
      <c r="CX1327" s="407"/>
      <c r="CY1327" s="407"/>
      <c r="CZ1327" s="407"/>
      <c r="DA1327" s="407"/>
      <c r="DB1327" s="407"/>
      <c r="DC1327" s="407"/>
      <c r="DD1327" s="407"/>
      <c r="DE1327" s="404"/>
      <c r="DF1327" s="404"/>
      <c r="DG1327" s="404"/>
      <c r="DH1327" s="404"/>
      <c r="DI1327" s="404"/>
      <c r="DJ1327" s="404"/>
      <c r="DK1327" s="897"/>
    </row>
    <row r="1328" spans="1:115" ht="25.5" x14ac:dyDescent="0.2">
      <c r="A1328" s="295">
        <v>1324</v>
      </c>
      <c r="B1328" s="390" t="s">
        <v>2047</v>
      </c>
      <c r="C1328" s="424" t="s">
        <v>7738</v>
      </c>
      <c r="D1328" s="391" t="s">
        <v>5200</v>
      </c>
      <c r="E1328" s="704" t="s">
        <v>2048</v>
      </c>
      <c r="F1328" s="393" t="s">
        <v>1375</v>
      </c>
      <c r="G1328" s="393" t="s">
        <v>1361</v>
      </c>
      <c r="H1328" s="393" t="s">
        <v>137</v>
      </c>
      <c r="I1328" s="392"/>
      <c r="J1328" s="392" t="s">
        <v>137</v>
      </c>
      <c r="K1328" s="392"/>
      <c r="L1328" s="392" t="s">
        <v>2049</v>
      </c>
      <c r="M1328" s="392" t="s">
        <v>55</v>
      </c>
      <c r="N1328" s="393" t="s">
        <v>44</v>
      </c>
      <c r="O1328" s="393" t="s">
        <v>1155</v>
      </c>
      <c r="P1328" s="393" t="s">
        <v>1155</v>
      </c>
      <c r="Q1328" s="392" t="s">
        <v>1155</v>
      </c>
      <c r="R1328" s="392"/>
      <c r="S1328" s="392" t="s">
        <v>650</v>
      </c>
      <c r="T1328" s="394">
        <v>1</v>
      </c>
      <c r="U1328" s="395">
        <v>93.093000000000004</v>
      </c>
      <c r="V1328" s="395"/>
      <c r="W1328" s="452">
        <v>41046</v>
      </c>
      <c r="X1328" s="394">
        <v>28</v>
      </c>
      <c r="Y1328" s="394"/>
      <c r="Z1328" s="394"/>
      <c r="AA1328" s="395"/>
      <c r="AB1328" s="453"/>
      <c r="AC1328" s="398">
        <v>0</v>
      </c>
      <c r="AD1328" s="398">
        <v>930.93000000000006</v>
      </c>
      <c r="AE1328" s="393" t="s">
        <v>54</v>
      </c>
      <c r="AF1328" s="417"/>
      <c r="AG1328" s="417"/>
      <c r="AH1328" s="417">
        <v>0</v>
      </c>
      <c r="AI1328" s="394"/>
      <c r="AJ1328" s="453"/>
      <c r="AK1328" s="453"/>
      <c r="AL1328" s="393"/>
      <c r="AM1328" s="393"/>
      <c r="AN1328" s="417"/>
      <c r="AO1328" s="392"/>
      <c r="AP1328" s="392" t="s">
        <v>55</v>
      </c>
      <c r="AQ1328" s="392"/>
      <c r="AR1328" s="392" t="s">
        <v>2050</v>
      </c>
      <c r="AS1328" s="479">
        <v>41048</v>
      </c>
      <c r="AT1328" s="453"/>
      <c r="AU1328" s="453"/>
      <c r="AV1328" s="452">
        <v>41172</v>
      </c>
      <c r="AW1328" s="452">
        <v>41257</v>
      </c>
      <c r="AX1328" s="453"/>
      <c r="AY1328" s="452">
        <v>41261</v>
      </c>
      <c r="AZ1328" s="453"/>
      <c r="BA1328" s="393"/>
      <c r="BB1328" s="393" t="s">
        <v>3147</v>
      </c>
      <c r="BC1328" s="393" t="b">
        <v>1</v>
      </c>
      <c r="BD1328" s="393" t="s">
        <v>3147</v>
      </c>
      <c r="BE1328" s="392"/>
      <c r="BF1328" s="394">
        <v>3</v>
      </c>
      <c r="BG1328" s="394">
        <v>10</v>
      </c>
      <c r="BH1328" s="394">
        <v>11</v>
      </c>
      <c r="BI1328" s="394">
        <v>5</v>
      </c>
      <c r="BJ1328" s="394"/>
      <c r="BK1328" s="394"/>
      <c r="BL1328" s="444"/>
      <c r="BM1328" s="392"/>
      <c r="BN1328" s="393"/>
      <c r="BO1328" s="393"/>
      <c r="BP1328" s="399"/>
      <c r="BQ1328" s="400"/>
      <c r="BR1328" s="401"/>
      <c r="BS1328" s="399">
        <v>40</v>
      </c>
      <c r="BT1328" s="394"/>
      <c r="BU1328" s="417"/>
      <c r="BV1328" s="399"/>
      <c r="BW1328" s="393"/>
      <c r="BX1328" s="392"/>
      <c r="BY1328" s="393"/>
      <c r="BZ1328" s="393"/>
      <c r="CA1328" s="441"/>
      <c r="CB1328" s="400"/>
      <c r="CC1328" s="398"/>
      <c r="CD1328" s="398"/>
      <c r="CE1328" s="398"/>
      <c r="CF1328" s="398"/>
      <c r="CG1328" s="398"/>
      <c r="CH1328" s="398"/>
      <c r="CI1328" s="398"/>
      <c r="CJ1328" s="398"/>
      <c r="CK1328" s="398"/>
      <c r="CL1328" s="398"/>
      <c r="CM1328" s="398"/>
      <c r="CN1328" s="398"/>
      <c r="CO1328" s="398"/>
      <c r="CP1328" s="398"/>
      <c r="CQ1328" s="398"/>
      <c r="CR1328" s="398"/>
      <c r="CS1328" s="398"/>
      <c r="CT1328" s="398"/>
      <c r="CU1328" s="398"/>
      <c r="CV1328" s="398"/>
      <c r="CW1328" s="398"/>
      <c r="CX1328" s="398"/>
      <c r="CY1328" s="398"/>
      <c r="CZ1328" s="398"/>
      <c r="DA1328" s="398"/>
      <c r="DB1328" s="398"/>
      <c r="DC1328" s="398"/>
      <c r="DD1328" s="398"/>
      <c r="DE1328" s="393"/>
      <c r="DF1328" s="393"/>
      <c r="DG1328" s="393"/>
      <c r="DH1328" s="393"/>
      <c r="DI1328" s="393"/>
      <c r="DJ1328" s="393"/>
      <c r="DK1328" s="896" t="s">
        <v>9722</v>
      </c>
    </row>
    <row r="1329" spans="1:115" ht="25.5" x14ac:dyDescent="0.2">
      <c r="A1329" s="295">
        <v>1325</v>
      </c>
      <c r="B1329" s="390" t="s">
        <v>2910</v>
      </c>
      <c r="C1329" s="390"/>
      <c r="D1329" s="391" t="s">
        <v>4627</v>
      </c>
      <c r="E1329" s="704" t="s">
        <v>2051</v>
      </c>
      <c r="F1329" s="393" t="s">
        <v>1375</v>
      </c>
      <c r="G1329" s="393" t="s">
        <v>1361</v>
      </c>
      <c r="H1329" s="393" t="s">
        <v>137</v>
      </c>
      <c r="I1329" s="392"/>
      <c r="J1329" s="392"/>
      <c r="K1329" s="392" t="s">
        <v>534</v>
      </c>
      <c r="L1329" s="392" t="s">
        <v>2049</v>
      </c>
      <c r="M1329" s="392"/>
      <c r="N1329" s="393" t="s">
        <v>44</v>
      </c>
      <c r="O1329" s="393" t="s">
        <v>1155</v>
      </c>
      <c r="P1329" s="393" t="s">
        <v>1155</v>
      </c>
      <c r="Q1329" s="392" t="s">
        <v>1155</v>
      </c>
      <c r="R1329" s="392" t="s">
        <v>3597</v>
      </c>
      <c r="S1329" s="392" t="s">
        <v>650</v>
      </c>
      <c r="T1329" s="394">
        <v>1</v>
      </c>
      <c r="U1329" s="395">
        <v>93.093000000000004</v>
      </c>
      <c r="V1329" s="395"/>
      <c r="W1329" s="453"/>
      <c r="X1329" s="394"/>
      <c r="Y1329" s="394">
        <v>10</v>
      </c>
      <c r="Z1329" s="394">
        <v>20</v>
      </c>
      <c r="AA1329" s="395">
        <v>0</v>
      </c>
      <c r="AB1329" s="452">
        <v>41640</v>
      </c>
      <c r="AC1329" s="398">
        <v>0</v>
      </c>
      <c r="AD1329" s="398">
        <v>930.93000000000006</v>
      </c>
      <c r="AE1329" s="393" t="s">
        <v>54</v>
      </c>
      <c r="AF1329" s="417"/>
      <c r="AG1329" s="417"/>
      <c r="AH1329" s="417"/>
      <c r="AI1329" s="394"/>
      <c r="AJ1329" s="453"/>
      <c r="AK1329" s="453"/>
      <c r="AL1329" s="393"/>
      <c r="AM1329" s="393"/>
      <c r="AN1329" s="417"/>
      <c r="AO1329" s="392"/>
      <c r="AP1329" s="392" t="s">
        <v>55</v>
      </c>
      <c r="AQ1329" s="392"/>
      <c r="AR1329" s="392" t="s">
        <v>2050</v>
      </c>
      <c r="AS1329" s="479">
        <v>41048</v>
      </c>
      <c r="AT1329" s="453"/>
      <c r="AU1329" s="453"/>
      <c r="AV1329" s="453"/>
      <c r="AW1329" s="453"/>
      <c r="AX1329" s="453"/>
      <c r="AY1329" s="453"/>
      <c r="AZ1329" s="452">
        <v>41261</v>
      </c>
      <c r="BA1329" s="393"/>
      <c r="BB1329" s="393"/>
      <c r="BC1329" s="393" t="b">
        <v>0</v>
      </c>
      <c r="BD1329" s="393"/>
      <c r="BE1329" s="392"/>
      <c r="BF1329" s="394">
        <v>10</v>
      </c>
      <c r="BG1329" s="394">
        <v>11</v>
      </c>
      <c r="BH1329" s="394">
        <v>5</v>
      </c>
      <c r="BI1329" s="394"/>
      <c r="BJ1329" s="394"/>
      <c r="BK1329" s="394"/>
      <c r="BL1329" s="444" t="s">
        <v>6982</v>
      </c>
      <c r="BM1329" s="392"/>
      <c r="BN1329" s="393"/>
      <c r="BO1329" s="393"/>
      <c r="BP1329" s="399"/>
      <c r="BQ1329" s="400"/>
      <c r="BR1329" s="401"/>
      <c r="BS1329" s="399">
        <v>40</v>
      </c>
      <c r="BT1329" s="394">
        <v>102300</v>
      </c>
      <c r="BU1329" s="417">
        <v>0.91</v>
      </c>
      <c r="BV1329" s="399"/>
      <c r="BW1329" s="393" t="s">
        <v>3117</v>
      </c>
      <c r="BX1329" s="392" t="s">
        <v>1449</v>
      </c>
      <c r="BY1329" s="393"/>
      <c r="BZ1329" s="393"/>
      <c r="CA1329" s="441"/>
      <c r="CB1329" s="400"/>
      <c r="CC1329" s="398"/>
      <c r="CD1329" s="398"/>
      <c r="CE1329" s="398"/>
      <c r="CF1329" s="398"/>
      <c r="CG1329" s="398"/>
      <c r="CH1329" s="398"/>
      <c r="CI1329" s="398"/>
      <c r="CJ1329" s="398">
        <v>93.093000000000004</v>
      </c>
      <c r="CK1329" s="398">
        <v>93.093000000000004</v>
      </c>
      <c r="CL1329" s="398">
        <v>93.093000000000004</v>
      </c>
      <c r="CM1329" s="398">
        <v>93.093000000000004</v>
      </c>
      <c r="CN1329" s="398">
        <v>93.093000000000004</v>
      </c>
      <c r="CO1329" s="398">
        <v>93.093000000000004</v>
      </c>
      <c r="CP1329" s="398">
        <v>93.093000000000004</v>
      </c>
      <c r="CQ1329" s="398">
        <v>93.093000000000004</v>
      </c>
      <c r="CR1329" s="398">
        <v>93.093000000000004</v>
      </c>
      <c r="CS1329" s="398">
        <v>93.093000000000004</v>
      </c>
      <c r="CT1329" s="398"/>
      <c r="CU1329" s="398"/>
      <c r="CV1329" s="398"/>
      <c r="CW1329" s="398"/>
      <c r="CX1329" s="398"/>
      <c r="CY1329" s="398"/>
      <c r="CZ1329" s="398"/>
      <c r="DA1329" s="398"/>
      <c r="DB1329" s="398"/>
      <c r="DC1329" s="398"/>
      <c r="DD1329" s="398"/>
      <c r="DE1329" s="393"/>
      <c r="DF1329" s="393"/>
      <c r="DG1329" s="393"/>
      <c r="DH1329" s="393"/>
      <c r="DI1329" s="393"/>
      <c r="DJ1329" s="393"/>
      <c r="DK1329" s="897"/>
    </row>
    <row r="1330" spans="1:115" ht="51" x14ac:dyDescent="0.2">
      <c r="A1330" s="295">
        <v>1326</v>
      </c>
      <c r="B1330" s="390" t="s">
        <v>2052</v>
      </c>
      <c r="C1330" s="424" t="s">
        <v>7739</v>
      </c>
      <c r="D1330" s="391" t="s">
        <v>5201</v>
      </c>
      <c r="E1330" s="704" t="s">
        <v>2053</v>
      </c>
      <c r="F1330" s="393" t="s">
        <v>1352</v>
      </c>
      <c r="G1330" s="393" t="s">
        <v>1671</v>
      </c>
      <c r="H1330" s="393" t="s">
        <v>117</v>
      </c>
      <c r="I1330" s="392"/>
      <c r="J1330" s="392" t="s">
        <v>2054</v>
      </c>
      <c r="K1330" s="392"/>
      <c r="L1330" s="392" t="s">
        <v>2055</v>
      </c>
      <c r="M1330" s="392" t="s">
        <v>3598</v>
      </c>
      <c r="N1330" s="393" t="s">
        <v>44</v>
      </c>
      <c r="O1330" s="393" t="s">
        <v>827</v>
      </c>
      <c r="P1330" s="393" t="s">
        <v>827</v>
      </c>
      <c r="Q1330" s="392" t="s">
        <v>836</v>
      </c>
      <c r="R1330" s="392"/>
      <c r="S1330" s="392" t="s">
        <v>650</v>
      </c>
      <c r="T1330" s="394">
        <v>1</v>
      </c>
      <c r="U1330" s="395">
        <v>30.806999999999999</v>
      </c>
      <c r="V1330" s="395"/>
      <c r="W1330" s="452">
        <v>41048</v>
      </c>
      <c r="X1330" s="394">
        <v>28</v>
      </c>
      <c r="Y1330" s="394"/>
      <c r="Z1330" s="394"/>
      <c r="AA1330" s="395"/>
      <c r="AB1330" s="453"/>
      <c r="AC1330" s="398">
        <v>0</v>
      </c>
      <c r="AD1330" s="398">
        <v>233.79558904109589</v>
      </c>
      <c r="AE1330" s="393" t="s">
        <v>72</v>
      </c>
      <c r="AF1330" s="417"/>
      <c r="AG1330" s="417"/>
      <c r="AH1330" s="417">
        <v>0</v>
      </c>
      <c r="AI1330" s="394"/>
      <c r="AJ1330" s="453"/>
      <c r="AK1330" s="453"/>
      <c r="AL1330" s="393"/>
      <c r="AM1330" s="393"/>
      <c r="AN1330" s="417"/>
      <c r="AO1330" s="392"/>
      <c r="AP1330" s="392" t="s">
        <v>7087</v>
      </c>
      <c r="AQ1330" s="392"/>
      <c r="AR1330" s="392" t="s">
        <v>55</v>
      </c>
      <c r="AS1330" s="479">
        <v>41048</v>
      </c>
      <c r="AT1330" s="453"/>
      <c r="AU1330" s="453"/>
      <c r="AV1330" s="452">
        <v>41244</v>
      </c>
      <c r="AW1330" s="452">
        <v>41268</v>
      </c>
      <c r="AX1330" s="452">
        <v>41390</v>
      </c>
      <c r="AY1330" s="452">
        <v>41270</v>
      </c>
      <c r="AZ1330" s="453"/>
      <c r="BA1330" s="393"/>
      <c r="BB1330" s="393" t="s">
        <v>3147</v>
      </c>
      <c r="BC1330" s="393" t="b">
        <v>1</v>
      </c>
      <c r="BD1330" s="393" t="s">
        <v>3147</v>
      </c>
      <c r="BE1330" s="392"/>
      <c r="BF1330" s="394">
        <v>5</v>
      </c>
      <c r="BG1330" s="394">
        <v>9</v>
      </c>
      <c r="BH1330" s="394">
        <v>1</v>
      </c>
      <c r="BI1330" s="394"/>
      <c r="BJ1330" s="394"/>
      <c r="BK1330" s="394"/>
      <c r="BL1330" s="444"/>
      <c r="BM1330" s="392"/>
      <c r="BN1330" s="393"/>
      <c r="BO1330" s="393"/>
      <c r="BP1330" s="399"/>
      <c r="BQ1330" s="400"/>
      <c r="BR1330" s="401"/>
      <c r="BS1330" s="399">
        <v>20</v>
      </c>
      <c r="BT1330" s="394"/>
      <c r="BU1330" s="417"/>
      <c r="BV1330" s="399"/>
      <c r="BW1330" s="393"/>
      <c r="BX1330" s="392"/>
      <c r="BY1330" s="393"/>
      <c r="BZ1330" s="393"/>
      <c r="CA1330" s="441"/>
      <c r="CB1330" s="400"/>
      <c r="CC1330" s="398"/>
      <c r="CD1330" s="398"/>
      <c r="CE1330" s="398"/>
      <c r="CF1330" s="398"/>
      <c r="CG1330" s="398"/>
      <c r="CH1330" s="398"/>
      <c r="CI1330" s="398"/>
      <c r="CJ1330" s="398"/>
      <c r="CK1330" s="398"/>
      <c r="CL1330" s="398"/>
      <c r="CM1330" s="398"/>
      <c r="CN1330" s="398"/>
      <c r="CO1330" s="398"/>
      <c r="CP1330" s="398"/>
      <c r="CQ1330" s="398"/>
      <c r="CR1330" s="398"/>
      <c r="CS1330" s="398"/>
      <c r="CT1330" s="398"/>
      <c r="CU1330" s="398"/>
      <c r="CV1330" s="398"/>
      <c r="CW1330" s="398"/>
      <c r="CX1330" s="398"/>
      <c r="CY1330" s="398"/>
      <c r="CZ1330" s="398"/>
      <c r="DA1330" s="398"/>
      <c r="DB1330" s="398"/>
      <c r="DC1330" s="398"/>
      <c r="DD1330" s="398"/>
      <c r="DE1330" s="393"/>
      <c r="DF1330" s="393"/>
      <c r="DG1330" s="393"/>
      <c r="DH1330" s="393"/>
      <c r="DI1330" s="393"/>
      <c r="DJ1330" s="393"/>
      <c r="DK1330" s="896" t="s">
        <v>9722</v>
      </c>
    </row>
    <row r="1331" spans="1:115" ht="38.25" x14ac:dyDescent="0.2">
      <c r="A1331" s="295">
        <v>1327</v>
      </c>
      <c r="B1331" s="390" t="s">
        <v>2911</v>
      </c>
      <c r="C1331" s="390"/>
      <c r="D1331" s="391" t="s">
        <v>6980</v>
      </c>
      <c r="E1331" s="704" t="s">
        <v>2056</v>
      </c>
      <c r="F1331" s="393" t="s">
        <v>1352</v>
      </c>
      <c r="G1331" s="393" t="s">
        <v>1671</v>
      </c>
      <c r="H1331" s="393" t="s">
        <v>117</v>
      </c>
      <c r="I1331" s="392"/>
      <c r="J1331" s="392"/>
      <c r="K1331" s="392" t="s">
        <v>2249</v>
      </c>
      <c r="L1331" s="392" t="s">
        <v>2055</v>
      </c>
      <c r="M1331" s="392"/>
      <c r="N1331" s="393" t="s">
        <v>44</v>
      </c>
      <c r="O1331" s="393" t="s">
        <v>827</v>
      </c>
      <c r="P1331" s="393" t="s">
        <v>827</v>
      </c>
      <c r="Q1331" s="392" t="s">
        <v>836</v>
      </c>
      <c r="R1331" s="392" t="s">
        <v>4135</v>
      </c>
      <c r="S1331" s="392" t="s">
        <v>650</v>
      </c>
      <c r="T1331" s="394">
        <v>1</v>
      </c>
      <c r="U1331" s="395">
        <v>30.806999999999999</v>
      </c>
      <c r="V1331" s="395"/>
      <c r="W1331" s="453"/>
      <c r="X1331" s="394"/>
      <c r="Y1331" s="394">
        <v>7</v>
      </c>
      <c r="Z1331" s="394">
        <v>25</v>
      </c>
      <c r="AA1331" s="395">
        <v>0</v>
      </c>
      <c r="AB1331" s="452">
        <v>41426</v>
      </c>
      <c r="AC1331" s="398">
        <v>0</v>
      </c>
      <c r="AD1331" s="398">
        <v>233.79558904109589</v>
      </c>
      <c r="AE1331" s="393" t="s">
        <v>72</v>
      </c>
      <c r="AF1331" s="417"/>
      <c r="AG1331" s="417"/>
      <c r="AH1331" s="417"/>
      <c r="AI1331" s="394"/>
      <c r="AJ1331" s="453"/>
      <c r="AK1331" s="453"/>
      <c r="AL1331" s="393"/>
      <c r="AM1331" s="393"/>
      <c r="AN1331" s="417"/>
      <c r="AO1331" s="392"/>
      <c r="AP1331" s="392" t="s">
        <v>7087</v>
      </c>
      <c r="AQ1331" s="392"/>
      <c r="AR1331" s="392" t="s">
        <v>55</v>
      </c>
      <c r="AS1331" s="479">
        <v>41048</v>
      </c>
      <c r="AT1331" s="453"/>
      <c r="AU1331" s="453"/>
      <c r="AV1331" s="453"/>
      <c r="AW1331" s="453"/>
      <c r="AX1331" s="453"/>
      <c r="AY1331" s="453"/>
      <c r="AZ1331" s="452">
        <v>41270</v>
      </c>
      <c r="BA1331" s="393"/>
      <c r="BB1331" s="393"/>
      <c r="BC1331" s="393" t="b">
        <v>0</v>
      </c>
      <c r="BD1331" s="393"/>
      <c r="BE1331" s="392"/>
      <c r="BF1331" s="394">
        <v>1</v>
      </c>
      <c r="BG1331" s="394">
        <v>5</v>
      </c>
      <c r="BH1331" s="394"/>
      <c r="BI1331" s="394"/>
      <c r="BJ1331" s="394"/>
      <c r="BK1331" s="394"/>
      <c r="BL1331" s="444" t="s">
        <v>6983</v>
      </c>
      <c r="BM1331" s="392"/>
      <c r="BN1331" s="393"/>
      <c r="BO1331" s="393"/>
      <c r="BP1331" s="399"/>
      <c r="BQ1331" s="400"/>
      <c r="BR1331" s="401"/>
      <c r="BS1331" s="399">
        <v>20</v>
      </c>
      <c r="BT1331" s="394">
        <v>34369</v>
      </c>
      <c r="BU1331" s="417">
        <v>0.89639999999999997</v>
      </c>
      <c r="BV1331" s="399"/>
      <c r="BW1331" s="393" t="s">
        <v>3117</v>
      </c>
      <c r="BX1331" s="392" t="s">
        <v>1449</v>
      </c>
      <c r="BY1331" s="393"/>
      <c r="BZ1331" s="393"/>
      <c r="CA1331" s="441" t="s">
        <v>1662</v>
      </c>
      <c r="CB1331" s="400">
        <v>3</v>
      </c>
      <c r="CC1331" s="398"/>
      <c r="CD1331" s="398"/>
      <c r="CE1331" s="398"/>
      <c r="CF1331" s="398"/>
      <c r="CG1331" s="398"/>
      <c r="CH1331" s="398"/>
      <c r="CI1331" s="398">
        <v>15.967000000000001</v>
      </c>
      <c r="CJ1331" s="398">
        <v>31.742000000000001</v>
      </c>
      <c r="CK1331" s="398">
        <v>31.361000000000001</v>
      </c>
      <c r="CL1331" s="398">
        <v>30.984999999999999</v>
      </c>
      <c r="CM1331" s="398">
        <v>30.611999999999998</v>
      </c>
      <c r="CN1331" s="398">
        <v>30.245999999999999</v>
      </c>
      <c r="CO1331" s="398">
        <v>29.882000000000001</v>
      </c>
      <c r="CP1331" s="398">
        <v>14.851000000000001</v>
      </c>
      <c r="CQ1331" s="398"/>
      <c r="CR1331" s="398"/>
      <c r="CS1331" s="398"/>
      <c r="CT1331" s="398"/>
      <c r="CU1331" s="398"/>
      <c r="CV1331" s="398"/>
      <c r="CW1331" s="398"/>
      <c r="CX1331" s="398"/>
      <c r="CY1331" s="398"/>
      <c r="CZ1331" s="398"/>
      <c r="DA1331" s="398"/>
      <c r="DB1331" s="398"/>
      <c r="DC1331" s="398"/>
      <c r="DD1331" s="398"/>
      <c r="DE1331" s="393"/>
      <c r="DF1331" s="393"/>
      <c r="DG1331" s="393"/>
      <c r="DH1331" s="393"/>
      <c r="DI1331" s="393"/>
      <c r="DJ1331" s="393"/>
      <c r="DK1331" s="897"/>
    </row>
    <row r="1332" spans="1:115" ht="51" x14ac:dyDescent="0.2">
      <c r="A1332" s="295">
        <v>1328</v>
      </c>
      <c r="B1332" s="390" t="s">
        <v>2057</v>
      </c>
      <c r="C1332" s="424" t="s">
        <v>7740</v>
      </c>
      <c r="D1332" s="391" t="s">
        <v>5444</v>
      </c>
      <c r="E1332" s="704" t="s">
        <v>2058</v>
      </c>
      <c r="F1332" s="393" t="s">
        <v>1352</v>
      </c>
      <c r="G1332" s="393" t="s">
        <v>1673</v>
      </c>
      <c r="H1332" s="393" t="s">
        <v>42</v>
      </c>
      <c r="I1332" s="392"/>
      <c r="J1332" s="392" t="s">
        <v>42</v>
      </c>
      <c r="K1332" s="392"/>
      <c r="L1332" s="392" t="s">
        <v>2059</v>
      </c>
      <c r="M1332" s="392" t="s">
        <v>3599</v>
      </c>
      <c r="N1332" s="393" t="s">
        <v>44</v>
      </c>
      <c r="O1332" s="393" t="s">
        <v>5030</v>
      </c>
      <c r="P1332" s="393" t="s">
        <v>5030</v>
      </c>
      <c r="Q1332" s="392" t="s">
        <v>2036</v>
      </c>
      <c r="R1332" s="392"/>
      <c r="S1332" s="392" t="s">
        <v>650</v>
      </c>
      <c r="T1332" s="394">
        <v>16</v>
      </c>
      <c r="U1332" s="395">
        <v>1260.4340000000002</v>
      </c>
      <c r="V1332" s="395"/>
      <c r="W1332" s="452">
        <v>41052</v>
      </c>
      <c r="X1332" s="394">
        <v>28</v>
      </c>
      <c r="Y1332" s="394"/>
      <c r="Z1332" s="394"/>
      <c r="AA1332" s="395"/>
      <c r="AB1332" s="453"/>
      <c r="AC1332" s="398">
        <v>0</v>
      </c>
      <c r="AD1332" s="398">
        <v>7044.9151150684938</v>
      </c>
      <c r="AE1332" s="393" t="s">
        <v>1413</v>
      </c>
      <c r="AF1332" s="417"/>
      <c r="AG1332" s="417"/>
      <c r="AH1332" s="417">
        <v>0</v>
      </c>
      <c r="AI1332" s="394"/>
      <c r="AJ1332" s="453"/>
      <c r="AK1332" s="453"/>
      <c r="AL1332" s="393"/>
      <c r="AM1332" s="393"/>
      <c r="AN1332" s="417"/>
      <c r="AO1332" s="392"/>
      <c r="AP1332" s="392" t="s">
        <v>55</v>
      </c>
      <c r="AQ1332" s="392"/>
      <c r="AR1332" s="392" t="s">
        <v>3815</v>
      </c>
      <c r="AS1332" s="479">
        <v>41052</v>
      </c>
      <c r="AT1332" s="453"/>
      <c r="AU1332" s="453"/>
      <c r="AV1332" s="452">
        <v>41255</v>
      </c>
      <c r="AW1332" s="452">
        <v>41274</v>
      </c>
      <c r="AX1332" s="452">
        <v>41467</v>
      </c>
      <c r="AY1332" s="452">
        <v>41274</v>
      </c>
      <c r="AZ1332" s="453"/>
      <c r="BA1332" s="393"/>
      <c r="BB1332" s="393" t="s">
        <v>3147</v>
      </c>
      <c r="BC1332" s="393" t="b">
        <v>0</v>
      </c>
      <c r="BD1332" s="393" t="s">
        <v>3147</v>
      </c>
      <c r="BE1332" s="392"/>
      <c r="BF1332" s="394">
        <v>5</v>
      </c>
      <c r="BG1332" s="394">
        <v>8</v>
      </c>
      <c r="BH1332" s="394">
        <v>9</v>
      </c>
      <c r="BI1332" s="394">
        <v>4</v>
      </c>
      <c r="BJ1332" s="394"/>
      <c r="BK1332" s="394"/>
      <c r="BL1332" s="444"/>
      <c r="BM1332" s="392"/>
      <c r="BN1332" s="393"/>
      <c r="BO1332" s="393"/>
      <c r="BP1332" s="399"/>
      <c r="BQ1332" s="400"/>
      <c r="BR1332" s="401"/>
      <c r="BS1332" s="399">
        <v>733.1</v>
      </c>
      <c r="BT1332" s="394"/>
      <c r="BU1332" s="417"/>
      <c r="BV1332" s="399"/>
      <c r="BW1332" s="393"/>
      <c r="BX1332" s="392"/>
      <c r="BY1332" s="393"/>
      <c r="BZ1332" s="393"/>
      <c r="CA1332" s="441"/>
      <c r="CB1332" s="400"/>
      <c r="CC1332" s="398"/>
      <c r="CD1332" s="398"/>
      <c r="CE1332" s="398"/>
      <c r="CF1332" s="398"/>
      <c r="CG1332" s="398"/>
      <c r="CH1332" s="398"/>
      <c r="CI1332" s="398"/>
      <c r="CJ1332" s="398"/>
      <c r="CK1332" s="398"/>
      <c r="CL1332" s="398"/>
      <c r="CM1332" s="398"/>
      <c r="CN1332" s="398"/>
      <c r="CO1332" s="398"/>
      <c r="CP1332" s="398"/>
      <c r="CQ1332" s="398"/>
      <c r="CR1332" s="398"/>
      <c r="CS1332" s="398"/>
      <c r="CT1332" s="398"/>
      <c r="CU1332" s="398"/>
      <c r="CV1332" s="398"/>
      <c r="CW1332" s="398"/>
      <c r="CX1332" s="398"/>
      <c r="CY1332" s="398"/>
      <c r="CZ1332" s="398"/>
      <c r="DA1332" s="398"/>
      <c r="DB1332" s="398"/>
      <c r="DC1332" s="398"/>
      <c r="DD1332" s="398"/>
      <c r="DE1332" s="393"/>
      <c r="DF1332" s="393"/>
      <c r="DG1332" s="393"/>
      <c r="DH1332" s="393"/>
      <c r="DI1332" s="393"/>
      <c r="DJ1332" s="393"/>
      <c r="DK1332" s="896" t="s">
        <v>9711</v>
      </c>
    </row>
    <row r="1333" spans="1:115" ht="25.5" x14ac:dyDescent="0.2">
      <c r="A1333" s="295">
        <v>1329</v>
      </c>
      <c r="B1333" s="390" t="s">
        <v>2912</v>
      </c>
      <c r="C1333" s="390"/>
      <c r="D1333" s="391" t="s">
        <v>5445</v>
      </c>
      <c r="E1333" s="704" t="s">
        <v>2060</v>
      </c>
      <c r="F1333" s="393" t="s">
        <v>1352</v>
      </c>
      <c r="G1333" s="393" t="s">
        <v>1673</v>
      </c>
      <c r="H1333" s="393" t="s">
        <v>42</v>
      </c>
      <c r="I1333" s="392"/>
      <c r="J1333" s="392"/>
      <c r="K1333" s="392" t="s">
        <v>370</v>
      </c>
      <c r="L1333" s="392" t="s">
        <v>2059</v>
      </c>
      <c r="M1333" s="392"/>
      <c r="N1333" s="393" t="s">
        <v>44</v>
      </c>
      <c r="O1333" s="393" t="s">
        <v>1155</v>
      </c>
      <c r="P1333" s="393" t="s">
        <v>1155</v>
      </c>
      <c r="Q1333" s="392" t="s">
        <v>1155</v>
      </c>
      <c r="R1333" s="392" t="s">
        <v>4136</v>
      </c>
      <c r="S1333" s="392" t="s">
        <v>650</v>
      </c>
      <c r="T1333" s="394">
        <v>1</v>
      </c>
      <c r="U1333" s="395">
        <v>48.585000000000001</v>
      </c>
      <c r="V1333" s="395"/>
      <c r="W1333" s="453"/>
      <c r="X1333" s="394"/>
      <c r="Y1333" s="394">
        <v>10</v>
      </c>
      <c r="Z1333" s="394">
        <v>25</v>
      </c>
      <c r="AA1333" s="395">
        <v>0</v>
      </c>
      <c r="AB1333" s="452">
        <v>41334</v>
      </c>
      <c r="AC1333" s="398">
        <v>0</v>
      </c>
      <c r="AD1333" s="398">
        <v>485.85</v>
      </c>
      <c r="AE1333" s="393" t="s">
        <v>1413</v>
      </c>
      <c r="AF1333" s="417"/>
      <c r="AG1333" s="417"/>
      <c r="AH1333" s="417"/>
      <c r="AI1333" s="394"/>
      <c r="AJ1333" s="453"/>
      <c r="AK1333" s="453"/>
      <c r="AL1333" s="393"/>
      <c r="AM1333" s="393"/>
      <c r="AN1333" s="417"/>
      <c r="AO1333" s="392"/>
      <c r="AP1333" s="392" t="s">
        <v>55</v>
      </c>
      <c r="AQ1333" s="392"/>
      <c r="AR1333" s="392" t="s">
        <v>3815</v>
      </c>
      <c r="AS1333" s="479">
        <v>41052</v>
      </c>
      <c r="AT1333" s="453"/>
      <c r="AU1333" s="453"/>
      <c r="AV1333" s="453"/>
      <c r="AW1333" s="453"/>
      <c r="AX1333" s="453"/>
      <c r="AY1333" s="453"/>
      <c r="AZ1333" s="452">
        <v>41274</v>
      </c>
      <c r="BA1333" s="393"/>
      <c r="BB1333" s="393"/>
      <c r="BC1333" s="393" t="b">
        <v>0</v>
      </c>
      <c r="BD1333" s="393"/>
      <c r="BE1333" s="392"/>
      <c r="BF1333" s="394">
        <v>5</v>
      </c>
      <c r="BG1333" s="394">
        <v>9</v>
      </c>
      <c r="BH1333" s="394">
        <v>4</v>
      </c>
      <c r="BI1333" s="394"/>
      <c r="BJ1333" s="394"/>
      <c r="BK1333" s="394"/>
      <c r="BL1333" s="444" t="s">
        <v>1451</v>
      </c>
      <c r="BM1333" s="392" t="s">
        <v>3600</v>
      </c>
      <c r="BN1333" s="393" t="s">
        <v>3288</v>
      </c>
      <c r="BO1333" s="393"/>
      <c r="BP1333" s="399"/>
      <c r="BQ1333" s="400"/>
      <c r="BR1333" s="401"/>
      <c r="BS1333" s="399">
        <v>25.6</v>
      </c>
      <c r="BT1333" s="394">
        <v>50993</v>
      </c>
      <c r="BU1333" s="417">
        <v>0.95289999999999997</v>
      </c>
      <c r="BV1333" s="399"/>
      <c r="BW1333" s="393" t="s">
        <v>3117</v>
      </c>
      <c r="BX1333" s="392" t="s">
        <v>1447</v>
      </c>
      <c r="BY1333" s="393"/>
      <c r="BZ1333" s="393"/>
      <c r="CA1333" s="441" t="s">
        <v>1662</v>
      </c>
      <c r="CB1333" s="400">
        <v>3</v>
      </c>
      <c r="CC1333" s="398"/>
      <c r="CD1333" s="398"/>
      <c r="CE1333" s="398"/>
      <c r="CF1333" s="398"/>
      <c r="CG1333" s="398"/>
      <c r="CH1333" s="398"/>
      <c r="CI1333" s="398">
        <v>48.951999999999998</v>
      </c>
      <c r="CJ1333" s="398">
        <v>48.951999999999998</v>
      </c>
      <c r="CK1333" s="398">
        <v>48.951999999999998</v>
      </c>
      <c r="CL1333" s="398">
        <v>48.951999999999998</v>
      </c>
      <c r="CM1333" s="398">
        <v>48.951999999999998</v>
      </c>
      <c r="CN1333" s="398">
        <v>48.951999999999998</v>
      </c>
      <c r="CO1333" s="398">
        <v>48.951999999999998</v>
      </c>
      <c r="CP1333" s="398">
        <v>48.951999999999998</v>
      </c>
      <c r="CQ1333" s="398">
        <v>48.951999999999998</v>
      </c>
      <c r="CR1333" s="398">
        <v>48.951999999999998</v>
      </c>
      <c r="CS1333" s="398"/>
      <c r="CT1333" s="398"/>
      <c r="CU1333" s="398"/>
      <c r="CV1333" s="398"/>
      <c r="CW1333" s="398"/>
      <c r="CX1333" s="398"/>
      <c r="CY1333" s="398"/>
      <c r="CZ1333" s="398"/>
      <c r="DA1333" s="398"/>
      <c r="DB1333" s="398"/>
      <c r="DC1333" s="398"/>
      <c r="DD1333" s="398"/>
      <c r="DE1333" s="393"/>
      <c r="DF1333" s="393"/>
      <c r="DG1333" s="393"/>
      <c r="DH1333" s="393"/>
      <c r="DI1333" s="393"/>
      <c r="DJ1333" s="393"/>
      <c r="DK1333" s="897"/>
    </row>
    <row r="1334" spans="1:115" ht="25.5" x14ac:dyDescent="0.2">
      <c r="A1334" s="295">
        <v>1330</v>
      </c>
      <c r="B1334" s="390" t="s">
        <v>6531</v>
      </c>
      <c r="C1334" s="390"/>
      <c r="D1334" s="391" t="s">
        <v>6212</v>
      </c>
      <c r="E1334" s="704" t="s">
        <v>6213</v>
      </c>
      <c r="F1334" s="393" t="s">
        <v>1352</v>
      </c>
      <c r="G1334" s="393" t="s">
        <v>1673</v>
      </c>
      <c r="H1334" s="393" t="s">
        <v>42</v>
      </c>
      <c r="I1334" s="392"/>
      <c r="J1334" s="392"/>
      <c r="K1334" s="392" t="s">
        <v>85</v>
      </c>
      <c r="L1334" s="392" t="s">
        <v>2059</v>
      </c>
      <c r="M1334" s="392"/>
      <c r="N1334" s="393" t="s">
        <v>44</v>
      </c>
      <c r="O1334" s="393" t="s">
        <v>1155</v>
      </c>
      <c r="P1334" s="393" t="s">
        <v>1155</v>
      </c>
      <c r="Q1334" s="392" t="s">
        <v>1155</v>
      </c>
      <c r="R1334" s="392" t="s">
        <v>6214</v>
      </c>
      <c r="S1334" s="392" t="s">
        <v>650</v>
      </c>
      <c r="T1334" s="394">
        <v>1</v>
      </c>
      <c r="U1334" s="395">
        <v>46.973999999999997</v>
      </c>
      <c r="V1334" s="395"/>
      <c r="W1334" s="453"/>
      <c r="X1334" s="394"/>
      <c r="Y1334" s="394">
        <v>7</v>
      </c>
      <c r="Z1334" s="394">
        <v>20</v>
      </c>
      <c r="AA1334" s="395">
        <v>0</v>
      </c>
      <c r="AB1334" s="452">
        <v>41852</v>
      </c>
      <c r="AC1334" s="398">
        <v>0</v>
      </c>
      <c r="AD1334" s="398">
        <v>301.66316712328768</v>
      </c>
      <c r="AE1334" s="393" t="s">
        <v>1413</v>
      </c>
      <c r="AF1334" s="417"/>
      <c r="AG1334" s="417"/>
      <c r="AH1334" s="417"/>
      <c r="AI1334" s="394"/>
      <c r="AJ1334" s="453"/>
      <c r="AK1334" s="453"/>
      <c r="AL1334" s="393"/>
      <c r="AM1334" s="393"/>
      <c r="AN1334" s="417"/>
      <c r="AO1334" s="392"/>
      <c r="AP1334" s="392"/>
      <c r="AQ1334" s="392"/>
      <c r="AR1334" s="392" t="s">
        <v>3815</v>
      </c>
      <c r="AS1334" s="479">
        <v>41052</v>
      </c>
      <c r="AT1334" s="453"/>
      <c r="AU1334" s="453"/>
      <c r="AV1334" s="453"/>
      <c r="AW1334" s="453"/>
      <c r="AX1334" s="453"/>
      <c r="AY1334" s="453"/>
      <c r="AZ1334" s="452">
        <v>41855</v>
      </c>
      <c r="BA1334" s="393"/>
      <c r="BB1334" s="393"/>
      <c r="BC1334" s="393" t="b">
        <v>0</v>
      </c>
      <c r="BD1334" s="393"/>
      <c r="BE1334" s="392"/>
      <c r="BF1334" s="394">
        <v>5</v>
      </c>
      <c r="BG1334" s="394">
        <v>9</v>
      </c>
      <c r="BH1334" s="394">
        <v>4</v>
      </c>
      <c r="BI1334" s="394"/>
      <c r="BJ1334" s="394"/>
      <c r="BK1334" s="394"/>
      <c r="BL1334" s="444" t="s">
        <v>6983</v>
      </c>
      <c r="BM1334" s="392"/>
      <c r="BN1334" s="393"/>
      <c r="BO1334" s="393"/>
      <c r="BP1334" s="399"/>
      <c r="BQ1334" s="400"/>
      <c r="BR1334" s="401"/>
      <c r="BS1334" s="399">
        <v>28</v>
      </c>
      <c r="BT1334" s="394">
        <v>49301</v>
      </c>
      <c r="BU1334" s="417">
        <v>0.95279999999999998</v>
      </c>
      <c r="BV1334" s="399"/>
      <c r="BW1334" s="393" t="s">
        <v>3117</v>
      </c>
      <c r="BX1334" s="392" t="s">
        <v>1447</v>
      </c>
      <c r="BY1334" s="393"/>
      <c r="BZ1334" s="393"/>
      <c r="CA1334" s="441" t="s">
        <v>1662</v>
      </c>
      <c r="CB1334" s="400">
        <v>3</v>
      </c>
      <c r="CC1334" s="398"/>
      <c r="CD1334" s="398"/>
      <c r="CE1334" s="398"/>
      <c r="CF1334" s="398"/>
      <c r="CG1334" s="398"/>
      <c r="CH1334" s="398"/>
      <c r="CI1334" s="398"/>
      <c r="CJ1334" s="398"/>
      <c r="CK1334" s="398"/>
      <c r="CL1334" s="398"/>
      <c r="CM1334" s="398"/>
      <c r="CN1334" s="398"/>
      <c r="CO1334" s="398"/>
      <c r="CP1334" s="398"/>
      <c r="CQ1334" s="398"/>
      <c r="CR1334" s="398"/>
      <c r="CS1334" s="398"/>
      <c r="CT1334" s="398"/>
      <c r="CU1334" s="398"/>
      <c r="CV1334" s="398"/>
      <c r="CW1334" s="398"/>
      <c r="CX1334" s="398"/>
      <c r="CY1334" s="398"/>
      <c r="CZ1334" s="398"/>
      <c r="DA1334" s="398"/>
      <c r="DB1334" s="398"/>
      <c r="DC1334" s="398"/>
      <c r="DD1334" s="398"/>
      <c r="DE1334" s="393"/>
      <c r="DF1334" s="393"/>
      <c r="DG1334" s="393"/>
      <c r="DH1334" s="393"/>
      <c r="DI1334" s="393"/>
      <c r="DJ1334" s="393"/>
      <c r="DK1334" s="897"/>
    </row>
    <row r="1335" spans="1:115" ht="25.5" x14ac:dyDescent="0.2">
      <c r="A1335" s="295">
        <v>1331</v>
      </c>
      <c r="B1335" s="390" t="s">
        <v>6532</v>
      </c>
      <c r="C1335" s="390"/>
      <c r="D1335" s="391" t="s">
        <v>6215</v>
      </c>
      <c r="E1335" s="704" t="s">
        <v>6216</v>
      </c>
      <c r="F1335" s="393" t="s">
        <v>1352</v>
      </c>
      <c r="G1335" s="393" t="s">
        <v>1673</v>
      </c>
      <c r="H1335" s="393" t="s">
        <v>42</v>
      </c>
      <c r="I1335" s="392"/>
      <c r="J1335" s="392"/>
      <c r="K1335" s="392" t="s">
        <v>85</v>
      </c>
      <c r="L1335" s="392" t="s">
        <v>2059</v>
      </c>
      <c r="M1335" s="392"/>
      <c r="N1335" s="393" t="s">
        <v>44</v>
      </c>
      <c r="O1335" s="393" t="s">
        <v>1155</v>
      </c>
      <c r="P1335" s="393" t="s">
        <v>1155</v>
      </c>
      <c r="Q1335" s="392" t="s">
        <v>1155</v>
      </c>
      <c r="R1335" s="392" t="s">
        <v>6217</v>
      </c>
      <c r="S1335" s="392" t="s">
        <v>650</v>
      </c>
      <c r="T1335" s="394">
        <v>1</v>
      </c>
      <c r="U1335" s="395">
        <v>85.68</v>
      </c>
      <c r="V1335" s="395"/>
      <c r="W1335" s="453"/>
      <c r="X1335" s="394"/>
      <c r="Y1335" s="394">
        <v>7</v>
      </c>
      <c r="Z1335" s="394">
        <v>20</v>
      </c>
      <c r="AA1335" s="395">
        <v>0</v>
      </c>
      <c r="AB1335" s="452">
        <v>41852</v>
      </c>
      <c r="AC1335" s="398">
        <v>0</v>
      </c>
      <c r="AD1335" s="398">
        <v>550.22991780821917</v>
      </c>
      <c r="AE1335" s="393" t="s">
        <v>1413</v>
      </c>
      <c r="AF1335" s="417"/>
      <c r="AG1335" s="417"/>
      <c r="AH1335" s="417"/>
      <c r="AI1335" s="394"/>
      <c r="AJ1335" s="453"/>
      <c r="AK1335" s="453"/>
      <c r="AL1335" s="393"/>
      <c r="AM1335" s="393"/>
      <c r="AN1335" s="417"/>
      <c r="AO1335" s="392"/>
      <c r="AP1335" s="392"/>
      <c r="AQ1335" s="392"/>
      <c r="AR1335" s="392" t="s">
        <v>3815</v>
      </c>
      <c r="AS1335" s="479">
        <v>41052</v>
      </c>
      <c r="AT1335" s="453"/>
      <c r="AU1335" s="453"/>
      <c r="AV1335" s="453"/>
      <c r="AW1335" s="453"/>
      <c r="AX1335" s="453"/>
      <c r="AY1335" s="453"/>
      <c r="AZ1335" s="452">
        <v>41855</v>
      </c>
      <c r="BA1335" s="393"/>
      <c r="BB1335" s="393"/>
      <c r="BC1335" s="393" t="b">
        <v>0</v>
      </c>
      <c r="BD1335" s="393"/>
      <c r="BE1335" s="392"/>
      <c r="BF1335" s="394">
        <v>5</v>
      </c>
      <c r="BG1335" s="394">
        <v>9</v>
      </c>
      <c r="BH1335" s="394">
        <v>4</v>
      </c>
      <c r="BI1335" s="394"/>
      <c r="BJ1335" s="394"/>
      <c r="BK1335" s="394"/>
      <c r="BL1335" s="444" t="s">
        <v>6983</v>
      </c>
      <c r="BM1335" s="392"/>
      <c r="BN1335" s="393"/>
      <c r="BO1335" s="393"/>
      <c r="BP1335" s="399"/>
      <c r="BQ1335" s="400"/>
      <c r="BR1335" s="401"/>
      <c r="BS1335" s="399">
        <v>49.5</v>
      </c>
      <c r="BT1335" s="394">
        <v>89925</v>
      </c>
      <c r="BU1335" s="417">
        <v>0.95279999999999998</v>
      </c>
      <c r="BV1335" s="399"/>
      <c r="BW1335" s="393" t="s">
        <v>3117</v>
      </c>
      <c r="BX1335" s="392" t="s">
        <v>1447</v>
      </c>
      <c r="BY1335" s="393"/>
      <c r="BZ1335" s="393"/>
      <c r="CA1335" s="441" t="s">
        <v>1662</v>
      </c>
      <c r="CB1335" s="400">
        <v>3</v>
      </c>
      <c r="CC1335" s="398"/>
      <c r="CD1335" s="398"/>
      <c r="CE1335" s="398"/>
      <c r="CF1335" s="398"/>
      <c r="CG1335" s="398"/>
      <c r="CH1335" s="398"/>
      <c r="CI1335" s="398"/>
      <c r="CJ1335" s="398">
        <v>46.973999999999997</v>
      </c>
      <c r="CK1335" s="398">
        <v>46.973999999999997</v>
      </c>
      <c r="CL1335" s="398">
        <v>46.973999999999997</v>
      </c>
      <c r="CM1335" s="398">
        <v>46.973999999999997</v>
      </c>
      <c r="CN1335" s="398">
        <v>46.973999999999997</v>
      </c>
      <c r="CO1335" s="398">
        <v>46.973999999999997</v>
      </c>
      <c r="CP1335" s="398">
        <v>46.973999999999997</v>
      </c>
      <c r="CQ1335" s="398"/>
      <c r="CR1335" s="398"/>
      <c r="CS1335" s="398"/>
      <c r="CT1335" s="398"/>
      <c r="CU1335" s="398"/>
      <c r="CV1335" s="398"/>
      <c r="CW1335" s="398"/>
      <c r="CX1335" s="398"/>
      <c r="CY1335" s="398"/>
      <c r="CZ1335" s="398"/>
      <c r="DA1335" s="398"/>
      <c r="DB1335" s="398"/>
      <c r="DC1335" s="398"/>
      <c r="DD1335" s="398"/>
      <c r="DE1335" s="393"/>
      <c r="DF1335" s="393"/>
      <c r="DG1335" s="393"/>
      <c r="DH1335" s="393"/>
      <c r="DI1335" s="393"/>
      <c r="DJ1335" s="393"/>
      <c r="DK1335" s="897"/>
    </row>
    <row r="1336" spans="1:115" ht="25.5" x14ac:dyDescent="0.2">
      <c r="A1336" s="295">
        <v>1332</v>
      </c>
      <c r="B1336" s="390" t="s">
        <v>6533</v>
      </c>
      <c r="C1336" s="390"/>
      <c r="D1336" s="391" t="s">
        <v>6434</v>
      </c>
      <c r="E1336" s="704" t="s">
        <v>6435</v>
      </c>
      <c r="F1336" s="393" t="s">
        <v>1352</v>
      </c>
      <c r="G1336" s="393" t="s">
        <v>1673</v>
      </c>
      <c r="H1336" s="393" t="s">
        <v>42</v>
      </c>
      <c r="I1336" s="392"/>
      <c r="J1336" s="392"/>
      <c r="K1336" s="392" t="s">
        <v>2116</v>
      </c>
      <c r="L1336" s="392" t="s">
        <v>2059</v>
      </c>
      <c r="M1336" s="392"/>
      <c r="N1336" s="393" t="s">
        <v>44</v>
      </c>
      <c r="O1336" s="393" t="s">
        <v>1155</v>
      </c>
      <c r="P1336" s="393" t="s">
        <v>1155</v>
      </c>
      <c r="Q1336" s="392" t="s">
        <v>1155</v>
      </c>
      <c r="R1336" s="392" t="s">
        <v>6436</v>
      </c>
      <c r="S1336" s="392" t="s">
        <v>650</v>
      </c>
      <c r="T1336" s="394">
        <v>1</v>
      </c>
      <c r="U1336" s="395">
        <v>33.255000000000003</v>
      </c>
      <c r="V1336" s="395"/>
      <c r="W1336" s="453"/>
      <c r="X1336" s="394"/>
      <c r="Y1336" s="394">
        <v>7</v>
      </c>
      <c r="Z1336" s="394">
        <v>20</v>
      </c>
      <c r="AA1336" s="395">
        <v>0</v>
      </c>
      <c r="AB1336" s="452">
        <v>41902</v>
      </c>
      <c r="AC1336" s="398"/>
      <c r="AD1336" s="398">
        <v>209.00539726027398</v>
      </c>
      <c r="AE1336" s="393" t="s">
        <v>1413</v>
      </c>
      <c r="AF1336" s="417"/>
      <c r="AG1336" s="417"/>
      <c r="AH1336" s="417"/>
      <c r="AI1336" s="394"/>
      <c r="AJ1336" s="453"/>
      <c r="AK1336" s="453"/>
      <c r="AL1336" s="393"/>
      <c r="AM1336" s="393"/>
      <c r="AN1336" s="417"/>
      <c r="AO1336" s="392"/>
      <c r="AP1336" s="392"/>
      <c r="AQ1336" s="392"/>
      <c r="AR1336" s="392" t="s">
        <v>3815</v>
      </c>
      <c r="AS1336" s="479">
        <v>41052</v>
      </c>
      <c r="AT1336" s="453"/>
      <c r="AU1336" s="453"/>
      <c r="AV1336" s="453"/>
      <c r="AW1336" s="453"/>
      <c r="AX1336" s="453"/>
      <c r="AY1336" s="453"/>
      <c r="AZ1336" s="452">
        <v>41912</v>
      </c>
      <c r="BA1336" s="393"/>
      <c r="BB1336" s="393"/>
      <c r="BC1336" s="393" t="b">
        <v>0</v>
      </c>
      <c r="BD1336" s="393"/>
      <c r="BE1336" s="392"/>
      <c r="BF1336" s="394">
        <v>5</v>
      </c>
      <c r="BG1336" s="394">
        <v>9</v>
      </c>
      <c r="BH1336" s="394">
        <v>4</v>
      </c>
      <c r="BI1336" s="394"/>
      <c r="BJ1336" s="394"/>
      <c r="BK1336" s="394"/>
      <c r="BL1336" s="444" t="s">
        <v>6983</v>
      </c>
      <c r="BM1336" s="392"/>
      <c r="BN1336" s="393"/>
      <c r="BO1336" s="393"/>
      <c r="BP1336" s="399"/>
      <c r="BQ1336" s="400"/>
      <c r="BR1336" s="401"/>
      <c r="BS1336" s="399">
        <v>18</v>
      </c>
      <c r="BT1336" s="394">
        <v>37073</v>
      </c>
      <c r="BU1336" s="417">
        <v>0.89700000000000002</v>
      </c>
      <c r="BV1336" s="399"/>
      <c r="BW1336" s="393" t="s">
        <v>3117</v>
      </c>
      <c r="BX1336" s="392" t="s">
        <v>1447</v>
      </c>
      <c r="BY1336" s="393"/>
      <c r="BZ1336" s="393"/>
      <c r="CA1336" s="441" t="s">
        <v>1662</v>
      </c>
      <c r="CB1336" s="400">
        <v>3</v>
      </c>
      <c r="CC1336" s="398"/>
      <c r="CD1336" s="398"/>
      <c r="CE1336" s="398"/>
      <c r="CF1336" s="398"/>
      <c r="CG1336" s="398"/>
      <c r="CH1336" s="398"/>
      <c r="CI1336" s="398"/>
      <c r="CJ1336" s="398">
        <v>33.255000000000003</v>
      </c>
      <c r="CK1336" s="398">
        <v>33.255000000000003</v>
      </c>
      <c r="CL1336" s="398">
        <v>33.255000000000003</v>
      </c>
      <c r="CM1336" s="398">
        <v>33.255000000000003</v>
      </c>
      <c r="CN1336" s="398">
        <v>33.255000000000003</v>
      </c>
      <c r="CO1336" s="398">
        <v>33.255000000000003</v>
      </c>
      <c r="CP1336" s="398">
        <v>33.255000000000003</v>
      </c>
      <c r="CQ1336" s="398"/>
      <c r="CR1336" s="398"/>
      <c r="CS1336" s="398"/>
      <c r="CT1336" s="398"/>
      <c r="CU1336" s="398"/>
      <c r="CV1336" s="398"/>
      <c r="CW1336" s="398"/>
      <c r="CX1336" s="398"/>
      <c r="CY1336" s="398"/>
      <c r="CZ1336" s="398"/>
      <c r="DA1336" s="398"/>
      <c r="DB1336" s="398"/>
      <c r="DC1336" s="398"/>
      <c r="DD1336" s="398"/>
      <c r="DE1336" s="393"/>
      <c r="DF1336" s="393"/>
      <c r="DG1336" s="393"/>
      <c r="DH1336" s="393"/>
      <c r="DI1336" s="393"/>
      <c r="DJ1336" s="393"/>
      <c r="DK1336" s="897"/>
    </row>
    <row r="1337" spans="1:115" ht="25.5" x14ac:dyDescent="0.2">
      <c r="A1337" s="295">
        <v>1333</v>
      </c>
      <c r="B1337" s="390" t="s">
        <v>6538</v>
      </c>
      <c r="C1337" s="390"/>
      <c r="D1337" s="391" t="s">
        <v>6539</v>
      </c>
      <c r="E1337" s="704" t="s">
        <v>6540</v>
      </c>
      <c r="F1337" s="393" t="s">
        <v>1352</v>
      </c>
      <c r="G1337" s="393" t="s">
        <v>1673</v>
      </c>
      <c r="H1337" s="393" t="s">
        <v>42</v>
      </c>
      <c r="I1337" s="392"/>
      <c r="J1337" s="392"/>
      <c r="K1337" s="392" t="s">
        <v>85</v>
      </c>
      <c r="L1337" s="392" t="s">
        <v>2059</v>
      </c>
      <c r="M1337" s="392"/>
      <c r="N1337" s="393" t="s">
        <v>44</v>
      </c>
      <c r="O1337" s="393" t="s">
        <v>1155</v>
      </c>
      <c r="P1337" s="393" t="s">
        <v>1155</v>
      </c>
      <c r="Q1337" s="392" t="s">
        <v>1155</v>
      </c>
      <c r="R1337" s="392" t="s">
        <v>6541</v>
      </c>
      <c r="S1337" s="392" t="s">
        <v>650</v>
      </c>
      <c r="T1337" s="394">
        <v>1</v>
      </c>
      <c r="U1337" s="395">
        <v>81.608999999999995</v>
      </c>
      <c r="V1337" s="395"/>
      <c r="W1337" s="453"/>
      <c r="X1337" s="394"/>
      <c r="Y1337" s="394">
        <v>7</v>
      </c>
      <c r="Z1337" s="394">
        <v>20</v>
      </c>
      <c r="AA1337" s="395">
        <v>0</v>
      </c>
      <c r="AB1337" s="452">
        <v>41915</v>
      </c>
      <c r="AC1337" s="398"/>
      <c r="AD1337" s="398">
        <v>510.00035342465748</v>
      </c>
      <c r="AE1337" s="393" t="s">
        <v>1413</v>
      </c>
      <c r="AF1337" s="417"/>
      <c r="AG1337" s="417"/>
      <c r="AH1337" s="417"/>
      <c r="AI1337" s="394"/>
      <c r="AJ1337" s="453"/>
      <c r="AK1337" s="453"/>
      <c r="AL1337" s="393"/>
      <c r="AM1337" s="393"/>
      <c r="AN1337" s="417"/>
      <c r="AO1337" s="392"/>
      <c r="AP1337" s="392"/>
      <c r="AQ1337" s="392"/>
      <c r="AR1337" s="392" t="s">
        <v>3815</v>
      </c>
      <c r="AS1337" s="479">
        <v>41052</v>
      </c>
      <c r="AT1337" s="453"/>
      <c r="AU1337" s="453"/>
      <c r="AV1337" s="453"/>
      <c r="AW1337" s="453"/>
      <c r="AX1337" s="453"/>
      <c r="AY1337" s="453"/>
      <c r="AZ1337" s="452">
        <v>41915</v>
      </c>
      <c r="BA1337" s="393"/>
      <c r="BB1337" s="393"/>
      <c r="BC1337" s="393" t="b">
        <v>0</v>
      </c>
      <c r="BD1337" s="393"/>
      <c r="BE1337" s="392"/>
      <c r="BF1337" s="394">
        <v>5</v>
      </c>
      <c r="BG1337" s="394">
        <v>9</v>
      </c>
      <c r="BH1337" s="394">
        <v>4</v>
      </c>
      <c r="BI1337" s="394"/>
      <c r="BJ1337" s="394"/>
      <c r="BK1337" s="394"/>
      <c r="BL1337" s="444" t="s">
        <v>6983</v>
      </c>
      <c r="BM1337" s="392"/>
      <c r="BN1337" s="393"/>
      <c r="BO1337" s="393"/>
      <c r="BP1337" s="399"/>
      <c r="BQ1337" s="400"/>
      <c r="BR1337" s="401"/>
      <c r="BS1337" s="399">
        <v>50.4</v>
      </c>
      <c r="BT1337" s="394">
        <v>85652</v>
      </c>
      <c r="BU1337" s="417">
        <v>0.95279999999999998</v>
      </c>
      <c r="BV1337" s="399"/>
      <c r="BW1337" s="393" t="s">
        <v>3117</v>
      </c>
      <c r="BX1337" s="392" t="s">
        <v>1447</v>
      </c>
      <c r="BY1337" s="393"/>
      <c r="BZ1337" s="393"/>
      <c r="CA1337" s="441" t="s">
        <v>1662</v>
      </c>
      <c r="CB1337" s="400">
        <v>3</v>
      </c>
      <c r="CC1337" s="398"/>
      <c r="CD1337" s="398"/>
      <c r="CE1337" s="398"/>
      <c r="CF1337" s="398"/>
      <c r="CG1337" s="398"/>
      <c r="CH1337" s="398"/>
      <c r="CI1337" s="398"/>
      <c r="CJ1337" s="398">
        <v>81.608999999999995</v>
      </c>
      <c r="CK1337" s="398">
        <v>81.608999999999995</v>
      </c>
      <c r="CL1337" s="398">
        <v>81.608999999999995</v>
      </c>
      <c r="CM1337" s="398">
        <v>81.608999999999995</v>
      </c>
      <c r="CN1337" s="398">
        <v>81.608999999999995</v>
      </c>
      <c r="CO1337" s="398">
        <v>81.608999999999995</v>
      </c>
      <c r="CP1337" s="398">
        <v>81.608999999999995</v>
      </c>
      <c r="CQ1337" s="398"/>
      <c r="CR1337" s="398"/>
      <c r="CS1337" s="398"/>
      <c r="CT1337" s="398"/>
      <c r="CU1337" s="398"/>
      <c r="CV1337" s="398"/>
      <c r="CW1337" s="398"/>
      <c r="CX1337" s="398"/>
      <c r="CY1337" s="398"/>
      <c r="CZ1337" s="398"/>
      <c r="DA1337" s="398"/>
      <c r="DB1337" s="398"/>
      <c r="DC1337" s="398"/>
      <c r="DD1337" s="398"/>
      <c r="DE1337" s="393"/>
      <c r="DF1337" s="393"/>
      <c r="DG1337" s="393"/>
      <c r="DH1337" s="393"/>
      <c r="DI1337" s="393"/>
      <c r="DJ1337" s="393"/>
      <c r="DK1337" s="897"/>
    </row>
    <row r="1338" spans="1:115" ht="25.5" x14ac:dyDescent="0.2">
      <c r="A1338" s="295">
        <v>1334</v>
      </c>
      <c r="B1338" s="390" t="s">
        <v>6751</v>
      </c>
      <c r="C1338" s="390"/>
      <c r="D1338" s="391" t="s">
        <v>6752</v>
      </c>
      <c r="E1338" s="704" t="s">
        <v>6753</v>
      </c>
      <c r="F1338" s="393" t="s">
        <v>1352</v>
      </c>
      <c r="G1338" s="393" t="s">
        <v>1673</v>
      </c>
      <c r="H1338" s="393" t="s">
        <v>42</v>
      </c>
      <c r="I1338" s="392"/>
      <c r="J1338" s="392"/>
      <c r="K1338" s="392" t="s">
        <v>85</v>
      </c>
      <c r="L1338" s="392" t="s">
        <v>2059</v>
      </c>
      <c r="M1338" s="392"/>
      <c r="N1338" s="393" t="s">
        <v>44</v>
      </c>
      <c r="O1338" s="393" t="s">
        <v>1155</v>
      </c>
      <c r="P1338" s="393" t="s">
        <v>1155</v>
      </c>
      <c r="Q1338" s="392" t="s">
        <v>1155</v>
      </c>
      <c r="R1338" s="392" t="s">
        <v>6754</v>
      </c>
      <c r="S1338" s="392" t="s">
        <v>650</v>
      </c>
      <c r="T1338" s="394">
        <v>1</v>
      </c>
      <c r="U1338" s="395">
        <v>90.066999999999993</v>
      </c>
      <c r="V1338" s="395"/>
      <c r="W1338" s="453"/>
      <c r="X1338" s="394"/>
      <c r="Y1338" s="394">
        <v>7</v>
      </c>
      <c r="Z1338" s="394">
        <v>20</v>
      </c>
      <c r="AA1338" s="395">
        <v>0</v>
      </c>
      <c r="AB1338" s="452">
        <v>42002</v>
      </c>
      <c r="AC1338" s="398"/>
      <c r="AD1338" s="398">
        <v>541.38903561643838</v>
      </c>
      <c r="AE1338" s="393" t="s">
        <v>1413</v>
      </c>
      <c r="AF1338" s="417"/>
      <c r="AG1338" s="417"/>
      <c r="AH1338" s="417"/>
      <c r="AI1338" s="394"/>
      <c r="AJ1338" s="453"/>
      <c r="AK1338" s="453"/>
      <c r="AL1338" s="393"/>
      <c r="AM1338" s="393"/>
      <c r="AN1338" s="417"/>
      <c r="AO1338" s="392"/>
      <c r="AP1338" s="392"/>
      <c r="AQ1338" s="392"/>
      <c r="AR1338" s="392" t="s">
        <v>3815</v>
      </c>
      <c r="AS1338" s="479">
        <v>41052</v>
      </c>
      <c r="AT1338" s="453"/>
      <c r="AU1338" s="453"/>
      <c r="AV1338" s="453"/>
      <c r="AW1338" s="453"/>
      <c r="AX1338" s="453"/>
      <c r="AY1338" s="453"/>
      <c r="AZ1338" s="452">
        <v>42002</v>
      </c>
      <c r="BA1338" s="393"/>
      <c r="BB1338" s="393"/>
      <c r="BC1338" s="393" t="b">
        <v>0</v>
      </c>
      <c r="BD1338" s="393"/>
      <c r="BE1338" s="392"/>
      <c r="BF1338" s="394">
        <v>5</v>
      </c>
      <c r="BG1338" s="394">
        <v>9</v>
      </c>
      <c r="BH1338" s="394">
        <v>4</v>
      </c>
      <c r="BI1338" s="394"/>
      <c r="BJ1338" s="394"/>
      <c r="BK1338" s="394"/>
      <c r="BL1338" s="444" t="s">
        <v>6983</v>
      </c>
      <c r="BM1338" s="392"/>
      <c r="BN1338" s="393"/>
      <c r="BO1338" s="393"/>
      <c r="BP1338" s="399"/>
      <c r="BQ1338" s="400"/>
      <c r="BR1338" s="401"/>
      <c r="BS1338" s="399">
        <v>49.5</v>
      </c>
      <c r="BT1338" s="394">
        <v>94529</v>
      </c>
      <c r="BU1338" s="417">
        <v>0.95279999999999998</v>
      </c>
      <c r="BV1338" s="399"/>
      <c r="BW1338" s="393" t="s">
        <v>3117</v>
      </c>
      <c r="BX1338" s="392" t="s">
        <v>1447</v>
      </c>
      <c r="BY1338" s="393"/>
      <c r="BZ1338" s="393"/>
      <c r="CA1338" s="441" t="s">
        <v>1662</v>
      </c>
      <c r="CB1338" s="400">
        <v>3</v>
      </c>
      <c r="CC1338" s="398"/>
      <c r="CD1338" s="398"/>
      <c r="CE1338" s="398"/>
      <c r="CF1338" s="398"/>
      <c r="CG1338" s="398"/>
      <c r="CH1338" s="398"/>
      <c r="CI1338" s="398"/>
      <c r="CJ1338" s="398">
        <v>90.066999999999993</v>
      </c>
      <c r="CK1338" s="398">
        <v>90.066999999999993</v>
      </c>
      <c r="CL1338" s="398">
        <v>90.066999999999993</v>
      </c>
      <c r="CM1338" s="398">
        <v>90.066999999999993</v>
      </c>
      <c r="CN1338" s="398">
        <v>90.066999999999993</v>
      </c>
      <c r="CO1338" s="398">
        <v>90.066999999999993</v>
      </c>
      <c r="CP1338" s="398">
        <v>90.066999999999993</v>
      </c>
      <c r="CQ1338" s="398"/>
      <c r="CR1338" s="398"/>
      <c r="CS1338" s="398"/>
      <c r="CT1338" s="398"/>
      <c r="CU1338" s="398"/>
      <c r="CV1338" s="398"/>
      <c r="CW1338" s="398"/>
      <c r="CX1338" s="398"/>
      <c r="CY1338" s="398"/>
      <c r="CZ1338" s="398"/>
      <c r="DA1338" s="398"/>
      <c r="DB1338" s="398"/>
      <c r="DC1338" s="398"/>
      <c r="DD1338" s="398"/>
      <c r="DE1338" s="393"/>
      <c r="DF1338" s="393"/>
      <c r="DG1338" s="393"/>
      <c r="DH1338" s="393"/>
      <c r="DI1338" s="393"/>
      <c r="DJ1338" s="393"/>
      <c r="DK1338" s="897"/>
    </row>
    <row r="1339" spans="1:115" ht="25.5" x14ac:dyDescent="0.2">
      <c r="A1339" s="295">
        <v>1335</v>
      </c>
      <c r="B1339" s="390" t="s">
        <v>6755</v>
      </c>
      <c r="C1339" s="390"/>
      <c r="D1339" s="391" t="s">
        <v>6756</v>
      </c>
      <c r="E1339" s="704" t="s">
        <v>6757</v>
      </c>
      <c r="F1339" s="393" t="s">
        <v>1352</v>
      </c>
      <c r="G1339" s="393" t="s">
        <v>1673</v>
      </c>
      <c r="H1339" s="393" t="s">
        <v>42</v>
      </c>
      <c r="I1339" s="392"/>
      <c r="J1339" s="392"/>
      <c r="K1339" s="392" t="s">
        <v>85</v>
      </c>
      <c r="L1339" s="392" t="s">
        <v>2059</v>
      </c>
      <c r="M1339" s="392"/>
      <c r="N1339" s="393" t="s">
        <v>44</v>
      </c>
      <c r="O1339" s="393" t="s">
        <v>1155</v>
      </c>
      <c r="P1339" s="393" t="s">
        <v>1155</v>
      </c>
      <c r="Q1339" s="392" t="s">
        <v>1155</v>
      </c>
      <c r="R1339" s="392" t="s">
        <v>6758</v>
      </c>
      <c r="S1339" s="392" t="s">
        <v>650</v>
      </c>
      <c r="T1339" s="394">
        <v>1</v>
      </c>
      <c r="U1339" s="395">
        <v>42.066000000000003</v>
      </c>
      <c r="V1339" s="395"/>
      <c r="W1339" s="453"/>
      <c r="X1339" s="394"/>
      <c r="Y1339" s="394">
        <v>7</v>
      </c>
      <c r="Z1339" s="394">
        <v>20</v>
      </c>
      <c r="AA1339" s="395">
        <v>0</v>
      </c>
      <c r="AB1339" s="452">
        <v>41647</v>
      </c>
      <c r="AC1339" s="398"/>
      <c r="AD1339" s="398">
        <v>293.77050410958907</v>
      </c>
      <c r="AE1339" s="393" t="s">
        <v>1413</v>
      </c>
      <c r="AF1339" s="417"/>
      <c r="AG1339" s="417"/>
      <c r="AH1339" s="417"/>
      <c r="AI1339" s="394"/>
      <c r="AJ1339" s="453"/>
      <c r="AK1339" s="453"/>
      <c r="AL1339" s="393"/>
      <c r="AM1339" s="393"/>
      <c r="AN1339" s="417"/>
      <c r="AO1339" s="392"/>
      <c r="AP1339" s="392"/>
      <c r="AQ1339" s="392"/>
      <c r="AR1339" s="392" t="s">
        <v>3815</v>
      </c>
      <c r="AS1339" s="479">
        <v>41052</v>
      </c>
      <c r="AT1339" s="453"/>
      <c r="AU1339" s="453"/>
      <c r="AV1339" s="453"/>
      <c r="AW1339" s="453"/>
      <c r="AX1339" s="453"/>
      <c r="AY1339" s="453"/>
      <c r="AZ1339" s="452">
        <v>42012</v>
      </c>
      <c r="BA1339" s="393"/>
      <c r="BB1339" s="393"/>
      <c r="BC1339" s="393" t="b">
        <v>0</v>
      </c>
      <c r="BD1339" s="393"/>
      <c r="BE1339" s="392"/>
      <c r="BF1339" s="394">
        <v>5</v>
      </c>
      <c r="BG1339" s="394">
        <v>9</v>
      </c>
      <c r="BH1339" s="394">
        <v>4</v>
      </c>
      <c r="BI1339" s="394"/>
      <c r="BJ1339" s="394"/>
      <c r="BK1339" s="394"/>
      <c r="BL1339" s="444" t="s">
        <v>6983</v>
      </c>
      <c r="BM1339" s="392"/>
      <c r="BN1339" s="393"/>
      <c r="BO1339" s="393"/>
      <c r="BP1339" s="399"/>
      <c r="BQ1339" s="400"/>
      <c r="BR1339" s="401"/>
      <c r="BS1339" s="399">
        <v>25.2</v>
      </c>
      <c r="BT1339" s="394">
        <v>44</v>
      </c>
      <c r="BU1339" s="417">
        <v>0.95279999999999998</v>
      </c>
      <c r="BV1339" s="399"/>
      <c r="BW1339" s="393" t="s">
        <v>3117</v>
      </c>
      <c r="BX1339" s="392" t="s">
        <v>1447</v>
      </c>
      <c r="BY1339" s="393"/>
      <c r="BZ1339" s="393"/>
      <c r="CA1339" s="441" t="s">
        <v>1662</v>
      </c>
      <c r="CB1339" s="400">
        <v>3</v>
      </c>
      <c r="CC1339" s="398"/>
      <c r="CD1339" s="398"/>
      <c r="CE1339" s="398"/>
      <c r="CF1339" s="398"/>
      <c r="CG1339" s="398"/>
      <c r="CH1339" s="398"/>
      <c r="CI1339" s="398"/>
      <c r="CJ1339" s="398">
        <v>42.066000000000003</v>
      </c>
      <c r="CK1339" s="398">
        <v>42.066000000000003</v>
      </c>
      <c r="CL1339" s="398">
        <v>42.066000000000003</v>
      </c>
      <c r="CM1339" s="398">
        <v>42.066000000000003</v>
      </c>
      <c r="CN1339" s="398">
        <v>42.066000000000003</v>
      </c>
      <c r="CO1339" s="398">
        <v>42.066000000000003</v>
      </c>
      <c r="CP1339" s="398">
        <v>42.066000000000003</v>
      </c>
      <c r="CQ1339" s="398"/>
      <c r="CR1339" s="398"/>
      <c r="CS1339" s="398"/>
      <c r="CT1339" s="398"/>
      <c r="CU1339" s="398"/>
      <c r="CV1339" s="398"/>
      <c r="CW1339" s="398"/>
      <c r="CX1339" s="398"/>
      <c r="CY1339" s="398"/>
      <c r="CZ1339" s="398"/>
      <c r="DA1339" s="398"/>
      <c r="DB1339" s="398"/>
      <c r="DC1339" s="398"/>
      <c r="DD1339" s="398"/>
      <c r="DE1339" s="393"/>
      <c r="DF1339" s="393"/>
      <c r="DG1339" s="393"/>
      <c r="DH1339" s="393"/>
      <c r="DI1339" s="393"/>
      <c r="DJ1339" s="393"/>
      <c r="DK1339" s="897"/>
    </row>
    <row r="1340" spans="1:115" ht="25.5" x14ac:dyDescent="0.2">
      <c r="A1340" s="295">
        <v>1336</v>
      </c>
      <c r="B1340" s="390" t="s">
        <v>6969</v>
      </c>
      <c r="C1340" s="390"/>
      <c r="D1340" s="391" t="s">
        <v>6970</v>
      </c>
      <c r="E1340" s="704" t="s">
        <v>6971</v>
      </c>
      <c r="F1340" s="393" t="s">
        <v>1352</v>
      </c>
      <c r="G1340" s="393" t="s">
        <v>1673</v>
      </c>
      <c r="H1340" s="393" t="s">
        <v>42</v>
      </c>
      <c r="I1340" s="392"/>
      <c r="J1340" s="392"/>
      <c r="K1340" s="392" t="s">
        <v>370</v>
      </c>
      <c r="L1340" s="392" t="s">
        <v>2059</v>
      </c>
      <c r="M1340" s="392"/>
      <c r="N1340" s="393" t="s">
        <v>44</v>
      </c>
      <c r="O1340" s="393" t="s">
        <v>1155</v>
      </c>
      <c r="P1340" s="393" t="s">
        <v>1155</v>
      </c>
      <c r="Q1340" s="392" t="s">
        <v>1155</v>
      </c>
      <c r="R1340" s="392" t="s">
        <v>6972</v>
      </c>
      <c r="S1340" s="392" t="s">
        <v>650</v>
      </c>
      <c r="T1340" s="394">
        <v>1</v>
      </c>
      <c r="U1340" s="395">
        <v>48.826999999999998</v>
      </c>
      <c r="V1340" s="395"/>
      <c r="W1340" s="453"/>
      <c r="X1340" s="394"/>
      <c r="Y1340" s="394">
        <v>7</v>
      </c>
      <c r="Z1340" s="394">
        <v>20</v>
      </c>
      <c r="AA1340" s="395">
        <v>0</v>
      </c>
      <c r="AB1340" s="452">
        <v>42064</v>
      </c>
      <c r="AC1340" s="398"/>
      <c r="AD1340" s="398">
        <v>285.20318904109587</v>
      </c>
      <c r="AE1340" s="393" t="s">
        <v>1413</v>
      </c>
      <c r="AF1340" s="417"/>
      <c r="AG1340" s="417"/>
      <c r="AH1340" s="417"/>
      <c r="AI1340" s="394"/>
      <c r="AJ1340" s="453"/>
      <c r="AK1340" s="453"/>
      <c r="AL1340" s="393"/>
      <c r="AM1340" s="393"/>
      <c r="AN1340" s="417"/>
      <c r="AO1340" s="392"/>
      <c r="AP1340" s="392"/>
      <c r="AQ1340" s="392"/>
      <c r="AR1340" s="392" t="s">
        <v>3815</v>
      </c>
      <c r="AS1340" s="479">
        <v>41052</v>
      </c>
      <c r="AT1340" s="453"/>
      <c r="AU1340" s="453"/>
      <c r="AV1340" s="453"/>
      <c r="AW1340" s="453"/>
      <c r="AX1340" s="453"/>
      <c r="AY1340" s="453"/>
      <c r="AZ1340" s="452">
        <v>42086</v>
      </c>
      <c r="BA1340" s="393"/>
      <c r="BB1340" s="393"/>
      <c r="BC1340" s="393" t="b">
        <v>0</v>
      </c>
      <c r="BD1340" s="393"/>
      <c r="BE1340" s="392"/>
      <c r="BF1340" s="394">
        <v>5</v>
      </c>
      <c r="BG1340" s="394">
        <v>9</v>
      </c>
      <c r="BH1340" s="394">
        <v>4</v>
      </c>
      <c r="BI1340" s="394"/>
      <c r="BJ1340" s="394"/>
      <c r="BK1340" s="394"/>
      <c r="BL1340" s="444" t="s">
        <v>6983</v>
      </c>
      <c r="BM1340" s="392"/>
      <c r="BN1340" s="393"/>
      <c r="BO1340" s="393"/>
      <c r="BP1340" s="399"/>
      <c r="BQ1340" s="400"/>
      <c r="BR1340" s="401"/>
      <c r="BS1340" s="399">
        <v>30</v>
      </c>
      <c r="BT1340" s="394">
        <v>51246</v>
      </c>
      <c r="BU1340" s="417">
        <v>0.95279999999999998</v>
      </c>
      <c r="BV1340" s="399"/>
      <c r="BW1340" s="393" t="s">
        <v>3117</v>
      </c>
      <c r="BX1340" s="392" t="s">
        <v>1447</v>
      </c>
      <c r="BY1340" s="393"/>
      <c r="BZ1340" s="393"/>
      <c r="CA1340" s="441" t="s">
        <v>1662</v>
      </c>
      <c r="CB1340" s="400">
        <v>3</v>
      </c>
      <c r="CC1340" s="398"/>
      <c r="CD1340" s="398"/>
      <c r="CE1340" s="398"/>
      <c r="CF1340" s="398"/>
      <c r="CG1340" s="398"/>
      <c r="CH1340" s="398"/>
      <c r="CI1340" s="398"/>
      <c r="CJ1340" s="398"/>
      <c r="CK1340" s="398">
        <v>48.826999999999998</v>
      </c>
      <c r="CL1340" s="398">
        <v>48.826999999999998</v>
      </c>
      <c r="CM1340" s="398">
        <v>48.826999999999998</v>
      </c>
      <c r="CN1340" s="398">
        <v>48.826999999999998</v>
      </c>
      <c r="CO1340" s="398">
        <v>48.826999999999998</v>
      </c>
      <c r="CP1340" s="398">
        <v>48.826999999999998</v>
      </c>
      <c r="CQ1340" s="398">
        <v>48.826999999999998</v>
      </c>
      <c r="CR1340" s="398"/>
      <c r="CS1340" s="398"/>
      <c r="CT1340" s="398"/>
      <c r="CU1340" s="398"/>
      <c r="CV1340" s="398"/>
      <c r="CW1340" s="398"/>
      <c r="CX1340" s="398"/>
      <c r="CY1340" s="398"/>
      <c r="CZ1340" s="398"/>
      <c r="DA1340" s="398"/>
      <c r="DB1340" s="398"/>
      <c r="DC1340" s="398"/>
      <c r="DD1340" s="398"/>
      <c r="DE1340" s="393"/>
      <c r="DF1340" s="393"/>
      <c r="DG1340" s="393"/>
      <c r="DH1340" s="393"/>
      <c r="DI1340" s="393"/>
      <c r="DJ1340" s="393"/>
      <c r="DK1340" s="897"/>
    </row>
    <row r="1341" spans="1:115" ht="25.5" x14ac:dyDescent="0.2">
      <c r="A1341" s="295">
        <v>1337</v>
      </c>
      <c r="B1341" s="390" t="s">
        <v>7015</v>
      </c>
      <c r="C1341" s="390"/>
      <c r="D1341" s="391" t="s">
        <v>7016</v>
      </c>
      <c r="E1341" s="704" t="s">
        <v>7017</v>
      </c>
      <c r="F1341" s="393" t="s">
        <v>1352</v>
      </c>
      <c r="G1341" s="393" t="s">
        <v>1673</v>
      </c>
      <c r="H1341" s="393" t="s">
        <v>42</v>
      </c>
      <c r="I1341" s="392"/>
      <c r="J1341" s="392"/>
      <c r="K1341" s="392" t="s">
        <v>85</v>
      </c>
      <c r="L1341" s="392" t="s">
        <v>2059</v>
      </c>
      <c r="M1341" s="392"/>
      <c r="N1341" s="393" t="s">
        <v>44</v>
      </c>
      <c r="O1341" s="393" t="s">
        <v>1155</v>
      </c>
      <c r="P1341" s="393" t="s">
        <v>1155</v>
      </c>
      <c r="Q1341" s="392" t="s">
        <v>1155</v>
      </c>
      <c r="R1341" s="392" t="s">
        <v>6754</v>
      </c>
      <c r="S1341" s="392" t="s">
        <v>650</v>
      </c>
      <c r="T1341" s="394">
        <v>1</v>
      </c>
      <c r="U1341" s="395">
        <v>91.265000000000001</v>
      </c>
      <c r="V1341" s="395"/>
      <c r="W1341" s="453"/>
      <c r="X1341" s="394"/>
      <c r="Y1341" s="394">
        <v>7</v>
      </c>
      <c r="Z1341" s="394">
        <v>20</v>
      </c>
      <c r="AA1341" s="395">
        <v>0</v>
      </c>
      <c r="AB1341" s="452">
        <v>42095</v>
      </c>
      <c r="AC1341" s="398"/>
      <c r="AD1341" s="398">
        <v>525.33634246575343</v>
      </c>
      <c r="AE1341" s="393" t="s">
        <v>1413</v>
      </c>
      <c r="AF1341" s="417"/>
      <c r="AG1341" s="417"/>
      <c r="AH1341" s="417"/>
      <c r="AI1341" s="394"/>
      <c r="AJ1341" s="453"/>
      <c r="AK1341" s="453"/>
      <c r="AL1341" s="393"/>
      <c r="AM1341" s="393"/>
      <c r="AN1341" s="417"/>
      <c r="AO1341" s="392"/>
      <c r="AP1341" s="392"/>
      <c r="AQ1341" s="392"/>
      <c r="AR1341" s="392" t="s">
        <v>3815</v>
      </c>
      <c r="AS1341" s="479">
        <v>41052</v>
      </c>
      <c r="AT1341" s="453"/>
      <c r="AU1341" s="453"/>
      <c r="AV1341" s="453"/>
      <c r="AW1341" s="453"/>
      <c r="AX1341" s="453"/>
      <c r="AY1341" s="453"/>
      <c r="AZ1341" s="452">
        <v>42095</v>
      </c>
      <c r="BA1341" s="393"/>
      <c r="BB1341" s="393"/>
      <c r="BC1341" s="393" t="b">
        <v>0</v>
      </c>
      <c r="BD1341" s="393"/>
      <c r="BE1341" s="392"/>
      <c r="BF1341" s="394">
        <v>5</v>
      </c>
      <c r="BG1341" s="394">
        <v>9</v>
      </c>
      <c r="BH1341" s="394">
        <v>4</v>
      </c>
      <c r="BI1341" s="394"/>
      <c r="BJ1341" s="394"/>
      <c r="BK1341" s="394"/>
      <c r="BL1341" s="444" t="s">
        <v>6983</v>
      </c>
      <c r="BM1341" s="392"/>
      <c r="BN1341" s="393"/>
      <c r="BO1341" s="393"/>
      <c r="BP1341" s="399"/>
      <c r="BQ1341" s="400"/>
      <c r="BR1341" s="401"/>
      <c r="BS1341" s="399">
        <v>49.5</v>
      </c>
      <c r="BT1341" s="394">
        <v>95787</v>
      </c>
      <c r="BU1341" s="417">
        <v>0.95279999999999998</v>
      </c>
      <c r="BV1341" s="399"/>
      <c r="BW1341" s="393" t="s">
        <v>3117</v>
      </c>
      <c r="BX1341" s="392" t="s">
        <v>1447</v>
      </c>
      <c r="BY1341" s="393"/>
      <c r="BZ1341" s="393"/>
      <c r="CA1341" s="441" t="s">
        <v>1662</v>
      </c>
      <c r="CB1341" s="400">
        <v>3</v>
      </c>
      <c r="CC1341" s="398"/>
      <c r="CD1341" s="398"/>
      <c r="CE1341" s="398"/>
      <c r="CF1341" s="398"/>
      <c r="CG1341" s="398"/>
      <c r="CH1341" s="398"/>
      <c r="CI1341" s="398"/>
      <c r="CJ1341" s="398"/>
      <c r="CK1341" s="398">
        <v>91.265000000000001</v>
      </c>
      <c r="CL1341" s="398">
        <v>91.265000000000001</v>
      </c>
      <c r="CM1341" s="398">
        <v>91.265000000000001</v>
      </c>
      <c r="CN1341" s="398">
        <v>91.265000000000001</v>
      </c>
      <c r="CO1341" s="398">
        <v>91.265000000000001</v>
      </c>
      <c r="CP1341" s="398">
        <v>91.265000000000001</v>
      </c>
      <c r="CQ1341" s="398">
        <v>91.265000000000001</v>
      </c>
      <c r="CR1341" s="398"/>
      <c r="CS1341" s="398"/>
      <c r="CT1341" s="398"/>
      <c r="CU1341" s="398"/>
      <c r="CV1341" s="398"/>
      <c r="CW1341" s="398"/>
      <c r="CX1341" s="398"/>
      <c r="CY1341" s="398"/>
      <c r="CZ1341" s="398"/>
      <c r="DA1341" s="398"/>
      <c r="DB1341" s="398"/>
      <c r="DC1341" s="398"/>
      <c r="DD1341" s="398"/>
      <c r="DE1341" s="393"/>
      <c r="DF1341" s="393"/>
      <c r="DG1341" s="393"/>
      <c r="DH1341" s="393"/>
      <c r="DI1341" s="393"/>
      <c r="DJ1341" s="393"/>
      <c r="DK1341" s="897"/>
    </row>
    <row r="1342" spans="1:115" ht="25.5" x14ac:dyDescent="0.2">
      <c r="A1342" s="295">
        <v>1338</v>
      </c>
      <c r="B1342" s="390" t="s">
        <v>7202</v>
      </c>
      <c r="C1342" s="390"/>
      <c r="D1342" s="391" t="s">
        <v>7203</v>
      </c>
      <c r="E1342" s="704" t="s">
        <v>7204</v>
      </c>
      <c r="F1342" s="393" t="s">
        <v>1352</v>
      </c>
      <c r="G1342" s="393" t="s">
        <v>1673</v>
      </c>
      <c r="H1342" s="393" t="s">
        <v>42</v>
      </c>
      <c r="I1342" s="392"/>
      <c r="J1342" s="392"/>
      <c r="K1342" s="392" t="s">
        <v>370</v>
      </c>
      <c r="L1342" s="392" t="s">
        <v>2059</v>
      </c>
      <c r="M1342" s="392"/>
      <c r="N1342" s="393" t="s">
        <v>44</v>
      </c>
      <c r="O1342" s="393" t="s">
        <v>1155</v>
      </c>
      <c r="P1342" s="393" t="s">
        <v>1155</v>
      </c>
      <c r="Q1342" s="392" t="s">
        <v>1155</v>
      </c>
      <c r="R1342" s="392" t="s">
        <v>7205</v>
      </c>
      <c r="S1342" s="392" t="s">
        <v>650</v>
      </c>
      <c r="T1342" s="394">
        <v>1</v>
      </c>
      <c r="U1342" s="395">
        <v>92.796000000000006</v>
      </c>
      <c r="V1342" s="395"/>
      <c r="W1342" s="453"/>
      <c r="X1342" s="394"/>
      <c r="Y1342" s="394">
        <v>7</v>
      </c>
      <c r="Z1342" s="394">
        <v>20</v>
      </c>
      <c r="AA1342" s="395">
        <v>0</v>
      </c>
      <c r="AB1342" s="452">
        <v>42186</v>
      </c>
      <c r="AC1342" s="398"/>
      <c r="AD1342" s="398">
        <v>511.01358904109594</v>
      </c>
      <c r="AE1342" s="393" t="s">
        <v>1413</v>
      </c>
      <c r="AF1342" s="417"/>
      <c r="AG1342" s="417"/>
      <c r="AH1342" s="417"/>
      <c r="AI1342" s="394"/>
      <c r="AJ1342" s="453"/>
      <c r="AK1342" s="453"/>
      <c r="AL1342" s="393"/>
      <c r="AM1342" s="393"/>
      <c r="AN1342" s="417"/>
      <c r="AO1342" s="392"/>
      <c r="AP1342" s="392"/>
      <c r="AQ1342" s="392"/>
      <c r="AR1342" s="392" t="s">
        <v>3815</v>
      </c>
      <c r="AS1342" s="479">
        <v>41052</v>
      </c>
      <c r="AT1342" s="453"/>
      <c r="AU1342" s="453"/>
      <c r="AV1342" s="453"/>
      <c r="AW1342" s="453"/>
      <c r="AX1342" s="453"/>
      <c r="AY1342" s="453"/>
      <c r="AZ1342" s="452">
        <v>42208</v>
      </c>
      <c r="BA1342" s="393"/>
      <c r="BB1342" s="393"/>
      <c r="BC1342" s="393" t="b">
        <v>0</v>
      </c>
      <c r="BD1342" s="393"/>
      <c r="BE1342" s="392"/>
      <c r="BF1342" s="394">
        <v>5</v>
      </c>
      <c r="BG1342" s="394">
        <v>9</v>
      </c>
      <c r="BH1342" s="394">
        <v>4</v>
      </c>
      <c r="BI1342" s="394"/>
      <c r="BJ1342" s="394"/>
      <c r="BK1342" s="394"/>
      <c r="BL1342" s="444" t="s">
        <v>6983</v>
      </c>
      <c r="BM1342" s="392"/>
      <c r="BN1342" s="393"/>
      <c r="BO1342" s="393"/>
      <c r="BP1342" s="399"/>
      <c r="BQ1342" s="400"/>
      <c r="BR1342" s="401"/>
      <c r="BS1342" s="399">
        <v>51</v>
      </c>
      <c r="BT1342" s="394">
        <v>97394</v>
      </c>
      <c r="BU1342" s="417">
        <v>0.95279999999999998</v>
      </c>
      <c r="BV1342" s="399"/>
      <c r="BW1342" s="393" t="s">
        <v>3117</v>
      </c>
      <c r="BX1342" s="392" t="s">
        <v>1447</v>
      </c>
      <c r="BY1342" s="393"/>
      <c r="BZ1342" s="393"/>
      <c r="CA1342" s="441" t="s">
        <v>1662</v>
      </c>
      <c r="CB1342" s="400">
        <v>3</v>
      </c>
      <c r="CC1342" s="398"/>
      <c r="CD1342" s="398"/>
      <c r="CE1342" s="398"/>
      <c r="CF1342" s="398"/>
      <c r="CG1342" s="398"/>
      <c r="CH1342" s="398"/>
      <c r="CI1342" s="398"/>
      <c r="CJ1342" s="398"/>
      <c r="CK1342" s="398">
        <v>92.796000000000006</v>
      </c>
      <c r="CL1342" s="398">
        <v>92.796000000000006</v>
      </c>
      <c r="CM1342" s="398">
        <v>92.796000000000006</v>
      </c>
      <c r="CN1342" s="398">
        <v>92.796000000000006</v>
      </c>
      <c r="CO1342" s="398">
        <v>92.796000000000006</v>
      </c>
      <c r="CP1342" s="398">
        <v>92.796000000000006</v>
      </c>
      <c r="CQ1342" s="398">
        <v>92.796000000000006</v>
      </c>
      <c r="CR1342" s="398"/>
      <c r="CS1342" s="398"/>
      <c r="CT1342" s="398"/>
      <c r="CU1342" s="398"/>
      <c r="CV1342" s="398"/>
      <c r="CW1342" s="398"/>
      <c r="CX1342" s="398"/>
      <c r="CY1342" s="398"/>
      <c r="CZ1342" s="398"/>
      <c r="DA1342" s="398"/>
      <c r="DB1342" s="398"/>
      <c r="DC1342" s="398"/>
      <c r="DD1342" s="398"/>
      <c r="DE1342" s="393"/>
      <c r="DF1342" s="393"/>
      <c r="DG1342" s="393"/>
      <c r="DH1342" s="393"/>
      <c r="DI1342" s="393"/>
      <c r="DJ1342" s="393"/>
      <c r="DK1342" s="897"/>
    </row>
    <row r="1343" spans="1:115" ht="25.5" x14ac:dyDescent="0.2">
      <c r="A1343" s="295">
        <v>1339</v>
      </c>
      <c r="B1343" s="390" t="s">
        <v>7234</v>
      </c>
      <c r="C1343" s="390"/>
      <c r="D1343" s="391" t="s">
        <v>7235</v>
      </c>
      <c r="E1343" s="704" t="s">
        <v>7236</v>
      </c>
      <c r="F1343" s="393" t="s">
        <v>1352</v>
      </c>
      <c r="G1343" s="393" t="s">
        <v>1673</v>
      </c>
      <c r="H1343" s="393" t="s">
        <v>42</v>
      </c>
      <c r="I1343" s="392"/>
      <c r="J1343" s="392"/>
      <c r="K1343" s="392" t="s">
        <v>2252</v>
      </c>
      <c r="L1343" s="392" t="s">
        <v>2059</v>
      </c>
      <c r="M1343" s="392"/>
      <c r="N1343" s="393" t="s">
        <v>44</v>
      </c>
      <c r="O1343" s="393" t="s">
        <v>827</v>
      </c>
      <c r="P1343" s="393" t="s">
        <v>827</v>
      </c>
      <c r="Q1343" s="392" t="s">
        <v>836</v>
      </c>
      <c r="R1343" s="392" t="s">
        <v>7237</v>
      </c>
      <c r="S1343" s="392" t="s">
        <v>650</v>
      </c>
      <c r="T1343" s="394">
        <v>1</v>
      </c>
      <c r="U1343" s="395">
        <v>84.049000000000007</v>
      </c>
      <c r="V1343" s="395"/>
      <c r="W1343" s="453"/>
      <c r="X1343" s="394"/>
      <c r="Y1343" s="394">
        <v>7</v>
      </c>
      <c r="Z1343" s="394">
        <v>20</v>
      </c>
      <c r="AA1343" s="395">
        <v>0</v>
      </c>
      <c r="AB1343" s="452">
        <v>42261</v>
      </c>
      <c r="AC1343" s="398"/>
      <c r="AD1343" s="398">
        <v>445.57483561643835</v>
      </c>
      <c r="AE1343" s="393" t="s">
        <v>1413</v>
      </c>
      <c r="AF1343" s="417"/>
      <c r="AG1343" s="417"/>
      <c r="AH1343" s="417"/>
      <c r="AI1343" s="394"/>
      <c r="AJ1343" s="453"/>
      <c r="AK1343" s="453"/>
      <c r="AL1343" s="393"/>
      <c r="AM1343" s="393"/>
      <c r="AN1343" s="417"/>
      <c r="AO1343" s="392"/>
      <c r="AP1343" s="392"/>
      <c r="AQ1343" s="392"/>
      <c r="AR1343" s="392" t="s">
        <v>3815</v>
      </c>
      <c r="AS1343" s="479">
        <v>41052</v>
      </c>
      <c r="AT1343" s="453"/>
      <c r="AU1343" s="453"/>
      <c r="AV1343" s="453"/>
      <c r="AW1343" s="453"/>
      <c r="AX1343" s="453"/>
      <c r="AY1343" s="453"/>
      <c r="AZ1343" s="452">
        <v>42261</v>
      </c>
      <c r="BA1343" s="393"/>
      <c r="BB1343" s="393"/>
      <c r="BC1343" s="393" t="b">
        <v>0</v>
      </c>
      <c r="BD1343" s="393"/>
      <c r="BE1343" s="392"/>
      <c r="BF1343" s="394">
        <v>5</v>
      </c>
      <c r="BG1343" s="394">
        <v>9</v>
      </c>
      <c r="BH1343" s="394">
        <v>4</v>
      </c>
      <c r="BI1343" s="394">
        <v>8</v>
      </c>
      <c r="BJ1343" s="394"/>
      <c r="BK1343" s="394"/>
      <c r="BL1343" s="444" t="s">
        <v>6983</v>
      </c>
      <c r="BM1343" s="392"/>
      <c r="BN1343" s="393"/>
      <c r="BO1343" s="393"/>
      <c r="BP1343" s="399"/>
      <c r="BQ1343" s="400"/>
      <c r="BR1343" s="401"/>
      <c r="BS1343" s="399">
        <v>50</v>
      </c>
      <c r="BT1343" s="394">
        <v>88213</v>
      </c>
      <c r="BU1343" s="417">
        <v>0.95279999999999998</v>
      </c>
      <c r="BV1343" s="399"/>
      <c r="BW1343" s="393" t="s">
        <v>3117</v>
      </c>
      <c r="BX1343" s="392" t="s">
        <v>3154</v>
      </c>
      <c r="BY1343" s="393"/>
      <c r="BZ1343" s="393"/>
      <c r="CA1343" s="441"/>
      <c r="CB1343" s="400"/>
      <c r="CC1343" s="398"/>
      <c r="CD1343" s="398"/>
      <c r="CE1343" s="398"/>
      <c r="CF1343" s="398"/>
      <c r="CG1343" s="398"/>
      <c r="CH1343" s="398"/>
      <c r="CI1343" s="398"/>
      <c r="CJ1343" s="398"/>
      <c r="CK1343" s="398">
        <v>84.049000000000007</v>
      </c>
      <c r="CL1343" s="398">
        <v>84.049000000000007</v>
      </c>
      <c r="CM1343" s="398">
        <v>84.049000000000007</v>
      </c>
      <c r="CN1343" s="398">
        <v>84.049000000000007</v>
      </c>
      <c r="CO1343" s="398">
        <v>84.049000000000007</v>
      </c>
      <c r="CP1343" s="398">
        <v>84.049000000000007</v>
      </c>
      <c r="CQ1343" s="398">
        <v>84.049000000000007</v>
      </c>
      <c r="CR1343" s="398"/>
      <c r="CS1343" s="398"/>
      <c r="CT1343" s="398"/>
      <c r="CU1343" s="398"/>
      <c r="CV1343" s="398"/>
      <c r="CW1343" s="398"/>
      <c r="CX1343" s="398"/>
      <c r="CY1343" s="398"/>
      <c r="CZ1343" s="398"/>
      <c r="DA1343" s="398"/>
      <c r="DB1343" s="398"/>
      <c r="DC1343" s="398"/>
      <c r="DD1343" s="398"/>
      <c r="DE1343" s="393"/>
      <c r="DF1343" s="393"/>
      <c r="DG1343" s="393"/>
      <c r="DH1343" s="393"/>
      <c r="DI1343" s="393"/>
      <c r="DJ1343" s="393"/>
      <c r="DK1343" s="897"/>
    </row>
    <row r="1344" spans="1:115" ht="38.25" x14ac:dyDescent="0.2">
      <c r="A1344" s="295">
        <v>1340</v>
      </c>
      <c r="B1344" s="390" t="s">
        <v>8041</v>
      </c>
      <c r="C1344" s="390"/>
      <c r="D1344" s="391" t="s">
        <v>8039</v>
      </c>
      <c r="E1344" s="705" t="s">
        <v>8043</v>
      </c>
      <c r="F1344" s="393" t="s">
        <v>1352</v>
      </c>
      <c r="G1344" s="393" t="s">
        <v>1673</v>
      </c>
      <c r="H1344" s="393" t="s">
        <v>42</v>
      </c>
      <c r="I1344" s="392"/>
      <c r="J1344" s="392"/>
      <c r="K1344" s="392" t="s">
        <v>370</v>
      </c>
      <c r="L1344" s="392" t="s">
        <v>2059</v>
      </c>
      <c r="M1344" s="392"/>
      <c r="N1344" s="475" t="s">
        <v>44</v>
      </c>
      <c r="O1344" s="393" t="s">
        <v>1155</v>
      </c>
      <c r="P1344" s="393" t="s">
        <v>1155</v>
      </c>
      <c r="Q1344" s="392" t="s">
        <v>1155</v>
      </c>
      <c r="R1344" s="428" t="s">
        <v>8045</v>
      </c>
      <c r="S1344" s="428" t="s">
        <v>650</v>
      </c>
      <c r="T1344" s="394">
        <v>1</v>
      </c>
      <c r="U1344" s="395">
        <v>192.75700000000001</v>
      </c>
      <c r="V1344" s="395"/>
      <c r="W1344" s="453"/>
      <c r="X1344" s="394"/>
      <c r="Y1344" s="394">
        <v>7</v>
      </c>
      <c r="Z1344" s="394">
        <v>20</v>
      </c>
      <c r="AA1344" s="395">
        <v>0</v>
      </c>
      <c r="AB1344" s="452">
        <v>42460</v>
      </c>
      <c r="AC1344" s="398"/>
      <c r="AD1344" s="398">
        <v>916.78397808219177</v>
      </c>
      <c r="AE1344" s="475" t="s">
        <v>1413</v>
      </c>
      <c r="AF1344" s="417"/>
      <c r="AG1344" s="417"/>
      <c r="AH1344" s="417"/>
      <c r="AI1344" s="394"/>
      <c r="AJ1344" s="453"/>
      <c r="AK1344" s="453"/>
      <c r="AL1344" s="393"/>
      <c r="AM1344" s="393"/>
      <c r="AN1344" s="417"/>
      <c r="AO1344" s="392"/>
      <c r="AP1344" s="428"/>
      <c r="AQ1344" s="428"/>
      <c r="AR1344" s="428" t="s">
        <v>3815</v>
      </c>
      <c r="AS1344" s="479">
        <v>41052</v>
      </c>
      <c r="AT1344" s="453"/>
      <c r="AU1344" s="453"/>
      <c r="AV1344" s="453"/>
      <c r="AW1344" s="453"/>
      <c r="AX1344" s="453"/>
      <c r="AY1344" s="453"/>
      <c r="AZ1344" s="452">
        <v>42460</v>
      </c>
      <c r="BA1344" s="393"/>
      <c r="BB1344" s="393"/>
      <c r="BC1344" s="393" t="b">
        <v>0</v>
      </c>
      <c r="BD1344" s="393"/>
      <c r="BE1344" s="392"/>
      <c r="BF1344" s="394">
        <v>5</v>
      </c>
      <c r="BG1344" s="394">
        <v>9</v>
      </c>
      <c r="BH1344" s="394">
        <v>4</v>
      </c>
      <c r="BI1344" s="394"/>
      <c r="BJ1344" s="394"/>
      <c r="BK1344" s="394"/>
      <c r="BL1344" s="444" t="s">
        <v>6983</v>
      </c>
      <c r="BM1344" s="392"/>
      <c r="BN1344" s="393"/>
      <c r="BO1344" s="393"/>
      <c r="BP1344" s="399"/>
      <c r="BQ1344" s="400"/>
      <c r="BR1344" s="401"/>
      <c r="BS1344" s="399">
        <v>100.8</v>
      </c>
      <c r="BT1344" s="394">
        <f>202306</f>
        <v>202306</v>
      </c>
      <c r="BU1344" s="417">
        <v>0.98419999999999996</v>
      </c>
      <c r="BV1344" s="399"/>
      <c r="BW1344" s="475" t="s">
        <v>3117</v>
      </c>
      <c r="BX1344" s="392" t="s">
        <v>1447</v>
      </c>
      <c r="BY1344" s="393"/>
      <c r="BZ1344" s="393"/>
      <c r="CA1344" s="441" t="s">
        <v>1662</v>
      </c>
      <c r="CB1344" s="400"/>
      <c r="CC1344" s="398"/>
      <c r="CD1344" s="398"/>
      <c r="CE1344" s="398"/>
      <c r="CF1344" s="398"/>
      <c r="CG1344" s="398"/>
      <c r="CH1344" s="398"/>
      <c r="CI1344" s="398"/>
      <c r="CJ1344" s="398"/>
      <c r="CK1344" s="398"/>
      <c r="CL1344" s="398">
        <v>192.75700000000001</v>
      </c>
      <c r="CM1344" s="398">
        <v>192.75700000000001</v>
      </c>
      <c r="CN1344" s="398">
        <v>192.75700000000001</v>
      </c>
      <c r="CO1344" s="398">
        <v>192.75700000000001</v>
      </c>
      <c r="CP1344" s="398">
        <v>192.75700000000001</v>
      </c>
      <c r="CQ1344" s="398">
        <v>192.75700000000001</v>
      </c>
      <c r="CR1344" s="398">
        <v>192.75700000000001</v>
      </c>
      <c r="CS1344" s="398"/>
      <c r="CT1344" s="398"/>
      <c r="CU1344" s="398"/>
      <c r="CV1344" s="398"/>
      <c r="CW1344" s="398"/>
      <c r="CX1344" s="398"/>
      <c r="CY1344" s="398"/>
      <c r="CZ1344" s="398"/>
      <c r="DA1344" s="398"/>
      <c r="DB1344" s="398"/>
      <c r="DC1344" s="398"/>
      <c r="DD1344" s="398"/>
      <c r="DE1344" s="393"/>
      <c r="DF1344" s="393"/>
      <c r="DG1344" s="393"/>
      <c r="DH1344" s="393"/>
      <c r="DI1344" s="393"/>
      <c r="DJ1344" s="393"/>
      <c r="DK1344" s="897"/>
    </row>
    <row r="1345" spans="1:115" ht="25.5" x14ac:dyDescent="0.2">
      <c r="A1345" s="295">
        <v>1341</v>
      </c>
      <c r="B1345" s="390" t="s">
        <v>8042</v>
      </c>
      <c r="C1345" s="390"/>
      <c r="D1345" s="391" t="s">
        <v>8040</v>
      </c>
      <c r="E1345" s="705" t="s">
        <v>8044</v>
      </c>
      <c r="F1345" s="393" t="s">
        <v>1352</v>
      </c>
      <c r="G1345" s="393" t="s">
        <v>1673</v>
      </c>
      <c r="H1345" s="393" t="s">
        <v>42</v>
      </c>
      <c r="I1345" s="392"/>
      <c r="J1345" s="392"/>
      <c r="K1345" s="392" t="s">
        <v>2252</v>
      </c>
      <c r="L1345" s="392" t="s">
        <v>2059</v>
      </c>
      <c r="M1345" s="392"/>
      <c r="N1345" s="475" t="s">
        <v>44</v>
      </c>
      <c r="O1345" s="393" t="s">
        <v>1155</v>
      </c>
      <c r="P1345" s="393" t="s">
        <v>1155</v>
      </c>
      <c r="Q1345" s="392" t="s">
        <v>1155</v>
      </c>
      <c r="R1345" s="428" t="s">
        <v>8123</v>
      </c>
      <c r="S1345" s="428" t="s">
        <v>650</v>
      </c>
      <c r="T1345" s="394">
        <v>1</v>
      </c>
      <c r="U1345" s="395">
        <v>86.608999999999995</v>
      </c>
      <c r="V1345" s="395"/>
      <c r="W1345" s="453"/>
      <c r="X1345" s="394"/>
      <c r="Y1345" s="394">
        <v>7</v>
      </c>
      <c r="Z1345" s="394">
        <v>20</v>
      </c>
      <c r="AA1345" s="395">
        <v>0</v>
      </c>
      <c r="AB1345" s="452">
        <v>42444</v>
      </c>
      <c r="AC1345" s="398"/>
      <c r="AD1345" s="398">
        <v>415.72319999999996</v>
      </c>
      <c r="AE1345" s="475" t="s">
        <v>1413</v>
      </c>
      <c r="AF1345" s="417"/>
      <c r="AG1345" s="417"/>
      <c r="AH1345" s="417"/>
      <c r="AI1345" s="394"/>
      <c r="AJ1345" s="453"/>
      <c r="AK1345" s="453"/>
      <c r="AL1345" s="393"/>
      <c r="AM1345" s="393"/>
      <c r="AN1345" s="417"/>
      <c r="AO1345" s="392"/>
      <c r="AP1345" s="428"/>
      <c r="AQ1345" s="392"/>
      <c r="AR1345" s="428" t="s">
        <v>3815</v>
      </c>
      <c r="AS1345" s="479">
        <v>41052</v>
      </c>
      <c r="AT1345" s="453"/>
      <c r="AU1345" s="453"/>
      <c r="AV1345" s="453"/>
      <c r="AW1345" s="453"/>
      <c r="AX1345" s="453"/>
      <c r="AY1345" s="453"/>
      <c r="AZ1345" s="495">
        <v>42461</v>
      </c>
      <c r="BA1345" s="393"/>
      <c r="BB1345" s="393"/>
      <c r="BC1345" s="393" t="b">
        <v>0</v>
      </c>
      <c r="BD1345" s="393"/>
      <c r="BE1345" s="392"/>
      <c r="BF1345" s="394">
        <v>5</v>
      </c>
      <c r="BG1345" s="394">
        <v>9</v>
      </c>
      <c r="BH1345" s="394">
        <v>4</v>
      </c>
      <c r="BI1345" s="394"/>
      <c r="BJ1345" s="394"/>
      <c r="BK1345" s="394"/>
      <c r="BL1345" s="444" t="s">
        <v>6983</v>
      </c>
      <c r="BM1345" s="392"/>
      <c r="BN1345" s="393"/>
      <c r="BO1345" s="393"/>
      <c r="BP1345" s="399"/>
      <c r="BQ1345" s="400"/>
      <c r="BR1345" s="401"/>
      <c r="BS1345" s="399">
        <v>55.2</v>
      </c>
      <c r="BT1345" s="394">
        <v>90900</v>
      </c>
      <c r="BU1345" s="417">
        <v>0.98419999999999996</v>
      </c>
      <c r="BV1345" s="399"/>
      <c r="BW1345" s="475" t="s">
        <v>3117</v>
      </c>
      <c r="BX1345" s="428" t="s">
        <v>1447</v>
      </c>
      <c r="BY1345" s="393"/>
      <c r="BZ1345" s="393"/>
      <c r="CA1345" s="476" t="s">
        <v>1662</v>
      </c>
      <c r="CB1345" s="400"/>
      <c r="CC1345" s="398"/>
      <c r="CD1345" s="398"/>
      <c r="CE1345" s="398"/>
      <c r="CF1345" s="398"/>
      <c r="CG1345" s="398"/>
      <c r="CH1345" s="398"/>
      <c r="CI1345" s="398"/>
      <c r="CJ1345" s="398"/>
      <c r="CK1345" s="398"/>
      <c r="CL1345" s="398">
        <v>86.608999999999995</v>
      </c>
      <c r="CM1345" s="398">
        <v>86.608999999999995</v>
      </c>
      <c r="CN1345" s="398">
        <v>86.608999999999995</v>
      </c>
      <c r="CO1345" s="398">
        <v>86.608999999999995</v>
      </c>
      <c r="CP1345" s="398">
        <v>86.608999999999995</v>
      </c>
      <c r="CQ1345" s="398">
        <v>86.608999999999995</v>
      </c>
      <c r="CR1345" s="398">
        <v>86.608999999999995</v>
      </c>
      <c r="CS1345" s="398"/>
      <c r="CT1345" s="398"/>
      <c r="CU1345" s="398"/>
      <c r="CV1345" s="398"/>
      <c r="CW1345" s="398"/>
      <c r="CX1345" s="398"/>
      <c r="CY1345" s="398"/>
      <c r="CZ1345" s="398"/>
      <c r="DA1345" s="398"/>
      <c r="DB1345" s="398"/>
      <c r="DC1345" s="398"/>
      <c r="DD1345" s="398"/>
      <c r="DE1345" s="393"/>
      <c r="DF1345" s="393"/>
      <c r="DG1345" s="393"/>
      <c r="DH1345" s="393"/>
      <c r="DI1345" s="393"/>
      <c r="DJ1345" s="393"/>
      <c r="DK1345" s="897"/>
    </row>
    <row r="1346" spans="1:115" ht="25.5" x14ac:dyDescent="0.2">
      <c r="A1346" s="295">
        <v>1342</v>
      </c>
      <c r="B1346" s="390" t="s">
        <v>8119</v>
      </c>
      <c r="C1346" s="390"/>
      <c r="D1346" s="391" t="s">
        <v>8120</v>
      </c>
      <c r="E1346" s="705" t="s">
        <v>8121</v>
      </c>
      <c r="F1346" s="393" t="s">
        <v>1352</v>
      </c>
      <c r="G1346" s="393" t="s">
        <v>1673</v>
      </c>
      <c r="H1346" s="393" t="s">
        <v>42</v>
      </c>
      <c r="I1346" s="392"/>
      <c r="J1346" s="392"/>
      <c r="K1346" s="392" t="s">
        <v>370</v>
      </c>
      <c r="L1346" s="428" t="s">
        <v>2059</v>
      </c>
      <c r="M1346" s="392"/>
      <c r="N1346" s="475" t="s">
        <v>44</v>
      </c>
      <c r="O1346" s="393" t="s">
        <v>1155</v>
      </c>
      <c r="P1346" s="393" t="s">
        <v>1155</v>
      </c>
      <c r="Q1346" s="392" t="s">
        <v>1155</v>
      </c>
      <c r="R1346" s="428" t="s">
        <v>8122</v>
      </c>
      <c r="S1346" s="428" t="s">
        <v>650</v>
      </c>
      <c r="T1346" s="394">
        <v>1</v>
      </c>
      <c r="U1346" s="395">
        <v>73.489000000000004</v>
      </c>
      <c r="V1346" s="395"/>
      <c r="W1346" s="453"/>
      <c r="X1346" s="394"/>
      <c r="Y1346" s="394">
        <v>7</v>
      </c>
      <c r="Z1346" s="394">
        <v>20</v>
      </c>
      <c r="AA1346" s="395">
        <v>0</v>
      </c>
      <c r="AB1346" s="452">
        <v>42492</v>
      </c>
      <c r="AC1346" s="398"/>
      <c r="AD1346" s="398">
        <v>343.08289315068498</v>
      </c>
      <c r="AE1346" s="475" t="s">
        <v>1413</v>
      </c>
      <c r="AF1346" s="417"/>
      <c r="AG1346" s="417"/>
      <c r="AH1346" s="417"/>
      <c r="AI1346" s="394"/>
      <c r="AJ1346" s="453"/>
      <c r="AK1346" s="453"/>
      <c r="AL1346" s="393"/>
      <c r="AM1346" s="393"/>
      <c r="AN1346" s="417"/>
      <c r="AO1346" s="392"/>
      <c r="AP1346" s="428"/>
      <c r="AQ1346" s="392"/>
      <c r="AR1346" s="428" t="s">
        <v>3815</v>
      </c>
      <c r="AS1346" s="479">
        <v>41052</v>
      </c>
      <c r="AT1346" s="453"/>
      <c r="AU1346" s="453"/>
      <c r="AV1346" s="453"/>
      <c r="AW1346" s="453"/>
      <c r="AX1346" s="453"/>
      <c r="AY1346" s="453"/>
      <c r="AZ1346" s="495">
        <v>42492</v>
      </c>
      <c r="BA1346" s="393"/>
      <c r="BB1346" s="393"/>
      <c r="BC1346" s="393" t="b">
        <v>0</v>
      </c>
      <c r="BD1346" s="393"/>
      <c r="BE1346" s="392"/>
      <c r="BF1346" s="394">
        <v>5</v>
      </c>
      <c r="BG1346" s="394">
        <v>9</v>
      </c>
      <c r="BH1346" s="394">
        <v>4</v>
      </c>
      <c r="BI1346" s="394"/>
      <c r="BJ1346" s="394"/>
      <c r="BK1346" s="394"/>
      <c r="BL1346" s="444" t="s">
        <v>6983</v>
      </c>
      <c r="BM1346" s="392"/>
      <c r="BN1346" s="393"/>
      <c r="BO1346" s="393"/>
      <c r="BP1346" s="399"/>
      <c r="BQ1346" s="400"/>
      <c r="BR1346" s="401"/>
      <c r="BS1346" s="399">
        <v>50.4</v>
      </c>
      <c r="BT1346" s="394">
        <v>77130</v>
      </c>
      <c r="BU1346" s="417">
        <v>0.98419999999999996</v>
      </c>
      <c r="BV1346" s="399"/>
      <c r="BW1346" s="475" t="s">
        <v>3117</v>
      </c>
      <c r="BX1346" s="428" t="s">
        <v>1447</v>
      </c>
      <c r="BY1346" s="393"/>
      <c r="BZ1346" s="393"/>
      <c r="CA1346" s="476" t="s">
        <v>1662</v>
      </c>
      <c r="CB1346" s="400"/>
      <c r="CC1346" s="398"/>
      <c r="CD1346" s="398"/>
      <c r="CE1346" s="398"/>
      <c r="CF1346" s="398"/>
      <c r="CG1346" s="398"/>
      <c r="CH1346" s="398"/>
      <c r="CI1346" s="398"/>
      <c r="CJ1346" s="398"/>
      <c r="CK1346" s="398"/>
      <c r="CL1346" s="398">
        <v>73.489000000000004</v>
      </c>
      <c r="CM1346" s="398">
        <v>73.489000000000004</v>
      </c>
      <c r="CN1346" s="398">
        <v>73.489000000000004</v>
      </c>
      <c r="CO1346" s="398">
        <v>73.489000000000004</v>
      </c>
      <c r="CP1346" s="398">
        <v>73.489000000000004</v>
      </c>
      <c r="CQ1346" s="398">
        <v>73.489000000000004</v>
      </c>
      <c r="CR1346" s="398">
        <v>73.489000000000004</v>
      </c>
      <c r="CS1346" s="398"/>
      <c r="CT1346" s="398"/>
      <c r="CU1346" s="398"/>
      <c r="CV1346" s="398"/>
      <c r="CW1346" s="398"/>
      <c r="CX1346" s="398"/>
      <c r="CY1346" s="398"/>
      <c r="CZ1346" s="398"/>
      <c r="DA1346" s="398"/>
      <c r="DB1346" s="398"/>
      <c r="DC1346" s="398"/>
      <c r="DD1346" s="398"/>
      <c r="DE1346" s="393"/>
      <c r="DF1346" s="393"/>
      <c r="DG1346" s="393"/>
      <c r="DH1346" s="393"/>
      <c r="DI1346" s="393"/>
      <c r="DJ1346" s="393"/>
      <c r="DK1346" s="897"/>
    </row>
    <row r="1347" spans="1:115" ht="25.5" x14ac:dyDescent="0.2">
      <c r="A1347" s="295">
        <v>1343</v>
      </c>
      <c r="B1347" s="390" t="s">
        <v>8212</v>
      </c>
      <c r="C1347" s="390"/>
      <c r="D1347" s="391" t="s">
        <v>8213</v>
      </c>
      <c r="E1347" s="705" t="s">
        <v>8214</v>
      </c>
      <c r="F1347" s="393" t="s">
        <v>1352</v>
      </c>
      <c r="G1347" s="393" t="s">
        <v>1673</v>
      </c>
      <c r="H1347" s="393" t="s">
        <v>42</v>
      </c>
      <c r="I1347" s="392"/>
      <c r="J1347" s="392"/>
      <c r="K1347" s="428" t="s">
        <v>2116</v>
      </c>
      <c r="L1347" s="428" t="s">
        <v>2059</v>
      </c>
      <c r="M1347" s="392"/>
      <c r="N1347" s="475" t="s">
        <v>44</v>
      </c>
      <c r="O1347" s="393" t="s">
        <v>1155</v>
      </c>
      <c r="P1347" s="393" t="s">
        <v>1155</v>
      </c>
      <c r="Q1347" s="392" t="s">
        <v>1155</v>
      </c>
      <c r="R1347" s="428" t="s">
        <v>8215</v>
      </c>
      <c r="S1347" s="428" t="s">
        <v>650</v>
      </c>
      <c r="T1347" s="394">
        <v>1</v>
      </c>
      <c r="U1347" s="395">
        <v>72.784000000000006</v>
      </c>
      <c r="V1347" s="395"/>
      <c r="W1347" s="453"/>
      <c r="X1347" s="394"/>
      <c r="Y1347" s="394">
        <v>7</v>
      </c>
      <c r="Z1347" s="394">
        <v>25</v>
      </c>
      <c r="AA1347" s="395">
        <v>0</v>
      </c>
      <c r="AB1347" s="452">
        <v>42582</v>
      </c>
      <c r="AC1347" s="398"/>
      <c r="AD1347" s="398">
        <v>321.84486575342464</v>
      </c>
      <c r="AE1347" s="475" t="s">
        <v>1413</v>
      </c>
      <c r="AF1347" s="417"/>
      <c r="AG1347" s="417"/>
      <c r="AH1347" s="417"/>
      <c r="AI1347" s="394"/>
      <c r="AJ1347" s="453"/>
      <c r="AK1347" s="453"/>
      <c r="AL1347" s="393"/>
      <c r="AM1347" s="393"/>
      <c r="AN1347" s="417"/>
      <c r="AO1347" s="392"/>
      <c r="AP1347" s="428"/>
      <c r="AQ1347" s="392"/>
      <c r="AR1347" s="428" t="s">
        <v>3815</v>
      </c>
      <c r="AS1347" s="479">
        <v>41052</v>
      </c>
      <c r="AT1347" s="453"/>
      <c r="AU1347" s="453"/>
      <c r="AV1347" s="453"/>
      <c r="AW1347" s="453"/>
      <c r="AX1347" s="453"/>
      <c r="AY1347" s="453"/>
      <c r="AZ1347" s="495">
        <v>42587</v>
      </c>
      <c r="BA1347" s="393"/>
      <c r="BB1347" s="393"/>
      <c r="BC1347" s="393" t="b">
        <v>0</v>
      </c>
      <c r="BD1347" s="393"/>
      <c r="BE1347" s="392"/>
      <c r="BF1347" s="394">
        <v>5</v>
      </c>
      <c r="BG1347" s="394">
        <v>9</v>
      </c>
      <c r="BH1347" s="394">
        <v>4</v>
      </c>
      <c r="BI1347" s="394"/>
      <c r="BJ1347" s="394"/>
      <c r="BK1347" s="394"/>
      <c r="BL1347" s="444" t="s">
        <v>6983</v>
      </c>
      <c r="BM1347" s="392"/>
      <c r="BN1347" s="393"/>
      <c r="BO1347" s="393"/>
      <c r="BP1347" s="399"/>
      <c r="BQ1347" s="400"/>
      <c r="BR1347" s="401"/>
      <c r="BS1347" s="399">
        <v>40</v>
      </c>
      <c r="BT1347" s="394">
        <v>567994</v>
      </c>
      <c r="BU1347" s="417">
        <v>0.89700000000000002</v>
      </c>
      <c r="BV1347" s="399"/>
      <c r="BW1347" s="475" t="s">
        <v>3117</v>
      </c>
      <c r="BX1347" s="428" t="s">
        <v>1447</v>
      </c>
      <c r="BY1347" s="393"/>
      <c r="BZ1347" s="393"/>
      <c r="CA1347" s="476" t="s">
        <v>1662</v>
      </c>
      <c r="CB1347" s="400"/>
      <c r="CC1347" s="398"/>
      <c r="CD1347" s="398"/>
      <c r="CE1347" s="398"/>
      <c r="CF1347" s="398"/>
      <c r="CG1347" s="398"/>
      <c r="CH1347" s="398"/>
      <c r="CI1347" s="398"/>
      <c r="CJ1347" s="398"/>
      <c r="CK1347" s="398"/>
      <c r="CL1347" s="398">
        <v>72.784000000000006</v>
      </c>
      <c r="CM1347" s="398">
        <v>72.784000000000006</v>
      </c>
      <c r="CN1347" s="398">
        <v>72.784000000000006</v>
      </c>
      <c r="CO1347" s="398">
        <v>72.784000000000006</v>
      </c>
      <c r="CP1347" s="398">
        <v>72.784000000000006</v>
      </c>
      <c r="CQ1347" s="398">
        <v>72.784000000000006</v>
      </c>
      <c r="CR1347" s="398">
        <v>72.784000000000006</v>
      </c>
      <c r="CS1347" s="398"/>
      <c r="CT1347" s="398"/>
      <c r="CU1347" s="398"/>
      <c r="CV1347" s="398"/>
      <c r="CW1347" s="398"/>
      <c r="CX1347" s="398"/>
      <c r="CY1347" s="398"/>
      <c r="CZ1347" s="398"/>
      <c r="DA1347" s="398"/>
      <c r="DB1347" s="398"/>
      <c r="DC1347" s="398"/>
      <c r="DD1347" s="398"/>
      <c r="DE1347" s="393"/>
      <c r="DF1347" s="393"/>
      <c r="DG1347" s="393"/>
      <c r="DH1347" s="393"/>
      <c r="DI1347" s="393"/>
      <c r="DJ1347" s="393"/>
      <c r="DK1347" s="897"/>
    </row>
    <row r="1348" spans="1:115" ht="25.5" x14ac:dyDescent="0.2">
      <c r="A1348" s="295">
        <v>1344</v>
      </c>
      <c r="B1348" s="390" t="s">
        <v>8305</v>
      </c>
      <c r="C1348" s="390"/>
      <c r="D1348" s="391" t="s">
        <v>8306</v>
      </c>
      <c r="E1348" s="705" t="s">
        <v>8307</v>
      </c>
      <c r="F1348" s="393" t="s">
        <v>1352</v>
      </c>
      <c r="G1348" s="393" t="s">
        <v>1673</v>
      </c>
      <c r="H1348" s="393" t="s">
        <v>42</v>
      </c>
      <c r="I1348" s="392"/>
      <c r="J1348" s="392"/>
      <c r="K1348" s="428" t="s">
        <v>460</v>
      </c>
      <c r="L1348" s="428" t="s">
        <v>2059</v>
      </c>
      <c r="M1348" s="392"/>
      <c r="N1348" s="393" t="s">
        <v>44</v>
      </c>
      <c r="O1348" s="393" t="s">
        <v>827</v>
      </c>
      <c r="P1348" s="393" t="s">
        <v>827</v>
      </c>
      <c r="Q1348" s="392" t="s">
        <v>836</v>
      </c>
      <c r="R1348" s="428" t="s">
        <v>8308</v>
      </c>
      <c r="S1348" s="428" t="s">
        <v>650</v>
      </c>
      <c r="T1348" s="394">
        <v>1</v>
      </c>
      <c r="U1348" s="395">
        <v>89.622</v>
      </c>
      <c r="V1348" s="395"/>
      <c r="W1348" s="453"/>
      <c r="X1348" s="394"/>
      <c r="Y1348" s="394">
        <v>7</v>
      </c>
      <c r="Z1348" s="394">
        <v>20</v>
      </c>
      <c r="AA1348" s="395">
        <v>0</v>
      </c>
      <c r="AB1348" s="452">
        <v>42614</v>
      </c>
      <c r="AC1348" s="398"/>
      <c r="AD1348" s="398">
        <v>388.44384657534243</v>
      </c>
      <c r="AE1348" s="475" t="s">
        <v>1413</v>
      </c>
      <c r="AF1348" s="417"/>
      <c r="AG1348" s="417"/>
      <c r="AH1348" s="417"/>
      <c r="AI1348" s="394"/>
      <c r="AJ1348" s="453"/>
      <c r="AK1348" s="453"/>
      <c r="AL1348" s="393"/>
      <c r="AM1348" s="393"/>
      <c r="AN1348" s="417"/>
      <c r="AO1348" s="392"/>
      <c r="AP1348" s="428"/>
      <c r="AQ1348" s="392"/>
      <c r="AR1348" s="428" t="s">
        <v>3815</v>
      </c>
      <c r="AS1348" s="479">
        <v>41052</v>
      </c>
      <c r="AT1348" s="453"/>
      <c r="AU1348" s="453"/>
      <c r="AV1348" s="453"/>
      <c r="AW1348" s="453"/>
      <c r="AX1348" s="453"/>
      <c r="AY1348" s="453"/>
      <c r="AZ1348" s="495">
        <v>42641</v>
      </c>
      <c r="BA1348" s="393"/>
      <c r="BB1348" s="393"/>
      <c r="BC1348" s="393" t="b">
        <v>0</v>
      </c>
      <c r="BD1348" s="393"/>
      <c r="BE1348" s="392"/>
      <c r="BF1348" s="394">
        <v>5</v>
      </c>
      <c r="BG1348" s="394">
        <v>9</v>
      </c>
      <c r="BH1348" s="394">
        <v>4</v>
      </c>
      <c r="BI1348" s="394"/>
      <c r="BJ1348" s="394"/>
      <c r="BK1348" s="394"/>
      <c r="BL1348" s="444" t="s">
        <v>6983</v>
      </c>
      <c r="BM1348" s="392"/>
      <c r="BN1348" s="393"/>
      <c r="BO1348" s="393"/>
      <c r="BP1348" s="399"/>
      <c r="BQ1348" s="400"/>
      <c r="BR1348" s="401"/>
      <c r="BS1348" s="399">
        <v>60</v>
      </c>
      <c r="BT1348" s="394">
        <v>99914</v>
      </c>
      <c r="BU1348" s="417">
        <v>0.89700000000000002</v>
      </c>
      <c r="BV1348" s="399"/>
      <c r="BW1348" s="475" t="s">
        <v>3117</v>
      </c>
      <c r="BX1348" s="428" t="s">
        <v>1447</v>
      </c>
      <c r="BY1348" s="393"/>
      <c r="BZ1348" s="393"/>
      <c r="CA1348" s="476" t="s">
        <v>1662</v>
      </c>
      <c r="CB1348" s="400"/>
      <c r="CC1348" s="398"/>
      <c r="CD1348" s="398"/>
      <c r="CE1348" s="398"/>
      <c r="CF1348" s="398"/>
      <c r="CG1348" s="398"/>
      <c r="CH1348" s="398"/>
      <c r="CI1348" s="398"/>
      <c r="CJ1348" s="398"/>
      <c r="CK1348" s="398"/>
      <c r="CL1348" s="398">
        <v>89.622</v>
      </c>
      <c r="CM1348" s="398">
        <v>89.622</v>
      </c>
      <c r="CN1348" s="398">
        <v>89.622</v>
      </c>
      <c r="CO1348" s="398">
        <v>89.622</v>
      </c>
      <c r="CP1348" s="398">
        <v>89.622</v>
      </c>
      <c r="CQ1348" s="398">
        <v>89.622</v>
      </c>
      <c r="CR1348" s="398">
        <v>89.622</v>
      </c>
      <c r="CS1348" s="398"/>
      <c r="CT1348" s="398"/>
      <c r="CU1348" s="398"/>
      <c r="CV1348" s="398"/>
      <c r="CW1348" s="398"/>
      <c r="CX1348" s="398"/>
      <c r="CY1348" s="398"/>
      <c r="CZ1348" s="398"/>
      <c r="DA1348" s="398"/>
      <c r="DB1348" s="398"/>
      <c r="DC1348" s="398"/>
      <c r="DD1348" s="398"/>
      <c r="DE1348" s="393"/>
      <c r="DF1348" s="393"/>
      <c r="DG1348" s="393"/>
      <c r="DH1348" s="393"/>
      <c r="DI1348" s="393"/>
      <c r="DJ1348" s="393"/>
      <c r="DK1348" s="897"/>
    </row>
    <row r="1349" spans="1:115" ht="51" x14ac:dyDescent="0.2">
      <c r="A1349" s="295">
        <v>1345</v>
      </c>
      <c r="B1349" s="390" t="s">
        <v>2061</v>
      </c>
      <c r="C1349" s="424" t="s">
        <v>7741</v>
      </c>
      <c r="D1349" s="391" t="s">
        <v>5202</v>
      </c>
      <c r="E1349" s="704" t="s">
        <v>2062</v>
      </c>
      <c r="F1349" s="393" t="s">
        <v>1340</v>
      </c>
      <c r="G1349" s="393" t="s">
        <v>1676</v>
      </c>
      <c r="H1349" s="393" t="s">
        <v>58</v>
      </c>
      <c r="I1349" s="392"/>
      <c r="J1349" s="392" t="s">
        <v>58</v>
      </c>
      <c r="K1349" s="392"/>
      <c r="L1349" s="392" t="s">
        <v>2063</v>
      </c>
      <c r="M1349" s="392" t="s">
        <v>3601</v>
      </c>
      <c r="N1349" s="393" t="s">
        <v>44</v>
      </c>
      <c r="O1349" s="393" t="s">
        <v>69</v>
      </c>
      <c r="P1349" s="393" t="s">
        <v>69</v>
      </c>
      <c r="Q1349" s="392" t="s">
        <v>1111</v>
      </c>
      <c r="R1349" s="392"/>
      <c r="S1349" s="392" t="s">
        <v>2407</v>
      </c>
      <c r="T1349" s="394">
        <v>1</v>
      </c>
      <c r="U1349" s="395">
        <v>5.2430000000000003</v>
      </c>
      <c r="V1349" s="395"/>
      <c r="W1349" s="452">
        <v>41044</v>
      </c>
      <c r="X1349" s="394">
        <v>28</v>
      </c>
      <c r="Y1349" s="394"/>
      <c r="Z1349" s="394"/>
      <c r="AA1349" s="395"/>
      <c r="AB1349" s="453"/>
      <c r="AC1349" s="398">
        <v>0</v>
      </c>
      <c r="AD1349" s="398">
        <v>52.430000000000007</v>
      </c>
      <c r="AE1349" s="393" t="s">
        <v>2064</v>
      </c>
      <c r="AF1349" s="417"/>
      <c r="AG1349" s="417"/>
      <c r="AH1349" s="417">
        <v>0</v>
      </c>
      <c r="AI1349" s="394"/>
      <c r="AJ1349" s="453"/>
      <c r="AK1349" s="453"/>
      <c r="AL1349" s="393"/>
      <c r="AM1349" s="393"/>
      <c r="AN1349" s="417"/>
      <c r="AO1349" s="392"/>
      <c r="AP1349" s="392" t="s">
        <v>55</v>
      </c>
      <c r="AQ1349" s="392"/>
      <c r="AR1349" s="392" t="s">
        <v>55</v>
      </c>
      <c r="AS1349" s="479">
        <v>41052</v>
      </c>
      <c r="AT1349" s="453"/>
      <c r="AU1349" s="453"/>
      <c r="AV1349" s="452">
        <v>41075</v>
      </c>
      <c r="AW1349" s="452">
        <v>41303</v>
      </c>
      <c r="AX1349" s="452">
        <v>41439</v>
      </c>
      <c r="AY1349" s="452">
        <v>41303</v>
      </c>
      <c r="AZ1349" s="453"/>
      <c r="BA1349" s="393"/>
      <c r="BB1349" s="393" t="s">
        <v>3147</v>
      </c>
      <c r="BC1349" s="393" t="b">
        <v>0</v>
      </c>
      <c r="BD1349" s="393" t="s">
        <v>3147</v>
      </c>
      <c r="BE1349" s="392"/>
      <c r="BF1349" s="394">
        <v>1</v>
      </c>
      <c r="BG1349" s="394">
        <v>3</v>
      </c>
      <c r="BH1349" s="394">
        <v>6</v>
      </c>
      <c r="BI1349" s="394">
        <v>2</v>
      </c>
      <c r="BJ1349" s="394"/>
      <c r="BK1349" s="394"/>
      <c r="BL1349" s="444"/>
      <c r="BM1349" s="392"/>
      <c r="BN1349" s="393"/>
      <c r="BO1349" s="393"/>
      <c r="BP1349" s="399"/>
      <c r="BQ1349" s="400"/>
      <c r="BR1349" s="401"/>
      <c r="BS1349" s="399">
        <v>0</v>
      </c>
      <c r="BT1349" s="394"/>
      <c r="BU1349" s="417"/>
      <c r="BV1349" s="399"/>
      <c r="BW1349" s="393"/>
      <c r="BX1349" s="392"/>
      <c r="BY1349" s="393"/>
      <c r="BZ1349" s="393"/>
      <c r="CA1349" s="441"/>
      <c r="CB1349" s="400"/>
      <c r="CC1349" s="398"/>
      <c r="CD1349" s="398"/>
      <c r="CE1349" s="398"/>
      <c r="CF1349" s="398"/>
      <c r="CG1349" s="398"/>
      <c r="CH1349" s="398"/>
      <c r="CI1349" s="398"/>
      <c r="CJ1349" s="398">
        <v>85.68</v>
      </c>
      <c r="CK1349" s="398">
        <v>85.68</v>
      </c>
      <c r="CL1349" s="398">
        <v>85.68</v>
      </c>
      <c r="CM1349" s="398">
        <v>85.68</v>
      </c>
      <c r="CN1349" s="398">
        <v>85.68</v>
      </c>
      <c r="CO1349" s="398">
        <v>85.68</v>
      </c>
      <c r="CP1349" s="398">
        <v>85.68</v>
      </c>
      <c r="CQ1349" s="398"/>
      <c r="CR1349" s="398"/>
      <c r="CS1349" s="398"/>
      <c r="CT1349" s="398"/>
      <c r="CU1349" s="398"/>
      <c r="CV1349" s="398"/>
      <c r="CW1349" s="398"/>
      <c r="CX1349" s="398"/>
      <c r="CY1349" s="398"/>
      <c r="CZ1349" s="398"/>
      <c r="DA1349" s="398"/>
      <c r="DB1349" s="398"/>
      <c r="DC1349" s="398"/>
      <c r="DD1349" s="398"/>
      <c r="DE1349" s="393"/>
      <c r="DF1349" s="393"/>
      <c r="DG1349" s="393"/>
      <c r="DH1349" s="393"/>
      <c r="DI1349" s="393"/>
      <c r="DJ1349" s="393"/>
      <c r="DK1349" s="896" t="s">
        <v>9711</v>
      </c>
    </row>
    <row r="1350" spans="1:115" ht="38.25" x14ac:dyDescent="0.2">
      <c r="A1350" s="295">
        <v>1346</v>
      </c>
      <c r="B1350" s="390" t="s">
        <v>2913</v>
      </c>
      <c r="C1350" s="390"/>
      <c r="D1350" s="391" t="s">
        <v>5203</v>
      </c>
      <c r="E1350" s="704" t="s">
        <v>2065</v>
      </c>
      <c r="F1350" s="393" t="s">
        <v>1340</v>
      </c>
      <c r="G1350" s="393" t="s">
        <v>1676</v>
      </c>
      <c r="H1350" s="393" t="s">
        <v>58</v>
      </c>
      <c r="I1350" s="392"/>
      <c r="J1350" s="392"/>
      <c r="K1350" s="392" t="s">
        <v>2248</v>
      </c>
      <c r="L1350" s="392" t="s">
        <v>2063</v>
      </c>
      <c r="M1350" s="392"/>
      <c r="N1350" s="393" t="s">
        <v>44</v>
      </c>
      <c r="O1350" s="393" t="s">
        <v>69</v>
      </c>
      <c r="P1350" s="393" t="s">
        <v>69</v>
      </c>
      <c r="Q1350" s="392" t="s">
        <v>1111</v>
      </c>
      <c r="R1350" s="392" t="s">
        <v>4137</v>
      </c>
      <c r="S1350" s="392" t="s">
        <v>2407</v>
      </c>
      <c r="T1350" s="394">
        <v>1</v>
      </c>
      <c r="U1350" s="395">
        <v>5.2430000000000003</v>
      </c>
      <c r="V1350" s="395"/>
      <c r="W1350" s="453"/>
      <c r="X1350" s="394"/>
      <c r="Y1350" s="394">
        <v>10</v>
      </c>
      <c r="Z1350" s="394">
        <v>10</v>
      </c>
      <c r="AA1350" s="395">
        <v>0</v>
      </c>
      <c r="AB1350" s="452">
        <v>41303</v>
      </c>
      <c r="AC1350" s="398">
        <v>0</v>
      </c>
      <c r="AD1350" s="398">
        <v>52.430000000000007</v>
      </c>
      <c r="AE1350" s="393" t="s">
        <v>2064</v>
      </c>
      <c r="AF1350" s="417"/>
      <c r="AG1350" s="417"/>
      <c r="AH1350" s="417"/>
      <c r="AI1350" s="394"/>
      <c r="AJ1350" s="453"/>
      <c r="AK1350" s="453"/>
      <c r="AL1350" s="393"/>
      <c r="AM1350" s="393"/>
      <c r="AN1350" s="417"/>
      <c r="AO1350" s="392"/>
      <c r="AP1350" s="392" t="s">
        <v>55</v>
      </c>
      <c r="AQ1350" s="392"/>
      <c r="AR1350" s="392" t="s">
        <v>55</v>
      </c>
      <c r="AS1350" s="479">
        <v>41052</v>
      </c>
      <c r="AT1350" s="453"/>
      <c r="AU1350" s="453"/>
      <c r="AV1350" s="453"/>
      <c r="AW1350" s="453"/>
      <c r="AX1350" s="453"/>
      <c r="AY1350" s="453"/>
      <c r="AZ1350" s="452">
        <v>41303</v>
      </c>
      <c r="BA1350" s="393"/>
      <c r="BB1350" s="393"/>
      <c r="BC1350" s="393" t="b">
        <v>0</v>
      </c>
      <c r="BD1350" s="393"/>
      <c r="BE1350" s="392"/>
      <c r="BF1350" s="394">
        <v>2</v>
      </c>
      <c r="BG1350" s="394">
        <v>11</v>
      </c>
      <c r="BH1350" s="394">
        <v>5</v>
      </c>
      <c r="BI1350" s="394"/>
      <c r="BJ1350" s="394"/>
      <c r="BK1350" s="394"/>
      <c r="BL1350" s="444" t="s">
        <v>6981</v>
      </c>
      <c r="BM1350" s="392"/>
      <c r="BN1350" s="393"/>
      <c r="BO1350" s="393"/>
      <c r="BP1350" s="399"/>
      <c r="BQ1350" s="400"/>
      <c r="BR1350" s="401"/>
      <c r="BS1350" s="399"/>
      <c r="BT1350" s="394"/>
      <c r="BU1350" s="417"/>
      <c r="BV1350" s="399"/>
      <c r="BW1350" s="393" t="s">
        <v>3165</v>
      </c>
      <c r="BX1350" s="392" t="s">
        <v>1447</v>
      </c>
      <c r="BY1350" s="393"/>
      <c r="BZ1350" s="393"/>
      <c r="CA1350" s="441" t="s">
        <v>1664</v>
      </c>
      <c r="CB1350" s="400">
        <v>4</v>
      </c>
      <c r="CC1350" s="398"/>
      <c r="CD1350" s="398"/>
      <c r="CE1350" s="398"/>
      <c r="CF1350" s="398"/>
      <c r="CG1350" s="398"/>
      <c r="CH1350" s="398"/>
      <c r="CI1350" s="398">
        <v>4.806</v>
      </c>
      <c r="CJ1350" s="398">
        <v>5.2430000000000003</v>
      </c>
      <c r="CK1350" s="398">
        <v>5.2430000000000003</v>
      </c>
      <c r="CL1350" s="398">
        <v>5.2430000000000003</v>
      </c>
      <c r="CM1350" s="398">
        <v>5.2430000000000003</v>
      </c>
      <c r="CN1350" s="398">
        <v>5.2430000000000003</v>
      </c>
      <c r="CO1350" s="398">
        <v>5.2430000000000003</v>
      </c>
      <c r="CP1350" s="398">
        <v>5.2430000000000003</v>
      </c>
      <c r="CQ1350" s="398">
        <v>5.2430000000000003</v>
      </c>
      <c r="CR1350" s="398">
        <v>5.2430000000000003</v>
      </c>
      <c r="CS1350" s="398">
        <v>5.2430000000000003</v>
      </c>
      <c r="CT1350" s="398">
        <v>0.437</v>
      </c>
      <c r="CU1350" s="398"/>
      <c r="CV1350" s="398"/>
      <c r="CW1350" s="398"/>
      <c r="CX1350" s="398"/>
      <c r="CY1350" s="398"/>
      <c r="CZ1350" s="398"/>
      <c r="DA1350" s="398"/>
      <c r="DB1350" s="398"/>
      <c r="DC1350" s="398"/>
      <c r="DD1350" s="398"/>
      <c r="DE1350" s="393"/>
      <c r="DF1350" s="393"/>
      <c r="DG1350" s="393"/>
      <c r="DH1350" s="393"/>
      <c r="DI1350" s="393"/>
      <c r="DJ1350" s="393"/>
      <c r="DK1350" s="897"/>
    </row>
    <row r="1351" spans="1:115" ht="25.5" x14ac:dyDescent="0.2">
      <c r="A1351" s="295">
        <v>1347</v>
      </c>
      <c r="B1351" s="390" t="s">
        <v>2066</v>
      </c>
      <c r="C1351" s="424" t="s">
        <v>7742</v>
      </c>
      <c r="D1351" s="391" t="s">
        <v>5204</v>
      </c>
      <c r="E1351" s="704" t="s">
        <v>2067</v>
      </c>
      <c r="F1351" s="393" t="s">
        <v>1375</v>
      </c>
      <c r="G1351" s="393" t="s">
        <v>998</v>
      </c>
      <c r="H1351" s="393" t="s">
        <v>218</v>
      </c>
      <c r="I1351" s="392"/>
      <c r="J1351" s="392" t="s">
        <v>218</v>
      </c>
      <c r="K1351" s="392"/>
      <c r="L1351" s="392" t="s">
        <v>2068</v>
      </c>
      <c r="M1351" s="392" t="s">
        <v>3602</v>
      </c>
      <c r="N1351" s="393" t="s">
        <v>44</v>
      </c>
      <c r="O1351" s="393" t="s">
        <v>827</v>
      </c>
      <c r="P1351" s="393" t="s">
        <v>51</v>
      </c>
      <c r="Q1351" s="392" t="s">
        <v>828</v>
      </c>
      <c r="R1351" s="392"/>
      <c r="S1351" s="392" t="s">
        <v>483</v>
      </c>
      <c r="T1351" s="394">
        <v>1</v>
      </c>
      <c r="U1351" s="395">
        <v>13.823</v>
      </c>
      <c r="V1351" s="395"/>
      <c r="W1351" s="452">
        <v>41122</v>
      </c>
      <c r="X1351" s="394">
        <v>28</v>
      </c>
      <c r="Y1351" s="394"/>
      <c r="Z1351" s="394"/>
      <c r="AA1351" s="395"/>
      <c r="AB1351" s="453"/>
      <c r="AC1351" s="398">
        <v>0</v>
      </c>
      <c r="AD1351" s="398">
        <v>138.23000000000002</v>
      </c>
      <c r="AE1351" s="393" t="s">
        <v>787</v>
      </c>
      <c r="AF1351" s="417"/>
      <c r="AG1351" s="417"/>
      <c r="AH1351" s="417">
        <v>0</v>
      </c>
      <c r="AI1351" s="394"/>
      <c r="AJ1351" s="453"/>
      <c r="AK1351" s="453"/>
      <c r="AL1351" s="393"/>
      <c r="AM1351" s="393"/>
      <c r="AN1351" s="417"/>
      <c r="AO1351" s="392"/>
      <c r="AP1351" s="392" t="s">
        <v>55</v>
      </c>
      <c r="AQ1351" s="392"/>
      <c r="AR1351" s="392" t="s">
        <v>2070</v>
      </c>
      <c r="AS1351" s="479">
        <v>41052</v>
      </c>
      <c r="AT1351" s="453"/>
      <c r="AU1351" s="453"/>
      <c r="AV1351" s="452">
        <v>41220</v>
      </c>
      <c r="AW1351" s="452">
        <v>41274</v>
      </c>
      <c r="AX1351" s="452">
        <v>41453</v>
      </c>
      <c r="AY1351" s="452">
        <v>41274</v>
      </c>
      <c r="AZ1351" s="453"/>
      <c r="BA1351" s="393"/>
      <c r="BB1351" s="393" t="s">
        <v>3116</v>
      </c>
      <c r="BC1351" s="393" t="b">
        <v>0</v>
      </c>
      <c r="BD1351" s="393" t="s">
        <v>3147</v>
      </c>
      <c r="BE1351" s="392"/>
      <c r="BF1351" s="394">
        <v>10</v>
      </c>
      <c r="BG1351" s="394">
        <v>9</v>
      </c>
      <c r="BH1351" s="394">
        <v>8</v>
      </c>
      <c r="BI1351" s="394">
        <v>5</v>
      </c>
      <c r="BJ1351" s="394"/>
      <c r="BK1351" s="394"/>
      <c r="BL1351" s="444"/>
      <c r="BM1351" s="392"/>
      <c r="BN1351" s="393"/>
      <c r="BO1351" s="393"/>
      <c r="BP1351" s="399"/>
      <c r="BQ1351" s="400"/>
      <c r="BR1351" s="401"/>
      <c r="BS1351" s="399">
        <v>0</v>
      </c>
      <c r="BT1351" s="394"/>
      <c r="BU1351" s="417"/>
      <c r="BV1351" s="399"/>
      <c r="BW1351" s="393"/>
      <c r="BX1351" s="392"/>
      <c r="BY1351" s="475" t="s">
        <v>7227</v>
      </c>
      <c r="BZ1351" s="393"/>
      <c r="CA1351" s="441"/>
      <c r="CB1351" s="400"/>
      <c r="CC1351" s="398"/>
      <c r="CD1351" s="398"/>
      <c r="CE1351" s="398"/>
      <c r="CF1351" s="398"/>
      <c r="CG1351" s="398"/>
      <c r="CH1351" s="398"/>
      <c r="CI1351" s="398"/>
      <c r="CJ1351" s="398"/>
      <c r="CK1351" s="398"/>
      <c r="CL1351" s="398"/>
      <c r="CM1351" s="398"/>
      <c r="CN1351" s="398"/>
      <c r="CO1351" s="398"/>
      <c r="CP1351" s="398"/>
      <c r="CQ1351" s="398"/>
      <c r="CR1351" s="398"/>
      <c r="CS1351" s="398"/>
      <c r="CT1351" s="398"/>
      <c r="CU1351" s="398"/>
      <c r="CV1351" s="398"/>
      <c r="CW1351" s="398"/>
      <c r="CX1351" s="398"/>
      <c r="CY1351" s="398"/>
      <c r="CZ1351" s="398"/>
      <c r="DA1351" s="398"/>
      <c r="DB1351" s="398"/>
      <c r="DC1351" s="398"/>
      <c r="DD1351" s="398"/>
      <c r="DE1351" s="393"/>
      <c r="DF1351" s="393"/>
      <c r="DG1351" s="393"/>
      <c r="DH1351" s="393"/>
      <c r="DI1351" s="393"/>
      <c r="DJ1351" s="393"/>
      <c r="DK1351" s="896" t="s">
        <v>9701</v>
      </c>
    </row>
    <row r="1352" spans="1:115" ht="15" x14ac:dyDescent="0.2">
      <c r="A1352" s="295">
        <v>1348</v>
      </c>
      <c r="B1352" s="390" t="s">
        <v>2914</v>
      </c>
      <c r="C1352" s="390"/>
      <c r="D1352" s="391" t="s">
        <v>5205</v>
      </c>
      <c r="E1352" s="704" t="s">
        <v>2069</v>
      </c>
      <c r="F1352" s="393" t="s">
        <v>1375</v>
      </c>
      <c r="G1352" s="393" t="s">
        <v>998</v>
      </c>
      <c r="H1352" s="393" t="s">
        <v>218</v>
      </c>
      <c r="I1352" s="392"/>
      <c r="J1352" s="392"/>
      <c r="K1352" s="392" t="s">
        <v>159</v>
      </c>
      <c r="L1352" s="392" t="s">
        <v>2068</v>
      </c>
      <c r="M1352" s="392"/>
      <c r="N1352" s="393" t="s">
        <v>44</v>
      </c>
      <c r="O1352" s="393" t="s">
        <v>827</v>
      </c>
      <c r="P1352" s="393" t="s">
        <v>51</v>
      </c>
      <c r="Q1352" s="392" t="s">
        <v>828</v>
      </c>
      <c r="R1352" s="392" t="s">
        <v>3603</v>
      </c>
      <c r="S1352" s="392" t="s">
        <v>483</v>
      </c>
      <c r="T1352" s="394">
        <v>1</v>
      </c>
      <c r="U1352" s="395">
        <v>13.823</v>
      </c>
      <c r="V1352" s="395"/>
      <c r="W1352" s="453"/>
      <c r="X1352" s="394"/>
      <c r="Y1352" s="394">
        <v>10</v>
      </c>
      <c r="Z1352" s="394">
        <v>1</v>
      </c>
      <c r="AA1352" s="395">
        <v>0</v>
      </c>
      <c r="AB1352" s="452">
        <v>41306</v>
      </c>
      <c r="AC1352" s="398">
        <v>0</v>
      </c>
      <c r="AD1352" s="398">
        <v>138.23000000000002</v>
      </c>
      <c r="AE1352" s="393" t="s">
        <v>787</v>
      </c>
      <c r="AF1352" s="417"/>
      <c r="AG1352" s="417"/>
      <c r="AH1352" s="417"/>
      <c r="AI1352" s="394"/>
      <c r="AJ1352" s="453"/>
      <c r="AK1352" s="453"/>
      <c r="AL1352" s="393"/>
      <c r="AM1352" s="393"/>
      <c r="AN1352" s="417"/>
      <c r="AO1352" s="392"/>
      <c r="AP1352" s="392" t="s">
        <v>55</v>
      </c>
      <c r="AQ1352" s="392"/>
      <c r="AR1352" s="392" t="s">
        <v>2070</v>
      </c>
      <c r="AS1352" s="479">
        <v>41052</v>
      </c>
      <c r="AT1352" s="453"/>
      <c r="AU1352" s="453"/>
      <c r="AV1352" s="453"/>
      <c r="AW1352" s="453"/>
      <c r="AX1352" s="453"/>
      <c r="AY1352" s="453"/>
      <c r="AZ1352" s="452">
        <v>41274</v>
      </c>
      <c r="BA1352" s="393"/>
      <c r="BB1352" s="393"/>
      <c r="BC1352" s="393" t="b">
        <v>0</v>
      </c>
      <c r="BD1352" s="393"/>
      <c r="BE1352" s="392"/>
      <c r="BF1352" s="394">
        <v>10</v>
      </c>
      <c r="BG1352" s="394">
        <v>9</v>
      </c>
      <c r="BH1352" s="394">
        <v>8</v>
      </c>
      <c r="BI1352" s="394">
        <v>5</v>
      </c>
      <c r="BJ1352" s="394"/>
      <c r="BK1352" s="394"/>
      <c r="BL1352" s="444" t="s">
        <v>6981</v>
      </c>
      <c r="BM1352" s="392"/>
      <c r="BN1352" s="393"/>
      <c r="BO1352" s="393"/>
      <c r="BP1352" s="399"/>
      <c r="BQ1352" s="400"/>
      <c r="BR1352" s="401"/>
      <c r="BS1352" s="399"/>
      <c r="BT1352" s="394"/>
      <c r="BU1352" s="417"/>
      <c r="BV1352" s="399"/>
      <c r="BW1352" s="393" t="s">
        <v>3117</v>
      </c>
      <c r="BX1352" s="392" t="s">
        <v>1449</v>
      </c>
      <c r="BY1352" s="475" t="s">
        <v>7227</v>
      </c>
      <c r="BZ1352" s="393"/>
      <c r="CA1352" s="441"/>
      <c r="CB1352" s="400"/>
      <c r="CC1352" s="398"/>
      <c r="CD1352" s="398"/>
      <c r="CE1352" s="398"/>
      <c r="CF1352" s="398"/>
      <c r="CG1352" s="398"/>
      <c r="CH1352" s="398"/>
      <c r="CI1352" s="398">
        <v>2.5779999999999998</v>
      </c>
      <c r="CJ1352" s="398">
        <v>9.9209999999999994</v>
      </c>
      <c r="CK1352" s="398">
        <v>16.687999999999999</v>
      </c>
      <c r="CL1352" s="398">
        <v>18.888000000000002</v>
      </c>
      <c r="CM1352" s="398">
        <v>18.989999999999998</v>
      </c>
      <c r="CN1352" s="398">
        <v>19.007999999999999</v>
      </c>
      <c r="CO1352" s="398">
        <v>19.015999999999998</v>
      </c>
      <c r="CP1352" s="398">
        <v>18.765000000000001</v>
      </c>
      <c r="CQ1352" s="398">
        <v>11.792</v>
      </c>
      <c r="CR1352" s="398">
        <v>2.5880000000000001</v>
      </c>
      <c r="CS1352" s="398"/>
      <c r="CT1352" s="398"/>
      <c r="CU1352" s="398"/>
      <c r="CV1352" s="398"/>
      <c r="CW1352" s="398"/>
      <c r="CX1352" s="398"/>
      <c r="CY1352" s="398"/>
      <c r="CZ1352" s="398"/>
      <c r="DA1352" s="398"/>
      <c r="DB1352" s="398"/>
      <c r="DC1352" s="398"/>
      <c r="DD1352" s="398"/>
      <c r="DE1352" s="393"/>
      <c r="DF1352" s="393"/>
      <c r="DG1352" s="393"/>
      <c r="DH1352" s="393"/>
      <c r="DI1352" s="393"/>
      <c r="DJ1352" s="393"/>
      <c r="DK1352" s="897"/>
    </row>
    <row r="1353" spans="1:115" ht="63.75" x14ac:dyDescent="0.2">
      <c r="A1353" s="295">
        <v>1349</v>
      </c>
      <c r="B1353" s="390" t="s">
        <v>2071</v>
      </c>
      <c r="C1353" s="424" t="s">
        <v>7743</v>
      </c>
      <c r="D1353" s="391" t="s">
        <v>5206</v>
      </c>
      <c r="E1353" s="843" t="s">
        <v>2072</v>
      </c>
      <c r="F1353" s="393" t="s">
        <v>1352</v>
      </c>
      <c r="G1353" s="393" t="s">
        <v>1673</v>
      </c>
      <c r="H1353" s="393" t="s">
        <v>42</v>
      </c>
      <c r="I1353" s="563"/>
      <c r="J1353" s="563" t="s">
        <v>42</v>
      </c>
      <c r="K1353" s="563"/>
      <c r="L1353" s="563" t="s">
        <v>2073</v>
      </c>
      <c r="M1353" s="563" t="s">
        <v>3604</v>
      </c>
      <c r="N1353" s="561" t="s">
        <v>44</v>
      </c>
      <c r="O1353" s="393" t="s">
        <v>45</v>
      </c>
      <c r="P1353" s="393" t="s">
        <v>45</v>
      </c>
      <c r="Q1353" s="392" t="s">
        <v>1212</v>
      </c>
      <c r="R1353" s="392"/>
      <c r="S1353" s="563" t="s">
        <v>2074</v>
      </c>
      <c r="T1353" s="564">
        <v>1</v>
      </c>
      <c r="U1353" s="565">
        <v>0.215</v>
      </c>
      <c r="V1353" s="565"/>
      <c r="W1353" s="567">
        <v>41053</v>
      </c>
      <c r="X1353" s="564">
        <v>28</v>
      </c>
      <c r="Y1353" s="564"/>
      <c r="Z1353" s="564"/>
      <c r="AA1353" s="565"/>
      <c r="AB1353" s="566"/>
      <c r="AC1353" s="568">
        <v>0</v>
      </c>
      <c r="AD1353" s="568">
        <v>2.15</v>
      </c>
      <c r="AE1353" s="561" t="s">
        <v>787</v>
      </c>
      <c r="AF1353" s="569"/>
      <c r="AG1353" s="569"/>
      <c r="AH1353" s="569">
        <v>0</v>
      </c>
      <c r="AI1353" s="564"/>
      <c r="AJ1353" s="566"/>
      <c r="AK1353" s="566"/>
      <c r="AL1353" s="561"/>
      <c r="AM1353" s="561"/>
      <c r="AN1353" s="569"/>
      <c r="AO1353" s="563"/>
      <c r="AP1353" s="560" t="s">
        <v>8100</v>
      </c>
      <c r="AQ1353" s="563"/>
      <c r="AR1353" s="392" t="s">
        <v>2076</v>
      </c>
      <c r="AS1353" s="479">
        <v>41053</v>
      </c>
      <c r="AT1353" s="566"/>
      <c r="AU1353" s="566"/>
      <c r="AV1353" s="567">
        <v>41235</v>
      </c>
      <c r="AW1353" s="567">
        <v>41267</v>
      </c>
      <c r="AX1353" s="567">
        <v>41359</v>
      </c>
      <c r="AY1353" s="567">
        <v>41267</v>
      </c>
      <c r="AZ1353" s="566"/>
      <c r="BA1353" s="561"/>
      <c r="BB1353" s="561" t="s">
        <v>3116</v>
      </c>
      <c r="BC1353" s="561" t="b">
        <v>0</v>
      </c>
      <c r="BD1353" s="561" t="s">
        <v>3116</v>
      </c>
      <c r="BE1353" s="563"/>
      <c r="BF1353" s="394">
        <v>5</v>
      </c>
      <c r="BG1353" s="394">
        <v>8</v>
      </c>
      <c r="BH1353" s="394">
        <v>10</v>
      </c>
      <c r="BI1353" s="394">
        <v>9</v>
      </c>
      <c r="BJ1353" s="394"/>
      <c r="BK1353" s="394"/>
      <c r="BL1353" s="444"/>
      <c r="BM1353" s="563"/>
      <c r="BN1353" s="561"/>
      <c r="BO1353" s="561"/>
      <c r="BP1353" s="571"/>
      <c r="BQ1353" s="572"/>
      <c r="BR1353" s="573"/>
      <c r="BS1353" s="571">
        <v>3.2000000000000001E-2</v>
      </c>
      <c r="BT1353" s="564"/>
      <c r="BU1353" s="569"/>
      <c r="BV1353" s="571"/>
      <c r="BW1353" s="561"/>
      <c r="BX1353" s="563"/>
      <c r="BY1353" s="561"/>
      <c r="BZ1353" s="561"/>
      <c r="CA1353" s="574"/>
      <c r="CB1353" s="572"/>
      <c r="CC1353" s="568"/>
      <c r="CD1353" s="568"/>
      <c r="CE1353" s="568"/>
      <c r="CF1353" s="568"/>
      <c r="CG1353" s="568"/>
      <c r="CH1353" s="568"/>
      <c r="CI1353" s="568"/>
      <c r="CJ1353" s="568"/>
      <c r="CK1353" s="568"/>
      <c r="CL1353" s="568"/>
      <c r="CM1353" s="568"/>
      <c r="CN1353" s="568"/>
      <c r="CO1353" s="568"/>
      <c r="CP1353" s="568"/>
      <c r="CQ1353" s="568"/>
      <c r="CR1353" s="568"/>
      <c r="CS1353" s="568"/>
      <c r="CT1353" s="568"/>
      <c r="CU1353" s="568"/>
      <c r="CV1353" s="568"/>
      <c r="CW1353" s="568"/>
      <c r="CX1353" s="568"/>
      <c r="CY1353" s="568"/>
      <c r="CZ1353" s="568"/>
      <c r="DA1353" s="568"/>
      <c r="DB1353" s="568"/>
      <c r="DC1353" s="568"/>
      <c r="DD1353" s="568"/>
      <c r="DE1353" s="561"/>
      <c r="DF1353" s="561"/>
      <c r="DG1353" s="561"/>
      <c r="DH1353" s="561"/>
      <c r="DI1353" s="561"/>
      <c r="DJ1353" s="561"/>
      <c r="DK1353" s="896" t="s">
        <v>9735</v>
      </c>
    </row>
    <row r="1354" spans="1:115" ht="25.5" x14ac:dyDescent="0.2">
      <c r="A1354" s="295">
        <v>1350</v>
      </c>
      <c r="B1354" s="390" t="s">
        <v>2915</v>
      </c>
      <c r="C1354" s="390"/>
      <c r="D1354" s="391" t="s">
        <v>4628</v>
      </c>
      <c r="E1354" s="843" t="s">
        <v>2075</v>
      </c>
      <c r="F1354" s="393" t="s">
        <v>1352</v>
      </c>
      <c r="G1354" s="393" t="s">
        <v>1673</v>
      </c>
      <c r="H1354" s="393" t="s">
        <v>42</v>
      </c>
      <c r="I1354" s="563"/>
      <c r="J1354" s="563"/>
      <c r="K1354" s="563" t="s">
        <v>2247</v>
      </c>
      <c r="L1354" s="563" t="s">
        <v>2073</v>
      </c>
      <c r="M1354" s="563"/>
      <c r="N1354" s="393" t="s">
        <v>44</v>
      </c>
      <c r="O1354" s="393" t="s">
        <v>45</v>
      </c>
      <c r="P1354" s="393" t="s">
        <v>45</v>
      </c>
      <c r="Q1354" s="392" t="s">
        <v>1212</v>
      </c>
      <c r="R1354" s="563" t="s">
        <v>4138</v>
      </c>
      <c r="S1354" s="563" t="s">
        <v>2074</v>
      </c>
      <c r="T1354" s="564">
        <v>1</v>
      </c>
      <c r="U1354" s="565">
        <v>0.215</v>
      </c>
      <c r="V1354" s="565"/>
      <c r="W1354" s="566"/>
      <c r="X1354" s="564"/>
      <c r="Y1354" s="564">
        <v>10</v>
      </c>
      <c r="Z1354" s="564">
        <v>20</v>
      </c>
      <c r="AA1354" s="565">
        <v>0</v>
      </c>
      <c r="AB1354" s="567">
        <v>41306</v>
      </c>
      <c r="AC1354" s="568">
        <v>0</v>
      </c>
      <c r="AD1354" s="568">
        <v>2.15</v>
      </c>
      <c r="AE1354" s="561" t="s">
        <v>787</v>
      </c>
      <c r="AF1354" s="569"/>
      <c r="AG1354" s="569"/>
      <c r="AH1354" s="569"/>
      <c r="AI1354" s="564"/>
      <c r="AJ1354" s="566"/>
      <c r="AK1354" s="566"/>
      <c r="AL1354" s="561"/>
      <c r="AM1354" s="561"/>
      <c r="AN1354" s="569"/>
      <c r="AO1354" s="563"/>
      <c r="AP1354" s="560" t="s">
        <v>8100</v>
      </c>
      <c r="AQ1354" s="563"/>
      <c r="AR1354" s="563" t="s">
        <v>2076</v>
      </c>
      <c r="AS1354" s="578">
        <v>41053</v>
      </c>
      <c r="AT1354" s="566"/>
      <c r="AU1354" s="566"/>
      <c r="AV1354" s="566"/>
      <c r="AW1354" s="566"/>
      <c r="AX1354" s="566"/>
      <c r="AY1354" s="566"/>
      <c r="AZ1354" s="567">
        <v>41267</v>
      </c>
      <c r="BA1354" s="561"/>
      <c r="BB1354" s="561"/>
      <c r="BC1354" s="561" t="b">
        <v>0</v>
      </c>
      <c r="BD1354" s="561"/>
      <c r="BE1354" s="563"/>
      <c r="BF1354" s="394">
        <v>5</v>
      </c>
      <c r="BG1354" s="394">
        <v>8</v>
      </c>
      <c r="BH1354" s="394">
        <v>10</v>
      </c>
      <c r="BI1354" s="564">
        <v>9</v>
      </c>
      <c r="BJ1354" s="564"/>
      <c r="BK1354" s="564"/>
      <c r="BL1354" s="444" t="s">
        <v>6983</v>
      </c>
      <c r="BM1354" s="563"/>
      <c r="BN1354" s="561"/>
      <c r="BO1354" s="561"/>
      <c r="BP1354" s="571"/>
      <c r="BQ1354" s="572"/>
      <c r="BR1354" s="573"/>
      <c r="BS1354" s="571">
        <v>3.2000000000000001E-2</v>
      </c>
      <c r="BT1354" s="564">
        <v>0</v>
      </c>
      <c r="BU1354" s="569"/>
      <c r="BV1354" s="571"/>
      <c r="BW1354" s="561" t="s">
        <v>3117</v>
      </c>
      <c r="BX1354" s="563" t="s">
        <v>4364</v>
      </c>
      <c r="BY1354" s="561" t="s">
        <v>7224</v>
      </c>
      <c r="BZ1354" s="561"/>
      <c r="CA1354" s="574"/>
      <c r="CB1354" s="572"/>
      <c r="CC1354" s="568"/>
      <c r="CD1354" s="568"/>
      <c r="CE1354" s="568"/>
      <c r="CF1354" s="568"/>
      <c r="CG1354" s="568"/>
      <c r="CH1354" s="568"/>
      <c r="CI1354" s="568">
        <v>0.215</v>
      </c>
      <c r="CJ1354" s="568">
        <v>0.215</v>
      </c>
      <c r="CK1354" s="568">
        <v>0.215</v>
      </c>
      <c r="CL1354" s="568">
        <v>0.215</v>
      </c>
      <c r="CM1354" s="568">
        <v>0.215</v>
      </c>
      <c r="CN1354" s="568">
        <v>0.215</v>
      </c>
      <c r="CO1354" s="568">
        <v>0.215</v>
      </c>
      <c r="CP1354" s="568">
        <v>0.215</v>
      </c>
      <c r="CQ1354" s="568">
        <v>0.215</v>
      </c>
      <c r="CR1354" s="568">
        <v>0.215</v>
      </c>
      <c r="CS1354" s="568"/>
      <c r="CT1354" s="568"/>
      <c r="CU1354" s="568"/>
      <c r="CV1354" s="568"/>
      <c r="CW1354" s="568"/>
      <c r="CX1354" s="568"/>
      <c r="CY1354" s="568"/>
      <c r="CZ1354" s="568"/>
      <c r="DA1354" s="568"/>
      <c r="DB1354" s="568"/>
      <c r="DC1354" s="568"/>
      <c r="DD1354" s="568"/>
      <c r="DE1354" s="561"/>
      <c r="DF1354" s="561"/>
      <c r="DG1354" s="561"/>
      <c r="DH1354" s="561"/>
      <c r="DI1354" s="561"/>
      <c r="DJ1354" s="561"/>
      <c r="DK1354" s="897"/>
    </row>
    <row r="1355" spans="1:115" ht="38.25" x14ac:dyDescent="0.2">
      <c r="A1355" s="295">
        <v>1351</v>
      </c>
      <c r="B1355" s="390" t="s">
        <v>2077</v>
      </c>
      <c r="C1355" s="424" t="s">
        <v>7744</v>
      </c>
      <c r="D1355" s="391" t="s">
        <v>5207</v>
      </c>
      <c r="E1355" s="704" t="s">
        <v>2078</v>
      </c>
      <c r="F1355" s="393" t="s">
        <v>1340</v>
      </c>
      <c r="G1355" s="393" t="s">
        <v>1677</v>
      </c>
      <c r="H1355" s="393" t="s">
        <v>718</v>
      </c>
      <c r="I1355" s="392"/>
      <c r="J1355" s="392" t="s">
        <v>718</v>
      </c>
      <c r="K1355" s="392"/>
      <c r="L1355" s="392" t="s">
        <v>2079</v>
      </c>
      <c r="M1355" s="392" t="s">
        <v>3605</v>
      </c>
      <c r="N1355" s="393" t="s">
        <v>44</v>
      </c>
      <c r="O1355" s="393" t="s">
        <v>1155</v>
      </c>
      <c r="P1355" s="393" t="s">
        <v>1155</v>
      </c>
      <c r="Q1355" s="392" t="s">
        <v>1155</v>
      </c>
      <c r="R1355" s="392"/>
      <c r="S1355" s="392" t="s">
        <v>650</v>
      </c>
      <c r="T1355" s="394">
        <v>1</v>
      </c>
      <c r="U1355" s="395">
        <v>41.948</v>
      </c>
      <c r="V1355" s="395"/>
      <c r="W1355" s="452">
        <v>41273</v>
      </c>
      <c r="X1355" s="394">
        <v>10</v>
      </c>
      <c r="Y1355" s="394"/>
      <c r="Z1355" s="394"/>
      <c r="AA1355" s="395"/>
      <c r="AB1355" s="453"/>
      <c r="AC1355" s="398">
        <v>0</v>
      </c>
      <c r="AD1355" s="398">
        <v>262.37612054794522</v>
      </c>
      <c r="AE1355" s="393" t="s">
        <v>47</v>
      </c>
      <c r="AF1355" s="417"/>
      <c r="AG1355" s="417"/>
      <c r="AH1355" s="417">
        <v>0</v>
      </c>
      <c r="AI1355" s="394"/>
      <c r="AJ1355" s="453"/>
      <c r="AK1355" s="453"/>
      <c r="AL1355" s="393"/>
      <c r="AM1355" s="393"/>
      <c r="AN1355" s="417"/>
      <c r="AO1355" s="392"/>
      <c r="AP1355" s="392" t="s">
        <v>55</v>
      </c>
      <c r="AQ1355" s="392"/>
      <c r="AR1355" s="392" t="s">
        <v>3816</v>
      </c>
      <c r="AS1355" s="479">
        <v>41054</v>
      </c>
      <c r="AT1355" s="453"/>
      <c r="AU1355" s="453"/>
      <c r="AV1355" s="452">
        <v>41200</v>
      </c>
      <c r="AW1355" s="452">
        <v>41235</v>
      </c>
      <c r="AX1355" s="452">
        <v>41297</v>
      </c>
      <c r="AY1355" s="452">
        <v>41242</v>
      </c>
      <c r="AZ1355" s="453"/>
      <c r="BA1355" s="393"/>
      <c r="BB1355" s="393" t="s">
        <v>3147</v>
      </c>
      <c r="BC1355" s="393" t="b">
        <v>1</v>
      </c>
      <c r="BD1355" s="393" t="s">
        <v>3147</v>
      </c>
      <c r="BE1355" s="392"/>
      <c r="BF1355" s="394">
        <v>12</v>
      </c>
      <c r="BG1355" s="394"/>
      <c r="BH1355" s="394"/>
      <c r="BI1355" s="394"/>
      <c r="BJ1355" s="394"/>
      <c r="BK1355" s="394"/>
      <c r="BL1355" s="444"/>
      <c r="BM1355" s="392"/>
      <c r="BN1355" s="393"/>
      <c r="BO1355" s="393"/>
      <c r="BP1355" s="399"/>
      <c r="BQ1355" s="400"/>
      <c r="BR1355" s="401"/>
      <c r="BS1355" s="399">
        <v>19.5</v>
      </c>
      <c r="BT1355" s="394"/>
      <c r="BU1355" s="417"/>
      <c r="BV1355" s="399"/>
      <c r="BW1355" s="393"/>
      <c r="BX1355" s="392"/>
      <c r="BY1355" s="393"/>
      <c r="BZ1355" s="393"/>
      <c r="CA1355" s="441"/>
      <c r="CB1355" s="400"/>
      <c r="CC1355" s="398"/>
      <c r="CD1355" s="398"/>
      <c r="CE1355" s="398"/>
      <c r="CF1355" s="398"/>
      <c r="CG1355" s="398"/>
      <c r="CH1355" s="398"/>
      <c r="CI1355" s="398"/>
      <c r="CJ1355" s="398"/>
      <c r="CK1355" s="398"/>
      <c r="CL1355" s="398"/>
      <c r="CM1355" s="398"/>
      <c r="CN1355" s="398"/>
      <c r="CO1355" s="398"/>
      <c r="CP1355" s="398"/>
      <c r="CQ1355" s="398"/>
      <c r="CR1355" s="398"/>
      <c r="CS1355" s="398"/>
      <c r="CT1355" s="398"/>
      <c r="CU1355" s="398"/>
      <c r="CV1355" s="398"/>
      <c r="CW1355" s="398"/>
      <c r="CX1355" s="398"/>
      <c r="CY1355" s="398"/>
      <c r="CZ1355" s="398"/>
      <c r="DA1355" s="398"/>
      <c r="DB1355" s="398"/>
      <c r="DC1355" s="398"/>
      <c r="DD1355" s="398"/>
      <c r="DE1355" s="393"/>
      <c r="DF1355" s="393"/>
      <c r="DG1355" s="393"/>
      <c r="DH1355" s="393"/>
      <c r="DI1355" s="393"/>
      <c r="DJ1355" s="393"/>
      <c r="DK1355" s="896" t="s">
        <v>9700</v>
      </c>
    </row>
    <row r="1356" spans="1:115" ht="25.5" x14ac:dyDescent="0.2">
      <c r="A1356" s="295">
        <v>1352</v>
      </c>
      <c r="B1356" s="390" t="s">
        <v>2916</v>
      </c>
      <c r="C1356" s="390"/>
      <c r="D1356" s="391" t="s">
        <v>4494</v>
      </c>
      <c r="E1356" s="704" t="s">
        <v>2080</v>
      </c>
      <c r="F1356" s="393" t="s">
        <v>1340</v>
      </c>
      <c r="G1356" s="393" t="s">
        <v>1677</v>
      </c>
      <c r="H1356" s="393" t="s">
        <v>718</v>
      </c>
      <c r="I1356" s="392"/>
      <c r="J1356" s="392"/>
      <c r="K1356" s="392" t="s">
        <v>2246</v>
      </c>
      <c r="L1356" s="392" t="s">
        <v>2079</v>
      </c>
      <c r="M1356" s="392"/>
      <c r="N1356" s="393" t="s">
        <v>44</v>
      </c>
      <c r="O1356" s="393" t="s">
        <v>1155</v>
      </c>
      <c r="P1356" s="393" t="s">
        <v>1155</v>
      </c>
      <c r="Q1356" s="392" t="s">
        <v>1155</v>
      </c>
      <c r="R1356" s="392" t="s">
        <v>3606</v>
      </c>
      <c r="S1356" s="392" t="s">
        <v>650</v>
      </c>
      <c r="T1356" s="394">
        <v>1</v>
      </c>
      <c r="U1356" s="395">
        <v>41.948</v>
      </c>
      <c r="V1356" s="395"/>
      <c r="W1356" s="453"/>
      <c r="X1356" s="394"/>
      <c r="Y1356" s="394">
        <v>7</v>
      </c>
      <c r="Z1356" s="394">
        <v>20</v>
      </c>
      <c r="AA1356" s="395">
        <v>0</v>
      </c>
      <c r="AB1356" s="452">
        <v>41913</v>
      </c>
      <c r="AC1356" s="398">
        <v>0</v>
      </c>
      <c r="AD1356" s="398">
        <v>262.37612054794522</v>
      </c>
      <c r="AE1356" s="393" t="s">
        <v>47</v>
      </c>
      <c r="AF1356" s="417"/>
      <c r="AG1356" s="417"/>
      <c r="AH1356" s="417"/>
      <c r="AI1356" s="394"/>
      <c r="AJ1356" s="453"/>
      <c r="AK1356" s="453"/>
      <c r="AL1356" s="393"/>
      <c r="AM1356" s="393"/>
      <c r="AN1356" s="417"/>
      <c r="AO1356" s="392"/>
      <c r="AP1356" s="392" t="s">
        <v>55</v>
      </c>
      <c r="AQ1356" s="392"/>
      <c r="AR1356" s="392" t="s">
        <v>3816</v>
      </c>
      <c r="AS1356" s="479">
        <v>41054</v>
      </c>
      <c r="AT1356" s="453"/>
      <c r="AU1356" s="453"/>
      <c r="AV1356" s="453"/>
      <c r="AW1356" s="453"/>
      <c r="AX1356" s="453"/>
      <c r="AY1356" s="453"/>
      <c r="AZ1356" s="452">
        <v>41242</v>
      </c>
      <c r="BA1356" s="393"/>
      <c r="BB1356" s="393"/>
      <c r="BC1356" s="393" t="b">
        <v>0</v>
      </c>
      <c r="BD1356" s="393"/>
      <c r="BE1356" s="392"/>
      <c r="BF1356" s="394">
        <v>12</v>
      </c>
      <c r="BG1356" s="394"/>
      <c r="BH1356" s="394"/>
      <c r="BI1356" s="394"/>
      <c r="BJ1356" s="394"/>
      <c r="BK1356" s="394"/>
      <c r="BL1356" s="444" t="s">
        <v>6982</v>
      </c>
      <c r="BM1356" s="392" t="s">
        <v>3607</v>
      </c>
      <c r="BN1356" s="393" t="s">
        <v>117</v>
      </c>
      <c r="BO1356" s="393"/>
      <c r="BP1356" s="399"/>
      <c r="BQ1356" s="400" t="s">
        <v>117</v>
      </c>
      <c r="BR1356" s="401"/>
      <c r="BS1356" s="399">
        <v>19.5</v>
      </c>
      <c r="BT1356" s="394">
        <v>62725</v>
      </c>
      <c r="BU1356" s="417">
        <v>0.69399999999999995</v>
      </c>
      <c r="BV1356" s="399"/>
      <c r="BW1356" s="393" t="s">
        <v>3117</v>
      </c>
      <c r="BX1356" s="392" t="s">
        <v>1447</v>
      </c>
      <c r="BY1356" s="393"/>
      <c r="BZ1356" s="393"/>
      <c r="CA1356" s="441" t="s">
        <v>1662</v>
      </c>
      <c r="CB1356" s="400">
        <v>3</v>
      </c>
      <c r="CC1356" s="398"/>
      <c r="CD1356" s="398"/>
      <c r="CE1356" s="398"/>
      <c r="CF1356" s="398"/>
      <c r="CG1356" s="398"/>
      <c r="CH1356" s="398"/>
      <c r="CI1356" s="398"/>
      <c r="CJ1356" s="398">
        <v>10.271000000000001</v>
      </c>
      <c r="CK1356" s="398">
        <v>41.085000000000001</v>
      </c>
      <c r="CL1356" s="398">
        <v>41.085000000000001</v>
      </c>
      <c r="CM1356" s="398">
        <v>41.085000000000001</v>
      </c>
      <c r="CN1356" s="398">
        <v>41.085000000000001</v>
      </c>
      <c r="CO1356" s="398">
        <v>41.085000000000001</v>
      </c>
      <c r="CP1356" s="398">
        <v>41.085000000000001</v>
      </c>
      <c r="CQ1356" s="398">
        <v>30.814</v>
      </c>
      <c r="CR1356" s="398"/>
      <c r="CS1356" s="398"/>
      <c r="CT1356" s="398"/>
      <c r="CU1356" s="398"/>
      <c r="CV1356" s="398"/>
      <c r="CW1356" s="398"/>
      <c r="CX1356" s="398"/>
      <c r="CY1356" s="398"/>
      <c r="CZ1356" s="398"/>
      <c r="DA1356" s="398"/>
      <c r="DB1356" s="398"/>
      <c r="DC1356" s="398"/>
      <c r="DD1356" s="398"/>
      <c r="DE1356" s="393"/>
      <c r="DF1356" s="393"/>
      <c r="DG1356" s="393"/>
      <c r="DH1356" s="393"/>
      <c r="DI1356" s="393"/>
      <c r="DJ1356" s="393"/>
      <c r="DK1356" s="897"/>
    </row>
    <row r="1357" spans="1:115" ht="51" x14ac:dyDescent="0.2">
      <c r="A1357" s="295">
        <v>1353</v>
      </c>
      <c r="B1357" s="390" t="s">
        <v>2081</v>
      </c>
      <c r="C1357" s="424" t="s">
        <v>7745</v>
      </c>
      <c r="D1357" s="391" t="s">
        <v>5208</v>
      </c>
      <c r="E1357" s="704" t="s">
        <v>2082</v>
      </c>
      <c r="F1357" s="393" t="s">
        <v>1352</v>
      </c>
      <c r="G1357" s="393" t="s">
        <v>1672</v>
      </c>
      <c r="H1357" s="393" t="s">
        <v>78</v>
      </c>
      <c r="I1357" s="392"/>
      <c r="J1357" s="392" t="s">
        <v>78</v>
      </c>
      <c r="K1357" s="392"/>
      <c r="L1357" s="392" t="s">
        <v>3787</v>
      </c>
      <c r="M1357" s="392" t="s">
        <v>3608</v>
      </c>
      <c r="N1357" s="393" t="s">
        <v>44</v>
      </c>
      <c r="O1357" s="393" t="s">
        <v>69</v>
      </c>
      <c r="P1357" s="393" t="s">
        <v>69</v>
      </c>
      <c r="Q1357" s="392" t="s">
        <v>690</v>
      </c>
      <c r="R1357" s="392"/>
      <c r="S1357" s="392" t="s">
        <v>2408</v>
      </c>
      <c r="T1357" s="394">
        <v>1</v>
      </c>
      <c r="U1357" s="395">
        <v>19.844000000000001</v>
      </c>
      <c r="V1357" s="395"/>
      <c r="W1357" s="452">
        <v>41054</v>
      </c>
      <c r="X1357" s="394">
        <v>28</v>
      </c>
      <c r="Y1357" s="394"/>
      <c r="Z1357" s="394"/>
      <c r="AA1357" s="395"/>
      <c r="AB1357" s="453"/>
      <c r="AC1357" s="398">
        <v>0</v>
      </c>
      <c r="AD1357" s="398">
        <v>198.44</v>
      </c>
      <c r="AE1357" s="393" t="s">
        <v>96</v>
      </c>
      <c r="AF1357" s="417"/>
      <c r="AG1357" s="417"/>
      <c r="AH1357" s="417">
        <v>0</v>
      </c>
      <c r="AI1357" s="394"/>
      <c r="AJ1357" s="453"/>
      <c r="AK1357" s="453"/>
      <c r="AL1357" s="393"/>
      <c r="AM1357" s="393"/>
      <c r="AN1357" s="417"/>
      <c r="AO1357" s="392"/>
      <c r="AP1357" s="392" t="s">
        <v>7088</v>
      </c>
      <c r="AQ1357" s="392"/>
      <c r="AR1357" s="392" t="s">
        <v>3787</v>
      </c>
      <c r="AS1357" s="479">
        <v>41054</v>
      </c>
      <c r="AT1357" s="453"/>
      <c r="AU1357" s="453"/>
      <c r="AV1357" s="452">
        <v>41211</v>
      </c>
      <c r="AW1357" s="452">
        <v>41265</v>
      </c>
      <c r="AX1357" s="452">
        <v>41360</v>
      </c>
      <c r="AY1357" s="452">
        <v>41267</v>
      </c>
      <c r="AZ1357" s="453"/>
      <c r="BA1357" s="393"/>
      <c r="BB1357" s="393" t="s">
        <v>3147</v>
      </c>
      <c r="BC1357" s="393" t="b">
        <v>0</v>
      </c>
      <c r="BD1357" s="393" t="s">
        <v>3147</v>
      </c>
      <c r="BE1357" s="392"/>
      <c r="BF1357" s="394">
        <v>3</v>
      </c>
      <c r="BG1357" s="394">
        <v>1</v>
      </c>
      <c r="BH1357" s="394">
        <v>4</v>
      </c>
      <c r="BI1357" s="394">
        <v>5</v>
      </c>
      <c r="BJ1357" s="394">
        <v>9</v>
      </c>
      <c r="BK1357" s="394">
        <v>11</v>
      </c>
      <c r="BL1357" s="444"/>
      <c r="BM1357" s="392"/>
      <c r="BN1357" s="393"/>
      <c r="BO1357" s="393"/>
      <c r="BP1357" s="399"/>
      <c r="BQ1357" s="400"/>
      <c r="BR1357" s="401"/>
      <c r="BS1357" s="399">
        <v>1</v>
      </c>
      <c r="BT1357" s="394"/>
      <c r="BU1357" s="417"/>
      <c r="BV1357" s="399"/>
      <c r="BW1357" s="393"/>
      <c r="BX1357" s="392"/>
      <c r="BY1357" s="475" t="s">
        <v>7224</v>
      </c>
      <c r="BZ1357" s="393"/>
      <c r="CA1357" s="441"/>
      <c r="CB1357" s="400"/>
      <c r="CC1357" s="398"/>
      <c r="CD1357" s="398"/>
      <c r="CE1357" s="398"/>
      <c r="CF1357" s="398"/>
      <c r="CG1357" s="398"/>
      <c r="CH1357" s="398"/>
      <c r="CI1357" s="398"/>
      <c r="CJ1357" s="398"/>
      <c r="CK1357" s="398"/>
      <c r="CL1357" s="398"/>
      <c r="CM1357" s="398"/>
      <c r="CN1357" s="398"/>
      <c r="CO1357" s="398"/>
      <c r="CP1357" s="398"/>
      <c r="CQ1357" s="398"/>
      <c r="CR1357" s="398"/>
      <c r="CS1357" s="398"/>
      <c r="CT1357" s="398"/>
      <c r="CU1357" s="398"/>
      <c r="CV1357" s="398"/>
      <c r="CW1357" s="398"/>
      <c r="CX1357" s="398"/>
      <c r="CY1357" s="398"/>
      <c r="CZ1357" s="398"/>
      <c r="DA1357" s="398"/>
      <c r="DB1357" s="398"/>
      <c r="DC1357" s="398"/>
      <c r="DD1357" s="398"/>
      <c r="DE1357" s="393"/>
      <c r="DF1357" s="393"/>
      <c r="DG1357" s="393"/>
      <c r="DH1357" s="393"/>
      <c r="DI1357" s="393"/>
      <c r="DJ1357" s="393"/>
      <c r="DK1357" s="896" t="s">
        <v>9722</v>
      </c>
    </row>
    <row r="1358" spans="1:115" ht="25.5" x14ac:dyDescent="0.2">
      <c r="A1358" s="295">
        <v>1354</v>
      </c>
      <c r="B1358" s="390" t="s">
        <v>2917</v>
      </c>
      <c r="C1358" s="390"/>
      <c r="D1358" s="391" t="s">
        <v>4629</v>
      </c>
      <c r="E1358" s="704" t="s">
        <v>2083</v>
      </c>
      <c r="F1358" s="393" t="s">
        <v>1352</v>
      </c>
      <c r="G1358" s="393" t="s">
        <v>1672</v>
      </c>
      <c r="H1358" s="393" t="s">
        <v>78</v>
      </c>
      <c r="I1358" s="392"/>
      <c r="J1358" s="392"/>
      <c r="K1358" s="392" t="s">
        <v>2173</v>
      </c>
      <c r="L1358" s="392" t="s">
        <v>3787</v>
      </c>
      <c r="M1358" s="392"/>
      <c r="N1358" s="393" t="s">
        <v>44</v>
      </c>
      <c r="O1358" s="393" t="s">
        <v>69</v>
      </c>
      <c r="P1358" s="393" t="s">
        <v>69</v>
      </c>
      <c r="Q1358" s="392" t="s">
        <v>690</v>
      </c>
      <c r="R1358" s="392" t="s">
        <v>4139</v>
      </c>
      <c r="S1358" s="392" t="s">
        <v>2408</v>
      </c>
      <c r="T1358" s="394">
        <v>1</v>
      </c>
      <c r="U1358" s="395">
        <v>19.844000000000001</v>
      </c>
      <c r="V1358" s="395"/>
      <c r="W1358" s="453"/>
      <c r="X1358" s="394"/>
      <c r="Y1358" s="394">
        <v>10</v>
      </c>
      <c r="Z1358" s="394">
        <v>15</v>
      </c>
      <c r="AA1358" s="395">
        <v>0</v>
      </c>
      <c r="AB1358" s="452">
        <v>41267</v>
      </c>
      <c r="AC1358" s="398">
        <v>0</v>
      </c>
      <c r="AD1358" s="398">
        <v>198.44</v>
      </c>
      <c r="AE1358" s="393" t="s">
        <v>96</v>
      </c>
      <c r="AF1358" s="417"/>
      <c r="AG1358" s="417"/>
      <c r="AH1358" s="417"/>
      <c r="AI1358" s="394"/>
      <c r="AJ1358" s="453"/>
      <c r="AK1358" s="453"/>
      <c r="AL1358" s="393"/>
      <c r="AM1358" s="393"/>
      <c r="AN1358" s="417"/>
      <c r="AO1358" s="392"/>
      <c r="AP1358" s="392" t="s">
        <v>7088</v>
      </c>
      <c r="AQ1358" s="392"/>
      <c r="AR1358" s="392" t="s">
        <v>3787</v>
      </c>
      <c r="AS1358" s="479">
        <v>41054</v>
      </c>
      <c r="AT1358" s="453"/>
      <c r="AU1358" s="453"/>
      <c r="AV1358" s="453"/>
      <c r="AW1358" s="453"/>
      <c r="AX1358" s="453"/>
      <c r="AY1358" s="453"/>
      <c r="AZ1358" s="452">
        <v>41267</v>
      </c>
      <c r="BA1358" s="393"/>
      <c r="BB1358" s="393"/>
      <c r="BC1358" s="393" t="b">
        <v>0</v>
      </c>
      <c r="BD1358" s="393"/>
      <c r="BE1358" s="392"/>
      <c r="BF1358" s="394">
        <v>3</v>
      </c>
      <c r="BG1358" s="394">
        <v>1</v>
      </c>
      <c r="BH1358" s="394">
        <v>4</v>
      </c>
      <c r="BI1358" s="394">
        <v>5</v>
      </c>
      <c r="BJ1358" s="394">
        <v>9</v>
      </c>
      <c r="BK1358" s="394">
        <v>11</v>
      </c>
      <c r="BL1358" s="444" t="s">
        <v>6982</v>
      </c>
      <c r="BM1358" s="392"/>
      <c r="BN1358" s="393"/>
      <c r="BO1358" s="393"/>
      <c r="BP1358" s="399"/>
      <c r="BQ1358" s="400"/>
      <c r="BR1358" s="401"/>
      <c r="BS1358" s="399">
        <v>1</v>
      </c>
      <c r="BT1358" s="394">
        <v>3699</v>
      </c>
      <c r="BU1358" s="417">
        <v>0.748</v>
      </c>
      <c r="BV1358" s="399"/>
      <c r="BW1358" s="393" t="s">
        <v>3117</v>
      </c>
      <c r="BX1358" s="392" t="s">
        <v>1447</v>
      </c>
      <c r="BY1358" s="475" t="s">
        <v>7224</v>
      </c>
      <c r="BZ1358" s="393"/>
      <c r="CA1358" s="441" t="s">
        <v>1662</v>
      </c>
      <c r="CB1358" s="400">
        <v>3</v>
      </c>
      <c r="CC1358" s="398"/>
      <c r="CD1358" s="398"/>
      <c r="CE1358" s="398"/>
      <c r="CF1358" s="398"/>
      <c r="CG1358" s="398"/>
      <c r="CH1358" s="398"/>
      <c r="CI1358" s="398">
        <v>19.004000000000001</v>
      </c>
      <c r="CJ1358" s="398">
        <v>19.004000000000001</v>
      </c>
      <c r="CK1358" s="398">
        <v>19.004000000000001</v>
      </c>
      <c r="CL1358" s="398">
        <v>19.004000000000001</v>
      </c>
      <c r="CM1358" s="398">
        <v>19.004000000000001</v>
      </c>
      <c r="CN1358" s="398">
        <v>19.004000000000001</v>
      </c>
      <c r="CO1358" s="398">
        <v>19.004000000000001</v>
      </c>
      <c r="CP1358" s="398">
        <v>19.004000000000001</v>
      </c>
      <c r="CQ1358" s="398">
        <v>19.004000000000001</v>
      </c>
      <c r="CR1358" s="398">
        <v>19.004000000000001</v>
      </c>
      <c r="CS1358" s="398"/>
      <c r="CT1358" s="398"/>
      <c r="CU1358" s="398"/>
      <c r="CV1358" s="398"/>
      <c r="CW1358" s="398"/>
      <c r="CX1358" s="398"/>
      <c r="CY1358" s="398"/>
      <c r="CZ1358" s="398"/>
      <c r="DA1358" s="398"/>
      <c r="DB1358" s="398"/>
      <c r="DC1358" s="398"/>
      <c r="DD1358" s="398"/>
      <c r="DE1358" s="393"/>
      <c r="DF1358" s="393"/>
      <c r="DG1358" s="393"/>
      <c r="DH1358" s="393"/>
      <c r="DI1358" s="393"/>
      <c r="DJ1358" s="393"/>
      <c r="DK1358" s="897"/>
    </row>
    <row r="1359" spans="1:115" ht="63.75" x14ac:dyDescent="0.2">
      <c r="A1359" s="295">
        <v>1355</v>
      </c>
      <c r="B1359" s="390" t="s">
        <v>2084</v>
      </c>
      <c r="C1359" s="424" t="s">
        <v>7746</v>
      </c>
      <c r="D1359" s="391"/>
      <c r="E1359" s="706" t="s">
        <v>2085</v>
      </c>
      <c r="F1359" s="390" t="s">
        <v>1375</v>
      </c>
      <c r="G1359" s="390" t="s">
        <v>1670</v>
      </c>
      <c r="H1359" s="390" t="s">
        <v>1048</v>
      </c>
      <c r="I1359" s="402"/>
      <c r="J1359" s="402" t="s">
        <v>1048</v>
      </c>
      <c r="K1359" s="402"/>
      <c r="L1359" s="402" t="s">
        <v>2086</v>
      </c>
      <c r="M1359" s="402" t="s">
        <v>3609</v>
      </c>
      <c r="N1359" s="390" t="s">
        <v>33</v>
      </c>
      <c r="O1359" s="390" t="s">
        <v>51</v>
      </c>
      <c r="P1359" s="390" t="s">
        <v>51</v>
      </c>
      <c r="Q1359" s="402" t="s">
        <v>976</v>
      </c>
      <c r="R1359" s="402"/>
      <c r="S1359" s="402" t="s">
        <v>256</v>
      </c>
      <c r="T1359" s="411">
        <v>1</v>
      </c>
      <c r="U1359" s="412">
        <v>63.741</v>
      </c>
      <c r="V1359" s="412"/>
      <c r="W1359" s="457">
        <v>41025</v>
      </c>
      <c r="X1359" s="411">
        <v>28</v>
      </c>
      <c r="Y1359" s="411"/>
      <c r="Z1359" s="411"/>
      <c r="AA1359" s="412"/>
      <c r="AB1359" s="454"/>
      <c r="AC1359" s="413">
        <v>43.470999999999997</v>
      </c>
      <c r="AD1359" s="413">
        <v>553.76085205479455</v>
      </c>
      <c r="AE1359" s="390" t="s">
        <v>72</v>
      </c>
      <c r="AF1359" s="419"/>
      <c r="AG1359" s="419"/>
      <c r="AH1359" s="419">
        <v>0</v>
      </c>
      <c r="AI1359" s="411"/>
      <c r="AJ1359" s="454"/>
      <c r="AK1359" s="454"/>
      <c r="AL1359" s="390"/>
      <c r="AM1359" s="390"/>
      <c r="AN1359" s="419"/>
      <c r="AO1359" s="402"/>
      <c r="AP1359" s="402" t="s">
        <v>55</v>
      </c>
      <c r="AQ1359" s="402"/>
      <c r="AR1359" s="402" t="s">
        <v>55</v>
      </c>
      <c r="AS1359" s="481">
        <v>41059</v>
      </c>
      <c r="AT1359" s="454"/>
      <c r="AU1359" s="454"/>
      <c r="AV1359" s="454"/>
      <c r="AW1359" s="454"/>
      <c r="AX1359" s="454"/>
      <c r="AY1359" s="454"/>
      <c r="AZ1359" s="454"/>
      <c r="BA1359" s="390"/>
      <c r="BB1359" s="390" t="s">
        <v>3116</v>
      </c>
      <c r="BC1359" s="390" t="b">
        <v>0</v>
      </c>
      <c r="BD1359" s="390" t="s">
        <v>3116</v>
      </c>
      <c r="BE1359" s="402"/>
      <c r="BF1359" s="411">
        <v>1</v>
      </c>
      <c r="BG1359" s="411">
        <v>6</v>
      </c>
      <c r="BH1359" s="411">
        <v>4</v>
      </c>
      <c r="BI1359" s="411">
        <v>8</v>
      </c>
      <c r="BJ1359" s="411">
        <v>5</v>
      </c>
      <c r="BK1359" s="411"/>
      <c r="BL1359" s="445"/>
      <c r="BM1359" s="402"/>
      <c r="BN1359" s="390"/>
      <c r="BO1359" s="390"/>
      <c r="BP1359" s="414"/>
      <c r="BQ1359" s="415"/>
      <c r="BR1359" s="416"/>
      <c r="BS1359" s="414">
        <v>0</v>
      </c>
      <c r="BT1359" s="411"/>
      <c r="BU1359" s="419"/>
      <c r="BV1359" s="414"/>
      <c r="BW1359" s="390"/>
      <c r="BX1359" s="402"/>
      <c r="BY1359" s="390"/>
      <c r="BZ1359" s="390"/>
      <c r="CA1359" s="442"/>
      <c r="CB1359" s="415"/>
      <c r="CC1359" s="413"/>
      <c r="CD1359" s="413"/>
      <c r="CE1359" s="413"/>
      <c r="CF1359" s="413"/>
      <c r="CG1359" s="413"/>
      <c r="CH1359" s="413"/>
      <c r="CI1359" s="413"/>
      <c r="CJ1359" s="413"/>
      <c r="CK1359" s="413"/>
      <c r="CL1359" s="413"/>
      <c r="CM1359" s="413"/>
      <c r="CN1359" s="413"/>
      <c r="CO1359" s="413"/>
      <c r="CP1359" s="413"/>
      <c r="CQ1359" s="413"/>
      <c r="CR1359" s="413"/>
      <c r="CS1359" s="413"/>
      <c r="CT1359" s="413"/>
      <c r="CU1359" s="413"/>
      <c r="CV1359" s="413"/>
      <c r="CW1359" s="413"/>
      <c r="CX1359" s="413"/>
      <c r="CY1359" s="413"/>
      <c r="CZ1359" s="413"/>
      <c r="DA1359" s="413"/>
      <c r="DB1359" s="413"/>
      <c r="DC1359" s="413"/>
      <c r="DD1359" s="413"/>
      <c r="DE1359" s="390"/>
      <c r="DF1359" s="390"/>
      <c r="DG1359" s="390"/>
      <c r="DH1359" s="390"/>
      <c r="DI1359" s="390"/>
      <c r="DJ1359" s="390"/>
      <c r="DK1359" s="901"/>
    </row>
    <row r="1360" spans="1:115" ht="15" x14ac:dyDescent="0.2">
      <c r="A1360" s="295">
        <v>1356</v>
      </c>
      <c r="B1360" s="390" t="s">
        <v>2918</v>
      </c>
      <c r="C1360" s="390"/>
      <c r="D1360" s="391"/>
      <c r="E1360" s="706" t="s">
        <v>2087</v>
      </c>
      <c r="F1360" s="390" t="s">
        <v>1375</v>
      </c>
      <c r="G1360" s="390" t="s">
        <v>1670</v>
      </c>
      <c r="H1360" s="390" t="s">
        <v>1048</v>
      </c>
      <c r="I1360" s="402"/>
      <c r="J1360" s="402"/>
      <c r="K1360" s="402" t="s">
        <v>2088</v>
      </c>
      <c r="L1360" s="402" t="s">
        <v>2086</v>
      </c>
      <c r="M1360" s="402"/>
      <c r="N1360" s="390" t="s">
        <v>33</v>
      </c>
      <c r="O1360" s="390" t="s">
        <v>51</v>
      </c>
      <c r="P1360" s="390" t="s">
        <v>51</v>
      </c>
      <c r="Q1360" s="402" t="s">
        <v>976</v>
      </c>
      <c r="R1360" s="402" t="s">
        <v>3610</v>
      </c>
      <c r="S1360" s="402" t="s">
        <v>256</v>
      </c>
      <c r="T1360" s="411">
        <v>1</v>
      </c>
      <c r="U1360" s="412">
        <v>63.741</v>
      </c>
      <c r="V1360" s="412"/>
      <c r="W1360" s="454"/>
      <c r="X1360" s="411"/>
      <c r="Y1360" s="411">
        <v>7</v>
      </c>
      <c r="Z1360" s="411">
        <v>21</v>
      </c>
      <c r="AA1360" s="412">
        <v>16.332999999999998</v>
      </c>
      <c r="AB1360" s="457">
        <v>41025</v>
      </c>
      <c r="AC1360" s="413">
        <v>43.470999999999997</v>
      </c>
      <c r="AD1360" s="413">
        <v>553.76085205479455</v>
      </c>
      <c r="AE1360" s="390" t="s">
        <v>72</v>
      </c>
      <c r="AF1360" s="419"/>
      <c r="AG1360" s="419"/>
      <c r="AH1360" s="419"/>
      <c r="AI1360" s="411"/>
      <c r="AJ1360" s="454"/>
      <c r="AK1360" s="454"/>
      <c r="AL1360" s="390"/>
      <c r="AM1360" s="390"/>
      <c r="AN1360" s="419"/>
      <c r="AO1360" s="402"/>
      <c r="AP1360" s="402" t="s">
        <v>55</v>
      </c>
      <c r="AQ1360" s="402"/>
      <c r="AR1360" s="402" t="s">
        <v>55</v>
      </c>
      <c r="AS1360" s="481">
        <v>41059</v>
      </c>
      <c r="AT1360" s="454"/>
      <c r="AU1360" s="454"/>
      <c r="AV1360" s="454"/>
      <c r="AW1360" s="454"/>
      <c r="AX1360" s="454"/>
      <c r="AY1360" s="454"/>
      <c r="AZ1360" s="454"/>
      <c r="BA1360" s="390"/>
      <c r="BB1360" s="390"/>
      <c r="BC1360" s="390" t="b">
        <v>0</v>
      </c>
      <c r="BD1360" s="390"/>
      <c r="BE1360" s="402"/>
      <c r="BF1360" s="411">
        <v>1</v>
      </c>
      <c r="BG1360" s="411">
        <v>6</v>
      </c>
      <c r="BH1360" s="411">
        <v>4</v>
      </c>
      <c r="BI1360" s="411">
        <v>8</v>
      </c>
      <c r="BJ1360" s="411">
        <v>5</v>
      </c>
      <c r="BK1360" s="411"/>
      <c r="BL1360" s="445" t="s">
        <v>6981</v>
      </c>
      <c r="BM1360" s="402"/>
      <c r="BN1360" s="390"/>
      <c r="BO1360" s="390"/>
      <c r="BP1360" s="414"/>
      <c r="BQ1360" s="415"/>
      <c r="BR1360" s="416"/>
      <c r="BS1360" s="414"/>
      <c r="BT1360" s="411"/>
      <c r="BU1360" s="419"/>
      <c r="BV1360" s="414"/>
      <c r="BW1360" s="390" t="s">
        <v>3117</v>
      </c>
      <c r="BX1360" s="402"/>
      <c r="BY1360" s="390"/>
      <c r="BZ1360" s="390"/>
      <c r="CA1360" s="442"/>
      <c r="CB1360" s="415"/>
      <c r="CC1360" s="413"/>
      <c r="CD1360" s="413"/>
      <c r="CE1360" s="413"/>
      <c r="CF1360" s="413"/>
      <c r="CG1360" s="413"/>
      <c r="CH1360" s="413">
        <v>5.2919999999999998</v>
      </c>
      <c r="CI1360" s="413">
        <v>19.306000000000001</v>
      </c>
      <c r="CJ1360" s="413">
        <v>40.822000000000003</v>
      </c>
      <c r="CK1360" s="413">
        <v>69.897000000000006</v>
      </c>
      <c r="CL1360" s="413">
        <v>103.624</v>
      </c>
      <c r="CM1360" s="413">
        <v>103.624</v>
      </c>
      <c r="CN1360" s="413">
        <v>103.624</v>
      </c>
      <c r="CO1360" s="413"/>
      <c r="CP1360" s="413"/>
      <c r="CQ1360" s="413"/>
      <c r="CR1360" s="413"/>
      <c r="CS1360" s="413"/>
      <c r="CT1360" s="413"/>
      <c r="CU1360" s="413"/>
      <c r="CV1360" s="413"/>
      <c r="CW1360" s="413"/>
      <c r="CX1360" s="413"/>
      <c r="CY1360" s="413"/>
      <c r="CZ1360" s="413"/>
      <c r="DA1360" s="413"/>
      <c r="DB1360" s="413"/>
      <c r="DC1360" s="413"/>
      <c r="DD1360" s="413"/>
      <c r="DE1360" s="390"/>
      <c r="DF1360" s="390"/>
      <c r="DG1360" s="390"/>
      <c r="DH1360" s="390"/>
      <c r="DI1360" s="390"/>
      <c r="DJ1360" s="390"/>
      <c r="DK1360" s="897"/>
    </row>
    <row r="1361" spans="1:115" ht="38.25" x14ac:dyDescent="0.2">
      <c r="A1361" s="295">
        <v>1357</v>
      </c>
      <c r="B1361" s="390" t="s">
        <v>2089</v>
      </c>
      <c r="C1361" s="424" t="s">
        <v>7747</v>
      </c>
      <c r="D1361" s="391" t="s">
        <v>5588</v>
      </c>
      <c r="E1361" s="704" t="s">
        <v>2090</v>
      </c>
      <c r="F1361" s="393" t="s">
        <v>1352</v>
      </c>
      <c r="G1361" s="393" t="s">
        <v>1672</v>
      </c>
      <c r="H1361" s="393" t="s">
        <v>78</v>
      </c>
      <c r="I1361" s="392"/>
      <c r="J1361" s="392" t="s">
        <v>78</v>
      </c>
      <c r="K1361" s="392"/>
      <c r="L1361" s="392" t="s">
        <v>2091</v>
      </c>
      <c r="M1361" s="392" t="s">
        <v>3611</v>
      </c>
      <c r="N1361" s="393" t="s">
        <v>44</v>
      </c>
      <c r="O1361" s="393" t="s">
        <v>69</v>
      </c>
      <c r="P1361" s="393" t="s">
        <v>69</v>
      </c>
      <c r="Q1361" s="392" t="s">
        <v>690</v>
      </c>
      <c r="R1361" s="392"/>
      <c r="S1361" s="392" t="s">
        <v>2408</v>
      </c>
      <c r="T1361" s="394">
        <v>1</v>
      </c>
      <c r="U1361" s="395">
        <v>18.372</v>
      </c>
      <c r="V1361" s="395"/>
      <c r="W1361" s="452">
        <v>41183</v>
      </c>
      <c r="X1361" s="394">
        <v>28</v>
      </c>
      <c r="Y1361" s="394"/>
      <c r="Z1361" s="394"/>
      <c r="AA1361" s="395"/>
      <c r="AB1361" s="453"/>
      <c r="AC1361" s="398">
        <v>0</v>
      </c>
      <c r="AD1361" s="398">
        <v>137.91583561643836</v>
      </c>
      <c r="AE1361" s="393" t="s">
        <v>355</v>
      </c>
      <c r="AF1361" s="417"/>
      <c r="AG1361" s="417"/>
      <c r="AH1361" s="417">
        <v>0</v>
      </c>
      <c r="AI1361" s="394"/>
      <c r="AJ1361" s="453"/>
      <c r="AK1361" s="453"/>
      <c r="AL1361" s="393"/>
      <c r="AM1361" s="393"/>
      <c r="AN1361" s="417"/>
      <c r="AO1361" s="392"/>
      <c r="AP1361" s="392" t="s">
        <v>7109</v>
      </c>
      <c r="AQ1361" s="392"/>
      <c r="AR1361" s="392" t="s">
        <v>55</v>
      </c>
      <c r="AS1361" s="479">
        <v>41060</v>
      </c>
      <c r="AT1361" s="453"/>
      <c r="AU1361" s="453"/>
      <c r="AV1361" s="452">
        <v>41211</v>
      </c>
      <c r="AW1361" s="452">
        <v>41365</v>
      </c>
      <c r="AX1361" s="452">
        <v>41544</v>
      </c>
      <c r="AY1361" s="452">
        <v>41607</v>
      </c>
      <c r="AZ1361" s="453"/>
      <c r="BA1361" s="393"/>
      <c r="BB1361" s="393" t="s">
        <v>3147</v>
      </c>
      <c r="BC1361" s="393" t="b">
        <v>0</v>
      </c>
      <c r="BD1361" s="393" t="s">
        <v>3147</v>
      </c>
      <c r="BE1361" s="392"/>
      <c r="BF1361" s="394">
        <v>1</v>
      </c>
      <c r="BG1361" s="394">
        <v>6</v>
      </c>
      <c r="BH1361" s="394">
        <v>5</v>
      </c>
      <c r="BI1361" s="394">
        <v>11</v>
      </c>
      <c r="BJ1361" s="394"/>
      <c r="BK1361" s="394"/>
      <c r="BL1361" s="444"/>
      <c r="BM1361" s="392"/>
      <c r="BN1361" s="393"/>
      <c r="BO1361" s="393"/>
      <c r="BP1361" s="399"/>
      <c r="BQ1361" s="400"/>
      <c r="BR1361" s="401"/>
      <c r="BS1361" s="399">
        <v>1.05</v>
      </c>
      <c r="BT1361" s="394"/>
      <c r="BU1361" s="417"/>
      <c r="BV1361" s="399"/>
      <c r="BW1361" s="393"/>
      <c r="BX1361" s="392"/>
      <c r="BY1361" s="393"/>
      <c r="BZ1361" s="393"/>
      <c r="CA1361" s="441"/>
      <c r="CB1361" s="400"/>
      <c r="CC1361" s="398"/>
      <c r="CD1361" s="398"/>
      <c r="CE1361" s="398"/>
      <c r="CF1361" s="398"/>
      <c r="CG1361" s="398"/>
      <c r="CH1361" s="398"/>
      <c r="CI1361" s="398"/>
      <c r="CJ1361" s="398"/>
      <c r="CK1361" s="398"/>
      <c r="CL1361" s="398"/>
      <c r="CM1361" s="398"/>
      <c r="CN1361" s="398"/>
      <c r="CO1361" s="398"/>
      <c r="CP1361" s="398"/>
      <c r="CQ1361" s="398"/>
      <c r="CR1361" s="398"/>
      <c r="CS1361" s="398"/>
      <c r="CT1361" s="398"/>
      <c r="CU1361" s="398"/>
      <c r="CV1361" s="398"/>
      <c r="CW1361" s="398"/>
      <c r="CX1361" s="398"/>
      <c r="CY1361" s="398"/>
      <c r="CZ1361" s="398"/>
      <c r="DA1361" s="398"/>
      <c r="DB1361" s="398"/>
      <c r="DC1361" s="398"/>
      <c r="DD1361" s="398"/>
      <c r="DE1361" s="393"/>
      <c r="DF1361" s="393"/>
      <c r="DG1361" s="393"/>
      <c r="DH1361" s="393"/>
      <c r="DI1361" s="393"/>
      <c r="DJ1361" s="393"/>
      <c r="DK1361" s="896" t="s">
        <v>9700</v>
      </c>
    </row>
    <row r="1362" spans="1:115" s="224" customFormat="1" ht="25.5" x14ac:dyDescent="0.2">
      <c r="A1362" s="295">
        <v>1358</v>
      </c>
      <c r="B1362" s="390" t="s">
        <v>2919</v>
      </c>
      <c r="C1362" s="390"/>
      <c r="D1362" s="391" t="s">
        <v>5589</v>
      </c>
      <c r="E1362" s="704" t="s">
        <v>2092</v>
      </c>
      <c r="F1362" s="393" t="s">
        <v>1352</v>
      </c>
      <c r="G1362" s="393" t="s">
        <v>1672</v>
      </c>
      <c r="H1362" s="393" t="s">
        <v>78</v>
      </c>
      <c r="I1362" s="392"/>
      <c r="J1362" s="392"/>
      <c r="K1362" s="392" t="s">
        <v>2093</v>
      </c>
      <c r="L1362" s="392" t="s">
        <v>2091</v>
      </c>
      <c r="M1362" s="392"/>
      <c r="N1362" s="393" t="s">
        <v>44</v>
      </c>
      <c r="O1362" s="393" t="s">
        <v>69</v>
      </c>
      <c r="P1362" s="393" t="s">
        <v>69</v>
      </c>
      <c r="Q1362" s="392" t="s">
        <v>690</v>
      </c>
      <c r="R1362" s="392" t="s">
        <v>3612</v>
      </c>
      <c r="S1362" s="392" t="s">
        <v>2408</v>
      </c>
      <c r="T1362" s="394">
        <v>1</v>
      </c>
      <c r="U1362" s="395">
        <v>18.372</v>
      </c>
      <c r="V1362" s="395"/>
      <c r="W1362" s="453"/>
      <c r="X1362" s="394"/>
      <c r="Y1362" s="394">
        <v>7</v>
      </c>
      <c r="Z1362" s="394">
        <v>14</v>
      </c>
      <c r="AA1362" s="395">
        <v>0</v>
      </c>
      <c r="AB1362" s="452">
        <v>41456</v>
      </c>
      <c r="AC1362" s="398">
        <v>0</v>
      </c>
      <c r="AD1362" s="398">
        <v>137.91583561643836</v>
      </c>
      <c r="AE1362" s="393" t="s">
        <v>355</v>
      </c>
      <c r="AF1362" s="417"/>
      <c r="AG1362" s="417"/>
      <c r="AH1362" s="417"/>
      <c r="AI1362" s="394"/>
      <c r="AJ1362" s="453"/>
      <c r="AK1362" s="453"/>
      <c r="AL1362" s="393"/>
      <c r="AM1362" s="393"/>
      <c r="AN1362" s="417"/>
      <c r="AO1362" s="392"/>
      <c r="AP1362" s="392" t="s">
        <v>7109</v>
      </c>
      <c r="AQ1362" s="392"/>
      <c r="AR1362" s="392" t="s">
        <v>55</v>
      </c>
      <c r="AS1362" s="479">
        <v>41060</v>
      </c>
      <c r="AT1362" s="453"/>
      <c r="AU1362" s="453"/>
      <c r="AV1362" s="453"/>
      <c r="AW1362" s="453"/>
      <c r="AX1362" s="453"/>
      <c r="AY1362" s="453"/>
      <c r="AZ1362" s="452">
        <v>41607</v>
      </c>
      <c r="BA1362" s="393"/>
      <c r="BB1362" s="393"/>
      <c r="BC1362" s="393" t="b">
        <v>0</v>
      </c>
      <c r="BD1362" s="393"/>
      <c r="BE1362" s="392"/>
      <c r="BF1362" s="394">
        <v>1</v>
      </c>
      <c r="BG1362" s="394">
        <v>6</v>
      </c>
      <c r="BH1362" s="394">
        <v>5</v>
      </c>
      <c r="BI1362" s="394">
        <v>11</v>
      </c>
      <c r="BJ1362" s="394"/>
      <c r="BK1362" s="394"/>
      <c r="BL1362" s="444" t="s">
        <v>6985</v>
      </c>
      <c r="BM1362" s="392"/>
      <c r="BN1362" s="393"/>
      <c r="BO1362" s="393"/>
      <c r="BP1362" s="399"/>
      <c r="BQ1362" s="400"/>
      <c r="BR1362" s="401"/>
      <c r="BS1362" s="399">
        <v>1.05</v>
      </c>
      <c r="BT1362" s="394">
        <v>5255</v>
      </c>
      <c r="BU1362" s="417">
        <v>0.74299999999999999</v>
      </c>
      <c r="BV1362" s="399"/>
      <c r="BW1362" s="393" t="s">
        <v>3117</v>
      </c>
      <c r="BX1362" s="392" t="s">
        <v>1447</v>
      </c>
      <c r="BY1362" s="393"/>
      <c r="BZ1362" s="393"/>
      <c r="CA1362" s="441" t="s">
        <v>1662</v>
      </c>
      <c r="CB1362" s="400">
        <v>3</v>
      </c>
      <c r="CC1362" s="398"/>
      <c r="CD1362" s="398"/>
      <c r="CE1362" s="398"/>
      <c r="CF1362" s="398"/>
      <c r="CG1362" s="398"/>
      <c r="CH1362" s="398"/>
      <c r="CI1362" s="398">
        <v>7.9850000000000003</v>
      </c>
      <c r="CJ1362" s="398">
        <v>15.97</v>
      </c>
      <c r="CK1362" s="398">
        <v>15.97</v>
      </c>
      <c r="CL1362" s="398">
        <v>15.97</v>
      </c>
      <c r="CM1362" s="398">
        <v>15.97</v>
      </c>
      <c r="CN1362" s="398">
        <v>15.97</v>
      </c>
      <c r="CO1362" s="398">
        <v>15.97</v>
      </c>
      <c r="CP1362" s="398">
        <v>7.9850000000000003</v>
      </c>
      <c r="CQ1362" s="398"/>
      <c r="CR1362" s="398"/>
      <c r="CS1362" s="398"/>
      <c r="CT1362" s="398"/>
      <c r="CU1362" s="398"/>
      <c r="CV1362" s="398"/>
      <c r="CW1362" s="398"/>
      <c r="CX1362" s="398"/>
      <c r="CY1362" s="398"/>
      <c r="CZ1362" s="398"/>
      <c r="DA1362" s="398"/>
      <c r="DB1362" s="398"/>
      <c r="DC1362" s="398"/>
      <c r="DD1362" s="398"/>
      <c r="DE1362" s="393"/>
      <c r="DF1362" s="393"/>
      <c r="DG1362" s="393"/>
      <c r="DH1362" s="393"/>
      <c r="DI1362" s="393"/>
      <c r="DJ1362" s="393"/>
      <c r="DK1362" s="897"/>
    </row>
    <row r="1363" spans="1:115" s="224" customFormat="1" ht="25.5" x14ac:dyDescent="0.2">
      <c r="A1363" s="295">
        <v>1359</v>
      </c>
      <c r="B1363" s="390" t="s">
        <v>2094</v>
      </c>
      <c r="C1363" s="424" t="s">
        <v>7748</v>
      </c>
      <c r="D1363" s="391" t="s">
        <v>5209</v>
      </c>
      <c r="E1363" s="704" t="s">
        <v>2095</v>
      </c>
      <c r="F1363" s="393" t="s">
        <v>1352</v>
      </c>
      <c r="G1363" s="393" t="s">
        <v>1671</v>
      </c>
      <c r="H1363" s="393" t="s">
        <v>117</v>
      </c>
      <c r="I1363" s="392"/>
      <c r="J1363" s="392" t="s">
        <v>2244</v>
      </c>
      <c r="K1363" s="392"/>
      <c r="L1363" s="392" t="s">
        <v>2096</v>
      </c>
      <c r="M1363" s="392" t="s">
        <v>3613</v>
      </c>
      <c r="N1363" s="393" t="s">
        <v>44</v>
      </c>
      <c r="O1363" s="393" t="s">
        <v>827</v>
      </c>
      <c r="P1363" s="393" t="s">
        <v>827</v>
      </c>
      <c r="Q1363" s="392" t="s">
        <v>836</v>
      </c>
      <c r="R1363" s="392"/>
      <c r="S1363" s="392" t="s">
        <v>352</v>
      </c>
      <c r="T1363" s="394">
        <v>1</v>
      </c>
      <c r="U1363" s="395">
        <v>8.9380000000000006</v>
      </c>
      <c r="V1363" s="395"/>
      <c r="W1363" s="452">
        <v>41060</v>
      </c>
      <c r="X1363" s="394">
        <v>28</v>
      </c>
      <c r="Y1363" s="394"/>
      <c r="Z1363" s="394"/>
      <c r="AA1363" s="395"/>
      <c r="AB1363" s="453"/>
      <c r="AC1363" s="398">
        <v>0</v>
      </c>
      <c r="AD1363" s="398">
        <v>71.650926027397276</v>
      </c>
      <c r="AE1363" s="393" t="s">
        <v>787</v>
      </c>
      <c r="AF1363" s="417"/>
      <c r="AG1363" s="417"/>
      <c r="AH1363" s="417">
        <v>0</v>
      </c>
      <c r="AI1363" s="394"/>
      <c r="AJ1363" s="453"/>
      <c r="AK1363" s="453"/>
      <c r="AL1363" s="393"/>
      <c r="AM1363" s="393"/>
      <c r="AN1363" s="417"/>
      <c r="AO1363" s="392"/>
      <c r="AP1363" s="392" t="s">
        <v>7087</v>
      </c>
      <c r="AQ1363" s="392"/>
      <c r="AR1363" s="392" t="s">
        <v>2098</v>
      </c>
      <c r="AS1363" s="479">
        <v>41060</v>
      </c>
      <c r="AT1363" s="453"/>
      <c r="AU1363" s="453"/>
      <c r="AV1363" s="452">
        <v>41183</v>
      </c>
      <c r="AW1363" s="452">
        <v>41270</v>
      </c>
      <c r="AX1363" s="452">
        <v>41390</v>
      </c>
      <c r="AY1363" s="452">
        <v>41270</v>
      </c>
      <c r="AZ1363" s="453"/>
      <c r="BA1363" s="393"/>
      <c r="BB1363" s="393" t="s">
        <v>3147</v>
      </c>
      <c r="BC1363" s="393" t="b">
        <v>0</v>
      </c>
      <c r="BD1363" s="393" t="s">
        <v>3147</v>
      </c>
      <c r="BE1363" s="392"/>
      <c r="BF1363" s="394">
        <v>5</v>
      </c>
      <c r="BG1363" s="394">
        <v>8</v>
      </c>
      <c r="BH1363" s="394">
        <v>1</v>
      </c>
      <c r="BI1363" s="394"/>
      <c r="BJ1363" s="394"/>
      <c r="BK1363" s="394"/>
      <c r="BL1363" s="444"/>
      <c r="BM1363" s="392"/>
      <c r="BN1363" s="393"/>
      <c r="BO1363" s="393"/>
      <c r="BP1363" s="399"/>
      <c r="BQ1363" s="400"/>
      <c r="BR1363" s="401"/>
      <c r="BS1363" s="399">
        <v>7.0839999999999996</v>
      </c>
      <c r="BT1363" s="394"/>
      <c r="BU1363" s="417"/>
      <c r="BV1363" s="399"/>
      <c r="BW1363" s="393"/>
      <c r="BX1363" s="392"/>
      <c r="BY1363" s="393"/>
      <c r="BZ1363" s="393"/>
      <c r="CA1363" s="441"/>
      <c r="CB1363" s="400"/>
      <c r="CC1363" s="398"/>
      <c r="CD1363" s="398"/>
      <c r="CE1363" s="398"/>
      <c r="CF1363" s="398"/>
      <c r="CG1363" s="398"/>
      <c r="CH1363" s="398"/>
      <c r="CI1363" s="398"/>
      <c r="CJ1363" s="398"/>
      <c r="CK1363" s="398"/>
      <c r="CL1363" s="398"/>
      <c r="CM1363" s="398"/>
      <c r="CN1363" s="398"/>
      <c r="CO1363" s="398"/>
      <c r="CP1363" s="398"/>
      <c r="CQ1363" s="398"/>
      <c r="CR1363" s="398"/>
      <c r="CS1363" s="398"/>
      <c r="CT1363" s="398"/>
      <c r="CU1363" s="398"/>
      <c r="CV1363" s="398"/>
      <c r="CW1363" s="398"/>
      <c r="CX1363" s="398"/>
      <c r="CY1363" s="398"/>
      <c r="CZ1363" s="398"/>
      <c r="DA1363" s="398"/>
      <c r="DB1363" s="398"/>
      <c r="DC1363" s="398"/>
      <c r="DD1363" s="398"/>
      <c r="DE1363" s="393"/>
      <c r="DF1363" s="393"/>
      <c r="DG1363" s="393"/>
      <c r="DH1363" s="393"/>
      <c r="DI1363" s="393"/>
      <c r="DJ1363" s="393"/>
      <c r="DK1363" s="896" t="s">
        <v>9722</v>
      </c>
    </row>
    <row r="1364" spans="1:115" s="224" customFormat="1" ht="25.5" x14ac:dyDescent="0.2">
      <c r="A1364" s="295">
        <v>1360</v>
      </c>
      <c r="B1364" s="390" t="s">
        <v>2920</v>
      </c>
      <c r="C1364" s="390"/>
      <c r="D1364" s="391" t="s">
        <v>4965</v>
      </c>
      <c r="E1364" s="704" t="s">
        <v>2097</v>
      </c>
      <c r="F1364" s="393" t="s">
        <v>1352</v>
      </c>
      <c r="G1364" s="393" t="s">
        <v>1671</v>
      </c>
      <c r="H1364" s="393" t="s">
        <v>117</v>
      </c>
      <c r="I1364" s="392"/>
      <c r="J1364" s="392"/>
      <c r="K1364" s="392" t="s">
        <v>2245</v>
      </c>
      <c r="L1364" s="392" t="s">
        <v>2096</v>
      </c>
      <c r="M1364" s="392"/>
      <c r="N1364" s="393" t="s">
        <v>44</v>
      </c>
      <c r="O1364" s="393" t="s">
        <v>827</v>
      </c>
      <c r="P1364" s="393" t="s">
        <v>827</v>
      </c>
      <c r="Q1364" s="392" t="s">
        <v>836</v>
      </c>
      <c r="R1364" s="392" t="s">
        <v>4140</v>
      </c>
      <c r="S1364" s="392" t="s">
        <v>352</v>
      </c>
      <c r="T1364" s="394">
        <v>1</v>
      </c>
      <c r="U1364" s="395">
        <v>8.9380000000000006</v>
      </c>
      <c r="V1364" s="395"/>
      <c r="W1364" s="453"/>
      <c r="X1364" s="394"/>
      <c r="Y1364" s="394">
        <v>7</v>
      </c>
      <c r="Z1364" s="394">
        <v>25</v>
      </c>
      <c r="AA1364" s="395">
        <v>0</v>
      </c>
      <c r="AB1364" s="452">
        <v>41270</v>
      </c>
      <c r="AC1364" s="398">
        <v>0</v>
      </c>
      <c r="AD1364" s="398">
        <v>71.650926027397276</v>
      </c>
      <c r="AE1364" s="393" t="s">
        <v>787</v>
      </c>
      <c r="AF1364" s="417"/>
      <c r="AG1364" s="417"/>
      <c r="AH1364" s="417"/>
      <c r="AI1364" s="394"/>
      <c r="AJ1364" s="453"/>
      <c r="AK1364" s="453"/>
      <c r="AL1364" s="393"/>
      <c r="AM1364" s="393"/>
      <c r="AN1364" s="417"/>
      <c r="AO1364" s="392"/>
      <c r="AP1364" s="392" t="s">
        <v>7087</v>
      </c>
      <c r="AQ1364" s="392"/>
      <c r="AR1364" s="392" t="s">
        <v>2098</v>
      </c>
      <c r="AS1364" s="479">
        <v>41060</v>
      </c>
      <c r="AT1364" s="453"/>
      <c r="AU1364" s="453"/>
      <c r="AV1364" s="453"/>
      <c r="AW1364" s="453"/>
      <c r="AX1364" s="453"/>
      <c r="AY1364" s="453"/>
      <c r="AZ1364" s="452">
        <v>41270</v>
      </c>
      <c r="BA1364" s="393"/>
      <c r="BB1364" s="393"/>
      <c r="BC1364" s="393" t="b">
        <v>0</v>
      </c>
      <c r="BD1364" s="393"/>
      <c r="BE1364" s="392"/>
      <c r="BF1364" s="394">
        <v>1</v>
      </c>
      <c r="BG1364" s="394">
        <v>8</v>
      </c>
      <c r="BH1364" s="394">
        <v>5</v>
      </c>
      <c r="BI1364" s="394"/>
      <c r="BJ1364" s="394"/>
      <c r="BK1364" s="394"/>
      <c r="BL1364" s="444" t="s">
        <v>6983</v>
      </c>
      <c r="BM1364" s="392"/>
      <c r="BN1364" s="393"/>
      <c r="BO1364" s="393"/>
      <c r="BP1364" s="399"/>
      <c r="BQ1364" s="400"/>
      <c r="BR1364" s="401"/>
      <c r="BS1364" s="399">
        <v>7.0839999999999996</v>
      </c>
      <c r="BT1364" s="394">
        <v>9977</v>
      </c>
      <c r="BU1364" s="417">
        <v>0.89590000000000003</v>
      </c>
      <c r="BV1364" s="399"/>
      <c r="BW1364" s="393" t="s">
        <v>3117</v>
      </c>
      <c r="BX1364" s="392" t="s">
        <v>4364</v>
      </c>
      <c r="BY1364" s="393" t="s">
        <v>7224</v>
      </c>
      <c r="BZ1364" s="393"/>
      <c r="CA1364" s="441"/>
      <c r="CB1364" s="400"/>
      <c r="CC1364" s="398"/>
      <c r="CD1364" s="398"/>
      <c r="CE1364" s="398"/>
      <c r="CF1364" s="398"/>
      <c r="CG1364" s="398"/>
      <c r="CH1364" s="398"/>
      <c r="CI1364" s="398">
        <v>4.4690000000000003</v>
      </c>
      <c r="CJ1364" s="398">
        <v>8.9380000000000006</v>
      </c>
      <c r="CK1364" s="398">
        <v>8.9380000000000006</v>
      </c>
      <c r="CL1364" s="398">
        <v>8.9380000000000006</v>
      </c>
      <c r="CM1364" s="398">
        <v>8.9380000000000006</v>
      </c>
      <c r="CN1364" s="398">
        <v>8.9380000000000006</v>
      </c>
      <c r="CO1364" s="398">
        <v>8.9380000000000006</v>
      </c>
      <c r="CP1364" s="398">
        <v>4.4690000000000003</v>
      </c>
      <c r="CQ1364" s="398"/>
      <c r="CR1364" s="398"/>
      <c r="CS1364" s="398"/>
      <c r="CT1364" s="398"/>
      <c r="CU1364" s="398"/>
      <c r="CV1364" s="398"/>
      <c r="CW1364" s="398"/>
      <c r="CX1364" s="398"/>
      <c r="CY1364" s="398"/>
      <c r="CZ1364" s="398"/>
      <c r="DA1364" s="398"/>
      <c r="DB1364" s="398"/>
      <c r="DC1364" s="398"/>
      <c r="DD1364" s="398"/>
      <c r="DE1364" s="393"/>
      <c r="DF1364" s="393"/>
      <c r="DG1364" s="393"/>
      <c r="DH1364" s="393"/>
      <c r="DI1364" s="393"/>
      <c r="DJ1364" s="393"/>
      <c r="DK1364" s="897"/>
    </row>
    <row r="1365" spans="1:115" s="224" customFormat="1" ht="38.25" x14ac:dyDescent="0.2">
      <c r="A1365" s="295">
        <v>1361</v>
      </c>
      <c r="B1365" s="390" t="s">
        <v>2099</v>
      </c>
      <c r="C1365" s="424" t="s">
        <v>7749</v>
      </c>
      <c r="D1365" s="391"/>
      <c r="E1365" s="706" t="s">
        <v>2100</v>
      </c>
      <c r="F1365" s="390" t="s">
        <v>1352</v>
      </c>
      <c r="G1365" s="390" t="s">
        <v>1672</v>
      </c>
      <c r="H1365" s="390" t="s">
        <v>684</v>
      </c>
      <c r="I1365" s="402"/>
      <c r="J1365" s="402" t="s">
        <v>684</v>
      </c>
      <c r="K1365" s="402"/>
      <c r="L1365" s="402" t="s">
        <v>2101</v>
      </c>
      <c r="M1365" s="402" t="s">
        <v>3614</v>
      </c>
      <c r="N1365" s="390" t="s">
        <v>33</v>
      </c>
      <c r="O1365" s="390" t="s">
        <v>45</v>
      </c>
      <c r="P1365" s="390" t="s">
        <v>45</v>
      </c>
      <c r="Q1365" s="402" t="s">
        <v>1210</v>
      </c>
      <c r="R1365" s="402"/>
      <c r="S1365" s="402" t="s">
        <v>2409</v>
      </c>
      <c r="T1365" s="411">
        <v>1</v>
      </c>
      <c r="U1365" s="412">
        <v>57.042999999999999</v>
      </c>
      <c r="V1365" s="412"/>
      <c r="W1365" s="457">
        <v>41054</v>
      </c>
      <c r="X1365" s="411">
        <v>28</v>
      </c>
      <c r="Y1365" s="411"/>
      <c r="Z1365" s="411"/>
      <c r="AA1365" s="412"/>
      <c r="AB1365" s="454"/>
      <c r="AC1365" s="413">
        <v>0</v>
      </c>
      <c r="AD1365" s="413">
        <v>570.42999999999995</v>
      </c>
      <c r="AE1365" s="390" t="s">
        <v>9525</v>
      </c>
      <c r="AF1365" s="419"/>
      <c r="AG1365" s="419"/>
      <c r="AH1365" s="419">
        <v>0</v>
      </c>
      <c r="AI1365" s="411"/>
      <c r="AJ1365" s="454"/>
      <c r="AK1365" s="454"/>
      <c r="AL1365" s="390"/>
      <c r="AM1365" s="390"/>
      <c r="AN1365" s="419"/>
      <c r="AO1365" s="402"/>
      <c r="AP1365" s="402" t="s">
        <v>7110</v>
      </c>
      <c r="AQ1365" s="402"/>
      <c r="AR1365" s="402" t="s">
        <v>55</v>
      </c>
      <c r="AS1365" s="481">
        <v>41060</v>
      </c>
      <c r="AT1365" s="454"/>
      <c r="AU1365" s="454"/>
      <c r="AV1365" s="454"/>
      <c r="AW1365" s="454"/>
      <c r="AX1365" s="454"/>
      <c r="AY1365" s="454"/>
      <c r="AZ1365" s="454"/>
      <c r="BA1365" s="390"/>
      <c r="BB1365" s="390" t="s">
        <v>3147</v>
      </c>
      <c r="BC1365" s="390" t="b">
        <v>1</v>
      </c>
      <c r="BD1365" s="390" t="s">
        <v>3147</v>
      </c>
      <c r="BE1365" s="402"/>
      <c r="BF1365" s="411">
        <v>5</v>
      </c>
      <c r="BG1365" s="411">
        <v>8</v>
      </c>
      <c r="BH1365" s="411"/>
      <c r="BI1365" s="411"/>
      <c r="BJ1365" s="411"/>
      <c r="BK1365" s="411"/>
      <c r="BL1365" s="445"/>
      <c r="BM1365" s="402"/>
      <c r="BN1365" s="390"/>
      <c r="BO1365" s="390"/>
      <c r="BP1365" s="414"/>
      <c r="BQ1365" s="415"/>
      <c r="BR1365" s="416"/>
      <c r="BS1365" s="414">
        <v>1</v>
      </c>
      <c r="BT1365" s="411"/>
      <c r="BU1365" s="419"/>
      <c r="BV1365" s="414"/>
      <c r="BW1365" s="390"/>
      <c r="BX1365" s="402"/>
      <c r="BY1365" s="390"/>
      <c r="BZ1365" s="390"/>
      <c r="CA1365" s="442"/>
      <c r="CB1365" s="415"/>
      <c r="CC1365" s="413"/>
      <c r="CD1365" s="413"/>
      <c r="CE1365" s="413"/>
      <c r="CF1365" s="413"/>
      <c r="CG1365" s="413"/>
      <c r="CH1365" s="413"/>
      <c r="CI1365" s="413"/>
      <c r="CJ1365" s="413"/>
      <c r="CK1365" s="413"/>
      <c r="CL1365" s="413"/>
      <c r="CM1365" s="413"/>
      <c r="CN1365" s="413"/>
      <c r="CO1365" s="413"/>
      <c r="CP1365" s="413"/>
      <c r="CQ1365" s="413"/>
      <c r="CR1365" s="413"/>
      <c r="CS1365" s="413"/>
      <c r="CT1365" s="413"/>
      <c r="CU1365" s="413"/>
      <c r="CV1365" s="413"/>
      <c r="CW1365" s="413"/>
      <c r="CX1365" s="413"/>
      <c r="CY1365" s="413"/>
      <c r="CZ1365" s="413"/>
      <c r="DA1365" s="413"/>
      <c r="DB1365" s="413"/>
      <c r="DC1365" s="413"/>
      <c r="DD1365" s="413"/>
      <c r="DE1365" s="390"/>
      <c r="DF1365" s="390"/>
      <c r="DG1365" s="390"/>
      <c r="DH1365" s="390"/>
      <c r="DI1365" s="390"/>
      <c r="DJ1365" s="390"/>
      <c r="DK1365" s="901"/>
    </row>
    <row r="1366" spans="1:115" s="224" customFormat="1" ht="25.5" x14ac:dyDescent="0.2">
      <c r="A1366" s="295">
        <v>1362</v>
      </c>
      <c r="B1366" s="390" t="s">
        <v>2921</v>
      </c>
      <c r="C1366" s="390"/>
      <c r="D1366" s="391"/>
      <c r="E1366" s="706" t="s">
        <v>2102</v>
      </c>
      <c r="F1366" s="390" t="s">
        <v>1352</v>
      </c>
      <c r="G1366" s="390" t="s">
        <v>1672</v>
      </c>
      <c r="H1366" s="390" t="s">
        <v>684</v>
      </c>
      <c r="I1366" s="402"/>
      <c r="J1366" s="402"/>
      <c r="K1366" s="402" t="s">
        <v>2103</v>
      </c>
      <c r="L1366" s="402" t="s">
        <v>2101</v>
      </c>
      <c r="M1366" s="402"/>
      <c r="N1366" s="390" t="s">
        <v>33</v>
      </c>
      <c r="O1366" s="390" t="s">
        <v>45</v>
      </c>
      <c r="P1366" s="390" t="s">
        <v>45</v>
      </c>
      <c r="Q1366" s="402" t="s">
        <v>685</v>
      </c>
      <c r="R1366" s="402" t="s">
        <v>3615</v>
      </c>
      <c r="S1366" s="402" t="s">
        <v>2409</v>
      </c>
      <c r="T1366" s="411">
        <v>1</v>
      </c>
      <c r="U1366" s="412">
        <v>57.042999999999999</v>
      </c>
      <c r="V1366" s="412"/>
      <c r="W1366" s="454"/>
      <c r="X1366" s="411"/>
      <c r="Y1366" s="411">
        <v>10</v>
      </c>
      <c r="Z1366" s="411">
        <v>20</v>
      </c>
      <c r="AA1366" s="412">
        <v>0</v>
      </c>
      <c r="AB1366" s="457">
        <v>41518</v>
      </c>
      <c r="AC1366" s="413">
        <v>0</v>
      </c>
      <c r="AD1366" s="413">
        <v>570.42999999999995</v>
      </c>
      <c r="AE1366" s="390" t="s">
        <v>9525</v>
      </c>
      <c r="AF1366" s="419"/>
      <c r="AG1366" s="419"/>
      <c r="AH1366" s="419"/>
      <c r="AI1366" s="411"/>
      <c r="AJ1366" s="454"/>
      <c r="AK1366" s="454"/>
      <c r="AL1366" s="390"/>
      <c r="AM1366" s="390"/>
      <c r="AN1366" s="419"/>
      <c r="AO1366" s="402"/>
      <c r="AP1366" s="402" t="s">
        <v>7110</v>
      </c>
      <c r="AQ1366" s="402"/>
      <c r="AR1366" s="402" t="s">
        <v>55</v>
      </c>
      <c r="AS1366" s="481">
        <v>41060</v>
      </c>
      <c r="AT1366" s="454"/>
      <c r="AU1366" s="454"/>
      <c r="AV1366" s="454"/>
      <c r="AW1366" s="454"/>
      <c r="AX1366" s="454"/>
      <c r="AY1366" s="454"/>
      <c r="AZ1366" s="454"/>
      <c r="BA1366" s="390"/>
      <c r="BB1366" s="390"/>
      <c r="BC1366" s="390" t="b">
        <v>0</v>
      </c>
      <c r="BD1366" s="390"/>
      <c r="BE1366" s="402"/>
      <c r="BF1366" s="411">
        <v>5</v>
      </c>
      <c r="BG1366" s="411">
        <v>8</v>
      </c>
      <c r="BH1366" s="411"/>
      <c r="BI1366" s="411"/>
      <c r="BJ1366" s="411"/>
      <c r="BK1366" s="411"/>
      <c r="BL1366" s="445" t="s">
        <v>6983</v>
      </c>
      <c r="BM1366" s="402"/>
      <c r="BN1366" s="390"/>
      <c r="BO1366" s="390"/>
      <c r="BP1366" s="414"/>
      <c r="BQ1366" s="415"/>
      <c r="BR1366" s="416"/>
      <c r="BS1366" s="414">
        <v>1</v>
      </c>
      <c r="BT1366" s="411"/>
      <c r="BU1366" s="419">
        <v>0.68300000000000005</v>
      </c>
      <c r="BV1366" s="414"/>
      <c r="BW1366" s="390" t="s">
        <v>3117</v>
      </c>
      <c r="BX1366" s="402" t="s">
        <v>1447</v>
      </c>
      <c r="BY1366" s="390"/>
      <c r="BZ1366" s="390"/>
      <c r="CA1366" s="442" t="s">
        <v>1662</v>
      </c>
      <c r="CB1366" s="415">
        <v>3</v>
      </c>
      <c r="CC1366" s="413"/>
      <c r="CD1366" s="413"/>
      <c r="CE1366" s="413"/>
      <c r="CF1366" s="413"/>
      <c r="CG1366" s="413"/>
      <c r="CH1366" s="413"/>
      <c r="CI1366" s="413">
        <v>57.042999999999999</v>
      </c>
      <c r="CJ1366" s="413">
        <v>57.042999999999999</v>
      </c>
      <c r="CK1366" s="413">
        <v>57.042999999999999</v>
      </c>
      <c r="CL1366" s="413">
        <v>57.042999999999999</v>
      </c>
      <c r="CM1366" s="413">
        <v>57.042999999999999</v>
      </c>
      <c r="CN1366" s="413">
        <v>57.042999999999999</v>
      </c>
      <c r="CO1366" s="413">
        <v>57.042999999999999</v>
      </c>
      <c r="CP1366" s="413">
        <v>57.042999999999999</v>
      </c>
      <c r="CQ1366" s="413">
        <v>57.042999999999999</v>
      </c>
      <c r="CR1366" s="413">
        <v>57.042999999999999</v>
      </c>
      <c r="CS1366" s="413"/>
      <c r="CT1366" s="413"/>
      <c r="CU1366" s="413"/>
      <c r="CV1366" s="413"/>
      <c r="CW1366" s="413"/>
      <c r="CX1366" s="413"/>
      <c r="CY1366" s="413"/>
      <c r="CZ1366" s="413"/>
      <c r="DA1366" s="413"/>
      <c r="DB1366" s="413"/>
      <c r="DC1366" s="413"/>
      <c r="DD1366" s="413"/>
      <c r="DE1366" s="390"/>
      <c r="DF1366" s="390"/>
      <c r="DG1366" s="390"/>
      <c r="DH1366" s="390"/>
      <c r="DI1366" s="390"/>
      <c r="DJ1366" s="390"/>
      <c r="DK1366" s="897"/>
    </row>
    <row r="1367" spans="1:115" s="224" customFormat="1" ht="38.25" x14ac:dyDescent="0.2">
      <c r="A1367" s="295">
        <v>1363</v>
      </c>
      <c r="B1367" s="390" t="s">
        <v>2255</v>
      </c>
      <c r="C1367" s="424" t="s">
        <v>7750</v>
      </c>
      <c r="D1367" s="391" t="s">
        <v>5793</v>
      </c>
      <c r="E1367" s="704" t="s">
        <v>2382</v>
      </c>
      <c r="F1367" s="393" t="s">
        <v>1340</v>
      </c>
      <c r="G1367" s="393" t="s">
        <v>1677</v>
      </c>
      <c r="H1367" s="393" t="s">
        <v>718</v>
      </c>
      <c r="I1367" s="392"/>
      <c r="J1367" s="392" t="s">
        <v>718</v>
      </c>
      <c r="K1367" s="392"/>
      <c r="L1367" s="392" t="s">
        <v>2323</v>
      </c>
      <c r="M1367" s="392" t="s">
        <v>3616</v>
      </c>
      <c r="N1367" s="393" t="s">
        <v>44</v>
      </c>
      <c r="O1367" s="393" t="s">
        <v>827</v>
      </c>
      <c r="P1367" s="393" t="s">
        <v>827</v>
      </c>
      <c r="Q1367" s="392" t="s">
        <v>836</v>
      </c>
      <c r="R1367" s="392"/>
      <c r="S1367" s="392" t="s">
        <v>650</v>
      </c>
      <c r="T1367" s="394">
        <v>1</v>
      </c>
      <c r="U1367" s="395">
        <v>134.89500000000001</v>
      </c>
      <c r="V1367" s="395"/>
      <c r="W1367" s="452">
        <v>41183</v>
      </c>
      <c r="X1367" s="394">
        <v>7</v>
      </c>
      <c r="Y1367" s="394"/>
      <c r="Z1367" s="394"/>
      <c r="AA1367" s="395"/>
      <c r="AB1367" s="453"/>
      <c r="AC1367" s="398">
        <v>0</v>
      </c>
      <c r="AD1367" s="398">
        <v>888.82869863013707</v>
      </c>
      <c r="AE1367" s="393" t="s">
        <v>47</v>
      </c>
      <c r="AF1367" s="417"/>
      <c r="AG1367" s="417"/>
      <c r="AH1367" s="417">
        <v>0</v>
      </c>
      <c r="AI1367" s="394"/>
      <c r="AJ1367" s="453"/>
      <c r="AK1367" s="453"/>
      <c r="AL1367" s="393"/>
      <c r="AM1367" s="393"/>
      <c r="AN1367" s="417"/>
      <c r="AO1367" s="392"/>
      <c r="AP1367" s="392" t="s">
        <v>55</v>
      </c>
      <c r="AQ1367" s="392"/>
      <c r="AR1367" s="392" t="s">
        <v>55</v>
      </c>
      <c r="AS1367" s="479">
        <v>41062</v>
      </c>
      <c r="AT1367" s="453"/>
      <c r="AU1367" s="453"/>
      <c r="AV1367" s="452">
        <v>41416</v>
      </c>
      <c r="AW1367" s="452">
        <v>41437</v>
      </c>
      <c r="AX1367" s="452">
        <v>41670</v>
      </c>
      <c r="AY1367" s="452">
        <v>41614</v>
      </c>
      <c r="AZ1367" s="453"/>
      <c r="BA1367" s="393"/>
      <c r="BB1367" s="393" t="s">
        <v>3147</v>
      </c>
      <c r="BC1367" s="393" t="b">
        <v>1</v>
      </c>
      <c r="BD1367" s="393" t="s">
        <v>3147</v>
      </c>
      <c r="BE1367" s="392"/>
      <c r="BF1367" s="394">
        <v>12</v>
      </c>
      <c r="BG1367" s="394"/>
      <c r="BH1367" s="394"/>
      <c r="BI1367" s="394"/>
      <c r="BJ1367" s="394"/>
      <c r="BK1367" s="394"/>
      <c r="BL1367" s="444"/>
      <c r="BM1367" s="392"/>
      <c r="BN1367" s="393"/>
      <c r="BO1367" s="393"/>
      <c r="BP1367" s="399"/>
      <c r="BQ1367" s="400"/>
      <c r="BR1367" s="401"/>
      <c r="BS1367" s="399">
        <v>75</v>
      </c>
      <c r="BT1367" s="394"/>
      <c r="BU1367" s="417"/>
      <c r="BV1367" s="399"/>
      <c r="BW1367" s="393"/>
      <c r="BX1367" s="392"/>
      <c r="BY1367" s="393"/>
      <c r="BZ1367" s="393"/>
      <c r="CA1367" s="441"/>
      <c r="CB1367" s="400"/>
      <c r="CC1367" s="398"/>
      <c r="CD1367" s="398"/>
      <c r="CE1367" s="398"/>
      <c r="CF1367" s="398"/>
      <c r="CG1367" s="398"/>
      <c r="CH1367" s="398"/>
      <c r="CI1367" s="398"/>
      <c r="CJ1367" s="398"/>
      <c r="CK1367" s="398"/>
      <c r="CL1367" s="398"/>
      <c r="CM1367" s="398"/>
      <c r="CN1367" s="398"/>
      <c r="CO1367" s="398"/>
      <c r="CP1367" s="398"/>
      <c r="CQ1367" s="398"/>
      <c r="CR1367" s="398"/>
      <c r="CS1367" s="398"/>
      <c r="CT1367" s="398"/>
      <c r="CU1367" s="398"/>
      <c r="CV1367" s="398"/>
      <c r="CW1367" s="398"/>
      <c r="CX1367" s="398"/>
      <c r="CY1367" s="398"/>
      <c r="CZ1367" s="398"/>
      <c r="DA1367" s="398"/>
      <c r="DB1367" s="398"/>
      <c r="DC1367" s="398"/>
      <c r="DD1367" s="398"/>
      <c r="DE1367" s="393"/>
      <c r="DF1367" s="393"/>
      <c r="DG1367" s="393"/>
      <c r="DH1367" s="393"/>
      <c r="DI1367" s="393"/>
      <c r="DJ1367" s="393"/>
      <c r="DK1367" s="896" t="s">
        <v>9746</v>
      </c>
    </row>
    <row r="1368" spans="1:115" s="224" customFormat="1" ht="38.25" x14ac:dyDescent="0.2">
      <c r="A1368" s="295">
        <v>1364</v>
      </c>
      <c r="B1368" s="390" t="s">
        <v>2922</v>
      </c>
      <c r="C1368" s="390"/>
      <c r="D1368" s="391" t="s">
        <v>5794</v>
      </c>
      <c r="E1368" s="704" t="s">
        <v>2321</v>
      </c>
      <c r="F1368" s="393" t="s">
        <v>1340</v>
      </c>
      <c r="G1368" s="393" t="s">
        <v>1677</v>
      </c>
      <c r="H1368" s="393" t="s">
        <v>718</v>
      </c>
      <c r="I1368" s="392"/>
      <c r="J1368" s="392"/>
      <c r="K1368" s="392" t="s">
        <v>2322</v>
      </c>
      <c r="L1368" s="392" t="s">
        <v>2323</v>
      </c>
      <c r="M1368" s="392"/>
      <c r="N1368" s="393" t="s">
        <v>44</v>
      </c>
      <c r="O1368" s="393" t="s">
        <v>827</v>
      </c>
      <c r="P1368" s="393" t="s">
        <v>827</v>
      </c>
      <c r="Q1368" s="392" t="s">
        <v>836</v>
      </c>
      <c r="R1368" s="392" t="s">
        <v>4141</v>
      </c>
      <c r="S1368" s="392" t="s">
        <v>650</v>
      </c>
      <c r="T1368" s="394">
        <v>1</v>
      </c>
      <c r="U1368" s="395">
        <v>134.89500000000001</v>
      </c>
      <c r="V1368" s="395"/>
      <c r="W1368" s="453"/>
      <c r="X1368" s="394"/>
      <c r="Y1368" s="394">
        <v>7</v>
      </c>
      <c r="Z1368" s="394">
        <v>25</v>
      </c>
      <c r="AA1368" s="395">
        <v>-0.5</v>
      </c>
      <c r="AB1368" s="452">
        <v>41791</v>
      </c>
      <c r="AC1368" s="398">
        <v>0</v>
      </c>
      <c r="AD1368" s="398">
        <v>888.82869863013707</v>
      </c>
      <c r="AE1368" s="393" t="s">
        <v>47</v>
      </c>
      <c r="AF1368" s="417"/>
      <c r="AG1368" s="417"/>
      <c r="AH1368" s="417"/>
      <c r="AI1368" s="394"/>
      <c r="AJ1368" s="453"/>
      <c r="AK1368" s="453"/>
      <c r="AL1368" s="393"/>
      <c r="AM1368" s="393"/>
      <c r="AN1368" s="417"/>
      <c r="AO1368" s="392"/>
      <c r="AP1368" s="392" t="s">
        <v>55</v>
      </c>
      <c r="AQ1368" s="392"/>
      <c r="AR1368" s="392" t="s">
        <v>55</v>
      </c>
      <c r="AS1368" s="479">
        <v>41062</v>
      </c>
      <c r="AT1368" s="453"/>
      <c r="AU1368" s="453"/>
      <c r="AV1368" s="453"/>
      <c r="AW1368" s="453"/>
      <c r="AX1368" s="453"/>
      <c r="AY1368" s="453"/>
      <c r="AZ1368" s="452">
        <v>41614</v>
      </c>
      <c r="BA1368" s="393"/>
      <c r="BB1368" s="393"/>
      <c r="BC1368" s="393" t="b">
        <v>0</v>
      </c>
      <c r="BD1368" s="393"/>
      <c r="BE1368" s="392"/>
      <c r="BF1368" s="394">
        <v>11</v>
      </c>
      <c r="BG1368" s="394">
        <v>12</v>
      </c>
      <c r="BH1368" s="394"/>
      <c r="BI1368" s="394"/>
      <c r="BJ1368" s="394"/>
      <c r="BK1368" s="394"/>
      <c r="BL1368" s="444" t="s">
        <v>6984</v>
      </c>
      <c r="BM1368" s="392"/>
      <c r="BN1368" s="393"/>
      <c r="BO1368" s="393"/>
      <c r="BP1368" s="399"/>
      <c r="BQ1368" s="400"/>
      <c r="BR1368" s="401"/>
      <c r="BS1368" s="399">
        <v>75</v>
      </c>
      <c r="BT1368" s="394">
        <v>148691</v>
      </c>
      <c r="BU1368" s="417">
        <v>0.70699999999999996</v>
      </c>
      <c r="BV1368" s="399"/>
      <c r="BW1368" s="393" t="s">
        <v>3117</v>
      </c>
      <c r="BX1368" s="392" t="s">
        <v>1447</v>
      </c>
      <c r="BY1368" s="393"/>
      <c r="BZ1368" s="393"/>
      <c r="CA1368" s="441" t="s">
        <v>1662</v>
      </c>
      <c r="CB1368" s="400">
        <v>3</v>
      </c>
      <c r="CC1368" s="398"/>
      <c r="CD1368" s="398"/>
      <c r="CE1368" s="398"/>
      <c r="CF1368" s="398"/>
      <c r="CG1368" s="398"/>
      <c r="CH1368" s="398"/>
      <c r="CI1368" s="398"/>
      <c r="CJ1368" s="398">
        <v>62.667000000000002</v>
      </c>
      <c r="CK1368" s="398">
        <v>106.355</v>
      </c>
      <c r="CL1368" s="398">
        <v>105.82299999999999</v>
      </c>
      <c r="CM1368" s="398">
        <v>105.294</v>
      </c>
      <c r="CN1368" s="398">
        <v>104.767</v>
      </c>
      <c r="CO1368" s="398">
        <v>104.24299999999999</v>
      </c>
      <c r="CP1368" s="398">
        <v>103.72199999999999</v>
      </c>
      <c r="CQ1368" s="398">
        <v>43.000999999999998</v>
      </c>
      <c r="CR1368" s="398"/>
      <c r="CS1368" s="398"/>
      <c r="CT1368" s="398"/>
      <c r="CU1368" s="398"/>
      <c r="CV1368" s="398"/>
      <c r="CW1368" s="398"/>
      <c r="CX1368" s="398"/>
      <c r="CY1368" s="398"/>
      <c r="CZ1368" s="398"/>
      <c r="DA1368" s="398"/>
      <c r="DB1368" s="398"/>
      <c r="DC1368" s="398"/>
      <c r="DD1368" s="398"/>
      <c r="DE1368" s="393"/>
      <c r="DF1368" s="393"/>
      <c r="DG1368" s="393"/>
      <c r="DH1368" s="393"/>
      <c r="DI1368" s="393"/>
      <c r="DJ1368" s="393"/>
      <c r="DK1368" s="897"/>
    </row>
    <row r="1369" spans="1:115" s="224" customFormat="1" ht="38.25" x14ac:dyDescent="0.2">
      <c r="A1369" s="295">
        <v>1365</v>
      </c>
      <c r="B1369" s="390" t="s">
        <v>2256</v>
      </c>
      <c r="C1369" s="424" t="s">
        <v>7751</v>
      </c>
      <c r="D1369" s="391" t="s">
        <v>5210</v>
      </c>
      <c r="E1369" s="704" t="s">
        <v>2383</v>
      </c>
      <c r="F1369" s="393" t="s">
        <v>1375</v>
      </c>
      <c r="G1369" s="393" t="s">
        <v>1361</v>
      </c>
      <c r="H1369" s="393" t="s">
        <v>137</v>
      </c>
      <c r="I1369" s="392"/>
      <c r="J1369" s="392" t="s">
        <v>137</v>
      </c>
      <c r="K1369" s="392"/>
      <c r="L1369" s="392" t="s">
        <v>2325</v>
      </c>
      <c r="M1369" s="392" t="s">
        <v>3617</v>
      </c>
      <c r="N1369" s="393" t="s">
        <v>44</v>
      </c>
      <c r="O1369" s="393" t="s">
        <v>5030</v>
      </c>
      <c r="P1369" s="393" t="s">
        <v>5030</v>
      </c>
      <c r="Q1369" s="392" t="s">
        <v>1831</v>
      </c>
      <c r="R1369" s="392"/>
      <c r="S1369" s="392" t="s">
        <v>650</v>
      </c>
      <c r="T1369" s="394">
        <v>1</v>
      </c>
      <c r="U1369" s="395">
        <v>132.52600000000001</v>
      </c>
      <c r="V1369" s="395"/>
      <c r="W1369" s="452">
        <v>41062</v>
      </c>
      <c r="X1369" s="394">
        <v>28</v>
      </c>
      <c r="Y1369" s="394"/>
      <c r="Z1369" s="394"/>
      <c r="AA1369" s="395"/>
      <c r="AB1369" s="453"/>
      <c r="AC1369" s="398">
        <v>0</v>
      </c>
      <c r="AD1369" s="398">
        <v>1325.2600000000002</v>
      </c>
      <c r="AE1369" s="393" t="s">
        <v>787</v>
      </c>
      <c r="AF1369" s="417"/>
      <c r="AG1369" s="417"/>
      <c r="AH1369" s="417">
        <v>0</v>
      </c>
      <c r="AI1369" s="394"/>
      <c r="AJ1369" s="453"/>
      <c r="AK1369" s="453"/>
      <c r="AL1369" s="393"/>
      <c r="AM1369" s="393"/>
      <c r="AN1369" s="417"/>
      <c r="AO1369" s="392"/>
      <c r="AP1369" s="392" t="s">
        <v>55</v>
      </c>
      <c r="AQ1369" s="392"/>
      <c r="AR1369" s="392" t="s">
        <v>55</v>
      </c>
      <c r="AS1369" s="479">
        <v>41062</v>
      </c>
      <c r="AT1369" s="453"/>
      <c r="AU1369" s="453"/>
      <c r="AV1369" s="452">
        <v>41213</v>
      </c>
      <c r="AW1369" s="452">
        <v>41267</v>
      </c>
      <c r="AX1369" s="453"/>
      <c r="AY1369" s="452">
        <v>41271</v>
      </c>
      <c r="AZ1369" s="453"/>
      <c r="BA1369" s="393"/>
      <c r="BB1369" s="393" t="s">
        <v>3147</v>
      </c>
      <c r="BC1369" s="393" t="b">
        <v>1</v>
      </c>
      <c r="BD1369" s="393" t="s">
        <v>3147</v>
      </c>
      <c r="BE1369" s="392"/>
      <c r="BF1369" s="394">
        <v>5</v>
      </c>
      <c r="BG1369" s="394">
        <v>9</v>
      </c>
      <c r="BH1369" s="394">
        <v>11</v>
      </c>
      <c r="BI1369" s="394"/>
      <c r="BJ1369" s="394"/>
      <c r="BK1369" s="394"/>
      <c r="BL1369" s="444"/>
      <c r="BM1369" s="392"/>
      <c r="BN1369" s="393"/>
      <c r="BO1369" s="393"/>
      <c r="BP1369" s="399"/>
      <c r="BQ1369" s="400"/>
      <c r="BR1369" s="401"/>
      <c r="BS1369" s="399">
        <v>82.5</v>
      </c>
      <c r="BT1369" s="394"/>
      <c r="BU1369" s="417"/>
      <c r="BV1369" s="399"/>
      <c r="BW1369" s="393"/>
      <c r="BX1369" s="392"/>
      <c r="BY1369" s="393"/>
      <c r="BZ1369" s="393"/>
      <c r="CA1369" s="441"/>
      <c r="CB1369" s="400"/>
      <c r="CC1369" s="398"/>
      <c r="CD1369" s="398"/>
      <c r="CE1369" s="398"/>
      <c r="CF1369" s="398"/>
      <c r="CG1369" s="398"/>
      <c r="CH1369" s="398"/>
      <c r="CI1369" s="398"/>
      <c r="CJ1369" s="398"/>
      <c r="CK1369" s="398"/>
      <c r="CL1369" s="398"/>
      <c r="CM1369" s="398"/>
      <c r="CN1369" s="398"/>
      <c r="CO1369" s="398"/>
      <c r="CP1369" s="398"/>
      <c r="CQ1369" s="398"/>
      <c r="CR1369" s="398"/>
      <c r="CS1369" s="398"/>
      <c r="CT1369" s="398"/>
      <c r="CU1369" s="398"/>
      <c r="CV1369" s="398"/>
      <c r="CW1369" s="398"/>
      <c r="CX1369" s="398"/>
      <c r="CY1369" s="398"/>
      <c r="CZ1369" s="398"/>
      <c r="DA1369" s="398"/>
      <c r="DB1369" s="398"/>
      <c r="DC1369" s="398"/>
      <c r="DD1369" s="398"/>
      <c r="DE1369" s="393"/>
      <c r="DF1369" s="393"/>
      <c r="DG1369" s="393"/>
      <c r="DH1369" s="393"/>
      <c r="DI1369" s="393"/>
      <c r="DJ1369" s="393"/>
      <c r="DK1369" s="896" t="s">
        <v>9701</v>
      </c>
    </row>
    <row r="1370" spans="1:115" ht="25.5" x14ac:dyDescent="0.2">
      <c r="A1370" s="295">
        <v>1366</v>
      </c>
      <c r="B1370" s="390" t="s">
        <v>2923</v>
      </c>
      <c r="C1370" s="390"/>
      <c r="D1370" s="391" t="s">
        <v>4966</v>
      </c>
      <c r="E1370" s="704" t="s">
        <v>2324</v>
      </c>
      <c r="F1370" s="393" t="s">
        <v>1375</v>
      </c>
      <c r="G1370" s="393" t="s">
        <v>1361</v>
      </c>
      <c r="H1370" s="393" t="s">
        <v>137</v>
      </c>
      <c r="I1370" s="392"/>
      <c r="J1370" s="392"/>
      <c r="K1370" s="392" t="s">
        <v>2205</v>
      </c>
      <c r="L1370" s="392" t="s">
        <v>2325</v>
      </c>
      <c r="M1370" s="392"/>
      <c r="N1370" s="393" t="s">
        <v>44</v>
      </c>
      <c r="O1370" s="393" t="s">
        <v>1155</v>
      </c>
      <c r="P1370" s="393" t="s">
        <v>1155</v>
      </c>
      <c r="Q1370" s="392" t="s">
        <v>1155</v>
      </c>
      <c r="R1370" s="392" t="s">
        <v>3618</v>
      </c>
      <c r="S1370" s="392" t="s">
        <v>650</v>
      </c>
      <c r="T1370" s="394">
        <v>1</v>
      </c>
      <c r="U1370" s="395">
        <v>132.52600000000001</v>
      </c>
      <c r="V1370" s="395"/>
      <c r="W1370" s="453"/>
      <c r="X1370" s="394"/>
      <c r="Y1370" s="394">
        <v>10</v>
      </c>
      <c r="Z1370" s="394">
        <v>20</v>
      </c>
      <c r="AA1370" s="395">
        <v>0</v>
      </c>
      <c r="AB1370" s="452">
        <v>42064</v>
      </c>
      <c r="AC1370" s="398">
        <v>0</v>
      </c>
      <c r="AD1370" s="398">
        <v>1325.2600000000002</v>
      </c>
      <c r="AE1370" s="393" t="s">
        <v>787</v>
      </c>
      <c r="AF1370" s="417"/>
      <c r="AG1370" s="417"/>
      <c r="AH1370" s="417"/>
      <c r="AI1370" s="394"/>
      <c r="AJ1370" s="453"/>
      <c r="AK1370" s="453"/>
      <c r="AL1370" s="393"/>
      <c r="AM1370" s="393"/>
      <c r="AN1370" s="417"/>
      <c r="AO1370" s="392"/>
      <c r="AP1370" s="392" t="s">
        <v>55</v>
      </c>
      <c r="AQ1370" s="392"/>
      <c r="AR1370" s="392" t="s">
        <v>55</v>
      </c>
      <c r="AS1370" s="479">
        <v>41062</v>
      </c>
      <c r="AT1370" s="453"/>
      <c r="AU1370" s="453"/>
      <c r="AV1370" s="453"/>
      <c r="AW1370" s="453"/>
      <c r="AX1370" s="453"/>
      <c r="AY1370" s="453"/>
      <c r="AZ1370" s="452">
        <v>41271</v>
      </c>
      <c r="BA1370" s="393"/>
      <c r="BB1370" s="393"/>
      <c r="BC1370" s="393" t="b">
        <v>0</v>
      </c>
      <c r="BD1370" s="393"/>
      <c r="BE1370" s="392"/>
      <c r="BF1370" s="394">
        <v>5</v>
      </c>
      <c r="BG1370" s="394">
        <v>9</v>
      </c>
      <c r="BH1370" s="394">
        <v>11</v>
      </c>
      <c r="BI1370" s="394"/>
      <c r="BJ1370" s="394"/>
      <c r="BK1370" s="394"/>
      <c r="BL1370" s="444" t="s">
        <v>6982</v>
      </c>
      <c r="BM1370" s="392" t="s">
        <v>3607</v>
      </c>
      <c r="BN1370" s="393" t="s">
        <v>117</v>
      </c>
      <c r="BO1370" s="393"/>
      <c r="BP1370" s="399"/>
      <c r="BQ1370" s="400" t="s">
        <v>117</v>
      </c>
      <c r="BR1370" s="401"/>
      <c r="BS1370" s="399">
        <v>82.5</v>
      </c>
      <c r="BT1370" s="394">
        <v>140180</v>
      </c>
      <c r="BU1370" s="417">
        <v>0.97</v>
      </c>
      <c r="BV1370" s="399"/>
      <c r="BW1370" s="393" t="s">
        <v>3117</v>
      </c>
      <c r="BX1370" s="392" t="s">
        <v>1447</v>
      </c>
      <c r="BY1370" s="393"/>
      <c r="BZ1370" s="393"/>
      <c r="CA1370" s="441" t="s">
        <v>1662</v>
      </c>
      <c r="CB1370" s="400">
        <v>3</v>
      </c>
      <c r="CC1370" s="398"/>
      <c r="CD1370" s="398"/>
      <c r="CE1370" s="398"/>
      <c r="CF1370" s="398"/>
      <c r="CG1370" s="398"/>
      <c r="CH1370" s="398"/>
      <c r="CI1370" s="398"/>
      <c r="CJ1370" s="398"/>
      <c r="CK1370" s="398">
        <v>111.104</v>
      </c>
      <c r="CL1370" s="398">
        <v>132.52600000000001</v>
      </c>
      <c r="CM1370" s="398">
        <v>132.52600000000001</v>
      </c>
      <c r="CN1370" s="398">
        <v>132.52600000000001</v>
      </c>
      <c r="CO1370" s="398">
        <v>132.52600000000001</v>
      </c>
      <c r="CP1370" s="398">
        <v>132.52600000000001</v>
      </c>
      <c r="CQ1370" s="398">
        <v>132.52600000000001</v>
      </c>
      <c r="CR1370" s="398">
        <v>132.52600000000001</v>
      </c>
      <c r="CS1370" s="398">
        <v>132.52600000000001</v>
      </c>
      <c r="CT1370" s="398">
        <v>132.52600000000001</v>
      </c>
      <c r="CU1370" s="398">
        <v>21.422000000000001</v>
      </c>
      <c r="CV1370" s="398"/>
      <c r="CW1370" s="398"/>
      <c r="CX1370" s="398"/>
      <c r="CY1370" s="398"/>
      <c r="CZ1370" s="398"/>
      <c r="DA1370" s="398"/>
      <c r="DB1370" s="398"/>
      <c r="DC1370" s="398"/>
      <c r="DD1370" s="398"/>
      <c r="DE1370" s="393"/>
      <c r="DF1370" s="393"/>
      <c r="DG1370" s="393"/>
      <c r="DH1370" s="393"/>
      <c r="DI1370" s="393"/>
      <c r="DJ1370" s="393"/>
      <c r="DK1370" s="897"/>
    </row>
    <row r="1371" spans="1:115" ht="38.25" x14ac:dyDescent="0.2">
      <c r="A1371" s="295">
        <v>1367</v>
      </c>
      <c r="B1371" s="390" t="s">
        <v>2257</v>
      </c>
      <c r="C1371" s="424" t="s">
        <v>7752</v>
      </c>
      <c r="D1371" s="391"/>
      <c r="E1371" s="706" t="s">
        <v>2384</v>
      </c>
      <c r="F1371" s="390" t="s">
        <v>1352</v>
      </c>
      <c r="G1371" s="390" t="s">
        <v>1672</v>
      </c>
      <c r="H1371" s="390" t="s">
        <v>632</v>
      </c>
      <c r="I1371" s="402"/>
      <c r="J1371" s="402" t="s">
        <v>632</v>
      </c>
      <c r="K1371" s="402"/>
      <c r="L1371" s="402" t="s">
        <v>2328</v>
      </c>
      <c r="M1371" s="402" t="s">
        <v>3619</v>
      </c>
      <c r="N1371" s="390" t="s">
        <v>33</v>
      </c>
      <c r="O1371" s="390" t="s">
        <v>820</v>
      </c>
      <c r="P1371" s="390" t="s">
        <v>820</v>
      </c>
      <c r="Q1371" s="402" t="s">
        <v>1833</v>
      </c>
      <c r="R1371" s="402"/>
      <c r="S1371" s="402" t="s">
        <v>2329</v>
      </c>
      <c r="T1371" s="411">
        <v>1</v>
      </c>
      <c r="U1371" s="412">
        <v>11.111000000000001</v>
      </c>
      <c r="V1371" s="412"/>
      <c r="W1371" s="457">
        <v>41072</v>
      </c>
      <c r="X1371" s="411">
        <v>28</v>
      </c>
      <c r="Y1371" s="411"/>
      <c r="Z1371" s="411"/>
      <c r="AA1371" s="412"/>
      <c r="AB1371" s="454"/>
      <c r="AC1371" s="413">
        <v>0</v>
      </c>
      <c r="AD1371" s="413">
        <v>111.11000000000001</v>
      </c>
      <c r="AE1371" s="390" t="s">
        <v>103</v>
      </c>
      <c r="AF1371" s="419"/>
      <c r="AG1371" s="419"/>
      <c r="AH1371" s="419">
        <v>0</v>
      </c>
      <c r="AI1371" s="411"/>
      <c r="AJ1371" s="454"/>
      <c r="AK1371" s="454"/>
      <c r="AL1371" s="390"/>
      <c r="AM1371" s="390"/>
      <c r="AN1371" s="419"/>
      <c r="AO1371" s="402"/>
      <c r="AP1371" s="402" t="s">
        <v>55</v>
      </c>
      <c r="AQ1371" s="402"/>
      <c r="AR1371" s="402" t="s">
        <v>55</v>
      </c>
      <c r="AS1371" s="481">
        <v>41062</v>
      </c>
      <c r="AT1371" s="454"/>
      <c r="AU1371" s="454"/>
      <c r="AV1371" s="454"/>
      <c r="AW1371" s="454"/>
      <c r="AX1371" s="454"/>
      <c r="AY1371" s="454"/>
      <c r="AZ1371" s="454"/>
      <c r="BA1371" s="390"/>
      <c r="BB1371" s="390" t="s">
        <v>3116</v>
      </c>
      <c r="BC1371" s="390" t="b">
        <v>0</v>
      </c>
      <c r="BD1371" s="390" t="s">
        <v>3116</v>
      </c>
      <c r="BE1371" s="402"/>
      <c r="BF1371" s="411">
        <v>12</v>
      </c>
      <c r="BG1371" s="411">
        <v>5</v>
      </c>
      <c r="BH1371" s="411"/>
      <c r="BI1371" s="411"/>
      <c r="BJ1371" s="411"/>
      <c r="BK1371" s="411"/>
      <c r="BL1371" s="445"/>
      <c r="BM1371" s="402"/>
      <c r="BN1371" s="390"/>
      <c r="BO1371" s="390"/>
      <c r="BP1371" s="414"/>
      <c r="BQ1371" s="415"/>
      <c r="BR1371" s="416"/>
      <c r="BS1371" s="414">
        <v>0</v>
      </c>
      <c r="BT1371" s="411"/>
      <c r="BU1371" s="419"/>
      <c r="BV1371" s="414"/>
      <c r="BW1371" s="390"/>
      <c r="BX1371" s="402"/>
      <c r="BY1371" s="390"/>
      <c r="BZ1371" s="390"/>
      <c r="CA1371" s="442"/>
      <c r="CB1371" s="415"/>
      <c r="CC1371" s="413"/>
      <c r="CD1371" s="413"/>
      <c r="CE1371" s="413"/>
      <c r="CF1371" s="413"/>
      <c r="CG1371" s="413"/>
      <c r="CH1371" s="413"/>
      <c r="CI1371" s="413"/>
      <c r="CJ1371" s="413"/>
      <c r="CK1371" s="413"/>
      <c r="CL1371" s="413"/>
      <c r="CM1371" s="413"/>
      <c r="CN1371" s="413"/>
      <c r="CO1371" s="413"/>
      <c r="CP1371" s="413"/>
      <c r="CQ1371" s="413"/>
      <c r="CR1371" s="413"/>
      <c r="CS1371" s="413"/>
      <c r="CT1371" s="413"/>
      <c r="CU1371" s="413"/>
      <c r="CV1371" s="413"/>
      <c r="CW1371" s="413"/>
      <c r="CX1371" s="413"/>
      <c r="CY1371" s="413"/>
      <c r="CZ1371" s="413"/>
      <c r="DA1371" s="413"/>
      <c r="DB1371" s="413"/>
      <c r="DC1371" s="413"/>
      <c r="DD1371" s="413"/>
      <c r="DE1371" s="390"/>
      <c r="DF1371" s="390"/>
      <c r="DG1371" s="390"/>
      <c r="DH1371" s="390"/>
      <c r="DI1371" s="390"/>
      <c r="DJ1371" s="390"/>
      <c r="DK1371" s="901"/>
    </row>
    <row r="1372" spans="1:115" ht="25.5" x14ac:dyDescent="0.2">
      <c r="A1372" s="295">
        <v>1368</v>
      </c>
      <c r="B1372" s="390" t="s">
        <v>2924</v>
      </c>
      <c r="C1372" s="390"/>
      <c r="D1372" s="391"/>
      <c r="E1372" s="706" t="s">
        <v>2326</v>
      </c>
      <c r="F1372" s="390" t="s">
        <v>1352</v>
      </c>
      <c r="G1372" s="390" t="s">
        <v>1672</v>
      </c>
      <c r="H1372" s="390" t="s">
        <v>632</v>
      </c>
      <c r="I1372" s="402"/>
      <c r="J1372" s="402"/>
      <c r="K1372" s="402" t="s">
        <v>2327</v>
      </c>
      <c r="L1372" s="402" t="s">
        <v>2328</v>
      </c>
      <c r="M1372" s="402"/>
      <c r="N1372" s="390" t="s">
        <v>33</v>
      </c>
      <c r="O1372" s="390" t="s">
        <v>820</v>
      </c>
      <c r="P1372" s="390" t="s">
        <v>820</v>
      </c>
      <c r="Q1372" s="402" t="s">
        <v>1833</v>
      </c>
      <c r="R1372" s="402" t="s">
        <v>3620</v>
      </c>
      <c r="S1372" s="402" t="s">
        <v>2329</v>
      </c>
      <c r="T1372" s="411">
        <v>1</v>
      </c>
      <c r="U1372" s="412">
        <v>11.111000000000001</v>
      </c>
      <c r="V1372" s="412"/>
      <c r="W1372" s="454"/>
      <c r="X1372" s="411"/>
      <c r="Y1372" s="411">
        <v>10</v>
      </c>
      <c r="Z1372" s="411">
        <v>10</v>
      </c>
      <c r="AA1372" s="412">
        <v>0</v>
      </c>
      <c r="AB1372" s="457">
        <v>41348</v>
      </c>
      <c r="AC1372" s="413">
        <v>0</v>
      </c>
      <c r="AD1372" s="413">
        <v>111.11000000000001</v>
      </c>
      <c r="AE1372" s="390" t="s">
        <v>103</v>
      </c>
      <c r="AF1372" s="419"/>
      <c r="AG1372" s="419"/>
      <c r="AH1372" s="419"/>
      <c r="AI1372" s="411"/>
      <c r="AJ1372" s="454"/>
      <c r="AK1372" s="454"/>
      <c r="AL1372" s="390"/>
      <c r="AM1372" s="390"/>
      <c r="AN1372" s="419"/>
      <c r="AO1372" s="402"/>
      <c r="AP1372" s="402" t="s">
        <v>55</v>
      </c>
      <c r="AQ1372" s="402"/>
      <c r="AR1372" s="402" t="s">
        <v>55</v>
      </c>
      <c r="AS1372" s="481">
        <v>41062</v>
      </c>
      <c r="AT1372" s="454"/>
      <c r="AU1372" s="454"/>
      <c r="AV1372" s="454"/>
      <c r="AW1372" s="454"/>
      <c r="AX1372" s="454"/>
      <c r="AY1372" s="454"/>
      <c r="AZ1372" s="454"/>
      <c r="BA1372" s="390"/>
      <c r="BB1372" s="390"/>
      <c r="BC1372" s="390" t="b">
        <v>0</v>
      </c>
      <c r="BD1372" s="390"/>
      <c r="BE1372" s="402"/>
      <c r="BF1372" s="411">
        <v>12</v>
      </c>
      <c r="BG1372" s="411">
        <v>5</v>
      </c>
      <c r="BH1372" s="411"/>
      <c r="BI1372" s="411"/>
      <c r="BJ1372" s="411"/>
      <c r="BK1372" s="411"/>
      <c r="BL1372" s="445" t="s">
        <v>6981</v>
      </c>
      <c r="BM1372" s="402"/>
      <c r="BN1372" s="390"/>
      <c r="BO1372" s="390"/>
      <c r="BP1372" s="414"/>
      <c r="BQ1372" s="415"/>
      <c r="BR1372" s="416"/>
      <c r="BS1372" s="414"/>
      <c r="BT1372" s="411"/>
      <c r="BU1372" s="419"/>
      <c r="BV1372" s="414"/>
      <c r="BW1372" s="390" t="s">
        <v>3165</v>
      </c>
      <c r="BX1372" s="402" t="s">
        <v>1447</v>
      </c>
      <c r="BY1372" s="390"/>
      <c r="BZ1372" s="390"/>
      <c r="CA1372" s="442"/>
      <c r="CB1372" s="415"/>
      <c r="CC1372" s="413"/>
      <c r="CD1372" s="413"/>
      <c r="CE1372" s="413"/>
      <c r="CF1372" s="413"/>
      <c r="CG1372" s="413"/>
      <c r="CH1372" s="413"/>
      <c r="CI1372" s="413">
        <v>11.111000000000001</v>
      </c>
      <c r="CJ1372" s="413">
        <v>11.111000000000001</v>
      </c>
      <c r="CK1372" s="413">
        <v>11.111000000000001</v>
      </c>
      <c r="CL1372" s="413">
        <v>11.111000000000001</v>
      </c>
      <c r="CM1372" s="413">
        <v>11.111000000000001</v>
      </c>
      <c r="CN1372" s="413">
        <v>11.111000000000001</v>
      </c>
      <c r="CO1372" s="413">
        <v>11.111000000000001</v>
      </c>
      <c r="CP1372" s="413">
        <v>11.111000000000001</v>
      </c>
      <c r="CQ1372" s="413">
        <v>11.111000000000001</v>
      </c>
      <c r="CR1372" s="413">
        <v>11.111000000000001</v>
      </c>
      <c r="CS1372" s="413"/>
      <c r="CT1372" s="413"/>
      <c r="CU1372" s="413"/>
      <c r="CV1372" s="413"/>
      <c r="CW1372" s="413"/>
      <c r="CX1372" s="413"/>
      <c r="CY1372" s="413"/>
      <c r="CZ1372" s="413"/>
      <c r="DA1372" s="413"/>
      <c r="DB1372" s="413"/>
      <c r="DC1372" s="413"/>
      <c r="DD1372" s="413"/>
      <c r="DE1372" s="390"/>
      <c r="DF1372" s="390"/>
      <c r="DG1372" s="390"/>
      <c r="DH1372" s="390"/>
      <c r="DI1372" s="390"/>
      <c r="DJ1372" s="390"/>
      <c r="DK1372" s="897"/>
    </row>
    <row r="1373" spans="1:115" ht="51" x14ac:dyDescent="0.2">
      <c r="A1373" s="295">
        <v>1369</v>
      </c>
      <c r="B1373" s="390" t="s">
        <v>2258</v>
      </c>
      <c r="C1373" s="424" t="s">
        <v>7753</v>
      </c>
      <c r="D1373" s="391" t="s">
        <v>5637</v>
      </c>
      <c r="E1373" s="704" t="s">
        <v>2385</v>
      </c>
      <c r="F1373" s="393" t="s">
        <v>1352</v>
      </c>
      <c r="G1373" s="393" t="s">
        <v>1672</v>
      </c>
      <c r="H1373" s="393" t="s">
        <v>684</v>
      </c>
      <c r="I1373" s="392"/>
      <c r="J1373" s="392" t="s">
        <v>684</v>
      </c>
      <c r="K1373" s="392"/>
      <c r="L1373" s="392" t="s">
        <v>2101</v>
      </c>
      <c r="M1373" s="392" t="s">
        <v>3621</v>
      </c>
      <c r="N1373" s="393" t="s">
        <v>44</v>
      </c>
      <c r="O1373" s="393" t="s">
        <v>820</v>
      </c>
      <c r="P1373" s="393" t="s">
        <v>820</v>
      </c>
      <c r="Q1373" s="392" t="s">
        <v>1833</v>
      </c>
      <c r="R1373" s="392"/>
      <c r="S1373" s="392" t="s">
        <v>2329</v>
      </c>
      <c r="T1373" s="394">
        <v>1</v>
      </c>
      <c r="U1373" s="395">
        <v>2.9169999999999998</v>
      </c>
      <c r="V1373" s="395"/>
      <c r="W1373" s="452">
        <v>41054</v>
      </c>
      <c r="X1373" s="394">
        <v>28</v>
      </c>
      <c r="Y1373" s="394"/>
      <c r="Z1373" s="394"/>
      <c r="AA1373" s="395"/>
      <c r="AB1373" s="453"/>
      <c r="AC1373" s="398">
        <v>0</v>
      </c>
      <c r="AD1373" s="398">
        <v>29.169999999999998</v>
      </c>
      <c r="AE1373" s="393" t="s">
        <v>72</v>
      </c>
      <c r="AF1373" s="417"/>
      <c r="AG1373" s="417"/>
      <c r="AH1373" s="417">
        <v>0</v>
      </c>
      <c r="AI1373" s="394"/>
      <c r="AJ1373" s="453"/>
      <c r="AK1373" s="453"/>
      <c r="AL1373" s="393"/>
      <c r="AM1373" s="393"/>
      <c r="AN1373" s="417"/>
      <c r="AO1373" s="392"/>
      <c r="AP1373" s="392" t="s">
        <v>7110</v>
      </c>
      <c r="AQ1373" s="392"/>
      <c r="AR1373" s="392" t="s">
        <v>55</v>
      </c>
      <c r="AS1373" s="479">
        <v>41066</v>
      </c>
      <c r="AT1373" s="453"/>
      <c r="AU1373" s="453"/>
      <c r="AV1373" s="452">
        <v>41159</v>
      </c>
      <c r="AW1373" s="452">
        <v>41437</v>
      </c>
      <c r="AX1373" s="452">
        <v>41559</v>
      </c>
      <c r="AY1373" s="452">
        <v>41437</v>
      </c>
      <c r="AZ1373" s="453"/>
      <c r="BA1373" s="393"/>
      <c r="BB1373" s="393" t="s">
        <v>3147</v>
      </c>
      <c r="BC1373" s="393" t="b">
        <v>1</v>
      </c>
      <c r="BD1373" s="393" t="s">
        <v>3116</v>
      </c>
      <c r="BE1373" s="392"/>
      <c r="BF1373" s="394">
        <v>1</v>
      </c>
      <c r="BG1373" s="394">
        <v>8</v>
      </c>
      <c r="BH1373" s="394">
        <v>7</v>
      </c>
      <c r="BI1373" s="394">
        <v>9</v>
      </c>
      <c r="BJ1373" s="394">
        <v>5</v>
      </c>
      <c r="BK1373" s="394">
        <v>11</v>
      </c>
      <c r="BL1373" s="444"/>
      <c r="BM1373" s="392"/>
      <c r="BN1373" s="393"/>
      <c r="BO1373" s="393"/>
      <c r="BP1373" s="399"/>
      <c r="BQ1373" s="400"/>
      <c r="BR1373" s="401"/>
      <c r="BS1373" s="399">
        <v>0</v>
      </c>
      <c r="BT1373" s="394"/>
      <c r="BU1373" s="417"/>
      <c r="BV1373" s="399"/>
      <c r="BW1373" s="393"/>
      <c r="BX1373" s="392"/>
      <c r="BY1373" s="393"/>
      <c r="BZ1373" s="393"/>
      <c r="CA1373" s="441"/>
      <c r="CB1373" s="400"/>
      <c r="CC1373" s="398"/>
      <c r="CD1373" s="398"/>
      <c r="CE1373" s="398"/>
      <c r="CF1373" s="398"/>
      <c r="CG1373" s="398"/>
      <c r="CH1373" s="398"/>
      <c r="CI1373" s="398"/>
      <c r="CJ1373" s="398"/>
      <c r="CK1373" s="398"/>
      <c r="CL1373" s="398"/>
      <c r="CM1373" s="398"/>
      <c r="CN1373" s="398"/>
      <c r="CO1373" s="398"/>
      <c r="CP1373" s="398"/>
      <c r="CQ1373" s="398"/>
      <c r="CR1373" s="398"/>
      <c r="CS1373" s="398"/>
      <c r="CT1373" s="398"/>
      <c r="CU1373" s="398"/>
      <c r="CV1373" s="398"/>
      <c r="CW1373" s="398"/>
      <c r="CX1373" s="398"/>
      <c r="CY1373" s="398"/>
      <c r="CZ1373" s="398"/>
      <c r="DA1373" s="398"/>
      <c r="DB1373" s="398"/>
      <c r="DC1373" s="398"/>
      <c r="DD1373" s="398"/>
      <c r="DE1373" s="393"/>
      <c r="DF1373" s="393"/>
      <c r="DG1373" s="393"/>
      <c r="DH1373" s="393"/>
      <c r="DI1373" s="393"/>
      <c r="DJ1373" s="393"/>
      <c r="DK1373" s="896" t="s">
        <v>9748</v>
      </c>
    </row>
    <row r="1374" spans="1:115" ht="38.25" x14ac:dyDescent="0.2">
      <c r="A1374" s="295">
        <v>1370</v>
      </c>
      <c r="B1374" s="390" t="s">
        <v>2925</v>
      </c>
      <c r="C1374" s="390"/>
      <c r="D1374" s="391" t="s">
        <v>5638</v>
      </c>
      <c r="E1374" s="704" t="s">
        <v>2330</v>
      </c>
      <c r="F1374" s="393" t="s">
        <v>1352</v>
      </c>
      <c r="G1374" s="393" t="s">
        <v>1672</v>
      </c>
      <c r="H1374" s="393" t="s">
        <v>684</v>
      </c>
      <c r="I1374" s="392"/>
      <c r="J1374" s="392"/>
      <c r="K1374" s="392" t="s">
        <v>2331</v>
      </c>
      <c r="L1374" s="392" t="s">
        <v>2101</v>
      </c>
      <c r="M1374" s="392"/>
      <c r="N1374" s="393" t="s">
        <v>44</v>
      </c>
      <c r="O1374" s="393" t="s">
        <v>820</v>
      </c>
      <c r="P1374" s="393" t="s">
        <v>820</v>
      </c>
      <c r="Q1374" s="392" t="s">
        <v>1833</v>
      </c>
      <c r="R1374" s="392" t="s">
        <v>3622</v>
      </c>
      <c r="S1374" s="392" t="s">
        <v>2329</v>
      </c>
      <c r="T1374" s="394">
        <v>1</v>
      </c>
      <c r="U1374" s="395">
        <v>2.9169999999999998</v>
      </c>
      <c r="V1374" s="395"/>
      <c r="W1374" s="453"/>
      <c r="X1374" s="394"/>
      <c r="Y1374" s="394">
        <v>10</v>
      </c>
      <c r="Z1374" s="394">
        <v>30</v>
      </c>
      <c r="AA1374" s="395">
        <v>0</v>
      </c>
      <c r="AB1374" s="452">
        <v>41640</v>
      </c>
      <c r="AC1374" s="398">
        <v>0</v>
      </c>
      <c r="AD1374" s="398">
        <v>29.169999999999998</v>
      </c>
      <c r="AE1374" s="393" t="s">
        <v>72</v>
      </c>
      <c r="AF1374" s="417"/>
      <c r="AG1374" s="417"/>
      <c r="AH1374" s="417"/>
      <c r="AI1374" s="394"/>
      <c r="AJ1374" s="453"/>
      <c r="AK1374" s="453"/>
      <c r="AL1374" s="393"/>
      <c r="AM1374" s="393"/>
      <c r="AN1374" s="417"/>
      <c r="AO1374" s="392"/>
      <c r="AP1374" s="392" t="s">
        <v>7110</v>
      </c>
      <c r="AQ1374" s="392"/>
      <c r="AR1374" s="392" t="s">
        <v>55</v>
      </c>
      <c r="AS1374" s="479">
        <v>41066</v>
      </c>
      <c r="AT1374" s="453"/>
      <c r="AU1374" s="453"/>
      <c r="AV1374" s="453"/>
      <c r="AW1374" s="453"/>
      <c r="AX1374" s="453"/>
      <c r="AY1374" s="453"/>
      <c r="AZ1374" s="452">
        <v>41437</v>
      </c>
      <c r="BA1374" s="393"/>
      <c r="BB1374" s="393"/>
      <c r="BC1374" s="393" t="b">
        <v>0</v>
      </c>
      <c r="BD1374" s="393"/>
      <c r="BE1374" s="392"/>
      <c r="BF1374" s="394">
        <v>1</v>
      </c>
      <c r="BG1374" s="394">
        <v>8</v>
      </c>
      <c r="BH1374" s="394">
        <v>7</v>
      </c>
      <c r="BI1374" s="394">
        <v>9</v>
      </c>
      <c r="BJ1374" s="394">
        <v>5</v>
      </c>
      <c r="BK1374" s="394">
        <v>11</v>
      </c>
      <c r="BL1374" s="444" t="s">
        <v>1451</v>
      </c>
      <c r="BM1374" s="392" t="s">
        <v>3623</v>
      </c>
      <c r="BN1374" s="393" t="s">
        <v>3624</v>
      </c>
      <c r="BO1374" s="393"/>
      <c r="BP1374" s="399"/>
      <c r="BQ1374" s="400"/>
      <c r="BR1374" s="401"/>
      <c r="BS1374" s="399"/>
      <c r="BT1374" s="394"/>
      <c r="BU1374" s="417"/>
      <c r="BV1374" s="399"/>
      <c r="BW1374" s="393" t="s">
        <v>3117</v>
      </c>
      <c r="BX1374" s="392" t="s">
        <v>3199</v>
      </c>
      <c r="BY1374" s="393" t="s">
        <v>7225</v>
      </c>
      <c r="BZ1374" s="393"/>
      <c r="CA1374" s="441"/>
      <c r="CB1374" s="400"/>
      <c r="CC1374" s="398"/>
      <c r="CD1374" s="398"/>
      <c r="CE1374" s="398"/>
      <c r="CF1374" s="398"/>
      <c r="CG1374" s="398"/>
      <c r="CH1374" s="398"/>
      <c r="CI1374" s="398"/>
      <c r="CJ1374" s="398">
        <v>17.919</v>
      </c>
      <c r="CK1374" s="398">
        <v>17.919</v>
      </c>
      <c r="CL1374" s="398">
        <v>17.919</v>
      </c>
      <c r="CM1374" s="398">
        <v>17.919</v>
      </c>
      <c r="CN1374" s="398">
        <v>17.919</v>
      </c>
      <c r="CO1374" s="398">
        <v>17.919</v>
      </c>
      <c r="CP1374" s="398">
        <v>17.919</v>
      </c>
      <c r="CQ1374" s="398">
        <v>17.919</v>
      </c>
      <c r="CR1374" s="398">
        <v>17.919</v>
      </c>
      <c r="CS1374" s="398">
        <v>17.919</v>
      </c>
      <c r="CT1374" s="398"/>
      <c r="CU1374" s="398"/>
      <c r="CV1374" s="398"/>
      <c r="CW1374" s="398"/>
      <c r="CX1374" s="398"/>
      <c r="CY1374" s="398"/>
      <c r="CZ1374" s="398"/>
      <c r="DA1374" s="398"/>
      <c r="DB1374" s="398"/>
      <c r="DC1374" s="398"/>
      <c r="DD1374" s="398"/>
      <c r="DE1374" s="393"/>
      <c r="DF1374" s="393"/>
      <c r="DG1374" s="393"/>
      <c r="DH1374" s="393"/>
      <c r="DI1374" s="393"/>
      <c r="DJ1374" s="393"/>
      <c r="DK1374" s="897"/>
    </row>
    <row r="1375" spans="1:115" ht="51" x14ac:dyDescent="0.2">
      <c r="A1375" s="295">
        <v>1371</v>
      </c>
      <c r="B1375" s="390" t="s">
        <v>2259</v>
      </c>
      <c r="C1375" s="424" t="s">
        <v>7754</v>
      </c>
      <c r="D1375" s="391"/>
      <c r="E1375" s="708" t="s">
        <v>2386</v>
      </c>
      <c r="F1375" s="404" t="s">
        <v>1352</v>
      </c>
      <c r="G1375" s="404" t="s">
        <v>1671</v>
      </c>
      <c r="H1375" s="404" t="s">
        <v>117</v>
      </c>
      <c r="I1375" s="403"/>
      <c r="J1375" s="403" t="s">
        <v>117</v>
      </c>
      <c r="K1375" s="403"/>
      <c r="L1375" s="403" t="s">
        <v>2333</v>
      </c>
      <c r="M1375" s="403" t="s">
        <v>3625</v>
      </c>
      <c r="N1375" s="404" t="s">
        <v>3142</v>
      </c>
      <c r="O1375" s="404" t="s">
        <v>827</v>
      </c>
      <c r="P1375" s="404" t="s">
        <v>827</v>
      </c>
      <c r="Q1375" s="403" t="s">
        <v>1318</v>
      </c>
      <c r="R1375" s="403"/>
      <c r="S1375" s="403" t="s">
        <v>2334</v>
      </c>
      <c r="T1375" s="405">
        <v>1</v>
      </c>
      <c r="U1375" s="406">
        <v>3.75</v>
      </c>
      <c r="V1375" s="406"/>
      <c r="W1375" s="456">
        <v>41244</v>
      </c>
      <c r="X1375" s="405">
        <v>28</v>
      </c>
      <c r="Y1375" s="405"/>
      <c r="Z1375" s="405"/>
      <c r="AA1375" s="406"/>
      <c r="AB1375" s="455"/>
      <c r="AC1375" s="407">
        <v>0.31237500000000001</v>
      </c>
      <c r="AD1375" s="407">
        <v>37.5</v>
      </c>
      <c r="AE1375" s="404" t="s">
        <v>72</v>
      </c>
      <c r="AF1375" s="418"/>
      <c r="AG1375" s="418"/>
      <c r="AH1375" s="418">
        <v>0</v>
      </c>
      <c r="AI1375" s="405"/>
      <c r="AJ1375" s="455"/>
      <c r="AK1375" s="455"/>
      <c r="AL1375" s="404"/>
      <c r="AM1375" s="404"/>
      <c r="AN1375" s="418"/>
      <c r="AO1375" s="403"/>
      <c r="AP1375" s="403" t="s">
        <v>7111</v>
      </c>
      <c r="AQ1375" s="403"/>
      <c r="AR1375" s="403" t="s">
        <v>55</v>
      </c>
      <c r="AS1375" s="482">
        <v>41066</v>
      </c>
      <c r="AT1375" s="455"/>
      <c r="AU1375" s="455"/>
      <c r="AV1375" s="455"/>
      <c r="AW1375" s="455"/>
      <c r="AX1375" s="455"/>
      <c r="AY1375" s="455"/>
      <c r="AZ1375" s="455"/>
      <c r="BA1375" s="404"/>
      <c r="BB1375" s="404" t="s">
        <v>3147</v>
      </c>
      <c r="BC1375" s="404" t="b">
        <v>1</v>
      </c>
      <c r="BD1375" s="404" t="s">
        <v>3147</v>
      </c>
      <c r="BE1375" s="403"/>
      <c r="BF1375" s="405">
        <v>11</v>
      </c>
      <c r="BG1375" s="405">
        <v>5</v>
      </c>
      <c r="BH1375" s="405"/>
      <c r="BI1375" s="405"/>
      <c r="BJ1375" s="405"/>
      <c r="BK1375" s="405"/>
      <c r="BL1375" s="446"/>
      <c r="BM1375" s="403"/>
      <c r="BN1375" s="404"/>
      <c r="BO1375" s="404"/>
      <c r="BP1375" s="408"/>
      <c r="BQ1375" s="409"/>
      <c r="BR1375" s="410"/>
      <c r="BS1375" s="408">
        <v>0</v>
      </c>
      <c r="BT1375" s="405"/>
      <c r="BU1375" s="418"/>
      <c r="BV1375" s="408"/>
      <c r="BW1375" s="404"/>
      <c r="BX1375" s="403"/>
      <c r="BY1375" s="404"/>
      <c r="BZ1375" s="404"/>
      <c r="CA1375" s="443"/>
      <c r="CB1375" s="409"/>
      <c r="CC1375" s="407"/>
      <c r="CD1375" s="407"/>
      <c r="CE1375" s="407"/>
      <c r="CF1375" s="407"/>
      <c r="CG1375" s="407"/>
      <c r="CH1375" s="407"/>
      <c r="CI1375" s="407"/>
      <c r="CJ1375" s="407"/>
      <c r="CK1375" s="407"/>
      <c r="CL1375" s="407"/>
      <c r="CM1375" s="407"/>
      <c r="CN1375" s="407"/>
      <c r="CO1375" s="407"/>
      <c r="CP1375" s="407"/>
      <c r="CQ1375" s="407"/>
      <c r="CR1375" s="407"/>
      <c r="CS1375" s="407"/>
      <c r="CT1375" s="407"/>
      <c r="CU1375" s="407"/>
      <c r="CV1375" s="407"/>
      <c r="CW1375" s="407"/>
      <c r="CX1375" s="407"/>
      <c r="CY1375" s="407"/>
      <c r="CZ1375" s="407"/>
      <c r="DA1375" s="407"/>
      <c r="DB1375" s="407"/>
      <c r="DC1375" s="407"/>
      <c r="DD1375" s="407"/>
      <c r="DE1375" s="404"/>
      <c r="DF1375" s="404"/>
      <c r="DG1375" s="404"/>
      <c r="DH1375" s="404"/>
      <c r="DI1375" s="404"/>
      <c r="DJ1375" s="404"/>
      <c r="DK1375" s="901"/>
    </row>
    <row r="1376" spans="1:115" ht="38.25" x14ac:dyDescent="0.2">
      <c r="A1376" s="295">
        <v>1372</v>
      </c>
      <c r="B1376" s="390" t="s">
        <v>2926</v>
      </c>
      <c r="C1376" s="390"/>
      <c r="D1376" s="391"/>
      <c r="E1376" s="707" t="s">
        <v>2332</v>
      </c>
      <c r="F1376" s="404" t="s">
        <v>1352</v>
      </c>
      <c r="G1376" s="404" t="s">
        <v>1671</v>
      </c>
      <c r="H1376" s="404" t="s">
        <v>117</v>
      </c>
      <c r="I1376" s="403"/>
      <c r="J1376" s="403"/>
      <c r="K1376" s="403" t="s">
        <v>439</v>
      </c>
      <c r="L1376" s="403" t="s">
        <v>2333</v>
      </c>
      <c r="M1376" s="403"/>
      <c r="N1376" s="404" t="s">
        <v>3142</v>
      </c>
      <c r="O1376" s="404" t="s">
        <v>827</v>
      </c>
      <c r="P1376" s="404" t="s">
        <v>827</v>
      </c>
      <c r="Q1376" s="403" t="s">
        <v>923</v>
      </c>
      <c r="R1376" s="403" t="s">
        <v>3626</v>
      </c>
      <c r="S1376" s="403" t="s">
        <v>2334</v>
      </c>
      <c r="T1376" s="405">
        <v>1</v>
      </c>
      <c r="U1376" s="406">
        <v>3.75</v>
      </c>
      <c r="V1376" s="406"/>
      <c r="W1376" s="455"/>
      <c r="X1376" s="405"/>
      <c r="Y1376" s="405">
        <v>10</v>
      </c>
      <c r="Z1376" s="405">
        <v>15</v>
      </c>
      <c r="AA1376" s="406">
        <v>0</v>
      </c>
      <c r="AB1376" s="456">
        <v>41244</v>
      </c>
      <c r="AC1376" s="407">
        <v>0.31237500000000001</v>
      </c>
      <c r="AD1376" s="407">
        <v>37.5</v>
      </c>
      <c r="AE1376" s="404" t="s">
        <v>72</v>
      </c>
      <c r="AF1376" s="418"/>
      <c r="AG1376" s="418"/>
      <c r="AH1376" s="418"/>
      <c r="AI1376" s="405"/>
      <c r="AJ1376" s="455"/>
      <c r="AK1376" s="455"/>
      <c r="AL1376" s="404"/>
      <c r="AM1376" s="404"/>
      <c r="AN1376" s="418"/>
      <c r="AO1376" s="403"/>
      <c r="AP1376" s="403" t="s">
        <v>7111</v>
      </c>
      <c r="AQ1376" s="403"/>
      <c r="AR1376" s="403" t="s">
        <v>55</v>
      </c>
      <c r="AS1376" s="482">
        <v>41066</v>
      </c>
      <c r="AT1376" s="455"/>
      <c r="AU1376" s="455"/>
      <c r="AV1376" s="455"/>
      <c r="AW1376" s="455"/>
      <c r="AX1376" s="455"/>
      <c r="AY1376" s="455"/>
      <c r="AZ1376" s="455"/>
      <c r="BA1376" s="404"/>
      <c r="BB1376" s="404"/>
      <c r="BC1376" s="404" t="b">
        <v>0</v>
      </c>
      <c r="BD1376" s="404"/>
      <c r="BE1376" s="403"/>
      <c r="BF1376" s="405">
        <v>11</v>
      </c>
      <c r="BG1376" s="405">
        <v>5</v>
      </c>
      <c r="BH1376" s="405"/>
      <c r="BI1376" s="405"/>
      <c r="BJ1376" s="405"/>
      <c r="BK1376" s="405"/>
      <c r="BL1376" s="446" t="s">
        <v>6981</v>
      </c>
      <c r="BM1376" s="403"/>
      <c r="BN1376" s="404"/>
      <c r="BO1376" s="404"/>
      <c r="BP1376" s="408"/>
      <c r="BQ1376" s="409"/>
      <c r="BR1376" s="410"/>
      <c r="BS1376" s="408"/>
      <c r="BT1376" s="405"/>
      <c r="BU1376" s="418">
        <v>0.74944999999999995</v>
      </c>
      <c r="BV1376" s="408"/>
      <c r="BW1376" s="404" t="s">
        <v>3117</v>
      </c>
      <c r="BX1376" s="403" t="s">
        <v>1447</v>
      </c>
      <c r="BY1376" s="404"/>
      <c r="BZ1376" s="404"/>
      <c r="CA1376" s="443"/>
      <c r="CB1376" s="409"/>
      <c r="CC1376" s="407"/>
      <c r="CD1376" s="407"/>
      <c r="CE1376" s="407"/>
      <c r="CF1376" s="407"/>
      <c r="CG1376" s="407"/>
      <c r="CH1376" s="407"/>
      <c r="CI1376" s="407">
        <v>3.75</v>
      </c>
      <c r="CJ1376" s="407">
        <v>3.75</v>
      </c>
      <c r="CK1376" s="407">
        <v>3.75</v>
      </c>
      <c r="CL1376" s="407">
        <v>3.75</v>
      </c>
      <c r="CM1376" s="407">
        <v>3.75</v>
      </c>
      <c r="CN1376" s="407">
        <v>3.75</v>
      </c>
      <c r="CO1376" s="407">
        <v>3.75</v>
      </c>
      <c r="CP1376" s="407">
        <v>3.75</v>
      </c>
      <c r="CQ1376" s="407">
        <v>3.75</v>
      </c>
      <c r="CR1376" s="407">
        <v>3.75</v>
      </c>
      <c r="CS1376" s="407"/>
      <c r="CT1376" s="407"/>
      <c r="CU1376" s="407"/>
      <c r="CV1376" s="407"/>
      <c r="CW1376" s="407"/>
      <c r="CX1376" s="407"/>
      <c r="CY1376" s="407"/>
      <c r="CZ1376" s="407"/>
      <c r="DA1376" s="407"/>
      <c r="DB1376" s="407"/>
      <c r="DC1376" s="407"/>
      <c r="DD1376" s="407"/>
      <c r="DE1376" s="404"/>
      <c r="DF1376" s="404"/>
      <c r="DG1376" s="404"/>
      <c r="DH1376" s="404"/>
      <c r="DI1376" s="404"/>
      <c r="DJ1376" s="404"/>
      <c r="DK1376" s="897"/>
    </row>
    <row r="1377" spans="1:115" ht="38.25" x14ac:dyDescent="0.2">
      <c r="A1377" s="295">
        <v>1373</v>
      </c>
      <c r="B1377" s="390" t="s">
        <v>2260</v>
      </c>
      <c r="C1377" s="424" t="s">
        <v>7755</v>
      </c>
      <c r="D1377" s="391" t="s">
        <v>5211</v>
      </c>
      <c r="E1377" s="704" t="s">
        <v>2387</v>
      </c>
      <c r="F1377" s="393" t="s">
        <v>1375</v>
      </c>
      <c r="G1377" s="393" t="s">
        <v>1361</v>
      </c>
      <c r="H1377" s="393" t="s">
        <v>137</v>
      </c>
      <c r="I1377" s="392"/>
      <c r="J1377" s="392" t="s">
        <v>137</v>
      </c>
      <c r="K1377" s="392"/>
      <c r="L1377" s="392" t="s">
        <v>2049</v>
      </c>
      <c r="M1377" s="392" t="s">
        <v>3627</v>
      </c>
      <c r="N1377" s="393" t="s">
        <v>44</v>
      </c>
      <c r="O1377" s="393" t="s">
        <v>827</v>
      </c>
      <c r="P1377" s="393" t="s">
        <v>827</v>
      </c>
      <c r="Q1377" s="392" t="s">
        <v>1317</v>
      </c>
      <c r="R1377" s="392"/>
      <c r="S1377" s="392" t="s">
        <v>650</v>
      </c>
      <c r="T1377" s="394">
        <v>1</v>
      </c>
      <c r="U1377" s="395">
        <v>347.55700000000002</v>
      </c>
      <c r="V1377" s="395"/>
      <c r="W1377" s="452">
        <v>41067</v>
      </c>
      <c r="X1377" s="394">
        <v>28</v>
      </c>
      <c r="Y1377" s="394"/>
      <c r="Z1377" s="394"/>
      <c r="AA1377" s="395"/>
      <c r="AB1377" s="453"/>
      <c r="AC1377" s="398">
        <v>0</v>
      </c>
      <c r="AD1377" s="398">
        <v>3475.57</v>
      </c>
      <c r="AE1377" s="393" t="s">
        <v>54</v>
      </c>
      <c r="AF1377" s="417"/>
      <c r="AG1377" s="417"/>
      <c r="AH1377" s="417">
        <v>0</v>
      </c>
      <c r="AI1377" s="394"/>
      <c r="AJ1377" s="453"/>
      <c r="AK1377" s="453"/>
      <c r="AL1377" s="393"/>
      <c r="AM1377" s="393"/>
      <c r="AN1377" s="417"/>
      <c r="AO1377" s="392"/>
      <c r="AP1377" s="392" t="s">
        <v>55</v>
      </c>
      <c r="AQ1377" s="392"/>
      <c r="AR1377" s="392" t="s">
        <v>55</v>
      </c>
      <c r="AS1377" s="479">
        <v>41067</v>
      </c>
      <c r="AT1377" s="453"/>
      <c r="AU1377" s="453"/>
      <c r="AV1377" s="452">
        <v>41172</v>
      </c>
      <c r="AW1377" s="452">
        <v>41247</v>
      </c>
      <c r="AX1377" s="453"/>
      <c r="AY1377" s="452">
        <v>41261</v>
      </c>
      <c r="AZ1377" s="453"/>
      <c r="BA1377" s="393"/>
      <c r="BB1377" s="393" t="s">
        <v>3147</v>
      </c>
      <c r="BC1377" s="393" t="b">
        <v>1</v>
      </c>
      <c r="BD1377" s="393" t="s">
        <v>3147</v>
      </c>
      <c r="BE1377" s="392"/>
      <c r="BF1377" s="394">
        <v>3</v>
      </c>
      <c r="BG1377" s="394">
        <v>10</v>
      </c>
      <c r="BH1377" s="394">
        <v>11</v>
      </c>
      <c r="BI1377" s="394">
        <v>5</v>
      </c>
      <c r="BJ1377" s="394"/>
      <c r="BK1377" s="394"/>
      <c r="BL1377" s="444"/>
      <c r="BM1377" s="392"/>
      <c r="BN1377" s="393"/>
      <c r="BO1377" s="393"/>
      <c r="BP1377" s="399"/>
      <c r="BQ1377" s="400"/>
      <c r="BR1377" s="401"/>
      <c r="BS1377" s="399">
        <v>100</v>
      </c>
      <c r="BT1377" s="394"/>
      <c r="BU1377" s="417"/>
      <c r="BV1377" s="399"/>
      <c r="BW1377" s="393"/>
      <c r="BX1377" s="392"/>
      <c r="BY1377" s="393"/>
      <c r="BZ1377" s="393"/>
      <c r="CA1377" s="441"/>
      <c r="CB1377" s="400"/>
      <c r="CC1377" s="398"/>
      <c r="CD1377" s="398"/>
      <c r="CE1377" s="398"/>
      <c r="CF1377" s="398"/>
      <c r="CG1377" s="398"/>
      <c r="CH1377" s="398"/>
      <c r="CI1377" s="398"/>
      <c r="CJ1377" s="398"/>
      <c r="CK1377" s="398"/>
      <c r="CL1377" s="398"/>
      <c r="CM1377" s="398"/>
      <c r="CN1377" s="398"/>
      <c r="CO1377" s="398"/>
      <c r="CP1377" s="398"/>
      <c r="CQ1377" s="398"/>
      <c r="CR1377" s="398"/>
      <c r="CS1377" s="398"/>
      <c r="CT1377" s="398"/>
      <c r="CU1377" s="398"/>
      <c r="CV1377" s="398"/>
      <c r="CW1377" s="398"/>
      <c r="CX1377" s="398"/>
      <c r="CY1377" s="398"/>
      <c r="CZ1377" s="398"/>
      <c r="DA1377" s="398"/>
      <c r="DB1377" s="398"/>
      <c r="DC1377" s="398"/>
      <c r="DD1377" s="398"/>
      <c r="DE1377" s="393"/>
      <c r="DF1377" s="393"/>
      <c r="DG1377" s="393"/>
      <c r="DH1377" s="393"/>
      <c r="DI1377" s="393"/>
      <c r="DJ1377" s="393"/>
      <c r="DK1377" s="896" t="s">
        <v>9701</v>
      </c>
    </row>
    <row r="1378" spans="1:115" ht="25.5" x14ac:dyDescent="0.2">
      <c r="A1378" s="295">
        <v>1374</v>
      </c>
      <c r="B1378" s="390" t="s">
        <v>2927</v>
      </c>
      <c r="C1378" s="390"/>
      <c r="D1378" s="391" t="s">
        <v>4630</v>
      </c>
      <c r="E1378" s="704" t="s">
        <v>2335</v>
      </c>
      <c r="F1378" s="393" t="s">
        <v>1375</v>
      </c>
      <c r="G1378" s="393" t="s">
        <v>1361</v>
      </c>
      <c r="H1378" s="393" t="s">
        <v>137</v>
      </c>
      <c r="I1378" s="392"/>
      <c r="J1378" s="392"/>
      <c r="K1378" s="392" t="s">
        <v>2188</v>
      </c>
      <c r="L1378" s="392" t="s">
        <v>2049</v>
      </c>
      <c r="M1378" s="392"/>
      <c r="N1378" s="393" t="s">
        <v>44</v>
      </c>
      <c r="O1378" s="393" t="s">
        <v>827</v>
      </c>
      <c r="P1378" s="393" t="s">
        <v>827</v>
      </c>
      <c r="Q1378" s="392" t="s">
        <v>1317</v>
      </c>
      <c r="R1378" s="392" t="s">
        <v>4142</v>
      </c>
      <c r="S1378" s="392" t="s">
        <v>650</v>
      </c>
      <c r="T1378" s="394">
        <v>1</v>
      </c>
      <c r="U1378" s="395">
        <v>347.55700000000002</v>
      </c>
      <c r="V1378" s="395"/>
      <c r="W1378" s="453"/>
      <c r="X1378" s="394"/>
      <c r="Y1378" s="394">
        <v>10</v>
      </c>
      <c r="Z1378" s="394">
        <v>25</v>
      </c>
      <c r="AA1378" s="395">
        <v>0</v>
      </c>
      <c r="AB1378" s="452">
        <v>42370</v>
      </c>
      <c r="AC1378" s="398">
        <v>0</v>
      </c>
      <c r="AD1378" s="398">
        <v>3475.57</v>
      </c>
      <c r="AE1378" s="393" t="s">
        <v>54</v>
      </c>
      <c r="AF1378" s="417"/>
      <c r="AG1378" s="417"/>
      <c r="AH1378" s="417"/>
      <c r="AI1378" s="394"/>
      <c r="AJ1378" s="453"/>
      <c r="AK1378" s="453"/>
      <c r="AL1378" s="393"/>
      <c r="AM1378" s="393"/>
      <c r="AN1378" s="417"/>
      <c r="AO1378" s="392"/>
      <c r="AP1378" s="392" t="s">
        <v>55</v>
      </c>
      <c r="AQ1378" s="392"/>
      <c r="AR1378" s="392" t="s">
        <v>55</v>
      </c>
      <c r="AS1378" s="479">
        <v>41067</v>
      </c>
      <c r="AT1378" s="453"/>
      <c r="AU1378" s="453"/>
      <c r="AV1378" s="453"/>
      <c r="AW1378" s="453"/>
      <c r="AX1378" s="453"/>
      <c r="AY1378" s="453"/>
      <c r="AZ1378" s="452">
        <v>41261</v>
      </c>
      <c r="BA1378" s="393"/>
      <c r="BB1378" s="393"/>
      <c r="BC1378" s="393" t="b">
        <v>0</v>
      </c>
      <c r="BD1378" s="393"/>
      <c r="BE1378" s="392"/>
      <c r="BF1378" s="394">
        <v>3</v>
      </c>
      <c r="BG1378" s="394">
        <v>10</v>
      </c>
      <c r="BH1378" s="394">
        <v>11</v>
      </c>
      <c r="BI1378" s="394">
        <v>5</v>
      </c>
      <c r="BJ1378" s="394"/>
      <c r="BK1378" s="394"/>
      <c r="BL1378" s="444" t="s">
        <v>6981</v>
      </c>
      <c r="BM1378" s="392"/>
      <c r="BN1378" s="393"/>
      <c r="BO1378" s="393"/>
      <c r="BP1378" s="399"/>
      <c r="BQ1378" s="400"/>
      <c r="BR1378" s="401"/>
      <c r="BS1378" s="399">
        <v>100</v>
      </c>
      <c r="BT1378" s="394">
        <v>381930</v>
      </c>
      <c r="BU1378" s="417">
        <v>0.91</v>
      </c>
      <c r="BV1378" s="399"/>
      <c r="BW1378" s="393" t="s">
        <v>3117</v>
      </c>
      <c r="BX1378" s="392" t="s">
        <v>1449</v>
      </c>
      <c r="BY1378" s="393" t="s">
        <v>7225</v>
      </c>
      <c r="BZ1378" s="393"/>
      <c r="CA1378" s="441"/>
      <c r="CB1378" s="400"/>
      <c r="CC1378" s="398"/>
      <c r="CD1378" s="398"/>
      <c r="CE1378" s="398"/>
      <c r="CF1378" s="398"/>
      <c r="CG1378" s="398"/>
      <c r="CH1378" s="398"/>
      <c r="CI1378" s="398"/>
      <c r="CJ1378" s="398"/>
      <c r="CK1378" s="398"/>
      <c r="CL1378" s="398">
        <v>360.62200000000001</v>
      </c>
      <c r="CM1378" s="398">
        <v>351.14499999999998</v>
      </c>
      <c r="CN1378" s="398">
        <v>355.137</v>
      </c>
      <c r="CO1378" s="398">
        <v>329.40499999999997</v>
      </c>
      <c r="CP1378" s="398">
        <v>355.42099999999999</v>
      </c>
      <c r="CQ1378" s="398">
        <v>350.42500000000001</v>
      </c>
      <c r="CR1378" s="398">
        <v>313.58699999999999</v>
      </c>
      <c r="CS1378" s="398">
        <v>354.86900000000003</v>
      </c>
      <c r="CT1378" s="398">
        <v>349.93599999999998</v>
      </c>
      <c r="CU1378" s="398">
        <v>355.01900000000001</v>
      </c>
      <c r="CV1378" s="398"/>
      <c r="CW1378" s="398"/>
      <c r="CX1378" s="398"/>
      <c r="CY1378" s="398"/>
      <c r="CZ1378" s="398"/>
      <c r="DA1378" s="398"/>
      <c r="DB1378" s="398"/>
      <c r="DC1378" s="398"/>
      <c r="DD1378" s="398"/>
      <c r="DE1378" s="393"/>
      <c r="DF1378" s="393"/>
      <c r="DG1378" s="393"/>
      <c r="DH1378" s="393"/>
      <c r="DI1378" s="393"/>
      <c r="DJ1378" s="393"/>
      <c r="DK1378" s="897"/>
    </row>
    <row r="1379" spans="1:115" ht="63.75" x14ac:dyDescent="0.2">
      <c r="A1379" s="295">
        <v>1375</v>
      </c>
      <c r="B1379" s="390" t="s">
        <v>2261</v>
      </c>
      <c r="C1379" s="424" t="s">
        <v>7756</v>
      </c>
      <c r="D1379" s="391"/>
      <c r="E1379" s="706" t="s">
        <v>2388</v>
      </c>
      <c r="F1379" s="390" t="s">
        <v>1340</v>
      </c>
      <c r="G1379" s="390" t="s">
        <v>1677</v>
      </c>
      <c r="H1379" s="390" t="s">
        <v>718</v>
      </c>
      <c r="I1379" s="402"/>
      <c r="J1379" s="402" t="s">
        <v>718</v>
      </c>
      <c r="K1379" s="402"/>
      <c r="L1379" s="402" t="s">
        <v>2337</v>
      </c>
      <c r="M1379" s="402" t="s">
        <v>3628</v>
      </c>
      <c r="N1379" s="390" t="s">
        <v>33</v>
      </c>
      <c r="O1379" s="390" t="s">
        <v>80</v>
      </c>
      <c r="P1379" s="390" t="s">
        <v>80</v>
      </c>
      <c r="Q1379" s="402" t="s">
        <v>403</v>
      </c>
      <c r="R1379" s="402"/>
      <c r="S1379" s="402" t="s">
        <v>81</v>
      </c>
      <c r="T1379" s="411">
        <v>1</v>
      </c>
      <c r="U1379" s="412">
        <v>31.956</v>
      </c>
      <c r="V1379" s="412"/>
      <c r="W1379" s="457">
        <v>41275</v>
      </c>
      <c r="X1379" s="411">
        <v>28</v>
      </c>
      <c r="Y1379" s="411"/>
      <c r="Z1379" s="411"/>
      <c r="AA1379" s="412"/>
      <c r="AB1379" s="454"/>
      <c r="AC1379" s="413">
        <v>0</v>
      </c>
      <c r="AD1379" s="413">
        <v>234.46073424657536</v>
      </c>
      <c r="AE1379" s="390" t="s">
        <v>9525</v>
      </c>
      <c r="AF1379" s="419"/>
      <c r="AG1379" s="419"/>
      <c r="AH1379" s="419">
        <v>0</v>
      </c>
      <c r="AI1379" s="411"/>
      <c r="AJ1379" s="454"/>
      <c r="AK1379" s="454"/>
      <c r="AL1379" s="390"/>
      <c r="AM1379" s="390"/>
      <c r="AN1379" s="419"/>
      <c r="AO1379" s="402"/>
      <c r="AP1379" s="402" t="s">
        <v>7104</v>
      </c>
      <c r="AQ1379" s="402"/>
      <c r="AR1379" s="402" t="s">
        <v>55</v>
      </c>
      <c r="AS1379" s="481">
        <v>41067</v>
      </c>
      <c r="AT1379" s="454"/>
      <c r="AU1379" s="454"/>
      <c r="AV1379" s="454"/>
      <c r="AW1379" s="454"/>
      <c r="AX1379" s="454"/>
      <c r="AY1379" s="454"/>
      <c r="AZ1379" s="454"/>
      <c r="BA1379" s="390"/>
      <c r="BB1379" s="390" t="s">
        <v>3116</v>
      </c>
      <c r="BC1379" s="390" t="b">
        <v>0</v>
      </c>
      <c r="BD1379" s="390" t="s">
        <v>3147</v>
      </c>
      <c r="BE1379" s="402"/>
      <c r="BF1379" s="411">
        <v>6</v>
      </c>
      <c r="BG1379" s="411">
        <v>11</v>
      </c>
      <c r="BH1379" s="411">
        <v>1</v>
      </c>
      <c r="BI1379" s="411">
        <v>5</v>
      </c>
      <c r="BJ1379" s="411">
        <v>3</v>
      </c>
      <c r="BK1379" s="411">
        <v>12</v>
      </c>
      <c r="BL1379" s="445"/>
      <c r="BM1379" s="402"/>
      <c r="BN1379" s="390"/>
      <c r="BO1379" s="390"/>
      <c r="BP1379" s="414"/>
      <c r="BQ1379" s="415"/>
      <c r="BR1379" s="416"/>
      <c r="BS1379" s="414">
        <v>1</v>
      </c>
      <c r="BT1379" s="411"/>
      <c r="BU1379" s="419"/>
      <c r="BV1379" s="414"/>
      <c r="BW1379" s="390"/>
      <c r="BX1379" s="402"/>
      <c r="BY1379" s="390"/>
      <c r="BZ1379" s="390"/>
      <c r="CA1379" s="442"/>
      <c r="CB1379" s="415"/>
      <c r="CC1379" s="413"/>
      <c r="CD1379" s="413"/>
      <c r="CE1379" s="413"/>
      <c r="CF1379" s="413"/>
      <c r="CG1379" s="413"/>
      <c r="CH1379" s="413"/>
      <c r="CI1379" s="413"/>
      <c r="CJ1379" s="413"/>
      <c r="CK1379" s="413"/>
      <c r="CL1379" s="413"/>
      <c r="CM1379" s="413"/>
      <c r="CN1379" s="413"/>
      <c r="CO1379" s="413"/>
      <c r="CP1379" s="413"/>
      <c r="CQ1379" s="413"/>
      <c r="CR1379" s="413"/>
      <c r="CS1379" s="413"/>
      <c r="CT1379" s="413"/>
      <c r="CU1379" s="413"/>
      <c r="CV1379" s="413"/>
      <c r="CW1379" s="413"/>
      <c r="CX1379" s="413"/>
      <c r="CY1379" s="413"/>
      <c r="CZ1379" s="413"/>
      <c r="DA1379" s="413"/>
      <c r="DB1379" s="413"/>
      <c r="DC1379" s="413"/>
      <c r="DD1379" s="413"/>
      <c r="DE1379" s="390"/>
      <c r="DF1379" s="390"/>
      <c r="DG1379" s="390"/>
      <c r="DH1379" s="390"/>
      <c r="DI1379" s="390"/>
      <c r="DJ1379" s="390"/>
      <c r="DK1379" s="901"/>
    </row>
    <row r="1380" spans="1:115" ht="25.5" x14ac:dyDescent="0.2">
      <c r="A1380" s="295">
        <v>1376</v>
      </c>
      <c r="B1380" s="390" t="s">
        <v>2928</v>
      </c>
      <c r="C1380" s="390"/>
      <c r="D1380" s="391"/>
      <c r="E1380" s="706" t="s">
        <v>2336</v>
      </c>
      <c r="F1380" s="390" t="s">
        <v>1340</v>
      </c>
      <c r="G1380" s="390" t="s">
        <v>1677</v>
      </c>
      <c r="H1380" s="390" t="s">
        <v>718</v>
      </c>
      <c r="I1380" s="402"/>
      <c r="J1380" s="402"/>
      <c r="K1380" s="402" t="s">
        <v>1779</v>
      </c>
      <c r="L1380" s="402" t="s">
        <v>2337</v>
      </c>
      <c r="M1380" s="402"/>
      <c r="N1380" s="390" t="s">
        <v>33</v>
      </c>
      <c r="O1380" s="390" t="s">
        <v>80</v>
      </c>
      <c r="P1380" s="390" t="s">
        <v>80</v>
      </c>
      <c r="Q1380" s="402" t="s">
        <v>403</v>
      </c>
      <c r="R1380" s="402" t="s">
        <v>3629</v>
      </c>
      <c r="S1380" s="402" t="s">
        <v>81</v>
      </c>
      <c r="T1380" s="411">
        <v>1</v>
      </c>
      <c r="U1380" s="412">
        <v>31.956</v>
      </c>
      <c r="V1380" s="412"/>
      <c r="W1380" s="454"/>
      <c r="X1380" s="411"/>
      <c r="Y1380" s="411">
        <v>7</v>
      </c>
      <c r="Z1380" s="411">
        <v>15</v>
      </c>
      <c r="AA1380" s="412">
        <v>7.75</v>
      </c>
      <c r="AB1380" s="457">
        <v>41518</v>
      </c>
      <c r="AC1380" s="413">
        <v>0</v>
      </c>
      <c r="AD1380" s="413">
        <v>234.46073424657536</v>
      </c>
      <c r="AE1380" s="390" t="s">
        <v>9525</v>
      </c>
      <c r="AF1380" s="419"/>
      <c r="AG1380" s="419"/>
      <c r="AH1380" s="419"/>
      <c r="AI1380" s="411"/>
      <c r="AJ1380" s="454"/>
      <c r="AK1380" s="454"/>
      <c r="AL1380" s="390"/>
      <c r="AM1380" s="390"/>
      <c r="AN1380" s="419"/>
      <c r="AO1380" s="402"/>
      <c r="AP1380" s="402" t="s">
        <v>7104</v>
      </c>
      <c r="AQ1380" s="402"/>
      <c r="AR1380" s="402" t="s">
        <v>55</v>
      </c>
      <c r="AS1380" s="481">
        <v>41067</v>
      </c>
      <c r="AT1380" s="454"/>
      <c r="AU1380" s="454"/>
      <c r="AV1380" s="454"/>
      <c r="AW1380" s="454"/>
      <c r="AX1380" s="454"/>
      <c r="AY1380" s="454"/>
      <c r="AZ1380" s="454"/>
      <c r="BA1380" s="390"/>
      <c r="BB1380" s="390"/>
      <c r="BC1380" s="390" t="b">
        <v>0</v>
      </c>
      <c r="BD1380" s="390"/>
      <c r="BE1380" s="402"/>
      <c r="BF1380" s="411">
        <v>6</v>
      </c>
      <c r="BG1380" s="411">
        <v>11</v>
      </c>
      <c r="BH1380" s="411">
        <v>1</v>
      </c>
      <c r="BI1380" s="411">
        <v>5</v>
      </c>
      <c r="BJ1380" s="411">
        <v>3</v>
      </c>
      <c r="BK1380" s="411">
        <v>12</v>
      </c>
      <c r="BL1380" s="445" t="s">
        <v>6981</v>
      </c>
      <c r="BM1380" s="402"/>
      <c r="BN1380" s="390"/>
      <c r="BO1380" s="390"/>
      <c r="BP1380" s="414"/>
      <c r="BQ1380" s="415"/>
      <c r="BR1380" s="416"/>
      <c r="BS1380" s="414">
        <v>1</v>
      </c>
      <c r="BT1380" s="411"/>
      <c r="BU1380" s="419">
        <v>0.48139999999999999</v>
      </c>
      <c r="BV1380" s="414"/>
      <c r="BW1380" s="390" t="s">
        <v>3117</v>
      </c>
      <c r="BX1380" s="402" t="s">
        <v>1447</v>
      </c>
      <c r="BY1380" s="390"/>
      <c r="BZ1380" s="390"/>
      <c r="CA1380" s="442" t="s">
        <v>1662</v>
      </c>
      <c r="CB1380" s="415">
        <v>4</v>
      </c>
      <c r="CC1380" s="413"/>
      <c r="CD1380" s="413"/>
      <c r="CE1380" s="413"/>
      <c r="CF1380" s="413"/>
      <c r="CG1380" s="413"/>
      <c r="CH1380" s="413"/>
      <c r="CI1380" s="413">
        <v>2.5430000000000001</v>
      </c>
      <c r="CJ1380" s="413">
        <v>14.922000000000001</v>
      </c>
      <c r="CK1380" s="413">
        <v>21.922999999999998</v>
      </c>
      <c r="CL1380" s="413">
        <v>28.6</v>
      </c>
      <c r="CM1380" s="413">
        <v>34.890999999999998</v>
      </c>
      <c r="CN1380" s="413">
        <v>40.686</v>
      </c>
      <c r="CO1380" s="413">
        <v>46.079000000000001</v>
      </c>
      <c r="CP1380" s="413">
        <v>34.051000000000002</v>
      </c>
      <c r="CQ1380" s="413"/>
      <c r="CR1380" s="413"/>
      <c r="CS1380" s="413"/>
      <c r="CT1380" s="413"/>
      <c r="CU1380" s="413"/>
      <c r="CV1380" s="413"/>
      <c r="CW1380" s="413"/>
      <c r="CX1380" s="413"/>
      <c r="CY1380" s="413"/>
      <c r="CZ1380" s="413"/>
      <c r="DA1380" s="413"/>
      <c r="DB1380" s="413"/>
      <c r="DC1380" s="413"/>
      <c r="DD1380" s="413"/>
      <c r="DE1380" s="390"/>
      <c r="DF1380" s="390"/>
      <c r="DG1380" s="390"/>
      <c r="DH1380" s="390"/>
      <c r="DI1380" s="390"/>
      <c r="DJ1380" s="390"/>
      <c r="DK1380" s="897"/>
    </row>
    <row r="1381" spans="1:115" ht="51" x14ac:dyDescent="0.2">
      <c r="A1381" s="295">
        <v>1377</v>
      </c>
      <c r="B1381" s="390" t="s">
        <v>2262</v>
      </c>
      <c r="C1381" s="424" t="s">
        <v>7757</v>
      </c>
      <c r="D1381" s="391" t="s">
        <v>6542</v>
      </c>
      <c r="E1381" s="705" t="s">
        <v>2389</v>
      </c>
      <c r="F1381" s="393" t="s">
        <v>1340</v>
      </c>
      <c r="G1381" s="393" t="s">
        <v>1677</v>
      </c>
      <c r="H1381" s="393" t="s">
        <v>718</v>
      </c>
      <c r="I1381" s="392"/>
      <c r="J1381" s="392" t="s">
        <v>718</v>
      </c>
      <c r="K1381" s="392"/>
      <c r="L1381" s="392" t="s">
        <v>2339</v>
      </c>
      <c r="M1381" s="392" t="s">
        <v>3630</v>
      </c>
      <c r="N1381" s="393" t="s">
        <v>44</v>
      </c>
      <c r="O1381" s="393" t="s">
        <v>820</v>
      </c>
      <c r="P1381" s="393" t="s">
        <v>820</v>
      </c>
      <c r="Q1381" s="392" t="s">
        <v>1323</v>
      </c>
      <c r="R1381" s="392"/>
      <c r="S1381" s="428" t="s">
        <v>7903</v>
      </c>
      <c r="T1381" s="394">
        <v>1</v>
      </c>
      <c r="U1381" s="395">
        <v>5.6710000000000003</v>
      </c>
      <c r="V1381" s="395"/>
      <c r="W1381" s="452">
        <v>41244</v>
      </c>
      <c r="X1381" s="394">
        <v>28</v>
      </c>
      <c r="Y1381" s="394"/>
      <c r="Z1381" s="394"/>
      <c r="AA1381" s="395"/>
      <c r="AB1381" s="453"/>
      <c r="AC1381" s="398">
        <v>0</v>
      </c>
      <c r="AD1381" s="398">
        <v>34.041536986301367</v>
      </c>
      <c r="AE1381" s="393" t="s">
        <v>1413</v>
      </c>
      <c r="AF1381" s="417"/>
      <c r="AG1381" s="417"/>
      <c r="AH1381" s="417">
        <v>0</v>
      </c>
      <c r="AI1381" s="394"/>
      <c r="AJ1381" s="453"/>
      <c r="AK1381" s="453"/>
      <c r="AL1381" s="393"/>
      <c r="AM1381" s="393"/>
      <c r="AN1381" s="417"/>
      <c r="AO1381" s="392"/>
      <c r="AP1381" s="392" t="s">
        <v>55</v>
      </c>
      <c r="AQ1381" s="392"/>
      <c r="AR1381" s="392" t="s">
        <v>55</v>
      </c>
      <c r="AS1381" s="479">
        <v>41067</v>
      </c>
      <c r="AT1381" s="453"/>
      <c r="AU1381" s="453"/>
      <c r="AV1381" s="452">
        <v>41184</v>
      </c>
      <c r="AW1381" s="452">
        <v>41620</v>
      </c>
      <c r="AX1381" s="452">
        <v>41915</v>
      </c>
      <c r="AY1381" s="452">
        <v>41852</v>
      </c>
      <c r="AZ1381" s="453"/>
      <c r="BA1381" s="393"/>
      <c r="BB1381" s="393" t="s">
        <v>3116</v>
      </c>
      <c r="BC1381" s="393" t="b">
        <v>1</v>
      </c>
      <c r="BD1381" s="393" t="s">
        <v>3147</v>
      </c>
      <c r="BE1381" s="392"/>
      <c r="BF1381" s="394">
        <v>1</v>
      </c>
      <c r="BG1381" s="394">
        <v>6</v>
      </c>
      <c r="BH1381" s="394">
        <v>9</v>
      </c>
      <c r="BI1381" s="394">
        <v>8</v>
      </c>
      <c r="BJ1381" s="394">
        <v>11</v>
      </c>
      <c r="BK1381" s="394"/>
      <c r="BL1381" s="444"/>
      <c r="BM1381" s="392"/>
      <c r="BN1381" s="393"/>
      <c r="BO1381" s="393"/>
      <c r="BP1381" s="399"/>
      <c r="BQ1381" s="400"/>
      <c r="BR1381" s="401"/>
      <c r="BS1381" s="399">
        <v>0</v>
      </c>
      <c r="BT1381" s="394"/>
      <c r="BU1381" s="417"/>
      <c r="BV1381" s="399"/>
      <c r="BW1381" s="393"/>
      <c r="BX1381" s="392"/>
      <c r="BY1381" s="393"/>
      <c r="BZ1381" s="393"/>
      <c r="CA1381" s="441"/>
      <c r="CB1381" s="400"/>
      <c r="CC1381" s="398"/>
      <c r="CD1381" s="398"/>
      <c r="CE1381" s="398"/>
      <c r="CF1381" s="398"/>
      <c r="CG1381" s="398"/>
      <c r="CH1381" s="398"/>
      <c r="CI1381" s="398"/>
      <c r="CJ1381" s="398"/>
      <c r="CK1381" s="398"/>
      <c r="CL1381" s="398"/>
      <c r="CM1381" s="398"/>
      <c r="CN1381" s="398"/>
      <c r="CO1381" s="398"/>
      <c r="CP1381" s="398"/>
      <c r="CQ1381" s="398"/>
      <c r="CR1381" s="398"/>
      <c r="CS1381" s="398"/>
      <c r="CT1381" s="398"/>
      <c r="CU1381" s="398"/>
      <c r="CV1381" s="398"/>
      <c r="CW1381" s="398"/>
      <c r="CX1381" s="398"/>
      <c r="CY1381" s="398"/>
      <c r="CZ1381" s="398"/>
      <c r="DA1381" s="398"/>
      <c r="DB1381" s="398"/>
      <c r="DC1381" s="398"/>
      <c r="DD1381" s="398"/>
      <c r="DE1381" s="393"/>
      <c r="DF1381" s="393"/>
      <c r="DG1381" s="393"/>
      <c r="DH1381" s="393"/>
      <c r="DI1381" s="393"/>
      <c r="DJ1381" s="393"/>
      <c r="DK1381" s="896" t="s">
        <v>9747</v>
      </c>
    </row>
    <row r="1382" spans="1:115" ht="38.25" x14ac:dyDescent="0.2">
      <c r="A1382" s="295">
        <v>1378</v>
      </c>
      <c r="B1382" s="390" t="s">
        <v>2929</v>
      </c>
      <c r="C1382" s="390"/>
      <c r="D1382" s="391" t="s">
        <v>6543</v>
      </c>
      <c r="E1382" s="704" t="s">
        <v>2338</v>
      </c>
      <c r="F1382" s="393" t="s">
        <v>1340</v>
      </c>
      <c r="G1382" s="393" t="s">
        <v>1677</v>
      </c>
      <c r="H1382" s="393" t="s">
        <v>718</v>
      </c>
      <c r="I1382" s="392"/>
      <c r="J1382" s="392"/>
      <c r="K1382" s="392" t="s">
        <v>2246</v>
      </c>
      <c r="L1382" s="392" t="s">
        <v>2339</v>
      </c>
      <c r="M1382" s="392"/>
      <c r="N1382" s="393" t="s">
        <v>44</v>
      </c>
      <c r="O1382" s="393" t="s">
        <v>820</v>
      </c>
      <c r="P1382" s="393" t="s">
        <v>820</v>
      </c>
      <c r="Q1382" s="392" t="s">
        <v>1323</v>
      </c>
      <c r="R1382" s="392" t="s">
        <v>3631</v>
      </c>
      <c r="S1382" s="428" t="s">
        <v>7903</v>
      </c>
      <c r="T1382" s="394">
        <v>1</v>
      </c>
      <c r="U1382" s="395">
        <v>5.6710000000000003</v>
      </c>
      <c r="V1382" s="395"/>
      <c r="W1382" s="453"/>
      <c r="X1382" s="394"/>
      <c r="Y1382" s="394">
        <v>7</v>
      </c>
      <c r="Z1382" s="394">
        <v>15</v>
      </c>
      <c r="AA1382" s="395">
        <v>0.33300000000000002</v>
      </c>
      <c r="AB1382" s="452">
        <v>42005</v>
      </c>
      <c r="AC1382" s="398">
        <v>0</v>
      </c>
      <c r="AD1382" s="398">
        <v>34.041536986301367</v>
      </c>
      <c r="AE1382" s="393" t="s">
        <v>1413</v>
      </c>
      <c r="AF1382" s="417"/>
      <c r="AG1382" s="417"/>
      <c r="AH1382" s="417"/>
      <c r="AI1382" s="394"/>
      <c r="AJ1382" s="453"/>
      <c r="AK1382" s="453"/>
      <c r="AL1382" s="393"/>
      <c r="AM1382" s="393"/>
      <c r="AN1382" s="417"/>
      <c r="AO1382" s="392"/>
      <c r="AP1382" s="392" t="s">
        <v>55</v>
      </c>
      <c r="AQ1382" s="392"/>
      <c r="AR1382" s="392" t="s">
        <v>55</v>
      </c>
      <c r="AS1382" s="479">
        <v>41067</v>
      </c>
      <c r="AT1382" s="453"/>
      <c r="AU1382" s="453"/>
      <c r="AV1382" s="453"/>
      <c r="AW1382" s="453"/>
      <c r="AX1382" s="453"/>
      <c r="AY1382" s="453"/>
      <c r="AZ1382" s="452">
        <v>41852</v>
      </c>
      <c r="BA1382" s="393"/>
      <c r="BB1382" s="393"/>
      <c r="BC1382" s="393" t="b">
        <v>0</v>
      </c>
      <c r="BD1382" s="393"/>
      <c r="BE1382" s="392"/>
      <c r="BF1382" s="394">
        <v>1</v>
      </c>
      <c r="BG1382" s="394">
        <v>6</v>
      </c>
      <c r="BH1382" s="394">
        <v>9</v>
      </c>
      <c r="BI1382" s="394">
        <v>8</v>
      </c>
      <c r="BJ1382" s="394">
        <v>11</v>
      </c>
      <c r="BK1382" s="394"/>
      <c r="BL1382" s="444" t="s">
        <v>6981</v>
      </c>
      <c r="BM1382" s="392"/>
      <c r="BN1382" s="393"/>
      <c r="BO1382" s="393"/>
      <c r="BP1382" s="399"/>
      <c r="BQ1382" s="400"/>
      <c r="BR1382" s="401"/>
      <c r="BS1382" s="399"/>
      <c r="BT1382" s="394"/>
      <c r="BU1382" s="417"/>
      <c r="BV1382" s="399"/>
      <c r="BW1382" s="393" t="s">
        <v>3117</v>
      </c>
      <c r="BX1382" s="392" t="s">
        <v>1450</v>
      </c>
      <c r="BY1382" s="393"/>
      <c r="BZ1382" s="393"/>
      <c r="CA1382" s="441" t="s">
        <v>1662</v>
      </c>
      <c r="CB1382" s="400">
        <v>3</v>
      </c>
      <c r="CC1382" s="398"/>
      <c r="CD1382" s="398"/>
      <c r="CE1382" s="398"/>
      <c r="CF1382" s="398"/>
      <c r="CG1382" s="398"/>
      <c r="CH1382" s="398"/>
      <c r="CI1382" s="398"/>
      <c r="CJ1382" s="398"/>
      <c r="CK1382" s="398">
        <v>3.3879999999999999</v>
      </c>
      <c r="CL1382" s="398">
        <v>3.899</v>
      </c>
      <c r="CM1382" s="398">
        <v>4.1420000000000003</v>
      </c>
      <c r="CN1382" s="398">
        <v>4.3490000000000002</v>
      </c>
      <c r="CO1382" s="398">
        <v>4.5659999999999998</v>
      </c>
      <c r="CP1382" s="398">
        <v>4.7949999999999999</v>
      </c>
      <c r="CQ1382" s="398">
        <v>5.01</v>
      </c>
      <c r="CR1382" s="398"/>
      <c r="CS1382" s="398"/>
      <c r="CT1382" s="398"/>
      <c r="CU1382" s="398"/>
      <c r="CV1382" s="398"/>
      <c r="CW1382" s="398"/>
      <c r="CX1382" s="398"/>
      <c r="CY1382" s="398"/>
      <c r="CZ1382" s="398"/>
      <c r="DA1382" s="398"/>
      <c r="DB1382" s="398"/>
      <c r="DC1382" s="398"/>
      <c r="DD1382" s="398"/>
      <c r="DE1382" s="393"/>
      <c r="DF1382" s="393"/>
      <c r="DG1382" s="393"/>
      <c r="DH1382" s="393"/>
      <c r="DI1382" s="393"/>
      <c r="DJ1382" s="393"/>
      <c r="DK1382" s="897"/>
    </row>
    <row r="1383" spans="1:115" ht="63.75" x14ac:dyDescent="0.2">
      <c r="A1383" s="295">
        <v>1379</v>
      </c>
      <c r="B1383" s="390" t="s">
        <v>2263</v>
      </c>
      <c r="C1383" s="424" t="s">
        <v>7758</v>
      </c>
      <c r="D1383" s="391"/>
      <c r="E1383" s="706" t="s">
        <v>2390</v>
      </c>
      <c r="F1383" s="390" t="s">
        <v>1340</v>
      </c>
      <c r="G1383" s="390" t="s">
        <v>1677</v>
      </c>
      <c r="H1383" s="390" t="s">
        <v>1153</v>
      </c>
      <c r="I1383" s="402"/>
      <c r="J1383" s="402" t="s">
        <v>1153</v>
      </c>
      <c r="K1383" s="402"/>
      <c r="L1383" s="402" t="s">
        <v>2337</v>
      </c>
      <c r="M1383" s="402" t="s">
        <v>3632</v>
      </c>
      <c r="N1383" s="390" t="s">
        <v>33</v>
      </c>
      <c r="O1383" s="390" t="s">
        <v>80</v>
      </c>
      <c r="P1383" s="390" t="s">
        <v>80</v>
      </c>
      <c r="Q1383" s="402" t="s">
        <v>395</v>
      </c>
      <c r="R1383" s="402"/>
      <c r="S1383" s="402" t="s">
        <v>81</v>
      </c>
      <c r="T1383" s="411">
        <v>1</v>
      </c>
      <c r="U1383" s="412">
        <v>64.554000000000002</v>
      </c>
      <c r="V1383" s="412"/>
      <c r="W1383" s="457">
        <v>41275</v>
      </c>
      <c r="X1383" s="411">
        <v>28</v>
      </c>
      <c r="Y1383" s="411"/>
      <c r="Z1383" s="411"/>
      <c r="AA1383" s="412"/>
      <c r="AB1383" s="454"/>
      <c r="AC1383" s="413">
        <v>0</v>
      </c>
      <c r="AD1383" s="413">
        <v>473.63181369863014</v>
      </c>
      <c r="AE1383" s="390" t="s">
        <v>9525</v>
      </c>
      <c r="AF1383" s="419"/>
      <c r="AG1383" s="419"/>
      <c r="AH1383" s="419">
        <v>0</v>
      </c>
      <c r="AI1383" s="411"/>
      <c r="AJ1383" s="454"/>
      <c r="AK1383" s="454"/>
      <c r="AL1383" s="390"/>
      <c r="AM1383" s="390"/>
      <c r="AN1383" s="419"/>
      <c r="AO1383" s="402"/>
      <c r="AP1383" s="402" t="s">
        <v>7104</v>
      </c>
      <c r="AQ1383" s="402"/>
      <c r="AR1383" s="402" t="s">
        <v>55</v>
      </c>
      <c r="AS1383" s="481">
        <v>41067</v>
      </c>
      <c r="AT1383" s="454"/>
      <c r="AU1383" s="454"/>
      <c r="AV1383" s="454"/>
      <c r="AW1383" s="454"/>
      <c r="AX1383" s="454"/>
      <c r="AY1383" s="454"/>
      <c r="AZ1383" s="454"/>
      <c r="BA1383" s="390"/>
      <c r="BB1383" s="390" t="s">
        <v>3116</v>
      </c>
      <c r="BC1383" s="390" t="b">
        <v>0</v>
      </c>
      <c r="BD1383" s="390" t="s">
        <v>3147</v>
      </c>
      <c r="BE1383" s="402"/>
      <c r="BF1383" s="411">
        <v>11</v>
      </c>
      <c r="BG1383" s="411">
        <v>1</v>
      </c>
      <c r="BH1383" s="411">
        <v>6</v>
      </c>
      <c r="BI1383" s="411">
        <v>3</v>
      </c>
      <c r="BJ1383" s="411">
        <v>5</v>
      </c>
      <c r="BK1383" s="411">
        <v>8</v>
      </c>
      <c r="BL1383" s="445"/>
      <c r="BM1383" s="402"/>
      <c r="BN1383" s="390"/>
      <c r="BO1383" s="390"/>
      <c r="BP1383" s="414"/>
      <c r="BQ1383" s="415"/>
      <c r="BR1383" s="416"/>
      <c r="BS1383" s="414">
        <v>2</v>
      </c>
      <c r="BT1383" s="411"/>
      <c r="BU1383" s="419"/>
      <c r="BV1383" s="414"/>
      <c r="BW1383" s="390"/>
      <c r="BX1383" s="402"/>
      <c r="BY1383" s="390"/>
      <c r="BZ1383" s="390"/>
      <c r="CA1383" s="442"/>
      <c r="CB1383" s="415"/>
      <c r="CC1383" s="413"/>
      <c r="CD1383" s="413"/>
      <c r="CE1383" s="413"/>
      <c r="CF1383" s="413"/>
      <c r="CG1383" s="413"/>
      <c r="CH1383" s="413"/>
      <c r="CI1383" s="413"/>
      <c r="CJ1383" s="413"/>
      <c r="CK1383" s="413"/>
      <c r="CL1383" s="413"/>
      <c r="CM1383" s="413"/>
      <c r="CN1383" s="413"/>
      <c r="CO1383" s="413"/>
      <c r="CP1383" s="413"/>
      <c r="CQ1383" s="413"/>
      <c r="CR1383" s="413"/>
      <c r="CS1383" s="413"/>
      <c r="CT1383" s="413"/>
      <c r="CU1383" s="413"/>
      <c r="CV1383" s="413"/>
      <c r="CW1383" s="413"/>
      <c r="CX1383" s="413"/>
      <c r="CY1383" s="413"/>
      <c r="CZ1383" s="413"/>
      <c r="DA1383" s="413"/>
      <c r="DB1383" s="413"/>
      <c r="DC1383" s="413"/>
      <c r="DD1383" s="413"/>
      <c r="DE1383" s="390"/>
      <c r="DF1383" s="390"/>
      <c r="DG1383" s="390"/>
      <c r="DH1383" s="390"/>
      <c r="DI1383" s="390"/>
      <c r="DJ1383" s="390"/>
      <c r="DK1383" s="901"/>
    </row>
    <row r="1384" spans="1:115" ht="51" x14ac:dyDescent="0.2">
      <c r="A1384" s="295">
        <v>1380</v>
      </c>
      <c r="B1384" s="390" t="s">
        <v>2930</v>
      </c>
      <c r="C1384" s="390"/>
      <c r="D1384" s="391"/>
      <c r="E1384" s="706" t="s">
        <v>2341</v>
      </c>
      <c r="F1384" s="390" t="s">
        <v>1340</v>
      </c>
      <c r="G1384" s="390" t="s">
        <v>1677</v>
      </c>
      <c r="H1384" s="390" t="s">
        <v>1153</v>
      </c>
      <c r="I1384" s="402"/>
      <c r="J1384" s="402"/>
      <c r="K1384" s="402" t="s">
        <v>2342</v>
      </c>
      <c r="L1384" s="402" t="s">
        <v>2337</v>
      </c>
      <c r="M1384" s="402"/>
      <c r="N1384" s="390" t="s">
        <v>33</v>
      </c>
      <c r="O1384" s="390" t="s">
        <v>80</v>
      </c>
      <c r="P1384" s="390" t="s">
        <v>80</v>
      </c>
      <c r="Q1384" s="402" t="s">
        <v>403</v>
      </c>
      <c r="R1384" s="402" t="s">
        <v>3633</v>
      </c>
      <c r="S1384" s="402" t="s">
        <v>81</v>
      </c>
      <c r="T1384" s="411">
        <v>1</v>
      </c>
      <c r="U1384" s="412">
        <v>64.554000000000002</v>
      </c>
      <c r="V1384" s="412"/>
      <c r="W1384" s="454"/>
      <c r="X1384" s="411"/>
      <c r="Y1384" s="411">
        <v>7</v>
      </c>
      <c r="Z1384" s="411">
        <v>15</v>
      </c>
      <c r="AA1384" s="412">
        <v>13.75</v>
      </c>
      <c r="AB1384" s="457">
        <v>41518</v>
      </c>
      <c r="AC1384" s="413">
        <v>0</v>
      </c>
      <c r="AD1384" s="413">
        <v>473.63181369863014</v>
      </c>
      <c r="AE1384" s="390" t="s">
        <v>9525</v>
      </c>
      <c r="AF1384" s="419"/>
      <c r="AG1384" s="419"/>
      <c r="AH1384" s="419"/>
      <c r="AI1384" s="411"/>
      <c r="AJ1384" s="454"/>
      <c r="AK1384" s="454"/>
      <c r="AL1384" s="390"/>
      <c r="AM1384" s="390"/>
      <c r="AN1384" s="419"/>
      <c r="AO1384" s="402"/>
      <c r="AP1384" s="402" t="s">
        <v>7104</v>
      </c>
      <c r="AQ1384" s="402"/>
      <c r="AR1384" s="402" t="s">
        <v>55</v>
      </c>
      <c r="AS1384" s="481">
        <v>41067</v>
      </c>
      <c r="AT1384" s="454"/>
      <c r="AU1384" s="454"/>
      <c r="AV1384" s="454"/>
      <c r="AW1384" s="454"/>
      <c r="AX1384" s="454"/>
      <c r="AY1384" s="454"/>
      <c r="AZ1384" s="454"/>
      <c r="BA1384" s="390"/>
      <c r="BB1384" s="390"/>
      <c r="BC1384" s="390" t="b">
        <v>0</v>
      </c>
      <c r="BD1384" s="390"/>
      <c r="BE1384" s="402"/>
      <c r="BF1384" s="411">
        <v>11</v>
      </c>
      <c r="BG1384" s="411">
        <v>1</v>
      </c>
      <c r="BH1384" s="411">
        <v>6</v>
      </c>
      <c r="BI1384" s="411">
        <v>3</v>
      </c>
      <c r="BJ1384" s="411">
        <v>5</v>
      </c>
      <c r="BK1384" s="411">
        <v>8</v>
      </c>
      <c r="BL1384" s="445" t="s">
        <v>6981</v>
      </c>
      <c r="BM1384" s="402"/>
      <c r="BN1384" s="390"/>
      <c r="BO1384" s="390"/>
      <c r="BP1384" s="414"/>
      <c r="BQ1384" s="415"/>
      <c r="BR1384" s="416"/>
      <c r="BS1384" s="414">
        <v>2</v>
      </c>
      <c r="BT1384" s="411"/>
      <c r="BU1384" s="419">
        <v>0.48199999999999998</v>
      </c>
      <c r="BV1384" s="414"/>
      <c r="BW1384" s="390" t="s">
        <v>3117</v>
      </c>
      <c r="BX1384" s="402" t="s">
        <v>1450</v>
      </c>
      <c r="BY1384" s="390"/>
      <c r="BZ1384" s="390"/>
      <c r="CA1384" s="442" t="s">
        <v>1662</v>
      </c>
      <c r="CB1384" s="415">
        <v>4</v>
      </c>
      <c r="CC1384" s="413"/>
      <c r="CD1384" s="413"/>
      <c r="CE1384" s="413"/>
      <c r="CF1384" s="413"/>
      <c r="CG1384" s="413"/>
      <c r="CH1384" s="413"/>
      <c r="CI1384" s="413">
        <v>17.332999999999998</v>
      </c>
      <c r="CJ1384" s="413">
        <v>55.631</v>
      </c>
      <c r="CK1384" s="413">
        <v>59.210999999999999</v>
      </c>
      <c r="CL1384" s="413">
        <v>62.627000000000002</v>
      </c>
      <c r="CM1384" s="413">
        <v>65.903000000000006</v>
      </c>
      <c r="CN1384" s="413">
        <v>69.06</v>
      </c>
      <c r="CO1384" s="413">
        <v>72.117999999999995</v>
      </c>
      <c r="CP1384" s="413">
        <v>49.993000000000002</v>
      </c>
      <c r="CQ1384" s="413"/>
      <c r="CR1384" s="413"/>
      <c r="CS1384" s="413"/>
      <c r="CT1384" s="413"/>
      <c r="CU1384" s="413"/>
      <c r="CV1384" s="413"/>
      <c r="CW1384" s="413"/>
      <c r="CX1384" s="413"/>
      <c r="CY1384" s="413"/>
      <c r="CZ1384" s="413"/>
      <c r="DA1384" s="413"/>
      <c r="DB1384" s="413"/>
      <c r="DC1384" s="413"/>
      <c r="DD1384" s="413"/>
      <c r="DE1384" s="390"/>
      <c r="DF1384" s="390"/>
      <c r="DG1384" s="390"/>
      <c r="DH1384" s="390"/>
      <c r="DI1384" s="390"/>
      <c r="DJ1384" s="390"/>
      <c r="DK1384" s="897"/>
    </row>
    <row r="1385" spans="1:115" ht="38.25" x14ac:dyDescent="0.2">
      <c r="A1385" s="295">
        <v>1381</v>
      </c>
      <c r="B1385" s="390" t="s">
        <v>2264</v>
      </c>
      <c r="C1385" s="424" t="s">
        <v>7759</v>
      </c>
      <c r="D1385" s="391"/>
      <c r="E1385" s="706" t="s">
        <v>2391</v>
      </c>
      <c r="F1385" s="390" t="s">
        <v>1352</v>
      </c>
      <c r="G1385" s="390" t="s">
        <v>1673</v>
      </c>
      <c r="H1385" s="390" t="s">
        <v>42</v>
      </c>
      <c r="I1385" s="402"/>
      <c r="J1385" s="402" t="s">
        <v>42</v>
      </c>
      <c r="K1385" s="402"/>
      <c r="L1385" s="402" t="s">
        <v>2344</v>
      </c>
      <c r="M1385" s="402" t="s">
        <v>3634</v>
      </c>
      <c r="N1385" s="390" t="s">
        <v>33</v>
      </c>
      <c r="O1385" s="390" t="s">
        <v>1155</v>
      </c>
      <c r="P1385" s="390" t="s">
        <v>1155</v>
      </c>
      <c r="Q1385" s="402" t="s">
        <v>1155</v>
      </c>
      <c r="R1385" s="402"/>
      <c r="S1385" s="402" t="s">
        <v>2345</v>
      </c>
      <c r="T1385" s="411">
        <v>1</v>
      </c>
      <c r="U1385" s="412">
        <v>88.483999999999995</v>
      </c>
      <c r="V1385" s="412"/>
      <c r="W1385" s="457">
        <v>41061</v>
      </c>
      <c r="X1385" s="411">
        <v>28</v>
      </c>
      <c r="Y1385" s="411"/>
      <c r="Z1385" s="411"/>
      <c r="AA1385" s="412"/>
      <c r="AB1385" s="454"/>
      <c r="AC1385" s="413">
        <v>0</v>
      </c>
      <c r="AD1385" s="413">
        <v>671.50871232876716</v>
      </c>
      <c r="AE1385" s="390" t="s">
        <v>47</v>
      </c>
      <c r="AF1385" s="419"/>
      <c r="AG1385" s="419"/>
      <c r="AH1385" s="419">
        <v>0</v>
      </c>
      <c r="AI1385" s="411"/>
      <c r="AJ1385" s="454"/>
      <c r="AK1385" s="454"/>
      <c r="AL1385" s="390"/>
      <c r="AM1385" s="390"/>
      <c r="AN1385" s="419"/>
      <c r="AO1385" s="402"/>
      <c r="AP1385" s="402" t="s">
        <v>55</v>
      </c>
      <c r="AQ1385" s="402"/>
      <c r="AR1385" s="402" t="s">
        <v>55</v>
      </c>
      <c r="AS1385" s="481">
        <v>41071</v>
      </c>
      <c r="AT1385" s="454"/>
      <c r="AU1385" s="454"/>
      <c r="AV1385" s="454"/>
      <c r="AW1385" s="454"/>
      <c r="AX1385" s="454"/>
      <c r="AY1385" s="454"/>
      <c r="AZ1385" s="454"/>
      <c r="BA1385" s="390"/>
      <c r="BB1385" s="390" t="s">
        <v>3147</v>
      </c>
      <c r="BC1385" s="390" t="b">
        <v>0</v>
      </c>
      <c r="BD1385" s="390" t="s">
        <v>3116</v>
      </c>
      <c r="BE1385" s="402"/>
      <c r="BF1385" s="411">
        <v>5</v>
      </c>
      <c r="BG1385" s="411">
        <v>11</v>
      </c>
      <c r="BH1385" s="411">
        <v>10</v>
      </c>
      <c r="BI1385" s="411"/>
      <c r="BJ1385" s="411"/>
      <c r="BK1385" s="411"/>
      <c r="BL1385" s="445"/>
      <c r="BM1385" s="402"/>
      <c r="BN1385" s="390"/>
      <c r="BO1385" s="390"/>
      <c r="BP1385" s="414"/>
      <c r="BQ1385" s="415"/>
      <c r="BR1385" s="416"/>
      <c r="BS1385" s="414">
        <v>50</v>
      </c>
      <c r="BT1385" s="411"/>
      <c r="BU1385" s="419"/>
      <c r="BV1385" s="414"/>
      <c r="BW1385" s="390"/>
      <c r="BX1385" s="402"/>
      <c r="BY1385" s="390"/>
      <c r="BZ1385" s="390"/>
      <c r="CA1385" s="442"/>
      <c r="CB1385" s="415"/>
      <c r="CC1385" s="413"/>
      <c r="CD1385" s="413"/>
      <c r="CE1385" s="413"/>
      <c r="CF1385" s="413"/>
      <c r="CG1385" s="413"/>
      <c r="CH1385" s="413"/>
      <c r="CI1385" s="413"/>
      <c r="CJ1385" s="413"/>
      <c r="CK1385" s="413"/>
      <c r="CL1385" s="413"/>
      <c r="CM1385" s="413"/>
      <c r="CN1385" s="413"/>
      <c r="CO1385" s="413"/>
      <c r="CP1385" s="413"/>
      <c r="CQ1385" s="413"/>
      <c r="CR1385" s="413"/>
      <c r="CS1385" s="413"/>
      <c r="CT1385" s="413"/>
      <c r="CU1385" s="413"/>
      <c r="CV1385" s="413"/>
      <c r="CW1385" s="413"/>
      <c r="CX1385" s="413"/>
      <c r="CY1385" s="413"/>
      <c r="CZ1385" s="413"/>
      <c r="DA1385" s="413"/>
      <c r="DB1385" s="413"/>
      <c r="DC1385" s="413"/>
      <c r="DD1385" s="413"/>
      <c r="DE1385" s="390"/>
      <c r="DF1385" s="390"/>
      <c r="DG1385" s="390"/>
      <c r="DH1385" s="390"/>
      <c r="DI1385" s="390"/>
      <c r="DJ1385" s="390"/>
      <c r="DK1385" s="901"/>
    </row>
    <row r="1386" spans="1:115" ht="38.25" x14ac:dyDescent="0.2">
      <c r="A1386" s="295">
        <v>1382</v>
      </c>
      <c r="B1386" s="390" t="s">
        <v>2931</v>
      </c>
      <c r="C1386" s="390"/>
      <c r="D1386" s="391"/>
      <c r="E1386" s="706" t="s">
        <v>2343</v>
      </c>
      <c r="F1386" s="390" t="s">
        <v>1352</v>
      </c>
      <c r="G1386" s="390" t="s">
        <v>1673</v>
      </c>
      <c r="H1386" s="390" t="s">
        <v>42</v>
      </c>
      <c r="I1386" s="402"/>
      <c r="J1386" s="402"/>
      <c r="K1386" s="402" t="s">
        <v>370</v>
      </c>
      <c r="L1386" s="402" t="s">
        <v>2344</v>
      </c>
      <c r="M1386" s="402"/>
      <c r="N1386" s="390" t="s">
        <v>33</v>
      </c>
      <c r="O1386" s="390" t="s">
        <v>1155</v>
      </c>
      <c r="P1386" s="390" t="s">
        <v>1155</v>
      </c>
      <c r="Q1386" s="402" t="s">
        <v>1155</v>
      </c>
      <c r="R1386" s="402" t="s">
        <v>3635</v>
      </c>
      <c r="S1386" s="402" t="s">
        <v>2345</v>
      </c>
      <c r="T1386" s="411">
        <v>1</v>
      </c>
      <c r="U1386" s="412">
        <v>88.483999999999995</v>
      </c>
      <c r="V1386" s="412"/>
      <c r="W1386" s="454"/>
      <c r="X1386" s="411"/>
      <c r="Y1386" s="411">
        <v>7</v>
      </c>
      <c r="Z1386" s="411">
        <v>20</v>
      </c>
      <c r="AA1386" s="412">
        <v>0</v>
      </c>
      <c r="AB1386" s="457">
        <v>41426</v>
      </c>
      <c r="AC1386" s="413">
        <v>0</v>
      </c>
      <c r="AD1386" s="413">
        <v>671.50871232876716</v>
      </c>
      <c r="AE1386" s="390" t="s">
        <v>47</v>
      </c>
      <c r="AF1386" s="419"/>
      <c r="AG1386" s="419"/>
      <c r="AH1386" s="419"/>
      <c r="AI1386" s="411"/>
      <c r="AJ1386" s="454"/>
      <c r="AK1386" s="454"/>
      <c r="AL1386" s="390"/>
      <c r="AM1386" s="390"/>
      <c r="AN1386" s="419"/>
      <c r="AO1386" s="402"/>
      <c r="AP1386" s="402" t="s">
        <v>55</v>
      </c>
      <c r="AQ1386" s="402"/>
      <c r="AR1386" s="402" t="s">
        <v>55</v>
      </c>
      <c r="AS1386" s="481">
        <v>41071</v>
      </c>
      <c r="AT1386" s="454"/>
      <c r="AU1386" s="454"/>
      <c r="AV1386" s="454"/>
      <c r="AW1386" s="454"/>
      <c r="AX1386" s="454"/>
      <c r="AY1386" s="454"/>
      <c r="AZ1386" s="454"/>
      <c r="BA1386" s="390"/>
      <c r="BB1386" s="390"/>
      <c r="BC1386" s="390" t="b">
        <v>0</v>
      </c>
      <c r="BD1386" s="390"/>
      <c r="BE1386" s="402"/>
      <c r="BF1386" s="411">
        <v>5</v>
      </c>
      <c r="BG1386" s="411">
        <v>11</v>
      </c>
      <c r="BH1386" s="411">
        <v>10</v>
      </c>
      <c r="BI1386" s="411"/>
      <c r="BJ1386" s="411"/>
      <c r="BK1386" s="411"/>
      <c r="BL1386" s="445" t="s">
        <v>6981</v>
      </c>
      <c r="BM1386" s="402" t="s">
        <v>3636</v>
      </c>
      <c r="BN1386" s="390" t="s">
        <v>42</v>
      </c>
      <c r="BO1386" s="390"/>
      <c r="BP1386" s="414"/>
      <c r="BQ1386" s="415"/>
      <c r="BR1386" s="416"/>
      <c r="BS1386" s="414">
        <v>50</v>
      </c>
      <c r="BT1386" s="411">
        <v>91980</v>
      </c>
      <c r="BU1386" s="419">
        <v>0.96199999999999997</v>
      </c>
      <c r="BV1386" s="414"/>
      <c r="BW1386" s="390" t="s">
        <v>3117</v>
      </c>
      <c r="BX1386" s="402" t="s">
        <v>1447</v>
      </c>
      <c r="BY1386" s="390"/>
      <c r="BZ1386" s="390"/>
      <c r="CA1386" s="442"/>
      <c r="CB1386" s="415"/>
      <c r="CC1386" s="413"/>
      <c r="CD1386" s="413"/>
      <c r="CE1386" s="413"/>
      <c r="CF1386" s="413"/>
      <c r="CG1386" s="413"/>
      <c r="CH1386" s="413">
        <v>88.483999999999995</v>
      </c>
      <c r="CI1386" s="413">
        <v>88.483999999999995</v>
      </c>
      <c r="CJ1386" s="413">
        <v>88.483999999999995</v>
      </c>
      <c r="CK1386" s="413">
        <v>88.483999999999995</v>
      </c>
      <c r="CL1386" s="413">
        <v>88.483999999999995</v>
      </c>
      <c r="CM1386" s="413">
        <v>88.483999999999995</v>
      </c>
      <c r="CN1386" s="413">
        <v>88.483999999999995</v>
      </c>
      <c r="CO1386" s="413"/>
      <c r="CP1386" s="413"/>
      <c r="CQ1386" s="413"/>
      <c r="CR1386" s="413"/>
      <c r="CS1386" s="413"/>
      <c r="CT1386" s="413"/>
      <c r="CU1386" s="413"/>
      <c r="CV1386" s="413"/>
      <c r="CW1386" s="413"/>
      <c r="CX1386" s="413"/>
      <c r="CY1386" s="413"/>
      <c r="CZ1386" s="413"/>
      <c r="DA1386" s="413"/>
      <c r="DB1386" s="413"/>
      <c r="DC1386" s="413"/>
      <c r="DD1386" s="413"/>
      <c r="DE1386" s="390"/>
      <c r="DF1386" s="390"/>
      <c r="DG1386" s="390"/>
      <c r="DH1386" s="390"/>
      <c r="DI1386" s="390"/>
      <c r="DJ1386" s="390"/>
      <c r="DK1386" s="897"/>
    </row>
    <row r="1387" spans="1:115" ht="51" x14ac:dyDescent="0.2">
      <c r="A1387" s="295">
        <v>1383</v>
      </c>
      <c r="B1387" s="390" t="s">
        <v>2265</v>
      </c>
      <c r="C1387" s="424" t="s">
        <v>7760</v>
      </c>
      <c r="D1387" s="391" t="s">
        <v>5212</v>
      </c>
      <c r="E1387" s="704" t="s">
        <v>2392</v>
      </c>
      <c r="F1387" s="393" t="s">
        <v>1352</v>
      </c>
      <c r="G1387" s="393" t="s">
        <v>1671</v>
      </c>
      <c r="H1387" s="393" t="s">
        <v>117</v>
      </c>
      <c r="I1387" s="392"/>
      <c r="J1387" s="392" t="s">
        <v>117</v>
      </c>
      <c r="K1387" s="392"/>
      <c r="L1387" s="392" t="s">
        <v>2347</v>
      </c>
      <c r="M1387" s="392" t="s">
        <v>3637</v>
      </c>
      <c r="N1387" s="393" t="s">
        <v>44</v>
      </c>
      <c r="O1387" s="393" t="s">
        <v>289</v>
      </c>
      <c r="P1387" s="393" t="s">
        <v>289</v>
      </c>
      <c r="Q1387" s="392" t="s">
        <v>2041</v>
      </c>
      <c r="R1387" s="392"/>
      <c r="S1387" s="392" t="s">
        <v>291</v>
      </c>
      <c r="T1387" s="394">
        <v>1</v>
      </c>
      <c r="U1387" s="395">
        <v>18.228000000000002</v>
      </c>
      <c r="V1387" s="395"/>
      <c r="W1387" s="452">
        <v>41071</v>
      </c>
      <c r="X1387" s="394">
        <v>28</v>
      </c>
      <c r="Y1387" s="394"/>
      <c r="Z1387" s="394"/>
      <c r="AA1387" s="395"/>
      <c r="AB1387" s="453"/>
      <c r="AC1387" s="398">
        <v>0</v>
      </c>
      <c r="AD1387" s="398">
        <v>97.282586301369861</v>
      </c>
      <c r="AE1387" s="393" t="s">
        <v>787</v>
      </c>
      <c r="AF1387" s="417"/>
      <c r="AG1387" s="417"/>
      <c r="AH1387" s="417">
        <v>0</v>
      </c>
      <c r="AI1387" s="394"/>
      <c r="AJ1387" s="453"/>
      <c r="AK1387" s="453"/>
      <c r="AL1387" s="393"/>
      <c r="AM1387" s="393"/>
      <c r="AN1387" s="417"/>
      <c r="AO1387" s="392"/>
      <c r="AP1387" s="392" t="s">
        <v>55</v>
      </c>
      <c r="AQ1387" s="392"/>
      <c r="AR1387" s="392" t="s">
        <v>55</v>
      </c>
      <c r="AS1387" s="479">
        <v>41071</v>
      </c>
      <c r="AT1387" s="453"/>
      <c r="AU1387" s="453"/>
      <c r="AV1387" s="452">
        <v>41153</v>
      </c>
      <c r="AW1387" s="452">
        <v>41260</v>
      </c>
      <c r="AX1387" s="453"/>
      <c r="AY1387" s="452">
        <v>41263</v>
      </c>
      <c r="AZ1387" s="453"/>
      <c r="BA1387" s="393"/>
      <c r="BB1387" s="393" t="s">
        <v>3147</v>
      </c>
      <c r="BC1387" s="393" t="b">
        <v>1</v>
      </c>
      <c r="BD1387" s="393" t="s">
        <v>3147</v>
      </c>
      <c r="BE1387" s="392"/>
      <c r="BF1387" s="394">
        <v>10</v>
      </c>
      <c r="BG1387" s="394">
        <v>9</v>
      </c>
      <c r="BH1387" s="394">
        <v>5</v>
      </c>
      <c r="BI1387" s="394"/>
      <c r="BJ1387" s="394"/>
      <c r="BK1387" s="394"/>
      <c r="BL1387" s="444"/>
      <c r="BM1387" s="392"/>
      <c r="BN1387" s="393"/>
      <c r="BO1387" s="393"/>
      <c r="BP1387" s="399"/>
      <c r="BQ1387" s="400"/>
      <c r="BR1387" s="401"/>
      <c r="BS1387" s="399">
        <v>6</v>
      </c>
      <c r="BT1387" s="394"/>
      <c r="BU1387" s="417"/>
      <c r="BV1387" s="399"/>
      <c r="BW1387" s="393"/>
      <c r="BX1387" s="392"/>
      <c r="BY1387" s="393"/>
      <c r="BZ1387" s="393"/>
      <c r="CA1387" s="441"/>
      <c r="CB1387" s="400"/>
      <c r="CC1387" s="398"/>
      <c r="CD1387" s="398"/>
      <c r="CE1387" s="398"/>
      <c r="CF1387" s="398"/>
      <c r="CG1387" s="398"/>
      <c r="CH1387" s="398"/>
      <c r="CI1387" s="398"/>
      <c r="CJ1387" s="398"/>
      <c r="CK1387" s="398"/>
      <c r="CL1387" s="398"/>
      <c r="CM1387" s="398"/>
      <c r="CN1387" s="398"/>
      <c r="CO1387" s="398"/>
      <c r="CP1387" s="398"/>
      <c r="CQ1387" s="398"/>
      <c r="CR1387" s="398"/>
      <c r="CS1387" s="398"/>
      <c r="CT1387" s="398"/>
      <c r="CU1387" s="398"/>
      <c r="CV1387" s="398"/>
      <c r="CW1387" s="398"/>
      <c r="CX1387" s="398"/>
      <c r="CY1387" s="398"/>
      <c r="CZ1387" s="398"/>
      <c r="DA1387" s="398"/>
      <c r="DB1387" s="398"/>
      <c r="DC1387" s="398"/>
      <c r="DD1387" s="398"/>
      <c r="DE1387" s="393"/>
      <c r="DF1387" s="393"/>
      <c r="DG1387" s="393"/>
      <c r="DH1387" s="393"/>
      <c r="DI1387" s="393"/>
      <c r="DJ1387" s="393"/>
      <c r="DK1387" s="896" t="s">
        <v>9722</v>
      </c>
    </row>
    <row r="1388" spans="1:115" ht="25.5" x14ac:dyDescent="0.2">
      <c r="A1388" s="295">
        <v>1384</v>
      </c>
      <c r="B1388" s="390" t="s">
        <v>2932</v>
      </c>
      <c r="C1388" s="390"/>
      <c r="D1388" s="391" t="s">
        <v>4631</v>
      </c>
      <c r="E1388" s="704" t="s">
        <v>2346</v>
      </c>
      <c r="F1388" s="393" t="s">
        <v>1352</v>
      </c>
      <c r="G1388" s="393" t="s">
        <v>1671</v>
      </c>
      <c r="H1388" s="393" t="s">
        <v>117</v>
      </c>
      <c r="I1388" s="392"/>
      <c r="J1388" s="392"/>
      <c r="K1388" s="392" t="s">
        <v>196</v>
      </c>
      <c r="L1388" s="392" t="s">
        <v>2347</v>
      </c>
      <c r="M1388" s="392"/>
      <c r="N1388" s="393" t="s">
        <v>44</v>
      </c>
      <c r="O1388" s="393" t="s">
        <v>289</v>
      </c>
      <c r="P1388" s="393" t="s">
        <v>289</v>
      </c>
      <c r="Q1388" s="392" t="s">
        <v>721</v>
      </c>
      <c r="R1388" s="392" t="s">
        <v>3638</v>
      </c>
      <c r="S1388" s="392" t="s">
        <v>291</v>
      </c>
      <c r="T1388" s="394">
        <v>1</v>
      </c>
      <c r="U1388" s="395">
        <v>18.228000000000002</v>
      </c>
      <c r="V1388" s="395"/>
      <c r="W1388" s="453"/>
      <c r="X1388" s="394"/>
      <c r="Y1388" s="394">
        <v>7</v>
      </c>
      <c r="Z1388" s="394">
        <v>20</v>
      </c>
      <c r="AA1388" s="395">
        <v>0</v>
      </c>
      <c r="AB1388" s="452">
        <v>42248</v>
      </c>
      <c r="AC1388" s="398">
        <v>0</v>
      </c>
      <c r="AD1388" s="398">
        <v>97.282586301369861</v>
      </c>
      <c r="AE1388" s="393" t="s">
        <v>787</v>
      </c>
      <c r="AF1388" s="417"/>
      <c r="AG1388" s="417"/>
      <c r="AH1388" s="417"/>
      <c r="AI1388" s="394"/>
      <c r="AJ1388" s="453"/>
      <c r="AK1388" s="453"/>
      <c r="AL1388" s="393"/>
      <c r="AM1388" s="393"/>
      <c r="AN1388" s="417"/>
      <c r="AO1388" s="392"/>
      <c r="AP1388" s="392" t="s">
        <v>55</v>
      </c>
      <c r="AQ1388" s="392"/>
      <c r="AR1388" s="392" t="s">
        <v>55</v>
      </c>
      <c r="AS1388" s="479">
        <v>41071</v>
      </c>
      <c r="AT1388" s="453"/>
      <c r="AU1388" s="453"/>
      <c r="AV1388" s="453"/>
      <c r="AW1388" s="453"/>
      <c r="AX1388" s="453"/>
      <c r="AY1388" s="453"/>
      <c r="AZ1388" s="452">
        <v>41263</v>
      </c>
      <c r="BA1388" s="393"/>
      <c r="BB1388" s="393"/>
      <c r="BC1388" s="393" t="b">
        <v>0</v>
      </c>
      <c r="BD1388" s="393"/>
      <c r="BE1388" s="392"/>
      <c r="BF1388" s="394">
        <v>10</v>
      </c>
      <c r="BG1388" s="394">
        <v>9</v>
      </c>
      <c r="BH1388" s="394">
        <v>5</v>
      </c>
      <c r="BI1388" s="394"/>
      <c r="BJ1388" s="394"/>
      <c r="BK1388" s="394"/>
      <c r="BL1388" s="444" t="s">
        <v>6981</v>
      </c>
      <c r="BM1388" s="392"/>
      <c r="BN1388" s="393"/>
      <c r="BO1388" s="393"/>
      <c r="BP1388" s="399"/>
      <c r="BQ1388" s="400"/>
      <c r="BR1388" s="401"/>
      <c r="BS1388" s="399">
        <v>6</v>
      </c>
      <c r="BT1388" s="394">
        <v>25164</v>
      </c>
      <c r="BU1388" s="417">
        <v>0.72440000000000004</v>
      </c>
      <c r="BV1388" s="399"/>
      <c r="BW1388" s="393" t="s">
        <v>3117</v>
      </c>
      <c r="BX1388" s="392" t="s">
        <v>1447</v>
      </c>
      <c r="BY1388" s="393"/>
      <c r="BZ1388" s="393"/>
      <c r="CA1388" s="441" t="s">
        <v>1662</v>
      </c>
      <c r="CB1388" s="400">
        <v>2</v>
      </c>
      <c r="CC1388" s="398"/>
      <c r="CD1388" s="398"/>
      <c r="CE1388" s="398"/>
      <c r="CF1388" s="398"/>
      <c r="CG1388" s="398"/>
      <c r="CH1388" s="398"/>
      <c r="CI1388" s="398"/>
      <c r="CJ1388" s="398"/>
      <c r="CK1388" s="398">
        <v>6.0759999999999996</v>
      </c>
      <c r="CL1388" s="398">
        <v>18.228000000000002</v>
      </c>
      <c r="CM1388" s="398">
        <v>18.228000000000002</v>
      </c>
      <c r="CN1388" s="398">
        <v>18.228000000000002</v>
      </c>
      <c r="CO1388" s="398">
        <v>18.228000000000002</v>
      </c>
      <c r="CP1388" s="398">
        <v>18.228000000000002</v>
      </c>
      <c r="CQ1388" s="398">
        <v>18.228000000000002</v>
      </c>
      <c r="CR1388" s="398">
        <v>12.151999999999999</v>
      </c>
      <c r="CS1388" s="398"/>
      <c r="CT1388" s="398"/>
      <c r="CU1388" s="398"/>
      <c r="CV1388" s="398"/>
      <c r="CW1388" s="398"/>
      <c r="CX1388" s="398"/>
      <c r="CY1388" s="398"/>
      <c r="CZ1388" s="398"/>
      <c r="DA1388" s="398"/>
      <c r="DB1388" s="398"/>
      <c r="DC1388" s="398"/>
      <c r="DD1388" s="398"/>
      <c r="DE1388" s="393"/>
      <c r="DF1388" s="393"/>
      <c r="DG1388" s="393"/>
      <c r="DH1388" s="393"/>
      <c r="DI1388" s="393"/>
      <c r="DJ1388" s="393"/>
      <c r="DK1388" s="897"/>
    </row>
    <row r="1389" spans="1:115" ht="51" x14ac:dyDescent="0.2">
      <c r="A1389" s="295">
        <v>1385</v>
      </c>
      <c r="B1389" s="390" t="s">
        <v>2266</v>
      </c>
      <c r="C1389" s="424" t="s">
        <v>7761</v>
      </c>
      <c r="D1389" s="391"/>
      <c r="E1389" s="707" t="s">
        <v>2393</v>
      </c>
      <c r="F1389" s="404" t="s">
        <v>1352</v>
      </c>
      <c r="G1389" s="404" t="s">
        <v>1671</v>
      </c>
      <c r="H1389" s="404" t="s">
        <v>117</v>
      </c>
      <c r="I1389" s="403"/>
      <c r="J1389" s="403" t="s">
        <v>117</v>
      </c>
      <c r="K1389" s="403"/>
      <c r="L1389" s="403" t="s">
        <v>2349</v>
      </c>
      <c r="M1389" s="403" t="s">
        <v>3639</v>
      </c>
      <c r="N1389" s="404" t="s">
        <v>3142</v>
      </c>
      <c r="O1389" s="404" t="s">
        <v>289</v>
      </c>
      <c r="P1389" s="404" t="s">
        <v>289</v>
      </c>
      <c r="Q1389" s="403" t="s">
        <v>1787</v>
      </c>
      <c r="R1389" s="403"/>
      <c r="S1389" s="403" t="s">
        <v>291</v>
      </c>
      <c r="T1389" s="405">
        <v>1</v>
      </c>
      <c r="U1389" s="406">
        <v>18.841999999999999</v>
      </c>
      <c r="V1389" s="406"/>
      <c r="W1389" s="456">
        <v>41068</v>
      </c>
      <c r="X1389" s="405">
        <v>28</v>
      </c>
      <c r="Y1389" s="405"/>
      <c r="Z1389" s="405"/>
      <c r="AA1389" s="406"/>
      <c r="AB1389" s="455"/>
      <c r="AC1389" s="407">
        <v>0</v>
      </c>
      <c r="AD1389" s="407">
        <v>122.60205479452055</v>
      </c>
      <c r="AE1389" s="404" t="s">
        <v>787</v>
      </c>
      <c r="AF1389" s="418"/>
      <c r="AG1389" s="418"/>
      <c r="AH1389" s="418">
        <v>0</v>
      </c>
      <c r="AI1389" s="405"/>
      <c r="AJ1389" s="455"/>
      <c r="AK1389" s="455"/>
      <c r="AL1389" s="404"/>
      <c r="AM1389" s="404"/>
      <c r="AN1389" s="418"/>
      <c r="AO1389" s="403"/>
      <c r="AP1389" s="403" t="s">
        <v>55</v>
      </c>
      <c r="AQ1389" s="403"/>
      <c r="AR1389" s="403" t="s">
        <v>55</v>
      </c>
      <c r="AS1389" s="482">
        <v>41071</v>
      </c>
      <c r="AT1389" s="455"/>
      <c r="AU1389" s="455"/>
      <c r="AV1389" s="455"/>
      <c r="AW1389" s="455"/>
      <c r="AX1389" s="455"/>
      <c r="AY1389" s="455"/>
      <c r="AZ1389" s="455"/>
      <c r="BA1389" s="404"/>
      <c r="BB1389" s="404" t="s">
        <v>3147</v>
      </c>
      <c r="BC1389" s="404" t="b">
        <v>1</v>
      </c>
      <c r="BD1389" s="404" t="s">
        <v>3147</v>
      </c>
      <c r="BE1389" s="403"/>
      <c r="BF1389" s="405">
        <v>10</v>
      </c>
      <c r="BG1389" s="405">
        <v>9</v>
      </c>
      <c r="BH1389" s="405">
        <v>5</v>
      </c>
      <c r="BI1389" s="405"/>
      <c r="BJ1389" s="405"/>
      <c r="BK1389" s="405"/>
      <c r="BL1389" s="446"/>
      <c r="BM1389" s="403"/>
      <c r="BN1389" s="404"/>
      <c r="BO1389" s="404"/>
      <c r="BP1389" s="408"/>
      <c r="BQ1389" s="409"/>
      <c r="BR1389" s="410"/>
      <c r="BS1389" s="408">
        <v>5.7</v>
      </c>
      <c r="BT1389" s="405"/>
      <c r="BU1389" s="418"/>
      <c r="BV1389" s="408"/>
      <c r="BW1389" s="404"/>
      <c r="BX1389" s="403"/>
      <c r="BY1389" s="404"/>
      <c r="BZ1389" s="404"/>
      <c r="CA1389" s="443"/>
      <c r="CB1389" s="409"/>
      <c r="CC1389" s="407"/>
      <c r="CD1389" s="407"/>
      <c r="CE1389" s="407"/>
      <c r="CF1389" s="407"/>
      <c r="CG1389" s="407"/>
      <c r="CH1389" s="407"/>
      <c r="CI1389" s="407"/>
      <c r="CJ1389" s="407"/>
      <c r="CK1389" s="407"/>
      <c r="CL1389" s="407"/>
      <c r="CM1389" s="407"/>
      <c r="CN1389" s="407"/>
      <c r="CO1389" s="407"/>
      <c r="CP1389" s="407"/>
      <c r="CQ1389" s="407"/>
      <c r="CR1389" s="407"/>
      <c r="CS1389" s="407"/>
      <c r="CT1389" s="407"/>
      <c r="CU1389" s="407"/>
      <c r="CV1389" s="407"/>
      <c r="CW1389" s="407"/>
      <c r="CX1389" s="407"/>
      <c r="CY1389" s="407"/>
      <c r="CZ1389" s="407"/>
      <c r="DA1389" s="407"/>
      <c r="DB1389" s="407"/>
      <c r="DC1389" s="407"/>
      <c r="DD1389" s="407"/>
      <c r="DE1389" s="404"/>
      <c r="DF1389" s="404"/>
      <c r="DG1389" s="404"/>
      <c r="DH1389" s="404"/>
      <c r="DI1389" s="404"/>
      <c r="DJ1389" s="404"/>
      <c r="DK1389" s="901"/>
    </row>
    <row r="1390" spans="1:115" ht="25.5" x14ac:dyDescent="0.2">
      <c r="A1390" s="295">
        <v>1386</v>
      </c>
      <c r="B1390" s="390" t="s">
        <v>2933</v>
      </c>
      <c r="C1390" s="390"/>
      <c r="D1390" s="391"/>
      <c r="E1390" s="707" t="s">
        <v>2348</v>
      </c>
      <c r="F1390" s="404" t="s">
        <v>1352</v>
      </c>
      <c r="G1390" s="404" t="s">
        <v>1671</v>
      </c>
      <c r="H1390" s="404" t="s">
        <v>117</v>
      </c>
      <c r="I1390" s="403"/>
      <c r="J1390" s="403"/>
      <c r="K1390" s="403" t="s">
        <v>196</v>
      </c>
      <c r="L1390" s="403" t="s">
        <v>2349</v>
      </c>
      <c r="M1390" s="403"/>
      <c r="N1390" s="404" t="s">
        <v>3142</v>
      </c>
      <c r="O1390" s="404" t="s">
        <v>289</v>
      </c>
      <c r="P1390" s="404" t="s">
        <v>289</v>
      </c>
      <c r="Q1390" s="403" t="s">
        <v>721</v>
      </c>
      <c r="R1390" s="403" t="s">
        <v>3640</v>
      </c>
      <c r="S1390" s="403" t="s">
        <v>291</v>
      </c>
      <c r="T1390" s="405">
        <v>1</v>
      </c>
      <c r="U1390" s="406">
        <v>18.841999999999999</v>
      </c>
      <c r="V1390" s="406"/>
      <c r="W1390" s="455"/>
      <c r="X1390" s="405"/>
      <c r="Y1390" s="405">
        <v>7</v>
      </c>
      <c r="Z1390" s="405">
        <v>20</v>
      </c>
      <c r="AA1390" s="406">
        <v>0</v>
      </c>
      <c r="AB1390" s="456">
        <v>41821</v>
      </c>
      <c r="AC1390" s="407">
        <v>0</v>
      </c>
      <c r="AD1390" s="407">
        <v>122.60205479452055</v>
      </c>
      <c r="AE1390" s="404" t="s">
        <v>787</v>
      </c>
      <c r="AF1390" s="418"/>
      <c r="AG1390" s="418"/>
      <c r="AH1390" s="418"/>
      <c r="AI1390" s="405"/>
      <c r="AJ1390" s="455"/>
      <c r="AK1390" s="455"/>
      <c r="AL1390" s="404"/>
      <c r="AM1390" s="404"/>
      <c r="AN1390" s="418"/>
      <c r="AO1390" s="403"/>
      <c r="AP1390" s="403" t="s">
        <v>55</v>
      </c>
      <c r="AQ1390" s="403"/>
      <c r="AR1390" s="403" t="s">
        <v>55</v>
      </c>
      <c r="AS1390" s="482">
        <v>41071</v>
      </c>
      <c r="AT1390" s="455"/>
      <c r="AU1390" s="455"/>
      <c r="AV1390" s="455"/>
      <c r="AW1390" s="455"/>
      <c r="AX1390" s="455"/>
      <c r="AY1390" s="455"/>
      <c r="AZ1390" s="455"/>
      <c r="BA1390" s="404"/>
      <c r="BB1390" s="404"/>
      <c r="BC1390" s="404" t="b">
        <v>0</v>
      </c>
      <c r="BD1390" s="404"/>
      <c r="BE1390" s="403"/>
      <c r="BF1390" s="405">
        <v>10</v>
      </c>
      <c r="BG1390" s="405">
        <v>9</v>
      </c>
      <c r="BH1390" s="405">
        <v>5</v>
      </c>
      <c r="BI1390" s="405"/>
      <c r="BJ1390" s="405"/>
      <c r="BK1390" s="405"/>
      <c r="BL1390" s="446" t="s">
        <v>6981</v>
      </c>
      <c r="BM1390" s="403"/>
      <c r="BN1390" s="404"/>
      <c r="BO1390" s="404"/>
      <c r="BP1390" s="408"/>
      <c r="BQ1390" s="409"/>
      <c r="BR1390" s="410"/>
      <c r="BS1390" s="408">
        <v>5.7</v>
      </c>
      <c r="BT1390" s="405">
        <v>26011</v>
      </c>
      <c r="BU1390" s="418">
        <v>0.72440000000000004</v>
      </c>
      <c r="BV1390" s="408"/>
      <c r="BW1390" s="404" t="s">
        <v>3117</v>
      </c>
      <c r="BX1390" s="403" t="s">
        <v>1447</v>
      </c>
      <c r="BY1390" s="404"/>
      <c r="BZ1390" s="404"/>
      <c r="CA1390" s="443" t="s">
        <v>1662</v>
      </c>
      <c r="CB1390" s="409">
        <v>3</v>
      </c>
      <c r="CC1390" s="407"/>
      <c r="CD1390" s="407"/>
      <c r="CE1390" s="407"/>
      <c r="CF1390" s="407"/>
      <c r="CG1390" s="407"/>
      <c r="CH1390" s="407"/>
      <c r="CI1390" s="407"/>
      <c r="CJ1390" s="407">
        <v>18.841999999999999</v>
      </c>
      <c r="CK1390" s="407">
        <v>18.841999999999999</v>
      </c>
      <c r="CL1390" s="407">
        <v>18.841999999999999</v>
      </c>
      <c r="CM1390" s="407">
        <v>18.841999999999999</v>
      </c>
      <c r="CN1390" s="407">
        <v>18.841999999999999</v>
      </c>
      <c r="CO1390" s="407">
        <v>18.841999999999999</v>
      </c>
      <c r="CP1390" s="407">
        <v>18.841999999999999</v>
      </c>
      <c r="CQ1390" s="407"/>
      <c r="CR1390" s="407"/>
      <c r="CS1390" s="407"/>
      <c r="CT1390" s="407"/>
      <c r="CU1390" s="407"/>
      <c r="CV1390" s="407"/>
      <c r="CW1390" s="407"/>
      <c r="CX1390" s="407"/>
      <c r="CY1390" s="407"/>
      <c r="CZ1390" s="407"/>
      <c r="DA1390" s="407"/>
      <c r="DB1390" s="407"/>
      <c r="DC1390" s="407"/>
      <c r="DD1390" s="407"/>
      <c r="DE1390" s="404"/>
      <c r="DF1390" s="404"/>
      <c r="DG1390" s="404"/>
      <c r="DH1390" s="404"/>
      <c r="DI1390" s="404"/>
      <c r="DJ1390" s="404"/>
      <c r="DK1390" s="897"/>
    </row>
    <row r="1391" spans="1:115" ht="51" x14ac:dyDescent="0.2">
      <c r="A1391" s="295">
        <v>1387</v>
      </c>
      <c r="B1391" s="390" t="s">
        <v>2267</v>
      </c>
      <c r="C1391" s="424" t="s">
        <v>7762</v>
      </c>
      <c r="D1391" s="391" t="s">
        <v>5213</v>
      </c>
      <c r="E1391" s="704" t="s">
        <v>2394</v>
      </c>
      <c r="F1391" s="393" t="s">
        <v>1375</v>
      </c>
      <c r="G1391" s="393" t="s">
        <v>1361</v>
      </c>
      <c r="H1391" s="393" t="s">
        <v>137</v>
      </c>
      <c r="I1391" s="392"/>
      <c r="J1391" s="392" t="s">
        <v>137</v>
      </c>
      <c r="K1391" s="392"/>
      <c r="L1391" s="392" t="s">
        <v>2325</v>
      </c>
      <c r="M1391" s="392" t="s">
        <v>3641</v>
      </c>
      <c r="N1391" s="393" t="s">
        <v>44</v>
      </c>
      <c r="O1391" s="393" t="s">
        <v>5030</v>
      </c>
      <c r="P1391" s="393" t="s">
        <v>5030</v>
      </c>
      <c r="Q1391" s="392" t="s">
        <v>1835</v>
      </c>
      <c r="R1391" s="392"/>
      <c r="S1391" s="392" t="s">
        <v>291</v>
      </c>
      <c r="T1391" s="394">
        <v>1</v>
      </c>
      <c r="U1391" s="395">
        <v>23.353000000000002</v>
      </c>
      <c r="V1391" s="395"/>
      <c r="W1391" s="452">
        <v>41072</v>
      </c>
      <c r="X1391" s="394">
        <v>28</v>
      </c>
      <c r="Y1391" s="394"/>
      <c r="Z1391" s="394"/>
      <c r="AA1391" s="395"/>
      <c r="AB1391" s="453"/>
      <c r="AC1391" s="398">
        <v>0</v>
      </c>
      <c r="AD1391" s="398">
        <v>149.97104657534246</v>
      </c>
      <c r="AE1391" s="393" t="s">
        <v>787</v>
      </c>
      <c r="AF1391" s="417"/>
      <c r="AG1391" s="417"/>
      <c r="AH1391" s="417">
        <v>0</v>
      </c>
      <c r="AI1391" s="394"/>
      <c r="AJ1391" s="453"/>
      <c r="AK1391" s="453"/>
      <c r="AL1391" s="393"/>
      <c r="AM1391" s="393"/>
      <c r="AN1391" s="417"/>
      <c r="AO1391" s="392"/>
      <c r="AP1391" s="392" t="s">
        <v>55</v>
      </c>
      <c r="AQ1391" s="392"/>
      <c r="AR1391" s="392" t="s">
        <v>55</v>
      </c>
      <c r="AS1391" s="479">
        <v>41072</v>
      </c>
      <c r="AT1391" s="453"/>
      <c r="AU1391" s="453"/>
      <c r="AV1391" s="452">
        <v>41211</v>
      </c>
      <c r="AW1391" s="452">
        <v>41264</v>
      </c>
      <c r="AX1391" s="453"/>
      <c r="AY1391" s="452">
        <v>41271</v>
      </c>
      <c r="AZ1391" s="453"/>
      <c r="BA1391" s="393"/>
      <c r="BB1391" s="393" t="s">
        <v>3147</v>
      </c>
      <c r="BC1391" s="393" t="b">
        <v>1</v>
      </c>
      <c r="BD1391" s="393" t="s">
        <v>3147</v>
      </c>
      <c r="BE1391" s="392"/>
      <c r="BF1391" s="394">
        <v>5</v>
      </c>
      <c r="BG1391" s="394">
        <v>9</v>
      </c>
      <c r="BH1391" s="394">
        <v>11</v>
      </c>
      <c r="BI1391" s="394"/>
      <c r="BJ1391" s="394"/>
      <c r="BK1391" s="394"/>
      <c r="BL1391" s="444"/>
      <c r="BM1391" s="392"/>
      <c r="BN1391" s="393"/>
      <c r="BO1391" s="393"/>
      <c r="BP1391" s="399"/>
      <c r="BQ1391" s="400"/>
      <c r="BR1391" s="401"/>
      <c r="BS1391" s="399">
        <v>9.52</v>
      </c>
      <c r="BT1391" s="394"/>
      <c r="BU1391" s="417"/>
      <c r="BV1391" s="399"/>
      <c r="BW1391" s="393"/>
      <c r="BX1391" s="392"/>
      <c r="BY1391" s="393"/>
      <c r="BZ1391" s="393"/>
      <c r="CA1391" s="441"/>
      <c r="CB1391" s="400"/>
      <c r="CC1391" s="398"/>
      <c r="CD1391" s="398"/>
      <c r="CE1391" s="398"/>
      <c r="CF1391" s="398"/>
      <c r="CG1391" s="398"/>
      <c r="CH1391" s="398"/>
      <c r="CI1391" s="398"/>
      <c r="CJ1391" s="398"/>
      <c r="CK1391" s="398"/>
      <c r="CL1391" s="398"/>
      <c r="CM1391" s="398"/>
      <c r="CN1391" s="398"/>
      <c r="CO1391" s="398"/>
      <c r="CP1391" s="398"/>
      <c r="CQ1391" s="398"/>
      <c r="CR1391" s="398"/>
      <c r="CS1391" s="398"/>
      <c r="CT1391" s="398"/>
      <c r="CU1391" s="398"/>
      <c r="CV1391" s="398"/>
      <c r="CW1391" s="398"/>
      <c r="CX1391" s="398"/>
      <c r="CY1391" s="398"/>
      <c r="CZ1391" s="398"/>
      <c r="DA1391" s="398"/>
      <c r="DB1391" s="398"/>
      <c r="DC1391" s="398"/>
      <c r="DD1391" s="398"/>
      <c r="DE1391" s="393"/>
      <c r="DF1391" s="393"/>
      <c r="DG1391" s="393"/>
      <c r="DH1391" s="393"/>
      <c r="DI1391" s="393"/>
      <c r="DJ1391" s="393"/>
      <c r="DK1391" s="896" t="s">
        <v>9701</v>
      </c>
    </row>
    <row r="1392" spans="1:115" ht="25.5" x14ac:dyDescent="0.2">
      <c r="A1392" s="295">
        <v>1388</v>
      </c>
      <c r="B1392" s="390" t="s">
        <v>2934</v>
      </c>
      <c r="C1392" s="390"/>
      <c r="D1392" s="391" t="s">
        <v>4967</v>
      </c>
      <c r="E1392" s="704" t="s">
        <v>2350</v>
      </c>
      <c r="F1392" s="393" t="s">
        <v>1375</v>
      </c>
      <c r="G1392" s="393" t="s">
        <v>1361</v>
      </c>
      <c r="H1392" s="393" t="s">
        <v>137</v>
      </c>
      <c r="I1392" s="392"/>
      <c r="J1392" s="392"/>
      <c r="K1392" s="392" t="s">
        <v>2188</v>
      </c>
      <c r="L1392" s="392" t="s">
        <v>2325</v>
      </c>
      <c r="M1392" s="392"/>
      <c r="N1392" s="393" t="s">
        <v>44</v>
      </c>
      <c r="O1392" s="393" t="s">
        <v>827</v>
      </c>
      <c r="P1392" s="393" t="s">
        <v>827</v>
      </c>
      <c r="Q1392" s="392" t="s">
        <v>836</v>
      </c>
      <c r="R1392" s="392" t="s">
        <v>4143</v>
      </c>
      <c r="S1392" s="392" t="s">
        <v>291</v>
      </c>
      <c r="T1392" s="394">
        <v>1</v>
      </c>
      <c r="U1392" s="395">
        <v>23.353000000000002</v>
      </c>
      <c r="V1392" s="395"/>
      <c r="W1392" s="453"/>
      <c r="X1392" s="394"/>
      <c r="Y1392" s="394">
        <v>7</v>
      </c>
      <c r="Z1392" s="394">
        <v>25</v>
      </c>
      <c r="AA1392" s="395">
        <v>0</v>
      </c>
      <c r="AB1392" s="452">
        <v>41852</v>
      </c>
      <c r="AC1392" s="398">
        <v>0</v>
      </c>
      <c r="AD1392" s="398">
        <v>149.97104657534246</v>
      </c>
      <c r="AE1392" s="393" t="s">
        <v>787</v>
      </c>
      <c r="AF1392" s="417"/>
      <c r="AG1392" s="417"/>
      <c r="AH1392" s="417"/>
      <c r="AI1392" s="394"/>
      <c r="AJ1392" s="453"/>
      <c r="AK1392" s="453"/>
      <c r="AL1392" s="393"/>
      <c r="AM1392" s="393"/>
      <c r="AN1392" s="417"/>
      <c r="AO1392" s="392"/>
      <c r="AP1392" s="392" t="s">
        <v>55</v>
      </c>
      <c r="AQ1392" s="392"/>
      <c r="AR1392" s="392" t="s">
        <v>55</v>
      </c>
      <c r="AS1392" s="479">
        <v>41072</v>
      </c>
      <c r="AT1392" s="453"/>
      <c r="AU1392" s="453"/>
      <c r="AV1392" s="453"/>
      <c r="AW1392" s="453"/>
      <c r="AX1392" s="453"/>
      <c r="AY1392" s="453"/>
      <c r="AZ1392" s="452">
        <v>41271</v>
      </c>
      <c r="BA1392" s="393"/>
      <c r="BB1392" s="393"/>
      <c r="BC1392" s="393" t="b">
        <v>0</v>
      </c>
      <c r="BD1392" s="393"/>
      <c r="BE1392" s="392"/>
      <c r="BF1392" s="394">
        <v>5</v>
      </c>
      <c r="BG1392" s="394">
        <v>9</v>
      </c>
      <c r="BH1392" s="394">
        <v>11</v>
      </c>
      <c r="BI1392" s="394">
        <v>12</v>
      </c>
      <c r="BJ1392" s="394"/>
      <c r="BK1392" s="394"/>
      <c r="BL1392" s="444" t="s">
        <v>6982</v>
      </c>
      <c r="BM1392" s="392" t="s">
        <v>3642</v>
      </c>
      <c r="BN1392" s="393" t="s">
        <v>3303</v>
      </c>
      <c r="BO1392" s="393"/>
      <c r="BP1392" s="399"/>
      <c r="BQ1392" s="400" t="s">
        <v>3303</v>
      </c>
      <c r="BR1392" s="401"/>
      <c r="BS1392" s="399">
        <v>9.52</v>
      </c>
      <c r="BT1392" s="394">
        <v>25006</v>
      </c>
      <c r="BU1392" s="417">
        <v>0.97</v>
      </c>
      <c r="BV1392" s="399"/>
      <c r="BW1392" s="393" t="s">
        <v>3117</v>
      </c>
      <c r="BX1392" s="392" t="s">
        <v>4364</v>
      </c>
      <c r="BY1392" s="393" t="s">
        <v>7224</v>
      </c>
      <c r="BZ1392" s="393"/>
      <c r="CA1392" s="441"/>
      <c r="CB1392" s="400"/>
      <c r="CC1392" s="398"/>
      <c r="CD1392" s="398"/>
      <c r="CE1392" s="398"/>
      <c r="CF1392" s="398"/>
      <c r="CG1392" s="398"/>
      <c r="CH1392" s="398"/>
      <c r="CI1392" s="398"/>
      <c r="CJ1392" s="398">
        <v>9.85</v>
      </c>
      <c r="CK1392" s="398">
        <v>23.545000000000002</v>
      </c>
      <c r="CL1392" s="398">
        <v>23.451000000000001</v>
      </c>
      <c r="CM1392" s="398">
        <v>23.353999999999999</v>
      </c>
      <c r="CN1392" s="398">
        <v>23.257999999999999</v>
      </c>
      <c r="CO1392" s="398">
        <v>23.16</v>
      </c>
      <c r="CP1392" s="398">
        <v>25.061</v>
      </c>
      <c r="CQ1392" s="398">
        <v>13.79</v>
      </c>
      <c r="CR1392" s="398"/>
      <c r="CS1392" s="398"/>
      <c r="CT1392" s="398"/>
      <c r="CU1392" s="398"/>
      <c r="CV1392" s="398"/>
      <c r="CW1392" s="398"/>
      <c r="CX1392" s="398"/>
      <c r="CY1392" s="398"/>
      <c r="CZ1392" s="398"/>
      <c r="DA1392" s="398"/>
      <c r="DB1392" s="398"/>
      <c r="DC1392" s="398"/>
      <c r="DD1392" s="398"/>
      <c r="DE1392" s="393"/>
      <c r="DF1392" s="393"/>
      <c r="DG1392" s="393"/>
      <c r="DH1392" s="393"/>
      <c r="DI1392" s="393"/>
      <c r="DJ1392" s="393"/>
      <c r="DK1392" s="897"/>
    </row>
    <row r="1393" spans="1:115" ht="51" x14ac:dyDescent="0.2">
      <c r="A1393" s="295">
        <v>1389</v>
      </c>
      <c r="B1393" s="390" t="s">
        <v>2268</v>
      </c>
      <c r="C1393" s="424" t="s">
        <v>7763</v>
      </c>
      <c r="D1393" s="391" t="s">
        <v>5214</v>
      </c>
      <c r="E1393" s="704" t="s">
        <v>2395</v>
      </c>
      <c r="F1393" s="393" t="s">
        <v>1352</v>
      </c>
      <c r="G1393" s="393" t="s">
        <v>1673</v>
      </c>
      <c r="H1393" s="393" t="s">
        <v>42</v>
      </c>
      <c r="I1393" s="392"/>
      <c r="J1393" s="392" t="s">
        <v>42</v>
      </c>
      <c r="K1393" s="392"/>
      <c r="L1393" s="392" t="s">
        <v>2352</v>
      </c>
      <c r="M1393" s="392" t="s">
        <v>3643</v>
      </c>
      <c r="N1393" s="393" t="s">
        <v>44</v>
      </c>
      <c r="O1393" s="393" t="s">
        <v>51</v>
      </c>
      <c r="P1393" s="393" t="s">
        <v>51</v>
      </c>
      <c r="Q1393" s="392" t="s">
        <v>52</v>
      </c>
      <c r="R1393" s="392"/>
      <c r="S1393" s="392" t="s">
        <v>912</v>
      </c>
      <c r="T1393" s="394">
        <v>1</v>
      </c>
      <c r="U1393" s="395">
        <v>0.89900000000000002</v>
      </c>
      <c r="V1393" s="395"/>
      <c r="W1393" s="452">
        <v>41153</v>
      </c>
      <c r="X1393" s="394">
        <v>28</v>
      </c>
      <c r="Y1393" s="394"/>
      <c r="Z1393" s="394"/>
      <c r="AA1393" s="395"/>
      <c r="AB1393" s="453"/>
      <c r="AC1393" s="398">
        <v>0</v>
      </c>
      <c r="AD1393" s="398">
        <v>8.99</v>
      </c>
      <c r="AE1393" s="393" t="s">
        <v>72</v>
      </c>
      <c r="AF1393" s="417"/>
      <c r="AG1393" s="417"/>
      <c r="AH1393" s="417">
        <v>0</v>
      </c>
      <c r="AI1393" s="394"/>
      <c r="AJ1393" s="453"/>
      <c r="AK1393" s="453"/>
      <c r="AL1393" s="393"/>
      <c r="AM1393" s="393"/>
      <c r="AN1393" s="417"/>
      <c r="AO1393" s="392"/>
      <c r="AP1393" s="392" t="s">
        <v>55</v>
      </c>
      <c r="AQ1393" s="392"/>
      <c r="AR1393" s="392" t="s">
        <v>55</v>
      </c>
      <c r="AS1393" s="479">
        <v>41073</v>
      </c>
      <c r="AT1393" s="453"/>
      <c r="AU1393" s="453"/>
      <c r="AV1393" s="452">
        <v>41235</v>
      </c>
      <c r="AW1393" s="452">
        <v>41273</v>
      </c>
      <c r="AX1393" s="452">
        <v>41450</v>
      </c>
      <c r="AY1393" s="452">
        <v>41273</v>
      </c>
      <c r="AZ1393" s="453"/>
      <c r="BA1393" s="393"/>
      <c r="BB1393" s="393" t="s">
        <v>3147</v>
      </c>
      <c r="BC1393" s="393" t="b">
        <v>0</v>
      </c>
      <c r="BD1393" s="393" t="s">
        <v>3147</v>
      </c>
      <c r="BE1393" s="392" t="s">
        <v>6053</v>
      </c>
      <c r="BF1393" s="394">
        <v>3</v>
      </c>
      <c r="BG1393" s="394">
        <v>6</v>
      </c>
      <c r="BH1393" s="394">
        <v>8</v>
      </c>
      <c r="BI1393" s="394">
        <v>9</v>
      </c>
      <c r="BJ1393" s="394">
        <v>4</v>
      </c>
      <c r="BK1393" s="394"/>
      <c r="BL1393" s="444"/>
      <c r="BM1393" s="392"/>
      <c r="BN1393" s="393"/>
      <c r="BO1393" s="393"/>
      <c r="BP1393" s="399"/>
      <c r="BQ1393" s="400"/>
      <c r="BR1393" s="401"/>
      <c r="BS1393" s="399">
        <v>0</v>
      </c>
      <c r="BT1393" s="394"/>
      <c r="BU1393" s="417"/>
      <c r="BV1393" s="399"/>
      <c r="BW1393" s="393"/>
      <c r="BX1393" s="392"/>
      <c r="BY1393" s="393" t="s">
        <v>7224</v>
      </c>
      <c r="BZ1393" s="393"/>
      <c r="CA1393" s="441"/>
      <c r="CB1393" s="400"/>
      <c r="CC1393" s="398"/>
      <c r="CD1393" s="398"/>
      <c r="CE1393" s="398"/>
      <c r="CF1393" s="398"/>
      <c r="CG1393" s="398"/>
      <c r="CH1393" s="398"/>
      <c r="CI1393" s="398"/>
      <c r="CJ1393" s="398"/>
      <c r="CK1393" s="398"/>
      <c r="CL1393" s="398"/>
      <c r="CM1393" s="398"/>
      <c r="CN1393" s="398"/>
      <c r="CO1393" s="398"/>
      <c r="CP1393" s="398"/>
      <c r="CQ1393" s="398"/>
      <c r="CR1393" s="398"/>
      <c r="CS1393" s="398"/>
      <c r="CT1393" s="398"/>
      <c r="CU1393" s="398"/>
      <c r="CV1393" s="398"/>
      <c r="CW1393" s="398"/>
      <c r="CX1393" s="398"/>
      <c r="CY1393" s="398"/>
      <c r="CZ1393" s="398"/>
      <c r="DA1393" s="398"/>
      <c r="DB1393" s="398"/>
      <c r="DC1393" s="398"/>
      <c r="DD1393" s="398"/>
      <c r="DE1393" s="393"/>
      <c r="DF1393" s="393"/>
      <c r="DG1393" s="393"/>
      <c r="DH1393" s="393"/>
      <c r="DI1393" s="393"/>
      <c r="DJ1393" s="393"/>
      <c r="DK1393" s="896" t="s">
        <v>9730</v>
      </c>
    </row>
    <row r="1394" spans="1:115" ht="25.5" x14ac:dyDescent="0.2">
      <c r="A1394" s="295">
        <v>1390</v>
      </c>
      <c r="B1394" s="390" t="s">
        <v>2935</v>
      </c>
      <c r="C1394" s="390"/>
      <c r="D1394" s="391" t="s">
        <v>5215</v>
      </c>
      <c r="E1394" s="704" t="s">
        <v>2351</v>
      </c>
      <c r="F1394" s="393" t="s">
        <v>1352</v>
      </c>
      <c r="G1394" s="393" t="s">
        <v>1673</v>
      </c>
      <c r="H1394" s="393" t="s">
        <v>42</v>
      </c>
      <c r="I1394" s="392"/>
      <c r="J1394" s="392"/>
      <c r="K1394" s="392" t="s">
        <v>85</v>
      </c>
      <c r="L1394" s="392" t="s">
        <v>2352</v>
      </c>
      <c r="M1394" s="392"/>
      <c r="N1394" s="393" t="s">
        <v>44</v>
      </c>
      <c r="O1394" s="393" t="s">
        <v>51</v>
      </c>
      <c r="P1394" s="393" t="s">
        <v>51</v>
      </c>
      <c r="Q1394" s="392" t="s">
        <v>52</v>
      </c>
      <c r="R1394" s="392" t="s">
        <v>3644</v>
      </c>
      <c r="S1394" s="392" t="s">
        <v>912</v>
      </c>
      <c r="T1394" s="394">
        <v>1</v>
      </c>
      <c r="U1394" s="395">
        <v>0.89900000000000002</v>
      </c>
      <c r="V1394" s="395"/>
      <c r="W1394" s="453"/>
      <c r="X1394" s="394"/>
      <c r="Y1394" s="394">
        <v>10</v>
      </c>
      <c r="Z1394" s="394">
        <v>10</v>
      </c>
      <c r="AA1394" s="395">
        <v>0</v>
      </c>
      <c r="AB1394" s="452">
        <v>41304</v>
      </c>
      <c r="AC1394" s="398">
        <v>0</v>
      </c>
      <c r="AD1394" s="398">
        <v>8.99</v>
      </c>
      <c r="AE1394" s="393" t="s">
        <v>72</v>
      </c>
      <c r="AF1394" s="417"/>
      <c r="AG1394" s="417"/>
      <c r="AH1394" s="417"/>
      <c r="AI1394" s="394"/>
      <c r="AJ1394" s="453"/>
      <c r="AK1394" s="453"/>
      <c r="AL1394" s="393"/>
      <c r="AM1394" s="393"/>
      <c r="AN1394" s="417"/>
      <c r="AO1394" s="392"/>
      <c r="AP1394" s="392" t="s">
        <v>55</v>
      </c>
      <c r="AQ1394" s="392"/>
      <c r="AR1394" s="392" t="s">
        <v>55</v>
      </c>
      <c r="AS1394" s="479">
        <v>41073</v>
      </c>
      <c r="AT1394" s="453"/>
      <c r="AU1394" s="453"/>
      <c r="AV1394" s="453"/>
      <c r="AW1394" s="453"/>
      <c r="AX1394" s="453"/>
      <c r="AY1394" s="453"/>
      <c r="AZ1394" s="452">
        <v>41273</v>
      </c>
      <c r="BA1394" s="393"/>
      <c r="BB1394" s="393"/>
      <c r="BC1394" s="393" t="b">
        <v>0</v>
      </c>
      <c r="BD1394" s="393"/>
      <c r="BE1394" s="392" t="s">
        <v>6053</v>
      </c>
      <c r="BF1394" s="394">
        <v>3</v>
      </c>
      <c r="BG1394" s="394">
        <v>6</v>
      </c>
      <c r="BH1394" s="394">
        <v>8</v>
      </c>
      <c r="BI1394" s="394">
        <v>9</v>
      </c>
      <c r="BJ1394" s="394">
        <v>4</v>
      </c>
      <c r="BK1394" s="394"/>
      <c r="BL1394" s="444" t="s">
        <v>6981</v>
      </c>
      <c r="BM1394" s="392"/>
      <c r="BN1394" s="393"/>
      <c r="BO1394" s="393"/>
      <c r="BP1394" s="399"/>
      <c r="BQ1394" s="400"/>
      <c r="BR1394" s="401"/>
      <c r="BS1394" s="399"/>
      <c r="BT1394" s="394"/>
      <c r="BU1394" s="417"/>
      <c r="BV1394" s="399"/>
      <c r="BW1394" s="393" t="s">
        <v>3117</v>
      </c>
      <c r="BX1394" s="392"/>
      <c r="BY1394" s="393" t="s">
        <v>7224</v>
      </c>
      <c r="BZ1394" s="393"/>
      <c r="CA1394" s="441"/>
      <c r="CB1394" s="400"/>
      <c r="CC1394" s="398"/>
      <c r="CD1394" s="398"/>
      <c r="CE1394" s="398"/>
      <c r="CF1394" s="398"/>
      <c r="CG1394" s="398"/>
      <c r="CH1394" s="398"/>
      <c r="CI1394" s="398">
        <v>0.89900000000000002</v>
      </c>
      <c r="CJ1394" s="398">
        <v>0.89900000000000002</v>
      </c>
      <c r="CK1394" s="398">
        <v>0.89900000000000002</v>
      </c>
      <c r="CL1394" s="398">
        <v>0.89900000000000002</v>
      </c>
      <c r="CM1394" s="398">
        <v>0.89900000000000002</v>
      </c>
      <c r="CN1394" s="398">
        <v>0.89900000000000002</v>
      </c>
      <c r="CO1394" s="398">
        <v>0.89900000000000002</v>
      </c>
      <c r="CP1394" s="398">
        <v>0.89900000000000002</v>
      </c>
      <c r="CQ1394" s="398">
        <v>0.89900000000000002</v>
      </c>
      <c r="CR1394" s="398">
        <v>0.89900000000000002</v>
      </c>
      <c r="CS1394" s="398"/>
      <c r="CT1394" s="398"/>
      <c r="CU1394" s="398"/>
      <c r="CV1394" s="398"/>
      <c r="CW1394" s="398"/>
      <c r="CX1394" s="398"/>
      <c r="CY1394" s="398"/>
      <c r="CZ1394" s="398"/>
      <c r="DA1394" s="398"/>
      <c r="DB1394" s="398"/>
      <c r="DC1394" s="398"/>
      <c r="DD1394" s="398"/>
      <c r="DE1394" s="393"/>
      <c r="DF1394" s="393"/>
      <c r="DG1394" s="393"/>
      <c r="DH1394" s="393"/>
      <c r="DI1394" s="393"/>
      <c r="DJ1394" s="393"/>
      <c r="DK1394" s="897"/>
    </row>
    <row r="1395" spans="1:115" ht="25.5" x14ac:dyDescent="0.2">
      <c r="A1395" s="295">
        <v>1391</v>
      </c>
      <c r="B1395" s="390" t="s">
        <v>2269</v>
      </c>
      <c r="C1395" s="424" t="s">
        <v>7764</v>
      </c>
      <c r="D1395" s="391" t="s">
        <v>5216</v>
      </c>
      <c r="E1395" s="704" t="s">
        <v>2397</v>
      </c>
      <c r="F1395" s="393" t="s">
        <v>1352</v>
      </c>
      <c r="G1395" s="393" t="s">
        <v>1672</v>
      </c>
      <c r="H1395" s="393" t="s">
        <v>89</v>
      </c>
      <c r="I1395" s="392"/>
      <c r="J1395" s="392" t="s">
        <v>89</v>
      </c>
      <c r="K1395" s="392"/>
      <c r="L1395" s="392" t="s">
        <v>2357</v>
      </c>
      <c r="M1395" s="392" t="s">
        <v>3645</v>
      </c>
      <c r="N1395" s="393" t="s">
        <v>44</v>
      </c>
      <c r="O1395" s="393" t="s">
        <v>1155</v>
      </c>
      <c r="P1395" s="393" t="s">
        <v>1155</v>
      </c>
      <c r="Q1395" s="392" t="s">
        <v>1155</v>
      </c>
      <c r="R1395" s="392"/>
      <c r="S1395" s="392" t="s">
        <v>650</v>
      </c>
      <c r="T1395" s="394">
        <v>1</v>
      </c>
      <c r="U1395" s="395">
        <v>48.969000000000001</v>
      </c>
      <c r="V1395" s="395"/>
      <c r="W1395" s="452">
        <v>41073</v>
      </c>
      <c r="X1395" s="394">
        <v>28</v>
      </c>
      <c r="Y1395" s="394"/>
      <c r="Z1395" s="394"/>
      <c r="AA1395" s="395"/>
      <c r="AB1395" s="453"/>
      <c r="AC1395" s="398">
        <v>0</v>
      </c>
      <c r="AD1395" s="398">
        <v>342.91716164383564</v>
      </c>
      <c r="AE1395" s="393" t="s">
        <v>96</v>
      </c>
      <c r="AF1395" s="417"/>
      <c r="AG1395" s="417"/>
      <c r="AH1395" s="417">
        <v>0</v>
      </c>
      <c r="AI1395" s="394"/>
      <c r="AJ1395" s="453"/>
      <c r="AK1395" s="453"/>
      <c r="AL1395" s="393"/>
      <c r="AM1395" s="393"/>
      <c r="AN1395" s="417"/>
      <c r="AO1395" s="392"/>
      <c r="AP1395" s="392" t="s">
        <v>7088</v>
      </c>
      <c r="AQ1395" s="392"/>
      <c r="AR1395" s="392" t="s">
        <v>55</v>
      </c>
      <c r="AS1395" s="479">
        <v>41073</v>
      </c>
      <c r="AT1395" s="453"/>
      <c r="AU1395" s="453"/>
      <c r="AV1395" s="452">
        <v>41149</v>
      </c>
      <c r="AW1395" s="452">
        <v>41263</v>
      </c>
      <c r="AX1395" s="453"/>
      <c r="AY1395" s="452">
        <v>41354</v>
      </c>
      <c r="AZ1395" s="453"/>
      <c r="BA1395" s="393"/>
      <c r="BB1395" s="393" t="s">
        <v>3147</v>
      </c>
      <c r="BC1395" s="393" t="b">
        <v>1</v>
      </c>
      <c r="BD1395" s="393" t="s">
        <v>3147</v>
      </c>
      <c r="BE1395" s="392"/>
      <c r="BF1395" s="394">
        <v>5</v>
      </c>
      <c r="BG1395" s="394">
        <v>8</v>
      </c>
      <c r="BH1395" s="394">
        <v>10</v>
      </c>
      <c r="BI1395" s="394">
        <v>9</v>
      </c>
      <c r="BJ1395" s="394">
        <v>11</v>
      </c>
      <c r="BK1395" s="394"/>
      <c r="BL1395" s="444"/>
      <c r="BM1395" s="392"/>
      <c r="BN1395" s="393"/>
      <c r="BO1395" s="393"/>
      <c r="BP1395" s="399"/>
      <c r="BQ1395" s="400"/>
      <c r="BR1395" s="401"/>
      <c r="BS1395" s="399">
        <v>30</v>
      </c>
      <c r="BT1395" s="394"/>
      <c r="BU1395" s="417"/>
      <c r="BV1395" s="399"/>
      <c r="BW1395" s="393"/>
      <c r="BX1395" s="392"/>
      <c r="BY1395" s="393"/>
      <c r="BZ1395" s="393"/>
      <c r="CA1395" s="441"/>
      <c r="CB1395" s="400"/>
      <c r="CC1395" s="398"/>
      <c r="CD1395" s="398"/>
      <c r="CE1395" s="398"/>
      <c r="CF1395" s="398"/>
      <c r="CG1395" s="398"/>
      <c r="CH1395" s="398"/>
      <c r="CI1395" s="398"/>
      <c r="CJ1395" s="398"/>
      <c r="CK1395" s="398"/>
      <c r="CL1395" s="398"/>
      <c r="CM1395" s="398"/>
      <c r="CN1395" s="398"/>
      <c r="CO1395" s="398"/>
      <c r="CP1395" s="398"/>
      <c r="CQ1395" s="398"/>
      <c r="CR1395" s="398"/>
      <c r="CS1395" s="398"/>
      <c r="CT1395" s="398"/>
      <c r="CU1395" s="398"/>
      <c r="CV1395" s="398"/>
      <c r="CW1395" s="398"/>
      <c r="CX1395" s="398"/>
      <c r="CY1395" s="398"/>
      <c r="CZ1395" s="398"/>
      <c r="DA1395" s="398"/>
      <c r="DB1395" s="398"/>
      <c r="DC1395" s="398"/>
      <c r="DD1395" s="398"/>
      <c r="DE1395" s="393"/>
      <c r="DF1395" s="393"/>
      <c r="DG1395" s="393"/>
      <c r="DH1395" s="393"/>
      <c r="DI1395" s="393"/>
      <c r="DJ1395" s="393"/>
      <c r="DK1395" s="896" t="s">
        <v>9722</v>
      </c>
    </row>
    <row r="1396" spans="1:115" ht="25.5" x14ac:dyDescent="0.2">
      <c r="A1396" s="295">
        <v>1392</v>
      </c>
      <c r="B1396" s="390" t="s">
        <v>2936</v>
      </c>
      <c r="C1396" s="390"/>
      <c r="D1396" s="391" t="s">
        <v>4632</v>
      </c>
      <c r="E1396" s="704" t="s">
        <v>2355</v>
      </c>
      <c r="F1396" s="393" t="s">
        <v>1352</v>
      </c>
      <c r="G1396" s="393" t="s">
        <v>1672</v>
      </c>
      <c r="H1396" s="393" t="s">
        <v>89</v>
      </c>
      <c r="I1396" s="392"/>
      <c r="J1396" s="392"/>
      <c r="K1396" s="392" t="s">
        <v>2356</v>
      </c>
      <c r="L1396" s="392" t="s">
        <v>2357</v>
      </c>
      <c r="M1396" s="392"/>
      <c r="N1396" s="393" t="s">
        <v>44</v>
      </c>
      <c r="O1396" s="393" t="s">
        <v>1155</v>
      </c>
      <c r="P1396" s="393" t="s">
        <v>1155</v>
      </c>
      <c r="Q1396" s="392" t="s">
        <v>1155</v>
      </c>
      <c r="R1396" s="392" t="s">
        <v>3646</v>
      </c>
      <c r="S1396" s="392" t="s">
        <v>650</v>
      </c>
      <c r="T1396" s="394">
        <v>1</v>
      </c>
      <c r="U1396" s="395">
        <v>48.969000000000001</v>
      </c>
      <c r="V1396" s="395"/>
      <c r="W1396" s="453"/>
      <c r="X1396" s="394"/>
      <c r="Y1396" s="394">
        <v>7</v>
      </c>
      <c r="Z1396" s="394">
        <v>20</v>
      </c>
      <c r="AA1396" s="395">
        <v>0</v>
      </c>
      <c r="AB1396" s="452">
        <v>41640</v>
      </c>
      <c r="AC1396" s="398">
        <v>0</v>
      </c>
      <c r="AD1396" s="398">
        <v>342.91716164383564</v>
      </c>
      <c r="AE1396" s="393" t="s">
        <v>96</v>
      </c>
      <c r="AF1396" s="417"/>
      <c r="AG1396" s="417"/>
      <c r="AH1396" s="417"/>
      <c r="AI1396" s="394"/>
      <c r="AJ1396" s="453"/>
      <c r="AK1396" s="453"/>
      <c r="AL1396" s="393"/>
      <c r="AM1396" s="393"/>
      <c r="AN1396" s="417"/>
      <c r="AO1396" s="392"/>
      <c r="AP1396" s="392" t="s">
        <v>7088</v>
      </c>
      <c r="AQ1396" s="392"/>
      <c r="AR1396" s="392" t="s">
        <v>55</v>
      </c>
      <c r="AS1396" s="479">
        <v>41073</v>
      </c>
      <c r="AT1396" s="453"/>
      <c r="AU1396" s="453"/>
      <c r="AV1396" s="453"/>
      <c r="AW1396" s="453"/>
      <c r="AX1396" s="453"/>
      <c r="AY1396" s="453"/>
      <c r="AZ1396" s="452">
        <v>41354</v>
      </c>
      <c r="BA1396" s="393"/>
      <c r="BB1396" s="393"/>
      <c r="BC1396" s="393" t="b">
        <v>0</v>
      </c>
      <c r="BD1396" s="393"/>
      <c r="BE1396" s="392"/>
      <c r="BF1396" s="394">
        <v>5</v>
      </c>
      <c r="BG1396" s="394">
        <v>8</v>
      </c>
      <c r="BH1396" s="394">
        <v>10</v>
      </c>
      <c r="BI1396" s="394">
        <v>9</v>
      </c>
      <c r="BJ1396" s="394">
        <v>11</v>
      </c>
      <c r="BK1396" s="394"/>
      <c r="BL1396" s="444" t="s">
        <v>1451</v>
      </c>
      <c r="BM1396" s="392" t="s">
        <v>3647</v>
      </c>
      <c r="BN1396" s="393" t="s">
        <v>3288</v>
      </c>
      <c r="BO1396" s="393"/>
      <c r="BP1396" s="399"/>
      <c r="BQ1396" s="400"/>
      <c r="BR1396" s="401"/>
      <c r="BS1396" s="399">
        <v>30</v>
      </c>
      <c r="BT1396" s="394">
        <v>89631</v>
      </c>
      <c r="BU1396" s="417">
        <v>0.57509999999999994</v>
      </c>
      <c r="BV1396" s="399"/>
      <c r="BW1396" s="393" t="s">
        <v>3117</v>
      </c>
      <c r="BX1396" s="392" t="s">
        <v>1447</v>
      </c>
      <c r="BY1396" s="393"/>
      <c r="BZ1396" s="393"/>
      <c r="CA1396" s="441" t="s">
        <v>1662</v>
      </c>
      <c r="CB1396" s="400">
        <v>3</v>
      </c>
      <c r="CC1396" s="398"/>
      <c r="CD1396" s="398"/>
      <c r="CE1396" s="398"/>
      <c r="CF1396" s="398"/>
      <c r="CG1396" s="398"/>
      <c r="CH1396" s="398"/>
      <c r="CI1396" s="398"/>
      <c r="CJ1396" s="398">
        <v>48.969000000000001</v>
      </c>
      <c r="CK1396" s="398">
        <v>48.969000000000001</v>
      </c>
      <c r="CL1396" s="398">
        <v>48.969000000000001</v>
      </c>
      <c r="CM1396" s="398">
        <v>48.969000000000001</v>
      </c>
      <c r="CN1396" s="398">
        <v>48.969000000000001</v>
      </c>
      <c r="CO1396" s="398">
        <v>48.969000000000001</v>
      </c>
      <c r="CP1396" s="398">
        <v>48.969000000000001</v>
      </c>
      <c r="CQ1396" s="398"/>
      <c r="CR1396" s="398"/>
      <c r="CS1396" s="398"/>
      <c r="CT1396" s="398"/>
      <c r="CU1396" s="398"/>
      <c r="CV1396" s="398"/>
      <c r="CW1396" s="398"/>
      <c r="CX1396" s="398"/>
      <c r="CY1396" s="398"/>
      <c r="CZ1396" s="398"/>
      <c r="DA1396" s="398"/>
      <c r="DB1396" s="398"/>
      <c r="DC1396" s="398"/>
      <c r="DD1396" s="398"/>
      <c r="DE1396" s="393"/>
      <c r="DF1396" s="393"/>
      <c r="DG1396" s="393"/>
      <c r="DH1396" s="393"/>
      <c r="DI1396" s="393"/>
      <c r="DJ1396" s="393"/>
      <c r="DK1396" s="897"/>
    </row>
    <row r="1397" spans="1:115" ht="63.75" x14ac:dyDescent="0.2">
      <c r="A1397" s="295">
        <v>1393</v>
      </c>
      <c r="B1397" s="390" t="s">
        <v>2270</v>
      </c>
      <c r="C1397" s="424" t="s">
        <v>7765</v>
      </c>
      <c r="D1397" s="391" t="s">
        <v>5217</v>
      </c>
      <c r="E1397" s="704" t="s">
        <v>2398</v>
      </c>
      <c r="F1397" s="393" t="s">
        <v>1352</v>
      </c>
      <c r="G1397" s="393" t="s">
        <v>1673</v>
      </c>
      <c r="H1397" s="393" t="s">
        <v>42</v>
      </c>
      <c r="I1397" s="392"/>
      <c r="J1397" s="392" t="s">
        <v>42</v>
      </c>
      <c r="K1397" s="392"/>
      <c r="L1397" s="392" t="s">
        <v>2360</v>
      </c>
      <c r="M1397" s="392" t="s">
        <v>3648</v>
      </c>
      <c r="N1397" s="393" t="s">
        <v>44</v>
      </c>
      <c r="O1397" s="393" t="s">
        <v>1155</v>
      </c>
      <c r="P1397" s="393" t="s">
        <v>1155</v>
      </c>
      <c r="Q1397" s="392" t="s">
        <v>1155</v>
      </c>
      <c r="R1397" s="392"/>
      <c r="S1397" s="392" t="s">
        <v>291</v>
      </c>
      <c r="T1397" s="394">
        <v>4</v>
      </c>
      <c r="U1397" s="395">
        <v>83.451000000000008</v>
      </c>
      <c r="V1397" s="395"/>
      <c r="W1397" s="452">
        <v>41072</v>
      </c>
      <c r="X1397" s="394">
        <v>20</v>
      </c>
      <c r="Y1397" s="394"/>
      <c r="Z1397" s="394"/>
      <c r="AA1397" s="395"/>
      <c r="AB1397" s="453"/>
      <c r="AC1397" s="398">
        <v>0.218</v>
      </c>
      <c r="AD1397" s="398">
        <v>736.7322739726028</v>
      </c>
      <c r="AE1397" s="393" t="s">
        <v>96</v>
      </c>
      <c r="AF1397" s="417"/>
      <c r="AG1397" s="417"/>
      <c r="AH1397" s="417">
        <v>0</v>
      </c>
      <c r="AI1397" s="394"/>
      <c r="AJ1397" s="453"/>
      <c r="AK1397" s="453"/>
      <c r="AL1397" s="393"/>
      <c r="AM1397" s="393"/>
      <c r="AN1397" s="417"/>
      <c r="AO1397" s="392"/>
      <c r="AP1397" s="392" t="s">
        <v>55</v>
      </c>
      <c r="AQ1397" s="392"/>
      <c r="AR1397" s="392" t="s">
        <v>55</v>
      </c>
      <c r="AS1397" s="479">
        <v>41073</v>
      </c>
      <c r="AT1397" s="453"/>
      <c r="AU1397" s="453"/>
      <c r="AV1397" s="452">
        <v>41264</v>
      </c>
      <c r="AW1397" s="452">
        <v>41270</v>
      </c>
      <c r="AX1397" s="452">
        <v>41437</v>
      </c>
      <c r="AY1397" s="452">
        <v>41271</v>
      </c>
      <c r="AZ1397" s="453"/>
      <c r="BA1397" s="393"/>
      <c r="BB1397" s="393" t="s">
        <v>3116</v>
      </c>
      <c r="BC1397" s="393" t="b">
        <v>0</v>
      </c>
      <c r="BD1397" s="393" t="s">
        <v>3116</v>
      </c>
      <c r="BE1397" s="392"/>
      <c r="BF1397" s="394">
        <v>1</v>
      </c>
      <c r="BG1397" s="394">
        <v>3</v>
      </c>
      <c r="BH1397" s="394">
        <v>5</v>
      </c>
      <c r="BI1397" s="394">
        <v>9</v>
      </c>
      <c r="BJ1397" s="394"/>
      <c r="BK1397" s="394"/>
      <c r="BL1397" s="444"/>
      <c r="BM1397" s="392"/>
      <c r="BN1397" s="393"/>
      <c r="BO1397" s="393"/>
      <c r="BP1397" s="399"/>
      <c r="BQ1397" s="400"/>
      <c r="BR1397" s="401"/>
      <c r="BS1397" s="399">
        <v>46.2</v>
      </c>
      <c r="BT1397" s="394"/>
      <c r="BU1397" s="417"/>
      <c r="BV1397" s="399"/>
      <c r="BW1397" s="393"/>
      <c r="BX1397" s="392"/>
      <c r="BY1397" s="393"/>
      <c r="BZ1397" s="393"/>
      <c r="CA1397" s="441"/>
      <c r="CB1397" s="400"/>
      <c r="CC1397" s="398"/>
      <c r="CD1397" s="398"/>
      <c r="CE1397" s="398"/>
      <c r="CF1397" s="398"/>
      <c r="CG1397" s="398"/>
      <c r="CH1397" s="398"/>
      <c r="CI1397" s="398"/>
      <c r="CJ1397" s="398"/>
      <c r="CK1397" s="398"/>
      <c r="CL1397" s="398"/>
      <c r="CM1397" s="398"/>
      <c r="CN1397" s="398"/>
      <c r="CO1397" s="398"/>
      <c r="CP1397" s="398"/>
      <c r="CQ1397" s="398"/>
      <c r="CR1397" s="398"/>
      <c r="CS1397" s="398"/>
      <c r="CT1397" s="398"/>
      <c r="CU1397" s="398"/>
      <c r="CV1397" s="398"/>
      <c r="CW1397" s="398"/>
      <c r="CX1397" s="398"/>
      <c r="CY1397" s="398"/>
      <c r="CZ1397" s="398"/>
      <c r="DA1397" s="398"/>
      <c r="DB1397" s="398"/>
      <c r="DC1397" s="398"/>
      <c r="DD1397" s="398"/>
      <c r="DE1397" s="393"/>
      <c r="DF1397" s="393"/>
      <c r="DG1397" s="393"/>
      <c r="DH1397" s="393"/>
      <c r="DI1397" s="393"/>
      <c r="DJ1397" s="393"/>
      <c r="DK1397" s="896" t="s">
        <v>9701</v>
      </c>
    </row>
    <row r="1398" spans="1:115" ht="25.5" x14ac:dyDescent="0.2">
      <c r="A1398" s="295">
        <v>1394</v>
      </c>
      <c r="B1398" s="390" t="s">
        <v>2937</v>
      </c>
      <c r="C1398" s="390"/>
      <c r="D1398" s="391" t="s">
        <v>5218</v>
      </c>
      <c r="E1398" s="704" t="s">
        <v>2358</v>
      </c>
      <c r="F1398" s="393" t="s">
        <v>1352</v>
      </c>
      <c r="G1398" s="393" t="s">
        <v>1673</v>
      </c>
      <c r="H1398" s="393" t="s">
        <v>42</v>
      </c>
      <c r="I1398" s="392"/>
      <c r="J1398" s="392"/>
      <c r="K1398" s="392" t="s">
        <v>2359</v>
      </c>
      <c r="L1398" s="392" t="s">
        <v>2360</v>
      </c>
      <c r="M1398" s="392"/>
      <c r="N1398" s="393" t="s">
        <v>44</v>
      </c>
      <c r="O1398" s="393" t="s">
        <v>1155</v>
      </c>
      <c r="P1398" s="393" t="s">
        <v>1155</v>
      </c>
      <c r="Q1398" s="392" t="s">
        <v>1155</v>
      </c>
      <c r="R1398" s="392" t="s">
        <v>3649</v>
      </c>
      <c r="S1398" s="392" t="s">
        <v>291</v>
      </c>
      <c r="T1398" s="394">
        <v>1</v>
      </c>
      <c r="U1398" s="395">
        <v>19.879000000000001</v>
      </c>
      <c r="V1398" s="395"/>
      <c r="W1398" s="453"/>
      <c r="X1398" s="394"/>
      <c r="Y1398" s="394">
        <v>10</v>
      </c>
      <c r="Z1398" s="394">
        <v>10</v>
      </c>
      <c r="AA1398" s="395">
        <v>0</v>
      </c>
      <c r="AB1398" s="452">
        <v>41271</v>
      </c>
      <c r="AC1398" s="398">
        <v>0.218</v>
      </c>
      <c r="AD1398" s="398">
        <v>198.79000000000002</v>
      </c>
      <c r="AE1398" s="393" t="s">
        <v>96</v>
      </c>
      <c r="AF1398" s="417"/>
      <c r="AG1398" s="417"/>
      <c r="AH1398" s="417"/>
      <c r="AI1398" s="394"/>
      <c r="AJ1398" s="453"/>
      <c r="AK1398" s="453"/>
      <c r="AL1398" s="393"/>
      <c r="AM1398" s="393"/>
      <c r="AN1398" s="417"/>
      <c r="AO1398" s="392"/>
      <c r="AP1398" s="392" t="s">
        <v>55</v>
      </c>
      <c r="AQ1398" s="392"/>
      <c r="AR1398" s="392" t="s">
        <v>55</v>
      </c>
      <c r="AS1398" s="479">
        <v>41073</v>
      </c>
      <c r="AT1398" s="453"/>
      <c r="AU1398" s="453"/>
      <c r="AV1398" s="453"/>
      <c r="AW1398" s="453"/>
      <c r="AX1398" s="453"/>
      <c r="AY1398" s="453"/>
      <c r="AZ1398" s="452">
        <v>41271</v>
      </c>
      <c r="BA1398" s="393"/>
      <c r="BB1398" s="393"/>
      <c r="BC1398" s="393" t="b">
        <v>0</v>
      </c>
      <c r="BD1398" s="393"/>
      <c r="BE1398" s="392"/>
      <c r="BF1398" s="394">
        <v>9</v>
      </c>
      <c r="BG1398" s="394">
        <v>5</v>
      </c>
      <c r="BH1398" s="394">
        <v>4</v>
      </c>
      <c r="BI1398" s="394">
        <v>11</v>
      </c>
      <c r="BJ1398" s="394"/>
      <c r="BK1398" s="394"/>
      <c r="BL1398" s="444" t="s">
        <v>6985</v>
      </c>
      <c r="BM1398" s="392" t="s">
        <v>3650</v>
      </c>
      <c r="BN1398" s="393" t="s">
        <v>42</v>
      </c>
      <c r="BO1398" s="393"/>
      <c r="BP1398" s="399"/>
      <c r="BQ1398" s="400"/>
      <c r="BR1398" s="401"/>
      <c r="BS1398" s="399">
        <v>10</v>
      </c>
      <c r="BT1398" s="394">
        <v>22162</v>
      </c>
      <c r="BU1398" s="417">
        <v>0.95140000000000002</v>
      </c>
      <c r="BV1398" s="399"/>
      <c r="BW1398" s="393" t="s">
        <v>3117</v>
      </c>
      <c r="BX1398" s="392" t="s">
        <v>1447</v>
      </c>
      <c r="BY1398" s="393"/>
      <c r="BZ1398" s="393"/>
      <c r="CA1398" s="441" t="s">
        <v>1662</v>
      </c>
      <c r="CB1398" s="400">
        <v>3</v>
      </c>
      <c r="CC1398" s="398"/>
      <c r="CD1398" s="398"/>
      <c r="CE1398" s="398"/>
      <c r="CF1398" s="398"/>
      <c r="CG1398" s="398"/>
      <c r="CH1398" s="398"/>
      <c r="CI1398" s="398">
        <v>19.879000000000001</v>
      </c>
      <c r="CJ1398" s="398">
        <v>19.879000000000001</v>
      </c>
      <c r="CK1398" s="398">
        <v>19.879000000000001</v>
      </c>
      <c r="CL1398" s="398">
        <v>19.879000000000001</v>
      </c>
      <c r="CM1398" s="398">
        <v>19.879000000000001</v>
      </c>
      <c r="CN1398" s="398">
        <v>19.879000000000001</v>
      </c>
      <c r="CO1398" s="398">
        <v>19.879000000000001</v>
      </c>
      <c r="CP1398" s="398">
        <v>19.879000000000001</v>
      </c>
      <c r="CQ1398" s="398">
        <v>19.879000000000001</v>
      </c>
      <c r="CR1398" s="398">
        <v>19.879000000000001</v>
      </c>
      <c r="CS1398" s="398"/>
      <c r="CT1398" s="398"/>
      <c r="CU1398" s="398"/>
      <c r="CV1398" s="398"/>
      <c r="CW1398" s="398"/>
      <c r="CX1398" s="398"/>
      <c r="CY1398" s="398"/>
      <c r="CZ1398" s="398"/>
      <c r="DA1398" s="398"/>
      <c r="DB1398" s="398"/>
      <c r="DC1398" s="398"/>
      <c r="DD1398" s="398"/>
      <c r="DE1398" s="393"/>
      <c r="DF1398" s="393"/>
      <c r="DG1398" s="393"/>
      <c r="DH1398" s="393"/>
      <c r="DI1398" s="393"/>
      <c r="DJ1398" s="393"/>
      <c r="DK1398" s="897"/>
    </row>
    <row r="1399" spans="1:115" ht="25.5" x14ac:dyDescent="0.2">
      <c r="A1399" s="295">
        <v>1395</v>
      </c>
      <c r="B1399" s="390" t="s">
        <v>6154</v>
      </c>
      <c r="C1399" s="390"/>
      <c r="D1399" s="391" t="s">
        <v>6155</v>
      </c>
      <c r="E1399" s="704" t="s">
        <v>6156</v>
      </c>
      <c r="F1399" s="393" t="s">
        <v>1352</v>
      </c>
      <c r="G1399" s="393" t="s">
        <v>1673</v>
      </c>
      <c r="H1399" s="393" t="s">
        <v>42</v>
      </c>
      <c r="I1399" s="392"/>
      <c r="J1399" s="392"/>
      <c r="K1399" s="392" t="s">
        <v>370</v>
      </c>
      <c r="L1399" s="392" t="s">
        <v>2360</v>
      </c>
      <c r="M1399" s="392"/>
      <c r="N1399" s="393" t="s">
        <v>44</v>
      </c>
      <c r="O1399" s="393" t="s">
        <v>1155</v>
      </c>
      <c r="P1399" s="393" t="s">
        <v>1155</v>
      </c>
      <c r="Q1399" s="392" t="s">
        <v>1155</v>
      </c>
      <c r="R1399" s="392" t="s">
        <v>6157</v>
      </c>
      <c r="S1399" s="392" t="s">
        <v>291</v>
      </c>
      <c r="T1399" s="394">
        <v>1</v>
      </c>
      <c r="U1399" s="395">
        <v>12.750999999999999</v>
      </c>
      <c r="V1399" s="395"/>
      <c r="W1399" s="453"/>
      <c r="X1399" s="394"/>
      <c r="Y1399" s="394">
        <v>10</v>
      </c>
      <c r="Z1399" s="394">
        <v>20</v>
      </c>
      <c r="AA1399" s="395">
        <v>0</v>
      </c>
      <c r="AB1399" s="452">
        <v>41883</v>
      </c>
      <c r="AC1399" s="398">
        <v>0</v>
      </c>
      <c r="AD1399" s="398">
        <v>127.50999999999999</v>
      </c>
      <c r="AE1399" s="393" t="s">
        <v>96</v>
      </c>
      <c r="AF1399" s="417"/>
      <c r="AG1399" s="417"/>
      <c r="AH1399" s="417"/>
      <c r="AI1399" s="394"/>
      <c r="AJ1399" s="453"/>
      <c r="AK1399" s="453"/>
      <c r="AL1399" s="393"/>
      <c r="AM1399" s="393"/>
      <c r="AN1399" s="417"/>
      <c r="AO1399" s="392"/>
      <c r="AP1399" s="392"/>
      <c r="AQ1399" s="392"/>
      <c r="AR1399" s="392" t="s">
        <v>55</v>
      </c>
      <c r="AS1399" s="479">
        <v>41073</v>
      </c>
      <c r="AT1399" s="453"/>
      <c r="AU1399" s="453"/>
      <c r="AV1399" s="453"/>
      <c r="AW1399" s="453"/>
      <c r="AX1399" s="453"/>
      <c r="AY1399" s="453"/>
      <c r="AZ1399" s="452">
        <v>41838</v>
      </c>
      <c r="BA1399" s="393"/>
      <c r="BB1399" s="393"/>
      <c r="BC1399" s="393" t="b">
        <v>0</v>
      </c>
      <c r="BD1399" s="393"/>
      <c r="BE1399" s="392"/>
      <c r="BF1399" s="394">
        <v>9</v>
      </c>
      <c r="BG1399" s="394">
        <v>5</v>
      </c>
      <c r="BH1399" s="394">
        <v>4</v>
      </c>
      <c r="BI1399" s="394">
        <v>11</v>
      </c>
      <c r="BJ1399" s="394"/>
      <c r="BK1399" s="394"/>
      <c r="BL1399" s="444" t="s">
        <v>6985</v>
      </c>
      <c r="BM1399" s="392" t="s">
        <v>6158</v>
      </c>
      <c r="BN1399" s="393" t="s">
        <v>42</v>
      </c>
      <c r="BO1399" s="393"/>
      <c r="BP1399" s="399"/>
      <c r="BQ1399" s="400"/>
      <c r="BR1399" s="401"/>
      <c r="BS1399" s="399">
        <v>7.2</v>
      </c>
      <c r="BT1399" s="394">
        <v>13078</v>
      </c>
      <c r="BU1399" s="417">
        <v>0.97504999999999997</v>
      </c>
      <c r="BV1399" s="399"/>
      <c r="BW1399" s="393" t="s">
        <v>3117</v>
      </c>
      <c r="BX1399" s="392" t="s">
        <v>1447</v>
      </c>
      <c r="BY1399" s="393"/>
      <c r="BZ1399" s="393"/>
      <c r="CA1399" s="441" t="s">
        <v>1662</v>
      </c>
      <c r="CB1399" s="400">
        <v>3</v>
      </c>
      <c r="CC1399" s="398"/>
      <c r="CD1399" s="398"/>
      <c r="CE1399" s="398"/>
      <c r="CF1399" s="398"/>
      <c r="CG1399" s="398"/>
      <c r="CH1399" s="398"/>
      <c r="CI1399" s="398"/>
      <c r="CJ1399" s="398">
        <v>12.750999999999999</v>
      </c>
      <c r="CK1399" s="398">
        <v>12.750999999999999</v>
      </c>
      <c r="CL1399" s="398">
        <v>12.750999999999999</v>
      </c>
      <c r="CM1399" s="398">
        <v>12.750999999999999</v>
      </c>
      <c r="CN1399" s="398">
        <v>12.750999999999999</v>
      </c>
      <c r="CO1399" s="398">
        <v>12.750999999999999</v>
      </c>
      <c r="CP1399" s="398">
        <v>12.750999999999999</v>
      </c>
      <c r="CQ1399" s="398">
        <v>12.750999999999999</v>
      </c>
      <c r="CR1399" s="398">
        <v>12.750999999999999</v>
      </c>
      <c r="CS1399" s="398"/>
      <c r="CT1399" s="398"/>
      <c r="CU1399" s="398"/>
      <c r="CV1399" s="398"/>
      <c r="CW1399" s="398"/>
      <c r="CX1399" s="398"/>
      <c r="CY1399" s="398"/>
      <c r="CZ1399" s="398"/>
      <c r="DA1399" s="398"/>
      <c r="DB1399" s="398"/>
      <c r="DC1399" s="398"/>
      <c r="DD1399" s="398"/>
      <c r="DE1399" s="393"/>
      <c r="DF1399" s="393"/>
      <c r="DG1399" s="393"/>
      <c r="DH1399" s="393"/>
      <c r="DI1399" s="393"/>
      <c r="DJ1399" s="393"/>
      <c r="DK1399" s="897"/>
    </row>
    <row r="1400" spans="1:115" ht="25.5" x14ac:dyDescent="0.2">
      <c r="A1400" s="295">
        <v>1396</v>
      </c>
      <c r="B1400" s="390" t="s">
        <v>6919</v>
      </c>
      <c r="C1400" s="390"/>
      <c r="D1400" s="391" t="s">
        <v>6920</v>
      </c>
      <c r="E1400" s="704" t="s">
        <v>6921</v>
      </c>
      <c r="F1400" s="393" t="s">
        <v>1352</v>
      </c>
      <c r="G1400" s="393" t="s">
        <v>1673</v>
      </c>
      <c r="H1400" s="393" t="s">
        <v>42</v>
      </c>
      <c r="I1400" s="392"/>
      <c r="J1400" s="392"/>
      <c r="K1400" s="392" t="s">
        <v>85</v>
      </c>
      <c r="L1400" s="392" t="s">
        <v>2360</v>
      </c>
      <c r="M1400" s="392"/>
      <c r="N1400" s="393" t="s">
        <v>44</v>
      </c>
      <c r="O1400" s="393" t="s">
        <v>1155</v>
      </c>
      <c r="P1400" s="393" t="s">
        <v>1155</v>
      </c>
      <c r="Q1400" s="392" t="s">
        <v>1155</v>
      </c>
      <c r="R1400" s="392" t="s">
        <v>6922</v>
      </c>
      <c r="S1400" s="392" t="s">
        <v>291</v>
      </c>
      <c r="T1400" s="394">
        <v>1</v>
      </c>
      <c r="U1400" s="395">
        <v>28.654</v>
      </c>
      <c r="V1400" s="395"/>
      <c r="W1400" s="453"/>
      <c r="X1400" s="394"/>
      <c r="Y1400" s="394">
        <v>10</v>
      </c>
      <c r="Z1400" s="394">
        <v>20</v>
      </c>
      <c r="AA1400" s="395">
        <v>0</v>
      </c>
      <c r="AB1400" s="452">
        <v>42064</v>
      </c>
      <c r="AC1400" s="398"/>
      <c r="AD1400" s="398">
        <v>286.54000000000002</v>
      </c>
      <c r="AE1400" s="393" t="s">
        <v>96</v>
      </c>
      <c r="AF1400" s="417"/>
      <c r="AG1400" s="417"/>
      <c r="AH1400" s="417"/>
      <c r="AI1400" s="394"/>
      <c r="AJ1400" s="453"/>
      <c r="AK1400" s="453"/>
      <c r="AL1400" s="393"/>
      <c r="AM1400" s="393"/>
      <c r="AN1400" s="417"/>
      <c r="AO1400" s="392"/>
      <c r="AP1400" s="392"/>
      <c r="AQ1400" s="392"/>
      <c r="AR1400" s="392" t="s">
        <v>55</v>
      </c>
      <c r="AS1400" s="479">
        <v>41073</v>
      </c>
      <c r="AT1400" s="453"/>
      <c r="AU1400" s="453"/>
      <c r="AV1400" s="453"/>
      <c r="AW1400" s="453"/>
      <c r="AX1400" s="453"/>
      <c r="AY1400" s="453"/>
      <c r="AZ1400" s="452">
        <v>42061</v>
      </c>
      <c r="BA1400" s="393"/>
      <c r="BB1400" s="393"/>
      <c r="BC1400" s="393" t="b">
        <v>0</v>
      </c>
      <c r="BD1400" s="393"/>
      <c r="BE1400" s="392"/>
      <c r="BF1400" s="394">
        <v>9</v>
      </c>
      <c r="BG1400" s="394">
        <v>5</v>
      </c>
      <c r="BH1400" s="394">
        <v>4</v>
      </c>
      <c r="BI1400" s="394">
        <v>11</v>
      </c>
      <c r="BJ1400" s="394"/>
      <c r="BK1400" s="394"/>
      <c r="BL1400" s="444" t="s">
        <v>6985</v>
      </c>
      <c r="BM1400" s="392" t="s">
        <v>6923</v>
      </c>
      <c r="BN1400" s="393" t="s">
        <v>42</v>
      </c>
      <c r="BO1400" s="393"/>
      <c r="BP1400" s="399"/>
      <c r="BQ1400" s="400"/>
      <c r="BR1400" s="401"/>
      <c r="BS1400" s="399">
        <v>15</v>
      </c>
      <c r="BT1400" s="394">
        <v>29634</v>
      </c>
      <c r="BU1400" s="417">
        <v>0.97504999999999997</v>
      </c>
      <c r="BV1400" s="399"/>
      <c r="BW1400" s="393" t="s">
        <v>3117</v>
      </c>
      <c r="BX1400" s="392" t="s">
        <v>1447</v>
      </c>
      <c r="BY1400" s="393"/>
      <c r="BZ1400" s="393"/>
      <c r="CA1400" s="441" t="s">
        <v>1662</v>
      </c>
      <c r="CB1400" s="400">
        <v>3</v>
      </c>
      <c r="CC1400" s="398"/>
      <c r="CD1400" s="398"/>
      <c r="CE1400" s="398"/>
      <c r="CF1400" s="398"/>
      <c r="CG1400" s="398"/>
      <c r="CH1400" s="398"/>
      <c r="CI1400" s="398"/>
      <c r="CJ1400" s="398"/>
      <c r="CK1400" s="398">
        <v>28.654</v>
      </c>
      <c r="CL1400" s="398">
        <v>28.654</v>
      </c>
      <c r="CM1400" s="398">
        <v>28.654</v>
      </c>
      <c r="CN1400" s="398">
        <v>28.654</v>
      </c>
      <c r="CO1400" s="398">
        <v>28.654</v>
      </c>
      <c r="CP1400" s="398">
        <v>28.654</v>
      </c>
      <c r="CQ1400" s="398">
        <v>28.654</v>
      </c>
      <c r="CR1400" s="398">
        <v>28.654</v>
      </c>
      <c r="CS1400" s="398">
        <v>28.654</v>
      </c>
      <c r="CT1400" s="398">
        <v>28.654</v>
      </c>
      <c r="CU1400" s="398"/>
      <c r="CV1400" s="398"/>
      <c r="CW1400" s="398"/>
      <c r="CX1400" s="398"/>
      <c r="CY1400" s="398"/>
      <c r="CZ1400" s="398"/>
      <c r="DA1400" s="398"/>
      <c r="DB1400" s="398"/>
      <c r="DC1400" s="398"/>
      <c r="DD1400" s="398"/>
      <c r="DE1400" s="393"/>
      <c r="DF1400" s="393"/>
      <c r="DG1400" s="393"/>
      <c r="DH1400" s="393"/>
      <c r="DI1400" s="393"/>
      <c r="DJ1400" s="393"/>
      <c r="DK1400" s="897"/>
    </row>
    <row r="1401" spans="1:115" ht="25.5" x14ac:dyDescent="0.2">
      <c r="A1401" s="295">
        <v>1397</v>
      </c>
      <c r="B1401" s="390" t="s">
        <v>7124</v>
      </c>
      <c r="C1401" s="390"/>
      <c r="D1401" s="391" t="s">
        <v>7125</v>
      </c>
      <c r="E1401" s="704" t="s">
        <v>7126</v>
      </c>
      <c r="F1401" s="393" t="s">
        <v>1352</v>
      </c>
      <c r="G1401" s="393" t="s">
        <v>1673</v>
      </c>
      <c r="H1401" s="393" t="s">
        <v>42</v>
      </c>
      <c r="I1401" s="392"/>
      <c r="J1401" s="392"/>
      <c r="K1401" s="392" t="s">
        <v>85</v>
      </c>
      <c r="L1401" s="392" t="s">
        <v>2360</v>
      </c>
      <c r="M1401" s="392"/>
      <c r="N1401" s="393" t="s">
        <v>44</v>
      </c>
      <c r="O1401" s="393" t="s">
        <v>1155</v>
      </c>
      <c r="P1401" s="393" t="s">
        <v>1155</v>
      </c>
      <c r="Q1401" s="392" t="s">
        <v>1155</v>
      </c>
      <c r="R1401" s="392" t="s">
        <v>7127</v>
      </c>
      <c r="S1401" s="392" t="s">
        <v>291</v>
      </c>
      <c r="T1401" s="394">
        <v>1</v>
      </c>
      <c r="U1401" s="395">
        <v>22.167000000000002</v>
      </c>
      <c r="V1401" s="395"/>
      <c r="W1401" s="453"/>
      <c r="X1401" s="394"/>
      <c r="Y1401" s="394">
        <v>7</v>
      </c>
      <c r="Z1401" s="394">
        <v>20</v>
      </c>
      <c r="AA1401" s="395">
        <v>0</v>
      </c>
      <c r="AB1401" s="452">
        <v>42156</v>
      </c>
      <c r="AC1401" s="398"/>
      <c r="AD1401" s="398">
        <v>123.89227397260274</v>
      </c>
      <c r="AE1401" s="393" t="s">
        <v>96</v>
      </c>
      <c r="AF1401" s="417"/>
      <c r="AG1401" s="417"/>
      <c r="AH1401" s="417"/>
      <c r="AI1401" s="394"/>
      <c r="AJ1401" s="453"/>
      <c r="AK1401" s="453"/>
      <c r="AL1401" s="393"/>
      <c r="AM1401" s="393"/>
      <c r="AN1401" s="417"/>
      <c r="AO1401" s="392"/>
      <c r="AP1401" s="392"/>
      <c r="AQ1401" s="392"/>
      <c r="AR1401" s="392" t="s">
        <v>7128</v>
      </c>
      <c r="AS1401" s="479">
        <v>41073</v>
      </c>
      <c r="AT1401" s="453"/>
      <c r="AU1401" s="453"/>
      <c r="AV1401" s="453"/>
      <c r="AW1401" s="453"/>
      <c r="AX1401" s="453"/>
      <c r="AY1401" s="453"/>
      <c r="AZ1401" s="452">
        <v>42132</v>
      </c>
      <c r="BA1401" s="393"/>
      <c r="BB1401" s="393"/>
      <c r="BC1401" s="393" t="b">
        <v>0</v>
      </c>
      <c r="BD1401" s="393"/>
      <c r="BE1401" s="392"/>
      <c r="BF1401" s="394">
        <v>9</v>
      </c>
      <c r="BG1401" s="394">
        <v>5</v>
      </c>
      <c r="BH1401" s="394">
        <v>4</v>
      </c>
      <c r="BI1401" s="394">
        <v>11</v>
      </c>
      <c r="BJ1401" s="394"/>
      <c r="BK1401" s="394"/>
      <c r="BL1401" s="444" t="s">
        <v>6985</v>
      </c>
      <c r="BM1401" s="392" t="s">
        <v>7129</v>
      </c>
      <c r="BN1401" s="393" t="s">
        <v>42</v>
      </c>
      <c r="BO1401" s="393"/>
      <c r="BP1401" s="399"/>
      <c r="BQ1401" s="400"/>
      <c r="BR1401" s="401"/>
      <c r="BS1401" s="399">
        <v>14</v>
      </c>
      <c r="BT1401" s="394">
        <v>22688</v>
      </c>
      <c r="BU1401" s="417">
        <v>0.97704000000000002</v>
      </c>
      <c r="BV1401" s="399"/>
      <c r="BW1401" s="393" t="s">
        <v>3117</v>
      </c>
      <c r="BX1401" s="392" t="s">
        <v>1447</v>
      </c>
      <c r="BY1401" s="393"/>
      <c r="BZ1401" s="393"/>
      <c r="CA1401" s="441" t="s">
        <v>1662</v>
      </c>
      <c r="CB1401" s="400">
        <v>3</v>
      </c>
      <c r="CC1401" s="398"/>
      <c r="CD1401" s="398"/>
      <c r="CE1401" s="398"/>
      <c r="CF1401" s="398"/>
      <c r="CG1401" s="398"/>
      <c r="CH1401" s="398"/>
      <c r="CI1401" s="398"/>
      <c r="CJ1401" s="398"/>
      <c r="CK1401" s="398">
        <v>22167</v>
      </c>
      <c r="CL1401" s="398">
        <v>22167</v>
      </c>
      <c r="CM1401" s="398">
        <v>22167</v>
      </c>
      <c r="CN1401" s="398">
        <v>22167</v>
      </c>
      <c r="CO1401" s="398">
        <v>22167</v>
      </c>
      <c r="CP1401" s="398">
        <v>22167</v>
      </c>
      <c r="CQ1401" s="398">
        <v>22167</v>
      </c>
      <c r="CR1401" s="398"/>
      <c r="CS1401" s="398"/>
      <c r="CT1401" s="398"/>
      <c r="CU1401" s="398"/>
      <c r="CV1401" s="398"/>
      <c r="CW1401" s="398"/>
      <c r="CX1401" s="398"/>
      <c r="CY1401" s="398"/>
      <c r="CZ1401" s="398"/>
      <c r="DA1401" s="398"/>
      <c r="DB1401" s="398"/>
      <c r="DC1401" s="398"/>
      <c r="DD1401" s="398"/>
      <c r="DE1401" s="393"/>
      <c r="DF1401" s="393"/>
      <c r="DG1401" s="393"/>
      <c r="DH1401" s="393"/>
      <c r="DI1401" s="393"/>
      <c r="DJ1401" s="393"/>
      <c r="DK1401" s="897"/>
    </row>
    <row r="1402" spans="1:115" ht="89.25" x14ac:dyDescent="0.2">
      <c r="A1402" s="295">
        <v>1398</v>
      </c>
      <c r="B1402" s="390" t="s">
        <v>2271</v>
      </c>
      <c r="C1402" s="424" t="s">
        <v>7766</v>
      </c>
      <c r="D1402" s="391" t="s">
        <v>5219</v>
      </c>
      <c r="E1402" s="704" t="s">
        <v>4633</v>
      </c>
      <c r="F1402" s="393" t="s">
        <v>1352</v>
      </c>
      <c r="G1402" s="393" t="s">
        <v>1671</v>
      </c>
      <c r="H1402" s="393" t="s">
        <v>117</v>
      </c>
      <c r="I1402" s="392"/>
      <c r="J1402" s="392" t="s">
        <v>2399</v>
      </c>
      <c r="K1402" s="392"/>
      <c r="L1402" s="392" t="s">
        <v>2361</v>
      </c>
      <c r="M1402" s="392" t="s">
        <v>3651</v>
      </c>
      <c r="N1402" s="393" t="s">
        <v>44</v>
      </c>
      <c r="O1402" s="393" t="s">
        <v>69</v>
      </c>
      <c r="P1402" s="393" t="s">
        <v>69</v>
      </c>
      <c r="Q1402" s="392" t="s">
        <v>572</v>
      </c>
      <c r="R1402" s="392"/>
      <c r="S1402" s="392" t="s">
        <v>2362</v>
      </c>
      <c r="T1402" s="394">
        <v>1</v>
      </c>
      <c r="U1402" s="395">
        <v>3.8820000000000001</v>
      </c>
      <c r="V1402" s="395"/>
      <c r="W1402" s="452">
        <v>41265</v>
      </c>
      <c r="X1402" s="394">
        <v>28</v>
      </c>
      <c r="Y1402" s="394"/>
      <c r="Z1402" s="394"/>
      <c r="AA1402" s="395"/>
      <c r="AB1402" s="453"/>
      <c r="AC1402" s="398">
        <v>0</v>
      </c>
      <c r="AD1402" s="398">
        <v>38.82</v>
      </c>
      <c r="AE1402" s="393" t="s">
        <v>47</v>
      </c>
      <c r="AF1402" s="417"/>
      <c r="AG1402" s="417"/>
      <c r="AH1402" s="417">
        <v>0</v>
      </c>
      <c r="AI1402" s="394"/>
      <c r="AJ1402" s="453"/>
      <c r="AK1402" s="453"/>
      <c r="AL1402" s="393"/>
      <c r="AM1402" s="393"/>
      <c r="AN1402" s="417"/>
      <c r="AO1402" s="392"/>
      <c r="AP1402" s="392" t="s">
        <v>55</v>
      </c>
      <c r="AQ1402" s="392"/>
      <c r="AR1402" s="392" t="s">
        <v>55</v>
      </c>
      <c r="AS1402" s="479">
        <v>41074</v>
      </c>
      <c r="AT1402" s="453"/>
      <c r="AU1402" s="453"/>
      <c r="AV1402" s="452">
        <v>41214</v>
      </c>
      <c r="AW1402" s="452">
        <v>41265</v>
      </c>
      <c r="AX1402" s="453"/>
      <c r="AY1402" s="452">
        <v>41265</v>
      </c>
      <c r="AZ1402" s="453"/>
      <c r="BA1402" s="393"/>
      <c r="BB1402" s="393" t="s">
        <v>3147</v>
      </c>
      <c r="BC1402" s="393" t="b">
        <v>1</v>
      </c>
      <c r="BD1402" s="393" t="s">
        <v>3116</v>
      </c>
      <c r="BE1402" s="392"/>
      <c r="BF1402" s="394">
        <v>1</v>
      </c>
      <c r="BG1402" s="394">
        <v>3</v>
      </c>
      <c r="BH1402" s="394">
        <v>6</v>
      </c>
      <c r="BI1402" s="394">
        <v>5</v>
      </c>
      <c r="BJ1402" s="394">
        <v>8</v>
      </c>
      <c r="BK1402" s="394"/>
      <c r="BL1402" s="444"/>
      <c r="BM1402" s="392"/>
      <c r="BN1402" s="393"/>
      <c r="BO1402" s="393"/>
      <c r="BP1402" s="399"/>
      <c r="BQ1402" s="400"/>
      <c r="BR1402" s="401"/>
      <c r="BS1402" s="399">
        <v>0.06</v>
      </c>
      <c r="BT1402" s="394"/>
      <c r="BU1402" s="417"/>
      <c r="BV1402" s="399"/>
      <c r="BW1402" s="393"/>
      <c r="BX1402" s="392"/>
      <c r="BY1402" s="475" t="s">
        <v>7224</v>
      </c>
      <c r="BZ1402" s="393"/>
      <c r="CA1402" s="441"/>
      <c r="CB1402" s="400"/>
      <c r="CC1402" s="398"/>
      <c r="CD1402" s="398"/>
      <c r="CE1402" s="398"/>
      <c r="CF1402" s="398"/>
      <c r="CG1402" s="398"/>
      <c r="CH1402" s="398"/>
      <c r="CI1402" s="398"/>
      <c r="CJ1402" s="398"/>
      <c r="CK1402" s="398"/>
      <c r="CL1402" s="398"/>
      <c r="CM1402" s="398"/>
      <c r="CN1402" s="398"/>
      <c r="CO1402" s="398"/>
      <c r="CP1402" s="398"/>
      <c r="CQ1402" s="398"/>
      <c r="CR1402" s="398"/>
      <c r="CS1402" s="398"/>
      <c r="CT1402" s="398"/>
      <c r="CU1402" s="398"/>
      <c r="CV1402" s="398"/>
      <c r="CW1402" s="398"/>
      <c r="CX1402" s="398"/>
      <c r="CY1402" s="398"/>
      <c r="CZ1402" s="398"/>
      <c r="DA1402" s="398"/>
      <c r="DB1402" s="398"/>
      <c r="DC1402" s="398"/>
      <c r="DD1402" s="398"/>
      <c r="DE1402" s="393"/>
      <c r="DF1402" s="393"/>
      <c r="DG1402" s="393"/>
      <c r="DH1402" s="393"/>
      <c r="DI1402" s="393"/>
      <c r="DJ1402" s="393"/>
      <c r="DK1402" s="896" t="s">
        <v>9722</v>
      </c>
    </row>
    <row r="1403" spans="1:115" ht="38.25" x14ac:dyDescent="0.2">
      <c r="A1403" s="295">
        <v>1399</v>
      </c>
      <c r="B1403" s="390" t="s">
        <v>2938</v>
      </c>
      <c r="C1403" s="390"/>
      <c r="D1403" s="391" t="s">
        <v>4634</v>
      </c>
      <c r="E1403" s="704" t="s">
        <v>4635</v>
      </c>
      <c r="F1403" s="393" t="s">
        <v>1352</v>
      </c>
      <c r="G1403" s="393" t="s">
        <v>1671</v>
      </c>
      <c r="H1403" s="393" t="s">
        <v>117</v>
      </c>
      <c r="I1403" s="392"/>
      <c r="J1403" s="392"/>
      <c r="K1403" s="392" t="s">
        <v>444</v>
      </c>
      <c r="L1403" s="392" t="s">
        <v>2361</v>
      </c>
      <c r="M1403" s="392"/>
      <c r="N1403" s="393" t="s">
        <v>44</v>
      </c>
      <c r="O1403" s="393" t="s">
        <v>69</v>
      </c>
      <c r="P1403" s="393" t="s">
        <v>69</v>
      </c>
      <c r="Q1403" s="392" t="s">
        <v>572</v>
      </c>
      <c r="R1403" s="392" t="s">
        <v>3652</v>
      </c>
      <c r="S1403" s="392" t="s">
        <v>2362</v>
      </c>
      <c r="T1403" s="394">
        <v>1</v>
      </c>
      <c r="U1403" s="395">
        <v>3.8820000000000001</v>
      </c>
      <c r="V1403" s="395"/>
      <c r="W1403" s="453"/>
      <c r="X1403" s="394"/>
      <c r="Y1403" s="394">
        <v>10</v>
      </c>
      <c r="Z1403" s="394">
        <v>15</v>
      </c>
      <c r="AA1403" s="395">
        <v>0</v>
      </c>
      <c r="AB1403" s="452">
        <v>41306</v>
      </c>
      <c r="AC1403" s="398">
        <v>0</v>
      </c>
      <c r="AD1403" s="398">
        <v>38.82</v>
      </c>
      <c r="AE1403" s="393" t="s">
        <v>47</v>
      </c>
      <c r="AF1403" s="417"/>
      <c r="AG1403" s="417"/>
      <c r="AH1403" s="417"/>
      <c r="AI1403" s="394"/>
      <c r="AJ1403" s="453"/>
      <c r="AK1403" s="453"/>
      <c r="AL1403" s="393"/>
      <c r="AM1403" s="393"/>
      <c r="AN1403" s="417"/>
      <c r="AO1403" s="392"/>
      <c r="AP1403" s="392" t="s">
        <v>55</v>
      </c>
      <c r="AQ1403" s="392"/>
      <c r="AR1403" s="392" t="s">
        <v>55</v>
      </c>
      <c r="AS1403" s="479">
        <v>41074</v>
      </c>
      <c r="AT1403" s="453"/>
      <c r="AU1403" s="453"/>
      <c r="AV1403" s="453"/>
      <c r="AW1403" s="453"/>
      <c r="AX1403" s="453"/>
      <c r="AY1403" s="453"/>
      <c r="AZ1403" s="452">
        <v>41265</v>
      </c>
      <c r="BA1403" s="393"/>
      <c r="BB1403" s="393"/>
      <c r="BC1403" s="393" t="b">
        <v>0</v>
      </c>
      <c r="BD1403" s="393"/>
      <c r="BE1403" s="392"/>
      <c r="BF1403" s="394">
        <v>1</v>
      </c>
      <c r="BG1403" s="394">
        <v>3</v>
      </c>
      <c r="BH1403" s="394">
        <v>6</v>
      </c>
      <c r="BI1403" s="394">
        <v>5</v>
      </c>
      <c r="BJ1403" s="394">
        <v>8</v>
      </c>
      <c r="BK1403" s="394"/>
      <c r="BL1403" s="444" t="s">
        <v>6981</v>
      </c>
      <c r="BM1403" s="392"/>
      <c r="BN1403" s="393"/>
      <c r="BO1403" s="393"/>
      <c r="BP1403" s="399"/>
      <c r="BQ1403" s="400"/>
      <c r="BR1403" s="401"/>
      <c r="BS1403" s="399">
        <v>0.06</v>
      </c>
      <c r="BT1403" s="394">
        <v>213</v>
      </c>
      <c r="BU1403" s="417">
        <v>0.8367</v>
      </c>
      <c r="BV1403" s="399"/>
      <c r="BW1403" s="393" t="s">
        <v>3117</v>
      </c>
      <c r="BX1403" s="392" t="s">
        <v>1447</v>
      </c>
      <c r="BY1403" s="475" t="s">
        <v>7224</v>
      </c>
      <c r="BZ1403" s="393"/>
      <c r="CA1403" s="441" t="s">
        <v>1662</v>
      </c>
      <c r="CB1403" s="400">
        <v>3</v>
      </c>
      <c r="CC1403" s="398"/>
      <c r="CD1403" s="398"/>
      <c r="CE1403" s="398"/>
      <c r="CF1403" s="398"/>
      <c r="CG1403" s="398"/>
      <c r="CH1403" s="398">
        <v>0.68200000000000005</v>
      </c>
      <c r="CI1403" s="398">
        <v>4.09</v>
      </c>
      <c r="CJ1403" s="398">
        <v>4.09</v>
      </c>
      <c r="CK1403" s="398">
        <v>4.09</v>
      </c>
      <c r="CL1403" s="398">
        <v>4.09</v>
      </c>
      <c r="CM1403" s="398">
        <v>4.09</v>
      </c>
      <c r="CN1403" s="398">
        <v>4.09</v>
      </c>
      <c r="CO1403" s="398">
        <v>4.09</v>
      </c>
      <c r="CP1403" s="398">
        <v>4.09</v>
      </c>
      <c r="CQ1403" s="398">
        <v>4.09</v>
      </c>
      <c r="CR1403" s="398">
        <v>3.4079999999999999</v>
      </c>
      <c r="CS1403" s="398"/>
      <c r="CT1403" s="398"/>
      <c r="CU1403" s="398"/>
      <c r="CV1403" s="398"/>
      <c r="CW1403" s="398"/>
      <c r="CX1403" s="398"/>
      <c r="CY1403" s="398"/>
      <c r="CZ1403" s="398"/>
      <c r="DA1403" s="398"/>
      <c r="DB1403" s="398"/>
      <c r="DC1403" s="398"/>
      <c r="DD1403" s="398"/>
      <c r="DE1403" s="393"/>
      <c r="DF1403" s="393"/>
      <c r="DG1403" s="393"/>
      <c r="DH1403" s="393"/>
      <c r="DI1403" s="393"/>
      <c r="DJ1403" s="393"/>
      <c r="DK1403" s="897"/>
    </row>
    <row r="1404" spans="1:115" ht="63.75" x14ac:dyDescent="0.2">
      <c r="A1404" s="295">
        <v>1400</v>
      </c>
      <c r="B1404" s="390" t="s">
        <v>2272</v>
      </c>
      <c r="C1404" s="424" t="s">
        <v>7767</v>
      </c>
      <c r="D1404" s="391"/>
      <c r="E1404" s="706" t="s">
        <v>815</v>
      </c>
      <c r="F1404" s="390" t="s">
        <v>1375</v>
      </c>
      <c r="G1404" s="390" t="s">
        <v>998</v>
      </c>
      <c r="H1404" s="390" t="s">
        <v>218</v>
      </c>
      <c r="I1404" s="402" t="s">
        <v>4144</v>
      </c>
      <c r="J1404" s="402" t="s">
        <v>2396</v>
      </c>
      <c r="K1404" s="402"/>
      <c r="L1404" s="402" t="s">
        <v>815</v>
      </c>
      <c r="M1404" s="402" t="s">
        <v>3653</v>
      </c>
      <c r="N1404" s="390" t="s">
        <v>33</v>
      </c>
      <c r="O1404" s="390" t="s">
        <v>5030</v>
      </c>
      <c r="P1404" s="390" t="s">
        <v>5030</v>
      </c>
      <c r="Q1404" s="402" t="s">
        <v>1834</v>
      </c>
      <c r="R1404" s="402"/>
      <c r="S1404" s="448" t="s">
        <v>650</v>
      </c>
      <c r="T1404" s="411">
        <v>1</v>
      </c>
      <c r="U1404" s="412">
        <v>17.760999999999999</v>
      </c>
      <c r="V1404" s="412"/>
      <c r="W1404" s="457">
        <v>41059</v>
      </c>
      <c r="X1404" s="411">
        <v>28</v>
      </c>
      <c r="Y1404" s="411"/>
      <c r="Z1404" s="411"/>
      <c r="AA1404" s="412"/>
      <c r="AB1404" s="454"/>
      <c r="AC1404" s="413">
        <v>0</v>
      </c>
      <c r="AD1404" s="413">
        <v>130.31221369863013</v>
      </c>
      <c r="AE1404" s="390" t="s">
        <v>133</v>
      </c>
      <c r="AF1404" s="419"/>
      <c r="AG1404" s="419"/>
      <c r="AH1404" s="419">
        <v>0</v>
      </c>
      <c r="AI1404" s="411"/>
      <c r="AJ1404" s="454"/>
      <c r="AK1404" s="454"/>
      <c r="AL1404" s="390"/>
      <c r="AM1404" s="390"/>
      <c r="AN1404" s="419"/>
      <c r="AO1404" s="402"/>
      <c r="AP1404" s="402" t="s">
        <v>55</v>
      </c>
      <c r="AQ1404" s="402"/>
      <c r="AR1404" s="402" t="s">
        <v>55</v>
      </c>
      <c r="AS1404" s="481">
        <v>41074</v>
      </c>
      <c r="AT1404" s="454"/>
      <c r="AU1404" s="454"/>
      <c r="AV1404" s="454"/>
      <c r="AW1404" s="454"/>
      <c r="AX1404" s="454"/>
      <c r="AY1404" s="454"/>
      <c r="AZ1404" s="454"/>
      <c r="BA1404" s="390"/>
      <c r="BB1404" s="390" t="s">
        <v>3147</v>
      </c>
      <c r="BC1404" s="390" t="b">
        <v>1</v>
      </c>
      <c r="BD1404" s="390" t="s">
        <v>3147</v>
      </c>
      <c r="BE1404" s="402"/>
      <c r="BF1404" s="411">
        <v>5</v>
      </c>
      <c r="BG1404" s="411">
        <v>9</v>
      </c>
      <c r="BH1404" s="411">
        <v>10</v>
      </c>
      <c r="BI1404" s="411">
        <v>11</v>
      </c>
      <c r="BJ1404" s="411"/>
      <c r="BK1404" s="411"/>
      <c r="BL1404" s="445"/>
      <c r="BM1404" s="402"/>
      <c r="BN1404" s="390"/>
      <c r="BO1404" s="390"/>
      <c r="BP1404" s="414"/>
      <c r="BQ1404" s="415"/>
      <c r="BR1404" s="416"/>
      <c r="BS1404" s="414">
        <v>10</v>
      </c>
      <c r="BT1404" s="411"/>
      <c r="BU1404" s="419"/>
      <c r="BV1404" s="414"/>
      <c r="BW1404" s="390"/>
      <c r="BX1404" s="402"/>
      <c r="BY1404" s="390"/>
      <c r="BZ1404" s="390"/>
      <c r="CA1404" s="442"/>
      <c r="CB1404" s="415"/>
      <c r="CC1404" s="413"/>
      <c r="CD1404" s="413"/>
      <c r="CE1404" s="413"/>
      <c r="CF1404" s="413"/>
      <c r="CG1404" s="413"/>
      <c r="CH1404" s="413"/>
      <c r="CI1404" s="413"/>
      <c r="CJ1404" s="413"/>
      <c r="CK1404" s="413"/>
      <c r="CL1404" s="413"/>
      <c r="CM1404" s="413"/>
      <c r="CN1404" s="413"/>
      <c r="CO1404" s="413"/>
      <c r="CP1404" s="413"/>
      <c r="CQ1404" s="413"/>
      <c r="CR1404" s="413"/>
      <c r="CS1404" s="413"/>
      <c r="CT1404" s="413"/>
      <c r="CU1404" s="413"/>
      <c r="CV1404" s="413"/>
      <c r="CW1404" s="413"/>
      <c r="CX1404" s="413"/>
      <c r="CY1404" s="413"/>
      <c r="CZ1404" s="413"/>
      <c r="DA1404" s="413"/>
      <c r="DB1404" s="413"/>
      <c r="DC1404" s="413"/>
      <c r="DD1404" s="413"/>
      <c r="DE1404" s="390"/>
      <c r="DF1404" s="390"/>
      <c r="DG1404" s="390"/>
      <c r="DH1404" s="390"/>
      <c r="DI1404" s="390"/>
      <c r="DJ1404" s="390"/>
      <c r="DK1404" s="901"/>
    </row>
    <row r="1405" spans="1:115" ht="38.25" x14ac:dyDescent="0.2">
      <c r="A1405" s="295">
        <v>1401</v>
      </c>
      <c r="B1405" s="390" t="s">
        <v>2939</v>
      </c>
      <c r="C1405" s="390"/>
      <c r="D1405" s="391"/>
      <c r="E1405" s="706" t="s">
        <v>2353</v>
      </c>
      <c r="F1405" s="390" t="s">
        <v>1375</v>
      </c>
      <c r="G1405" s="390" t="s">
        <v>998</v>
      </c>
      <c r="H1405" s="390" t="s">
        <v>218</v>
      </c>
      <c r="I1405" s="402"/>
      <c r="J1405" s="402"/>
      <c r="K1405" s="402" t="s">
        <v>2354</v>
      </c>
      <c r="L1405" s="402" t="s">
        <v>815</v>
      </c>
      <c r="M1405" s="402"/>
      <c r="N1405" s="390" t="s">
        <v>33</v>
      </c>
      <c r="O1405" s="390" t="s">
        <v>1155</v>
      </c>
      <c r="P1405" s="390" t="s">
        <v>1155</v>
      </c>
      <c r="Q1405" s="402" t="s">
        <v>1155</v>
      </c>
      <c r="R1405" s="402" t="s">
        <v>4145</v>
      </c>
      <c r="S1405" s="448" t="s">
        <v>650</v>
      </c>
      <c r="T1405" s="411">
        <v>1</v>
      </c>
      <c r="U1405" s="412">
        <v>17.760999999999999</v>
      </c>
      <c r="V1405" s="412"/>
      <c r="W1405" s="454"/>
      <c r="X1405" s="411"/>
      <c r="Y1405" s="411">
        <v>7</v>
      </c>
      <c r="Z1405" s="411">
        <v>21</v>
      </c>
      <c r="AA1405" s="412">
        <v>0</v>
      </c>
      <c r="AB1405" s="457">
        <v>41518</v>
      </c>
      <c r="AC1405" s="413">
        <v>0</v>
      </c>
      <c r="AD1405" s="413">
        <v>130.31221369863013</v>
      </c>
      <c r="AE1405" s="390" t="s">
        <v>133</v>
      </c>
      <c r="AF1405" s="419"/>
      <c r="AG1405" s="419"/>
      <c r="AH1405" s="419"/>
      <c r="AI1405" s="411"/>
      <c r="AJ1405" s="454"/>
      <c r="AK1405" s="454"/>
      <c r="AL1405" s="390"/>
      <c r="AM1405" s="390"/>
      <c r="AN1405" s="419"/>
      <c r="AO1405" s="402"/>
      <c r="AP1405" s="402" t="s">
        <v>55</v>
      </c>
      <c r="AQ1405" s="402"/>
      <c r="AR1405" s="402" t="s">
        <v>55</v>
      </c>
      <c r="AS1405" s="481">
        <v>41074</v>
      </c>
      <c r="AT1405" s="454"/>
      <c r="AU1405" s="454"/>
      <c r="AV1405" s="454"/>
      <c r="AW1405" s="454"/>
      <c r="AX1405" s="454"/>
      <c r="AY1405" s="454"/>
      <c r="AZ1405" s="454"/>
      <c r="BA1405" s="390"/>
      <c r="BB1405" s="390"/>
      <c r="BC1405" s="390" t="b">
        <v>0</v>
      </c>
      <c r="BD1405" s="390"/>
      <c r="BE1405" s="402"/>
      <c r="BF1405" s="411">
        <v>1</v>
      </c>
      <c r="BG1405" s="411">
        <v>9</v>
      </c>
      <c r="BH1405" s="411">
        <v>11</v>
      </c>
      <c r="BI1405" s="411">
        <v>5</v>
      </c>
      <c r="BJ1405" s="411">
        <v>10</v>
      </c>
      <c r="BK1405" s="411">
        <v>12</v>
      </c>
      <c r="BL1405" s="445" t="s">
        <v>6985</v>
      </c>
      <c r="BM1405" s="402"/>
      <c r="BN1405" s="390"/>
      <c r="BO1405" s="390"/>
      <c r="BP1405" s="414"/>
      <c r="BQ1405" s="415"/>
      <c r="BR1405" s="416"/>
      <c r="BS1405" s="414">
        <v>10</v>
      </c>
      <c r="BT1405" s="411">
        <v>26000</v>
      </c>
      <c r="BU1405" s="419">
        <v>0.68</v>
      </c>
      <c r="BV1405" s="414"/>
      <c r="BW1405" s="390" t="s">
        <v>3117</v>
      </c>
      <c r="BX1405" s="402" t="s">
        <v>1449</v>
      </c>
      <c r="BY1405" s="390" t="s">
        <v>7225</v>
      </c>
      <c r="BZ1405" s="390"/>
      <c r="CA1405" s="442"/>
      <c r="CB1405" s="415"/>
      <c r="CC1405" s="413"/>
      <c r="CD1405" s="413"/>
      <c r="CE1405" s="413"/>
      <c r="CF1405" s="413"/>
      <c r="CG1405" s="413"/>
      <c r="CH1405" s="413"/>
      <c r="CI1405" s="413">
        <v>17.760999999999999</v>
      </c>
      <c r="CJ1405" s="413">
        <v>17.760999999999999</v>
      </c>
      <c r="CK1405" s="413">
        <v>17.760999999999999</v>
      </c>
      <c r="CL1405" s="413">
        <v>17.760999999999999</v>
      </c>
      <c r="CM1405" s="413">
        <v>17.760999999999999</v>
      </c>
      <c r="CN1405" s="413">
        <v>17.760999999999999</v>
      </c>
      <c r="CO1405" s="413">
        <v>17.760999999999999</v>
      </c>
      <c r="CP1405" s="413"/>
      <c r="CQ1405" s="413"/>
      <c r="CR1405" s="413"/>
      <c r="CS1405" s="413"/>
      <c r="CT1405" s="413"/>
      <c r="CU1405" s="413"/>
      <c r="CV1405" s="413"/>
      <c r="CW1405" s="413"/>
      <c r="CX1405" s="413"/>
      <c r="CY1405" s="413"/>
      <c r="CZ1405" s="413"/>
      <c r="DA1405" s="413"/>
      <c r="DB1405" s="413"/>
      <c r="DC1405" s="413"/>
      <c r="DD1405" s="413"/>
      <c r="DE1405" s="390"/>
      <c r="DF1405" s="390"/>
      <c r="DG1405" s="390"/>
      <c r="DH1405" s="390"/>
      <c r="DI1405" s="390"/>
      <c r="DJ1405" s="390"/>
      <c r="DK1405" s="897"/>
    </row>
    <row r="1406" spans="1:115" ht="51" x14ac:dyDescent="0.2">
      <c r="A1406" s="295">
        <v>1402</v>
      </c>
      <c r="B1406" s="390" t="s">
        <v>2273</v>
      </c>
      <c r="C1406" s="424" t="s">
        <v>7768</v>
      </c>
      <c r="D1406" s="391" t="s">
        <v>5220</v>
      </c>
      <c r="E1406" s="704" t="s">
        <v>2400</v>
      </c>
      <c r="F1406" s="393" t="s">
        <v>1352</v>
      </c>
      <c r="G1406" s="393" t="s">
        <v>1672</v>
      </c>
      <c r="H1406" s="393" t="s">
        <v>301</v>
      </c>
      <c r="I1406" s="392"/>
      <c r="J1406" s="392" t="s">
        <v>301</v>
      </c>
      <c r="K1406" s="392"/>
      <c r="L1406" s="392" t="s">
        <v>2365</v>
      </c>
      <c r="M1406" s="392" t="s">
        <v>3391</v>
      </c>
      <c r="N1406" s="393" t="s">
        <v>44</v>
      </c>
      <c r="O1406" s="393" t="s">
        <v>827</v>
      </c>
      <c r="P1406" s="393" t="s">
        <v>827</v>
      </c>
      <c r="Q1406" s="392" t="s">
        <v>836</v>
      </c>
      <c r="R1406" s="392"/>
      <c r="S1406" s="392" t="s">
        <v>291</v>
      </c>
      <c r="T1406" s="394">
        <v>1</v>
      </c>
      <c r="U1406" s="395">
        <v>5.7839999999999998</v>
      </c>
      <c r="V1406" s="395"/>
      <c r="W1406" s="452">
        <v>41214</v>
      </c>
      <c r="X1406" s="394">
        <v>28</v>
      </c>
      <c r="Y1406" s="394"/>
      <c r="Z1406" s="394"/>
      <c r="AA1406" s="395"/>
      <c r="AB1406" s="453"/>
      <c r="AC1406" s="398">
        <v>0</v>
      </c>
      <c r="AD1406" s="398">
        <v>57.839999999999996</v>
      </c>
      <c r="AE1406" s="393" t="s">
        <v>96</v>
      </c>
      <c r="AF1406" s="417"/>
      <c r="AG1406" s="417"/>
      <c r="AH1406" s="417">
        <v>0</v>
      </c>
      <c r="AI1406" s="394"/>
      <c r="AJ1406" s="453"/>
      <c r="AK1406" s="453"/>
      <c r="AL1406" s="393"/>
      <c r="AM1406" s="393"/>
      <c r="AN1406" s="417"/>
      <c r="AO1406" s="392"/>
      <c r="AP1406" s="392" t="s">
        <v>7088</v>
      </c>
      <c r="AQ1406" s="392"/>
      <c r="AR1406" s="392" t="s">
        <v>55</v>
      </c>
      <c r="AS1406" s="479">
        <v>41076</v>
      </c>
      <c r="AT1406" s="453"/>
      <c r="AU1406" s="453"/>
      <c r="AV1406" s="452">
        <v>41173</v>
      </c>
      <c r="AW1406" s="452">
        <v>41191</v>
      </c>
      <c r="AX1406" s="452">
        <v>41251</v>
      </c>
      <c r="AY1406" s="452">
        <v>41191</v>
      </c>
      <c r="AZ1406" s="453"/>
      <c r="BA1406" s="393"/>
      <c r="BB1406" s="393" t="s">
        <v>3147</v>
      </c>
      <c r="BC1406" s="393" t="b">
        <v>0</v>
      </c>
      <c r="BD1406" s="393" t="s">
        <v>3147</v>
      </c>
      <c r="BE1406" s="392"/>
      <c r="BF1406" s="394">
        <v>12</v>
      </c>
      <c r="BG1406" s="394">
        <v>1</v>
      </c>
      <c r="BH1406" s="394">
        <v>5</v>
      </c>
      <c r="BI1406" s="394">
        <v>11</v>
      </c>
      <c r="BJ1406" s="394">
        <v>9</v>
      </c>
      <c r="BK1406" s="394"/>
      <c r="BL1406" s="444"/>
      <c r="BM1406" s="392"/>
      <c r="BN1406" s="393"/>
      <c r="BO1406" s="393"/>
      <c r="BP1406" s="399"/>
      <c r="BQ1406" s="400"/>
      <c r="BR1406" s="401"/>
      <c r="BS1406" s="399">
        <v>7.46</v>
      </c>
      <c r="BT1406" s="394"/>
      <c r="BU1406" s="417"/>
      <c r="BV1406" s="399"/>
      <c r="BW1406" s="393"/>
      <c r="BX1406" s="392"/>
      <c r="BY1406" s="393"/>
      <c r="BZ1406" s="393"/>
      <c r="CA1406" s="441"/>
      <c r="CB1406" s="400"/>
      <c r="CC1406" s="398"/>
      <c r="CD1406" s="398"/>
      <c r="CE1406" s="398"/>
      <c r="CF1406" s="398"/>
      <c r="CG1406" s="398"/>
      <c r="CH1406" s="398"/>
      <c r="CI1406" s="398"/>
      <c r="CJ1406" s="398"/>
      <c r="CK1406" s="398"/>
      <c r="CL1406" s="398"/>
      <c r="CM1406" s="398"/>
      <c r="CN1406" s="398"/>
      <c r="CO1406" s="398"/>
      <c r="CP1406" s="398"/>
      <c r="CQ1406" s="398"/>
      <c r="CR1406" s="398"/>
      <c r="CS1406" s="398"/>
      <c r="CT1406" s="398"/>
      <c r="CU1406" s="398"/>
      <c r="CV1406" s="398"/>
      <c r="CW1406" s="398"/>
      <c r="CX1406" s="398"/>
      <c r="CY1406" s="398"/>
      <c r="CZ1406" s="398"/>
      <c r="DA1406" s="398"/>
      <c r="DB1406" s="398"/>
      <c r="DC1406" s="398"/>
      <c r="DD1406" s="398"/>
      <c r="DE1406" s="393"/>
      <c r="DF1406" s="393"/>
      <c r="DG1406" s="393"/>
      <c r="DH1406" s="393"/>
      <c r="DI1406" s="393"/>
      <c r="DJ1406" s="393"/>
      <c r="DK1406" s="896" t="s">
        <v>9700</v>
      </c>
    </row>
    <row r="1407" spans="1:115" ht="25.5" x14ac:dyDescent="0.2">
      <c r="A1407" s="295">
        <v>1403</v>
      </c>
      <c r="B1407" s="390" t="s">
        <v>2940</v>
      </c>
      <c r="C1407" s="390"/>
      <c r="D1407" s="391" t="s">
        <v>4402</v>
      </c>
      <c r="E1407" s="704" t="s">
        <v>2363</v>
      </c>
      <c r="F1407" s="393" t="s">
        <v>1352</v>
      </c>
      <c r="G1407" s="393" t="s">
        <v>1672</v>
      </c>
      <c r="H1407" s="393" t="s">
        <v>301</v>
      </c>
      <c r="I1407" s="392"/>
      <c r="J1407" s="392"/>
      <c r="K1407" s="392" t="s">
        <v>2364</v>
      </c>
      <c r="L1407" s="392" t="s">
        <v>2365</v>
      </c>
      <c r="M1407" s="392"/>
      <c r="N1407" s="393" t="s">
        <v>44</v>
      </c>
      <c r="O1407" s="393" t="s">
        <v>827</v>
      </c>
      <c r="P1407" s="393" t="s">
        <v>827</v>
      </c>
      <c r="Q1407" s="392" t="s">
        <v>836</v>
      </c>
      <c r="R1407" s="392" t="s">
        <v>3654</v>
      </c>
      <c r="S1407" s="392" t="s">
        <v>291</v>
      </c>
      <c r="T1407" s="394">
        <v>1</v>
      </c>
      <c r="U1407" s="395">
        <v>5.7839999999999998</v>
      </c>
      <c r="V1407" s="395"/>
      <c r="W1407" s="453"/>
      <c r="X1407" s="394"/>
      <c r="Y1407" s="394">
        <v>10</v>
      </c>
      <c r="Z1407" s="394">
        <v>20</v>
      </c>
      <c r="AA1407" s="395">
        <v>-0.1</v>
      </c>
      <c r="AB1407" s="452">
        <v>41275</v>
      </c>
      <c r="AC1407" s="398">
        <v>0</v>
      </c>
      <c r="AD1407" s="398">
        <v>57.839999999999996</v>
      </c>
      <c r="AE1407" s="393" t="s">
        <v>96</v>
      </c>
      <c r="AF1407" s="417"/>
      <c r="AG1407" s="417"/>
      <c r="AH1407" s="417"/>
      <c r="AI1407" s="394"/>
      <c r="AJ1407" s="453"/>
      <c r="AK1407" s="453"/>
      <c r="AL1407" s="393"/>
      <c r="AM1407" s="393"/>
      <c r="AN1407" s="417"/>
      <c r="AO1407" s="392"/>
      <c r="AP1407" s="392" t="s">
        <v>7088</v>
      </c>
      <c r="AQ1407" s="392"/>
      <c r="AR1407" s="392" t="s">
        <v>55</v>
      </c>
      <c r="AS1407" s="479">
        <v>41076</v>
      </c>
      <c r="AT1407" s="453"/>
      <c r="AU1407" s="453"/>
      <c r="AV1407" s="453"/>
      <c r="AW1407" s="453"/>
      <c r="AX1407" s="453"/>
      <c r="AY1407" s="453"/>
      <c r="AZ1407" s="452">
        <v>41191</v>
      </c>
      <c r="BA1407" s="393"/>
      <c r="BB1407" s="393"/>
      <c r="BC1407" s="393" t="b">
        <v>0</v>
      </c>
      <c r="BD1407" s="393"/>
      <c r="BE1407" s="392"/>
      <c r="BF1407" s="394">
        <v>12</v>
      </c>
      <c r="BG1407" s="394">
        <v>1</v>
      </c>
      <c r="BH1407" s="394">
        <v>5</v>
      </c>
      <c r="BI1407" s="394">
        <v>11</v>
      </c>
      <c r="BJ1407" s="394">
        <v>9</v>
      </c>
      <c r="BK1407" s="394"/>
      <c r="BL1407" s="444" t="s">
        <v>1451</v>
      </c>
      <c r="BM1407" s="392" t="s">
        <v>3655</v>
      </c>
      <c r="BN1407" s="393" t="s">
        <v>3656</v>
      </c>
      <c r="BO1407" s="393" t="s">
        <v>3657</v>
      </c>
      <c r="BP1407" s="399" t="s">
        <v>3288</v>
      </c>
      <c r="BQ1407" s="400"/>
      <c r="BR1407" s="401"/>
      <c r="BS1407" s="399">
        <v>7.46</v>
      </c>
      <c r="BT1407" s="394">
        <v>10035</v>
      </c>
      <c r="BU1407" s="417">
        <v>0.5554</v>
      </c>
      <c r="BV1407" s="399"/>
      <c r="BW1407" s="393" t="s">
        <v>3117</v>
      </c>
      <c r="BX1407" s="392"/>
      <c r="BY1407" s="393"/>
      <c r="BZ1407" s="393"/>
      <c r="CA1407" s="441"/>
      <c r="CB1407" s="400"/>
      <c r="CC1407" s="398"/>
      <c r="CD1407" s="398"/>
      <c r="CE1407" s="398"/>
      <c r="CF1407" s="398"/>
      <c r="CG1407" s="398"/>
      <c r="CH1407" s="398"/>
      <c r="CI1407" s="398">
        <v>5.915</v>
      </c>
      <c r="CJ1407" s="398">
        <v>5.8860000000000001</v>
      </c>
      <c r="CK1407" s="398">
        <v>5.8559999999999999</v>
      </c>
      <c r="CL1407" s="398">
        <v>5.827</v>
      </c>
      <c r="CM1407" s="398">
        <v>5.798</v>
      </c>
      <c r="CN1407" s="398">
        <v>5.7679999999999998</v>
      </c>
      <c r="CO1407" s="398">
        <v>5.74</v>
      </c>
      <c r="CP1407" s="398">
        <v>5.7110000000000003</v>
      </c>
      <c r="CQ1407" s="398">
        <v>5.6820000000000004</v>
      </c>
      <c r="CR1407" s="398">
        <v>5.6539999999999999</v>
      </c>
      <c r="CS1407" s="398"/>
      <c r="CT1407" s="398"/>
      <c r="CU1407" s="398"/>
      <c r="CV1407" s="398"/>
      <c r="CW1407" s="398"/>
      <c r="CX1407" s="398"/>
      <c r="CY1407" s="398"/>
      <c r="CZ1407" s="398"/>
      <c r="DA1407" s="398"/>
      <c r="DB1407" s="398"/>
      <c r="DC1407" s="398"/>
      <c r="DD1407" s="398"/>
      <c r="DE1407" s="393"/>
      <c r="DF1407" s="393"/>
      <c r="DG1407" s="393"/>
      <c r="DH1407" s="393"/>
      <c r="DI1407" s="393"/>
      <c r="DJ1407" s="393"/>
      <c r="DK1407" s="897"/>
    </row>
    <row r="1408" spans="1:115" ht="409.5" x14ac:dyDescent="0.2">
      <c r="A1408" s="295">
        <v>1404</v>
      </c>
      <c r="B1408" s="390" t="s">
        <v>2274</v>
      </c>
      <c r="C1408" s="424" t="s">
        <v>7769</v>
      </c>
      <c r="D1408" s="391" t="s">
        <v>5221</v>
      </c>
      <c r="E1408" s="705" t="s">
        <v>2401</v>
      </c>
      <c r="F1408" s="393" t="s">
        <v>1375</v>
      </c>
      <c r="G1408" s="393" t="s">
        <v>1670</v>
      </c>
      <c r="H1408" s="393" t="s">
        <v>1008</v>
      </c>
      <c r="I1408" s="392"/>
      <c r="J1408" s="392" t="s">
        <v>2402</v>
      </c>
      <c r="K1408" s="392"/>
      <c r="L1408" s="392" t="s">
        <v>2367</v>
      </c>
      <c r="M1408" s="392" t="s">
        <v>3658</v>
      </c>
      <c r="N1408" s="393" t="s">
        <v>44</v>
      </c>
      <c r="O1408" s="393" t="s">
        <v>51</v>
      </c>
      <c r="P1408" s="393" t="s">
        <v>51</v>
      </c>
      <c r="Q1408" s="392" t="s">
        <v>976</v>
      </c>
      <c r="R1408" s="392"/>
      <c r="S1408" s="392" t="s">
        <v>977</v>
      </c>
      <c r="T1408" s="394">
        <v>4</v>
      </c>
      <c r="U1408" s="395">
        <v>466.58800000000002</v>
      </c>
      <c r="V1408" s="395"/>
      <c r="W1408" s="452">
        <v>41076</v>
      </c>
      <c r="X1408" s="394">
        <v>28</v>
      </c>
      <c r="Y1408" s="394"/>
      <c r="Z1408" s="394"/>
      <c r="AA1408" s="395"/>
      <c r="AB1408" s="453"/>
      <c r="AC1408" s="398">
        <v>0</v>
      </c>
      <c r="AD1408" s="398">
        <v>2393.648898630137</v>
      </c>
      <c r="AE1408" s="393" t="s">
        <v>103</v>
      </c>
      <c r="AF1408" s="417">
        <f>+AF1409</f>
        <v>0</v>
      </c>
      <c r="AG1408" s="417">
        <f>+AG1409</f>
        <v>278.51400000000001</v>
      </c>
      <c r="AH1408" s="417">
        <v>293.5</v>
      </c>
      <c r="AI1408" s="394">
        <v>1</v>
      </c>
      <c r="AJ1408" s="452">
        <v>42195</v>
      </c>
      <c r="AK1408" s="452">
        <v>42216</v>
      </c>
      <c r="AL1408" s="393"/>
      <c r="AM1408" s="393"/>
      <c r="AN1408" s="417"/>
      <c r="AO1408" s="392"/>
      <c r="AP1408" s="428" t="s">
        <v>7071</v>
      </c>
      <c r="AQ1408" s="392"/>
      <c r="AR1408" s="392" t="s">
        <v>55</v>
      </c>
      <c r="AS1408" s="479">
        <v>41076</v>
      </c>
      <c r="AT1408" s="453"/>
      <c r="AU1408" s="453"/>
      <c r="AV1408" s="452">
        <v>41201</v>
      </c>
      <c r="AW1408" s="452">
        <v>41241</v>
      </c>
      <c r="AX1408" s="452">
        <v>41275</v>
      </c>
      <c r="AY1408" s="452">
        <v>41243</v>
      </c>
      <c r="AZ1408" s="453"/>
      <c r="BA1408" s="393"/>
      <c r="BB1408" s="393" t="s">
        <v>3116</v>
      </c>
      <c r="BC1408" s="393" t="b">
        <v>1</v>
      </c>
      <c r="BD1408" s="393" t="s">
        <v>3147</v>
      </c>
      <c r="BE1408" s="392" t="s">
        <v>6245</v>
      </c>
      <c r="BF1408" s="394">
        <v>1</v>
      </c>
      <c r="BG1408" s="394">
        <v>6</v>
      </c>
      <c r="BH1408" s="394">
        <v>5</v>
      </c>
      <c r="BI1408" s="394">
        <v>8</v>
      </c>
      <c r="BJ1408" s="394">
        <v>10</v>
      </c>
      <c r="BK1408" s="394">
        <v>6</v>
      </c>
      <c r="BL1408" s="444"/>
      <c r="BM1408" s="392"/>
      <c r="BN1408" s="393"/>
      <c r="BO1408" s="393"/>
      <c r="BP1408" s="399"/>
      <c r="BQ1408" s="400"/>
      <c r="BR1408" s="401"/>
      <c r="BS1408" s="399">
        <v>0</v>
      </c>
      <c r="BT1408" s="394"/>
      <c r="BU1408" s="417"/>
      <c r="BV1408" s="399"/>
      <c r="BW1408" s="393"/>
      <c r="BX1408" s="392"/>
      <c r="BY1408" s="393"/>
      <c r="BZ1408" s="393"/>
      <c r="CA1408" s="441"/>
      <c r="CB1408" s="400"/>
      <c r="CC1408" s="398"/>
      <c r="CD1408" s="398"/>
      <c r="CE1408" s="398"/>
      <c r="CF1408" s="398"/>
      <c r="CG1408" s="398"/>
      <c r="CH1408" s="398"/>
      <c r="CI1408" s="398"/>
      <c r="CJ1408" s="398"/>
      <c r="CK1408" s="398"/>
      <c r="CL1408" s="398"/>
      <c r="CM1408" s="398"/>
      <c r="CN1408" s="398"/>
      <c r="CO1408" s="398"/>
      <c r="CP1408" s="398"/>
      <c r="CQ1408" s="398"/>
      <c r="CR1408" s="398"/>
      <c r="CS1408" s="398"/>
      <c r="CT1408" s="398"/>
      <c r="CU1408" s="398"/>
      <c r="CV1408" s="398"/>
      <c r="CW1408" s="398"/>
      <c r="CX1408" s="398"/>
      <c r="CY1408" s="398"/>
      <c r="CZ1408" s="398"/>
      <c r="DA1408" s="398"/>
      <c r="DB1408" s="398"/>
      <c r="DC1408" s="398"/>
      <c r="DD1408" s="398"/>
      <c r="DE1408" s="393"/>
      <c r="DF1408" s="393"/>
      <c r="DG1408" s="393"/>
      <c r="DH1408" s="393"/>
      <c r="DI1408" s="393"/>
      <c r="DJ1408" s="393"/>
      <c r="DK1408" s="896" t="s">
        <v>9703</v>
      </c>
    </row>
    <row r="1409" spans="1:115" ht="38.25" x14ac:dyDescent="0.2">
      <c r="A1409" s="295">
        <v>1405</v>
      </c>
      <c r="B1409" s="390" t="s">
        <v>2941</v>
      </c>
      <c r="C1409" s="390"/>
      <c r="D1409" s="391" t="s">
        <v>4495</v>
      </c>
      <c r="E1409" s="704" t="s">
        <v>2366</v>
      </c>
      <c r="F1409" s="393" t="s">
        <v>1375</v>
      </c>
      <c r="G1409" s="393" t="s">
        <v>1670</v>
      </c>
      <c r="H1409" s="393" t="s">
        <v>1008</v>
      </c>
      <c r="I1409" s="392"/>
      <c r="J1409" s="392"/>
      <c r="K1409" s="392" t="s">
        <v>1008</v>
      </c>
      <c r="L1409" s="392" t="s">
        <v>2367</v>
      </c>
      <c r="M1409" s="392"/>
      <c r="N1409" s="393" t="s">
        <v>44</v>
      </c>
      <c r="O1409" s="393" t="s">
        <v>51</v>
      </c>
      <c r="P1409" s="393" t="s">
        <v>51</v>
      </c>
      <c r="Q1409" s="392" t="s">
        <v>976</v>
      </c>
      <c r="R1409" s="392" t="s">
        <v>3659</v>
      </c>
      <c r="S1409" s="392" t="s">
        <v>977</v>
      </c>
      <c r="T1409" s="394">
        <v>1</v>
      </c>
      <c r="U1409" s="395">
        <v>136.73400000000001</v>
      </c>
      <c r="V1409" s="395"/>
      <c r="W1409" s="453"/>
      <c r="X1409" s="394"/>
      <c r="Y1409" s="394">
        <v>7</v>
      </c>
      <c r="Z1409" s="394">
        <v>21</v>
      </c>
      <c r="AA1409" s="395">
        <v>0</v>
      </c>
      <c r="AB1409" s="452">
        <v>41275</v>
      </c>
      <c r="AC1409" s="398">
        <v>0</v>
      </c>
      <c r="AD1409" s="398">
        <v>1094.2466136986302</v>
      </c>
      <c r="AE1409" s="393" t="s">
        <v>103</v>
      </c>
      <c r="AF1409" s="417"/>
      <c r="AG1409" s="417">
        <f>20.689+115.052+142.773</f>
        <v>278.51400000000001</v>
      </c>
      <c r="AH1409" s="417">
        <v>278.51400000000001</v>
      </c>
      <c r="AI1409" s="394">
        <v>3</v>
      </c>
      <c r="AJ1409" s="452">
        <v>42195</v>
      </c>
      <c r="AK1409" s="452">
        <v>42551</v>
      </c>
      <c r="AL1409" s="393"/>
      <c r="AM1409" s="393"/>
      <c r="AN1409" s="417"/>
      <c r="AO1409" s="428" t="s">
        <v>133</v>
      </c>
      <c r="AP1409" s="428" t="s">
        <v>7071</v>
      </c>
      <c r="AQ1409" s="392"/>
      <c r="AR1409" s="392" t="s">
        <v>55</v>
      </c>
      <c r="AS1409" s="479">
        <v>41076</v>
      </c>
      <c r="AT1409" s="453"/>
      <c r="AU1409" s="453"/>
      <c r="AV1409" s="453"/>
      <c r="AW1409" s="453"/>
      <c r="AX1409" s="453"/>
      <c r="AY1409" s="453"/>
      <c r="AZ1409" s="452">
        <v>41243</v>
      </c>
      <c r="BA1409" s="393"/>
      <c r="BB1409" s="393"/>
      <c r="BC1409" s="393" t="b">
        <v>0</v>
      </c>
      <c r="BD1409" s="393"/>
      <c r="BE1409" s="392"/>
      <c r="BF1409" s="394">
        <v>1</v>
      </c>
      <c r="BG1409" s="394">
        <v>6</v>
      </c>
      <c r="BH1409" s="394">
        <v>5</v>
      </c>
      <c r="BI1409" s="394">
        <v>8</v>
      </c>
      <c r="BJ1409" s="394">
        <v>10</v>
      </c>
      <c r="BK1409" s="394">
        <v>6</v>
      </c>
      <c r="BL1409" s="444" t="s">
        <v>6981</v>
      </c>
      <c r="BM1409" s="392" t="s">
        <v>3660</v>
      </c>
      <c r="BN1409" s="393" t="s">
        <v>1008</v>
      </c>
      <c r="BO1409" s="393"/>
      <c r="BP1409" s="399"/>
      <c r="BQ1409" s="400"/>
      <c r="BR1409" s="401"/>
      <c r="BS1409" s="399"/>
      <c r="BT1409" s="394"/>
      <c r="BU1409" s="417"/>
      <c r="BV1409" s="399">
        <v>180</v>
      </c>
      <c r="BW1409" s="393" t="s">
        <v>3117</v>
      </c>
      <c r="BX1409" s="392" t="s">
        <v>3199</v>
      </c>
      <c r="BY1409" s="393"/>
      <c r="BZ1409" s="393"/>
      <c r="CA1409" s="441"/>
      <c r="CB1409" s="400"/>
      <c r="CC1409" s="398"/>
      <c r="CD1409" s="398"/>
      <c r="CE1409" s="398"/>
      <c r="CF1409" s="398"/>
      <c r="CG1409" s="398"/>
      <c r="CH1409" s="398">
        <v>55.95</v>
      </c>
      <c r="CI1409" s="398">
        <v>151.721</v>
      </c>
      <c r="CJ1409" s="398">
        <v>136.73400000000001</v>
      </c>
      <c r="CK1409" s="398">
        <v>136.73400000000001</v>
      </c>
      <c r="CL1409" s="398">
        <v>136.73400000000001</v>
      </c>
      <c r="CM1409" s="398">
        <v>136.73400000000001</v>
      </c>
      <c r="CN1409" s="398">
        <v>136.73400000000001</v>
      </c>
      <c r="CO1409" s="398">
        <v>136.73400000000001</v>
      </c>
      <c r="CP1409" s="398"/>
      <c r="CQ1409" s="398"/>
      <c r="CR1409" s="398"/>
      <c r="CS1409" s="398"/>
      <c r="CT1409" s="398"/>
      <c r="CU1409" s="398"/>
      <c r="CV1409" s="398"/>
      <c r="CW1409" s="398"/>
      <c r="CX1409" s="398"/>
      <c r="CY1409" s="398"/>
      <c r="CZ1409" s="398"/>
      <c r="DA1409" s="398"/>
      <c r="DB1409" s="398"/>
      <c r="DC1409" s="398"/>
      <c r="DD1409" s="398"/>
      <c r="DE1409" s="393"/>
      <c r="DF1409" s="393"/>
      <c r="DG1409" s="393"/>
      <c r="DH1409" s="393"/>
      <c r="DI1409" s="393"/>
      <c r="DJ1409" s="393"/>
      <c r="DK1409" s="897"/>
    </row>
    <row r="1410" spans="1:115" ht="38.25" x14ac:dyDescent="0.2">
      <c r="A1410" s="295">
        <v>1406</v>
      </c>
      <c r="B1410" s="390" t="s">
        <v>8009</v>
      </c>
      <c r="C1410" s="390"/>
      <c r="D1410" s="391" t="s">
        <v>8010</v>
      </c>
      <c r="E1410" s="705" t="s">
        <v>8011</v>
      </c>
      <c r="F1410" s="393" t="s">
        <v>1375</v>
      </c>
      <c r="G1410" s="393" t="s">
        <v>1670</v>
      </c>
      <c r="H1410" s="393" t="s">
        <v>1008</v>
      </c>
      <c r="I1410" s="392"/>
      <c r="J1410" s="392"/>
      <c r="K1410" s="392" t="s">
        <v>1008</v>
      </c>
      <c r="L1410" s="428" t="s">
        <v>2367</v>
      </c>
      <c r="M1410" s="392"/>
      <c r="N1410" s="475" t="s">
        <v>44</v>
      </c>
      <c r="O1410" s="393" t="s">
        <v>51</v>
      </c>
      <c r="P1410" s="393" t="s">
        <v>51</v>
      </c>
      <c r="Q1410" s="392" t="s">
        <v>976</v>
      </c>
      <c r="R1410" s="428" t="s">
        <v>8921</v>
      </c>
      <c r="S1410" s="428" t="s">
        <v>977</v>
      </c>
      <c r="T1410" s="394">
        <v>1</v>
      </c>
      <c r="U1410" s="395">
        <v>145.45099999999999</v>
      </c>
      <c r="V1410" s="395"/>
      <c r="W1410" s="453"/>
      <c r="X1410" s="394"/>
      <c r="Y1410" s="394">
        <v>7</v>
      </c>
      <c r="Z1410" s="394">
        <v>21</v>
      </c>
      <c r="AA1410" s="395"/>
      <c r="AB1410" s="452">
        <v>42339</v>
      </c>
      <c r="AC1410" s="398">
        <v>0</v>
      </c>
      <c r="AD1410" s="398">
        <v>740.00686849315059</v>
      </c>
      <c r="AE1410" s="475" t="s">
        <v>103</v>
      </c>
      <c r="AF1410" s="417"/>
      <c r="AG1410" s="417">
        <f>14.986</f>
        <v>14.986000000000001</v>
      </c>
      <c r="AH1410" s="417">
        <v>14.986000000000001</v>
      </c>
      <c r="AI1410" s="394">
        <v>1</v>
      </c>
      <c r="AJ1410" s="452">
        <v>42851</v>
      </c>
      <c r="AK1410" s="452">
        <v>42551</v>
      </c>
      <c r="AL1410" s="393"/>
      <c r="AM1410" s="393"/>
      <c r="AN1410" s="417"/>
      <c r="AO1410" s="428" t="s">
        <v>133</v>
      </c>
      <c r="AP1410" s="428" t="s">
        <v>7071</v>
      </c>
      <c r="AQ1410" s="392"/>
      <c r="AR1410" s="428" t="s">
        <v>55</v>
      </c>
      <c r="AS1410" s="479">
        <v>41076</v>
      </c>
      <c r="AT1410" s="453"/>
      <c r="AU1410" s="453"/>
      <c r="AV1410" s="453"/>
      <c r="AW1410" s="453"/>
      <c r="AX1410" s="453"/>
      <c r="AY1410" s="453"/>
      <c r="AZ1410" s="452">
        <v>42412</v>
      </c>
      <c r="BA1410" s="393"/>
      <c r="BB1410" s="393"/>
      <c r="BC1410" s="393" t="b">
        <v>0</v>
      </c>
      <c r="BD1410" s="393"/>
      <c r="BE1410" s="392"/>
      <c r="BF1410" s="394">
        <v>1</v>
      </c>
      <c r="BG1410" s="394">
        <v>6</v>
      </c>
      <c r="BH1410" s="394">
        <v>5</v>
      </c>
      <c r="BI1410" s="394">
        <v>8</v>
      </c>
      <c r="BJ1410" s="394">
        <v>10</v>
      </c>
      <c r="BK1410" s="394">
        <v>6</v>
      </c>
      <c r="BL1410" s="444" t="s">
        <v>6981</v>
      </c>
      <c r="BM1410" s="428" t="s">
        <v>3660</v>
      </c>
      <c r="BN1410" s="475" t="s">
        <v>1008</v>
      </c>
      <c r="BO1410" s="393"/>
      <c r="BP1410" s="399"/>
      <c r="BQ1410" s="400"/>
      <c r="BR1410" s="401"/>
      <c r="BS1410" s="399"/>
      <c r="BT1410" s="394"/>
      <c r="BU1410" s="417"/>
      <c r="BV1410" s="399">
        <v>180</v>
      </c>
      <c r="BW1410" s="475" t="s">
        <v>3117</v>
      </c>
      <c r="BX1410" s="392"/>
      <c r="BY1410" s="393"/>
      <c r="BZ1410" s="393"/>
      <c r="CA1410" s="441"/>
      <c r="CB1410" s="400"/>
      <c r="CC1410" s="398"/>
      <c r="CD1410" s="398"/>
      <c r="CE1410" s="398"/>
      <c r="CF1410" s="398"/>
      <c r="CG1410" s="398"/>
      <c r="CH1410" s="398"/>
      <c r="CI1410" s="398"/>
      <c r="CJ1410" s="398"/>
      <c r="CK1410" s="398">
        <v>11.843</v>
      </c>
      <c r="CL1410" s="398">
        <v>56.508000000000003</v>
      </c>
      <c r="CM1410" s="398">
        <v>101.173</v>
      </c>
      <c r="CN1410" s="398">
        <v>145.83699999999999</v>
      </c>
      <c r="CO1410" s="398">
        <v>178.65899999999999</v>
      </c>
      <c r="CP1410" s="398">
        <v>178.65899999999999</v>
      </c>
      <c r="CQ1410" s="398">
        <v>178.65899999999999</v>
      </c>
      <c r="CR1410" s="398">
        <v>166.816</v>
      </c>
      <c r="CS1410" s="398"/>
      <c r="CT1410" s="398"/>
      <c r="CU1410" s="398"/>
      <c r="CV1410" s="398"/>
      <c r="CW1410" s="398"/>
      <c r="CX1410" s="398"/>
      <c r="CY1410" s="398"/>
      <c r="CZ1410" s="398"/>
      <c r="DA1410" s="398"/>
      <c r="DB1410" s="398"/>
      <c r="DC1410" s="398"/>
      <c r="DD1410" s="398"/>
      <c r="DE1410" s="393"/>
      <c r="DF1410" s="393"/>
      <c r="DG1410" s="393"/>
      <c r="DH1410" s="393"/>
      <c r="DI1410" s="393"/>
      <c r="DJ1410" s="393"/>
      <c r="DK1410" s="897"/>
    </row>
    <row r="1411" spans="1:115" ht="38.25" x14ac:dyDescent="0.2">
      <c r="A1411" s="295">
        <v>1407</v>
      </c>
      <c r="B1411" s="390" t="s">
        <v>8917</v>
      </c>
      <c r="C1411" s="390"/>
      <c r="D1411" s="391" t="s">
        <v>8918</v>
      </c>
      <c r="E1411" s="705" t="s">
        <v>8919</v>
      </c>
      <c r="F1411" s="393" t="s">
        <v>1375</v>
      </c>
      <c r="G1411" s="393" t="s">
        <v>998</v>
      </c>
      <c r="H1411" s="393" t="s">
        <v>218</v>
      </c>
      <c r="I1411" s="392"/>
      <c r="J1411" s="392"/>
      <c r="K1411" s="428" t="s">
        <v>8920</v>
      </c>
      <c r="L1411" s="428" t="s">
        <v>2367</v>
      </c>
      <c r="M1411" s="392"/>
      <c r="N1411" s="475" t="s">
        <v>44</v>
      </c>
      <c r="O1411" s="393" t="s">
        <v>51</v>
      </c>
      <c r="P1411" s="393" t="s">
        <v>51</v>
      </c>
      <c r="Q1411" s="392" t="s">
        <v>976</v>
      </c>
      <c r="R1411" s="428" t="s">
        <v>8922</v>
      </c>
      <c r="S1411" s="428" t="s">
        <v>977</v>
      </c>
      <c r="T1411" s="394">
        <v>1</v>
      </c>
      <c r="U1411" s="395">
        <v>40.064</v>
      </c>
      <c r="V1411" s="395"/>
      <c r="W1411" s="453"/>
      <c r="X1411" s="394"/>
      <c r="Y1411" s="394">
        <v>7</v>
      </c>
      <c r="Z1411" s="394">
        <v>21</v>
      </c>
      <c r="AA1411" s="395"/>
      <c r="AB1411" s="452">
        <v>42461</v>
      </c>
      <c r="AC1411" s="398"/>
      <c r="AD1411" s="398">
        <v>190.44120547945204</v>
      </c>
      <c r="AE1411" s="475" t="s">
        <v>103</v>
      </c>
      <c r="AF1411" s="417"/>
      <c r="AG1411" s="417"/>
      <c r="AH1411" s="417"/>
      <c r="AI1411" s="394"/>
      <c r="AJ1411" s="452"/>
      <c r="AK1411" s="452"/>
      <c r="AL1411" s="393"/>
      <c r="AM1411" s="393"/>
      <c r="AN1411" s="417"/>
      <c r="AO1411" s="392"/>
      <c r="AP1411" s="428" t="s">
        <v>7071</v>
      </c>
      <c r="AQ1411" s="392"/>
      <c r="AR1411" s="428" t="s">
        <v>55</v>
      </c>
      <c r="AS1411" s="479">
        <v>41076</v>
      </c>
      <c r="AT1411" s="453"/>
      <c r="AU1411" s="453"/>
      <c r="AV1411" s="453"/>
      <c r="AW1411" s="453"/>
      <c r="AX1411" s="453"/>
      <c r="AY1411" s="453"/>
      <c r="AZ1411" s="393">
        <v>42669</v>
      </c>
      <c r="BA1411" s="393"/>
      <c r="BB1411" s="393"/>
      <c r="BC1411" s="393" t="b">
        <v>0</v>
      </c>
      <c r="BD1411" s="393"/>
      <c r="BE1411" s="392"/>
      <c r="BF1411" s="394">
        <v>1</v>
      </c>
      <c r="BG1411" s="394">
        <v>6</v>
      </c>
      <c r="BH1411" s="394">
        <v>5</v>
      </c>
      <c r="BI1411" s="394">
        <v>8</v>
      </c>
      <c r="BJ1411" s="394">
        <v>10</v>
      </c>
      <c r="BK1411" s="394">
        <v>6</v>
      </c>
      <c r="BL1411" s="444" t="s">
        <v>6981</v>
      </c>
      <c r="BM1411" s="428" t="s">
        <v>3660</v>
      </c>
      <c r="BN1411" s="475"/>
      <c r="BO1411" s="393"/>
      <c r="BP1411" s="399"/>
      <c r="BQ1411" s="400"/>
      <c r="BR1411" s="401"/>
      <c r="BS1411" s="399"/>
      <c r="BT1411" s="394"/>
      <c r="BU1411" s="417"/>
      <c r="BV1411" s="399">
        <v>180</v>
      </c>
      <c r="BW1411" s="475" t="s">
        <v>3117</v>
      </c>
      <c r="BX1411" s="392"/>
      <c r="BY1411" s="393"/>
      <c r="BZ1411" s="393"/>
      <c r="CA1411" s="441"/>
      <c r="CB1411" s="400"/>
      <c r="CC1411" s="398"/>
      <c r="CD1411" s="398"/>
      <c r="CE1411" s="398"/>
      <c r="CF1411" s="398"/>
      <c r="CG1411" s="398"/>
      <c r="CH1411" s="398"/>
      <c r="CI1411" s="398"/>
      <c r="CJ1411" s="398"/>
      <c r="CK1411" s="398"/>
      <c r="CL1411" s="398">
        <v>10.307</v>
      </c>
      <c r="CM1411" s="398">
        <v>27.244</v>
      </c>
      <c r="CN1411" s="398">
        <v>40.243000000000002</v>
      </c>
      <c r="CO1411" s="398">
        <v>54.055</v>
      </c>
      <c r="CP1411" s="398">
        <v>63.064</v>
      </c>
      <c r="CQ1411" s="398">
        <v>67.569000000000003</v>
      </c>
      <c r="CR1411" s="398">
        <v>17.969000000000001</v>
      </c>
      <c r="CS1411" s="398"/>
      <c r="CT1411" s="398"/>
      <c r="CU1411" s="398"/>
      <c r="CV1411" s="398"/>
      <c r="CW1411" s="398"/>
      <c r="CX1411" s="398"/>
      <c r="CY1411" s="398"/>
      <c r="CZ1411" s="398"/>
      <c r="DA1411" s="398"/>
      <c r="DB1411" s="398"/>
      <c r="DC1411" s="398"/>
      <c r="DD1411" s="398"/>
      <c r="DE1411" s="393"/>
      <c r="DF1411" s="393"/>
      <c r="DG1411" s="393"/>
      <c r="DH1411" s="393"/>
      <c r="DI1411" s="393"/>
      <c r="DJ1411" s="393"/>
      <c r="DK1411" s="897"/>
    </row>
    <row r="1412" spans="1:115" ht="25.5" x14ac:dyDescent="0.2">
      <c r="A1412" s="295">
        <v>1408</v>
      </c>
      <c r="B1412" s="390" t="s">
        <v>9577</v>
      </c>
      <c r="C1412" s="390"/>
      <c r="D1412" s="391" t="s">
        <v>9578</v>
      </c>
      <c r="E1412" s="705" t="s">
        <v>9579</v>
      </c>
      <c r="F1412" s="393" t="s">
        <v>1375</v>
      </c>
      <c r="G1412" s="393" t="s">
        <v>998</v>
      </c>
      <c r="H1412" s="393" t="s">
        <v>218</v>
      </c>
      <c r="I1412" s="392"/>
      <c r="J1412" s="392"/>
      <c r="K1412" s="428" t="s">
        <v>9580</v>
      </c>
      <c r="L1412" s="428" t="s">
        <v>2367</v>
      </c>
      <c r="M1412" s="392"/>
      <c r="N1412" s="475" t="s">
        <v>44</v>
      </c>
      <c r="O1412" s="393" t="s">
        <v>51</v>
      </c>
      <c r="P1412" s="393" t="s">
        <v>51</v>
      </c>
      <c r="Q1412" s="392" t="s">
        <v>976</v>
      </c>
      <c r="R1412" s="428" t="s">
        <v>8922</v>
      </c>
      <c r="S1412" s="428" t="s">
        <v>977</v>
      </c>
      <c r="T1412" s="394">
        <v>1</v>
      </c>
      <c r="U1412" s="395">
        <v>144.339</v>
      </c>
      <c r="V1412" s="395"/>
      <c r="W1412" s="453"/>
      <c r="X1412" s="394"/>
      <c r="Y1412" s="394">
        <v>7</v>
      </c>
      <c r="Z1412" s="394">
        <v>21</v>
      </c>
      <c r="AA1412" s="395"/>
      <c r="AB1412" s="452">
        <v>43263</v>
      </c>
      <c r="AC1412" s="398"/>
      <c r="AD1412" s="398">
        <v>368.95421095890413</v>
      </c>
      <c r="AE1412" s="475" t="s">
        <v>103</v>
      </c>
      <c r="AF1412" s="417"/>
      <c r="AG1412" s="417"/>
      <c r="AH1412" s="417"/>
      <c r="AI1412" s="394"/>
      <c r="AJ1412" s="452"/>
      <c r="AK1412" s="452"/>
      <c r="AL1412" s="393"/>
      <c r="AM1412" s="393"/>
      <c r="AN1412" s="417"/>
      <c r="AO1412" s="392"/>
      <c r="AP1412" s="428" t="s">
        <v>7071</v>
      </c>
      <c r="AQ1412" s="392"/>
      <c r="AR1412" s="428" t="s">
        <v>55</v>
      </c>
      <c r="AS1412" s="479">
        <v>41076</v>
      </c>
      <c r="AT1412" s="453"/>
      <c r="AU1412" s="453"/>
      <c r="AV1412" s="453"/>
      <c r="AW1412" s="453"/>
      <c r="AX1412" s="453"/>
      <c r="AY1412" s="453"/>
      <c r="AZ1412" s="393">
        <v>43263</v>
      </c>
      <c r="BA1412" s="393"/>
      <c r="BB1412" s="393"/>
      <c r="BC1412" s="393" t="b">
        <v>0</v>
      </c>
      <c r="BD1412" s="393"/>
      <c r="BE1412" s="392"/>
      <c r="BF1412" s="394">
        <v>1</v>
      </c>
      <c r="BG1412" s="394">
        <v>6</v>
      </c>
      <c r="BH1412" s="394">
        <v>5</v>
      </c>
      <c r="BI1412" s="394">
        <v>8</v>
      </c>
      <c r="BJ1412" s="394">
        <v>10</v>
      </c>
      <c r="BK1412" s="394">
        <v>6</v>
      </c>
      <c r="BL1412" s="444" t="s">
        <v>6981</v>
      </c>
      <c r="BM1412" s="428"/>
      <c r="BN1412" s="475"/>
      <c r="BO1412" s="393"/>
      <c r="BP1412" s="399"/>
      <c r="BQ1412" s="400"/>
      <c r="BR1412" s="401"/>
      <c r="BS1412" s="399"/>
      <c r="BT1412" s="394"/>
      <c r="BU1412" s="417"/>
      <c r="BV1412" s="399"/>
      <c r="BW1412" s="475"/>
      <c r="BX1412" s="392"/>
      <c r="BY1412" s="393"/>
      <c r="BZ1412" s="393"/>
      <c r="CA1412" s="441"/>
      <c r="CB1412" s="400"/>
      <c r="CC1412" s="398"/>
      <c r="CD1412" s="398"/>
      <c r="CE1412" s="398"/>
      <c r="CF1412" s="398"/>
      <c r="CG1412" s="398"/>
      <c r="CH1412" s="398"/>
      <c r="CI1412" s="398"/>
      <c r="CJ1412" s="398"/>
      <c r="CK1412" s="398"/>
      <c r="CL1412" s="398"/>
      <c r="CM1412" s="398"/>
      <c r="CN1412" s="398">
        <v>132.476</v>
      </c>
      <c r="CO1412" s="398">
        <v>144.34</v>
      </c>
      <c r="CP1412" s="398">
        <v>144.34</v>
      </c>
      <c r="CQ1412" s="398">
        <v>144.339</v>
      </c>
      <c r="CR1412" s="398">
        <v>144.339</v>
      </c>
      <c r="CS1412" s="398">
        <v>144.339</v>
      </c>
      <c r="CT1412" s="398">
        <v>144.339</v>
      </c>
      <c r="CU1412" s="398">
        <v>11.863</v>
      </c>
      <c r="CV1412" s="398"/>
      <c r="CW1412" s="398"/>
      <c r="CX1412" s="398"/>
      <c r="CY1412" s="398"/>
      <c r="CZ1412" s="398"/>
      <c r="DA1412" s="398"/>
      <c r="DB1412" s="398"/>
      <c r="DC1412" s="398"/>
      <c r="DD1412" s="398"/>
      <c r="DE1412" s="393"/>
      <c r="DF1412" s="393"/>
      <c r="DG1412" s="393"/>
      <c r="DH1412" s="393"/>
      <c r="DI1412" s="393"/>
      <c r="DJ1412" s="393"/>
      <c r="DK1412" s="897"/>
    </row>
    <row r="1413" spans="1:115" ht="51" x14ac:dyDescent="0.2">
      <c r="A1413" s="295">
        <v>1409</v>
      </c>
      <c r="B1413" s="390" t="s">
        <v>2275</v>
      </c>
      <c r="C1413" s="424" t="s">
        <v>7770</v>
      </c>
      <c r="D1413" s="391"/>
      <c r="E1413" s="706" t="s">
        <v>2403</v>
      </c>
      <c r="F1413" s="390" t="s">
        <v>1340</v>
      </c>
      <c r="G1413" s="390" t="s">
        <v>1676</v>
      </c>
      <c r="H1413" s="390" t="s">
        <v>58</v>
      </c>
      <c r="I1413" s="402"/>
      <c r="J1413" s="402" t="s">
        <v>58</v>
      </c>
      <c r="K1413" s="402"/>
      <c r="L1413" s="402" t="s">
        <v>2370</v>
      </c>
      <c r="M1413" s="402" t="s">
        <v>3661</v>
      </c>
      <c r="N1413" s="390" t="s">
        <v>33</v>
      </c>
      <c r="O1413" s="390" t="s">
        <v>69</v>
      </c>
      <c r="P1413" s="390" t="s">
        <v>69</v>
      </c>
      <c r="Q1413" s="402" t="s">
        <v>572</v>
      </c>
      <c r="R1413" s="402"/>
      <c r="S1413" s="402" t="s">
        <v>2371</v>
      </c>
      <c r="T1413" s="411">
        <v>1</v>
      </c>
      <c r="U1413" s="412">
        <v>12.125</v>
      </c>
      <c r="V1413" s="412"/>
      <c r="W1413" s="457">
        <v>41122</v>
      </c>
      <c r="X1413" s="411">
        <v>28</v>
      </c>
      <c r="Y1413" s="411"/>
      <c r="Z1413" s="411"/>
      <c r="AA1413" s="412"/>
      <c r="AB1413" s="454"/>
      <c r="AC1413" s="413">
        <v>1.1040000000000001</v>
      </c>
      <c r="AD1413" s="413">
        <v>121.25</v>
      </c>
      <c r="AE1413" s="390" t="s">
        <v>1413</v>
      </c>
      <c r="AF1413" s="419"/>
      <c r="AG1413" s="419"/>
      <c r="AH1413" s="419">
        <v>0</v>
      </c>
      <c r="AI1413" s="411"/>
      <c r="AJ1413" s="454"/>
      <c r="AK1413" s="454"/>
      <c r="AL1413" s="390"/>
      <c r="AM1413" s="390"/>
      <c r="AN1413" s="419"/>
      <c r="AO1413" s="402"/>
      <c r="AP1413" s="402" t="s">
        <v>55</v>
      </c>
      <c r="AQ1413" s="402"/>
      <c r="AR1413" s="402" t="s">
        <v>55</v>
      </c>
      <c r="AS1413" s="481">
        <v>41079</v>
      </c>
      <c r="AT1413" s="454"/>
      <c r="AU1413" s="454"/>
      <c r="AV1413" s="454"/>
      <c r="AW1413" s="454"/>
      <c r="AX1413" s="454"/>
      <c r="AY1413" s="454"/>
      <c r="AZ1413" s="454"/>
      <c r="BA1413" s="390"/>
      <c r="BB1413" s="390" t="s">
        <v>3116</v>
      </c>
      <c r="BC1413" s="390" t="b">
        <v>0</v>
      </c>
      <c r="BD1413" s="390" t="s">
        <v>3116</v>
      </c>
      <c r="BE1413" s="402"/>
      <c r="BF1413" s="411">
        <v>6</v>
      </c>
      <c r="BG1413" s="411">
        <v>4</v>
      </c>
      <c r="BH1413" s="411">
        <v>8</v>
      </c>
      <c r="BI1413" s="411"/>
      <c r="BJ1413" s="411"/>
      <c r="BK1413" s="411"/>
      <c r="BL1413" s="445"/>
      <c r="BM1413" s="402"/>
      <c r="BN1413" s="390"/>
      <c r="BO1413" s="390"/>
      <c r="BP1413" s="414"/>
      <c r="BQ1413" s="415"/>
      <c r="BR1413" s="416"/>
      <c r="BS1413" s="414">
        <v>0</v>
      </c>
      <c r="BT1413" s="411"/>
      <c r="BU1413" s="419"/>
      <c r="BV1413" s="414"/>
      <c r="BW1413" s="390"/>
      <c r="BX1413" s="402"/>
      <c r="BY1413" s="390"/>
      <c r="BZ1413" s="390"/>
      <c r="CA1413" s="442"/>
      <c r="CB1413" s="415"/>
      <c r="CC1413" s="413"/>
      <c r="CD1413" s="413"/>
      <c r="CE1413" s="413"/>
      <c r="CF1413" s="413"/>
      <c r="CG1413" s="413"/>
      <c r="CH1413" s="413"/>
      <c r="CI1413" s="413"/>
      <c r="CJ1413" s="413"/>
      <c r="CK1413" s="413"/>
      <c r="CL1413" s="413"/>
      <c r="CM1413" s="413"/>
      <c r="CN1413" s="413"/>
      <c r="CO1413" s="413"/>
      <c r="CP1413" s="413"/>
      <c r="CQ1413" s="413"/>
      <c r="CR1413" s="413"/>
      <c r="CS1413" s="413"/>
      <c r="CT1413" s="413"/>
      <c r="CU1413" s="413"/>
      <c r="CV1413" s="413"/>
      <c r="CW1413" s="413"/>
      <c r="CX1413" s="413"/>
      <c r="CY1413" s="413"/>
      <c r="CZ1413" s="413"/>
      <c r="DA1413" s="413"/>
      <c r="DB1413" s="413"/>
      <c r="DC1413" s="413"/>
      <c r="DD1413" s="413"/>
      <c r="DE1413" s="390"/>
      <c r="DF1413" s="390"/>
      <c r="DG1413" s="390"/>
      <c r="DH1413" s="390"/>
      <c r="DI1413" s="390"/>
      <c r="DJ1413" s="390"/>
      <c r="DK1413" s="901"/>
    </row>
    <row r="1414" spans="1:115" ht="63.75" x14ac:dyDescent="0.2">
      <c r="A1414" s="295">
        <v>1410</v>
      </c>
      <c r="B1414" s="390" t="s">
        <v>2942</v>
      </c>
      <c r="C1414" s="390"/>
      <c r="D1414" s="391"/>
      <c r="E1414" s="706" t="s">
        <v>2368</v>
      </c>
      <c r="F1414" s="390" t="s">
        <v>1340</v>
      </c>
      <c r="G1414" s="390" t="s">
        <v>1669</v>
      </c>
      <c r="H1414" s="390" t="s">
        <v>58</v>
      </c>
      <c r="I1414" s="402"/>
      <c r="J1414" s="402"/>
      <c r="K1414" s="402" t="s">
        <v>2369</v>
      </c>
      <c r="L1414" s="402" t="s">
        <v>2370</v>
      </c>
      <c r="M1414" s="402"/>
      <c r="N1414" s="390" t="s">
        <v>33</v>
      </c>
      <c r="O1414" s="390" t="s">
        <v>69</v>
      </c>
      <c r="P1414" s="390" t="s">
        <v>69</v>
      </c>
      <c r="Q1414" s="402" t="s">
        <v>572</v>
      </c>
      <c r="R1414" s="402" t="s">
        <v>4146</v>
      </c>
      <c r="S1414" s="402" t="s">
        <v>2371</v>
      </c>
      <c r="T1414" s="411">
        <v>1</v>
      </c>
      <c r="U1414" s="412">
        <v>12.125</v>
      </c>
      <c r="V1414" s="412"/>
      <c r="W1414" s="454"/>
      <c r="X1414" s="411"/>
      <c r="Y1414" s="411">
        <v>10</v>
      </c>
      <c r="Z1414" s="411">
        <v>10</v>
      </c>
      <c r="AA1414" s="412">
        <v>-0.255</v>
      </c>
      <c r="AB1414" s="457">
        <v>41244</v>
      </c>
      <c r="AC1414" s="413">
        <v>1.1040000000000001</v>
      </c>
      <c r="AD1414" s="413">
        <v>121.25</v>
      </c>
      <c r="AE1414" s="390" t="s">
        <v>1413</v>
      </c>
      <c r="AF1414" s="419"/>
      <c r="AG1414" s="419"/>
      <c r="AH1414" s="419"/>
      <c r="AI1414" s="411"/>
      <c r="AJ1414" s="454"/>
      <c r="AK1414" s="454"/>
      <c r="AL1414" s="390"/>
      <c r="AM1414" s="390"/>
      <c r="AN1414" s="419"/>
      <c r="AO1414" s="402"/>
      <c r="AP1414" s="402" t="s">
        <v>55</v>
      </c>
      <c r="AQ1414" s="402"/>
      <c r="AR1414" s="402" t="s">
        <v>55</v>
      </c>
      <c r="AS1414" s="481">
        <v>41079</v>
      </c>
      <c r="AT1414" s="454"/>
      <c r="AU1414" s="454"/>
      <c r="AV1414" s="454"/>
      <c r="AW1414" s="454"/>
      <c r="AX1414" s="454"/>
      <c r="AY1414" s="454"/>
      <c r="AZ1414" s="454"/>
      <c r="BA1414" s="390"/>
      <c r="BB1414" s="390"/>
      <c r="BC1414" s="390" t="b">
        <v>0</v>
      </c>
      <c r="BD1414" s="390"/>
      <c r="BE1414" s="402"/>
      <c r="BF1414" s="411">
        <v>6</v>
      </c>
      <c r="BG1414" s="411">
        <v>4</v>
      </c>
      <c r="BH1414" s="411">
        <v>8</v>
      </c>
      <c r="BI1414" s="411"/>
      <c r="BJ1414" s="411"/>
      <c r="BK1414" s="411"/>
      <c r="BL1414" s="445" t="s">
        <v>6981</v>
      </c>
      <c r="BM1414" s="402"/>
      <c r="BN1414" s="390"/>
      <c r="BO1414" s="390"/>
      <c r="BP1414" s="414"/>
      <c r="BQ1414" s="415"/>
      <c r="BR1414" s="416"/>
      <c r="BS1414" s="414"/>
      <c r="BT1414" s="411"/>
      <c r="BU1414" s="419"/>
      <c r="BV1414" s="414"/>
      <c r="BW1414" s="390" t="s">
        <v>3117</v>
      </c>
      <c r="BX1414" s="402" t="s">
        <v>3199</v>
      </c>
      <c r="BY1414" s="390"/>
      <c r="BZ1414" s="390"/>
      <c r="CA1414" s="442"/>
      <c r="CB1414" s="415"/>
      <c r="CC1414" s="413"/>
      <c r="CD1414" s="413"/>
      <c r="CE1414" s="413"/>
      <c r="CF1414" s="413"/>
      <c r="CG1414" s="413"/>
      <c r="CH1414" s="413"/>
      <c r="CI1414" s="413">
        <v>13.257</v>
      </c>
      <c r="CJ1414" s="413">
        <v>12.992000000000001</v>
      </c>
      <c r="CK1414" s="413">
        <v>12.731999999999999</v>
      </c>
      <c r="CL1414" s="413">
        <v>12.477</v>
      </c>
      <c r="CM1414" s="413">
        <v>12.228</v>
      </c>
      <c r="CN1414" s="413">
        <v>11.983000000000001</v>
      </c>
      <c r="CO1414" s="413">
        <v>11.744</v>
      </c>
      <c r="CP1414" s="413">
        <v>11.509</v>
      </c>
      <c r="CQ1414" s="413">
        <v>11.279</v>
      </c>
      <c r="CR1414" s="413">
        <v>11.053000000000001</v>
      </c>
      <c r="CS1414" s="413"/>
      <c r="CT1414" s="413"/>
      <c r="CU1414" s="413"/>
      <c r="CV1414" s="413"/>
      <c r="CW1414" s="413"/>
      <c r="CX1414" s="413"/>
      <c r="CY1414" s="413"/>
      <c r="CZ1414" s="413"/>
      <c r="DA1414" s="413"/>
      <c r="DB1414" s="413"/>
      <c r="DC1414" s="413"/>
      <c r="DD1414" s="413"/>
      <c r="DE1414" s="390"/>
      <c r="DF1414" s="390"/>
      <c r="DG1414" s="390"/>
      <c r="DH1414" s="390"/>
      <c r="DI1414" s="390"/>
      <c r="DJ1414" s="390"/>
      <c r="DK1414" s="897"/>
    </row>
    <row r="1415" spans="1:115" ht="76.5" x14ac:dyDescent="0.2">
      <c r="A1415" s="295">
        <v>1411</v>
      </c>
      <c r="B1415" s="390" t="s">
        <v>2276</v>
      </c>
      <c r="C1415" s="424" t="s">
        <v>7771</v>
      </c>
      <c r="D1415" s="391" t="s">
        <v>5222</v>
      </c>
      <c r="E1415" s="704" t="s">
        <v>2404</v>
      </c>
      <c r="F1415" s="393" t="s">
        <v>1375</v>
      </c>
      <c r="G1415" s="393" t="s">
        <v>1669</v>
      </c>
      <c r="H1415" s="393" t="s">
        <v>818</v>
      </c>
      <c r="I1415" s="392"/>
      <c r="J1415" s="392" t="s">
        <v>818</v>
      </c>
      <c r="K1415" s="392"/>
      <c r="L1415" s="392" t="s">
        <v>2373</v>
      </c>
      <c r="M1415" s="392" t="s">
        <v>3662</v>
      </c>
      <c r="N1415" s="393" t="s">
        <v>44</v>
      </c>
      <c r="O1415" s="393" t="s">
        <v>669</v>
      </c>
      <c r="P1415" s="393" t="s">
        <v>669</v>
      </c>
      <c r="Q1415" s="392" t="s">
        <v>681</v>
      </c>
      <c r="R1415" s="392"/>
      <c r="S1415" s="392" t="s">
        <v>2374</v>
      </c>
      <c r="T1415" s="394">
        <v>1</v>
      </c>
      <c r="U1415" s="395">
        <v>0.155</v>
      </c>
      <c r="V1415" s="395"/>
      <c r="W1415" s="452">
        <v>41061</v>
      </c>
      <c r="X1415" s="394">
        <v>28</v>
      </c>
      <c r="Y1415" s="394"/>
      <c r="Z1415" s="394"/>
      <c r="AA1415" s="395"/>
      <c r="AB1415" s="453"/>
      <c r="AC1415" s="398">
        <v>0</v>
      </c>
      <c r="AD1415" s="398">
        <v>1.55</v>
      </c>
      <c r="AE1415" s="393" t="s">
        <v>72</v>
      </c>
      <c r="AF1415" s="417"/>
      <c r="AG1415" s="417"/>
      <c r="AH1415" s="417">
        <v>0</v>
      </c>
      <c r="AI1415" s="394"/>
      <c r="AJ1415" s="453"/>
      <c r="AK1415" s="453"/>
      <c r="AL1415" s="393"/>
      <c r="AM1415" s="393"/>
      <c r="AN1415" s="417"/>
      <c r="AO1415" s="392"/>
      <c r="AP1415" s="392" t="s">
        <v>55</v>
      </c>
      <c r="AQ1415" s="392"/>
      <c r="AR1415" s="392" t="s">
        <v>55</v>
      </c>
      <c r="AS1415" s="479">
        <v>41086</v>
      </c>
      <c r="AT1415" s="453"/>
      <c r="AU1415" s="453"/>
      <c r="AV1415" s="452">
        <v>41061</v>
      </c>
      <c r="AW1415" s="452">
        <v>41271</v>
      </c>
      <c r="AX1415" s="452">
        <v>41440</v>
      </c>
      <c r="AY1415" s="452">
        <v>41271</v>
      </c>
      <c r="AZ1415" s="453"/>
      <c r="BA1415" s="393"/>
      <c r="BB1415" s="393" t="s">
        <v>3147</v>
      </c>
      <c r="BC1415" s="393" t="b">
        <v>1</v>
      </c>
      <c r="BD1415" s="393" t="s">
        <v>3147</v>
      </c>
      <c r="BE1415" s="392"/>
      <c r="BF1415" s="394">
        <v>1</v>
      </c>
      <c r="BG1415" s="394">
        <v>6</v>
      </c>
      <c r="BH1415" s="394">
        <v>9</v>
      </c>
      <c r="BI1415" s="394"/>
      <c r="BJ1415" s="394"/>
      <c r="BK1415" s="394"/>
      <c r="BL1415" s="444"/>
      <c r="BM1415" s="392"/>
      <c r="BN1415" s="393"/>
      <c r="BO1415" s="393"/>
      <c r="BP1415" s="399"/>
      <c r="BQ1415" s="400"/>
      <c r="BR1415" s="401"/>
      <c r="BS1415" s="399">
        <v>0</v>
      </c>
      <c r="BT1415" s="394"/>
      <c r="BU1415" s="417"/>
      <c r="BV1415" s="399"/>
      <c r="BW1415" s="393"/>
      <c r="BX1415" s="392"/>
      <c r="BY1415" s="393"/>
      <c r="BZ1415" s="393"/>
      <c r="CA1415" s="441"/>
      <c r="CB1415" s="400"/>
      <c r="CC1415" s="398"/>
      <c r="CD1415" s="398"/>
      <c r="CE1415" s="398"/>
      <c r="CF1415" s="398"/>
      <c r="CG1415" s="398"/>
      <c r="CH1415" s="398"/>
      <c r="CI1415" s="398"/>
      <c r="CJ1415" s="398"/>
      <c r="CK1415" s="398"/>
      <c r="CL1415" s="398"/>
      <c r="CM1415" s="398"/>
      <c r="CN1415" s="398"/>
      <c r="CO1415" s="398"/>
      <c r="CP1415" s="398"/>
      <c r="CQ1415" s="398"/>
      <c r="CR1415" s="398"/>
      <c r="CS1415" s="398"/>
      <c r="CT1415" s="398"/>
      <c r="CU1415" s="398"/>
      <c r="CV1415" s="398"/>
      <c r="CW1415" s="398"/>
      <c r="CX1415" s="398"/>
      <c r="CY1415" s="398"/>
      <c r="CZ1415" s="398"/>
      <c r="DA1415" s="398"/>
      <c r="DB1415" s="398"/>
      <c r="DC1415" s="398"/>
      <c r="DD1415" s="398"/>
      <c r="DE1415" s="393"/>
      <c r="DF1415" s="393"/>
      <c r="DG1415" s="393"/>
      <c r="DH1415" s="393"/>
      <c r="DI1415" s="393"/>
      <c r="DJ1415" s="393"/>
      <c r="DK1415" s="896" t="s">
        <v>9700</v>
      </c>
    </row>
    <row r="1416" spans="1:115" ht="25.5" x14ac:dyDescent="0.2">
      <c r="A1416" s="295">
        <v>1412</v>
      </c>
      <c r="B1416" s="390" t="s">
        <v>2943</v>
      </c>
      <c r="C1416" s="390"/>
      <c r="D1416" s="391" t="s">
        <v>5223</v>
      </c>
      <c r="E1416" s="704" t="s">
        <v>2372</v>
      </c>
      <c r="F1416" s="393" t="s">
        <v>1375</v>
      </c>
      <c r="G1416" s="393" t="s">
        <v>1669</v>
      </c>
      <c r="H1416" s="393" t="s">
        <v>818</v>
      </c>
      <c r="I1416" s="392"/>
      <c r="J1416" s="392"/>
      <c r="K1416" s="392" t="s">
        <v>825</v>
      </c>
      <c r="L1416" s="392" t="s">
        <v>2373</v>
      </c>
      <c r="M1416" s="392"/>
      <c r="N1416" s="393" t="s">
        <v>44</v>
      </c>
      <c r="O1416" s="393" t="s">
        <v>669</v>
      </c>
      <c r="P1416" s="393" t="s">
        <v>669</v>
      </c>
      <c r="Q1416" s="392" t="s">
        <v>681</v>
      </c>
      <c r="R1416" s="392" t="s">
        <v>4147</v>
      </c>
      <c r="S1416" s="392" t="s">
        <v>2374</v>
      </c>
      <c r="T1416" s="394">
        <v>1</v>
      </c>
      <c r="U1416" s="395">
        <v>0.155</v>
      </c>
      <c r="V1416" s="395"/>
      <c r="W1416" s="453"/>
      <c r="X1416" s="394"/>
      <c r="Y1416" s="394">
        <v>10</v>
      </c>
      <c r="Z1416" s="394">
        <v>15</v>
      </c>
      <c r="AA1416" s="395">
        <v>0</v>
      </c>
      <c r="AB1416" s="452">
        <v>41334</v>
      </c>
      <c r="AC1416" s="398">
        <v>0</v>
      </c>
      <c r="AD1416" s="398">
        <v>1.55</v>
      </c>
      <c r="AE1416" s="393" t="s">
        <v>72</v>
      </c>
      <c r="AF1416" s="417"/>
      <c r="AG1416" s="417"/>
      <c r="AH1416" s="417"/>
      <c r="AI1416" s="394"/>
      <c r="AJ1416" s="453"/>
      <c r="AK1416" s="453"/>
      <c r="AL1416" s="393"/>
      <c r="AM1416" s="393"/>
      <c r="AN1416" s="417"/>
      <c r="AO1416" s="392"/>
      <c r="AP1416" s="392" t="s">
        <v>55</v>
      </c>
      <c r="AQ1416" s="392"/>
      <c r="AR1416" s="392" t="s">
        <v>55</v>
      </c>
      <c r="AS1416" s="479">
        <v>41086</v>
      </c>
      <c r="AT1416" s="453"/>
      <c r="AU1416" s="453"/>
      <c r="AV1416" s="453"/>
      <c r="AW1416" s="453"/>
      <c r="AX1416" s="453"/>
      <c r="AY1416" s="453"/>
      <c r="AZ1416" s="452">
        <v>41271</v>
      </c>
      <c r="BA1416" s="393"/>
      <c r="BB1416" s="393"/>
      <c r="BC1416" s="393" t="b">
        <v>0</v>
      </c>
      <c r="BD1416" s="393"/>
      <c r="BE1416" s="392"/>
      <c r="BF1416" s="394">
        <v>1</v>
      </c>
      <c r="BG1416" s="394">
        <v>6</v>
      </c>
      <c r="BH1416" s="394">
        <v>9</v>
      </c>
      <c r="BI1416" s="394"/>
      <c r="BJ1416" s="394"/>
      <c r="BK1416" s="394"/>
      <c r="BL1416" s="444" t="s">
        <v>6981</v>
      </c>
      <c r="BM1416" s="392"/>
      <c r="BN1416" s="393"/>
      <c r="BO1416" s="393"/>
      <c r="BP1416" s="399"/>
      <c r="BQ1416" s="400"/>
      <c r="BR1416" s="401"/>
      <c r="BS1416" s="399"/>
      <c r="BT1416" s="394"/>
      <c r="BU1416" s="417"/>
      <c r="BV1416" s="399"/>
      <c r="BW1416" s="393" t="s">
        <v>3117</v>
      </c>
      <c r="BX1416" s="392" t="s">
        <v>1447</v>
      </c>
      <c r="BY1416" s="393" t="s">
        <v>7224</v>
      </c>
      <c r="BZ1416" s="393"/>
      <c r="CA1416" s="441"/>
      <c r="CB1416" s="400"/>
      <c r="CC1416" s="398"/>
      <c r="CD1416" s="398"/>
      <c r="CE1416" s="398"/>
      <c r="CF1416" s="398"/>
      <c r="CG1416" s="398"/>
      <c r="CH1416" s="398"/>
      <c r="CI1416" s="398">
        <v>0.155</v>
      </c>
      <c r="CJ1416" s="398">
        <v>0.155</v>
      </c>
      <c r="CK1416" s="398">
        <v>0.155</v>
      </c>
      <c r="CL1416" s="398">
        <v>0.155</v>
      </c>
      <c r="CM1416" s="398">
        <v>0.155</v>
      </c>
      <c r="CN1416" s="398">
        <v>0.155</v>
      </c>
      <c r="CO1416" s="398">
        <v>0.155</v>
      </c>
      <c r="CP1416" s="398">
        <v>0.155</v>
      </c>
      <c r="CQ1416" s="398">
        <v>0.155</v>
      </c>
      <c r="CR1416" s="398">
        <v>0.155</v>
      </c>
      <c r="CS1416" s="398"/>
      <c r="CT1416" s="398"/>
      <c r="CU1416" s="398"/>
      <c r="CV1416" s="398"/>
      <c r="CW1416" s="398"/>
      <c r="CX1416" s="398"/>
      <c r="CY1416" s="398"/>
      <c r="CZ1416" s="398"/>
      <c r="DA1416" s="398"/>
      <c r="DB1416" s="398"/>
      <c r="DC1416" s="398"/>
      <c r="DD1416" s="398"/>
      <c r="DE1416" s="393"/>
      <c r="DF1416" s="393"/>
      <c r="DG1416" s="393"/>
      <c r="DH1416" s="393"/>
      <c r="DI1416" s="393"/>
      <c r="DJ1416" s="393"/>
      <c r="DK1416" s="897"/>
    </row>
    <row r="1417" spans="1:115" ht="38.25" x14ac:dyDescent="0.2">
      <c r="A1417" s="295">
        <v>1413</v>
      </c>
      <c r="B1417" s="390" t="s">
        <v>2277</v>
      </c>
      <c r="C1417" s="424" t="s">
        <v>7772</v>
      </c>
      <c r="D1417" s="391"/>
      <c r="E1417" s="844" t="s">
        <v>2405</v>
      </c>
      <c r="F1417" s="390" t="s">
        <v>1352</v>
      </c>
      <c r="G1417" s="390" t="s">
        <v>1672</v>
      </c>
      <c r="H1417" s="390" t="s">
        <v>684</v>
      </c>
      <c r="I1417" s="816"/>
      <c r="J1417" s="816" t="s">
        <v>684</v>
      </c>
      <c r="K1417" s="816"/>
      <c r="L1417" s="816" t="s">
        <v>2377</v>
      </c>
      <c r="M1417" s="816" t="s">
        <v>3663</v>
      </c>
      <c r="N1417" s="577" t="s">
        <v>33</v>
      </c>
      <c r="O1417" s="390" t="s">
        <v>69</v>
      </c>
      <c r="P1417" s="390" t="s">
        <v>69</v>
      </c>
      <c r="Q1417" s="402" t="s">
        <v>685</v>
      </c>
      <c r="R1417" s="816"/>
      <c r="S1417" s="816" t="s">
        <v>2378</v>
      </c>
      <c r="T1417" s="851">
        <v>1</v>
      </c>
      <c r="U1417" s="852">
        <v>36.063000000000002</v>
      </c>
      <c r="V1417" s="852"/>
      <c r="W1417" s="856">
        <v>41086</v>
      </c>
      <c r="X1417" s="851">
        <v>28</v>
      </c>
      <c r="Y1417" s="851"/>
      <c r="Z1417" s="851"/>
      <c r="AA1417" s="852"/>
      <c r="AB1417" s="858"/>
      <c r="AC1417" s="862">
        <v>0</v>
      </c>
      <c r="AD1417" s="862">
        <v>360.63</v>
      </c>
      <c r="AE1417" s="577" t="s">
        <v>96</v>
      </c>
      <c r="AF1417" s="866"/>
      <c r="AG1417" s="866"/>
      <c r="AH1417" s="866">
        <v>0</v>
      </c>
      <c r="AI1417" s="851"/>
      <c r="AJ1417" s="858"/>
      <c r="AK1417" s="858"/>
      <c r="AL1417" s="577"/>
      <c r="AM1417" s="577"/>
      <c r="AN1417" s="866"/>
      <c r="AO1417" s="816"/>
      <c r="AP1417" s="402" t="s">
        <v>55</v>
      </c>
      <c r="AQ1417" s="816"/>
      <c r="AR1417" s="816" t="s">
        <v>55</v>
      </c>
      <c r="AS1417" s="481">
        <v>41088</v>
      </c>
      <c r="AT1417" s="858"/>
      <c r="AU1417" s="858"/>
      <c r="AV1417" s="858"/>
      <c r="AW1417" s="858"/>
      <c r="AX1417" s="858"/>
      <c r="AY1417" s="858"/>
      <c r="AZ1417" s="858"/>
      <c r="BA1417" s="577"/>
      <c r="BB1417" s="577" t="s">
        <v>3147</v>
      </c>
      <c r="BC1417" s="577" t="b">
        <v>0</v>
      </c>
      <c r="BD1417" s="577" t="s">
        <v>3147</v>
      </c>
      <c r="BE1417" s="816"/>
      <c r="BF1417" s="411">
        <v>5</v>
      </c>
      <c r="BG1417" s="411">
        <v>9</v>
      </c>
      <c r="BH1417" s="411">
        <v>6</v>
      </c>
      <c r="BI1417" s="411">
        <v>1</v>
      </c>
      <c r="BJ1417" s="411">
        <v>3</v>
      </c>
      <c r="BK1417" s="411">
        <v>4</v>
      </c>
      <c r="BL1417" s="445"/>
      <c r="BM1417" s="816"/>
      <c r="BN1417" s="577"/>
      <c r="BO1417" s="577"/>
      <c r="BP1417" s="875"/>
      <c r="BQ1417" s="880"/>
      <c r="BR1417" s="885"/>
      <c r="BS1417" s="875">
        <v>1</v>
      </c>
      <c r="BT1417" s="851"/>
      <c r="BU1417" s="866"/>
      <c r="BV1417" s="875"/>
      <c r="BW1417" s="577"/>
      <c r="BX1417" s="816"/>
      <c r="BY1417" s="577"/>
      <c r="BZ1417" s="577"/>
      <c r="CA1417" s="890"/>
      <c r="CB1417" s="880"/>
      <c r="CC1417" s="862"/>
      <c r="CD1417" s="862"/>
      <c r="CE1417" s="862"/>
      <c r="CF1417" s="862"/>
      <c r="CG1417" s="862"/>
      <c r="CH1417" s="862"/>
      <c r="CI1417" s="862"/>
      <c r="CJ1417" s="862"/>
      <c r="CK1417" s="862"/>
      <c r="CL1417" s="862"/>
      <c r="CM1417" s="862"/>
      <c r="CN1417" s="862"/>
      <c r="CO1417" s="862"/>
      <c r="CP1417" s="862"/>
      <c r="CQ1417" s="862"/>
      <c r="CR1417" s="862"/>
      <c r="CS1417" s="862"/>
      <c r="CT1417" s="862"/>
      <c r="CU1417" s="862"/>
      <c r="CV1417" s="862"/>
      <c r="CW1417" s="862"/>
      <c r="CX1417" s="862"/>
      <c r="CY1417" s="862"/>
      <c r="CZ1417" s="862"/>
      <c r="DA1417" s="862"/>
      <c r="DB1417" s="862"/>
      <c r="DC1417" s="862"/>
      <c r="DD1417" s="862"/>
      <c r="DE1417" s="577"/>
      <c r="DF1417" s="577"/>
      <c r="DG1417" s="577"/>
      <c r="DH1417" s="577"/>
      <c r="DI1417" s="577"/>
      <c r="DJ1417" s="577"/>
      <c r="DK1417" s="901"/>
    </row>
    <row r="1418" spans="1:115" ht="38.25" x14ac:dyDescent="0.2">
      <c r="A1418" s="295">
        <v>1414</v>
      </c>
      <c r="B1418" s="390" t="s">
        <v>2944</v>
      </c>
      <c r="C1418" s="390"/>
      <c r="D1418" s="391"/>
      <c r="E1418" s="844" t="s">
        <v>2375</v>
      </c>
      <c r="F1418" s="390" t="s">
        <v>1352</v>
      </c>
      <c r="G1418" s="390" t="s">
        <v>1672</v>
      </c>
      <c r="H1418" s="390" t="s">
        <v>684</v>
      </c>
      <c r="I1418" s="816"/>
      <c r="J1418" s="816"/>
      <c r="K1418" s="816" t="s">
        <v>2376</v>
      </c>
      <c r="L1418" s="816" t="s">
        <v>2377</v>
      </c>
      <c r="M1418" s="816"/>
      <c r="N1418" s="577" t="s">
        <v>33</v>
      </c>
      <c r="O1418" s="390" t="s">
        <v>69</v>
      </c>
      <c r="P1418" s="390" t="s">
        <v>69</v>
      </c>
      <c r="Q1418" s="402" t="s">
        <v>685</v>
      </c>
      <c r="R1418" s="816" t="s">
        <v>3664</v>
      </c>
      <c r="S1418" s="816" t="s">
        <v>2378</v>
      </c>
      <c r="T1418" s="851">
        <v>1</v>
      </c>
      <c r="U1418" s="852">
        <v>36.063000000000002</v>
      </c>
      <c r="V1418" s="852"/>
      <c r="W1418" s="858"/>
      <c r="X1418" s="851"/>
      <c r="Y1418" s="851">
        <v>10</v>
      </c>
      <c r="Z1418" s="851">
        <v>15</v>
      </c>
      <c r="AA1418" s="852">
        <v>0</v>
      </c>
      <c r="AB1418" s="856">
        <v>41365</v>
      </c>
      <c r="AC1418" s="862">
        <v>0</v>
      </c>
      <c r="AD1418" s="862">
        <v>360.63</v>
      </c>
      <c r="AE1418" s="577" t="s">
        <v>96</v>
      </c>
      <c r="AF1418" s="866"/>
      <c r="AG1418" s="866"/>
      <c r="AH1418" s="866"/>
      <c r="AI1418" s="851"/>
      <c r="AJ1418" s="858"/>
      <c r="AK1418" s="858"/>
      <c r="AL1418" s="577"/>
      <c r="AM1418" s="577"/>
      <c r="AN1418" s="866"/>
      <c r="AO1418" s="816"/>
      <c r="AP1418" s="816" t="s">
        <v>55</v>
      </c>
      <c r="AQ1418" s="816"/>
      <c r="AR1418" s="816" t="s">
        <v>55</v>
      </c>
      <c r="AS1418" s="728">
        <v>41088</v>
      </c>
      <c r="AT1418" s="858"/>
      <c r="AU1418" s="858"/>
      <c r="AV1418" s="858"/>
      <c r="AW1418" s="858"/>
      <c r="AX1418" s="858"/>
      <c r="AY1418" s="858"/>
      <c r="AZ1418" s="858"/>
      <c r="BA1418" s="577"/>
      <c r="BB1418" s="577"/>
      <c r="BC1418" s="577" t="b">
        <v>0</v>
      </c>
      <c r="BD1418" s="577"/>
      <c r="BE1418" s="816"/>
      <c r="BF1418" s="411">
        <v>5</v>
      </c>
      <c r="BG1418" s="411">
        <v>9</v>
      </c>
      <c r="BH1418" s="411">
        <v>6</v>
      </c>
      <c r="BI1418" s="411">
        <v>1</v>
      </c>
      <c r="BJ1418" s="411">
        <v>3</v>
      </c>
      <c r="BK1418" s="411">
        <v>4</v>
      </c>
      <c r="BL1418" s="445" t="s">
        <v>6981</v>
      </c>
      <c r="BM1418" s="816"/>
      <c r="BN1418" s="577"/>
      <c r="BO1418" s="577"/>
      <c r="BP1418" s="875"/>
      <c r="BQ1418" s="880"/>
      <c r="BR1418" s="885"/>
      <c r="BS1418" s="875">
        <v>1</v>
      </c>
      <c r="BT1418" s="851">
        <v>9648</v>
      </c>
      <c r="BU1418" s="866">
        <v>0.68300000000000005</v>
      </c>
      <c r="BV1418" s="875"/>
      <c r="BW1418" s="577" t="s">
        <v>3117</v>
      </c>
      <c r="BX1418" s="816" t="s">
        <v>3199</v>
      </c>
      <c r="BY1418" s="577"/>
      <c r="BZ1418" s="577"/>
      <c r="CA1418" s="890" t="s">
        <v>1663</v>
      </c>
      <c r="CB1418" s="880">
        <v>4</v>
      </c>
      <c r="CC1418" s="862"/>
      <c r="CD1418" s="862"/>
      <c r="CE1418" s="862"/>
      <c r="CF1418" s="862"/>
      <c r="CG1418" s="862"/>
      <c r="CH1418" s="862"/>
      <c r="CI1418" s="862">
        <v>27.047000000000001</v>
      </c>
      <c r="CJ1418" s="862">
        <v>36.063000000000002</v>
      </c>
      <c r="CK1418" s="862">
        <v>36.063000000000002</v>
      </c>
      <c r="CL1418" s="862">
        <v>36.063000000000002</v>
      </c>
      <c r="CM1418" s="862">
        <v>36.063000000000002</v>
      </c>
      <c r="CN1418" s="862">
        <v>36.063000000000002</v>
      </c>
      <c r="CO1418" s="862">
        <v>36.063000000000002</v>
      </c>
      <c r="CP1418" s="862">
        <v>36.063000000000002</v>
      </c>
      <c r="CQ1418" s="862">
        <v>36.063000000000002</v>
      </c>
      <c r="CR1418" s="862">
        <v>36.063000000000002</v>
      </c>
      <c r="CS1418" s="862">
        <v>9.016</v>
      </c>
      <c r="CT1418" s="862"/>
      <c r="CU1418" s="862"/>
      <c r="CV1418" s="862"/>
      <c r="CW1418" s="862"/>
      <c r="CX1418" s="862"/>
      <c r="CY1418" s="862"/>
      <c r="CZ1418" s="862"/>
      <c r="DA1418" s="862"/>
      <c r="DB1418" s="862"/>
      <c r="DC1418" s="862"/>
      <c r="DD1418" s="862"/>
      <c r="DE1418" s="577"/>
      <c r="DF1418" s="577"/>
      <c r="DG1418" s="577"/>
      <c r="DH1418" s="577"/>
      <c r="DI1418" s="577"/>
      <c r="DJ1418" s="577"/>
      <c r="DK1418" s="897"/>
    </row>
    <row r="1419" spans="1:115" ht="63.75" x14ac:dyDescent="0.2">
      <c r="A1419" s="295">
        <v>1415</v>
      </c>
      <c r="B1419" s="390" t="s">
        <v>2278</v>
      </c>
      <c r="C1419" s="424" t="s">
        <v>7773</v>
      </c>
      <c r="D1419" s="391" t="s">
        <v>5224</v>
      </c>
      <c r="E1419" s="704" t="s">
        <v>2406</v>
      </c>
      <c r="F1419" s="393" t="s">
        <v>1375</v>
      </c>
      <c r="G1419" s="393" t="s">
        <v>1361</v>
      </c>
      <c r="H1419" s="393" t="s">
        <v>137</v>
      </c>
      <c r="I1419" s="392"/>
      <c r="J1419" s="392" t="s">
        <v>137</v>
      </c>
      <c r="K1419" s="392"/>
      <c r="L1419" s="392" t="s">
        <v>2380</v>
      </c>
      <c r="M1419" s="392" t="s">
        <v>3665</v>
      </c>
      <c r="N1419" s="393" t="s">
        <v>44</v>
      </c>
      <c r="O1419" s="393" t="s">
        <v>827</v>
      </c>
      <c r="P1419" s="393" t="s">
        <v>827</v>
      </c>
      <c r="Q1419" s="392" t="s">
        <v>923</v>
      </c>
      <c r="R1419" s="392"/>
      <c r="S1419" s="392" t="s">
        <v>5225</v>
      </c>
      <c r="T1419" s="394">
        <v>1</v>
      </c>
      <c r="U1419" s="395">
        <v>28.808</v>
      </c>
      <c r="V1419" s="395"/>
      <c r="W1419" s="452">
        <v>41275</v>
      </c>
      <c r="X1419" s="394">
        <v>28</v>
      </c>
      <c r="Y1419" s="394"/>
      <c r="Z1419" s="394"/>
      <c r="AA1419" s="395"/>
      <c r="AB1419" s="453"/>
      <c r="AC1419" s="398">
        <v>0</v>
      </c>
      <c r="AD1419" s="398">
        <v>288.08</v>
      </c>
      <c r="AE1419" s="393" t="s">
        <v>47</v>
      </c>
      <c r="AF1419" s="417"/>
      <c r="AG1419" s="417"/>
      <c r="AH1419" s="417">
        <v>0</v>
      </c>
      <c r="AI1419" s="394"/>
      <c r="AJ1419" s="453"/>
      <c r="AK1419" s="453"/>
      <c r="AL1419" s="393"/>
      <c r="AM1419" s="393"/>
      <c r="AN1419" s="417"/>
      <c r="AO1419" s="392"/>
      <c r="AP1419" s="392" t="s">
        <v>55</v>
      </c>
      <c r="AQ1419" s="392"/>
      <c r="AR1419" s="392" t="s">
        <v>55</v>
      </c>
      <c r="AS1419" s="479">
        <v>41088</v>
      </c>
      <c r="AT1419" s="453"/>
      <c r="AU1419" s="453"/>
      <c r="AV1419" s="452">
        <v>41173</v>
      </c>
      <c r="AW1419" s="452">
        <v>41267</v>
      </c>
      <c r="AX1419" s="452">
        <v>41451</v>
      </c>
      <c r="AY1419" s="452">
        <v>41274</v>
      </c>
      <c r="AZ1419" s="453"/>
      <c r="BA1419" s="393"/>
      <c r="BB1419" s="393" t="s">
        <v>3147</v>
      </c>
      <c r="BC1419" s="393" t="b">
        <v>0</v>
      </c>
      <c r="BD1419" s="393" t="s">
        <v>3147</v>
      </c>
      <c r="BE1419" s="392"/>
      <c r="BF1419" s="394">
        <v>9</v>
      </c>
      <c r="BG1419" s="394">
        <v>10</v>
      </c>
      <c r="BH1419" s="394">
        <v>5</v>
      </c>
      <c r="BI1419" s="394">
        <v>8</v>
      </c>
      <c r="BJ1419" s="394"/>
      <c r="BK1419" s="394"/>
      <c r="BL1419" s="444"/>
      <c r="BM1419" s="392"/>
      <c r="BN1419" s="393"/>
      <c r="BO1419" s="393"/>
      <c r="BP1419" s="399"/>
      <c r="BQ1419" s="400"/>
      <c r="BR1419" s="401"/>
      <c r="BS1419" s="399">
        <v>0</v>
      </c>
      <c r="BT1419" s="394"/>
      <c r="BU1419" s="417"/>
      <c r="BV1419" s="399"/>
      <c r="BW1419" s="393"/>
      <c r="BX1419" s="392"/>
      <c r="BY1419" s="393"/>
      <c r="BZ1419" s="393"/>
      <c r="CA1419" s="441"/>
      <c r="CB1419" s="400"/>
      <c r="CC1419" s="398"/>
      <c r="CD1419" s="398"/>
      <c r="CE1419" s="398"/>
      <c r="CF1419" s="398"/>
      <c r="CG1419" s="398"/>
      <c r="CH1419" s="398"/>
      <c r="CI1419" s="398"/>
      <c r="CJ1419" s="398"/>
      <c r="CK1419" s="398"/>
      <c r="CL1419" s="398"/>
      <c r="CM1419" s="398"/>
      <c r="CN1419" s="398"/>
      <c r="CO1419" s="398"/>
      <c r="CP1419" s="398"/>
      <c r="CQ1419" s="398"/>
      <c r="CR1419" s="398"/>
      <c r="CS1419" s="398"/>
      <c r="CT1419" s="398"/>
      <c r="CU1419" s="398"/>
      <c r="CV1419" s="398"/>
      <c r="CW1419" s="398"/>
      <c r="CX1419" s="398"/>
      <c r="CY1419" s="398"/>
      <c r="CZ1419" s="398"/>
      <c r="DA1419" s="398"/>
      <c r="DB1419" s="398"/>
      <c r="DC1419" s="398"/>
      <c r="DD1419" s="398"/>
      <c r="DE1419" s="393"/>
      <c r="DF1419" s="393"/>
      <c r="DG1419" s="393"/>
      <c r="DH1419" s="393"/>
      <c r="DI1419" s="393"/>
      <c r="DJ1419" s="393"/>
      <c r="DK1419" s="896" t="s">
        <v>9701</v>
      </c>
    </row>
    <row r="1420" spans="1:115" ht="25.5" x14ac:dyDescent="0.2">
      <c r="A1420" s="295">
        <v>1416</v>
      </c>
      <c r="B1420" s="390" t="s">
        <v>2945</v>
      </c>
      <c r="C1420" s="390"/>
      <c r="D1420" s="391" t="s">
        <v>5226</v>
      </c>
      <c r="E1420" s="704" t="s">
        <v>2379</v>
      </c>
      <c r="F1420" s="393" t="s">
        <v>1375</v>
      </c>
      <c r="G1420" s="393" t="s">
        <v>1361</v>
      </c>
      <c r="H1420" s="393" t="s">
        <v>137</v>
      </c>
      <c r="I1420" s="392"/>
      <c r="J1420" s="392"/>
      <c r="K1420" s="392" t="s">
        <v>2380</v>
      </c>
      <c r="L1420" s="392" t="s">
        <v>2380</v>
      </c>
      <c r="M1420" s="392"/>
      <c r="N1420" s="393" t="s">
        <v>44</v>
      </c>
      <c r="O1420" s="393" t="s">
        <v>827</v>
      </c>
      <c r="P1420" s="393" t="s">
        <v>827</v>
      </c>
      <c r="Q1420" s="392" t="s">
        <v>923</v>
      </c>
      <c r="R1420" s="392" t="s">
        <v>3666</v>
      </c>
      <c r="S1420" s="392" t="s">
        <v>5225</v>
      </c>
      <c r="T1420" s="394">
        <v>1</v>
      </c>
      <c r="U1420" s="395">
        <v>28.808</v>
      </c>
      <c r="V1420" s="395"/>
      <c r="W1420" s="453"/>
      <c r="X1420" s="394"/>
      <c r="Y1420" s="394">
        <v>10</v>
      </c>
      <c r="Z1420" s="394">
        <v>10</v>
      </c>
      <c r="AA1420" s="395">
        <v>0</v>
      </c>
      <c r="AB1420" s="452">
        <v>41306</v>
      </c>
      <c r="AC1420" s="398">
        <v>0</v>
      </c>
      <c r="AD1420" s="398">
        <v>288.08</v>
      </c>
      <c r="AE1420" s="393" t="s">
        <v>47</v>
      </c>
      <c r="AF1420" s="417"/>
      <c r="AG1420" s="417"/>
      <c r="AH1420" s="417"/>
      <c r="AI1420" s="394"/>
      <c r="AJ1420" s="453"/>
      <c r="AK1420" s="453"/>
      <c r="AL1420" s="393"/>
      <c r="AM1420" s="393"/>
      <c r="AN1420" s="417"/>
      <c r="AO1420" s="392"/>
      <c r="AP1420" s="392" t="s">
        <v>55</v>
      </c>
      <c r="AQ1420" s="392"/>
      <c r="AR1420" s="392" t="s">
        <v>55</v>
      </c>
      <c r="AS1420" s="479">
        <v>41088</v>
      </c>
      <c r="AT1420" s="453"/>
      <c r="AU1420" s="453"/>
      <c r="AV1420" s="453"/>
      <c r="AW1420" s="453"/>
      <c r="AX1420" s="453"/>
      <c r="AY1420" s="453"/>
      <c r="AZ1420" s="452">
        <v>41274</v>
      </c>
      <c r="BA1420" s="393"/>
      <c r="BB1420" s="393"/>
      <c r="BC1420" s="393" t="b">
        <v>0</v>
      </c>
      <c r="BD1420" s="393"/>
      <c r="BE1420" s="392"/>
      <c r="BF1420" s="394">
        <v>9</v>
      </c>
      <c r="BG1420" s="394">
        <v>10</v>
      </c>
      <c r="BH1420" s="394">
        <v>5</v>
      </c>
      <c r="BI1420" s="394">
        <v>8</v>
      </c>
      <c r="BJ1420" s="394"/>
      <c r="BK1420" s="394"/>
      <c r="BL1420" s="444" t="s">
        <v>6981</v>
      </c>
      <c r="BM1420" s="392"/>
      <c r="BN1420" s="393"/>
      <c r="BO1420" s="393"/>
      <c r="BP1420" s="399"/>
      <c r="BQ1420" s="400"/>
      <c r="BR1420" s="401"/>
      <c r="BS1420" s="399"/>
      <c r="BT1420" s="394"/>
      <c r="BU1420" s="417"/>
      <c r="BV1420" s="399">
        <v>60</v>
      </c>
      <c r="BW1420" s="393" t="s">
        <v>3117</v>
      </c>
      <c r="BX1420" s="392" t="s">
        <v>3177</v>
      </c>
      <c r="BY1420" s="393" t="s">
        <v>7224</v>
      </c>
      <c r="BZ1420" s="393"/>
      <c r="CA1420" s="441"/>
      <c r="CB1420" s="400"/>
      <c r="CC1420" s="398"/>
      <c r="CD1420" s="398"/>
      <c r="CE1420" s="398"/>
      <c r="CF1420" s="398"/>
      <c r="CG1420" s="398"/>
      <c r="CH1420" s="398"/>
      <c r="CI1420" s="398">
        <v>26.361999999999998</v>
      </c>
      <c r="CJ1420" s="398">
        <v>28.808</v>
      </c>
      <c r="CK1420" s="398">
        <v>28.808</v>
      </c>
      <c r="CL1420" s="398">
        <v>28.808</v>
      </c>
      <c r="CM1420" s="398">
        <v>28.808</v>
      </c>
      <c r="CN1420" s="398">
        <v>28.808</v>
      </c>
      <c r="CO1420" s="398">
        <v>28.808</v>
      </c>
      <c r="CP1420" s="398">
        <v>28.808</v>
      </c>
      <c r="CQ1420" s="398">
        <v>28.808</v>
      </c>
      <c r="CR1420" s="398">
        <v>28.808</v>
      </c>
      <c r="CS1420" s="398">
        <v>2.4470000000000001</v>
      </c>
      <c r="CT1420" s="398"/>
      <c r="CU1420" s="398"/>
      <c r="CV1420" s="398"/>
      <c r="CW1420" s="398"/>
      <c r="CX1420" s="398"/>
      <c r="CY1420" s="398"/>
      <c r="CZ1420" s="398"/>
      <c r="DA1420" s="398"/>
      <c r="DB1420" s="398"/>
      <c r="DC1420" s="398"/>
      <c r="DD1420" s="398"/>
      <c r="DE1420" s="393"/>
      <c r="DF1420" s="393"/>
      <c r="DG1420" s="393"/>
      <c r="DH1420" s="393"/>
      <c r="DI1420" s="393"/>
      <c r="DJ1420" s="393"/>
      <c r="DK1420" s="897"/>
    </row>
    <row r="1421" spans="1:115" ht="63.75" x14ac:dyDescent="0.2">
      <c r="A1421" s="295">
        <v>1417</v>
      </c>
      <c r="B1421" s="390" t="s">
        <v>2417</v>
      </c>
      <c r="C1421" s="424" t="s">
        <v>7774</v>
      </c>
      <c r="D1421" s="391"/>
      <c r="E1421" s="707" t="s">
        <v>2418</v>
      </c>
      <c r="F1421" s="404" t="s">
        <v>1352</v>
      </c>
      <c r="G1421" s="404" t="s">
        <v>1671</v>
      </c>
      <c r="H1421" s="404" t="s">
        <v>117</v>
      </c>
      <c r="I1421" s="403"/>
      <c r="J1421" s="403" t="s">
        <v>117</v>
      </c>
      <c r="K1421" s="403"/>
      <c r="L1421" s="403" t="s">
        <v>2419</v>
      </c>
      <c r="M1421" s="403" t="s">
        <v>3667</v>
      </c>
      <c r="N1421" s="404" t="s">
        <v>3142</v>
      </c>
      <c r="O1421" s="404" t="s">
        <v>93</v>
      </c>
      <c r="P1421" s="404" t="s">
        <v>93</v>
      </c>
      <c r="Q1421" s="403" t="s">
        <v>101</v>
      </c>
      <c r="R1421" s="403"/>
      <c r="S1421" s="403" t="s">
        <v>102</v>
      </c>
      <c r="T1421" s="405">
        <v>1</v>
      </c>
      <c r="U1421" s="406">
        <v>7.8520000000000003</v>
      </c>
      <c r="V1421" s="406"/>
      <c r="W1421" s="456">
        <v>41244</v>
      </c>
      <c r="X1421" s="405">
        <v>28</v>
      </c>
      <c r="Y1421" s="405"/>
      <c r="Z1421" s="405"/>
      <c r="AA1421" s="406"/>
      <c r="AB1421" s="455"/>
      <c r="AC1421" s="407">
        <v>6.54E-2</v>
      </c>
      <c r="AD1421" s="407">
        <v>78.52000000000001</v>
      </c>
      <c r="AE1421" s="404" t="s">
        <v>355</v>
      </c>
      <c r="AF1421" s="418"/>
      <c r="AG1421" s="418"/>
      <c r="AH1421" s="418">
        <v>0</v>
      </c>
      <c r="AI1421" s="405"/>
      <c r="AJ1421" s="455"/>
      <c r="AK1421" s="455"/>
      <c r="AL1421" s="404"/>
      <c r="AM1421" s="404"/>
      <c r="AN1421" s="418"/>
      <c r="AO1421" s="403"/>
      <c r="AP1421" s="403" t="s">
        <v>7111</v>
      </c>
      <c r="AQ1421" s="403"/>
      <c r="AR1421" s="403" t="s">
        <v>55</v>
      </c>
      <c r="AS1421" s="482">
        <v>41090</v>
      </c>
      <c r="AT1421" s="455"/>
      <c r="AU1421" s="455"/>
      <c r="AV1421" s="455"/>
      <c r="AW1421" s="455"/>
      <c r="AX1421" s="455"/>
      <c r="AY1421" s="455"/>
      <c r="AZ1421" s="455"/>
      <c r="BA1421" s="404"/>
      <c r="BB1421" s="404" t="s">
        <v>3147</v>
      </c>
      <c r="BC1421" s="404" t="b">
        <v>1</v>
      </c>
      <c r="BD1421" s="404" t="s">
        <v>3147</v>
      </c>
      <c r="BE1421" s="403"/>
      <c r="BF1421" s="405">
        <v>5</v>
      </c>
      <c r="BG1421" s="405"/>
      <c r="BH1421" s="405"/>
      <c r="BI1421" s="405"/>
      <c r="BJ1421" s="405"/>
      <c r="BK1421" s="405"/>
      <c r="BL1421" s="446"/>
      <c r="BM1421" s="403"/>
      <c r="BN1421" s="404"/>
      <c r="BO1421" s="404"/>
      <c r="BP1421" s="408"/>
      <c r="BQ1421" s="409"/>
      <c r="BR1421" s="410"/>
      <c r="BS1421" s="408">
        <v>0</v>
      </c>
      <c r="BT1421" s="405"/>
      <c r="BU1421" s="418"/>
      <c r="BV1421" s="408"/>
      <c r="BW1421" s="404"/>
      <c r="BX1421" s="403"/>
      <c r="BY1421" s="404"/>
      <c r="BZ1421" s="404"/>
      <c r="CA1421" s="443"/>
      <c r="CB1421" s="409"/>
      <c r="CC1421" s="407"/>
      <c r="CD1421" s="407"/>
      <c r="CE1421" s="407"/>
      <c r="CF1421" s="407"/>
      <c r="CG1421" s="407"/>
      <c r="CH1421" s="407"/>
      <c r="CI1421" s="407"/>
      <c r="CJ1421" s="407"/>
      <c r="CK1421" s="407"/>
      <c r="CL1421" s="407"/>
      <c r="CM1421" s="407"/>
      <c r="CN1421" s="407"/>
      <c r="CO1421" s="407"/>
      <c r="CP1421" s="407"/>
      <c r="CQ1421" s="407"/>
      <c r="CR1421" s="407"/>
      <c r="CS1421" s="407"/>
      <c r="CT1421" s="407"/>
      <c r="CU1421" s="407"/>
      <c r="CV1421" s="407"/>
      <c r="CW1421" s="407"/>
      <c r="CX1421" s="407"/>
      <c r="CY1421" s="407"/>
      <c r="CZ1421" s="407"/>
      <c r="DA1421" s="407"/>
      <c r="DB1421" s="407"/>
      <c r="DC1421" s="407"/>
      <c r="DD1421" s="407"/>
      <c r="DE1421" s="404"/>
      <c r="DF1421" s="404"/>
      <c r="DG1421" s="404"/>
      <c r="DH1421" s="404"/>
      <c r="DI1421" s="404"/>
      <c r="DJ1421" s="404"/>
      <c r="DK1421" s="901"/>
    </row>
    <row r="1422" spans="1:115" ht="25.5" x14ac:dyDescent="0.2">
      <c r="A1422" s="295">
        <v>1418</v>
      </c>
      <c r="B1422" s="390" t="s">
        <v>2946</v>
      </c>
      <c r="C1422" s="390"/>
      <c r="D1422" s="391"/>
      <c r="E1422" s="707" t="s">
        <v>2420</v>
      </c>
      <c r="F1422" s="404" t="s">
        <v>1352</v>
      </c>
      <c r="G1422" s="404" t="s">
        <v>1671</v>
      </c>
      <c r="H1422" s="404" t="s">
        <v>117</v>
      </c>
      <c r="I1422" s="403"/>
      <c r="J1422" s="403"/>
      <c r="K1422" s="403" t="s">
        <v>2421</v>
      </c>
      <c r="L1422" s="403" t="s">
        <v>2419</v>
      </c>
      <c r="M1422" s="403"/>
      <c r="N1422" s="404" t="s">
        <v>3142</v>
      </c>
      <c r="O1422" s="404" t="s">
        <v>93</v>
      </c>
      <c r="P1422" s="404" t="s">
        <v>93</v>
      </c>
      <c r="Q1422" s="403" t="s">
        <v>101</v>
      </c>
      <c r="R1422" s="403" t="s">
        <v>3668</v>
      </c>
      <c r="S1422" s="403" t="s">
        <v>102</v>
      </c>
      <c r="T1422" s="405">
        <v>1</v>
      </c>
      <c r="U1422" s="406">
        <v>7.8520000000000003</v>
      </c>
      <c r="V1422" s="406"/>
      <c r="W1422" s="455"/>
      <c r="X1422" s="405"/>
      <c r="Y1422" s="405">
        <v>10</v>
      </c>
      <c r="Z1422" s="405">
        <v>10</v>
      </c>
      <c r="AA1422" s="406">
        <v>0</v>
      </c>
      <c r="AB1422" s="456">
        <v>41244</v>
      </c>
      <c r="AC1422" s="407">
        <v>6.54E-2</v>
      </c>
      <c r="AD1422" s="407">
        <v>78.52000000000001</v>
      </c>
      <c r="AE1422" s="404" t="s">
        <v>355</v>
      </c>
      <c r="AF1422" s="418"/>
      <c r="AG1422" s="418"/>
      <c r="AH1422" s="418"/>
      <c r="AI1422" s="405"/>
      <c r="AJ1422" s="455"/>
      <c r="AK1422" s="455"/>
      <c r="AL1422" s="404"/>
      <c r="AM1422" s="404"/>
      <c r="AN1422" s="418"/>
      <c r="AO1422" s="403"/>
      <c r="AP1422" s="403" t="s">
        <v>7111</v>
      </c>
      <c r="AQ1422" s="403"/>
      <c r="AR1422" s="403" t="s">
        <v>55</v>
      </c>
      <c r="AS1422" s="482">
        <v>41090</v>
      </c>
      <c r="AT1422" s="455"/>
      <c r="AU1422" s="455"/>
      <c r="AV1422" s="455"/>
      <c r="AW1422" s="455"/>
      <c r="AX1422" s="455"/>
      <c r="AY1422" s="455"/>
      <c r="AZ1422" s="455"/>
      <c r="BA1422" s="404"/>
      <c r="BB1422" s="404"/>
      <c r="BC1422" s="404" t="b">
        <v>0</v>
      </c>
      <c r="BD1422" s="404"/>
      <c r="BE1422" s="403"/>
      <c r="BF1422" s="405">
        <v>5</v>
      </c>
      <c r="BG1422" s="405"/>
      <c r="BH1422" s="405"/>
      <c r="BI1422" s="405"/>
      <c r="BJ1422" s="405"/>
      <c r="BK1422" s="405"/>
      <c r="BL1422" s="446" t="s">
        <v>6981</v>
      </c>
      <c r="BM1422" s="403" t="s">
        <v>3669</v>
      </c>
      <c r="BN1422" s="404" t="s">
        <v>117</v>
      </c>
      <c r="BO1422" s="404"/>
      <c r="BP1422" s="408"/>
      <c r="BQ1422" s="409"/>
      <c r="BR1422" s="410"/>
      <c r="BS1422" s="408"/>
      <c r="BT1422" s="405"/>
      <c r="BU1422" s="418">
        <v>0.74944999999999995</v>
      </c>
      <c r="BV1422" s="408">
        <v>10.477</v>
      </c>
      <c r="BW1422" s="404" t="s">
        <v>3117</v>
      </c>
      <c r="BX1422" s="403" t="s">
        <v>1447</v>
      </c>
      <c r="BY1422" s="404"/>
      <c r="BZ1422" s="404"/>
      <c r="CA1422" s="443" t="s">
        <v>1662</v>
      </c>
      <c r="CB1422" s="409">
        <v>3</v>
      </c>
      <c r="CC1422" s="407"/>
      <c r="CD1422" s="407"/>
      <c r="CE1422" s="407"/>
      <c r="CF1422" s="407"/>
      <c r="CG1422" s="407"/>
      <c r="CH1422" s="407"/>
      <c r="CI1422" s="407">
        <v>7.8520000000000003</v>
      </c>
      <c r="CJ1422" s="407">
        <v>7.8520000000000003</v>
      </c>
      <c r="CK1422" s="407">
        <v>7.8520000000000003</v>
      </c>
      <c r="CL1422" s="407">
        <v>7.8520000000000003</v>
      </c>
      <c r="CM1422" s="407">
        <v>7.8520000000000003</v>
      </c>
      <c r="CN1422" s="407">
        <v>7.8520000000000003</v>
      </c>
      <c r="CO1422" s="407">
        <v>7.8520000000000003</v>
      </c>
      <c r="CP1422" s="407">
        <v>7.8520000000000003</v>
      </c>
      <c r="CQ1422" s="407">
        <v>7.8520000000000003</v>
      </c>
      <c r="CR1422" s="407">
        <v>7.8520000000000003</v>
      </c>
      <c r="CS1422" s="407"/>
      <c r="CT1422" s="407"/>
      <c r="CU1422" s="407"/>
      <c r="CV1422" s="407"/>
      <c r="CW1422" s="407"/>
      <c r="CX1422" s="407"/>
      <c r="CY1422" s="407"/>
      <c r="CZ1422" s="407"/>
      <c r="DA1422" s="407"/>
      <c r="DB1422" s="407"/>
      <c r="DC1422" s="407"/>
      <c r="DD1422" s="407"/>
      <c r="DE1422" s="404"/>
      <c r="DF1422" s="404"/>
      <c r="DG1422" s="404"/>
      <c r="DH1422" s="404"/>
      <c r="DI1422" s="404"/>
      <c r="DJ1422" s="404"/>
      <c r="DK1422" s="897"/>
    </row>
    <row r="1423" spans="1:115" ht="25.5" x14ac:dyDescent="0.2">
      <c r="A1423" s="295">
        <v>1419</v>
      </c>
      <c r="B1423" s="390" t="s">
        <v>2422</v>
      </c>
      <c r="C1423" s="424" t="s">
        <v>7775</v>
      </c>
      <c r="D1423" s="391"/>
      <c r="E1423" s="707" t="s">
        <v>1064</v>
      </c>
      <c r="F1423" s="404" t="s">
        <v>1375</v>
      </c>
      <c r="G1423" s="404" t="s">
        <v>1361</v>
      </c>
      <c r="H1423" s="404" t="s">
        <v>137</v>
      </c>
      <c r="I1423" s="403"/>
      <c r="J1423" s="403" t="s">
        <v>137</v>
      </c>
      <c r="K1423" s="403"/>
      <c r="L1423" s="403" t="s">
        <v>2423</v>
      </c>
      <c r="M1423" s="403" t="s">
        <v>3670</v>
      </c>
      <c r="N1423" s="404" t="s">
        <v>3142</v>
      </c>
      <c r="O1423" s="404" t="s">
        <v>51</v>
      </c>
      <c r="P1423" s="404" t="s">
        <v>51</v>
      </c>
      <c r="Q1423" s="403" t="s">
        <v>976</v>
      </c>
      <c r="R1423" s="403"/>
      <c r="S1423" s="403" t="s">
        <v>256</v>
      </c>
      <c r="T1423" s="405">
        <v>1</v>
      </c>
      <c r="U1423" s="406">
        <v>53.043999999999997</v>
      </c>
      <c r="V1423" s="406"/>
      <c r="W1423" s="456">
        <v>41095</v>
      </c>
      <c r="X1423" s="405">
        <v>28</v>
      </c>
      <c r="Y1423" s="405"/>
      <c r="Z1423" s="405"/>
      <c r="AA1423" s="406"/>
      <c r="AB1423" s="455"/>
      <c r="AC1423" s="407">
        <v>13.260999999999999</v>
      </c>
      <c r="AD1423" s="407">
        <v>437.86732054794516</v>
      </c>
      <c r="AE1423" s="404" t="s">
        <v>54</v>
      </c>
      <c r="AF1423" s="418"/>
      <c r="AG1423" s="418"/>
      <c r="AH1423" s="418">
        <v>0</v>
      </c>
      <c r="AI1423" s="405"/>
      <c r="AJ1423" s="455"/>
      <c r="AK1423" s="455"/>
      <c r="AL1423" s="404"/>
      <c r="AM1423" s="404"/>
      <c r="AN1423" s="418"/>
      <c r="AO1423" s="403"/>
      <c r="AP1423" s="403" t="s">
        <v>55</v>
      </c>
      <c r="AQ1423" s="403"/>
      <c r="AR1423" s="403" t="s">
        <v>55</v>
      </c>
      <c r="AS1423" s="482">
        <v>41097</v>
      </c>
      <c r="AT1423" s="455"/>
      <c r="AU1423" s="455"/>
      <c r="AV1423" s="455"/>
      <c r="AW1423" s="455"/>
      <c r="AX1423" s="455"/>
      <c r="AY1423" s="455"/>
      <c r="AZ1423" s="455"/>
      <c r="BA1423" s="404"/>
      <c r="BB1423" s="404" t="s">
        <v>3116</v>
      </c>
      <c r="BC1423" s="404" t="b">
        <v>0</v>
      </c>
      <c r="BD1423" s="404" t="s">
        <v>3116</v>
      </c>
      <c r="BE1423" s="403"/>
      <c r="BF1423" s="405">
        <v>8</v>
      </c>
      <c r="BG1423" s="405"/>
      <c r="BH1423" s="405"/>
      <c r="BI1423" s="405"/>
      <c r="BJ1423" s="405"/>
      <c r="BK1423" s="405"/>
      <c r="BL1423" s="446"/>
      <c r="BM1423" s="403"/>
      <c r="BN1423" s="404"/>
      <c r="BO1423" s="404"/>
      <c r="BP1423" s="408"/>
      <c r="BQ1423" s="409"/>
      <c r="BR1423" s="410"/>
      <c r="BS1423" s="408">
        <v>0</v>
      </c>
      <c r="BT1423" s="405"/>
      <c r="BU1423" s="418"/>
      <c r="BV1423" s="408"/>
      <c r="BW1423" s="404"/>
      <c r="BX1423" s="403"/>
      <c r="BY1423" s="404"/>
      <c r="BZ1423" s="404"/>
      <c r="CA1423" s="443"/>
      <c r="CB1423" s="409"/>
      <c r="CC1423" s="407"/>
      <c r="CD1423" s="407"/>
      <c r="CE1423" s="407"/>
      <c r="CF1423" s="407"/>
      <c r="CG1423" s="407"/>
      <c r="CH1423" s="407"/>
      <c r="CI1423" s="407"/>
      <c r="CJ1423" s="407"/>
      <c r="CK1423" s="407"/>
      <c r="CL1423" s="407"/>
      <c r="CM1423" s="407"/>
      <c r="CN1423" s="407"/>
      <c r="CO1423" s="407"/>
      <c r="CP1423" s="407"/>
      <c r="CQ1423" s="407"/>
      <c r="CR1423" s="407"/>
      <c r="CS1423" s="407"/>
      <c r="CT1423" s="407"/>
      <c r="CU1423" s="407"/>
      <c r="CV1423" s="407"/>
      <c r="CW1423" s="407"/>
      <c r="CX1423" s="407"/>
      <c r="CY1423" s="407"/>
      <c r="CZ1423" s="407"/>
      <c r="DA1423" s="407"/>
      <c r="DB1423" s="407"/>
      <c r="DC1423" s="407"/>
      <c r="DD1423" s="407"/>
      <c r="DE1423" s="404"/>
      <c r="DF1423" s="404"/>
      <c r="DG1423" s="404"/>
      <c r="DH1423" s="404"/>
      <c r="DI1423" s="404"/>
      <c r="DJ1423" s="404"/>
      <c r="DK1423" s="901"/>
    </row>
    <row r="1424" spans="1:115" ht="25.5" x14ac:dyDescent="0.2">
      <c r="A1424" s="295">
        <v>1420</v>
      </c>
      <c r="B1424" s="390" t="s">
        <v>2947</v>
      </c>
      <c r="C1424" s="390"/>
      <c r="D1424" s="391"/>
      <c r="E1424" s="707" t="s">
        <v>2424</v>
      </c>
      <c r="F1424" s="404" t="s">
        <v>1375</v>
      </c>
      <c r="G1424" s="404" t="s">
        <v>1361</v>
      </c>
      <c r="H1424" s="404" t="s">
        <v>137</v>
      </c>
      <c r="I1424" s="403"/>
      <c r="J1424" s="403"/>
      <c r="K1424" s="403" t="s">
        <v>642</v>
      </c>
      <c r="L1424" s="403" t="s">
        <v>2423</v>
      </c>
      <c r="M1424" s="403"/>
      <c r="N1424" s="404" t="s">
        <v>3142</v>
      </c>
      <c r="O1424" s="404" t="s">
        <v>51</v>
      </c>
      <c r="P1424" s="404" t="s">
        <v>51</v>
      </c>
      <c r="Q1424" s="403" t="s">
        <v>976</v>
      </c>
      <c r="R1424" s="403" t="s">
        <v>3671</v>
      </c>
      <c r="S1424" s="403" t="s">
        <v>256</v>
      </c>
      <c r="T1424" s="405">
        <v>1</v>
      </c>
      <c r="U1424" s="406">
        <v>53.043999999999997</v>
      </c>
      <c r="V1424" s="406"/>
      <c r="W1424" s="455"/>
      <c r="X1424" s="405"/>
      <c r="Y1424" s="405">
        <v>7</v>
      </c>
      <c r="Z1424" s="405">
        <v>21</v>
      </c>
      <c r="AA1424" s="406">
        <v>0</v>
      </c>
      <c r="AB1424" s="456">
        <v>41183</v>
      </c>
      <c r="AC1424" s="407">
        <v>13.260999999999999</v>
      </c>
      <c r="AD1424" s="407">
        <v>437.86732054794516</v>
      </c>
      <c r="AE1424" s="404" t="s">
        <v>54</v>
      </c>
      <c r="AF1424" s="418"/>
      <c r="AG1424" s="418"/>
      <c r="AH1424" s="418"/>
      <c r="AI1424" s="405"/>
      <c r="AJ1424" s="455"/>
      <c r="AK1424" s="455"/>
      <c r="AL1424" s="404"/>
      <c r="AM1424" s="404"/>
      <c r="AN1424" s="418"/>
      <c r="AO1424" s="403"/>
      <c r="AP1424" s="403" t="s">
        <v>55</v>
      </c>
      <c r="AQ1424" s="403"/>
      <c r="AR1424" s="403" t="s">
        <v>55</v>
      </c>
      <c r="AS1424" s="482">
        <v>41097</v>
      </c>
      <c r="AT1424" s="455"/>
      <c r="AU1424" s="455"/>
      <c r="AV1424" s="455"/>
      <c r="AW1424" s="455"/>
      <c r="AX1424" s="455"/>
      <c r="AY1424" s="455"/>
      <c r="AZ1424" s="455"/>
      <c r="BA1424" s="404"/>
      <c r="BB1424" s="404"/>
      <c r="BC1424" s="404" t="b">
        <v>0</v>
      </c>
      <c r="BD1424" s="404"/>
      <c r="BE1424" s="403"/>
      <c r="BF1424" s="405">
        <v>8</v>
      </c>
      <c r="BG1424" s="405"/>
      <c r="BH1424" s="405"/>
      <c r="BI1424" s="405"/>
      <c r="BJ1424" s="405"/>
      <c r="BK1424" s="405"/>
      <c r="BL1424" s="446" t="s">
        <v>6981</v>
      </c>
      <c r="BM1424" s="403" t="s">
        <v>3672</v>
      </c>
      <c r="BN1424" s="404" t="s">
        <v>137</v>
      </c>
      <c r="BO1424" s="404"/>
      <c r="BP1424" s="408"/>
      <c r="BQ1424" s="409"/>
      <c r="BR1424" s="410"/>
      <c r="BS1424" s="408"/>
      <c r="BT1424" s="405"/>
      <c r="BU1424" s="418"/>
      <c r="BV1424" s="408">
        <v>53.4</v>
      </c>
      <c r="BW1424" s="404" t="s">
        <v>3117</v>
      </c>
      <c r="BX1424" s="403" t="s">
        <v>1447</v>
      </c>
      <c r="BY1424" s="404"/>
      <c r="BZ1424" s="404"/>
      <c r="CA1424" s="443"/>
      <c r="CB1424" s="409"/>
      <c r="CC1424" s="407"/>
      <c r="CD1424" s="407"/>
      <c r="CE1424" s="407"/>
      <c r="CF1424" s="407"/>
      <c r="CG1424" s="407"/>
      <c r="CH1424" s="407"/>
      <c r="CI1424" s="407">
        <v>53.043999999999997</v>
      </c>
      <c r="CJ1424" s="407">
        <v>53.043999999999997</v>
      </c>
      <c r="CK1424" s="407">
        <v>53.043999999999997</v>
      </c>
      <c r="CL1424" s="407">
        <v>53.043999999999997</v>
      </c>
      <c r="CM1424" s="407">
        <v>53.043999999999997</v>
      </c>
      <c r="CN1424" s="407">
        <v>53.043999999999997</v>
      </c>
      <c r="CO1424" s="407">
        <v>53.043999999999997</v>
      </c>
      <c r="CP1424" s="407"/>
      <c r="CQ1424" s="407"/>
      <c r="CR1424" s="407"/>
      <c r="CS1424" s="407"/>
      <c r="CT1424" s="407"/>
      <c r="CU1424" s="407"/>
      <c r="CV1424" s="407"/>
      <c r="CW1424" s="407"/>
      <c r="CX1424" s="407"/>
      <c r="CY1424" s="407"/>
      <c r="CZ1424" s="407"/>
      <c r="DA1424" s="407"/>
      <c r="DB1424" s="407"/>
      <c r="DC1424" s="407"/>
      <c r="DD1424" s="407"/>
      <c r="DE1424" s="404"/>
      <c r="DF1424" s="404"/>
      <c r="DG1424" s="404"/>
      <c r="DH1424" s="404"/>
      <c r="DI1424" s="404"/>
      <c r="DJ1424" s="404"/>
      <c r="DK1424" s="897"/>
    </row>
    <row r="1425" spans="1:115" ht="63.75" x14ac:dyDescent="0.2">
      <c r="A1425" s="295">
        <v>1421</v>
      </c>
      <c r="B1425" s="390" t="s">
        <v>2425</v>
      </c>
      <c r="C1425" s="424" t="s">
        <v>7776</v>
      </c>
      <c r="D1425" s="391"/>
      <c r="E1425" s="707" t="s">
        <v>2426</v>
      </c>
      <c r="F1425" s="404" t="s">
        <v>1751</v>
      </c>
      <c r="G1425" s="404" t="s">
        <v>1751</v>
      </c>
      <c r="H1425" s="404" t="s">
        <v>918</v>
      </c>
      <c r="I1425" s="403" t="s">
        <v>2427</v>
      </c>
      <c r="J1425" s="403" t="s">
        <v>2428</v>
      </c>
      <c r="K1425" s="403"/>
      <c r="L1425" s="403" t="s">
        <v>2429</v>
      </c>
      <c r="M1425" s="403" t="s">
        <v>3673</v>
      </c>
      <c r="N1425" s="404" t="s">
        <v>3142</v>
      </c>
      <c r="O1425" s="404" t="s">
        <v>93</v>
      </c>
      <c r="P1425" s="404" t="s">
        <v>93</v>
      </c>
      <c r="Q1425" s="403" t="s">
        <v>101</v>
      </c>
      <c r="R1425" s="403"/>
      <c r="S1425" s="403" t="s">
        <v>102</v>
      </c>
      <c r="T1425" s="405">
        <v>1</v>
      </c>
      <c r="U1425" s="406">
        <v>16.314</v>
      </c>
      <c r="V1425" s="406"/>
      <c r="W1425" s="456">
        <v>41096</v>
      </c>
      <c r="X1425" s="405">
        <v>28</v>
      </c>
      <c r="Y1425" s="405"/>
      <c r="Z1425" s="405"/>
      <c r="AA1425" s="406"/>
      <c r="AB1425" s="455"/>
      <c r="AC1425" s="407">
        <v>0</v>
      </c>
      <c r="AD1425" s="407">
        <v>130.55669589041096</v>
      </c>
      <c r="AE1425" s="404" t="s">
        <v>96</v>
      </c>
      <c r="AF1425" s="418"/>
      <c r="AG1425" s="418"/>
      <c r="AH1425" s="418">
        <v>0</v>
      </c>
      <c r="AI1425" s="405"/>
      <c r="AJ1425" s="455"/>
      <c r="AK1425" s="455"/>
      <c r="AL1425" s="404"/>
      <c r="AM1425" s="404"/>
      <c r="AN1425" s="418"/>
      <c r="AO1425" s="403"/>
      <c r="AP1425" s="403" t="s">
        <v>7112</v>
      </c>
      <c r="AQ1425" s="403"/>
      <c r="AR1425" s="403" t="s">
        <v>55</v>
      </c>
      <c r="AS1425" s="482">
        <v>41097</v>
      </c>
      <c r="AT1425" s="455"/>
      <c r="AU1425" s="455"/>
      <c r="AV1425" s="455"/>
      <c r="AW1425" s="455"/>
      <c r="AX1425" s="455"/>
      <c r="AY1425" s="455"/>
      <c r="AZ1425" s="455"/>
      <c r="BA1425" s="404"/>
      <c r="BB1425" s="404"/>
      <c r="BC1425" s="404" t="b">
        <v>0</v>
      </c>
      <c r="BD1425" s="404" t="s">
        <v>3116</v>
      </c>
      <c r="BE1425" s="403"/>
      <c r="BF1425" s="405">
        <v>8</v>
      </c>
      <c r="BG1425" s="405">
        <v>5</v>
      </c>
      <c r="BH1425" s="405">
        <v>9</v>
      </c>
      <c r="BI1425" s="405">
        <v>11</v>
      </c>
      <c r="BJ1425" s="405"/>
      <c r="BK1425" s="405"/>
      <c r="BL1425" s="446"/>
      <c r="BM1425" s="403"/>
      <c r="BN1425" s="404"/>
      <c r="BO1425" s="404"/>
      <c r="BP1425" s="408"/>
      <c r="BQ1425" s="409"/>
      <c r="BR1425" s="410"/>
      <c r="BS1425" s="408">
        <v>0</v>
      </c>
      <c r="BT1425" s="405"/>
      <c r="BU1425" s="418"/>
      <c r="BV1425" s="408"/>
      <c r="BW1425" s="404"/>
      <c r="BX1425" s="403"/>
      <c r="BY1425" s="404"/>
      <c r="BZ1425" s="404"/>
      <c r="CA1425" s="443"/>
      <c r="CB1425" s="409"/>
      <c r="CC1425" s="407"/>
      <c r="CD1425" s="407"/>
      <c r="CE1425" s="407"/>
      <c r="CF1425" s="407"/>
      <c r="CG1425" s="407"/>
      <c r="CH1425" s="407"/>
      <c r="CI1425" s="407"/>
      <c r="CJ1425" s="407"/>
      <c r="CK1425" s="407"/>
      <c r="CL1425" s="407"/>
      <c r="CM1425" s="407"/>
      <c r="CN1425" s="407"/>
      <c r="CO1425" s="407"/>
      <c r="CP1425" s="407"/>
      <c r="CQ1425" s="407"/>
      <c r="CR1425" s="407"/>
      <c r="CS1425" s="407"/>
      <c r="CT1425" s="407"/>
      <c r="CU1425" s="407"/>
      <c r="CV1425" s="407"/>
      <c r="CW1425" s="407"/>
      <c r="CX1425" s="407"/>
      <c r="CY1425" s="407"/>
      <c r="CZ1425" s="407"/>
      <c r="DA1425" s="407"/>
      <c r="DB1425" s="407"/>
      <c r="DC1425" s="407"/>
      <c r="DD1425" s="407"/>
      <c r="DE1425" s="404"/>
      <c r="DF1425" s="404"/>
      <c r="DG1425" s="404"/>
      <c r="DH1425" s="404"/>
      <c r="DI1425" s="404"/>
      <c r="DJ1425" s="404"/>
      <c r="DK1425" s="901"/>
    </row>
    <row r="1426" spans="1:115" ht="38.25" x14ac:dyDescent="0.2">
      <c r="A1426" s="295">
        <v>1422</v>
      </c>
      <c r="B1426" s="390" t="s">
        <v>2948</v>
      </c>
      <c r="C1426" s="390"/>
      <c r="D1426" s="391"/>
      <c r="E1426" s="707" t="s">
        <v>2430</v>
      </c>
      <c r="F1426" s="404" t="s">
        <v>1352</v>
      </c>
      <c r="G1426" s="404" t="s">
        <v>1673</v>
      </c>
      <c r="H1426" s="404" t="s">
        <v>239</v>
      </c>
      <c r="I1426" s="403"/>
      <c r="J1426" s="403"/>
      <c r="K1426" s="403" t="s">
        <v>239</v>
      </c>
      <c r="L1426" s="403" t="s">
        <v>2429</v>
      </c>
      <c r="M1426" s="403"/>
      <c r="N1426" s="404" t="s">
        <v>3142</v>
      </c>
      <c r="O1426" s="404" t="s">
        <v>93</v>
      </c>
      <c r="P1426" s="404" t="s">
        <v>93</v>
      </c>
      <c r="Q1426" s="403" t="s">
        <v>101</v>
      </c>
      <c r="R1426" s="403" t="s">
        <v>3674</v>
      </c>
      <c r="S1426" s="403" t="s">
        <v>102</v>
      </c>
      <c r="T1426" s="405">
        <v>1</v>
      </c>
      <c r="U1426" s="406">
        <v>16.314</v>
      </c>
      <c r="V1426" s="406"/>
      <c r="W1426" s="455"/>
      <c r="X1426" s="405"/>
      <c r="Y1426" s="405">
        <v>7</v>
      </c>
      <c r="Z1426" s="405">
        <v>28</v>
      </c>
      <c r="AA1426" s="406">
        <v>0</v>
      </c>
      <c r="AB1426" s="456">
        <v>41275</v>
      </c>
      <c r="AC1426" s="407">
        <v>0</v>
      </c>
      <c r="AD1426" s="407">
        <v>130.55669589041096</v>
      </c>
      <c r="AE1426" s="404" t="s">
        <v>96</v>
      </c>
      <c r="AF1426" s="418"/>
      <c r="AG1426" s="418"/>
      <c r="AH1426" s="418"/>
      <c r="AI1426" s="405"/>
      <c r="AJ1426" s="455"/>
      <c r="AK1426" s="455"/>
      <c r="AL1426" s="404"/>
      <c r="AM1426" s="404"/>
      <c r="AN1426" s="418"/>
      <c r="AO1426" s="403"/>
      <c r="AP1426" s="403" t="s">
        <v>7112</v>
      </c>
      <c r="AQ1426" s="403"/>
      <c r="AR1426" s="403" t="s">
        <v>55</v>
      </c>
      <c r="AS1426" s="482">
        <v>41097</v>
      </c>
      <c r="AT1426" s="455"/>
      <c r="AU1426" s="455"/>
      <c r="AV1426" s="455"/>
      <c r="AW1426" s="455"/>
      <c r="AX1426" s="455"/>
      <c r="AY1426" s="455"/>
      <c r="AZ1426" s="455"/>
      <c r="BA1426" s="404"/>
      <c r="BB1426" s="404"/>
      <c r="BC1426" s="404" t="b">
        <v>0</v>
      </c>
      <c r="BD1426" s="404"/>
      <c r="BE1426" s="403"/>
      <c r="BF1426" s="405">
        <v>8</v>
      </c>
      <c r="BG1426" s="405">
        <v>5</v>
      </c>
      <c r="BH1426" s="405">
        <v>9</v>
      </c>
      <c r="BI1426" s="405">
        <v>11</v>
      </c>
      <c r="BJ1426" s="405"/>
      <c r="BK1426" s="405"/>
      <c r="BL1426" s="446" t="s">
        <v>6981</v>
      </c>
      <c r="BM1426" s="403" t="s">
        <v>2429</v>
      </c>
      <c r="BN1426" s="404" t="s">
        <v>239</v>
      </c>
      <c r="BO1426" s="404"/>
      <c r="BP1426" s="408"/>
      <c r="BQ1426" s="409"/>
      <c r="BR1426" s="410"/>
      <c r="BS1426" s="408"/>
      <c r="BT1426" s="405"/>
      <c r="BU1426" s="418">
        <v>0.46560000000000001</v>
      </c>
      <c r="BV1426" s="408">
        <v>37.777999999999999</v>
      </c>
      <c r="BW1426" s="404" t="s">
        <v>3117</v>
      </c>
      <c r="BX1426" s="403" t="s">
        <v>3199</v>
      </c>
      <c r="BY1426" s="404"/>
      <c r="BZ1426" s="404"/>
      <c r="CA1426" s="443"/>
      <c r="CB1426" s="409"/>
      <c r="CC1426" s="407"/>
      <c r="CD1426" s="407"/>
      <c r="CE1426" s="407"/>
      <c r="CF1426" s="407"/>
      <c r="CG1426" s="407"/>
      <c r="CH1426" s="407"/>
      <c r="CI1426" s="407">
        <v>16.314</v>
      </c>
      <c r="CJ1426" s="407">
        <v>16.314</v>
      </c>
      <c r="CK1426" s="407">
        <v>16.314</v>
      </c>
      <c r="CL1426" s="407">
        <v>16.314</v>
      </c>
      <c r="CM1426" s="407">
        <v>16.314</v>
      </c>
      <c r="CN1426" s="407">
        <v>16.314</v>
      </c>
      <c r="CO1426" s="407">
        <v>16.314</v>
      </c>
      <c r="CP1426" s="407"/>
      <c r="CQ1426" s="407"/>
      <c r="CR1426" s="407"/>
      <c r="CS1426" s="407"/>
      <c r="CT1426" s="407"/>
      <c r="CU1426" s="407"/>
      <c r="CV1426" s="407"/>
      <c r="CW1426" s="407"/>
      <c r="CX1426" s="407"/>
      <c r="CY1426" s="407"/>
      <c r="CZ1426" s="407"/>
      <c r="DA1426" s="407"/>
      <c r="DB1426" s="407"/>
      <c r="DC1426" s="407"/>
      <c r="DD1426" s="407"/>
      <c r="DE1426" s="404"/>
      <c r="DF1426" s="404"/>
      <c r="DG1426" s="404"/>
      <c r="DH1426" s="404"/>
      <c r="DI1426" s="404"/>
      <c r="DJ1426" s="404"/>
      <c r="DK1426" s="897"/>
    </row>
    <row r="1427" spans="1:115" ht="25.5" x14ac:dyDescent="0.2">
      <c r="A1427" s="295">
        <v>1423</v>
      </c>
      <c r="B1427" s="390" t="s">
        <v>2431</v>
      </c>
      <c r="C1427" s="424" t="s">
        <v>7777</v>
      </c>
      <c r="D1427" s="391"/>
      <c r="E1427" s="707" t="s">
        <v>2432</v>
      </c>
      <c r="F1427" s="404" t="s">
        <v>1375</v>
      </c>
      <c r="G1427" s="404" t="s">
        <v>1669</v>
      </c>
      <c r="H1427" s="404" t="s">
        <v>818</v>
      </c>
      <c r="I1427" s="403"/>
      <c r="J1427" s="403" t="s">
        <v>818</v>
      </c>
      <c r="K1427" s="403"/>
      <c r="L1427" s="403" t="s">
        <v>2433</v>
      </c>
      <c r="M1427" s="403" t="s">
        <v>3675</v>
      </c>
      <c r="N1427" s="404" t="s">
        <v>3142</v>
      </c>
      <c r="O1427" s="404" t="s">
        <v>5030</v>
      </c>
      <c r="P1427" s="404" t="s">
        <v>5030</v>
      </c>
      <c r="Q1427" s="403" t="s">
        <v>1831</v>
      </c>
      <c r="R1427" s="403"/>
      <c r="S1427" s="403" t="s">
        <v>768</v>
      </c>
      <c r="T1427" s="405">
        <v>1</v>
      </c>
      <c r="U1427" s="406">
        <v>4.7E-2</v>
      </c>
      <c r="V1427" s="406"/>
      <c r="W1427" s="456">
        <v>41153</v>
      </c>
      <c r="X1427" s="405">
        <v>28</v>
      </c>
      <c r="Y1427" s="405"/>
      <c r="Z1427" s="405"/>
      <c r="AA1427" s="406"/>
      <c r="AB1427" s="455"/>
      <c r="AC1427" s="407">
        <v>0.39450000000000002</v>
      </c>
      <c r="AD1427" s="407">
        <v>0.47</v>
      </c>
      <c r="AE1427" s="404" t="s">
        <v>72</v>
      </c>
      <c r="AF1427" s="418"/>
      <c r="AG1427" s="418"/>
      <c r="AH1427" s="418">
        <v>0</v>
      </c>
      <c r="AI1427" s="405"/>
      <c r="AJ1427" s="455"/>
      <c r="AK1427" s="455"/>
      <c r="AL1427" s="404"/>
      <c r="AM1427" s="404"/>
      <c r="AN1427" s="418"/>
      <c r="AO1427" s="403"/>
      <c r="AP1427" s="403" t="s">
        <v>55</v>
      </c>
      <c r="AQ1427" s="403"/>
      <c r="AR1427" s="403" t="s">
        <v>55</v>
      </c>
      <c r="AS1427" s="482">
        <v>41101</v>
      </c>
      <c r="AT1427" s="455"/>
      <c r="AU1427" s="455"/>
      <c r="AV1427" s="455"/>
      <c r="AW1427" s="455"/>
      <c r="AX1427" s="455"/>
      <c r="AY1427" s="455"/>
      <c r="AZ1427" s="455"/>
      <c r="BA1427" s="404"/>
      <c r="BB1427" s="404" t="s">
        <v>3147</v>
      </c>
      <c r="BC1427" s="404" t="b">
        <v>1</v>
      </c>
      <c r="BD1427" s="404" t="s">
        <v>3147</v>
      </c>
      <c r="BE1427" s="403"/>
      <c r="BF1427" s="405">
        <v>7</v>
      </c>
      <c r="BG1427" s="405">
        <v>1</v>
      </c>
      <c r="BH1427" s="405">
        <v>11</v>
      </c>
      <c r="BI1427" s="405">
        <v>9</v>
      </c>
      <c r="BJ1427" s="405">
        <v>12</v>
      </c>
      <c r="BK1427" s="405"/>
      <c r="BL1427" s="446"/>
      <c r="BM1427" s="403"/>
      <c r="BN1427" s="404"/>
      <c r="BO1427" s="404"/>
      <c r="BP1427" s="408"/>
      <c r="BQ1427" s="409"/>
      <c r="BR1427" s="410"/>
      <c r="BS1427" s="408">
        <v>0.05</v>
      </c>
      <c r="BT1427" s="405"/>
      <c r="BU1427" s="418"/>
      <c r="BV1427" s="408"/>
      <c r="BW1427" s="404"/>
      <c r="BX1427" s="403"/>
      <c r="BY1427" s="404"/>
      <c r="BZ1427" s="404"/>
      <c r="CA1427" s="443"/>
      <c r="CB1427" s="409"/>
      <c r="CC1427" s="407"/>
      <c r="CD1427" s="407"/>
      <c r="CE1427" s="407"/>
      <c r="CF1427" s="407"/>
      <c r="CG1427" s="407"/>
      <c r="CH1427" s="407"/>
      <c r="CI1427" s="407"/>
      <c r="CJ1427" s="407"/>
      <c r="CK1427" s="407"/>
      <c r="CL1427" s="407"/>
      <c r="CM1427" s="407"/>
      <c r="CN1427" s="407"/>
      <c r="CO1427" s="407"/>
      <c r="CP1427" s="407"/>
      <c r="CQ1427" s="407"/>
      <c r="CR1427" s="407"/>
      <c r="CS1427" s="407"/>
      <c r="CT1427" s="407"/>
      <c r="CU1427" s="407"/>
      <c r="CV1427" s="407"/>
      <c r="CW1427" s="407"/>
      <c r="CX1427" s="407"/>
      <c r="CY1427" s="407"/>
      <c r="CZ1427" s="407"/>
      <c r="DA1427" s="407"/>
      <c r="DB1427" s="407"/>
      <c r="DC1427" s="407"/>
      <c r="DD1427" s="407"/>
      <c r="DE1427" s="404"/>
      <c r="DF1427" s="404"/>
      <c r="DG1427" s="404"/>
      <c r="DH1427" s="404"/>
      <c r="DI1427" s="404"/>
      <c r="DJ1427" s="404"/>
      <c r="DK1427" s="901"/>
    </row>
    <row r="1428" spans="1:115" ht="25.5" x14ac:dyDescent="0.2">
      <c r="A1428" s="295">
        <v>1424</v>
      </c>
      <c r="B1428" s="390" t="s">
        <v>2949</v>
      </c>
      <c r="C1428" s="390"/>
      <c r="D1428" s="391"/>
      <c r="E1428" s="707" t="s">
        <v>2434</v>
      </c>
      <c r="F1428" s="404" t="s">
        <v>1375</v>
      </c>
      <c r="G1428" s="404" t="s">
        <v>1669</v>
      </c>
      <c r="H1428" s="404" t="s">
        <v>818</v>
      </c>
      <c r="I1428" s="403"/>
      <c r="J1428" s="403"/>
      <c r="K1428" s="403" t="s">
        <v>2435</v>
      </c>
      <c r="L1428" s="403" t="s">
        <v>2433</v>
      </c>
      <c r="M1428" s="403"/>
      <c r="N1428" s="404" t="s">
        <v>3142</v>
      </c>
      <c r="O1428" s="404" t="s">
        <v>827</v>
      </c>
      <c r="P1428" s="404" t="s">
        <v>827</v>
      </c>
      <c r="Q1428" s="403" t="s">
        <v>836</v>
      </c>
      <c r="R1428" s="403" t="s">
        <v>3676</v>
      </c>
      <c r="S1428" s="403" t="s">
        <v>768</v>
      </c>
      <c r="T1428" s="405">
        <v>1</v>
      </c>
      <c r="U1428" s="406">
        <v>4.7E-2</v>
      </c>
      <c r="V1428" s="406"/>
      <c r="W1428" s="455"/>
      <c r="X1428" s="405"/>
      <c r="Y1428" s="405">
        <v>10</v>
      </c>
      <c r="Z1428" s="405">
        <v>25</v>
      </c>
      <c r="AA1428" s="406">
        <v>0</v>
      </c>
      <c r="AB1428" s="456">
        <v>41244</v>
      </c>
      <c r="AC1428" s="407">
        <v>0.39450000000000002</v>
      </c>
      <c r="AD1428" s="407">
        <v>0.47</v>
      </c>
      <c r="AE1428" s="404" t="s">
        <v>72</v>
      </c>
      <c r="AF1428" s="418"/>
      <c r="AG1428" s="418"/>
      <c r="AH1428" s="418"/>
      <c r="AI1428" s="405"/>
      <c r="AJ1428" s="455"/>
      <c r="AK1428" s="455"/>
      <c r="AL1428" s="404"/>
      <c r="AM1428" s="404"/>
      <c r="AN1428" s="418"/>
      <c r="AO1428" s="403"/>
      <c r="AP1428" s="403" t="s">
        <v>55</v>
      </c>
      <c r="AQ1428" s="403"/>
      <c r="AR1428" s="403" t="s">
        <v>55</v>
      </c>
      <c r="AS1428" s="482">
        <v>41101</v>
      </c>
      <c r="AT1428" s="455"/>
      <c r="AU1428" s="455"/>
      <c r="AV1428" s="455"/>
      <c r="AW1428" s="455"/>
      <c r="AX1428" s="455"/>
      <c r="AY1428" s="455"/>
      <c r="AZ1428" s="455"/>
      <c r="BA1428" s="404"/>
      <c r="BB1428" s="404"/>
      <c r="BC1428" s="404" t="b">
        <v>0</v>
      </c>
      <c r="BD1428" s="404"/>
      <c r="BE1428" s="403"/>
      <c r="BF1428" s="405">
        <v>7</v>
      </c>
      <c r="BG1428" s="405">
        <v>1</v>
      </c>
      <c r="BH1428" s="405">
        <v>11</v>
      </c>
      <c r="BI1428" s="405">
        <v>9</v>
      </c>
      <c r="BJ1428" s="405">
        <v>12</v>
      </c>
      <c r="BK1428" s="405"/>
      <c r="BL1428" s="446" t="s">
        <v>6981</v>
      </c>
      <c r="BM1428" s="403"/>
      <c r="BN1428" s="404"/>
      <c r="BO1428" s="404"/>
      <c r="BP1428" s="408"/>
      <c r="BQ1428" s="409"/>
      <c r="BR1428" s="410"/>
      <c r="BS1428" s="408">
        <v>0.05</v>
      </c>
      <c r="BT1428" s="405">
        <v>8</v>
      </c>
      <c r="BU1428" s="418">
        <v>0.56889999999999996</v>
      </c>
      <c r="BV1428" s="408"/>
      <c r="BW1428" s="404" t="s">
        <v>3117</v>
      </c>
      <c r="BX1428" s="403" t="s">
        <v>3154</v>
      </c>
      <c r="BY1428" s="404" t="s">
        <v>7224</v>
      </c>
      <c r="BZ1428" s="404"/>
      <c r="CA1428" s="443"/>
      <c r="CB1428" s="409"/>
      <c r="CC1428" s="407"/>
      <c r="CD1428" s="407"/>
      <c r="CE1428" s="407"/>
      <c r="CF1428" s="407"/>
      <c r="CG1428" s="407"/>
      <c r="CH1428" s="407">
        <v>0.39450000000000002</v>
      </c>
      <c r="CI1428" s="407">
        <v>4.734</v>
      </c>
      <c r="CJ1428" s="407">
        <v>4.734</v>
      </c>
      <c r="CK1428" s="407">
        <v>4.734</v>
      </c>
      <c r="CL1428" s="407">
        <v>4.734</v>
      </c>
      <c r="CM1428" s="407">
        <v>4.734</v>
      </c>
      <c r="CN1428" s="407">
        <v>4.734</v>
      </c>
      <c r="CO1428" s="407">
        <v>4.734</v>
      </c>
      <c r="CP1428" s="407">
        <v>4.734</v>
      </c>
      <c r="CQ1428" s="407">
        <v>4.734</v>
      </c>
      <c r="CR1428" s="407">
        <v>4.3395000000000001</v>
      </c>
      <c r="CS1428" s="407"/>
      <c r="CT1428" s="407"/>
      <c r="CU1428" s="407"/>
      <c r="CV1428" s="407"/>
      <c r="CW1428" s="407"/>
      <c r="CX1428" s="407"/>
      <c r="CY1428" s="407"/>
      <c r="CZ1428" s="407"/>
      <c r="DA1428" s="407"/>
      <c r="DB1428" s="407"/>
      <c r="DC1428" s="407"/>
      <c r="DD1428" s="407"/>
      <c r="DE1428" s="404"/>
      <c r="DF1428" s="404"/>
      <c r="DG1428" s="404"/>
      <c r="DH1428" s="404"/>
      <c r="DI1428" s="404"/>
      <c r="DJ1428" s="404"/>
      <c r="DK1428" s="897"/>
    </row>
    <row r="1429" spans="1:115" ht="51" x14ac:dyDescent="0.2">
      <c r="A1429" s="295">
        <v>1425</v>
      </c>
      <c r="B1429" s="390" t="s">
        <v>2436</v>
      </c>
      <c r="C1429" s="424" t="s">
        <v>7778</v>
      </c>
      <c r="D1429" s="391"/>
      <c r="E1429" s="706" t="s">
        <v>805</v>
      </c>
      <c r="F1429" s="390" t="s">
        <v>1352</v>
      </c>
      <c r="G1429" s="390" t="s">
        <v>1672</v>
      </c>
      <c r="H1429" s="390" t="s">
        <v>78</v>
      </c>
      <c r="I1429" s="402"/>
      <c r="J1429" s="402" t="s">
        <v>78</v>
      </c>
      <c r="K1429" s="402"/>
      <c r="L1429" s="402" t="s">
        <v>3787</v>
      </c>
      <c r="M1429" s="402" t="s">
        <v>3358</v>
      </c>
      <c r="N1429" s="390" t="s">
        <v>33</v>
      </c>
      <c r="O1429" s="390" t="s">
        <v>289</v>
      </c>
      <c r="P1429" s="390" t="s">
        <v>289</v>
      </c>
      <c r="Q1429" s="402" t="s">
        <v>721</v>
      </c>
      <c r="R1429" s="402"/>
      <c r="S1429" s="402" t="s">
        <v>291</v>
      </c>
      <c r="T1429" s="411">
        <v>1</v>
      </c>
      <c r="U1429" s="412">
        <v>34.228000000000002</v>
      </c>
      <c r="V1429" s="412"/>
      <c r="W1429" s="457">
        <v>41183</v>
      </c>
      <c r="X1429" s="411">
        <v>28</v>
      </c>
      <c r="Y1429" s="411"/>
      <c r="Z1429" s="411"/>
      <c r="AA1429" s="412"/>
      <c r="AB1429" s="454"/>
      <c r="AC1429" s="413">
        <v>0</v>
      </c>
      <c r="AD1429" s="413">
        <v>239.68977534246579</v>
      </c>
      <c r="AE1429" s="390" t="s">
        <v>96</v>
      </c>
      <c r="AF1429" s="419"/>
      <c r="AG1429" s="419"/>
      <c r="AH1429" s="419">
        <v>0</v>
      </c>
      <c r="AI1429" s="411"/>
      <c r="AJ1429" s="454"/>
      <c r="AK1429" s="454"/>
      <c r="AL1429" s="390"/>
      <c r="AM1429" s="390"/>
      <c r="AN1429" s="419"/>
      <c r="AO1429" s="402"/>
      <c r="AP1429" s="402" t="s">
        <v>7088</v>
      </c>
      <c r="AQ1429" s="402"/>
      <c r="AR1429" s="402" t="s">
        <v>55</v>
      </c>
      <c r="AS1429" s="481">
        <v>41102</v>
      </c>
      <c r="AT1429" s="454"/>
      <c r="AU1429" s="454"/>
      <c r="AV1429" s="454"/>
      <c r="AW1429" s="454"/>
      <c r="AX1429" s="454"/>
      <c r="AY1429" s="454"/>
      <c r="AZ1429" s="454"/>
      <c r="BA1429" s="390"/>
      <c r="BB1429" s="390" t="s">
        <v>3147</v>
      </c>
      <c r="BC1429" s="390" t="b">
        <v>0</v>
      </c>
      <c r="BD1429" s="390" t="s">
        <v>3147</v>
      </c>
      <c r="BE1429" s="402"/>
      <c r="BF1429" s="411">
        <v>5</v>
      </c>
      <c r="BG1429" s="411">
        <v>8</v>
      </c>
      <c r="BH1429" s="411">
        <v>10</v>
      </c>
      <c r="BI1429" s="411">
        <v>11</v>
      </c>
      <c r="BJ1429" s="411">
        <v>9</v>
      </c>
      <c r="BK1429" s="411"/>
      <c r="BL1429" s="445"/>
      <c r="BM1429" s="402"/>
      <c r="BN1429" s="390"/>
      <c r="BO1429" s="390"/>
      <c r="BP1429" s="414"/>
      <c r="BQ1429" s="415"/>
      <c r="BR1429" s="416"/>
      <c r="BS1429" s="414">
        <v>9</v>
      </c>
      <c r="BT1429" s="411"/>
      <c r="BU1429" s="419"/>
      <c r="BV1429" s="414"/>
      <c r="BW1429" s="390"/>
      <c r="BX1429" s="402"/>
      <c r="BY1429" s="390"/>
      <c r="BZ1429" s="390"/>
      <c r="CA1429" s="442"/>
      <c r="CB1429" s="415"/>
      <c r="CC1429" s="413"/>
      <c r="CD1429" s="413"/>
      <c r="CE1429" s="413"/>
      <c r="CF1429" s="413"/>
      <c r="CG1429" s="413"/>
      <c r="CH1429" s="413"/>
      <c r="CI1429" s="413"/>
      <c r="CJ1429" s="413"/>
      <c r="CK1429" s="413"/>
      <c r="CL1429" s="413"/>
      <c r="CM1429" s="413"/>
      <c r="CN1429" s="413"/>
      <c r="CO1429" s="413"/>
      <c r="CP1429" s="413"/>
      <c r="CQ1429" s="413"/>
      <c r="CR1429" s="413"/>
      <c r="CS1429" s="413"/>
      <c r="CT1429" s="413"/>
      <c r="CU1429" s="413"/>
      <c r="CV1429" s="413"/>
      <c r="CW1429" s="413"/>
      <c r="CX1429" s="413"/>
      <c r="CY1429" s="413"/>
      <c r="CZ1429" s="413"/>
      <c r="DA1429" s="413"/>
      <c r="DB1429" s="413"/>
      <c r="DC1429" s="413"/>
      <c r="DD1429" s="413"/>
      <c r="DE1429" s="390"/>
      <c r="DF1429" s="390"/>
      <c r="DG1429" s="390"/>
      <c r="DH1429" s="390"/>
      <c r="DI1429" s="390"/>
      <c r="DJ1429" s="390"/>
      <c r="DK1429" s="901"/>
    </row>
    <row r="1430" spans="1:115" ht="25.5" x14ac:dyDescent="0.2">
      <c r="A1430" s="295">
        <v>1426</v>
      </c>
      <c r="B1430" s="390" t="s">
        <v>2950</v>
      </c>
      <c r="C1430" s="390"/>
      <c r="D1430" s="391"/>
      <c r="E1430" s="706" t="s">
        <v>2437</v>
      </c>
      <c r="F1430" s="390" t="s">
        <v>1352</v>
      </c>
      <c r="G1430" s="390" t="s">
        <v>1672</v>
      </c>
      <c r="H1430" s="390" t="s">
        <v>78</v>
      </c>
      <c r="I1430" s="402"/>
      <c r="J1430" s="402"/>
      <c r="K1430" s="402" t="s">
        <v>2158</v>
      </c>
      <c r="L1430" s="402" t="s">
        <v>3787</v>
      </c>
      <c r="M1430" s="402"/>
      <c r="N1430" s="390" t="s">
        <v>33</v>
      </c>
      <c r="O1430" s="390" t="s">
        <v>289</v>
      </c>
      <c r="P1430" s="390" t="s">
        <v>289</v>
      </c>
      <c r="Q1430" s="402" t="s">
        <v>721</v>
      </c>
      <c r="R1430" s="402" t="s">
        <v>3677</v>
      </c>
      <c r="S1430" s="402" t="s">
        <v>291</v>
      </c>
      <c r="T1430" s="411">
        <v>1</v>
      </c>
      <c r="U1430" s="412">
        <v>34.228000000000002</v>
      </c>
      <c r="V1430" s="412"/>
      <c r="W1430" s="454"/>
      <c r="X1430" s="411"/>
      <c r="Y1430" s="411">
        <v>7</v>
      </c>
      <c r="Z1430" s="411">
        <v>25</v>
      </c>
      <c r="AA1430" s="412">
        <v>0</v>
      </c>
      <c r="AB1430" s="457">
        <v>41640</v>
      </c>
      <c r="AC1430" s="413">
        <v>0</v>
      </c>
      <c r="AD1430" s="413">
        <v>239.68977534246579</v>
      </c>
      <c r="AE1430" s="390" t="s">
        <v>96</v>
      </c>
      <c r="AF1430" s="419"/>
      <c r="AG1430" s="419"/>
      <c r="AH1430" s="419"/>
      <c r="AI1430" s="411"/>
      <c r="AJ1430" s="454"/>
      <c r="AK1430" s="454"/>
      <c r="AL1430" s="390"/>
      <c r="AM1430" s="390"/>
      <c r="AN1430" s="419"/>
      <c r="AO1430" s="402"/>
      <c r="AP1430" s="402" t="s">
        <v>7088</v>
      </c>
      <c r="AQ1430" s="402"/>
      <c r="AR1430" s="402" t="s">
        <v>55</v>
      </c>
      <c r="AS1430" s="481">
        <v>41102</v>
      </c>
      <c r="AT1430" s="454"/>
      <c r="AU1430" s="454"/>
      <c r="AV1430" s="454"/>
      <c r="AW1430" s="454"/>
      <c r="AX1430" s="454"/>
      <c r="AY1430" s="454"/>
      <c r="AZ1430" s="454"/>
      <c r="BA1430" s="390"/>
      <c r="BB1430" s="390"/>
      <c r="BC1430" s="390" t="b">
        <v>0</v>
      </c>
      <c r="BD1430" s="390"/>
      <c r="BE1430" s="402"/>
      <c r="BF1430" s="411">
        <v>5</v>
      </c>
      <c r="BG1430" s="411">
        <v>8</v>
      </c>
      <c r="BH1430" s="411">
        <v>10</v>
      </c>
      <c r="BI1430" s="411">
        <v>11</v>
      </c>
      <c r="BJ1430" s="411">
        <v>9</v>
      </c>
      <c r="BK1430" s="411"/>
      <c r="BL1430" s="445" t="s">
        <v>6981</v>
      </c>
      <c r="BM1430" s="402"/>
      <c r="BN1430" s="390"/>
      <c r="BO1430" s="390"/>
      <c r="BP1430" s="414"/>
      <c r="BQ1430" s="415"/>
      <c r="BR1430" s="416"/>
      <c r="BS1430" s="414">
        <v>9</v>
      </c>
      <c r="BT1430" s="411">
        <v>45760</v>
      </c>
      <c r="BU1430" s="419">
        <v>0.748</v>
      </c>
      <c r="BV1430" s="414"/>
      <c r="BW1430" s="390" t="s">
        <v>3117</v>
      </c>
      <c r="BX1430" s="402" t="s">
        <v>1447</v>
      </c>
      <c r="BY1430" s="390"/>
      <c r="BZ1430" s="390"/>
      <c r="CA1430" s="442" t="s">
        <v>1662</v>
      </c>
      <c r="CB1430" s="415">
        <v>3</v>
      </c>
      <c r="CC1430" s="413"/>
      <c r="CD1430" s="413"/>
      <c r="CE1430" s="413"/>
      <c r="CF1430" s="413"/>
      <c r="CG1430" s="413"/>
      <c r="CH1430" s="413"/>
      <c r="CI1430" s="413"/>
      <c r="CJ1430" s="413">
        <v>34.228000000000002</v>
      </c>
      <c r="CK1430" s="413">
        <v>34.228000000000002</v>
      </c>
      <c r="CL1430" s="413">
        <v>34.228000000000002</v>
      </c>
      <c r="CM1430" s="413">
        <v>34.228000000000002</v>
      </c>
      <c r="CN1430" s="413">
        <v>34.228000000000002</v>
      </c>
      <c r="CO1430" s="413">
        <v>34.228000000000002</v>
      </c>
      <c r="CP1430" s="413">
        <v>34.228000000000002</v>
      </c>
      <c r="CQ1430" s="413"/>
      <c r="CR1430" s="413"/>
      <c r="CS1430" s="413"/>
      <c r="CT1430" s="413"/>
      <c r="CU1430" s="413"/>
      <c r="CV1430" s="413"/>
      <c r="CW1430" s="413"/>
      <c r="CX1430" s="413"/>
      <c r="CY1430" s="413"/>
      <c r="CZ1430" s="413"/>
      <c r="DA1430" s="413"/>
      <c r="DB1430" s="413"/>
      <c r="DC1430" s="413"/>
      <c r="DD1430" s="413"/>
      <c r="DE1430" s="390"/>
      <c r="DF1430" s="390"/>
      <c r="DG1430" s="390"/>
      <c r="DH1430" s="390"/>
      <c r="DI1430" s="390"/>
      <c r="DJ1430" s="390"/>
      <c r="DK1430" s="897"/>
    </row>
    <row r="1431" spans="1:115" ht="38.25" x14ac:dyDescent="0.2">
      <c r="A1431" s="295">
        <v>1427</v>
      </c>
      <c r="B1431" s="390" t="s">
        <v>2438</v>
      </c>
      <c r="C1431" s="424" t="s">
        <v>7779</v>
      </c>
      <c r="D1431" s="391" t="s">
        <v>5639</v>
      </c>
      <c r="E1431" s="704" t="s">
        <v>2439</v>
      </c>
      <c r="F1431" s="393" t="s">
        <v>1340</v>
      </c>
      <c r="G1431" s="393" t="s">
        <v>1675</v>
      </c>
      <c r="H1431" s="393" t="s">
        <v>2440</v>
      </c>
      <c r="I1431" s="392"/>
      <c r="J1431" s="392" t="s">
        <v>2440</v>
      </c>
      <c r="K1431" s="392"/>
      <c r="L1431" s="392" t="s">
        <v>2441</v>
      </c>
      <c r="M1431" s="392" t="s">
        <v>3678</v>
      </c>
      <c r="N1431" s="393" t="s">
        <v>44</v>
      </c>
      <c r="O1431" s="393" t="s">
        <v>51</v>
      </c>
      <c r="P1431" s="393" t="s">
        <v>51</v>
      </c>
      <c r="Q1431" s="392" t="s">
        <v>976</v>
      </c>
      <c r="R1431" s="392"/>
      <c r="S1431" s="392" t="s">
        <v>977</v>
      </c>
      <c r="T1431" s="394">
        <v>1</v>
      </c>
      <c r="U1431" s="395">
        <v>41.226999999999997</v>
      </c>
      <c r="V1431" s="395"/>
      <c r="W1431" s="452">
        <v>41104</v>
      </c>
      <c r="X1431" s="394">
        <v>28</v>
      </c>
      <c r="Y1431" s="394"/>
      <c r="Z1431" s="394"/>
      <c r="AA1431" s="395"/>
      <c r="AB1431" s="453"/>
      <c r="AC1431" s="398">
        <v>0</v>
      </c>
      <c r="AD1431" s="398">
        <v>412.27</v>
      </c>
      <c r="AE1431" s="393" t="s">
        <v>225</v>
      </c>
      <c r="AF1431" s="417"/>
      <c r="AG1431" s="417"/>
      <c r="AH1431" s="417">
        <v>0</v>
      </c>
      <c r="AI1431" s="394"/>
      <c r="AJ1431" s="453"/>
      <c r="AK1431" s="453"/>
      <c r="AL1431" s="393"/>
      <c r="AM1431" s="393"/>
      <c r="AN1431" s="417"/>
      <c r="AO1431" s="392"/>
      <c r="AP1431" s="392" t="s">
        <v>7113</v>
      </c>
      <c r="AQ1431" s="392"/>
      <c r="AR1431" s="392" t="s">
        <v>55</v>
      </c>
      <c r="AS1431" s="479">
        <v>41103</v>
      </c>
      <c r="AT1431" s="453"/>
      <c r="AU1431" s="453"/>
      <c r="AV1431" s="452">
        <v>41366</v>
      </c>
      <c r="AW1431" s="452">
        <v>41481</v>
      </c>
      <c r="AX1431" s="452">
        <v>41565</v>
      </c>
      <c r="AY1431" s="452">
        <v>41481</v>
      </c>
      <c r="AZ1431" s="453"/>
      <c r="BA1431" s="393"/>
      <c r="BB1431" s="393" t="s">
        <v>3116</v>
      </c>
      <c r="BC1431" s="393" t="b">
        <v>0</v>
      </c>
      <c r="BD1431" s="393" t="s">
        <v>3116</v>
      </c>
      <c r="BE1431" s="392"/>
      <c r="BF1431" s="394">
        <v>4</v>
      </c>
      <c r="BG1431" s="394">
        <v>6</v>
      </c>
      <c r="BH1431" s="394">
        <v>1</v>
      </c>
      <c r="BI1431" s="394">
        <v>8</v>
      </c>
      <c r="BJ1431" s="394">
        <v>5</v>
      </c>
      <c r="BK1431" s="394">
        <v>11</v>
      </c>
      <c r="BL1431" s="444"/>
      <c r="BM1431" s="392"/>
      <c r="BN1431" s="393"/>
      <c r="BO1431" s="393"/>
      <c r="BP1431" s="399"/>
      <c r="BQ1431" s="400"/>
      <c r="BR1431" s="401"/>
      <c r="BS1431" s="399">
        <v>0</v>
      </c>
      <c r="BT1431" s="394"/>
      <c r="BU1431" s="417"/>
      <c r="BV1431" s="399"/>
      <c r="BW1431" s="393"/>
      <c r="BX1431" s="392"/>
      <c r="BY1431" s="393"/>
      <c r="BZ1431" s="393"/>
      <c r="CA1431" s="441"/>
      <c r="CB1431" s="400"/>
      <c r="CC1431" s="398"/>
      <c r="CD1431" s="398"/>
      <c r="CE1431" s="398"/>
      <c r="CF1431" s="398"/>
      <c r="CG1431" s="398"/>
      <c r="CH1431" s="398"/>
      <c r="CI1431" s="398"/>
      <c r="CJ1431" s="398"/>
      <c r="CK1431" s="398"/>
      <c r="CL1431" s="398"/>
      <c r="CM1431" s="398"/>
      <c r="CN1431" s="398"/>
      <c r="CO1431" s="398"/>
      <c r="CP1431" s="398"/>
      <c r="CQ1431" s="398"/>
      <c r="CR1431" s="398"/>
      <c r="CS1431" s="398"/>
      <c r="CT1431" s="398"/>
      <c r="CU1431" s="398"/>
      <c r="CV1431" s="398"/>
      <c r="CW1431" s="398"/>
      <c r="CX1431" s="398"/>
      <c r="CY1431" s="398"/>
      <c r="CZ1431" s="398"/>
      <c r="DA1431" s="398"/>
      <c r="DB1431" s="398"/>
      <c r="DC1431" s="398"/>
      <c r="DD1431" s="398"/>
      <c r="DE1431" s="393"/>
      <c r="DF1431" s="393"/>
      <c r="DG1431" s="393"/>
      <c r="DH1431" s="393"/>
      <c r="DI1431" s="393"/>
      <c r="DJ1431" s="393"/>
      <c r="DK1431" s="896" t="s">
        <v>9701</v>
      </c>
    </row>
    <row r="1432" spans="1:115" ht="25.5" x14ac:dyDescent="0.2">
      <c r="A1432" s="295">
        <v>1428</v>
      </c>
      <c r="B1432" s="390" t="s">
        <v>2951</v>
      </c>
      <c r="C1432" s="390"/>
      <c r="D1432" s="391" t="s">
        <v>5640</v>
      </c>
      <c r="E1432" s="704" t="s">
        <v>2442</v>
      </c>
      <c r="F1432" s="393" t="s">
        <v>1340</v>
      </c>
      <c r="G1432" s="393" t="s">
        <v>1675</v>
      </c>
      <c r="H1432" s="393" t="s">
        <v>2440</v>
      </c>
      <c r="I1432" s="392"/>
      <c r="J1432" s="392"/>
      <c r="K1432" s="392" t="s">
        <v>2440</v>
      </c>
      <c r="L1432" s="392" t="s">
        <v>2441</v>
      </c>
      <c r="M1432" s="392"/>
      <c r="N1432" s="393" t="s">
        <v>44</v>
      </c>
      <c r="O1432" s="393" t="s">
        <v>51</v>
      </c>
      <c r="P1432" s="393" t="s">
        <v>51</v>
      </c>
      <c r="Q1432" s="392" t="s">
        <v>976</v>
      </c>
      <c r="R1432" s="392" t="s">
        <v>3679</v>
      </c>
      <c r="S1432" s="392" t="s">
        <v>977</v>
      </c>
      <c r="T1432" s="394">
        <v>1</v>
      </c>
      <c r="U1432" s="395">
        <v>41.226999999999997</v>
      </c>
      <c r="V1432" s="395"/>
      <c r="W1432" s="453"/>
      <c r="X1432" s="394"/>
      <c r="Y1432" s="394">
        <v>10</v>
      </c>
      <c r="Z1432" s="394">
        <v>10</v>
      </c>
      <c r="AA1432" s="395">
        <v>0</v>
      </c>
      <c r="AB1432" s="452">
        <v>41275</v>
      </c>
      <c r="AC1432" s="398">
        <v>0</v>
      </c>
      <c r="AD1432" s="398">
        <v>412.27</v>
      </c>
      <c r="AE1432" s="393" t="s">
        <v>225</v>
      </c>
      <c r="AF1432" s="417"/>
      <c r="AG1432" s="417"/>
      <c r="AH1432" s="417"/>
      <c r="AI1432" s="394"/>
      <c r="AJ1432" s="453"/>
      <c r="AK1432" s="453"/>
      <c r="AL1432" s="393"/>
      <c r="AM1432" s="393"/>
      <c r="AN1432" s="417"/>
      <c r="AO1432" s="392"/>
      <c r="AP1432" s="392" t="s">
        <v>7113</v>
      </c>
      <c r="AQ1432" s="392"/>
      <c r="AR1432" s="392" t="s">
        <v>55</v>
      </c>
      <c r="AS1432" s="479">
        <v>41103</v>
      </c>
      <c r="AT1432" s="453"/>
      <c r="AU1432" s="453"/>
      <c r="AV1432" s="453"/>
      <c r="AW1432" s="453"/>
      <c r="AX1432" s="453"/>
      <c r="AY1432" s="453"/>
      <c r="AZ1432" s="452">
        <v>41481</v>
      </c>
      <c r="BA1432" s="393"/>
      <c r="BB1432" s="393"/>
      <c r="BC1432" s="393" t="b">
        <v>0</v>
      </c>
      <c r="BD1432" s="393"/>
      <c r="BE1432" s="392"/>
      <c r="BF1432" s="394">
        <v>4</v>
      </c>
      <c r="BG1432" s="394">
        <v>6</v>
      </c>
      <c r="BH1432" s="394">
        <v>1</v>
      </c>
      <c r="BI1432" s="394">
        <v>8</v>
      </c>
      <c r="BJ1432" s="394">
        <v>5</v>
      </c>
      <c r="BK1432" s="394">
        <v>11</v>
      </c>
      <c r="BL1432" s="444" t="s">
        <v>6986</v>
      </c>
      <c r="BM1432" s="392" t="s">
        <v>3680</v>
      </c>
      <c r="BN1432" s="393" t="s">
        <v>2440</v>
      </c>
      <c r="BO1432" s="393"/>
      <c r="BP1432" s="399"/>
      <c r="BQ1432" s="400"/>
      <c r="BR1432" s="401"/>
      <c r="BS1432" s="399"/>
      <c r="BT1432" s="394"/>
      <c r="BU1432" s="417"/>
      <c r="BV1432" s="399">
        <v>180</v>
      </c>
      <c r="BW1432" s="393" t="s">
        <v>3117</v>
      </c>
      <c r="BX1432" s="392" t="s">
        <v>3177</v>
      </c>
      <c r="BY1432" s="393" t="s">
        <v>7225</v>
      </c>
      <c r="BZ1432" s="393"/>
      <c r="CA1432" s="441"/>
      <c r="CB1432" s="400"/>
      <c r="CC1432" s="398"/>
      <c r="CD1432" s="398"/>
      <c r="CE1432" s="398"/>
      <c r="CF1432" s="398"/>
      <c r="CG1432" s="398"/>
      <c r="CH1432" s="398"/>
      <c r="CI1432" s="398">
        <v>43.383000000000003</v>
      </c>
      <c r="CJ1432" s="398">
        <v>43.383000000000003</v>
      </c>
      <c r="CK1432" s="398">
        <v>43.383000000000003</v>
      </c>
      <c r="CL1432" s="398">
        <v>43.383000000000003</v>
      </c>
      <c r="CM1432" s="398">
        <v>43.383000000000003</v>
      </c>
      <c r="CN1432" s="398">
        <v>43.383000000000003</v>
      </c>
      <c r="CO1432" s="398">
        <v>43.383000000000003</v>
      </c>
      <c r="CP1432" s="398">
        <v>43.383000000000003</v>
      </c>
      <c r="CQ1432" s="398">
        <v>43.383000000000003</v>
      </c>
      <c r="CR1432" s="398">
        <v>43.383000000000003</v>
      </c>
      <c r="CS1432" s="398"/>
      <c r="CT1432" s="398"/>
      <c r="CU1432" s="398"/>
      <c r="CV1432" s="398"/>
      <c r="CW1432" s="398"/>
      <c r="CX1432" s="398"/>
      <c r="CY1432" s="398"/>
      <c r="CZ1432" s="398"/>
      <c r="DA1432" s="398"/>
      <c r="DB1432" s="398"/>
      <c r="DC1432" s="398"/>
      <c r="DD1432" s="398"/>
      <c r="DE1432" s="393"/>
      <c r="DF1432" s="393"/>
      <c r="DG1432" s="393"/>
      <c r="DH1432" s="393"/>
      <c r="DI1432" s="393"/>
      <c r="DJ1432" s="393"/>
      <c r="DK1432" s="897"/>
    </row>
    <row r="1433" spans="1:115" ht="51" x14ac:dyDescent="0.2">
      <c r="A1433" s="295">
        <v>1429</v>
      </c>
      <c r="B1433" s="390" t="s">
        <v>2443</v>
      </c>
      <c r="C1433" s="424" t="s">
        <v>7780</v>
      </c>
      <c r="D1433" s="391"/>
      <c r="E1433" s="706" t="s">
        <v>2444</v>
      </c>
      <c r="F1433" s="390" t="s">
        <v>1352</v>
      </c>
      <c r="G1433" s="390" t="s">
        <v>1672</v>
      </c>
      <c r="H1433" s="390" t="s">
        <v>78</v>
      </c>
      <c r="I1433" s="402"/>
      <c r="J1433" s="402" t="s">
        <v>78</v>
      </c>
      <c r="K1433" s="402"/>
      <c r="L1433" s="402" t="s">
        <v>2445</v>
      </c>
      <c r="M1433" s="402" t="s">
        <v>3681</v>
      </c>
      <c r="N1433" s="390" t="s">
        <v>33</v>
      </c>
      <c r="O1433" s="390" t="s">
        <v>69</v>
      </c>
      <c r="P1433" s="390" t="s">
        <v>69</v>
      </c>
      <c r="Q1433" s="402" t="s">
        <v>690</v>
      </c>
      <c r="R1433" s="402"/>
      <c r="S1433" s="402" t="s">
        <v>2446</v>
      </c>
      <c r="T1433" s="411">
        <v>1</v>
      </c>
      <c r="U1433" s="412">
        <v>61.911000000000001</v>
      </c>
      <c r="V1433" s="412"/>
      <c r="W1433" s="457">
        <v>40909</v>
      </c>
      <c r="X1433" s="411">
        <v>28</v>
      </c>
      <c r="Y1433" s="411"/>
      <c r="Z1433" s="411"/>
      <c r="AA1433" s="412"/>
      <c r="AB1433" s="454"/>
      <c r="AC1433" s="413">
        <v>0</v>
      </c>
      <c r="AD1433" s="413">
        <v>619.11</v>
      </c>
      <c r="AE1433" s="390" t="s">
        <v>660</v>
      </c>
      <c r="AF1433" s="419"/>
      <c r="AG1433" s="419"/>
      <c r="AH1433" s="419">
        <v>0</v>
      </c>
      <c r="AI1433" s="411"/>
      <c r="AJ1433" s="454"/>
      <c r="AK1433" s="454"/>
      <c r="AL1433" s="390"/>
      <c r="AM1433" s="390"/>
      <c r="AN1433" s="419"/>
      <c r="AO1433" s="402"/>
      <c r="AP1433" s="402" t="s">
        <v>7114</v>
      </c>
      <c r="AQ1433" s="402"/>
      <c r="AR1433" s="402" t="s">
        <v>55</v>
      </c>
      <c r="AS1433" s="481">
        <v>41104</v>
      </c>
      <c r="AT1433" s="454"/>
      <c r="AU1433" s="454"/>
      <c r="AV1433" s="454"/>
      <c r="AW1433" s="454"/>
      <c r="AX1433" s="454"/>
      <c r="AY1433" s="454"/>
      <c r="AZ1433" s="454"/>
      <c r="BA1433" s="390"/>
      <c r="BB1433" s="390" t="s">
        <v>3147</v>
      </c>
      <c r="BC1433" s="390" t="b">
        <v>1</v>
      </c>
      <c r="BD1433" s="390" t="s">
        <v>3147</v>
      </c>
      <c r="BE1433" s="402"/>
      <c r="BF1433" s="411">
        <v>9</v>
      </c>
      <c r="BG1433" s="411">
        <v>12</v>
      </c>
      <c r="BH1433" s="411">
        <v>5</v>
      </c>
      <c r="BI1433" s="411">
        <v>11</v>
      </c>
      <c r="BJ1433" s="411"/>
      <c r="BK1433" s="411"/>
      <c r="BL1433" s="445"/>
      <c r="BM1433" s="402"/>
      <c r="BN1433" s="390"/>
      <c r="BO1433" s="390"/>
      <c r="BP1433" s="414"/>
      <c r="BQ1433" s="415"/>
      <c r="BR1433" s="416"/>
      <c r="BS1433" s="414">
        <v>1.8</v>
      </c>
      <c r="BT1433" s="411"/>
      <c r="BU1433" s="419"/>
      <c r="BV1433" s="414"/>
      <c r="BW1433" s="390"/>
      <c r="BX1433" s="402"/>
      <c r="BY1433" s="390"/>
      <c r="BZ1433" s="390"/>
      <c r="CA1433" s="442"/>
      <c r="CB1433" s="415"/>
      <c r="CC1433" s="413"/>
      <c r="CD1433" s="413"/>
      <c r="CE1433" s="413"/>
      <c r="CF1433" s="413"/>
      <c r="CG1433" s="413"/>
      <c r="CH1433" s="413"/>
      <c r="CI1433" s="413"/>
      <c r="CJ1433" s="413"/>
      <c r="CK1433" s="413"/>
      <c r="CL1433" s="413"/>
      <c r="CM1433" s="413"/>
      <c r="CN1433" s="413"/>
      <c r="CO1433" s="413"/>
      <c r="CP1433" s="413"/>
      <c r="CQ1433" s="413"/>
      <c r="CR1433" s="413"/>
      <c r="CS1433" s="413"/>
      <c r="CT1433" s="413"/>
      <c r="CU1433" s="413"/>
      <c r="CV1433" s="413"/>
      <c r="CW1433" s="413"/>
      <c r="CX1433" s="413"/>
      <c r="CY1433" s="413"/>
      <c r="CZ1433" s="413"/>
      <c r="DA1433" s="413"/>
      <c r="DB1433" s="413"/>
      <c r="DC1433" s="413"/>
      <c r="DD1433" s="413"/>
      <c r="DE1433" s="390"/>
      <c r="DF1433" s="390"/>
      <c r="DG1433" s="390"/>
      <c r="DH1433" s="390"/>
      <c r="DI1433" s="390"/>
      <c r="DJ1433" s="390"/>
      <c r="DK1433" s="901"/>
    </row>
    <row r="1434" spans="1:115" ht="38.25" x14ac:dyDescent="0.2">
      <c r="A1434" s="295">
        <v>1430</v>
      </c>
      <c r="B1434" s="390" t="s">
        <v>2952</v>
      </c>
      <c r="C1434" s="390"/>
      <c r="D1434" s="391"/>
      <c r="E1434" s="706" t="s">
        <v>2447</v>
      </c>
      <c r="F1434" s="390" t="s">
        <v>1352</v>
      </c>
      <c r="G1434" s="390" t="s">
        <v>1672</v>
      </c>
      <c r="H1434" s="390" t="s">
        <v>78</v>
      </c>
      <c r="I1434" s="402"/>
      <c r="J1434" s="402"/>
      <c r="K1434" s="402" t="s">
        <v>2158</v>
      </c>
      <c r="L1434" s="402" t="s">
        <v>2445</v>
      </c>
      <c r="M1434" s="402"/>
      <c r="N1434" s="390" t="s">
        <v>33</v>
      </c>
      <c r="O1434" s="390" t="s">
        <v>69</v>
      </c>
      <c r="P1434" s="390" t="s">
        <v>69</v>
      </c>
      <c r="Q1434" s="402" t="s">
        <v>690</v>
      </c>
      <c r="R1434" s="402" t="s">
        <v>3682</v>
      </c>
      <c r="S1434" s="402" t="s">
        <v>2446</v>
      </c>
      <c r="T1434" s="411">
        <v>1</v>
      </c>
      <c r="U1434" s="412">
        <v>61.911000000000001</v>
      </c>
      <c r="V1434" s="412"/>
      <c r="W1434" s="454"/>
      <c r="X1434" s="411"/>
      <c r="Y1434" s="411">
        <v>10</v>
      </c>
      <c r="Z1434" s="411">
        <v>10</v>
      </c>
      <c r="AA1434" s="412">
        <v>0</v>
      </c>
      <c r="AB1434" s="457">
        <v>41609</v>
      </c>
      <c r="AC1434" s="413">
        <v>0</v>
      </c>
      <c r="AD1434" s="413">
        <v>619.11</v>
      </c>
      <c r="AE1434" s="390" t="s">
        <v>660</v>
      </c>
      <c r="AF1434" s="419"/>
      <c r="AG1434" s="419"/>
      <c r="AH1434" s="419"/>
      <c r="AI1434" s="411"/>
      <c r="AJ1434" s="454"/>
      <c r="AK1434" s="454"/>
      <c r="AL1434" s="390"/>
      <c r="AM1434" s="390"/>
      <c r="AN1434" s="419"/>
      <c r="AO1434" s="402"/>
      <c r="AP1434" s="402" t="s">
        <v>7114</v>
      </c>
      <c r="AQ1434" s="402"/>
      <c r="AR1434" s="402" t="s">
        <v>55</v>
      </c>
      <c r="AS1434" s="481">
        <v>41104</v>
      </c>
      <c r="AT1434" s="454"/>
      <c r="AU1434" s="454"/>
      <c r="AV1434" s="454"/>
      <c r="AW1434" s="454"/>
      <c r="AX1434" s="454"/>
      <c r="AY1434" s="454"/>
      <c r="AZ1434" s="454"/>
      <c r="BA1434" s="390"/>
      <c r="BB1434" s="390"/>
      <c r="BC1434" s="390" t="b">
        <v>0</v>
      </c>
      <c r="BD1434" s="390"/>
      <c r="BE1434" s="402"/>
      <c r="BF1434" s="411">
        <v>9</v>
      </c>
      <c r="BG1434" s="411">
        <v>12</v>
      </c>
      <c r="BH1434" s="411">
        <v>5</v>
      </c>
      <c r="BI1434" s="411">
        <v>11</v>
      </c>
      <c r="BJ1434" s="411">
        <v>1</v>
      </c>
      <c r="BK1434" s="411"/>
      <c r="BL1434" s="445" t="s">
        <v>6982</v>
      </c>
      <c r="BM1434" s="402"/>
      <c r="BN1434" s="390"/>
      <c r="BO1434" s="390"/>
      <c r="BP1434" s="414"/>
      <c r="BQ1434" s="415"/>
      <c r="BR1434" s="416"/>
      <c r="BS1434" s="414">
        <v>1.8</v>
      </c>
      <c r="BT1434" s="411">
        <v>10798</v>
      </c>
      <c r="BU1434" s="419">
        <v>0.748</v>
      </c>
      <c r="BV1434" s="414"/>
      <c r="BW1434" s="390" t="s">
        <v>3117</v>
      </c>
      <c r="BX1434" s="402" t="s">
        <v>1447</v>
      </c>
      <c r="BY1434" s="390"/>
      <c r="BZ1434" s="390"/>
      <c r="CA1434" s="442" t="s">
        <v>1662</v>
      </c>
      <c r="CB1434" s="415">
        <v>3</v>
      </c>
      <c r="CC1434" s="413"/>
      <c r="CD1434" s="413"/>
      <c r="CE1434" s="413"/>
      <c r="CF1434" s="413"/>
      <c r="CG1434" s="413"/>
      <c r="CH1434" s="413"/>
      <c r="CI1434" s="413">
        <v>61.911000000000001</v>
      </c>
      <c r="CJ1434" s="413">
        <v>61.911000000000001</v>
      </c>
      <c r="CK1434" s="413">
        <v>61.911000000000001</v>
      </c>
      <c r="CL1434" s="413">
        <v>61.911000000000001</v>
      </c>
      <c r="CM1434" s="413">
        <v>61.911000000000001</v>
      </c>
      <c r="CN1434" s="413">
        <v>61.911000000000001</v>
      </c>
      <c r="CO1434" s="413">
        <v>61.911000000000001</v>
      </c>
      <c r="CP1434" s="413">
        <v>61.911000000000001</v>
      </c>
      <c r="CQ1434" s="413">
        <v>61.911000000000001</v>
      </c>
      <c r="CR1434" s="413">
        <v>61.911000000000001</v>
      </c>
      <c r="CS1434" s="413"/>
      <c r="CT1434" s="413"/>
      <c r="CU1434" s="413"/>
      <c r="CV1434" s="413"/>
      <c r="CW1434" s="413"/>
      <c r="CX1434" s="413"/>
      <c r="CY1434" s="413"/>
      <c r="CZ1434" s="413"/>
      <c r="DA1434" s="413"/>
      <c r="DB1434" s="413"/>
      <c r="DC1434" s="413"/>
      <c r="DD1434" s="413"/>
      <c r="DE1434" s="390"/>
      <c r="DF1434" s="390"/>
      <c r="DG1434" s="390"/>
      <c r="DH1434" s="390"/>
      <c r="DI1434" s="390"/>
      <c r="DJ1434" s="390"/>
      <c r="DK1434" s="897"/>
    </row>
    <row r="1435" spans="1:115" ht="63.75" x14ac:dyDescent="0.2">
      <c r="A1435" s="295">
        <v>1431</v>
      </c>
      <c r="B1435" s="390" t="s">
        <v>2448</v>
      </c>
      <c r="C1435" s="424" t="s">
        <v>7781</v>
      </c>
      <c r="D1435" s="391" t="s">
        <v>6218</v>
      </c>
      <c r="E1435" s="704" t="s">
        <v>2449</v>
      </c>
      <c r="F1435" s="393" t="s">
        <v>1375</v>
      </c>
      <c r="G1435" s="393" t="s">
        <v>1361</v>
      </c>
      <c r="H1435" s="393" t="s">
        <v>137</v>
      </c>
      <c r="I1435" s="392"/>
      <c r="J1435" s="392" t="s">
        <v>137</v>
      </c>
      <c r="K1435" s="392"/>
      <c r="L1435" s="392" t="s">
        <v>2450</v>
      </c>
      <c r="M1435" s="392" t="s">
        <v>3683</v>
      </c>
      <c r="N1435" s="393" t="s">
        <v>44</v>
      </c>
      <c r="O1435" s="393" t="s">
        <v>45</v>
      </c>
      <c r="P1435" s="393" t="s">
        <v>45</v>
      </c>
      <c r="Q1435" s="392" t="s">
        <v>1210</v>
      </c>
      <c r="R1435" s="392"/>
      <c r="S1435" s="392" t="s">
        <v>1773</v>
      </c>
      <c r="T1435" s="394">
        <v>1</v>
      </c>
      <c r="U1435" s="395">
        <v>4.2169999999999996</v>
      </c>
      <c r="V1435" s="395"/>
      <c r="W1435" s="452">
        <v>41091</v>
      </c>
      <c r="X1435" s="394">
        <v>28</v>
      </c>
      <c r="Y1435" s="394"/>
      <c r="Z1435" s="394"/>
      <c r="AA1435" s="395"/>
      <c r="AB1435" s="453"/>
      <c r="AC1435" s="398">
        <v>0</v>
      </c>
      <c r="AD1435" s="398">
        <v>42.169999999999995</v>
      </c>
      <c r="AE1435" s="393" t="s">
        <v>355</v>
      </c>
      <c r="AF1435" s="417"/>
      <c r="AG1435" s="417"/>
      <c r="AH1435" s="417">
        <v>0</v>
      </c>
      <c r="AI1435" s="394"/>
      <c r="AJ1435" s="453"/>
      <c r="AK1435" s="453"/>
      <c r="AL1435" s="393"/>
      <c r="AM1435" s="393"/>
      <c r="AN1435" s="417"/>
      <c r="AO1435" s="392"/>
      <c r="AP1435" s="392" t="s">
        <v>55</v>
      </c>
      <c r="AQ1435" s="392"/>
      <c r="AR1435" s="392" t="s">
        <v>988</v>
      </c>
      <c r="AS1435" s="479">
        <v>41104</v>
      </c>
      <c r="AT1435" s="453"/>
      <c r="AU1435" s="453"/>
      <c r="AV1435" s="452">
        <v>41213</v>
      </c>
      <c r="AW1435" s="452">
        <v>41585</v>
      </c>
      <c r="AX1435" s="452">
        <v>41648</v>
      </c>
      <c r="AY1435" s="452">
        <v>41593</v>
      </c>
      <c r="AZ1435" s="453"/>
      <c r="BA1435" s="393"/>
      <c r="BB1435" s="393" t="s">
        <v>3147</v>
      </c>
      <c r="BC1435" s="393" t="b">
        <v>1</v>
      </c>
      <c r="BD1435" s="393" t="s">
        <v>3147</v>
      </c>
      <c r="BE1435" s="392"/>
      <c r="BF1435" s="394">
        <v>5</v>
      </c>
      <c r="BG1435" s="394">
        <v>10</v>
      </c>
      <c r="BH1435" s="394">
        <v>9</v>
      </c>
      <c r="BI1435" s="394">
        <v>12</v>
      </c>
      <c r="BJ1435" s="394">
        <v>11</v>
      </c>
      <c r="BK1435" s="394">
        <v>1</v>
      </c>
      <c r="BL1435" s="444"/>
      <c r="BM1435" s="392"/>
      <c r="BN1435" s="393"/>
      <c r="BO1435" s="393"/>
      <c r="BP1435" s="399"/>
      <c r="BQ1435" s="400"/>
      <c r="BR1435" s="401"/>
      <c r="BS1435" s="399">
        <v>91</v>
      </c>
      <c r="BT1435" s="394"/>
      <c r="BU1435" s="417"/>
      <c r="BV1435" s="399"/>
      <c r="BW1435" s="393"/>
      <c r="BX1435" s="392"/>
      <c r="BY1435" s="393"/>
      <c r="BZ1435" s="393"/>
      <c r="CA1435" s="441"/>
      <c r="CB1435" s="400"/>
      <c r="CC1435" s="398"/>
      <c r="CD1435" s="398"/>
      <c r="CE1435" s="398"/>
      <c r="CF1435" s="398"/>
      <c r="CG1435" s="398"/>
      <c r="CH1435" s="398"/>
      <c r="CI1435" s="398"/>
      <c r="CJ1435" s="398"/>
      <c r="CK1435" s="398"/>
      <c r="CL1435" s="398"/>
      <c r="CM1435" s="398"/>
      <c r="CN1435" s="398"/>
      <c r="CO1435" s="398"/>
      <c r="CP1435" s="398"/>
      <c r="CQ1435" s="398"/>
      <c r="CR1435" s="398"/>
      <c r="CS1435" s="398"/>
      <c r="CT1435" s="398"/>
      <c r="CU1435" s="398"/>
      <c r="CV1435" s="398"/>
      <c r="CW1435" s="398"/>
      <c r="CX1435" s="398"/>
      <c r="CY1435" s="398"/>
      <c r="CZ1435" s="398"/>
      <c r="DA1435" s="398"/>
      <c r="DB1435" s="398"/>
      <c r="DC1435" s="398"/>
      <c r="DD1435" s="398"/>
      <c r="DE1435" s="393"/>
      <c r="DF1435" s="393"/>
      <c r="DG1435" s="393"/>
      <c r="DH1435" s="393"/>
      <c r="DI1435" s="393"/>
      <c r="DJ1435" s="393"/>
      <c r="DK1435" s="896" t="s">
        <v>9721</v>
      </c>
    </row>
    <row r="1436" spans="1:115" ht="38.25" x14ac:dyDescent="0.2">
      <c r="A1436" s="295">
        <v>1432</v>
      </c>
      <c r="B1436" s="390" t="s">
        <v>2953</v>
      </c>
      <c r="C1436" s="390"/>
      <c r="D1436" s="391" t="s">
        <v>6219</v>
      </c>
      <c r="E1436" s="704" t="s">
        <v>2451</v>
      </c>
      <c r="F1436" s="393" t="s">
        <v>1375</v>
      </c>
      <c r="G1436" s="393" t="s">
        <v>1361</v>
      </c>
      <c r="H1436" s="393" t="s">
        <v>137</v>
      </c>
      <c r="I1436" s="392"/>
      <c r="J1436" s="392"/>
      <c r="K1436" s="392" t="s">
        <v>2147</v>
      </c>
      <c r="L1436" s="392" t="s">
        <v>2450</v>
      </c>
      <c r="M1436" s="392"/>
      <c r="N1436" s="393" t="s">
        <v>44</v>
      </c>
      <c r="O1436" s="393" t="s">
        <v>45</v>
      </c>
      <c r="P1436" s="393" t="s">
        <v>45</v>
      </c>
      <c r="Q1436" s="392" t="s">
        <v>1207</v>
      </c>
      <c r="R1436" s="392" t="s">
        <v>3684</v>
      </c>
      <c r="S1436" s="392" t="s">
        <v>1773</v>
      </c>
      <c r="T1436" s="394">
        <v>1</v>
      </c>
      <c r="U1436" s="395">
        <v>4.2169999999999996</v>
      </c>
      <c r="V1436" s="395"/>
      <c r="W1436" s="453"/>
      <c r="X1436" s="394"/>
      <c r="Y1436" s="394">
        <v>10</v>
      </c>
      <c r="Z1436" s="394">
        <v>25</v>
      </c>
      <c r="AA1436" s="395">
        <v>0</v>
      </c>
      <c r="AB1436" s="452">
        <v>42370</v>
      </c>
      <c r="AC1436" s="398">
        <v>0</v>
      </c>
      <c r="AD1436" s="398">
        <v>42.169999999999995</v>
      </c>
      <c r="AE1436" s="393" t="s">
        <v>355</v>
      </c>
      <c r="AF1436" s="417"/>
      <c r="AG1436" s="417"/>
      <c r="AH1436" s="417"/>
      <c r="AI1436" s="394"/>
      <c r="AJ1436" s="453"/>
      <c r="AK1436" s="453"/>
      <c r="AL1436" s="393"/>
      <c r="AM1436" s="393"/>
      <c r="AN1436" s="417"/>
      <c r="AO1436" s="392"/>
      <c r="AP1436" s="392" t="s">
        <v>55</v>
      </c>
      <c r="AQ1436" s="392"/>
      <c r="AR1436" s="392" t="s">
        <v>988</v>
      </c>
      <c r="AS1436" s="479">
        <v>41104</v>
      </c>
      <c r="AT1436" s="453"/>
      <c r="AU1436" s="453"/>
      <c r="AV1436" s="453"/>
      <c r="AW1436" s="453"/>
      <c r="AX1436" s="453"/>
      <c r="AY1436" s="453"/>
      <c r="AZ1436" s="452">
        <v>41593</v>
      </c>
      <c r="BA1436" s="393"/>
      <c r="BB1436" s="393"/>
      <c r="BC1436" s="393" t="b">
        <v>0</v>
      </c>
      <c r="BD1436" s="393"/>
      <c r="BE1436" s="392"/>
      <c r="BF1436" s="394">
        <v>5</v>
      </c>
      <c r="BG1436" s="394">
        <v>10</v>
      </c>
      <c r="BH1436" s="394">
        <v>9</v>
      </c>
      <c r="BI1436" s="394">
        <v>12</v>
      </c>
      <c r="BJ1436" s="394">
        <v>11</v>
      </c>
      <c r="BK1436" s="394">
        <v>1</v>
      </c>
      <c r="BL1436" s="444" t="s">
        <v>6985</v>
      </c>
      <c r="BM1436" s="392"/>
      <c r="BN1436" s="393"/>
      <c r="BO1436" s="393"/>
      <c r="BP1436" s="399"/>
      <c r="BQ1436" s="400"/>
      <c r="BR1436" s="401"/>
      <c r="BS1436" s="399">
        <v>91</v>
      </c>
      <c r="BT1436" s="394">
        <v>291692</v>
      </c>
      <c r="BU1436" s="417">
        <v>0.94799999999999995</v>
      </c>
      <c r="BV1436" s="399"/>
      <c r="BW1436" s="393" t="s">
        <v>3117</v>
      </c>
      <c r="BX1436" s="392" t="s">
        <v>1449</v>
      </c>
      <c r="BY1436" s="393" t="s">
        <v>7225</v>
      </c>
      <c r="BZ1436" s="393"/>
      <c r="CA1436" s="441"/>
      <c r="CB1436" s="400"/>
      <c r="CC1436" s="398"/>
      <c r="CD1436" s="398"/>
      <c r="CE1436" s="398"/>
      <c r="CF1436" s="398"/>
      <c r="CG1436" s="398"/>
      <c r="CH1436" s="398"/>
      <c r="CI1436" s="398"/>
      <c r="CJ1436" s="398"/>
      <c r="CK1436" s="398"/>
      <c r="CL1436" s="398">
        <v>267.255</v>
      </c>
      <c r="CM1436" s="398">
        <v>267.255</v>
      </c>
      <c r="CN1436" s="398">
        <v>267.255</v>
      </c>
      <c r="CO1436" s="398">
        <v>267.255</v>
      </c>
      <c r="CP1436" s="398">
        <v>267.255</v>
      </c>
      <c r="CQ1436" s="398">
        <v>267.255</v>
      </c>
      <c r="CR1436" s="398">
        <v>267.255</v>
      </c>
      <c r="CS1436" s="398">
        <v>267.255</v>
      </c>
      <c r="CT1436" s="398">
        <v>267.255</v>
      </c>
      <c r="CU1436" s="398">
        <v>267.255</v>
      </c>
      <c r="CV1436" s="398"/>
      <c r="CW1436" s="398"/>
      <c r="CX1436" s="398"/>
      <c r="CY1436" s="398"/>
      <c r="CZ1436" s="398"/>
      <c r="DA1436" s="398"/>
      <c r="DB1436" s="398"/>
      <c r="DC1436" s="398"/>
      <c r="DD1436" s="398"/>
      <c r="DE1436" s="393"/>
      <c r="DF1436" s="393"/>
      <c r="DG1436" s="393"/>
      <c r="DH1436" s="393"/>
      <c r="DI1436" s="393"/>
      <c r="DJ1436" s="393"/>
      <c r="DK1436" s="897"/>
    </row>
    <row r="1437" spans="1:115" ht="25.5" x14ac:dyDescent="0.2">
      <c r="A1437" s="295">
        <v>1433</v>
      </c>
      <c r="B1437" s="390" t="s">
        <v>2452</v>
      </c>
      <c r="C1437" s="424" t="s">
        <v>7782</v>
      </c>
      <c r="D1437" s="391" t="s">
        <v>5227</v>
      </c>
      <c r="E1437" s="704" t="s">
        <v>2453</v>
      </c>
      <c r="F1437" s="393" t="s">
        <v>1352</v>
      </c>
      <c r="G1437" s="393" t="s">
        <v>1672</v>
      </c>
      <c r="H1437" s="393" t="s">
        <v>632</v>
      </c>
      <c r="I1437" s="392"/>
      <c r="J1437" s="392" t="s">
        <v>632</v>
      </c>
      <c r="K1437" s="392"/>
      <c r="L1437" s="392" t="s">
        <v>782</v>
      </c>
      <c r="M1437" s="392" t="s">
        <v>3685</v>
      </c>
      <c r="N1437" s="393" t="s">
        <v>44</v>
      </c>
      <c r="O1437" s="393" t="s">
        <v>5030</v>
      </c>
      <c r="P1437" s="393" t="s">
        <v>5030</v>
      </c>
      <c r="Q1437" s="392" t="s">
        <v>1834</v>
      </c>
      <c r="R1437" s="392"/>
      <c r="S1437" s="392" t="s">
        <v>650</v>
      </c>
      <c r="T1437" s="394">
        <v>1</v>
      </c>
      <c r="U1437" s="395">
        <v>53.542999999999999</v>
      </c>
      <c r="V1437" s="395"/>
      <c r="W1437" s="452">
        <v>41107</v>
      </c>
      <c r="X1437" s="394">
        <v>28</v>
      </c>
      <c r="Y1437" s="394"/>
      <c r="Z1437" s="394"/>
      <c r="AA1437" s="395"/>
      <c r="AB1437" s="453"/>
      <c r="AC1437" s="398">
        <v>0</v>
      </c>
      <c r="AD1437" s="398">
        <v>429.22415890410957</v>
      </c>
      <c r="AE1437" s="393" t="s">
        <v>37</v>
      </c>
      <c r="AF1437" s="417"/>
      <c r="AG1437" s="417"/>
      <c r="AH1437" s="417">
        <v>0</v>
      </c>
      <c r="AI1437" s="394"/>
      <c r="AJ1437" s="453"/>
      <c r="AK1437" s="453"/>
      <c r="AL1437" s="393"/>
      <c r="AM1437" s="393"/>
      <c r="AN1437" s="417"/>
      <c r="AO1437" s="392"/>
      <c r="AP1437" s="392" t="s">
        <v>7115</v>
      </c>
      <c r="AQ1437" s="392"/>
      <c r="AR1437" s="392" t="s">
        <v>55</v>
      </c>
      <c r="AS1437" s="479">
        <v>41107</v>
      </c>
      <c r="AT1437" s="453"/>
      <c r="AU1437" s="453"/>
      <c r="AV1437" s="452">
        <v>41242</v>
      </c>
      <c r="AW1437" s="452">
        <v>41269</v>
      </c>
      <c r="AX1437" s="452">
        <v>41389</v>
      </c>
      <c r="AY1437" s="452">
        <v>41270</v>
      </c>
      <c r="AZ1437" s="453"/>
      <c r="BA1437" s="393"/>
      <c r="BB1437" s="393" t="s">
        <v>3147</v>
      </c>
      <c r="BC1437" s="393" t="b">
        <v>1</v>
      </c>
      <c r="BD1437" s="393" t="s">
        <v>3147</v>
      </c>
      <c r="BE1437" s="392"/>
      <c r="BF1437" s="394">
        <v>5</v>
      </c>
      <c r="BG1437" s="394">
        <v>8</v>
      </c>
      <c r="BH1437" s="394">
        <v>10</v>
      </c>
      <c r="BI1437" s="394">
        <v>9</v>
      </c>
      <c r="BJ1437" s="394"/>
      <c r="BK1437" s="394"/>
      <c r="BL1437" s="444"/>
      <c r="BM1437" s="392"/>
      <c r="BN1437" s="393"/>
      <c r="BO1437" s="393"/>
      <c r="BP1437" s="399"/>
      <c r="BQ1437" s="400"/>
      <c r="BR1437" s="401"/>
      <c r="BS1437" s="399">
        <v>33.4</v>
      </c>
      <c r="BT1437" s="394"/>
      <c r="BU1437" s="417"/>
      <c r="BV1437" s="399"/>
      <c r="BW1437" s="393"/>
      <c r="BX1437" s="392"/>
      <c r="BY1437" s="393"/>
      <c r="BZ1437" s="393"/>
      <c r="CA1437" s="441"/>
      <c r="CB1437" s="400"/>
      <c r="CC1437" s="398"/>
      <c r="CD1437" s="398"/>
      <c r="CE1437" s="398"/>
      <c r="CF1437" s="398"/>
      <c r="CG1437" s="398"/>
      <c r="CH1437" s="398"/>
      <c r="CI1437" s="398"/>
      <c r="CJ1437" s="398"/>
      <c r="CK1437" s="398"/>
      <c r="CL1437" s="398"/>
      <c r="CM1437" s="398"/>
      <c r="CN1437" s="398"/>
      <c r="CO1437" s="398"/>
      <c r="CP1437" s="398"/>
      <c r="CQ1437" s="398"/>
      <c r="CR1437" s="398"/>
      <c r="CS1437" s="398"/>
      <c r="CT1437" s="398"/>
      <c r="CU1437" s="398"/>
      <c r="CV1437" s="398"/>
      <c r="CW1437" s="398"/>
      <c r="CX1437" s="398"/>
      <c r="CY1437" s="398"/>
      <c r="CZ1437" s="398"/>
      <c r="DA1437" s="398"/>
      <c r="DB1437" s="398"/>
      <c r="DC1437" s="398"/>
      <c r="DD1437" s="398"/>
      <c r="DE1437" s="393"/>
      <c r="DF1437" s="393"/>
      <c r="DG1437" s="393"/>
      <c r="DH1437" s="393"/>
      <c r="DI1437" s="393"/>
      <c r="DJ1437" s="393"/>
      <c r="DK1437" s="896" t="s">
        <v>9730</v>
      </c>
    </row>
    <row r="1438" spans="1:115" ht="25.5" x14ac:dyDescent="0.2">
      <c r="A1438" s="295">
        <v>1434</v>
      </c>
      <c r="B1438" s="390" t="s">
        <v>2954</v>
      </c>
      <c r="C1438" s="390"/>
      <c r="D1438" s="391" t="s">
        <v>4968</v>
      </c>
      <c r="E1438" s="704" t="s">
        <v>2454</v>
      </c>
      <c r="F1438" s="393" t="s">
        <v>1352</v>
      </c>
      <c r="G1438" s="393" t="s">
        <v>1672</v>
      </c>
      <c r="H1438" s="393" t="s">
        <v>632</v>
      </c>
      <c r="I1438" s="392"/>
      <c r="J1438" s="392"/>
      <c r="K1438" s="392" t="s">
        <v>2455</v>
      </c>
      <c r="L1438" s="392" t="s">
        <v>782</v>
      </c>
      <c r="M1438" s="392"/>
      <c r="N1438" s="393" t="s">
        <v>44</v>
      </c>
      <c r="O1438" s="393" t="s">
        <v>1155</v>
      </c>
      <c r="P1438" s="393" t="s">
        <v>1155</v>
      </c>
      <c r="Q1438" s="392" t="s">
        <v>1155</v>
      </c>
      <c r="R1438" s="392" t="s">
        <v>3686</v>
      </c>
      <c r="S1438" s="392" t="s">
        <v>650</v>
      </c>
      <c r="T1438" s="394">
        <v>1</v>
      </c>
      <c r="U1438" s="395">
        <v>53.542999999999999</v>
      </c>
      <c r="V1438" s="395"/>
      <c r="W1438" s="453"/>
      <c r="X1438" s="394"/>
      <c r="Y1438" s="394">
        <v>7</v>
      </c>
      <c r="Z1438" s="394">
        <v>21</v>
      </c>
      <c r="AA1438" s="395">
        <v>0</v>
      </c>
      <c r="AB1438" s="452">
        <v>41270</v>
      </c>
      <c r="AC1438" s="398">
        <v>0</v>
      </c>
      <c r="AD1438" s="398">
        <v>429.22415890410957</v>
      </c>
      <c r="AE1438" s="393" t="s">
        <v>37</v>
      </c>
      <c r="AF1438" s="417"/>
      <c r="AG1438" s="417"/>
      <c r="AH1438" s="417"/>
      <c r="AI1438" s="394"/>
      <c r="AJ1438" s="453"/>
      <c r="AK1438" s="453"/>
      <c r="AL1438" s="393"/>
      <c r="AM1438" s="393"/>
      <c r="AN1438" s="417"/>
      <c r="AO1438" s="392"/>
      <c r="AP1438" s="392" t="s">
        <v>7115</v>
      </c>
      <c r="AQ1438" s="392"/>
      <c r="AR1438" s="392" t="s">
        <v>55</v>
      </c>
      <c r="AS1438" s="479">
        <v>41107</v>
      </c>
      <c r="AT1438" s="453"/>
      <c r="AU1438" s="453"/>
      <c r="AV1438" s="453"/>
      <c r="AW1438" s="453"/>
      <c r="AX1438" s="453"/>
      <c r="AY1438" s="453"/>
      <c r="AZ1438" s="452">
        <v>41270</v>
      </c>
      <c r="BA1438" s="393"/>
      <c r="BB1438" s="393"/>
      <c r="BC1438" s="393" t="b">
        <v>0</v>
      </c>
      <c r="BD1438" s="393"/>
      <c r="BE1438" s="392"/>
      <c r="BF1438" s="394">
        <v>5</v>
      </c>
      <c r="BG1438" s="394">
        <v>8</v>
      </c>
      <c r="BH1438" s="394">
        <v>10</v>
      </c>
      <c r="BI1438" s="394">
        <v>9</v>
      </c>
      <c r="BJ1438" s="394"/>
      <c r="BK1438" s="394"/>
      <c r="BL1438" s="444" t="s">
        <v>6981</v>
      </c>
      <c r="BM1438" s="392"/>
      <c r="BN1438" s="393"/>
      <c r="BO1438" s="393"/>
      <c r="BP1438" s="399"/>
      <c r="BQ1438" s="400"/>
      <c r="BR1438" s="401"/>
      <c r="BS1438" s="399">
        <v>33.4</v>
      </c>
      <c r="BT1438" s="394">
        <v>73146</v>
      </c>
      <c r="BU1438" s="417">
        <v>0.747</v>
      </c>
      <c r="BV1438" s="399"/>
      <c r="BW1438" s="393" t="s">
        <v>3117</v>
      </c>
      <c r="BX1438" s="392" t="s">
        <v>3202</v>
      </c>
      <c r="BY1438" s="393"/>
      <c r="BZ1438" s="393"/>
      <c r="CA1438" s="441" t="s">
        <v>1662</v>
      </c>
      <c r="CB1438" s="400">
        <v>3</v>
      </c>
      <c r="CC1438" s="398"/>
      <c r="CD1438" s="398"/>
      <c r="CE1438" s="398"/>
      <c r="CF1438" s="398"/>
      <c r="CG1438" s="398"/>
      <c r="CH1438" s="398"/>
      <c r="CI1438" s="398"/>
      <c r="CJ1438" s="398">
        <v>13.641999999999999</v>
      </c>
      <c r="CK1438" s="398">
        <v>53.542999999999999</v>
      </c>
      <c r="CL1438" s="398">
        <v>53.542999999999999</v>
      </c>
      <c r="CM1438" s="398">
        <v>53.542999999999999</v>
      </c>
      <c r="CN1438" s="398">
        <v>53.542999999999999</v>
      </c>
      <c r="CO1438" s="398">
        <v>53.542999999999999</v>
      </c>
      <c r="CP1438" s="398">
        <v>53.542999999999999</v>
      </c>
      <c r="CQ1438" s="398">
        <v>39.901000000000003</v>
      </c>
      <c r="CR1438" s="398"/>
      <c r="CS1438" s="398"/>
      <c r="CT1438" s="398"/>
      <c r="CU1438" s="398"/>
      <c r="CV1438" s="398"/>
      <c r="CW1438" s="398"/>
      <c r="CX1438" s="398"/>
      <c r="CY1438" s="398"/>
      <c r="CZ1438" s="398"/>
      <c r="DA1438" s="398"/>
      <c r="DB1438" s="398"/>
      <c r="DC1438" s="398"/>
      <c r="DD1438" s="398"/>
      <c r="DE1438" s="393"/>
      <c r="DF1438" s="393"/>
      <c r="DG1438" s="393"/>
      <c r="DH1438" s="393"/>
      <c r="DI1438" s="393"/>
      <c r="DJ1438" s="393"/>
      <c r="DK1438" s="897"/>
    </row>
    <row r="1439" spans="1:115" ht="38.25" x14ac:dyDescent="0.2">
      <c r="A1439" s="295">
        <v>1435</v>
      </c>
      <c r="B1439" s="390" t="s">
        <v>2456</v>
      </c>
      <c r="C1439" s="424" t="s">
        <v>7783</v>
      </c>
      <c r="D1439" s="391" t="s">
        <v>5446</v>
      </c>
      <c r="E1439" s="704" t="s">
        <v>2457</v>
      </c>
      <c r="F1439" s="393" t="s">
        <v>1375</v>
      </c>
      <c r="G1439" s="393" t="s">
        <v>1669</v>
      </c>
      <c r="H1439" s="393" t="s">
        <v>412</v>
      </c>
      <c r="I1439" s="392"/>
      <c r="J1439" s="392" t="s">
        <v>412</v>
      </c>
      <c r="K1439" s="392"/>
      <c r="L1439" s="392" t="s">
        <v>2458</v>
      </c>
      <c r="M1439" s="392" t="s">
        <v>3687</v>
      </c>
      <c r="N1439" s="393" t="s">
        <v>44</v>
      </c>
      <c r="O1439" s="393" t="s">
        <v>1155</v>
      </c>
      <c r="P1439" s="393" t="s">
        <v>1155</v>
      </c>
      <c r="Q1439" s="392" t="s">
        <v>1155</v>
      </c>
      <c r="R1439" s="392"/>
      <c r="S1439" s="392" t="s">
        <v>650</v>
      </c>
      <c r="T1439" s="394">
        <v>1</v>
      </c>
      <c r="U1439" s="395">
        <v>653.60799999999995</v>
      </c>
      <c r="V1439" s="395"/>
      <c r="W1439" s="452">
        <v>41109</v>
      </c>
      <c r="X1439" s="394">
        <v>28</v>
      </c>
      <c r="Y1439" s="394"/>
      <c r="Z1439" s="394"/>
      <c r="AA1439" s="395"/>
      <c r="AB1439" s="453"/>
      <c r="AC1439" s="398">
        <v>0</v>
      </c>
      <c r="AD1439" s="398">
        <v>4577.0467068493153</v>
      </c>
      <c r="AE1439" s="393" t="s">
        <v>54</v>
      </c>
      <c r="AF1439" s="417"/>
      <c r="AG1439" s="417"/>
      <c r="AH1439" s="417">
        <v>0</v>
      </c>
      <c r="AI1439" s="394"/>
      <c r="AJ1439" s="453"/>
      <c r="AK1439" s="453"/>
      <c r="AL1439" s="393"/>
      <c r="AM1439" s="393"/>
      <c r="AN1439" s="417"/>
      <c r="AO1439" s="392"/>
      <c r="AP1439" s="392" t="s">
        <v>55</v>
      </c>
      <c r="AQ1439" s="392"/>
      <c r="AR1439" s="392" t="s">
        <v>55</v>
      </c>
      <c r="AS1439" s="479">
        <v>41109</v>
      </c>
      <c r="AT1439" s="453"/>
      <c r="AU1439" s="453"/>
      <c r="AV1439" s="452">
        <v>41124</v>
      </c>
      <c r="AW1439" s="452">
        <v>41274</v>
      </c>
      <c r="AX1439" s="452">
        <v>41482</v>
      </c>
      <c r="AY1439" s="452">
        <v>41274</v>
      </c>
      <c r="AZ1439" s="453"/>
      <c r="BA1439" s="393"/>
      <c r="BB1439" s="393" t="s">
        <v>3147</v>
      </c>
      <c r="BC1439" s="393" t="b">
        <v>1</v>
      </c>
      <c r="BD1439" s="393" t="s">
        <v>3147</v>
      </c>
      <c r="BE1439" s="392"/>
      <c r="BF1439" s="394">
        <v>9</v>
      </c>
      <c r="BG1439" s="394">
        <v>5</v>
      </c>
      <c r="BH1439" s="394">
        <v>7</v>
      </c>
      <c r="BI1439" s="394"/>
      <c r="BJ1439" s="394"/>
      <c r="BK1439" s="394"/>
      <c r="BL1439" s="444"/>
      <c r="BM1439" s="392"/>
      <c r="BN1439" s="393"/>
      <c r="BO1439" s="393"/>
      <c r="BP1439" s="399"/>
      <c r="BQ1439" s="400"/>
      <c r="BR1439" s="401"/>
      <c r="BS1439" s="399">
        <v>301.3</v>
      </c>
      <c r="BT1439" s="394"/>
      <c r="BU1439" s="417"/>
      <c r="BV1439" s="399"/>
      <c r="BW1439" s="393"/>
      <c r="BX1439" s="392"/>
      <c r="BY1439" s="393"/>
      <c r="BZ1439" s="393"/>
      <c r="CA1439" s="441"/>
      <c r="CB1439" s="400"/>
      <c r="CC1439" s="398"/>
      <c r="CD1439" s="398"/>
      <c r="CE1439" s="398"/>
      <c r="CF1439" s="398"/>
      <c r="CG1439" s="398"/>
      <c r="CH1439" s="398"/>
      <c r="CI1439" s="398"/>
      <c r="CJ1439" s="398"/>
      <c r="CK1439" s="398"/>
      <c r="CL1439" s="398"/>
      <c r="CM1439" s="398"/>
      <c r="CN1439" s="398"/>
      <c r="CO1439" s="398"/>
      <c r="CP1439" s="398"/>
      <c r="CQ1439" s="398"/>
      <c r="CR1439" s="398"/>
      <c r="CS1439" s="398"/>
      <c r="CT1439" s="398"/>
      <c r="CU1439" s="398"/>
      <c r="CV1439" s="398"/>
      <c r="CW1439" s="398"/>
      <c r="CX1439" s="398"/>
      <c r="CY1439" s="398"/>
      <c r="CZ1439" s="398"/>
      <c r="DA1439" s="398"/>
      <c r="DB1439" s="398"/>
      <c r="DC1439" s="398"/>
      <c r="DD1439" s="398"/>
      <c r="DE1439" s="393"/>
      <c r="DF1439" s="393"/>
      <c r="DG1439" s="393"/>
      <c r="DH1439" s="393"/>
      <c r="DI1439" s="393"/>
      <c r="DJ1439" s="393"/>
      <c r="DK1439" s="896" t="s">
        <v>9715</v>
      </c>
    </row>
    <row r="1440" spans="1:115" ht="38.25" x14ac:dyDescent="0.2">
      <c r="A1440" s="295">
        <v>1436</v>
      </c>
      <c r="B1440" s="390" t="s">
        <v>2955</v>
      </c>
      <c r="C1440" s="390"/>
      <c r="D1440" s="391" t="s">
        <v>5447</v>
      </c>
      <c r="E1440" s="704" t="s">
        <v>2459</v>
      </c>
      <c r="F1440" s="393" t="s">
        <v>1375</v>
      </c>
      <c r="G1440" s="393" t="s">
        <v>1669</v>
      </c>
      <c r="H1440" s="393" t="s">
        <v>412</v>
      </c>
      <c r="I1440" s="392"/>
      <c r="J1440" s="392"/>
      <c r="K1440" s="392" t="s">
        <v>2460</v>
      </c>
      <c r="L1440" s="392" t="s">
        <v>2458</v>
      </c>
      <c r="M1440" s="392"/>
      <c r="N1440" s="393" t="s">
        <v>44</v>
      </c>
      <c r="O1440" s="393" t="s">
        <v>1155</v>
      </c>
      <c r="P1440" s="393" t="s">
        <v>1155</v>
      </c>
      <c r="Q1440" s="392" t="s">
        <v>1155</v>
      </c>
      <c r="R1440" s="392" t="s">
        <v>3688</v>
      </c>
      <c r="S1440" s="392" t="s">
        <v>650</v>
      </c>
      <c r="T1440" s="394">
        <v>1</v>
      </c>
      <c r="U1440" s="395">
        <v>653.60799999999995</v>
      </c>
      <c r="V1440" s="395"/>
      <c r="W1440" s="453"/>
      <c r="X1440" s="394"/>
      <c r="Y1440" s="394">
        <v>7</v>
      </c>
      <c r="Z1440" s="394">
        <v>28</v>
      </c>
      <c r="AA1440" s="395">
        <v>0</v>
      </c>
      <c r="AB1440" s="452">
        <v>41640</v>
      </c>
      <c r="AC1440" s="398">
        <v>0</v>
      </c>
      <c r="AD1440" s="398">
        <v>4577.0467068493153</v>
      </c>
      <c r="AE1440" s="393" t="s">
        <v>54</v>
      </c>
      <c r="AF1440" s="417"/>
      <c r="AG1440" s="417"/>
      <c r="AH1440" s="417"/>
      <c r="AI1440" s="394"/>
      <c r="AJ1440" s="453"/>
      <c r="AK1440" s="453"/>
      <c r="AL1440" s="393"/>
      <c r="AM1440" s="393"/>
      <c r="AN1440" s="417"/>
      <c r="AO1440" s="392"/>
      <c r="AP1440" s="392" t="s">
        <v>55</v>
      </c>
      <c r="AQ1440" s="392"/>
      <c r="AR1440" s="392" t="s">
        <v>55</v>
      </c>
      <c r="AS1440" s="479">
        <v>41109</v>
      </c>
      <c r="AT1440" s="453"/>
      <c r="AU1440" s="453"/>
      <c r="AV1440" s="453"/>
      <c r="AW1440" s="453"/>
      <c r="AX1440" s="453"/>
      <c r="AY1440" s="453"/>
      <c r="AZ1440" s="452">
        <v>41274</v>
      </c>
      <c r="BA1440" s="393"/>
      <c r="BB1440" s="393"/>
      <c r="BC1440" s="393" t="b">
        <v>0</v>
      </c>
      <c r="BD1440" s="393"/>
      <c r="BE1440" s="392"/>
      <c r="BF1440" s="394">
        <v>9</v>
      </c>
      <c r="BG1440" s="394">
        <v>5</v>
      </c>
      <c r="BH1440" s="394">
        <v>7</v>
      </c>
      <c r="BI1440" s="394"/>
      <c r="BJ1440" s="394"/>
      <c r="BK1440" s="394"/>
      <c r="BL1440" s="444" t="s">
        <v>1451</v>
      </c>
      <c r="BM1440" s="392" t="s">
        <v>3689</v>
      </c>
      <c r="BN1440" s="393" t="s">
        <v>3288</v>
      </c>
      <c r="BO1440" s="393"/>
      <c r="BP1440" s="399"/>
      <c r="BQ1440" s="400"/>
      <c r="BR1440" s="401"/>
      <c r="BS1440" s="399">
        <v>301.3</v>
      </c>
      <c r="BT1440" s="394">
        <v>1018000</v>
      </c>
      <c r="BU1440" s="417">
        <v>0.58409999999999995</v>
      </c>
      <c r="BV1440" s="399"/>
      <c r="BW1440" s="393" t="s">
        <v>3117</v>
      </c>
      <c r="BX1440" s="392" t="s">
        <v>1447</v>
      </c>
      <c r="BY1440" s="393"/>
      <c r="BZ1440" s="393"/>
      <c r="CA1440" s="441" t="s">
        <v>1662</v>
      </c>
      <c r="CB1440" s="400">
        <v>3</v>
      </c>
      <c r="CC1440" s="398"/>
      <c r="CD1440" s="398"/>
      <c r="CE1440" s="398"/>
      <c r="CF1440" s="398"/>
      <c r="CG1440" s="398"/>
      <c r="CH1440" s="398"/>
      <c r="CI1440" s="398"/>
      <c r="CJ1440" s="398">
        <v>653.60799999999995</v>
      </c>
      <c r="CK1440" s="398">
        <v>653.60799999999995</v>
      </c>
      <c r="CL1440" s="398">
        <v>653.60799999999995</v>
      </c>
      <c r="CM1440" s="398">
        <v>653.60799999999995</v>
      </c>
      <c r="CN1440" s="398">
        <v>653.60799999999995</v>
      </c>
      <c r="CO1440" s="398">
        <v>653.60799999999995</v>
      </c>
      <c r="CP1440" s="398">
        <v>653.60799999999995</v>
      </c>
      <c r="CQ1440" s="398"/>
      <c r="CR1440" s="398"/>
      <c r="CS1440" s="398"/>
      <c r="CT1440" s="398"/>
      <c r="CU1440" s="398"/>
      <c r="CV1440" s="398"/>
      <c r="CW1440" s="398"/>
      <c r="CX1440" s="398"/>
      <c r="CY1440" s="398"/>
      <c r="CZ1440" s="398"/>
      <c r="DA1440" s="398"/>
      <c r="DB1440" s="398"/>
      <c r="DC1440" s="398"/>
      <c r="DD1440" s="398"/>
      <c r="DE1440" s="393"/>
      <c r="DF1440" s="393"/>
      <c r="DG1440" s="393"/>
      <c r="DH1440" s="393"/>
      <c r="DI1440" s="393"/>
      <c r="DJ1440" s="393"/>
      <c r="DK1440" s="897"/>
    </row>
    <row r="1441" spans="1:115" ht="76.5" x14ac:dyDescent="0.2">
      <c r="A1441" s="295">
        <v>1437</v>
      </c>
      <c r="B1441" s="390" t="s">
        <v>2461</v>
      </c>
      <c r="C1441" s="424" t="s">
        <v>7784</v>
      </c>
      <c r="D1441" s="391" t="s">
        <v>5727</v>
      </c>
      <c r="E1441" s="705" t="s">
        <v>2462</v>
      </c>
      <c r="F1441" s="393" t="s">
        <v>1340</v>
      </c>
      <c r="G1441" s="393" t="s">
        <v>1676</v>
      </c>
      <c r="H1441" s="393" t="s">
        <v>58</v>
      </c>
      <c r="I1441" s="392"/>
      <c r="J1441" s="392" t="s">
        <v>58</v>
      </c>
      <c r="K1441" s="392"/>
      <c r="L1441" s="392" t="s">
        <v>2463</v>
      </c>
      <c r="M1441" s="392" t="s">
        <v>3690</v>
      </c>
      <c r="N1441" s="393" t="s">
        <v>44</v>
      </c>
      <c r="O1441" s="393" t="s">
        <v>69</v>
      </c>
      <c r="P1441" s="393" t="s">
        <v>69</v>
      </c>
      <c r="Q1441" s="392" t="s">
        <v>572</v>
      </c>
      <c r="R1441" s="392"/>
      <c r="S1441" s="428" t="s">
        <v>8126</v>
      </c>
      <c r="T1441" s="394">
        <v>1</v>
      </c>
      <c r="U1441" s="395">
        <v>2.214</v>
      </c>
      <c r="V1441" s="395"/>
      <c r="W1441" s="452">
        <v>41275</v>
      </c>
      <c r="X1441" s="394">
        <v>28</v>
      </c>
      <c r="Y1441" s="394"/>
      <c r="Z1441" s="394"/>
      <c r="AA1441" s="395"/>
      <c r="AB1441" s="453"/>
      <c r="AC1441" s="398">
        <v>0</v>
      </c>
      <c r="AD1441" s="398">
        <v>15.504065753424657</v>
      </c>
      <c r="AE1441" s="393" t="s">
        <v>54</v>
      </c>
      <c r="AF1441" s="417"/>
      <c r="AG1441" s="417"/>
      <c r="AH1441" s="417">
        <v>0</v>
      </c>
      <c r="AI1441" s="394"/>
      <c r="AJ1441" s="453"/>
      <c r="AK1441" s="453"/>
      <c r="AL1441" s="393"/>
      <c r="AM1441" s="393"/>
      <c r="AN1441" s="417"/>
      <c r="AO1441" s="392"/>
      <c r="AP1441" s="392" t="s">
        <v>55</v>
      </c>
      <c r="AQ1441" s="392"/>
      <c r="AR1441" s="392" t="s">
        <v>55</v>
      </c>
      <c r="AS1441" s="479">
        <v>41110</v>
      </c>
      <c r="AT1441" s="453"/>
      <c r="AU1441" s="453"/>
      <c r="AV1441" s="452">
        <v>41075</v>
      </c>
      <c r="AW1441" s="452">
        <v>41528</v>
      </c>
      <c r="AX1441" s="452">
        <v>41593</v>
      </c>
      <c r="AY1441" s="452">
        <v>41528</v>
      </c>
      <c r="AZ1441" s="453"/>
      <c r="BA1441" s="393"/>
      <c r="BB1441" s="393" t="s">
        <v>3147</v>
      </c>
      <c r="BC1441" s="393" t="b">
        <v>0</v>
      </c>
      <c r="BD1441" s="393" t="s">
        <v>3116</v>
      </c>
      <c r="BE1441" s="392"/>
      <c r="BF1441" s="394">
        <v>1</v>
      </c>
      <c r="BG1441" s="394">
        <v>8</v>
      </c>
      <c r="BH1441" s="394">
        <v>2</v>
      </c>
      <c r="BI1441" s="394">
        <v>7</v>
      </c>
      <c r="BJ1441" s="394">
        <v>9</v>
      </c>
      <c r="BK1441" s="394">
        <v>5</v>
      </c>
      <c r="BL1441" s="444"/>
      <c r="BM1441" s="392"/>
      <c r="BN1441" s="393"/>
      <c r="BO1441" s="393"/>
      <c r="BP1441" s="399"/>
      <c r="BQ1441" s="400"/>
      <c r="BR1441" s="401"/>
      <c r="BS1441" s="399">
        <v>1.5</v>
      </c>
      <c r="BT1441" s="394"/>
      <c r="BU1441" s="417"/>
      <c r="BV1441" s="399"/>
      <c r="BW1441" s="393"/>
      <c r="BX1441" s="392"/>
      <c r="BY1441" s="393"/>
      <c r="BZ1441" s="393"/>
      <c r="CA1441" s="441"/>
      <c r="CB1441" s="400"/>
      <c r="CC1441" s="398"/>
      <c r="CD1441" s="398"/>
      <c r="CE1441" s="398"/>
      <c r="CF1441" s="398"/>
      <c r="CG1441" s="398"/>
      <c r="CH1441" s="398"/>
      <c r="CI1441" s="398"/>
      <c r="CJ1441" s="398"/>
      <c r="CK1441" s="398"/>
      <c r="CL1441" s="398"/>
      <c r="CM1441" s="398"/>
      <c r="CN1441" s="398"/>
      <c r="CO1441" s="398"/>
      <c r="CP1441" s="398"/>
      <c r="CQ1441" s="398"/>
      <c r="CR1441" s="398"/>
      <c r="CS1441" s="398"/>
      <c r="CT1441" s="398"/>
      <c r="CU1441" s="398"/>
      <c r="CV1441" s="398"/>
      <c r="CW1441" s="398"/>
      <c r="CX1441" s="398"/>
      <c r="CY1441" s="398"/>
      <c r="CZ1441" s="398"/>
      <c r="DA1441" s="398"/>
      <c r="DB1441" s="398"/>
      <c r="DC1441" s="398"/>
      <c r="DD1441" s="398"/>
      <c r="DE1441" s="393"/>
      <c r="DF1441" s="393"/>
      <c r="DG1441" s="393"/>
      <c r="DH1441" s="393"/>
      <c r="DI1441" s="393"/>
      <c r="DJ1441" s="393"/>
      <c r="DK1441" s="896" t="s">
        <v>9711</v>
      </c>
    </row>
    <row r="1442" spans="1:115" ht="38.25" x14ac:dyDescent="0.2">
      <c r="A1442" s="295">
        <v>1438</v>
      </c>
      <c r="B1442" s="390" t="s">
        <v>2956</v>
      </c>
      <c r="C1442" s="390"/>
      <c r="D1442" s="391" t="s">
        <v>5728</v>
      </c>
      <c r="E1442" s="704" t="s">
        <v>2464</v>
      </c>
      <c r="F1442" s="393" t="s">
        <v>1340</v>
      </c>
      <c r="G1442" s="393" t="s">
        <v>1676</v>
      </c>
      <c r="H1442" s="393" t="s">
        <v>58</v>
      </c>
      <c r="I1442" s="392"/>
      <c r="J1442" s="392"/>
      <c r="K1442" s="392" t="s">
        <v>2465</v>
      </c>
      <c r="L1442" s="392" t="s">
        <v>2463</v>
      </c>
      <c r="M1442" s="392"/>
      <c r="N1442" s="393" t="s">
        <v>44</v>
      </c>
      <c r="O1442" s="393" t="s">
        <v>69</v>
      </c>
      <c r="P1442" s="393" t="s">
        <v>69</v>
      </c>
      <c r="Q1442" s="392" t="s">
        <v>572</v>
      </c>
      <c r="R1442" s="392" t="s">
        <v>3691</v>
      </c>
      <c r="S1442" s="428" t="s">
        <v>8126</v>
      </c>
      <c r="T1442" s="394">
        <v>1</v>
      </c>
      <c r="U1442" s="395">
        <v>2.214</v>
      </c>
      <c r="V1442" s="395"/>
      <c r="W1442" s="453"/>
      <c r="X1442" s="394"/>
      <c r="Y1442" s="394">
        <v>7</v>
      </c>
      <c r="Z1442" s="394">
        <v>10</v>
      </c>
      <c r="AA1442" s="395">
        <v>0</v>
      </c>
      <c r="AB1442" s="452">
        <v>41640</v>
      </c>
      <c r="AC1442" s="398">
        <v>0</v>
      </c>
      <c r="AD1442" s="398">
        <v>15.504065753424657</v>
      </c>
      <c r="AE1442" s="393" t="s">
        <v>54</v>
      </c>
      <c r="AF1442" s="417"/>
      <c r="AG1442" s="417"/>
      <c r="AH1442" s="417"/>
      <c r="AI1442" s="394"/>
      <c r="AJ1442" s="453"/>
      <c r="AK1442" s="453"/>
      <c r="AL1442" s="393"/>
      <c r="AM1442" s="393"/>
      <c r="AN1442" s="417"/>
      <c r="AO1442" s="392"/>
      <c r="AP1442" s="392" t="s">
        <v>55</v>
      </c>
      <c r="AQ1442" s="392"/>
      <c r="AR1442" s="392" t="s">
        <v>55</v>
      </c>
      <c r="AS1442" s="479">
        <v>41110</v>
      </c>
      <c r="AT1442" s="453"/>
      <c r="AU1442" s="453"/>
      <c r="AV1442" s="453"/>
      <c r="AW1442" s="453"/>
      <c r="AX1442" s="453"/>
      <c r="AY1442" s="453"/>
      <c r="AZ1442" s="452">
        <v>41528</v>
      </c>
      <c r="BA1442" s="393"/>
      <c r="BB1442" s="393"/>
      <c r="BC1442" s="393" t="b">
        <v>0</v>
      </c>
      <c r="BD1442" s="393"/>
      <c r="BE1442" s="392"/>
      <c r="BF1442" s="394">
        <v>1</v>
      </c>
      <c r="BG1442" s="394">
        <v>8</v>
      </c>
      <c r="BH1442" s="394">
        <v>2</v>
      </c>
      <c r="BI1442" s="394">
        <v>7</v>
      </c>
      <c r="BJ1442" s="394">
        <v>9</v>
      </c>
      <c r="BK1442" s="394">
        <v>5</v>
      </c>
      <c r="BL1442" s="444" t="s">
        <v>6981</v>
      </c>
      <c r="BM1442" s="392"/>
      <c r="BN1442" s="393"/>
      <c r="BO1442" s="393"/>
      <c r="BP1442" s="399"/>
      <c r="BQ1442" s="400"/>
      <c r="BR1442" s="401"/>
      <c r="BS1442" s="399">
        <v>1.5</v>
      </c>
      <c r="BT1442" s="394">
        <v>220</v>
      </c>
      <c r="BU1442" s="417">
        <v>0.48420000000000002</v>
      </c>
      <c r="BV1442" s="399"/>
      <c r="BW1442" s="393" t="s">
        <v>3117</v>
      </c>
      <c r="BX1442" s="392" t="s">
        <v>1447</v>
      </c>
      <c r="BY1442" s="393"/>
      <c r="BZ1442" s="393"/>
      <c r="CA1442" s="441" t="s">
        <v>1662</v>
      </c>
      <c r="CB1442" s="400">
        <v>3</v>
      </c>
      <c r="CC1442" s="398"/>
      <c r="CD1442" s="398"/>
      <c r="CE1442" s="398"/>
      <c r="CF1442" s="398"/>
      <c r="CG1442" s="398"/>
      <c r="CH1442" s="398"/>
      <c r="CI1442" s="398"/>
      <c r="CJ1442" s="398">
        <v>1.6240000000000001</v>
      </c>
      <c r="CK1442" s="398">
        <v>3.1110000000000002</v>
      </c>
      <c r="CL1442" s="398">
        <v>3.1110000000000002</v>
      </c>
      <c r="CM1442" s="398">
        <v>3.1110000000000002</v>
      </c>
      <c r="CN1442" s="398">
        <v>3.1110000000000002</v>
      </c>
      <c r="CO1442" s="398">
        <v>3.1110000000000002</v>
      </c>
      <c r="CP1442" s="398">
        <v>3.1110000000000002</v>
      </c>
      <c r="CQ1442" s="398"/>
      <c r="CR1442" s="398"/>
      <c r="CS1442" s="398"/>
      <c r="CT1442" s="398"/>
      <c r="CU1442" s="398"/>
      <c r="CV1442" s="398"/>
      <c r="CW1442" s="398"/>
      <c r="CX1442" s="398"/>
      <c r="CY1442" s="398"/>
      <c r="CZ1442" s="398"/>
      <c r="DA1442" s="398"/>
      <c r="DB1442" s="398"/>
      <c r="DC1442" s="398"/>
      <c r="DD1442" s="398"/>
      <c r="DE1442" s="393"/>
      <c r="DF1442" s="393"/>
      <c r="DG1442" s="393"/>
      <c r="DH1442" s="393"/>
      <c r="DI1442" s="393"/>
      <c r="DJ1442" s="393"/>
      <c r="DK1442" s="897"/>
    </row>
    <row r="1443" spans="1:115" ht="178.5" x14ac:dyDescent="0.2">
      <c r="A1443" s="295">
        <v>1439</v>
      </c>
      <c r="B1443" s="390" t="s">
        <v>2466</v>
      </c>
      <c r="C1443" s="424" t="s">
        <v>7785</v>
      </c>
      <c r="D1443" s="391"/>
      <c r="E1443" s="707" t="s">
        <v>833</v>
      </c>
      <c r="F1443" s="404" t="s">
        <v>1375</v>
      </c>
      <c r="G1443" s="404" t="s">
        <v>1751</v>
      </c>
      <c r="H1443" s="404" t="s">
        <v>1377</v>
      </c>
      <c r="I1443" s="403" t="s">
        <v>2467</v>
      </c>
      <c r="J1443" s="403" t="s">
        <v>834</v>
      </c>
      <c r="K1443" s="403"/>
      <c r="L1443" s="403" t="s">
        <v>835</v>
      </c>
      <c r="M1443" s="403" t="s">
        <v>3387</v>
      </c>
      <c r="N1443" s="404" t="s">
        <v>3142</v>
      </c>
      <c r="O1443" s="404" t="s">
        <v>51</v>
      </c>
      <c r="P1443" s="404" t="s">
        <v>51</v>
      </c>
      <c r="Q1443" s="403" t="s">
        <v>426</v>
      </c>
      <c r="R1443" s="403"/>
      <c r="S1443" s="403" t="s">
        <v>483</v>
      </c>
      <c r="T1443" s="405">
        <v>1</v>
      </c>
      <c r="U1443" s="406">
        <v>60</v>
      </c>
      <c r="V1443" s="406"/>
      <c r="W1443" s="456">
        <v>40913</v>
      </c>
      <c r="X1443" s="405">
        <v>28</v>
      </c>
      <c r="Y1443" s="405"/>
      <c r="Z1443" s="405"/>
      <c r="AA1443" s="406"/>
      <c r="AB1443" s="455"/>
      <c r="AC1443" s="407">
        <v>0</v>
      </c>
      <c r="AD1443" s="407">
        <v>15.504065753424657</v>
      </c>
      <c r="AE1443" s="404" t="s">
        <v>72</v>
      </c>
      <c r="AF1443" s="418"/>
      <c r="AG1443" s="418"/>
      <c r="AH1443" s="418">
        <v>0</v>
      </c>
      <c r="AI1443" s="405"/>
      <c r="AJ1443" s="455"/>
      <c r="AK1443" s="455"/>
      <c r="AL1443" s="404"/>
      <c r="AM1443" s="404"/>
      <c r="AN1443" s="418"/>
      <c r="AO1443" s="403"/>
      <c r="AP1443" s="403" t="s">
        <v>55</v>
      </c>
      <c r="AQ1443" s="403"/>
      <c r="AR1443" s="403" t="s">
        <v>55</v>
      </c>
      <c r="AS1443" s="482">
        <v>41110</v>
      </c>
      <c r="AT1443" s="455"/>
      <c r="AU1443" s="455"/>
      <c r="AV1443" s="455"/>
      <c r="AW1443" s="455"/>
      <c r="AX1443" s="455"/>
      <c r="AY1443" s="455"/>
      <c r="AZ1443" s="455"/>
      <c r="BA1443" s="404"/>
      <c r="BB1443" s="404" t="s">
        <v>3147</v>
      </c>
      <c r="BC1443" s="404" t="b">
        <v>1</v>
      </c>
      <c r="BD1443" s="404" t="s">
        <v>3147</v>
      </c>
      <c r="BE1443" s="403"/>
      <c r="BF1443" s="405">
        <v>6</v>
      </c>
      <c r="BG1443" s="405">
        <v>8</v>
      </c>
      <c r="BH1443" s="405">
        <v>1</v>
      </c>
      <c r="BI1443" s="405"/>
      <c r="BJ1443" s="405"/>
      <c r="BK1443" s="405"/>
      <c r="BL1443" s="446"/>
      <c r="BM1443" s="403"/>
      <c r="BN1443" s="404"/>
      <c r="BO1443" s="404"/>
      <c r="BP1443" s="408"/>
      <c r="BQ1443" s="409"/>
      <c r="BR1443" s="410"/>
      <c r="BS1443" s="408">
        <v>0</v>
      </c>
      <c r="BT1443" s="405"/>
      <c r="BU1443" s="418"/>
      <c r="BV1443" s="408"/>
      <c r="BW1443" s="404"/>
      <c r="BX1443" s="403"/>
      <c r="BY1443" s="404"/>
      <c r="BZ1443" s="404"/>
      <c r="CA1443" s="443"/>
      <c r="CB1443" s="409"/>
      <c r="CC1443" s="407"/>
      <c r="CD1443" s="407"/>
      <c r="CE1443" s="407"/>
      <c r="CF1443" s="407"/>
      <c r="CG1443" s="407"/>
      <c r="CH1443" s="407"/>
      <c r="CI1443" s="407"/>
      <c r="CJ1443" s="407"/>
      <c r="CK1443" s="407"/>
      <c r="CL1443" s="407"/>
      <c r="CM1443" s="407"/>
      <c r="CN1443" s="407"/>
      <c r="CO1443" s="407"/>
      <c r="CP1443" s="407"/>
      <c r="CQ1443" s="407"/>
      <c r="CR1443" s="407"/>
      <c r="CS1443" s="407"/>
      <c r="CT1443" s="407"/>
      <c r="CU1443" s="407"/>
      <c r="CV1443" s="407"/>
      <c r="CW1443" s="407"/>
      <c r="CX1443" s="407"/>
      <c r="CY1443" s="407"/>
      <c r="CZ1443" s="407"/>
      <c r="DA1443" s="407"/>
      <c r="DB1443" s="407"/>
      <c r="DC1443" s="407"/>
      <c r="DD1443" s="407"/>
      <c r="DE1443" s="404"/>
      <c r="DF1443" s="404"/>
      <c r="DG1443" s="404"/>
      <c r="DH1443" s="404"/>
      <c r="DI1443" s="404"/>
      <c r="DJ1443" s="404"/>
      <c r="DK1443" s="901"/>
    </row>
    <row r="1444" spans="1:115" ht="25.5" x14ac:dyDescent="0.2">
      <c r="A1444" s="295">
        <v>1440</v>
      </c>
      <c r="B1444" s="390" t="s">
        <v>2957</v>
      </c>
      <c r="C1444" s="390"/>
      <c r="D1444" s="391"/>
      <c r="E1444" s="707" t="s">
        <v>2468</v>
      </c>
      <c r="F1444" s="404" t="s">
        <v>1375</v>
      </c>
      <c r="G1444" s="404" t="s">
        <v>1668</v>
      </c>
      <c r="H1444" s="404" t="s">
        <v>1700</v>
      </c>
      <c r="I1444" s="403"/>
      <c r="J1444" s="403" t="s">
        <v>1700</v>
      </c>
      <c r="K1444" s="403"/>
      <c r="L1444" s="403" t="s">
        <v>835</v>
      </c>
      <c r="M1444" s="403"/>
      <c r="N1444" s="404" t="s">
        <v>3142</v>
      </c>
      <c r="O1444" s="404" t="s">
        <v>51</v>
      </c>
      <c r="P1444" s="404" t="s">
        <v>51</v>
      </c>
      <c r="Q1444" s="403" t="s">
        <v>426</v>
      </c>
      <c r="R1444" s="403" t="s">
        <v>3692</v>
      </c>
      <c r="S1444" s="403" t="s">
        <v>483</v>
      </c>
      <c r="T1444" s="405">
        <v>1</v>
      </c>
      <c r="U1444" s="406">
        <v>60</v>
      </c>
      <c r="V1444" s="406"/>
      <c r="W1444" s="455"/>
      <c r="X1444" s="405"/>
      <c r="Y1444" s="405">
        <v>2</v>
      </c>
      <c r="Z1444" s="405">
        <v>2</v>
      </c>
      <c r="AA1444" s="406">
        <v>0</v>
      </c>
      <c r="AB1444" s="456">
        <v>41632</v>
      </c>
      <c r="AC1444" s="407">
        <v>0</v>
      </c>
      <c r="AD1444" s="407">
        <v>15.504065753424657</v>
      </c>
      <c r="AE1444" s="404" t="s">
        <v>72</v>
      </c>
      <c r="AF1444" s="418"/>
      <c r="AG1444" s="418"/>
      <c r="AH1444" s="418"/>
      <c r="AI1444" s="405"/>
      <c r="AJ1444" s="455"/>
      <c r="AK1444" s="455"/>
      <c r="AL1444" s="404"/>
      <c r="AM1444" s="404"/>
      <c r="AN1444" s="418"/>
      <c r="AO1444" s="403"/>
      <c r="AP1444" s="403" t="s">
        <v>55</v>
      </c>
      <c r="AQ1444" s="403"/>
      <c r="AR1444" s="403" t="s">
        <v>55</v>
      </c>
      <c r="AS1444" s="482">
        <v>41110</v>
      </c>
      <c r="AT1444" s="455"/>
      <c r="AU1444" s="455"/>
      <c r="AV1444" s="455"/>
      <c r="AW1444" s="455"/>
      <c r="AX1444" s="455"/>
      <c r="AY1444" s="455"/>
      <c r="AZ1444" s="455"/>
      <c r="BA1444" s="404"/>
      <c r="BB1444" s="404"/>
      <c r="BC1444" s="404" t="b">
        <v>0</v>
      </c>
      <c r="BD1444" s="404"/>
      <c r="BE1444" s="403"/>
      <c r="BF1444" s="405">
        <v>6</v>
      </c>
      <c r="BG1444" s="405">
        <v>8</v>
      </c>
      <c r="BH1444" s="405">
        <v>1</v>
      </c>
      <c r="BI1444" s="405"/>
      <c r="BJ1444" s="405"/>
      <c r="BK1444" s="405"/>
      <c r="BL1444" s="446" t="s">
        <v>6981</v>
      </c>
      <c r="BM1444" s="403"/>
      <c r="BN1444" s="404"/>
      <c r="BO1444" s="404"/>
      <c r="BP1444" s="408"/>
      <c r="BQ1444" s="409"/>
      <c r="BR1444" s="410"/>
      <c r="BS1444" s="408"/>
      <c r="BT1444" s="405"/>
      <c r="BU1444" s="418"/>
      <c r="BV1444" s="408">
        <v>60</v>
      </c>
      <c r="BW1444" s="404" t="s">
        <v>3117</v>
      </c>
      <c r="BX1444" s="403" t="s">
        <v>3177</v>
      </c>
      <c r="BY1444" s="404"/>
      <c r="BZ1444" s="404"/>
      <c r="CA1444" s="443"/>
      <c r="CB1444" s="409"/>
      <c r="CC1444" s="407"/>
      <c r="CD1444" s="407"/>
      <c r="CE1444" s="407"/>
      <c r="CF1444" s="407"/>
      <c r="CG1444" s="407"/>
      <c r="CH1444" s="407"/>
      <c r="CI1444" s="407"/>
      <c r="CJ1444" s="407">
        <v>60</v>
      </c>
      <c r="CK1444" s="407">
        <v>60</v>
      </c>
      <c r="CL1444" s="407"/>
      <c r="CM1444" s="407"/>
      <c r="CN1444" s="407"/>
      <c r="CO1444" s="407"/>
      <c r="CP1444" s="407"/>
      <c r="CQ1444" s="407"/>
      <c r="CR1444" s="407"/>
      <c r="CS1444" s="407"/>
      <c r="CT1444" s="407"/>
      <c r="CU1444" s="407"/>
      <c r="CV1444" s="407"/>
      <c r="CW1444" s="407"/>
      <c r="CX1444" s="407"/>
      <c r="CY1444" s="407"/>
      <c r="CZ1444" s="407"/>
      <c r="DA1444" s="407"/>
      <c r="DB1444" s="407"/>
      <c r="DC1444" s="407"/>
      <c r="DD1444" s="407"/>
      <c r="DE1444" s="404"/>
      <c r="DF1444" s="404"/>
      <c r="DG1444" s="404"/>
      <c r="DH1444" s="404"/>
      <c r="DI1444" s="404"/>
      <c r="DJ1444" s="404"/>
      <c r="DK1444" s="897"/>
    </row>
    <row r="1445" spans="1:115" ht="25.5" x14ac:dyDescent="0.2">
      <c r="A1445" s="295">
        <v>1441</v>
      </c>
      <c r="B1445" s="390" t="s">
        <v>2469</v>
      </c>
      <c r="C1445" s="424" t="s">
        <v>7786</v>
      </c>
      <c r="D1445" s="391" t="s">
        <v>5228</v>
      </c>
      <c r="E1445" s="704" t="s">
        <v>2470</v>
      </c>
      <c r="F1445" s="393" t="s">
        <v>1352</v>
      </c>
      <c r="G1445" s="393" t="s">
        <v>1671</v>
      </c>
      <c r="H1445" s="393" t="s">
        <v>117</v>
      </c>
      <c r="I1445" s="392"/>
      <c r="J1445" s="392" t="s">
        <v>2471</v>
      </c>
      <c r="K1445" s="392"/>
      <c r="L1445" s="392" t="s">
        <v>2472</v>
      </c>
      <c r="M1445" s="392" t="s">
        <v>3168</v>
      </c>
      <c r="N1445" s="393" t="s">
        <v>44</v>
      </c>
      <c r="O1445" s="393" t="s">
        <v>51</v>
      </c>
      <c r="P1445" s="393" t="s">
        <v>51</v>
      </c>
      <c r="Q1445" s="392" t="s">
        <v>426</v>
      </c>
      <c r="R1445" s="392"/>
      <c r="S1445" s="392" t="s">
        <v>427</v>
      </c>
      <c r="T1445" s="394">
        <v>1</v>
      </c>
      <c r="U1445" s="395">
        <v>28.911999999999999</v>
      </c>
      <c r="V1445" s="395"/>
      <c r="W1445" s="452">
        <v>41305</v>
      </c>
      <c r="X1445" s="394">
        <v>28</v>
      </c>
      <c r="Y1445" s="394"/>
      <c r="Z1445" s="394"/>
      <c r="AA1445" s="395"/>
      <c r="AB1445" s="453"/>
      <c r="AC1445" s="398">
        <v>0</v>
      </c>
      <c r="AD1445" s="398">
        <v>15.504065753424657</v>
      </c>
      <c r="AE1445" s="393" t="s">
        <v>446</v>
      </c>
      <c r="AF1445" s="417"/>
      <c r="AG1445" s="417"/>
      <c r="AH1445" s="417">
        <v>0</v>
      </c>
      <c r="AI1445" s="394"/>
      <c r="AJ1445" s="453"/>
      <c r="AK1445" s="453"/>
      <c r="AL1445" s="393"/>
      <c r="AM1445" s="393"/>
      <c r="AN1445" s="417"/>
      <c r="AO1445" s="392"/>
      <c r="AP1445" s="392" t="s">
        <v>55</v>
      </c>
      <c r="AQ1445" s="392"/>
      <c r="AR1445" s="392" t="s">
        <v>55</v>
      </c>
      <c r="AS1445" s="479">
        <v>41113</v>
      </c>
      <c r="AT1445" s="453"/>
      <c r="AU1445" s="453"/>
      <c r="AV1445" s="452">
        <v>41153</v>
      </c>
      <c r="AW1445" s="452">
        <v>41272</v>
      </c>
      <c r="AX1445" s="453"/>
      <c r="AY1445" s="452">
        <v>41271</v>
      </c>
      <c r="AZ1445" s="453"/>
      <c r="BA1445" s="393"/>
      <c r="BB1445" s="393" t="s">
        <v>3116</v>
      </c>
      <c r="BC1445" s="393" t="b">
        <v>1</v>
      </c>
      <c r="BD1445" s="393" t="s">
        <v>3147</v>
      </c>
      <c r="BE1445" s="392"/>
      <c r="BF1445" s="394">
        <v>4</v>
      </c>
      <c r="BG1445" s="394">
        <v>8</v>
      </c>
      <c r="BH1445" s="394">
        <v>1</v>
      </c>
      <c r="BI1445" s="394">
        <v>7</v>
      </c>
      <c r="BJ1445" s="394"/>
      <c r="BK1445" s="394"/>
      <c r="BL1445" s="444"/>
      <c r="BM1445" s="392"/>
      <c r="BN1445" s="393"/>
      <c r="BO1445" s="393"/>
      <c r="BP1445" s="399"/>
      <c r="BQ1445" s="400"/>
      <c r="BR1445" s="401"/>
      <c r="BS1445" s="399">
        <v>0</v>
      </c>
      <c r="BT1445" s="394"/>
      <c r="BU1445" s="417"/>
      <c r="BV1445" s="399"/>
      <c r="BW1445" s="393"/>
      <c r="BX1445" s="392"/>
      <c r="BY1445" s="475" t="s">
        <v>7227</v>
      </c>
      <c r="BZ1445" s="393"/>
      <c r="CA1445" s="441"/>
      <c r="CB1445" s="400"/>
      <c r="CC1445" s="398"/>
      <c r="CD1445" s="398"/>
      <c r="CE1445" s="398"/>
      <c r="CF1445" s="398"/>
      <c r="CG1445" s="398"/>
      <c r="CH1445" s="398"/>
      <c r="CI1445" s="398"/>
      <c r="CJ1445" s="398"/>
      <c r="CK1445" s="398"/>
      <c r="CL1445" s="398"/>
      <c r="CM1445" s="398"/>
      <c r="CN1445" s="398"/>
      <c r="CO1445" s="398"/>
      <c r="CP1445" s="398"/>
      <c r="CQ1445" s="398"/>
      <c r="CR1445" s="398"/>
      <c r="CS1445" s="398"/>
      <c r="CT1445" s="398"/>
      <c r="CU1445" s="398"/>
      <c r="CV1445" s="398"/>
      <c r="CW1445" s="398"/>
      <c r="CX1445" s="398"/>
      <c r="CY1445" s="398"/>
      <c r="CZ1445" s="398"/>
      <c r="DA1445" s="398"/>
      <c r="DB1445" s="398"/>
      <c r="DC1445" s="398"/>
      <c r="DD1445" s="398"/>
      <c r="DE1445" s="393"/>
      <c r="DF1445" s="393"/>
      <c r="DG1445" s="393"/>
      <c r="DH1445" s="393"/>
      <c r="DI1445" s="393"/>
      <c r="DJ1445" s="393"/>
      <c r="DK1445" s="896" t="s">
        <v>9710</v>
      </c>
    </row>
    <row r="1446" spans="1:115" ht="38.25" x14ac:dyDescent="0.2">
      <c r="A1446" s="295">
        <v>1442</v>
      </c>
      <c r="B1446" s="390" t="s">
        <v>2958</v>
      </c>
      <c r="C1446" s="390"/>
      <c r="D1446" s="391" t="s">
        <v>4969</v>
      </c>
      <c r="E1446" s="704" t="s">
        <v>2473</v>
      </c>
      <c r="F1446" s="393" t="s">
        <v>1352</v>
      </c>
      <c r="G1446" s="393" t="s">
        <v>1671</v>
      </c>
      <c r="H1446" s="393" t="s">
        <v>117</v>
      </c>
      <c r="I1446" s="392"/>
      <c r="J1446" s="392"/>
      <c r="K1446" s="392" t="s">
        <v>2474</v>
      </c>
      <c r="L1446" s="392" t="s">
        <v>2472</v>
      </c>
      <c r="M1446" s="392"/>
      <c r="N1446" s="393" t="s">
        <v>44</v>
      </c>
      <c r="O1446" s="393" t="s">
        <v>51</v>
      </c>
      <c r="P1446" s="393" t="s">
        <v>51</v>
      </c>
      <c r="Q1446" s="392" t="s">
        <v>426</v>
      </c>
      <c r="R1446" s="392" t="s">
        <v>3693</v>
      </c>
      <c r="S1446" s="392" t="s">
        <v>427</v>
      </c>
      <c r="T1446" s="394">
        <v>1</v>
      </c>
      <c r="U1446" s="395">
        <v>28.911999999999999</v>
      </c>
      <c r="V1446" s="395"/>
      <c r="W1446" s="453"/>
      <c r="X1446" s="394"/>
      <c r="Y1446" s="394">
        <v>7.8</v>
      </c>
      <c r="Z1446" s="394">
        <v>8</v>
      </c>
      <c r="AA1446" s="395">
        <v>-4</v>
      </c>
      <c r="AB1446" s="452">
        <v>41305</v>
      </c>
      <c r="AC1446" s="398">
        <v>0</v>
      </c>
      <c r="AD1446" s="398">
        <v>15.504065753424657</v>
      </c>
      <c r="AE1446" s="393" t="s">
        <v>446</v>
      </c>
      <c r="AF1446" s="417"/>
      <c r="AG1446" s="417"/>
      <c r="AH1446" s="417"/>
      <c r="AI1446" s="394"/>
      <c r="AJ1446" s="453"/>
      <c r="AK1446" s="453"/>
      <c r="AL1446" s="393"/>
      <c r="AM1446" s="393"/>
      <c r="AN1446" s="417"/>
      <c r="AO1446" s="392"/>
      <c r="AP1446" s="392" t="s">
        <v>55</v>
      </c>
      <c r="AQ1446" s="392"/>
      <c r="AR1446" s="392" t="s">
        <v>55</v>
      </c>
      <c r="AS1446" s="479">
        <v>41113</v>
      </c>
      <c r="AT1446" s="453"/>
      <c r="AU1446" s="453"/>
      <c r="AV1446" s="453"/>
      <c r="AW1446" s="453"/>
      <c r="AX1446" s="453"/>
      <c r="AY1446" s="453"/>
      <c r="AZ1446" s="452">
        <v>41271</v>
      </c>
      <c r="BA1446" s="393"/>
      <c r="BB1446" s="393"/>
      <c r="BC1446" s="393" t="b">
        <v>0</v>
      </c>
      <c r="BD1446" s="393"/>
      <c r="BE1446" s="392"/>
      <c r="BF1446" s="394">
        <v>4</v>
      </c>
      <c r="BG1446" s="394">
        <v>8</v>
      </c>
      <c r="BH1446" s="394">
        <v>1</v>
      </c>
      <c r="BI1446" s="394">
        <v>7</v>
      </c>
      <c r="BJ1446" s="394"/>
      <c r="BK1446" s="394"/>
      <c r="BL1446" s="444" t="s">
        <v>6983</v>
      </c>
      <c r="BM1446" s="392"/>
      <c r="BN1446" s="393"/>
      <c r="BO1446" s="393"/>
      <c r="BP1446" s="399"/>
      <c r="BQ1446" s="400"/>
      <c r="BR1446" s="401"/>
      <c r="BS1446" s="399"/>
      <c r="BT1446" s="394"/>
      <c r="BU1446" s="417"/>
      <c r="BV1446" s="399">
        <v>9.9644999999999997E-2</v>
      </c>
      <c r="BW1446" s="393" t="s">
        <v>3117</v>
      </c>
      <c r="BX1446" s="392" t="s">
        <v>1447</v>
      </c>
      <c r="BY1446" s="475" t="s">
        <v>7227</v>
      </c>
      <c r="BZ1446" s="393"/>
      <c r="CA1446" s="441"/>
      <c r="CB1446" s="400">
        <v>4</v>
      </c>
      <c r="CC1446" s="398"/>
      <c r="CD1446" s="398"/>
      <c r="CE1446" s="398"/>
      <c r="CF1446" s="398"/>
      <c r="CG1446" s="398"/>
      <c r="CH1446" s="398"/>
      <c r="CI1446" s="398">
        <v>37.673000000000002</v>
      </c>
      <c r="CJ1446" s="398">
        <v>35.103000000000002</v>
      </c>
      <c r="CK1446" s="398">
        <v>32.531999999999996</v>
      </c>
      <c r="CL1446" s="398">
        <v>29.960999999999999</v>
      </c>
      <c r="CM1446" s="398">
        <v>27.390999999999998</v>
      </c>
      <c r="CN1446" s="398">
        <v>24.82</v>
      </c>
      <c r="CO1446" s="398">
        <v>22.25</v>
      </c>
      <c r="CP1446" s="398">
        <v>16.649999999999999</v>
      </c>
      <c r="CQ1446" s="398"/>
      <c r="CR1446" s="398"/>
      <c r="CS1446" s="398"/>
      <c r="CT1446" s="398"/>
      <c r="CU1446" s="398"/>
      <c r="CV1446" s="398"/>
      <c r="CW1446" s="398"/>
      <c r="CX1446" s="398"/>
      <c r="CY1446" s="398"/>
      <c r="CZ1446" s="398"/>
      <c r="DA1446" s="398"/>
      <c r="DB1446" s="398"/>
      <c r="DC1446" s="398"/>
      <c r="DD1446" s="398"/>
      <c r="DE1446" s="393"/>
      <c r="DF1446" s="393"/>
      <c r="DG1446" s="393"/>
      <c r="DH1446" s="393"/>
      <c r="DI1446" s="393"/>
      <c r="DJ1446" s="393"/>
      <c r="DK1446" s="897"/>
    </row>
    <row r="1447" spans="1:115" ht="25.5" x14ac:dyDescent="0.2">
      <c r="A1447" s="295">
        <v>1443</v>
      </c>
      <c r="B1447" s="390" t="s">
        <v>2475</v>
      </c>
      <c r="C1447" s="424" t="s">
        <v>7787</v>
      </c>
      <c r="D1447" s="391" t="s">
        <v>5229</v>
      </c>
      <c r="E1447" s="704" t="s">
        <v>2476</v>
      </c>
      <c r="F1447" s="393" t="s">
        <v>1352</v>
      </c>
      <c r="G1447" s="393" t="s">
        <v>1671</v>
      </c>
      <c r="H1447" s="393" t="s">
        <v>117</v>
      </c>
      <c r="I1447" s="392"/>
      <c r="J1447" s="392" t="s">
        <v>2477</v>
      </c>
      <c r="K1447" s="392"/>
      <c r="L1447" s="392" t="s">
        <v>2472</v>
      </c>
      <c r="M1447" s="392" t="s">
        <v>3168</v>
      </c>
      <c r="N1447" s="393" t="s">
        <v>44</v>
      </c>
      <c r="O1447" s="393" t="s">
        <v>51</v>
      </c>
      <c r="P1447" s="393" t="s">
        <v>51</v>
      </c>
      <c r="Q1447" s="392" t="s">
        <v>426</v>
      </c>
      <c r="R1447" s="392"/>
      <c r="S1447" s="392" t="s">
        <v>427</v>
      </c>
      <c r="T1447" s="394">
        <v>1</v>
      </c>
      <c r="U1447" s="395">
        <v>38.448</v>
      </c>
      <c r="V1447" s="395"/>
      <c r="W1447" s="452">
        <v>41305</v>
      </c>
      <c r="X1447" s="394">
        <v>28</v>
      </c>
      <c r="Y1447" s="394"/>
      <c r="Z1447" s="394"/>
      <c r="AA1447" s="395"/>
      <c r="AB1447" s="453"/>
      <c r="AC1447" s="398">
        <v>0</v>
      </c>
      <c r="AD1447" s="398">
        <v>15.504065753424657</v>
      </c>
      <c r="AE1447" s="393" t="s">
        <v>446</v>
      </c>
      <c r="AF1447" s="417"/>
      <c r="AG1447" s="417"/>
      <c r="AH1447" s="417">
        <v>0</v>
      </c>
      <c r="AI1447" s="394"/>
      <c r="AJ1447" s="453"/>
      <c r="AK1447" s="453"/>
      <c r="AL1447" s="393"/>
      <c r="AM1447" s="393"/>
      <c r="AN1447" s="417"/>
      <c r="AO1447" s="392"/>
      <c r="AP1447" s="392" t="s">
        <v>55</v>
      </c>
      <c r="AQ1447" s="392"/>
      <c r="AR1447" s="392" t="s">
        <v>55</v>
      </c>
      <c r="AS1447" s="479">
        <v>41113</v>
      </c>
      <c r="AT1447" s="453"/>
      <c r="AU1447" s="453"/>
      <c r="AV1447" s="452">
        <v>41153</v>
      </c>
      <c r="AW1447" s="452">
        <v>41271</v>
      </c>
      <c r="AX1447" s="453"/>
      <c r="AY1447" s="452">
        <v>41271</v>
      </c>
      <c r="AZ1447" s="453"/>
      <c r="BA1447" s="393"/>
      <c r="BB1447" s="393" t="s">
        <v>3116</v>
      </c>
      <c r="BC1447" s="393" t="b">
        <v>1</v>
      </c>
      <c r="BD1447" s="393" t="s">
        <v>3147</v>
      </c>
      <c r="BE1447" s="392"/>
      <c r="BF1447" s="394">
        <v>4</v>
      </c>
      <c r="BG1447" s="394">
        <v>8</v>
      </c>
      <c r="BH1447" s="394">
        <v>1</v>
      </c>
      <c r="BI1447" s="394">
        <v>7</v>
      </c>
      <c r="BJ1447" s="394"/>
      <c r="BK1447" s="394"/>
      <c r="BL1447" s="444"/>
      <c r="BM1447" s="392"/>
      <c r="BN1447" s="393"/>
      <c r="BO1447" s="393"/>
      <c r="BP1447" s="399"/>
      <c r="BQ1447" s="400"/>
      <c r="BR1447" s="401"/>
      <c r="BS1447" s="399">
        <v>0</v>
      </c>
      <c r="BT1447" s="394"/>
      <c r="BU1447" s="417"/>
      <c r="BV1447" s="399"/>
      <c r="BW1447" s="393"/>
      <c r="BX1447" s="392"/>
      <c r="BY1447" s="475" t="s">
        <v>7227</v>
      </c>
      <c r="BZ1447" s="393"/>
      <c r="CA1447" s="441"/>
      <c r="CB1447" s="400"/>
      <c r="CC1447" s="398"/>
      <c r="CD1447" s="398"/>
      <c r="CE1447" s="398"/>
      <c r="CF1447" s="398"/>
      <c r="CG1447" s="398"/>
      <c r="CH1447" s="398"/>
      <c r="CI1447" s="398"/>
      <c r="CJ1447" s="398"/>
      <c r="CK1447" s="398"/>
      <c r="CL1447" s="398"/>
      <c r="CM1447" s="398"/>
      <c r="CN1447" s="398"/>
      <c r="CO1447" s="398"/>
      <c r="CP1447" s="398"/>
      <c r="CQ1447" s="398"/>
      <c r="CR1447" s="398"/>
      <c r="CS1447" s="398"/>
      <c r="CT1447" s="398"/>
      <c r="CU1447" s="398"/>
      <c r="CV1447" s="398"/>
      <c r="CW1447" s="398"/>
      <c r="CX1447" s="398"/>
      <c r="CY1447" s="398"/>
      <c r="CZ1447" s="398"/>
      <c r="DA1447" s="398"/>
      <c r="DB1447" s="398"/>
      <c r="DC1447" s="398"/>
      <c r="DD1447" s="398"/>
      <c r="DE1447" s="393"/>
      <c r="DF1447" s="393"/>
      <c r="DG1447" s="393"/>
      <c r="DH1447" s="393"/>
      <c r="DI1447" s="393"/>
      <c r="DJ1447" s="393"/>
      <c r="DK1447" s="896" t="s">
        <v>9722</v>
      </c>
    </row>
    <row r="1448" spans="1:115" ht="38.25" x14ac:dyDescent="0.2">
      <c r="A1448" s="295">
        <v>1444</v>
      </c>
      <c r="B1448" s="390" t="s">
        <v>2959</v>
      </c>
      <c r="C1448" s="390"/>
      <c r="D1448" s="391" t="s">
        <v>4970</v>
      </c>
      <c r="E1448" s="704" t="s">
        <v>2478</v>
      </c>
      <c r="F1448" s="393" t="s">
        <v>1352</v>
      </c>
      <c r="G1448" s="393" t="s">
        <v>1671</v>
      </c>
      <c r="H1448" s="393" t="s">
        <v>117</v>
      </c>
      <c r="I1448" s="392"/>
      <c r="J1448" s="392"/>
      <c r="K1448" s="392" t="s">
        <v>2479</v>
      </c>
      <c r="L1448" s="392" t="s">
        <v>2472</v>
      </c>
      <c r="M1448" s="392"/>
      <c r="N1448" s="393" t="s">
        <v>44</v>
      </c>
      <c r="O1448" s="393" t="s">
        <v>51</v>
      </c>
      <c r="P1448" s="393" t="s">
        <v>51</v>
      </c>
      <c r="Q1448" s="392" t="s">
        <v>426</v>
      </c>
      <c r="R1448" s="392" t="s">
        <v>3693</v>
      </c>
      <c r="S1448" s="392" t="s">
        <v>427</v>
      </c>
      <c r="T1448" s="394">
        <v>1</v>
      </c>
      <c r="U1448" s="395">
        <v>38.448</v>
      </c>
      <c r="V1448" s="395"/>
      <c r="W1448" s="453"/>
      <c r="X1448" s="394"/>
      <c r="Y1448" s="394">
        <v>7.8</v>
      </c>
      <c r="Z1448" s="394">
        <v>8</v>
      </c>
      <c r="AA1448" s="395">
        <v>-4</v>
      </c>
      <c r="AB1448" s="452">
        <v>41305</v>
      </c>
      <c r="AC1448" s="398">
        <v>0</v>
      </c>
      <c r="AD1448" s="398">
        <v>15.504065753424657</v>
      </c>
      <c r="AE1448" s="393" t="s">
        <v>446</v>
      </c>
      <c r="AF1448" s="417"/>
      <c r="AG1448" s="417"/>
      <c r="AH1448" s="417"/>
      <c r="AI1448" s="394"/>
      <c r="AJ1448" s="453"/>
      <c r="AK1448" s="453"/>
      <c r="AL1448" s="393"/>
      <c r="AM1448" s="393"/>
      <c r="AN1448" s="417"/>
      <c r="AO1448" s="392"/>
      <c r="AP1448" s="392" t="s">
        <v>55</v>
      </c>
      <c r="AQ1448" s="392"/>
      <c r="AR1448" s="392" t="s">
        <v>55</v>
      </c>
      <c r="AS1448" s="479">
        <v>41113</v>
      </c>
      <c r="AT1448" s="453"/>
      <c r="AU1448" s="453"/>
      <c r="AV1448" s="453"/>
      <c r="AW1448" s="453"/>
      <c r="AX1448" s="453"/>
      <c r="AY1448" s="453"/>
      <c r="AZ1448" s="452">
        <v>41271</v>
      </c>
      <c r="BA1448" s="393"/>
      <c r="BB1448" s="393"/>
      <c r="BC1448" s="393" t="b">
        <v>0</v>
      </c>
      <c r="BD1448" s="393"/>
      <c r="BE1448" s="392"/>
      <c r="BF1448" s="394">
        <v>4</v>
      </c>
      <c r="BG1448" s="394">
        <v>8</v>
      </c>
      <c r="BH1448" s="394">
        <v>1</v>
      </c>
      <c r="BI1448" s="394">
        <v>7</v>
      </c>
      <c r="BJ1448" s="394"/>
      <c r="BK1448" s="394"/>
      <c r="BL1448" s="444" t="s">
        <v>6983</v>
      </c>
      <c r="BM1448" s="392"/>
      <c r="BN1448" s="393"/>
      <c r="BO1448" s="393"/>
      <c r="BP1448" s="399"/>
      <c r="BQ1448" s="400"/>
      <c r="BR1448" s="401"/>
      <c r="BS1448" s="399"/>
      <c r="BT1448" s="394"/>
      <c r="BU1448" s="417"/>
      <c r="BV1448" s="399">
        <v>9.9644999999999997E-2</v>
      </c>
      <c r="BW1448" s="393" t="s">
        <v>3117</v>
      </c>
      <c r="BX1448" s="392" t="s">
        <v>1447</v>
      </c>
      <c r="BY1448" s="475" t="s">
        <v>7227</v>
      </c>
      <c r="BZ1448" s="393"/>
      <c r="CA1448" s="441"/>
      <c r="CB1448" s="400">
        <v>4</v>
      </c>
      <c r="CC1448" s="398"/>
      <c r="CD1448" s="398"/>
      <c r="CE1448" s="398"/>
      <c r="CF1448" s="398"/>
      <c r="CG1448" s="398"/>
      <c r="CH1448" s="398"/>
      <c r="CI1448" s="398">
        <v>50.098999999999997</v>
      </c>
      <c r="CJ1448" s="398">
        <v>46.680999999999997</v>
      </c>
      <c r="CK1448" s="398">
        <v>43.262</v>
      </c>
      <c r="CL1448" s="398">
        <v>39.844000000000001</v>
      </c>
      <c r="CM1448" s="398">
        <v>36.424999999999997</v>
      </c>
      <c r="CN1448" s="398">
        <v>33.006999999999998</v>
      </c>
      <c r="CO1448" s="398">
        <v>29.588999999999999</v>
      </c>
      <c r="CP1448" s="398">
        <v>22.140999999999998</v>
      </c>
      <c r="CQ1448" s="398"/>
      <c r="CR1448" s="398"/>
      <c r="CS1448" s="398"/>
      <c r="CT1448" s="398"/>
      <c r="CU1448" s="398"/>
      <c r="CV1448" s="398"/>
      <c r="CW1448" s="398"/>
      <c r="CX1448" s="398"/>
      <c r="CY1448" s="398"/>
      <c r="CZ1448" s="398"/>
      <c r="DA1448" s="398"/>
      <c r="DB1448" s="398"/>
      <c r="DC1448" s="398"/>
      <c r="DD1448" s="398"/>
      <c r="DE1448" s="393"/>
      <c r="DF1448" s="393"/>
      <c r="DG1448" s="393"/>
      <c r="DH1448" s="393"/>
      <c r="DI1448" s="393"/>
      <c r="DJ1448" s="393"/>
      <c r="DK1448" s="897"/>
    </row>
    <row r="1449" spans="1:115" ht="51" x14ac:dyDescent="0.2">
      <c r="A1449" s="295">
        <v>1445</v>
      </c>
      <c r="B1449" s="390" t="s">
        <v>2480</v>
      </c>
      <c r="C1449" s="424" t="s">
        <v>7788</v>
      </c>
      <c r="D1449" s="391" t="s">
        <v>5230</v>
      </c>
      <c r="E1449" s="704" t="s">
        <v>2481</v>
      </c>
      <c r="F1449" s="393" t="s">
        <v>1352</v>
      </c>
      <c r="G1449" s="393" t="s">
        <v>1671</v>
      </c>
      <c r="H1449" s="393" t="s">
        <v>117</v>
      </c>
      <c r="I1449" s="392"/>
      <c r="J1449" s="392" t="s">
        <v>170</v>
      </c>
      <c r="K1449" s="392"/>
      <c r="L1449" s="392" t="s">
        <v>2472</v>
      </c>
      <c r="M1449" s="392" t="s">
        <v>3693</v>
      </c>
      <c r="N1449" s="393" t="s">
        <v>44</v>
      </c>
      <c r="O1449" s="393" t="s">
        <v>51</v>
      </c>
      <c r="P1449" s="393" t="s">
        <v>51</v>
      </c>
      <c r="Q1449" s="392" t="s">
        <v>426</v>
      </c>
      <c r="R1449" s="392"/>
      <c r="S1449" s="392" t="s">
        <v>427</v>
      </c>
      <c r="T1449" s="394">
        <v>1</v>
      </c>
      <c r="U1449" s="395">
        <v>30.960999999999999</v>
      </c>
      <c r="V1449" s="395"/>
      <c r="W1449" s="452">
        <v>41305</v>
      </c>
      <c r="X1449" s="394">
        <v>28</v>
      </c>
      <c r="Y1449" s="394"/>
      <c r="Z1449" s="394"/>
      <c r="AA1449" s="395"/>
      <c r="AB1449" s="453"/>
      <c r="AC1449" s="398">
        <v>0</v>
      </c>
      <c r="AD1449" s="398">
        <v>15.504065753424657</v>
      </c>
      <c r="AE1449" s="393" t="s">
        <v>446</v>
      </c>
      <c r="AF1449" s="417"/>
      <c r="AG1449" s="417"/>
      <c r="AH1449" s="417">
        <v>0</v>
      </c>
      <c r="AI1449" s="394"/>
      <c r="AJ1449" s="453"/>
      <c r="AK1449" s="453"/>
      <c r="AL1449" s="393"/>
      <c r="AM1449" s="393"/>
      <c r="AN1449" s="417"/>
      <c r="AO1449" s="392"/>
      <c r="AP1449" s="392" t="s">
        <v>55</v>
      </c>
      <c r="AQ1449" s="392"/>
      <c r="AR1449" s="392" t="s">
        <v>55</v>
      </c>
      <c r="AS1449" s="479">
        <v>41113</v>
      </c>
      <c r="AT1449" s="453"/>
      <c r="AU1449" s="453"/>
      <c r="AV1449" s="452">
        <v>41183</v>
      </c>
      <c r="AW1449" s="452">
        <v>41272</v>
      </c>
      <c r="AX1449" s="453"/>
      <c r="AY1449" s="452">
        <v>41271</v>
      </c>
      <c r="AZ1449" s="453"/>
      <c r="BA1449" s="393"/>
      <c r="BB1449" s="393" t="s">
        <v>3116</v>
      </c>
      <c r="BC1449" s="393" t="b">
        <v>1</v>
      </c>
      <c r="BD1449" s="393" t="s">
        <v>3147</v>
      </c>
      <c r="BE1449" s="392"/>
      <c r="BF1449" s="394">
        <v>4</v>
      </c>
      <c r="BG1449" s="394">
        <v>8</v>
      </c>
      <c r="BH1449" s="394">
        <v>1</v>
      </c>
      <c r="BI1449" s="394">
        <v>7</v>
      </c>
      <c r="BJ1449" s="394"/>
      <c r="BK1449" s="394"/>
      <c r="BL1449" s="444"/>
      <c r="BM1449" s="392"/>
      <c r="BN1449" s="393"/>
      <c r="BO1449" s="393"/>
      <c r="BP1449" s="399"/>
      <c r="BQ1449" s="400"/>
      <c r="BR1449" s="401"/>
      <c r="BS1449" s="399">
        <v>0</v>
      </c>
      <c r="BT1449" s="394"/>
      <c r="BU1449" s="417"/>
      <c r="BV1449" s="399"/>
      <c r="BW1449" s="393"/>
      <c r="BX1449" s="392"/>
      <c r="BY1449" s="475" t="s">
        <v>7227</v>
      </c>
      <c r="BZ1449" s="393"/>
      <c r="CA1449" s="441"/>
      <c r="CB1449" s="400"/>
      <c r="CC1449" s="398"/>
      <c r="CD1449" s="398"/>
      <c r="CE1449" s="398"/>
      <c r="CF1449" s="398"/>
      <c r="CG1449" s="398"/>
      <c r="CH1449" s="398"/>
      <c r="CI1449" s="398"/>
      <c r="CJ1449" s="398"/>
      <c r="CK1449" s="398"/>
      <c r="CL1449" s="398"/>
      <c r="CM1449" s="398"/>
      <c r="CN1449" s="398"/>
      <c r="CO1449" s="398"/>
      <c r="CP1449" s="398"/>
      <c r="CQ1449" s="398"/>
      <c r="CR1449" s="398"/>
      <c r="CS1449" s="398"/>
      <c r="CT1449" s="398"/>
      <c r="CU1449" s="398"/>
      <c r="CV1449" s="398"/>
      <c r="CW1449" s="398"/>
      <c r="CX1449" s="398"/>
      <c r="CY1449" s="398"/>
      <c r="CZ1449" s="398"/>
      <c r="DA1449" s="398"/>
      <c r="DB1449" s="398"/>
      <c r="DC1449" s="398"/>
      <c r="DD1449" s="398"/>
      <c r="DE1449" s="393"/>
      <c r="DF1449" s="393"/>
      <c r="DG1449" s="393"/>
      <c r="DH1449" s="393"/>
      <c r="DI1449" s="393"/>
      <c r="DJ1449" s="393"/>
      <c r="DK1449" s="896" t="s">
        <v>9722</v>
      </c>
    </row>
    <row r="1450" spans="1:115" ht="51" x14ac:dyDescent="0.2">
      <c r="A1450" s="295">
        <v>1446</v>
      </c>
      <c r="B1450" s="390" t="s">
        <v>2960</v>
      </c>
      <c r="C1450" s="390"/>
      <c r="D1450" s="391" t="s">
        <v>4971</v>
      </c>
      <c r="E1450" s="704" t="s">
        <v>2482</v>
      </c>
      <c r="F1450" s="393" t="s">
        <v>1352</v>
      </c>
      <c r="G1450" s="393" t="s">
        <v>1671</v>
      </c>
      <c r="H1450" s="393" t="s">
        <v>117</v>
      </c>
      <c r="I1450" s="392"/>
      <c r="J1450" s="392"/>
      <c r="K1450" s="392" t="s">
        <v>2483</v>
      </c>
      <c r="L1450" s="392" t="s">
        <v>2472</v>
      </c>
      <c r="M1450" s="392"/>
      <c r="N1450" s="393" t="s">
        <v>44</v>
      </c>
      <c r="O1450" s="393" t="s">
        <v>51</v>
      </c>
      <c r="P1450" s="393" t="s">
        <v>51</v>
      </c>
      <c r="Q1450" s="392" t="s">
        <v>426</v>
      </c>
      <c r="R1450" s="392" t="s">
        <v>3693</v>
      </c>
      <c r="S1450" s="392" t="s">
        <v>427</v>
      </c>
      <c r="T1450" s="394">
        <v>1</v>
      </c>
      <c r="U1450" s="395">
        <v>30.960999999999999</v>
      </c>
      <c r="V1450" s="395"/>
      <c r="W1450" s="453"/>
      <c r="X1450" s="394"/>
      <c r="Y1450" s="394">
        <v>7.8</v>
      </c>
      <c r="Z1450" s="394">
        <v>8</v>
      </c>
      <c r="AA1450" s="395">
        <v>-3.14</v>
      </c>
      <c r="AB1450" s="452">
        <v>41305</v>
      </c>
      <c r="AC1450" s="398">
        <v>0</v>
      </c>
      <c r="AD1450" s="398">
        <v>15.504065753424657</v>
      </c>
      <c r="AE1450" s="393" t="s">
        <v>446</v>
      </c>
      <c r="AF1450" s="417"/>
      <c r="AG1450" s="417"/>
      <c r="AH1450" s="417"/>
      <c r="AI1450" s="394"/>
      <c r="AJ1450" s="453"/>
      <c r="AK1450" s="453"/>
      <c r="AL1450" s="393"/>
      <c r="AM1450" s="393"/>
      <c r="AN1450" s="417"/>
      <c r="AO1450" s="392"/>
      <c r="AP1450" s="392" t="s">
        <v>55</v>
      </c>
      <c r="AQ1450" s="392"/>
      <c r="AR1450" s="392" t="s">
        <v>55</v>
      </c>
      <c r="AS1450" s="479">
        <v>41113</v>
      </c>
      <c r="AT1450" s="453"/>
      <c r="AU1450" s="453"/>
      <c r="AV1450" s="453"/>
      <c r="AW1450" s="453"/>
      <c r="AX1450" s="453"/>
      <c r="AY1450" s="453"/>
      <c r="AZ1450" s="452">
        <v>41271</v>
      </c>
      <c r="BA1450" s="393"/>
      <c r="BB1450" s="393"/>
      <c r="BC1450" s="393" t="b">
        <v>0</v>
      </c>
      <c r="BD1450" s="393"/>
      <c r="BE1450" s="392"/>
      <c r="BF1450" s="394">
        <v>4</v>
      </c>
      <c r="BG1450" s="394">
        <v>8</v>
      </c>
      <c r="BH1450" s="394">
        <v>1</v>
      </c>
      <c r="BI1450" s="394">
        <v>7</v>
      </c>
      <c r="BJ1450" s="394"/>
      <c r="BK1450" s="394"/>
      <c r="BL1450" s="444" t="s">
        <v>6983</v>
      </c>
      <c r="BM1450" s="392"/>
      <c r="BN1450" s="393"/>
      <c r="BO1450" s="393"/>
      <c r="BP1450" s="399"/>
      <c r="BQ1450" s="400"/>
      <c r="BR1450" s="401"/>
      <c r="BS1450" s="399"/>
      <c r="BT1450" s="394"/>
      <c r="BU1450" s="417"/>
      <c r="BV1450" s="399">
        <v>9.9644999999999997E-2</v>
      </c>
      <c r="BW1450" s="393" t="s">
        <v>3117</v>
      </c>
      <c r="BX1450" s="392" t="s">
        <v>1447</v>
      </c>
      <c r="BY1450" s="475" t="s">
        <v>7227</v>
      </c>
      <c r="BZ1450" s="393"/>
      <c r="CA1450" s="441"/>
      <c r="CB1450" s="400">
        <v>4</v>
      </c>
      <c r="CC1450" s="398"/>
      <c r="CD1450" s="398"/>
      <c r="CE1450" s="398"/>
      <c r="CF1450" s="398"/>
      <c r="CG1450" s="398"/>
      <c r="CH1450" s="398"/>
      <c r="CI1450" s="398">
        <v>40.344999999999999</v>
      </c>
      <c r="CJ1450" s="398">
        <v>37.591999999999999</v>
      </c>
      <c r="CK1450" s="398">
        <v>34.838999999999999</v>
      </c>
      <c r="CL1450" s="398">
        <v>32.085999999999999</v>
      </c>
      <c r="CM1450" s="398">
        <v>29.332999999999998</v>
      </c>
      <c r="CN1450" s="398">
        <v>26.581</v>
      </c>
      <c r="CO1450" s="398">
        <v>23.827999999999999</v>
      </c>
      <c r="CP1450" s="398">
        <v>17.829999999999998</v>
      </c>
      <c r="CQ1450" s="398"/>
      <c r="CR1450" s="398"/>
      <c r="CS1450" s="398"/>
      <c r="CT1450" s="398"/>
      <c r="CU1450" s="398"/>
      <c r="CV1450" s="398"/>
      <c r="CW1450" s="398"/>
      <c r="CX1450" s="398"/>
      <c r="CY1450" s="398"/>
      <c r="CZ1450" s="398"/>
      <c r="DA1450" s="398"/>
      <c r="DB1450" s="398"/>
      <c r="DC1450" s="398"/>
      <c r="DD1450" s="398"/>
      <c r="DE1450" s="393"/>
      <c r="DF1450" s="393"/>
      <c r="DG1450" s="393"/>
      <c r="DH1450" s="393"/>
      <c r="DI1450" s="393"/>
      <c r="DJ1450" s="393"/>
      <c r="DK1450" s="897"/>
    </row>
    <row r="1451" spans="1:115" ht="63.75" x14ac:dyDescent="0.2">
      <c r="A1451" s="295">
        <v>1447</v>
      </c>
      <c r="B1451" s="390" t="s">
        <v>2484</v>
      </c>
      <c r="C1451" s="424" t="s">
        <v>7789</v>
      </c>
      <c r="D1451" s="391" t="s">
        <v>5231</v>
      </c>
      <c r="E1451" s="704" t="s">
        <v>4972</v>
      </c>
      <c r="F1451" s="393" t="s">
        <v>1352</v>
      </c>
      <c r="G1451" s="393" t="s">
        <v>1671</v>
      </c>
      <c r="H1451" s="393" t="s">
        <v>117</v>
      </c>
      <c r="I1451" s="392"/>
      <c r="J1451" s="392" t="s">
        <v>433</v>
      </c>
      <c r="K1451" s="392"/>
      <c r="L1451" s="392" t="s">
        <v>2472</v>
      </c>
      <c r="M1451" s="392" t="s">
        <v>3694</v>
      </c>
      <c r="N1451" s="393" t="s">
        <v>44</v>
      </c>
      <c r="O1451" s="393" t="s">
        <v>51</v>
      </c>
      <c r="P1451" s="393" t="s">
        <v>51</v>
      </c>
      <c r="Q1451" s="392" t="s">
        <v>426</v>
      </c>
      <c r="R1451" s="392"/>
      <c r="S1451" s="392" t="s">
        <v>427</v>
      </c>
      <c r="T1451" s="394">
        <v>1</v>
      </c>
      <c r="U1451" s="395">
        <v>30.808</v>
      </c>
      <c r="V1451" s="395"/>
      <c r="W1451" s="452">
        <v>41113</v>
      </c>
      <c r="X1451" s="394">
        <v>28</v>
      </c>
      <c r="Y1451" s="394"/>
      <c r="Z1451" s="394"/>
      <c r="AA1451" s="395"/>
      <c r="AB1451" s="453"/>
      <c r="AC1451" s="398">
        <v>0</v>
      </c>
      <c r="AD1451" s="398">
        <v>15.504065753424657</v>
      </c>
      <c r="AE1451" s="393" t="s">
        <v>446</v>
      </c>
      <c r="AF1451" s="417"/>
      <c r="AG1451" s="417"/>
      <c r="AH1451" s="417">
        <v>0</v>
      </c>
      <c r="AI1451" s="394"/>
      <c r="AJ1451" s="453"/>
      <c r="AK1451" s="453"/>
      <c r="AL1451" s="393"/>
      <c r="AM1451" s="393"/>
      <c r="AN1451" s="417"/>
      <c r="AO1451" s="392"/>
      <c r="AP1451" s="392" t="s">
        <v>55</v>
      </c>
      <c r="AQ1451" s="392"/>
      <c r="AR1451" s="392" t="s">
        <v>55</v>
      </c>
      <c r="AS1451" s="479">
        <v>41113</v>
      </c>
      <c r="AT1451" s="453"/>
      <c r="AU1451" s="453"/>
      <c r="AV1451" s="452">
        <v>41153</v>
      </c>
      <c r="AW1451" s="452">
        <v>41272</v>
      </c>
      <c r="AX1451" s="452">
        <v>41395</v>
      </c>
      <c r="AY1451" s="452">
        <v>41271</v>
      </c>
      <c r="AZ1451" s="453"/>
      <c r="BA1451" s="393"/>
      <c r="BB1451" s="393" t="s">
        <v>3116</v>
      </c>
      <c r="BC1451" s="393" t="b">
        <v>1</v>
      </c>
      <c r="BD1451" s="393" t="s">
        <v>3147</v>
      </c>
      <c r="BE1451" s="392"/>
      <c r="BF1451" s="394">
        <v>4</v>
      </c>
      <c r="BG1451" s="394">
        <v>8</v>
      </c>
      <c r="BH1451" s="394">
        <v>1</v>
      </c>
      <c r="BI1451" s="394">
        <v>7</v>
      </c>
      <c r="BJ1451" s="394"/>
      <c r="BK1451" s="394"/>
      <c r="BL1451" s="444"/>
      <c r="BM1451" s="392"/>
      <c r="BN1451" s="393"/>
      <c r="BO1451" s="393"/>
      <c r="BP1451" s="399"/>
      <c r="BQ1451" s="400"/>
      <c r="BR1451" s="401"/>
      <c r="BS1451" s="399">
        <v>0</v>
      </c>
      <c r="BT1451" s="394"/>
      <c r="BU1451" s="417"/>
      <c r="BV1451" s="399"/>
      <c r="BW1451" s="393"/>
      <c r="BX1451" s="392"/>
      <c r="BY1451" s="475" t="s">
        <v>7227</v>
      </c>
      <c r="BZ1451" s="393"/>
      <c r="CA1451" s="441"/>
      <c r="CB1451" s="400"/>
      <c r="CC1451" s="398"/>
      <c r="CD1451" s="398"/>
      <c r="CE1451" s="398"/>
      <c r="CF1451" s="398"/>
      <c r="CG1451" s="398"/>
      <c r="CH1451" s="398"/>
      <c r="CI1451" s="398"/>
      <c r="CJ1451" s="398"/>
      <c r="CK1451" s="398"/>
      <c r="CL1451" s="398"/>
      <c r="CM1451" s="398"/>
      <c r="CN1451" s="398"/>
      <c r="CO1451" s="398"/>
      <c r="CP1451" s="398"/>
      <c r="CQ1451" s="398"/>
      <c r="CR1451" s="398"/>
      <c r="CS1451" s="398"/>
      <c r="CT1451" s="398"/>
      <c r="CU1451" s="398"/>
      <c r="CV1451" s="398"/>
      <c r="CW1451" s="398"/>
      <c r="CX1451" s="398"/>
      <c r="CY1451" s="398"/>
      <c r="CZ1451" s="398"/>
      <c r="DA1451" s="398"/>
      <c r="DB1451" s="398"/>
      <c r="DC1451" s="398"/>
      <c r="DD1451" s="398"/>
      <c r="DE1451" s="393"/>
      <c r="DF1451" s="393"/>
      <c r="DG1451" s="393"/>
      <c r="DH1451" s="393"/>
      <c r="DI1451" s="393"/>
      <c r="DJ1451" s="393"/>
      <c r="DK1451" s="896" t="s">
        <v>9722</v>
      </c>
    </row>
    <row r="1452" spans="1:115" ht="38.25" x14ac:dyDescent="0.2">
      <c r="A1452" s="295">
        <v>1448</v>
      </c>
      <c r="B1452" s="390" t="s">
        <v>2961</v>
      </c>
      <c r="C1452" s="390"/>
      <c r="D1452" s="391" t="s">
        <v>4973</v>
      </c>
      <c r="E1452" s="704" t="s">
        <v>2485</v>
      </c>
      <c r="F1452" s="393" t="s">
        <v>1352</v>
      </c>
      <c r="G1452" s="393" t="s">
        <v>1671</v>
      </c>
      <c r="H1452" s="393" t="s">
        <v>117</v>
      </c>
      <c r="I1452" s="392"/>
      <c r="J1452" s="392"/>
      <c r="K1452" s="392" t="s">
        <v>2486</v>
      </c>
      <c r="L1452" s="392" t="s">
        <v>2472</v>
      </c>
      <c r="M1452" s="392"/>
      <c r="N1452" s="393" t="s">
        <v>44</v>
      </c>
      <c r="O1452" s="393" t="s">
        <v>51</v>
      </c>
      <c r="P1452" s="393" t="s">
        <v>51</v>
      </c>
      <c r="Q1452" s="392" t="s">
        <v>426</v>
      </c>
      <c r="R1452" s="392" t="s">
        <v>3695</v>
      </c>
      <c r="S1452" s="392" t="s">
        <v>427</v>
      </c>
      <c r="T1452" s="394">
        <v>1</v>
      </c>
      <c r="U1452" s="395">
        <v>30.808</v>
      </c>
      <c r="V1452" s="395"/>
      <c r="W1452" s="453"/>
      <c r="X1452" s="394"/>
      <c r="Y1452" s="394">
        <v>7.8</v>
      </c>
      <c r="Z1452" s="394">
        <v>8</v>
      </c>
      <c r="AA1452" s="395">
        <v>-3.14</v>
      </c>
      <c r="AB1452" s="452">
        <v>41271</v>
      </c>
      <c r="AC1452" s="398">
        <v>0</v>
      </c>
      <c r="AD1452" s="398">
        <v>15.504065753424657</v>
      </c>
      <c r="AE1452" s="393" t="s">
        <v>446</v>
      </c>
      <c r="AF1452" s="417"/>
      <c r="AG1452" s="417"/>
      <c r="AH1452" s="417"/>
      <c r="AI1452" s="394"/>
      <c r="AJ1452" s="453"/>
      <c r="AK1452" s="453"/>
      <c r="AL1452" s="393"/>
      <c r="AM1452" s="393"/>
      <c r="AN1452" s="417"/>
      <c r="AO1452" s="392"/>
      <c r="AP1452" s="392" t="s">
        <v>55</v>
      </c>
      <c r="AQ1452" s="392"/>
      <c r="AR1452" s="392" t="s">
        <v>55</v>
      </c>
      <c r="AS1452" s="479">
        <v>41113</v>
      </c>
      <c r="AT1452" s="453"/>
      <c r="AU1452" s="453"/>
      <c r="AV1452" s="453"/>
      <c r="AW1452" s="453"/>
      <c r="AX1452" s="453"/>
      <c r="AY1452" s="453"/>
      <c r="AZ1452" s="452">
        <v>41271</v>
      </c>
      <c r="BA1452" s="393"/>
      <c r="BB1452" s="393"/>
      <c r="BC1452" s="393" t="b">
        <v>0</v>
      </c>
      <c r="BD1452" s="393"/>
      <c r="BE1452" s="392"/>
      <c r="BF1452" s="394">
        <v>4</v>
      </c>
      <c r="BG1452" s="394">
        <v>8</v>
      </c>
      <c r="BH1452" s="394">
        <v>1</v>
      </c>
      <c r="BI1452" s="394">
        <v>7</v>
      </c>
      <c r="BJ1452" s="394"/>
      <c r="BK1452" s="394"/>
      <c r="BL1452" s="444" t="s">
        <v>6983</v>
      </c>
      <c r="BM1452" s="392"/>
      <c r="BN1452" s="393"/>
      <c r="BO1452" s="393"/>
      <c r="BP1452" s="399"/>
      <c r="BQ1452" s="400"/>
      <c r="BR1452" s="401"/>
      <c r="BS1452" s="399"/>
      <c r="BT1452" s="394"/>
      <c r="BU1452" s="417"/>
      <c r="BV1452" s="399">
        <v>9.9644999999999997E-2</v>
      </c>
      <c r="BW1452" s="393" t="s">
        <v>3117</v>
      </c>
      <c r="BX1452" s="392" t="s">
        <v>1447</v>
      </c>
      <c r="BY1452" s="475" t="s">
        <v>7227</v>
      </c>
      <c r="BZ1452" s="393"/>
      <c r="CA1452" s="441"/>
      <c r="CB1452" s="400">
        <v>4</v>
      </c>
      <c r="CC1452" s="398"/>
      <c r="CD1452" s="398"/>
      <c r="CE1452" s="398"/>
      <c r="CF1452" s="398"/>
      <c r="CG1452" s="398"/>
      <c r="CH1452" s="398"/>
      <c r="CI1452" s="398">
        <v>40.143999999999998</v>
      </c>
      <c r="CJ1452" s="398">
        <v>37.405000000000001</v>
      </c>
      <c r="CK1452" s="398">
        <v>34.665999999999997</v>
      </c>
      <c r="CL1452" s="398">
        <v>31.925999999999998</v>
      </c>
      <c r="CM1452" s="398">
        <v>29.187000000000001</v>
      </c>
      <c r="CN1452" s="398">
        <v>26.448</v>
      </c>
      <c r="CO1452" s="398">
        <v>23.709</v>
      </c>
      <c r="CP1452" s="398">
        <v>17.742000000000001</v>
      </c>
      <c r="CQ1452" s="398"/>
      <c r="CR1452" s="398"/>
      <c r="CS1452" s="398"/>
      <c r="CT1452" s="398"/>
      <c r="CU1452" s="398"/>
      <c r="CV1452" s="398"/>
      <c r="CW1452" s="398"/>
      <c r="CX1452" s="398"/>
      <c r="CY1452" s="398"/>
      <c r="CZ1452" s="398"/>
      <c r="DA1452" s="398"/>
      <c r="DB1452" s="398"/>
      <c r="DC1452" s="398"/>
      <c r="DD1452" s="398"/>
      <c r="DE1452" s="393"/>
      <c r="DF1452" s="393"/>
      <c r="DG1452" s="393"/>
      <c r="DH1452" s="393"/>
      <c r="DI1452" s="393"/>
      <c r="DJ1452" s="393"/>
      <c r="DK1452" s="897"/>
    </row>
    <row r="1453" spans="1:115" ht="63.75" x14ac:dyDescent="0.2">
      <c r="A1453" s="295">
        <v>1449</v>
      </c>
      <c r="B1453" s="390" t="s">
        <v>2487</v>
      </c>
      <c r="C1453" s="424" t="s">
        <v>7790</v>
      </c>
      <c r="D1453" s="391" t="s">
        <v>5232</v>
      </c>
      <c r="E1453" s="704" t="s">
        <v>4800</v>
      </c>
      <c r="F1453" s="393" t="s">
        <v>1352</v>
      </c>
      <c r="G1453" s="393" t="s">
        <v>1671</v>
      </c>
      <c r="H1453" s="393" t="s">
        <v>117</v>
      </c>
      <c r="I1453" s="392"/>
      <c r="J1453" s="392" t="s">
        <v>2488</v>
      </c>
      <c r="K1453" s="392"/>
      <c r="L1453" s="392" t="s">
        <v>2472</v>
      </c>
      <c r="M1453" s="392" t="s">
        <v>3694</v>
      </c>
      <c r="N1453" s="393" t="s">
        <v>44</v>
      </c>
      <c r="O1453" s="393" t="s">
        <v>51</v>
      </c>
      <c r="P1453" s="393" t="s">
        <v>51</v>
      </c>
      <c r="Q1453" s="392" t="s">
        <v>426</v>
      </c>
      <c r="R1453" s="392"/>
      <c r="S1453" s="392" t="s">
        <v>427</v>
      </c>
      <c r="T1453" s="394">
        <v>1</v>
      </c>
      <c r="U1453" s="395">
        <v>28.125</v>
      </c>
      <c r="V1453" s="395"/>
      <c r="W1453" s="452">
        <v>41113</v>
      </c>
      <c r="X1453" s="394">
        <v>28</v>
      </c>
      <c r="Y1453" s="394"/>
      <c r="Z1453" s="394"/>
      <c r="AA1453" s="395"/>
      <c r="AB1453" s="453"/>
      <c r="AC1453" s="398">
        <v>0</v>
      </c>
      <c r="AD1453" s="398">
        <v>15.504065753424657</v>
      </c>
      <c r="AE1453" s="393" t="s">
        <v>446</v>
      </c>
      <c r="AF1453" s="417"/>
      <c r="AG1453" s="417"/>
      <c r="AH1453" s="417">
        <v>0</v>
      </c>
      <c r="AI1453" s="394"/>
      <c r="AJ1453" s="453"/>
      <c r="AK1453" s="453"/>
      <c r="AL1453" s="393"/>
      <c r="AM1453" s="393"/>
      <c r="AN1453" s="417"/>
      <c r="AO1453" s="392"/>
      <c r="AP1453" s="392" t="s">
        <v>55</v>
      </c>
      <c r="AQ1453" s="392"/>
      <c r="AR1453" s="392" t="s">
        <v>55</v>
      </c>
      <c r="AS1453" s="479">
        <v>41113</v>
      </c>
      <c r="AT1453" s="453"/>
      <c r="AU1453" s="453"/>
      <c r="AV1453" s="452">
        <v>41122</v>
      </c>
      <c r="AW1453" s="452">
        <v>41270</v>
      </c>
      <c r="AX1453" s="452">
        <v>41374</v>
      </c>
      <c r="AY1453" s="452">
        <v>41270</v>
      </c>
      <c r="AZ1453" s="453"/>
      <c r="BA1453" s="393"/>
      <c r="BB1453" s="393" t="s">
        <v>3116</v>
      </c>
      <c r="BC1453" s="393" t="b">
        <v>1</v>
      </c>
      <c r="BD1453" s="393" t="s">
        <v>3147</v>
      </c>
      <c r="BE1453" s="392"/>
      <c r="BF1453" s="394">
        <v>4</v>
      </c>
      <c r="BG1453" s="394">
        <v>8</v>
      </c>
      <c r="BH1453" s="394">
        <v>1</v>
      </c>
      <c r="BI1453" s="394">
        <v>7</v>
      </c>
      <c r="BJ1453" s="394"/>
      <c r="BK1453" s="394"/>
      <c r="BL1453" s="444"/>
      <c r="BM1453" s="392"/>
      <c r="BN1453" s="393"/>
      <c r="BO1453" s="393"/>
      <c r="BP1453" s="399"/>
      <c r="BQ1453" s="400"/>
      <c r="BR1453" s="401"/>
      <c r="BS1453" s="399">
        <v>0</v>
      </c>
      <c r="BT1453" s="394"/>
      <c r="BU1453" s="417"/>
      <c r="BV1453" s="399"/>
      <c r="BW1453" s="393"/>
      <c r="BX1453" s="392"/>
      <c r="BY1453" s="475" t="s">
        <v>7227</v>
      </c>
      <c r="BZ1453" s="393"/>
      <c r="CA1453" s="441"/>
      <c r="CB1453" s="400"/>
      <c r="CC1453" s="398"/>
      <c r="CD1453" s="398"/>
      <c r="CE1453" s="398"/>
      <c r="CF1453" s="398"/>
      <c r="CG1453" s="398"/>
      <c r="CH1453" s="398"/>
      <c r="CI1453" s="398"/>
      <c r="CJ1453" s="398"/>
      <c r="CK1453" s="398"/>
      <c r="CL1453" s="398"/>
      <c r="CM1453" s="398"/>
      <c r="CN1453" s="398"/>
      <c r="CO1453" s="398"/>
      <c r="CP1453" s="398"/>
      <c r="CQ1453" s="398"/>
      <c r="CR1453" s="398"/>
      <c r="CS1453" s="398"/>
      <c r="CT1453" s="398"/>
      <c r="CU1453" s="398"/>
      <c r="CV1453" s="398"/>
      <c r="CW1453" s="398"/>
      <c r="CX1453" s="398"/>
      <c r="CY1453" s="398"/>
      <c r="CZ1453" s="398"/>
      <c r="DA1453" s="398"/>
      <c r="DB1453" s="398"/>
      <c r="DC1453" s="398"/>
      <c r="DD1453" s="398"/>
      <c r="DE1453" s="393"/>
      <c r="DF1453" s="393"/>
      <c r="DG1453" s="393"/>
      <c r="DH1453" s="393"/>
      <c r="DI1453" s="393"/>
      <c r="DJ1453" s="393"/>
      <c r="DK1453" s="896" t="s">
        <v>9722</v>
      </c>
    </row>
    <row r="1454" spans="1:115" ht="38.25" x14ac:dyDescent="0.2">
      <c r="A1454" s="295">
        <v>1450</v>
      </c>
      <c r="B1454" s="390" t="s">
        <v>2962</v>
      </c>
      <c r="C1454" s="390"/>
      <c r="D1454" s="391" t="s">
        <v>4801</v>
      </c>
      <c r="E1454" s="704" t="s">
        <v>2489</v>
      </c>
      <c r="F1454" s="393" t="s">
        <v>1352</v>
      </c>
      <c r="G1454" s="393" t="s">
        <v>1671</v>
      </c>
      <c r="H1454" s="393" t="s">
        <v>117</v>
      </c>
      <c r="I1454" s="392"/>
      <c r="J1454" s="392"/>
      <c r="K1454" s="392" t="s">
        <v>2490</v>
      </c>
      <c r="L1454" s="392" t="s">
        <v>2472</v>
      </c>
      <c r="M1454" s="392"/>
      <c r="N1454" s="393" t="s">
        <v>44</v>
      </c>
      <c r="O1454" s="393" t="s">
        <v>51</v>
      </c>
      <c r="P1454" s="393" t="s">
        <v>51</v>
      </c>
      <c r="Q1454" s="392" t="s">
        <v>426</v>
      </c>
      <c r="R1454" s="392" t="s">
        <v>3695</v>
      </c>
      <c r="S1454" s="392" t="s">
        <v>427</v>
      </c>
      <c r="T1454" s="394">
        <v>1</v>
      </c>
      <c r="U1454" s="395">
        <v>28.125</v>
      </c>
      <c r="V1454" s="395"/>
      <c r="W1454" s="453"/>
      <c r="X1454" s="394"/>
      <c r="Y1454" s="394">
        <v>7.8</v>
      </c>
      <c r="Z1454" s="394">
        <v>8</v>
      </c>
      <c r="AA1454" s="395">
        <v>-3</v>
      </c>
      <c r="AB1454" s="452">
        <v>41270</v>
      </c>
      <c r="AC1454" s="398">
        <v>0</v>
      </c>
      <c r="AD1454" s="398">
        <v>15.504065753424657</v>
      </c>
      <c r="AE1454" s="393" t="s">
        <v>446</v>
      </c>
      <c r="AF1454" s="417"/>
      <c r="AG1454" s="417"/>
      <c r="AH1454" s="417"/>
      <c r="AI1454" s="394"/>
      <c r="AJ1454" s="453"/>
      <c r="AK1454" s="453"/>
      <c r="AL1454" s="393"/>
      <c r="AM1454" s="393"/>
      <c r="AN1454" s="417"/>
      <c r="AO1454" s="392"/>
      <c r="AP1454" s="392" t="s">
        <v>55</v>
      </c>
      <c r="AQ1454" s="392"/>
      <c r="AR1454" s="392" t="s">
        <v>55</v>
      </c>
      <c r="AS1454" s="479">
        <v>41113</v>
      </c>
      <c r="AT1454" s="453"/>
      <c r="AU1454" s="453"/>
      <c r="AV1454" s="453"/>
      <c r="AW1454" s="453"/>
      <c r="AX1454" s="453"/>
      <c r="AY1454" s="453"/>
      <c r="AZ1454" s="452">
        <v>41270</v>
      </c>
      <c r="BA1454" s="393"/>
      <c r="BB1454" s="393"/>
      <c r="BC1454" s="393" t="b">
        <v>0</v>
      </c>
      <c r="BD1454" s="393"/>
      <c r="BE1454" s="392"/>
      <c r="BF1454" s="394">
        <v>4</v>
      </c>
      <c r="BG1454" s="394">
        <v>8</v>
      </c>
      <c r="BH1454" s="394">
        <v>1</v>
      </c>
      <c r="BI1454" s="394">
        <v>7</v>
      </c>
      <c r="BJ1454" s="394"/>
      <c r="BK1454" s="394"/>
      <c r="BL1454" s="444" t="s">
        <v>6983</v>
      </c>
      <c r="BM1454" s="392"/>
      <c r="BN1454" s="393"/>
      <c r="BO1454" s="393"/>
      <c r="BP1454" s="399"/>
      <c r="BQ1454" s="400"/>
      <c r="BR1454" s="401"/>
      <c r="BS1454" s="399"/>
      <c r="BT1454" s="394"/>
      <c r="BU1454" s="417"/>
      <c r="BV1454" s="399">
        <v>9.9644999999999997E-2</v>
      </c>
      <c r="BW1454" s="393" t="s">
        <v>3117</v>
      </c>
      <c r="BX1454" s="392" t="s">
        <v>1447</v>
      </c>
      <c r="BY1454" s="475" t="s">
        <v>7227</v>
      </c>
      <c r="BZ1454" s="393"/>
      <c r="CA1454" s="441"/>
      <c r="CB1454" s="400">
        <v>4</v>
      </c>
      <c r="CC1454" s="398"/>
      <c r="CD1454" s="398"/>
      <c r="CE1454" s="398"/>
      <c r="CF1454" s="398"/>
      <c r="CG1454" s="398"/>
      <c r="CH1454" s="398"/>
      <c r="CI1454" s="398">
        <v>36.636000000000003</v>
      </c>
      <c r="CJ1454" s="398">
        <v>34.136000000000003</v>
      </c>
      <c r="CK1454" s="398">
        <v>31.637</v>
      </c>
      <c r="CL1454" s="398">
        <v>29.137</v>
      </c>
      <c r="CM1454" s="398">
        <v>26.637</v>
      </c>
      <c r="CN1454" s="398">
        <v>24.137</v>
      </c>
      <c r="CO1454" s="398">
        <v>21.637</v>
      </c>
      <c r="CP1454" s="398">
        <v>16.190999999999999</v>
      </c>
      <c r="CQ1454" s="398"/>
      <c r="CR1454" s="398"/>
      <c r="CS1454" s="398"/>
      <c r="CT1454" s="398"/>
      <c r="CU1454" s="398"/>
      <c r="CV1454" s="398"/>
      <c r="CW1454" s="398"/>
      <c r="CX1454" s="398"/>
      <c r="CY1454" s="398"/>
      <c r="CZ1454" s="398"/>
      <c r="DA1454" s="398"/>
      <c r="DB1454" s="398"/>
      <c r="DC1454" s="398"/>
      <c r="DD1454" s="398"/>
      <c r="DE1454" s="393"/>
      <c r="DF1454" s="393"/>
      <c r="DG1454" s="393"/>
      <c r="DH1454" s="393"/>
      <c r="DI1454" s="393"/>
      <c r="DJ1454" s="393"/>
      <c r="DK1454" s="897"/>
    </row>
    <row r="1455" spans="1:115" ht="63.75" x14ac:dyDescent="0.2">
      <c r="A1455" s="295">
        <v>1451</v>
      </c>
      <c r="B1455" s="390" t="s">
        <v>2491</v>
      </c>
      <c r="C1455" s="424" t="s">
        <v>7791</v>
      </c>
      <c r="D1455" s="391" t="s">
        <v>5233</v>
      </c>
      <c r="E1455" s="704" t="s">
        <v>2492</v>
      </c>
      <c r="F1455" s="393" t="s">
        <v>1352</v>
      </c>
      <c r="G1455" s="393" t="s">
        <v>1671</v>
      </c>
      <c r="H1455" s="393" t="s">
        <v>117</v>
      </c>
      <c r="I1455" s="392"/>
      <c r="J1455" s="392" t="s">
        <v>2128</v>
      </c>
      <c r="K1455" s="392"/>
      <c r="L1455" s="392" t="s">
        <v>2472</v>
      </c>
      <c r="M1455" s="392" t="s">
        <v>3696</v>
      </c>
      <c r="N1455" s="393" t="s">
        <v>44</v>
      </c>
      <c r="O1455" s="393" t="s">
        <v>51</v>
      </c>
      <c r="P1455" s="393" t="s">
        <v>51</v>
      </c>
      <c r="Q1455" s="392" t="s">
        <v>426</v>
      </c>
      <c r="R1455" s="392"/>
      <c r="S1455" s="392" t="s">
        <v>427</v>
      </c>
      <c r="T1455" s="394">
        <v>1</v>
      </c>
      <c r="U1455" s="395">
        <v>34.256999999999998</v>
      </c>
      <c r="V1455" s="395"/>
      <c r="W1455" s="452">
        <v>41305</v>
      </c>
      <c r="X1455" s="394">
        <v>28</v>
      </c>
      <c r="Y1455" s="394"/>
      <c r="Z1455" s="394"/>
      <c r="AA1455" s="395"/>
      <c r="AB1455" s="453"/>
      <c r="AC1455" s="398">
        <v>0</v>
      </c>
      <c r="AD1455" s="398">
        <v>15.504065753424657</v>
      </c>
      <c r="AE1455" s="393" t="s">
        <v>446</v>
      </c>
      <c r="AF1455" s="417"/>
      <c r="AG1455" s="417"/>
      <c r="AH1455" s="417">
        <v>0</v>
      </c>
      <c r="AI1455" s="394"/>
      <c r="AJ1455" s="453"/>
      <c r="AK1455" s="453"/>
      <c r="AL1455" s="393"/>
      <c r="AM1455" s="393"/>
      <c r="AN1455" s="417"/>
      <c r="AO1455" s="392"/>
      <c r="AP1455" s="392" t="s">
        <v>55</v>
      </c>
      <c r="AQ1455" s="392"/>
      <c r="AR1455" s="392" t="s">
        <v>55</v>
      </c>
      <c r="AS1455" s="479">
        <v>41113</v>
      </c>
      <c r="AT1455" s="453"/>
      <c r="AU1455" s="453"/>
      <c r="AV1455" s="452">
        <v>41122</v>
      </c>
      <c r="AW1455" s="452">
        <v>41272</v>
      </c>
      <c r="AX1455" s="453"/>
      <c r="AY1455" s="452">
        <v>41271</v>
      </c>
      <c r="AZ1455" s="453"/>
      <c r="BA1455" s="393"/>
      <c r="BB1455" s="393" t="s">
        <v>3116</v>
      </c>
      <c r="BC1455" s="393" t="b">
        <v>1</v>
      </c>
      <c r="BD1455" s="393" t="s">
        <v>3147</v>
      </c>
      <c r="BE1455" s="392"/>
      <c r="BF1455" s="394">
        <v>4</v>
      </c>
      <c r="BG1455" s="394">
        <v>8</v>
      </c>
      <c r="BH1455" s="394">
        <v>1</v>
      </c>
      <c r="BI1455" s="394">
        <v>7</v>
      </c>
      <c r="BJ1455" s="394"/>
      <c r="BK1455" s="394"/>
      <c r="BL1455" s="444"/>
      <c r="BM1455" s="392"/>
      <c r="BN1455" s="393"/>
      <c r="BO1455" s="393"/>
      <c r="BP1455" s="399"/>
      <c r="BQ1455" s="400"/>
      <c r="BR1455" s="401"/>
      <c r="BS1455" s="399">
        <v>0</v>
      </c>
      <c r="BT1455" s="394"/>
      <c r="BU1455" s="417"/>
      <c r="BV1455" s="399"/>
      <c r="BW1455" s="393"/>
      <c r="BX1455" s="392"/>
      <c r="BY1455" s="475" t="s">
        <v>7227</v>
      </c>
      <c r="BZ1455" s="393"/>
      <c r="CA1455" s="441"/>
      <c r="CB1455" s="400"/>
      <c r="CC1455" s="398"/>
      <c r="CD1455" s="398"/>
      <c r="CE1455" s="398"/>
      <c r="CF1455" s="398"/>
      <c r="CG1455" s="398"/>
      <c r="CH1455" s="398"/>
      <c r="CI1455" s="398"/>
      <c r="CJ1455" s="398"/>
      <c r="CK1455" s="398"/>
      <c r="CL1455" s="398"/>
      <c r="CM1455" s="398"/>
      <c r="CN1455" s="398"/>
      <c r="CO1455" s="398"/>
      <c r="CP1455" s="398"/>
      <c r="CQ1455" s="398"/>
      <c r="CR1455" s="398"/>
      <c r="CS1455" s="398"/>
      <c r="CT1455" s="398"/>
      <c r="CU1455" s="398"/>
      <c r="CV1455" s="398"/>
      <c r="CW1455" s="398"/>
      <c r="CX1455" s="398"/>
      <c r="CY1455" s="398"/>
      <c r="CZ1455" s="398"/>
      <c r="DA1455" s="398"/>
      <c r="DB1455" s="398"/>
      <c r="DC1455" s="398"/>
      <c r="DD1455" s="398"/>
      <c r="DE1455" s="393"/>
      <c r="DF1455" s="393"/>
      <c r="DG1455" s="393"/>
      <c r="DH1455" s="393"/>
      <c r="DI1455" s="393"/>
      <c r="DJ1455" s="393"/>
      <c r="DK1455" s="896" t="s">
        <v>9722</v>
      </c>
    </row>
    <row r="1456" spans="1:115" ht="38.25" x14ac:dyDescent="0.2">
      <c r="A1456" s="295">
        <v>1452</v>
      </c>
      <c r="B1456" s="390" t="s">
        <v>2963</v>
      </c>
      <c r="C1456" s="390"/>
      <c r="D1456" s="391" t="s">
        <v>4974</v>
      </c>
      <c r="E1456" s="704" t="s">
        <v>2493</v>
      </c>
      <c r="F1456" s="393" t="s">
        <v>1352</v>
      </c>
      <c r="G1456" s="393" t="s">
        <v>1671</v>
      </c>
      <c r="H1456" s="393" t="s">
        <v>117</v>
      </c>
      <c r="I1456" s="392"/>
      <c r="J1456" s="392"/>
      <c r="K1456" s="392" t="s">
        <v>2494</v>
      </c>
      <c r="L1456" s="392" t="s">
        <v>2472</v>
      </c>
      <c r="M1456" s="392"/>
      <c r="N1456" s="393" t="s">
        <v>44</v>
      </c>
      <c r="O1456" s="393" t="s">
        <v>51</v>
      </c>
      <c r="P1456" s="393" t="s">
        <v>51</v>
      </c>
      <c r="Q1456" s="392" t="s">
        <v>426</v>
      </c>
      <c r="R1456" s="392" t="s">
        <v>3695</v>
      </c>
      <c r="S1456" s="392" t="s">
        <v>427</v>
      </c>
      <c r="T1456" s="394">
        <v>1</v>
      </c>
      <c r="U1456" s="395">
        <v>34.256999999999998</v>
      </c>
      <c r="V1456" s="395"/>
      <c r="W1456" s="453"/>
      <c r="X1456" s="394"/>
      <c r="Y1456" s="394">
        <v>7.8</v>
      </c>
      <c r="Z1456" s="394">
        <v>8</v>
      </c>
      <c r="AA1456" s="395">
        <v>-3.57</v>
      </c>
      <c r="AB1456" s="452">
        <v>41305</v>
      </c>
      <c r="AC1456" s="398">
        <v>0</v>
      </c>
      <c r="AD1456" s="398">
        <v>15.504065753424657</v>
      </c>
      <c r="AE1456" s="393" t="s">
        <v>446</v>
      </c>
      <c r="AF1456" s="417"/>
      <c r="AG1456" s="417"/>
      <c r="AH1456" s="417"/>
      <c r="AI1456" s="394"/>
      <c r="AJ1456" s="453"/>
      <c r="AK1456" s="453"/>
      <c r="AL1456" s="393"/>
      <c r="AM1456" s="393"/>
      <c r="AN1456" s="417"/>
      <c r="AO1456" s="392"/>
      <c r="AP1456" s="392" t="s">
        <v>55</v>
      </c>
      <c r="AQ1456" s="392"/>
      <c r="AR1456" s="392" t="s">
        <v>55</v>
      </c>
      <c r="AS1456" s="479">
        <v>41113</v>
      </c>
      <c r="AT1456" s="453"/>
      <c r="AU1456" s="453"/>
      <c r="AV1456" s="453"/>
      <c r="AW1456" s="453"/>
      <c r="AX1456" s="453"/>
      <c r="AY1456" s="453"/>
      <c r="AZ1456" s="452">
        <v>41271</v>
      </c>
      <c r="BA1456" s="393"/>
      <c r="BB1456" s="393"/>
      <c r="BC1456" s="393" t="b">
        <v>0</v>
      </c>
      <c r="BD1456" s="393"/>
      <c r="BE1456" s="392"/>
      <c r="BF1456" s="394">
        <v>4</v>
      </c>
      <c r="BG1456" s="394">
        <v>8</v>
      </c>
      <c r="BH1456" s="394">
        <v>1</v>
      </c>
      <c r="BI1456" s="394">
        <v>7</v>
      </c>
      <c r="BJ1456" s="394"/>
      <c r="BK1456" s="394"/>
      <c r="BL1456" s="444" t="s">
        <v>6983</v>
      </c>
      <c r="BM1456" s="392"/>
      <c r="BN1456" s="393"/>
      <c r="BO1456" s="393"/>
      <c r="BP1456" s="399"/>
      <c r="BQ1456" s="400"/>
      <c r="BR1456" s="401"/>
      <c r="BS1456" s="399"/>
      <c r="BT1456" s="394"/>
      <c r="BU1456" s="417"/>
      <c r="BV1456" s="399">
        <v>9.9644999999999997E-2</v>
      </c>
      <c r="BW1456" s="393" t="s">
        <v>3117</v>
      </c>
      <c r="BX1456" s="392" t="s">
        <v>1447</v>
      </c>
      <c r="BY1456" s="475" t="s">
        <v>7227</v>
      </c>
      <c r="BZ1456" s="393"/>
      <c r="CA1456" s="441"/>
      <c r="CB1456" s="400">
        <v>4</v>
      </c>
      <c r="CC1456" s="398"/>
      <c r="CD1456" s="398"/>
      <c r="CE1456" s="398"/>
      <c r="CF1456" s="398"/>
      <c r="CG1456" s="398"/>
      <c r="CH1456" s="398"/>
      <c r="CI1456" s="398">
        <v>44.639000000000003</v>
      </c>
      <c r="CJ1456" s="398">
        <v>41.593000000000004</v>
      </c>
      <c r="CK1456" s="398">
        <v>38.546999999999997</v>
      </c>
      <c r="CL1456" s="398">
        <v>35.500999999999998</v>
      </c>
      <c r="CM1456" s="398">
        <v>32.454999999999998</v>
      </c>
      <c r="CN1456" s="398">
        <v>29.408999999999999</v>
      </c>
      <c r="CO1456" s="398">
        <v>26.364000000000001</v>
      </c>
      <c r="CP1456" s="398">
        <v>19.728000000000002</v>
      </c>
      <c r="CQ1456" s="398"/>
      <c r="CR1456" s="398"/>
      <c r="CS1456" s="398"/>
      <c r="CT1456" s="398"/>
      <c r="CU1456" s="398"/>
      <c r="CV1456" s="398"/>
      <c r="CW1456" s="398"/>
      <c r="CX1456" s="398"/>
      <c r="CY1456" s="398"/>
      <c r="CZ1456" s="398"/>
      <c r="DA1456" s="398"/>
      <c r="DB1456" s="398"/>
      <c r="DC1456" s="398"/>
      <c r="DD1456" s="398"/>
      <c r="DE1456" s="393"/>
      <c r="DF1456" s="393"/>
      <c r="DG1456" s="393"/>
      <c r="DH1456" s="393"/>
      <c r="DI1456" s="393"/>
      <c r="DJ1456" s="393"/>
      <c r="DK1456" s="897"/>
    </row>
    <row r="1457" spans="1:115" ht="63.75" x14ac:dyDescent="0.2">
      <c r="A1457" s="295">
        <v>1453</v>
      </c>
      <c r="B1457" s="390" t="s">
        <v>2495</v>
      </c>
      <c r="C1457" s="424" t="s">
        <v>7792</v>
      </c>
      <c r="D1457" s="391" t="s">
        <v>5234</v>
      </c>
      <c r="E1457" s="704" t="s">
        <v>2496</v>
      </c>
      <c r="F1457" s="393" t="s">
        <v>1352</v>
      </c>
      <c r="G1457" s="393" t="s">
        <v>1671</v>
      </c>
      <c r="H1457" s="393" t="s">
        <v>117</v>
      </c>
      <c r="I1457" s="392"/>
      <c r="J1457" s="392" t="s">
        <v>321</v>
      </c>
      <c r="K1457" s="392"/>
      <c r="L1457" s="392" t="s">
        <v>2472</v>
      </c>
      <c r="M1457" s="392" t="s">
        <v>3697</v>
      </c>
      <c r="N1457" s="393" t="s">
        <v>44</v>
      </c>
      <c r="O1457" s="393" t="s">
        <v>51</v>
      </c>
      <c r="P1457" s="393" t="s">
        <v>51</v>
      </c>
      <c r="Q1457" s="392" t="s">
        <v>426</v>
      </c>
      <c r="R1457" s="392"/>
      <c r="S1457" s="392" t="s">
        <v>427</v>
      </c>
      <c r="T1457" s="394">
        <v>1</v>
      </c>
      <c r="U1457" s="395">
        <v>29.555</v>
      </c>
      <c r="V1457" s="395"/>
      <c r="W1457" s="452">
        <v>41183</v>
      </c>
      <c r="X1457" s="394">
        <v>28</v>
      </c>
      <c r="Y1457" s="394"/>
      <c r="Z1457" s="394"/>
      <c r="AA1457" s="395"/>
      <c r="AB1457" s="453"/>
      <c r="AC1457" s="398">
        <v>0</v>
      </c>
      <c r="AD1457" s="398">
        <v>15.504065753424657</v>
      </c>
      <c r="AE1457" s="393" t="s">
        <v>446</v>
      </c>
      <c r="AF1457" s="417"/>
      <c r="AG1457" s="417"/>
      <c r="AH1457" s="417">
        <v>0</v>
      </c>
      <c r="AI1457" s="394"/>
      <c r="AJ1457" s="453"/>
      <c r="AK1457" s="453"/>
      <c r="AL1457" s="393"/>
      <c r="AM1457" s="393"/>
      <c r="AN1457" s="417"/>
      <c r="AO1457" s="392"/>
      <c r="AP1457" s="392" t="s">
        <v>55</v>
      </c>
      <c r="AQ1457" s="392"/>
      <c r="AR1457" s="392" t="s">
        <v>55</v>
      </c>
      <c r="AS1457" s="479">
        <v>41113</v>
      </c>
      <c r="AT1457" s="453"/>
      <c r="AU1457" s="453"/>
      <c r="AV1457" s="452">
        <v>41153</v>
      </c>
      <c r="AW1457" s="452">
        <v>41272</v>
      </c>
      <c r="AX1457" s="452">
        <v>41438</v>
      </c>
      <c r="AY1457" s="452">
        <v>41271</v>
      </c>
      <c r="AZ1457" s="453"/>
      <c r="BA1457" s="393"/>
      <c r="BB1457" s="393" t="s">
        <v>3116</v>
      </c>
      <c r="BC1457" s="393" t="b">
        <v>1</v>
      </c>
      <c r="BD1457" s="393" t="s">
        <v>3147</v>
      </c>
      <c r="BE1457" s="392"/>
      <c r="BF1457" s="394">
        <v>4</v>
      </c>
      <c r="BG1457" s="394">
        <v>8</v>
      </c>
      <c r="BH1457" s="394">
        <v>1</v>
      </c>
      <c r="BI1457" s="394">
        <v>7</v>
      </c>
      <c r="BJ1457" s="394"/>
      <c r="BK1457" s="394"/>
      <c r="BL1457" s="444"/>
      <c r="BM1457" s="392"/>
      <c r="BN1457" s="393"/>
      <c r="BO1457" s="393"/>
      <c r="BP1457" s="399"/>
      <c r="BQ1457" s="400"/>
      <c r="BR1457" s="401"/>
      <c r="BS1457" s="399">
        <v>0</v>
      </c>
      <c r="BT1457" s="394"/>
      <c r="BU1457" s="417"/>
      <c r="BV1457" s="399"/>
      <c r="BW1457" s="393"/>
      <c r="BX1457" s="392"/>
      <c r="BY1457" s="475" t="s">
        <v>7227</v>
      </c>
      <c r="BZ1457" s="393"/>
      <c r="CA1457" s="441"/>
      <c r="CB1457" s="400"/>
      <c r="CC1457" s="398"/>
      <c r="CD1457" s="398"/>
      <c r="CE1457" s="398"/>
      <c r="CF1457" s="398"/>
      <c r="CG1457" s="398"/>
      <c r="CH1457" s="398"/>
      <c r="CI1457" s="398"/>
      <c r="CJ1457" s="398"/>
      <c r="CK1457" s="398"/>
      <c r="CL1457" s="398"/>
      <c r="CM1457" s="398"/>
      <c r="CN1457" s="398"/>
      <c r="CO1457" s="398"/>
      <c r="CP1457" s="398"/>
      <c r="CQ1457" s="398"/>
      <c r="CR1457" s="398"/>
      <c r="CS1457" s="398"/>
      <c r="CT1457" s="398"/>
      <c r="CU1457" s="398"/>
      <c r="CV1457" s="398"/>
      <c r="CW1457" s="398"/>
      <c r="CX1457" s="398"/>
      <c r="CY1457" s="398"/>
      <c r="CZ1457" s="398"/>
      <c r="DA1457" s="398"/>
      <c r="DB1457" s="398"/>
      <c r="DC1457" s="398"/>
      <c r="DD1457" s="398"/>
      <c r="DE1457" s="393"/>
      <c r="DF1457" s="393"/>
      <c r="DG1457" s="393"/>
      <c r="DH1457" s="393"/>
      <c r="DI1457" s="393"/>
      <c r="DJ1457" s="393"/>
      <c r="DK1457" s="896" t="s">
        <v>9700</v>
      </c>
    </row>
    <row r="1458" spans="1:115" ht="38.25" x14ac:dyDescent="0.2">
      <c r="A1458" s="295">
        <v>1454</v>
      </c>
      <c r="B1458" s="390" t="s">
        <v>2964</v>
      </c>
      <c r="C1458" s="390"/>
      <c r="D1458" s="391" t="s">
        <v>5235</v>
      </c>
      <c r="E1458" s="704" t="s">
        <v>2497</v>
      </c>
      <c r="F1458" s="393" t="s">
        <v>1352</v>
      </c>
      <c r="G1458" s="393" t="s">
        <v>1671</v>
      </c>
      <c r="H1458" s="393" t="s">
        <v>117</v>
      </c>
      <c r="I1458" s="392"/>
      <c r="J1458" s="392"/>
      <c r="K1458" s="392" t="s">
        <v>2498</v>
      </c>
      <c r="L1458" s="392" t="s">
        <v>2472</v>
      </c>
      <c r="M1458" s="392"/>
      <c r="N1458" s="393" t="s">
        <v>44</v>
      </c>
      <c r="O1458" s="393" t="s">
        <v>51</v>
      </c>
      <c r="P1458" s="393" t="s">
        <v>51</v>
      </c>
      <c r="Q1458" s="392" t="s">
        <v>426</v>
      </c>
      <c r="R1458" s="392" t="s">
        <v>3695</v>
      </c>
      <c r="S1458" s="392" t="s">
        <v>427</v>
      </c>
      <c r="T1458" s="394">
        <v>1</v>
      </c>
      <c r="U1458" s="395">
        <v>29.555</v>
      </c>
      <c r="V1458" s="395"/>
      <c r="W1458" s="453"/>
      <c r="X1458" s="394"/>
      <c r="Y1458" s="394">
        <v>7.8</v>
      </c>
      <c r="Z1458" s="394">
        <v>8</v>
      </c>
      <c r="AA1458" s="395">
        <v>-3</v>
      </c>
      <c r="AB1458" s="452">
        <v>41305</v>
      </c>
      <c r="AC1458" s="398">
        <v>0</v>
      </c>
      <c r="AD1458" s="398">
        <v>15.504065753424657</v>
      </c>
      <c r="AE1458" s="393" t="s">
        <v>446</v>
      </c>
      <c r="AF1458" s="417"/>
      <c r="AG1458" s="417"/>
      <c r="AH1458" s="417"/>
      <c r="AI1458" s="394"/>
      <c r="AJ1458" s="453"/>
      <c r="AK1458" s="453"/>
      <c r="AL1458" s="393"/>
      <c r="AM1458" s="393"/>
      <c r="AN1458" s="417"/>
      <c r="AO1458" s="392"/>
      <c r="AP1458" s="392" t="s">
        <v>55</v>
      </c>
      <c r="AQ1458" s="392"/>
      <c r="AR1458" s="392" t="s">
        <v>55</v>
      </c>
      <c r="AS1458" s="479">
        <v>41113</v>
      </c>
      <c r="AT1458" s="453"/>
      <c r="AU1458" s="453"/>
      <c r="AV1458" s="453"/>
      <c r="AW1458" s="453"/>
      <c r="AX1458" s="453"/>
      <c r="AY1458" s="453"/>
      <c r="AZ1458" s="452">
        <v>41271</v>
      </c>
      <c r="BA1458" s="393"/>
      <c r="BB1458" s="393"/>
      <c r="BC1458" s="393" t="b">
        <v>0</v>
      </c>
      <c r="BD1458" s="393"/>
      <c r="BE1458" s="392"/>
      <c r="BF1458" s="394">
        <v>4</v>
      </c>
      <c r="BG1458" s="394">
        <v>8</v>
      </c>
      <c r="BH1458" s="394">
        <v>1</v>
      </c>
      <c r="BI1458" s="394">
        <v>7</v>
      </c>
      <c r="BJ1458" s="394"/>
      <c r="BK1458" s="394"/>
      <c r="BL1458" s="444" t="s">
        <v>6983</v>
      </c>
      <c r="BM1458" s="392"/>
      <c r="BN1458" s="393"/>
      <c r="BO1458" s="393"/>
      <c r="BP1458" s="399"/>
      <c r="BQ1458" s="400"/>
      <c r="BR1458" s="401"/>
      <c r="BS1458" s="399"/>
      <c r="BT1458" s="394"/>
      <c r="BU1458" s="417"/>
      <c r="BV1458" s="399">
        <v>9.9644999999999997E-2</v>
      </c>
      <c r="BW1458" s="393" t="s">
        <v>3117</v>
      </c>
      <c r="BX1458" s="392" t="s">
        <v>1447</v>
      </c>
      <c r="BY1458" s="475" t="s">
        <v>7227</v>
      </c>
      <c r="BZ1458" s="393"/>
      <c r="CA1458" s="441"/>
      <c r="CB1458" s="400">
        <v>4</v>
      </c>
      <c r="CC1458" s="398"/>
      <c r="CD1458" s="398"/>
      <c r="CE1458" s="398"/>
      <c r="CF1458" s="398"/>
      <c r="CG1458" s="398"/>
      <c r="CH1458" s="398"/>
      <c r="CI1458" s="398">
        <v>38.497999999999998</v>
      </c>
      <c r="CJ1458" s="398">
        <v>35.871000000000002</v>
      </c>
      <c r="CK1458" s="398">
        <v>33.244</v>
      </c>
      <c r="CL1458" s="398">
        <v>30.617000000000001</v>
      </c>
      <c r="CM1458" s="398">
        <v>27.99</v>
      </c>
      <c r="CN1458" s="398">
        <v>25.364000000000001</v>
      </c>
      <c r="CO1458" s="398">
        <v>22.736999999999998</v>
      </c>
      <c r="CP1458" s="398">
        <v>17.013999999999999</v>
      </c>
      <c r="CQ1458" s="398"/>
      <c r="CR1458" s="398"/>
      <c r="CS1458" s="398"/>
      <c r="CT1458" s="398"/>
      <c r="CU1458" s="398"/>
      <c r="CV1458" s="398"/>
      <c r="CW1458" s="398"/>
      <c r="CX1458" s="398"/>
      <c r="CY1458" s="398"/>
      <c r="CZ1458" s="398"/>
      <c r="DA1458" s="398"/>
      <c r="DB1458" s="398"/>
      <c r="DC1458" s="398"/>
      <c r="DD1458" s="398"/>
      <c r="DE1458" s="393"/>
      <c r="DF1458" s="393"/>
      <c r="DG1458" s="393"/>
      <c r="DH1458" s="393"/>
      <c r="DI1458" s="393"/>
      <c r="DJ1458" s="393"/>
      <c r="DK1458" s="897"/>
    </row>
    <row r="1459" spans="1:115" ht="63.75" x14ac:dyDescent="0.2">
      <c r="A1459" s="295">
        <v>1455</v>
      </c>
      <c r="B1459" s="390" t="s">
        <v>2499</v>
      </c>
      <c r="C1459" s="424" t="s">
        <v>7793</v>
      </c>
      <c r="D1459" s="391" t="s">
        <v>5236</v>
      </c>
      <c r="E1459" s="704" t="s">
        <v>2500</v>
      </c>
      <c r="F1459" s="393" t="s">
        <v>1352</v>
      </c>
      <c r="G1459" s="393" t="s">
        <v>1671</v>
      </c>
      <c r="H1459" s="393" t="s">
        <v>117</v>
      </c>
      <c r="I1459" s="392"/>
      <c r="J1459" s="392" t="s">
        <v>1688</v>
      </c>
      <c r="K1459" s="392"/>
      <c r="L1459" s="392" t="s">
        <v>2472</v>
      </c>
      <c r="M1459" s="392" t="s">
        <v>3698</v>
      </c>
      <c r="N1459" s="393" t="s">
        <v>44</v>
      </c>
      <c r="O1459" s="393" t="s">
        <v>51</v>
      </c>
      <c r="P1459" s="393" t="s">
        <v>51</v>
      </c>
      <c r="Q1459" s="392" t="s">
        <v>426</v>
      </c>
      <c r="R1459" s="392"/>
      <c r="S1459" s="392" t="s">
        <v>427</v>
      </c>
      <c r="T1459" s="394">
        <v>1</v>
      </c>
      <c r="U1459" s="395">
        <v>37.463000000000001</v>
      </c>
      <c r="V1459" s="395"/>
      <c r="W1459" s="452">
        <v>41305</v>
      </c>
      <c r="X1459" s="394">
        <v>28</v>
      </c>
      <c r="Y1459" s="394"/>
      <c r="Z1459" s="394"/>
      <c r="AA1459" s="395"/>
      <c r="AB1459" s="453"/>
      <c r="AC1459" s="398">
        <v>0</v>
      </c>
      <c r="AD1459" s="398">
        <v>15.504065753424657</v>
      </c>
      <c r="AE1459" s="393" t="s">
        <v>446</v>
      </c>
      <c r="AF1459" s="417"/>
      <c r="AG1459" s="417"/>
      <c r="AH1459" s="417">
        <v>0</v>
      </c>
      <c r="AI1459" s="394"/>
      <c r="AJ1459" s="453"/>
      <c r="AK1459" s="453"/>
      <c r="AL1459" s="393"/>
      <c r="AM1459" s="393"/>
      <c r="AN1459" s="417"/>
      <c r="AO1459" s="392"/>
      <c r="AP1459" s="392" t="s">
        <v>55</v>
      </c>
      <c r="AQ1459" s="392"/>
      <c r="AR1459" s="392" t="s">
        <v>55</v>
      </c>
      <c r="AS1459" s="479">
        <v>41114</v>
      </c>
      <c r="AT1459" s="453"/>
      <c r="AU1459" s="453"/>
      <c r="AV1459" s="452">
        <v>41153</v>
      </c>
      <c r="AW1459" s="452">
        <v>41272</v>
      </c>
      <c r="AX1459" s="453"/>
      <c r="AY1459" s="452">
        <v>41271</v>
      </c>
      <c r="AZ1459" s="453"/>
      <c r="BA1459" s="393"/>
      <c r="BB1459" s="393" t="s">
        <v>3116</v>
      </c>
      <c r="BC1459" s="393" t="b">
        <v>1</v>
      </c>
      <c r="BD1459" s="393" t="s">
        <v>3147</v>
      </c>
      <c r="BE1459" s="392"/>
      <c r="BF1459" s="394">
        <v>4</v>
      </c>
      <c r="BG1459" s="394">
        <v>8</v>
      </c>
      <c r="BH1459" s="394">
        <v>1</v>
      </c>
      <c r="BI1459" s="394">
        <v>7</v>
      </c>
      <c r="BJ1459" s="394"/>
      <c r="BK1459" s="394"/>
      <c r="BL1459" s="444"/>
      <c r="BM1459" s="392"/>
      <c r="BN1459" s="393"/>
      <c r="BO1459" s="393"/>
      <c r="BP1459" s="399"/>
      <c r="BQ1459" s="400"/>
      <c r="BR1459" s="401"/>
      <c r="BS1459" s="399">
        <v>0</v>
      </c>
      <c r="BT1459" s="394"/>
      <c r="BU1459" s="417"/>
      <c r="BV1459" s="399"/>
      <c r="BW1459" s="393"/>
      <c r="BX1459" s="392"/>
      <c r="BY1459" s="475" t="s">
        <v>7227</v>
      </c>
      <c r="BZ1459" s="393"/>
      <c r="CA1459" s="441"/>
      <c r="CB1459" s="400"/>
      <c r="CC1459" s="398"/>
      <c r="CD1459" s="398"/>
      <c r="CE1459" s="398"/>
      <c r="CF1459" s="398"/>
      <c r="CG1459" s="398"/>
      <c r="CH1459" s="398"/>
      <c r="CI1459" s="398"/>
      <c r="CJ1459" s="398"/>
      <c r="CK1459" s="398"/>
      <c r="CL1459" s="398"/>
      <c r="CM1459" s="398"/>
      <c r="CN1459" s="398"/>
      <c r="CO1459" s="398"/>
      <c r="CP1459" s="398"/>
      <c r="CQ1459" s="398"/>
      <c r="CR1459" s="398"/>
      <c r="CS1459" s="398"/>
      <c r="CT1459" s="398"/>
      <c r="CU1459" s="398"/>
      <c r="CV1459" s="398"/>
      <c r="CW1459" s="398"/>
      <c r="CX1459" s="398"/>
      <c r="CY1459" s="398"/>
      <c r="CZ1459" s="398"/>
      <c r="DA1459" s="398"/>
      <c r="DB1459" s="398"/>
      <c r="DC1459" s="398"/>
      <c r="DD1459" s="398"/>
      <c r="DE1459" s="393"/>
      <c r="DF1459" s="393"/>
      <c r="DG1459" s="393"/>
      <c r="DH1459" s="393"/>
      <c r="DI1459" s="393"/>
      <c r="DJ1459" s="393"/>
      <c r="DK1459" s="896" t="s">
        <v>9710</v>
      </c>
    </row>
    <row r="1460" spans="1:115" ht="38.25" x14ac:dyDescent="0.2">
      <c r="A1460" s="295">
        <v>1456</v>
      </c>
      <c r="B1460" s="390" t="s">
        <v>2965</v>
      </c>
      <c r="C1460" s="390"/>
      <c r="D1460" s="391" t="s">
        <v>4975</v>
      </c>
      <c r="E1460" s="704" t="s">
        <v>2500</v>
      </c>
      <c r="F1460" s="393" t="s">
        <v>1352</v>
      </c>
      <c r="G1460" s="393" t="s">
        <v>1671</v>
      </c>
      <c r="H1460" s="393" t="s">
        <v>117</v>
      </c>
      <c r="I1460" s="392"/>
      <c r="J1460" s="392"/>
      <c r="K1460" s="392" t="s">
        <v>2501</v>
      </c>
      <c r="L1460" s="392" t="s">
        <v>2472</v>
      </c>
      <c r="M1460" s="392"/>
      <c r="N1460" s="393" t="s">
        <v>44</v>
      </c>
      <c r="O1460" s="393" t="s">
        <v>51</v>
      </c>
      <c r="P1460" s="393" t="s">
        <v>51</v>
      </c>
      <c r="Q1460" s="392" t="s">
        <v>426</v>
      </c>
      <c r="R1460" s="392" t="s">
        <v>3695</v>
      </c>
      <c r="S1460" s="392" t="s">
        <v>427</v>
      </c>
      <c r="T1460" s="394">
        <v>1</v>
      </c>
      <c r="U1460" s="395">
        <v>37.463000000000001</v>
      </c>
      <c r="V1460" s="395"/>
      <c r="W1460" s="453"/>
      <c r="X1460" s="394"/>
      <c r="Y1460" s="394">
        <v>7.8</v>
      </c>
      <c r="Z1460" s="394">
        <v>8</v>
      </c>
      <c r="AA1460" s="395">
        <v>-3.85</v>
      </c>
      <c r="AB1460" s="452">
        <v>41305</v>
      </c>
      <c r="AC1460" s="398">
        <v>0</v>
      </c>
      <c r="AD1460" s="398">
        <v>15.504065753424657</v>
      </c>
      <c r="AE1460" s="393" t="s">
        <v>446</v>
      </c>
      <c r="AF1460" s="417"/>
      <c r="AG1460" s="417"/>
      <c r="AH1460" s="417"/>
      <c r="AI1460" s="394"/>
      <c r="AJ1460" s="453"/>
      <c r="AK1460" s="453"/>
      <c r="AL1460" s="393"/>
      <c r="AM1460" s="393"/>
      <c r="AN1460" s="417"/>
      <c r="AO1460" s="392"/>
      <c r="AP1460" s="392" t="s">
        <v>55</v>
      </c>
      <c r="AQ1460" s="392"/>
      <c r="AR1460" s="392" t="s">
        <v>55</v>
      </c>
      <c r="AS1460" s="479">
        <v>41114</v>
      </c>
      <c r="AT1460" s="453"/>
      <c r="AU1460" s="453"/>
      <c r="AV1460" s="453"/>
      <c r="AW1460" s="453"/>
      <c r="AX1460" s="453"/>
      <c r="AY1460" s="453"/>
      <c r="AZ1460" s="452">
        <v>41271</v>
      </c>
      <c r="BA1460" s="393"/>
      <c r="BB1460" s="393"/>
      <c r="BC1460" s="393" t="b">
        <v>0</v>
      </c>
      <c r="BD1460" s="393"/>
      <c r="BE1460" s="392"/>
      <c r="BF1460" s="394">
        <v>4</v>
      </c>
      <c r="BG1460" s="394">
        <v>8</v>
      </c>
      <c r="BH1460" s="394">
        <v>1</v>
      </c>
      <c r="BI1460" s="394">
        <v>7</v>
      </c>
      <c r="BJ1460" s="394"/>
      <c r="BK1460" s="394"/>
      <c r="BL1460" s="444" t="s">
        <v>6983</v>
      </c>
      <c r="BM1460" s="392"/>
      <c r="BN1460" s="393"/>
      <c r="BO1460" s="393"/>
      <c r="BP1460" s="399"/>
      <c r="BQ1460" s="400"/>
      <c r="BR1460" s="401"/>
      <c r="BS1460" s="399"/>
      <c r="BT1460" s="394"/>
      <c r="BU1460" s="417"/>
      <c r="BV1460" s="399">
        <v>9.9644999999999997E-2</v>
      </c>
      <c r="BW1460" s="393" t="s">
        <v>3117</v>
      </c>
      <c r="BX1460" s="392" t="s">
        <v>1447</v>
      </c>
      <c r="BY1460" s="475" t="s">
        <v>7227</v>
      </c>
      <c r="BZ1460" s="393"/>
      <c r="CA1460" s="441"/>
      <c r="CB1460" s="400">
        <v>4</v>
      </c>
      <c r="CC1460" s="398"/>
      <c r="CD1460" s="398"/>
      <c r="CE1460" s="398"/>
      <c r="CF1460" s="398"/>
      <c r="CG1460" s="398"/>
      <c r="CH1460" s="398"/>
      <c r="CI1460" s="398">
        <v>48.816000000000003</v>
      </c>
      <c r="CJ1460" s="398">
        <v>45.484999999999999</v>
      </c>
      <c r="CK1460" s="398">
        <v>42.154000000000003</v>
      </c>
      <c r="CL1460" s="398">
        <v>38.823</v>
      </c>
      <c r="CM1460" s="398">
        <v>35.491999999999997</v>
      </c>
      <c r="CN1460" s="398">
        <v>32.161000000000001</v>
      </c>
      <c r="CO1460" s="398">
        <v>28.83</v>
      </c>
      <c r="CP1460" s="398">
        <v>21.574000000000002</v>
      </c>
      <c r="CQ1460" s="398"/>
      <c r="CR1460" s="398"/>
      <c r="CS1460" s="398"/>
      <c r="CT1460" s="398"/>
      <c r="CU1460" s="398"/>
      <c r="CV1460" s="398"/>
      <c r="CW1460" s="398"/>
      <c r="CX1460" s="398"/>
      <c r="CY1460" s="398"/>
      <c r="CZ1460" s="398"/>
      <c r="DA1460" s="398"/>
      <c r="DB1460" s="398"/>
      <c r="DC1460" s="398"/>
      <c r="DD1460" s="398"/>
      <c r="DE1460" s="393"/>
      <c r="DF1460" s="393"/>
      <c r="DG1460" s="393"/>
      <c r="DH1460" s="393"/>
      <c r="DI1460" s="393"/>
      <c r="DJ1460" s="393"/>
      <c r="DK1460" s="897"/>
    </row>
    <row r="1461" spans="1:115" ht="63.75" x14ac:dyDescent="0.2">
      <c r="A1461" s="295">
        <v>1457</v>
      </c>
      <c r="B1461" s="390" t="s">
        <v>2502</v>
      </c>
      <c r="C1461" s="424" t="s">
        <v>7794</v>
      </c>
      <c r="D1461" s="391" t="s">
        <v>5448</v>
      </c>
      <c r="E1461" s="704" t="s">
        <v>2503</v>
      </c>
      <c r="F1461" s="393" t="s">
        <v>1352</v>
      </c>
      <c r="G1461" s="393" t="s">
        <v>1671</v>
      </c>
      <c r="H1461" s="393" t="s">
        <v>117</v>
      </c>
      <c r="I1461" s="392"/>
      <c r="J1461" s="392" t="s">
        <v>123</v>
      </c>
      <c r="K1461" s="392"/>
      <c r="L1461" s="392" t="s">
        <v>2472</v>
      </c>
      <c r="M1461" s="392" t="s">
        <v>3699</v>
      </c>
      <c r="N1461" s="393" t="s">
        <v>44</v>
      </c>
      <c r="O1461" s="393" t="s">
        <v>51</v>
      </c>
      <c r="P1461" s="393" t="s">
        <v>51</v>
      </c>
      <c r="Q1461" s="392" t="s">
        <v>426</v>
      </c>
      <c r="R1461" s="392"/>
      <c r="S1461" s="392" t="s">
        <v>427</v>
      </c>
      <c r="T1461" s="394">
        <v>1</v>
      </c>
      <c r="U1461" s="395">
        <v>36.549999999999997</v>
      </c>
      <c r="V1461" s="395"/>
      <c r="W1461" s="452">
        <v>41183</v>
      </c>
      <c r="X1461" s="394">
        <v>28</v>
      </c>
      <c r="Y1461" s="394"/>
      <c r="Z1461" s="394"/>
      <c r="AA1461" s="395"/>
      <c r="AB1461" s="453"/>
      <c r="AC1461" s="398">
        <v>0</v>
      </c>
      <c r="AD1461" s="398">
        <v>15.504065753424657</v>
      </c>
      <c r="AE1461" s="393" t="s">
        <v>446</v>
      </c>
      <c r="AF1461" s="417"/>
      <c r="AG1461" s="417"/>
      <c r="AH1461" s="417">
        <v>0</v>
      </c>
      <c r="AI1461" s="394"/>
      <c r="AJ1461" s="453"/>
      <c r="AK1461" s="453"/>
      <c r="AL1461" s="393"/>
      <c r="AM1461" s="393"/>
      <c r="AN1461" s="417"/>
      <c r="AO1461" s="392"/>
      <c r="AP1461" s="392" t="s">
        <v>55</v>
      </c>
      <c r="AQ1461" s="392"/>
      <c r="AR1461" s="392" t="s">
        <v>55</v>
      </c>
      <c r="AS1461" s="479">
        <v>41114</v>
      </c>
      <c r="AT1461" s="453"/>
      <c r="AU1461" s="453"/>
      <c r="AV1461" s="452">
        <v>41183</v>
      </c>
      <c r="AW1461" s="452">
        <v>41272</v>
      </c>
      <c r="AX1461" s="453"/>
      <c r="AY1461" s="452">
        <v>41271</v>
      </c>
      <c r="AZ1461" s="453"/>
      <c r="BA1461" s="393"/>
      <c r="BB1461" s="393" t="s">
        <v>3116</v>
      </c>
      <c r="BC1461" s="393" t="b">
        <v>1</v>
      </c>
      <c r="BD1461" s="393" t="s">
        <v>3147</v>
      </c>
      <c r="BE1461" s="392"/>
      <c r="BF1461" s="394">
        <v>4</v>
      </c>
      <c r="BG1461" s="394">
        <v>8</v>
      </c>
      <c r="BH1461" s="394">
        <v>1</v>
      </c>
      <c r="BI1461" s="394">
        <v>7</v>
      </c>
      <c r="BJ1461" s="394"/>
      <c r="BK1461" s="394"/>
      <c r="BL1461" s="444"/>
      <c r="BM1461" s="392"/>
      <c r="BN1461" s="393"/>
      <c r="BO1461" s="393"/>
      <c r="BP1461" s="399"/>
      <c r="BQ1461" s="400"/>
      <c r="BR1461" s="401"/>
      <c r="BS1461" s="399">
        <v>0</v>
      </c>
      <c r="BT1461" s="394"/>
      <c r="BU1461" s="417"/>
      <c r="BV1461" s="399"/>
      <c r="BW1461" s="393"/>
      <c r="BX1461" s="392"/>
      <c r="BY1461" s="475" t="s">
        <v>7227</v>
      </c>
      <c r="BZ1461" s="393"/>
      <c r="CA1461" s="441"/>
      <c r="CB1461" s="400"/>
      <c r="CC1461" s="398"/>
      <c r="CD1461" s="398"/>
      <c r="CE1461" s="398"/>
      <c r="CF1461" s="398"/>
      <c r="CG1461" s="398"/>
      <c r="CH1461" s="398"/>
      <c r="CI1461" s="398"/>
      <c r="CJ1461" s="398"/>
      <c r="CK1461" s="398"/>
      <c r="CL1461" s="398"/>
      <c r="CM1461" s="398"/>
      <c r="CN1461" s="398"/>
      <c r="CO1461" s="398"/>
      <c r="CP1461" s="398"/>
      <c r="CQ1461" s="398"/>
      <c r="CR1461" s="398"/>
      <c r="CS1461" s="398"/>
      <c r="CT1461" s="398"/>
      <c r="CU1461" s="398"/>
      <c r="CV1461" s="398"/>
      <c r="CW1461" s="398"/>
      <c r="CX1461" s="398"/>
      <c r="CY1461" s="398"/>
      <c r="CZ1461" s="398"/>
      <c r="DA1461" s="398"/>
      <c r="DB1461" s="398"/>
      <c r="DC1461" s="398"/>
      <c r="DD1461" s="398"/>
      <c r="DE1461" s="393"/>
      <c r="DF1461" s="393"/>
      <c r="DG1461" s="393"/>
      <c r="DH1461" s="393"/>
      <c r="DI1461" s="393"/>
      <c r="DJ1461" s="393"/>
      <c r="DK1461" s="896" t="s">
        <v>9722</v>
      </c>
    </row>
    <row r="1462" spans="1:115" ht="38.25" x14ac:dyDescent="0.2">
      <c r="A1462" s="295">
        <v>1458</v>
      </c>
      <c r="B1462" s="390" t="s">
        <v>2966</v>
      </c>
      <c r="C1462" s="390"/>
      <c r="D1462" s="391" t="s">
        <v>5449</v>
      </c>
      <c r="E1462" s="704" t="s">
        <v>2504</v>
      </c>
      <c r="F1462" s="393" t="s">
        <v>1352</v>
      </c>
      <c r="G1462" s="393" t="s">
        <v>1671</v>
      </c>
      <c r="H1462" s="393" t="s">
        <v>117</v>
      </c>
      <c r="I1462" s="392"/>
      <c r="J1462" s="392"/>
      <c r="K1462" s="392" t="s">
        <v>2505</v>
      </c>
      <c r="L1462" s="392" t="s">
        <v>2472</v>
      </c>
      <c r="M1462" s="392"/>
      <c r="N1462" s="393" t="s">
        <v>44</v>
      </c>
      <c r="O1462" s="393" t="s">
        <v>51</v>
      </c>
      <c r="P1462" s="393" t="s">
        <v>51</v>
      </c>
      <c r="Q1462" s="392" t="s">
        <v>426</v>
      </c>
      <c r="R1462" s="392" t="s">
        <v>3695</v>
      </c>
      <c r="S1462" s="392" t="s">
        <v>427</v>
      </c>
      <c r="T1462" s="394">
        <v>1</v>
      </c>
      <c r="U1462" s="395">
        <v>36.549999999999997</v>
      </c>
      <c r="V1462" s="395"/>
      <c r="W1462" s="453"/>
      <c r="X1462" s="394"/>
      <c r="Y1462" s="394">
        <v>7.8</v>
      </c>
      <c r="Z1462" s="394">
        <v>8</v>
      </c>
      <c r="AA1462" s="395">
        <v>-4</v>
      </c>
      <c r="AB1462" s="452">
        <v>41305</v>
      </c>
      <c r="AC1462" s="398">
        <v>0</v>
      </c>
      <c r="AD1462" s="398">
        <v>15.504065753424657</v>
      </c>
      <c r="AE1462" s="393" t="s">
        <v>446</v>
      </c>
      <c r="AF1462" s="417"/>
      <c r="AG1462" s="417"/>
      <c r="AH1462" s="417"/>
      <c r="AI1462" s="394"/>
      <c r="AJ1462" s="453"/>
      <c r="AK1462" s="453"/>
      <c r="AL1462" s="393"/>
      <c r="AM1462" s="393"/>
      <c r="AN1462" s="417"/>
      <c r="AO1462" s="392"/>
      <c r="AP1462" s="392" t="s">
        <v>55</v>
      </c>
      <c r="AQ1462" s="392"/>
      <c r="AR1462" s="392" t="s">
        <v>55</v>
      </c>
      <c r="AS1462" s="479">
        <v>41114</v>
      </c>
      <c r="AT1462" s="453"/>
      <c r="AU1462" s="453"/>
      <c r="AV1462" s="453"/>
      <c r="AW1462" s="453"/>
      <c r="AX1462" s="453"/>
      <c r="AY1462" s="453"/>
      <c r="AZ1462" s="452">
        <v>41271</v>
      </c>
      <c r="BA1462" s="393"/>
      <c r="BB1462" s="393"/>
      <c r="BC1462" s="393" t="b">
        <v>0</v>
      </c>
      <c r="BD1462" s="393"/>
      <c r="BE1462" s="392"/>
      <c r="BF1462" s="394">
        <v>4</v>
      </c>
      <c r="BG1462" s="394">
        <v>8</v>
      </c>
      <c r="BH1462" s="394">
        <v>1</v>
      </c>
      <c r="BI1462" s="394">
        <v>7</v>
      </c>
      <c r="BJ1462" s="394"/>
      <c r="BK1462" s="394"/>
      <c r="BL1462" s="444" t="s">
        <v>6983</v>
      </c>
      <c r="BM1462" s="392"/>
      <c r="BN1462" s="393"/>
      <c r="BO1462" s="393"/>
      <c r="BP1462" s="399"/>
      <c r="BQ1462" s="400"/>
      <c r="BR1462" s="401"/>
      <c r="BS1462" s="399"/>
      <c r="BT1462" s="394"/>
      <c r="BU1462" s="417"/>
      <c r="BV1462" s="399">
        <v>9.9644999999999997E-2</v>
      </c>
      <c r="BW1462" s="393" t="s">
        <v>3117</v>
      </c>
      <c r="BX1462" s="392" t="s">
        <v>1447</v>
      </c>
      <c r="BY1462" s="475" t="s">
        <v>7227</v>
      </c>
      <c r="BZ1462" s="393"/>
      <c r="CA1462" s="441"/>
      <c r="CB1462" s="400">
        <v>4</v>
      </c>
      <c r="CC1462" s="398"/>
      <c r="CD1462" s="398"/>
      <c r="CE1462" s="398"/>
      <c r="CF1462" s="398"/>
      <c r="CG1462" s="398"/>
      <c r="CH1462" s="398"/>
      <c r="CI1462" s="398">
        <v>47.625999999999998</v>
      </c>
      <c r="CJ1462" s="398">
        <v>44.377000000000002</v>
      </c>
      <c r="CK1462" s="398">
        <v>41.127000000000002</v>
      </c>
      <c r="CL1462" s="398">
        <v>37.877000000000002</v>
      </c>
      <c r="CM1462" s="398">
        <v>34.627000000000002</v>
      </c>
      <c r="CN1462" s="398">
        <v>31.378</v>
      </c>
      <c r="CO1462" s="398">
        <v>28.128</v>
      </c>
      <c r="CP1462" s="398">
        <v>21.047999999999998</v>
      </c>
      <c r="CQ1462" s="398"/>
      <c r="CR1462" s="398"/>
      <c r="CS1462" s="398"/>
      <c r="CT1462" s="398"/>
      <c r="CU1462" s="398"/>
      <c r="CV1462" s="398"/>
      <c r="CW1462" s="398"/>
      <c r="CX1462" s="398"/>
      <c r="CY1462" s="398"/>
      <c r="CZ1462" s="398"/>
      <c r="DA1462" s="398"/>
      <c r="DB1462" s="398"/>
      <c r="DC1462" s="398"/>
      <c r="DD1462" s="398"/>
      <c r="DE1462" s="393"/>
      <c r="DF1462" s="393"/>
      <c r="DG1462" s="393"/>
      <c r="DH1462" s="393"/>
      <c r="DI1462" s="393"/>
      <c r="DJ1462" s="393"/>
      <c r="DK1462" s="897"/>
    </row>
    <row r="1463" spans="1:115" ht="63.75" x14ac:dyDescent="0.2">
      <c r="A1463" s="295">
        <v>1459</v>
      </c>
      <c r="B1463" s="390" t="s">
        <v>2506</v>
      </c>
      <c r="C1463" s="424" t="s">
        <v>7795</v>
      </c>
      <c r="D1463" s="391" t="s">
        <v>5237</v>
      </c>
      <c r="E1463" s="704" t="s">
        <v>2507</v>
      </c>
      <c r="F1463" s="393" t="s">
        <v>1352</v>
      </c>
      <c r="G1463" s="393" t="s">
        <v>1671</v>
      </c>
      <c r="H1463" s="393" t="s">
        <v>117</v>
      </c>
      <c r="I1463" s="392"/>
      <c r="J1463" s="392" t="s">
        <v>2175</v>
      </c>
      <c r="K1463" s="392"/>
      <c r="L1463" s="392" t="s">
        <v>2472</v>
      </c>
      <c r="M1463" s="392" t="s">
        <v>3700</v>
      </c>
      <c r="N1463" s="393" t="s">
        <v>44</v>
      </c>
      <c r="O1463" s="393" t="s">
        <v>51</v>
      </c>
      <c r="P1463" s="393" t="s">
        <v>51</v>
      </c>
      <c r="Q1463" s="392" t="s">
        <v>426</v>
      </c>
      <c r="R1463" s="392"/>
      <c r="S1463" s="392" t="s">
        <v>427</v>
      </c>
      <c r="T1463" s="394">
        <v>1</v>
      </c>
      <c r="U1463" s="395">
        <v>36.549999999999997</v>
      </c>
      <c r="V1463" s="395"/>
      <c r="W1463" s="452">
        <v>41305</v>
      </c>
      <c r="X1463" s="394">
        <v>28</v>
      </c>
      <c r="Y1463" s="394"/>
      <c r="Z1463" s="394"/>
      <c r="AA1463" s="395"/>
      <c r="AB1463" s="453"/>
      <c r="AC1463" s="398">
        <v>0</v>
      </c>
      <c r="AD1463" s="398">
        <v>15.504065753424657</v>
      </c>
      <c r="AE1463" s="393" t="s">
        <v>446</v>
      </c>
      <c r="AF1463" s="417"/>
      <c r="AG1463" s="417"/>
      <c r="AH1463" s="417">
        <v>0</v>
      </c>
      <c r="AI1463" s="394"/>
      <c r="AJ1463" s="453"/>
      <c r="AK1463" s="453"/>
      <c r="AL1463" s="393"/>
      <c r="AM1463" s="393"/>
      <c r="AN1463" s="417"/>
      <c r="AO1463" s="392"/>
      <c r="AP1463" s="392" t="s">
        <v>55</v>
      </c>
      <c r="AQ1463" s="392"/>
      <c r="AR1463" s="392" t="s">
        <v>55</v>
      </c>
      <c r="AS1463" s="479">
        <v>41114</v>
      </c>
      <c r="AT1463" s="453"/>
      <c r="AU1463" s="453"/>
      <c r="AV1463" s="452">
        <v>41122</v>
      </c>
      <c r="AW1463" s="452">
        <v>41272</v>
      </c>
      <c r="AX1463" s="453"/>
      <c r="AY1463" s="452">
        <v>41271</v>
      </c>
      <c r="AZ1463" s="453"/>
      <c r="BA1463" s="393"/>
      <c r="BB1463" s="393" t="s">
        <v>3116</v>
      </c>
      <c r="BC1463" s="393" t="b">
        <v>1</v>
      </c>
      <c r="BD1463" s="393" t="s">
        <v>3147</v>
      </c>
      <c r="BE1463" s="392"/>
      <c r="BF1463" s="394">
        <v>4</v>
      </c>
      <c r="BG1463" s="394">
        <v>8</v>
      </c>
      <c r="BH1463" s="394">
        <v>1</v>
      </c>
      <c r="BI1463" s="394">
        <v>7</v>
      </c>
      <c r="BJ1463" s="394"/>
      <c r="BK1463" s="394"/>
      <c r="BL1463" s="444"/>
      <c r="BM1463" s="392"/>
      <c r="BN1463" s="393"/>
      <c r="BO1463" s="393"/>
      <c r="BP1463" s="399"/>
      <c r="BQ1463" s="400"/>
      <c r="BR1463" s="401"/>
      <c r="BS1463" s="399">
        <v>0</v>
      </c>
      <c r="BT1463" s="394"/>
      <c r="BU1463" s="417"/>
      <c r="BV1463" s="399"/>
      <c r="BW1463" s="393"/>
      <c r="BX1463" s="392"/>
      <c r="BY1463" s="475" t="s">
        <v>7227</v>
      </c>
      <c r="BZ1463" s="393"/>
      <c r="CA1463" s="441"/>
      <c r="CB1463" s="400"/>
      <c r="CC1463" s="398"/>
      <c r="CD1463" s="398"/>
      <c r="CE1463" s="398"/>
      <c r="CF1463" s="398"/>
      <c r="CG1463" s="398"/>
      <c r="CH1463" s="398"/>
      <c r="CI1463" s="398"/>
      <c r="CJ1463" s="398"/>
      <c r="CK1463" s="398"/>
      <c r="CL1463" s="398"/>
      <c r="CM1463" s="398"/>
      <c r="CN1463" s="398"/>
      <c r="CO1463" s="398"/>
      <c r="CP1463" s="398"/>
      <c r="CQ1463" s="398"/>
      <c r="CR1463" s="398"/>
      <c r="CS1463" s="398"/>
      <c r="CT1463" s="398"/>
      <c r="CU1463" s="398"/>
      <c r="CV1463" s="398"/>
      <c r="CW1463" s="398"/>
      <c r="CX1463" s="398"/>
      <c r="CY1463" s="398"/>
      <c r="CZ1463" s="398"/>
      <c r="DA1463" s="398"/>
      <c r="DB1463" s="398"/>
      <c r="DC1463" s="398"/>
      <c r="DD1463" s="398"/>
      <c r="DE1463" s="393"/>
      <c r="DF1463" s="393"/>
      <c r="DG1463" s="393"/>
      <c r="DH1463" s="393"/>
      <c r="DI1463" s="393"/>
      <c r="DJ1463" s="393"/>
      <c r="DK1463" s="896" t="s">
        <v>9722</v>
      </c>
    </row>
    <row r="1464" spans="1:115" ht="38.25" x14ac:dyDescent="0.2">
      <c r="A1464" s="295">
        <v>1460</v>
      </c>
      <c r="B1464" s="390" t="s">
        <v>2967</v>
      </c>
      <c r="C1464" s="390"/>
      <c r="D1464" s="391" t="s">
        <v>4976</v>
      </c>
      <c r="E1464" s="704" t="s">
        <v>2508</v>
      </c>
      <c r="F1464" s="393" t="s">
        <v>1352</v>
      </c>
      <c r="G1464" s="393" t="s">
        <v>1671</v>
      </c>
      <c r="H1464" s="393" t="s">
        <v>117</v>
      </c>
      <c r="I1464" s="392"/>
      <c r="J1464" s="392"/>
      <c r="K1464" s="392" t="s">
        <v>2509</v>
      </c>
      <c r="L1464" s="392" t="s">
        <v>2472</v>
      </c>
      <c r="M1464" s="392"/>
      <c r="N1464" s="393" t="s">
        <v>44</v>
      </c>
      <c r="O1464" s="393" t="s">
        <v>51</v>
      </c>
      <c r="P1464" s="393" t="s">
        <v>51</v>
      </c>
      <c r="Q1464" s="392" t="s">
        <v>426</v>
      </c>
      <c r="R1464" s="392" t="s">
        <v>3695</v>
      </c>
      <c r="S1464" s="392" t="s">
        <v>427</v>
      </c>
      <c r="T1464" s="394">
        <v>1</v>
      </c>
      <c r="U1464" s="395">
        <v>36.549999999999997</v>
      </c>
      <c r="V1464" s="395"/>
      <c r="W1464" s="453"/>
      <c r="X1464" s="394"/>
      <c r="Y1464" s="394">
        <v>7.8</v>
      </c>
      <c r="Z1464" s="394">
        <v>8</v>
      </c>
      <c r="AA1464" s="395">
        <v>-4.43</v>
      </c>
      <c r="AB1464" s="452">
        <v>41305</v>
      </c>
      <c r="AC1464" s="398">
        <v>0</v>
      </c>
      <c r="AD1464" s="398">
        <v>15.504065753424657</v>
      </c>
      <c r="AE1464" s="393" t="s">
        <v>446</v>
      </c>
      <c r="AF1464" s="417"/>
      <c r="AG1464" s="417"/>
      <c r="AH1464" s="417"/>
      <c r="AI1464" s="394"/>
      <c r="AJ1464" s="453"/>
      <c r="AK1464" s="453"/>
      <c r="AL1464" s="393"/>
      <c r="AM1464" s="393"/>
      <c r="AN1464" s="417"/>
      <c r="AO1464" s="392"/>
      <c r="AP1464" s="392" t="s">
        <v>55</v>
      </c>
      <c r="AQ1464" s="392"/>
      <c r="AR1464" s="392" t="s">
        <v>55</v>
      </c>
      <c r="AS1464" s="479">
        <v>41114</v>
      </c>
      <c r="AT1464" s="453"/>
      <c r="AU1464" s="453"/>
      <c r="AV1464" s="453"/>
      <c r="AW1464" s="453"/>
      <c r="AX1464" s="453"/>
      <c r="AY1464" s="453"/>
      <c r="AZ1464" s="452">
        <v>41271</v>
      </c>
      <c r="BA1464" s="393"/>
      <c r="BB1464" s="393"/>
      <c r="BC1464" s="393" t="b">
        <v>0</v>
      </c>
      <c r="BD1464" s="393"/>
      <c r="BE1464" s="392"/>
      <c r="BF1464" s="394">
        <v>4</v>
      </c>
      <c r="BG1464" s="394">
        <v>8</v>
      </c>
      <c r="BH1464" s="394">
        <v>1</v>
      </c>
      <c r="BI1464" s="394">
        <v>7</v>
      </c>
      <c r="BJ1464" s="394"/>
      <c r="BK1464" s="394"/>
      <c r="BL1464" s="444" t="s">
        <v>6983</v>
      </c>
      <c r="BM1464" s="392"/>
      <c r="BN1464" s="393"/>
      <c r="BO1464" s="393"/>
      <c r="BP1464" s="399"/>
      <c r="BQ1464" s="400"/>
      <c r="BR1464" s="401"/>
      <c r="BS1464" s="399"/>
      <c r="BT1464" s="394"/>
      <c r="BU1464" s="417"/>
      <c r="BV1464" s="399">
        <v>9.9644999999999997E-2</v>
      </c>
      <c r="BW1464" s="393" t="s">
        <v>3117</v>
      </c>
      <c r="BX1464" s="392" t="s">
        <v>1447</v>
      </c>
      <c r="BY1464" s="475" t="s">
        <v>7227</v>
      </c>
      <c r="BZ1464" s="393"/>
      <c r="CA1464" s="441"/>
      <c r="CB1464" s="400">
        <v>4</v>
      </c>
      <c r="CC1464" s="398"/>
      <c r="CD1464" s="398"/>
      <c r="CE1464" s="398"/>
      <c r="CF1464" s="398"/>
      <c r="CG1464" s="398"/>
      <c r="CH1464" s="398"/>
      <c r="CI1464" s="398">
        <v>45.405000000000001</v>
      </c>
      <c r="CJ1464" s="398">
        <v>42.305999999999997</v>
      </c>
      <c r="CK1464" s="398">
        <v>39.207999999999998</v>
      </c>
      <c r="CL1464" s="398">
        <v>36.11</v>
      </c>
      <c r="CM1464" s="398">
        <v>33.012</v>
      </c>
      <c r="CN1464" s="398">
        <v>29.914000000000001</v>
      </c>
      <c r="CO1464" s="398">
        <v>26.815999999999999</v>
      </c>
      <c r="CP1464" s="398">
        <v>20.065999999999999</v>
      </c>
      <c r="CQ1464" s="398"/>
      <c r="CR1464" s="398"/>
      <c r="CS1464" s="398"/>
      <c r="CT1464" s="398"/>
      <c r="CU1464" s="398"/>
      <c r="CV1464" s="398"/>
      <c r="CW1464" s="398"/>
      <c r="CX1464" s="398"/>
      <c r="CY1464" s="398"/>
      <c r="CZ1464" s="398"/>
      <c r="DA1464" s="398"/>
      <c r="DB1464" s="398"/>
      <c r="DC1464" s="398"/>
      <c r="DD1464" s="398"/>
      <c r="DE1464" s="393"/>
      <c r="DF1464" s="393"/>
      <c r="DG1464" s="393"/>
      <c r="DH1464" s="393"/>
      <c r="DI1464" s="393"/>
      <c r="DJ1464" s="393"/>
      <c r="DK1464" s="897"/>
    </row>
    <row r="1465" spans="1:115" ht="25.5" x14ac:dyDescent="0.2">
      <c r="A1465" s="295">
        <v>1461</v>
      </c>
      <c r="B1465" s="390" t="s">
        <v>2510</v>
      </c>
      <c r="C1465" s="424" t="s">
        <v>7796</v>
      </c>
      <c r="D1465" s="391" t="s">
        <v>5238</v>
      </c>
      <c r="E1465" s="704" t="s">
        <v>953</v>
      </c>
      <c r="F1465" s="393" t="s">
        <v>1352</v>
      </c>
      <c r="G1465" s="393" t="s">
        <v>1671</v>
      </c>
      <c r="H1465" s="393" t="s">
        <v>107</v>
      </c>
      <c r="I1465" s="392"/>
      <c r="J1465" s="392" t="s">
        <v>107</v>
      </c>
      <c r="K1465" s="392"/>
      <c r="L1465" s="392" t="s">
        <v>954</v>
      </c>
      <c r="M1465" s="392" t="s">
        <v>4148</v>
      </c>
      <c r="N1465" s="393" t="s">
        <v>44</v>
      </c>
      <c r="O1465" s="393" t="s">
        <v>827</v>
      </c>
      <c r="P1465" s="393" t="s">
        <v>827</v>
      </c>
      <c r="Q1465" s="392" t="s">
        <v>836</v>
      </c>
      <c r="R1465" s="392"/>
      <c r="S1465" s="392" t="s">
        <v>871</v>
      </c>
      <c r="T1465" s="394">
        <v>2</v>
      </c>
      <c r="U1465" s="395">
        <v>1.8780000000000001</v>
      </c>
      <c r="V1465" s="395"/>
      <c r="W1465" s="452">
        <v>40336</v>
      </c>
      <c r="X1465" s="394">
        <v>28</v>
      </c>
      <c r="Y1465" s="394"/>
      <c r="Z1465" s="394"/>
      <c r="AA1465" s="395"/>
      <c r="AB1465" s="453"/>
      <c r="AC1465" s="398">
        <v>0</v>
      </c>
      <c r="AD1465" s="398">
        <v>18.78</v>
      </c>
      <c r="AE1465" s="393" t="s">
        <v>111</v>
      </c>
      <c r="AF1465" s="417"/>
      <c r="AG1465" s="417"/>
      <c r="AH1465" s="417">
        <v>0</v>
      </c>
      <c r="AI1465" s="394"/>
      <c r="AJ1465" s="453"/>
      <c r="AK1465" s="453"/>
      <c r="AL1465" s="393"/>
      <c r="AM1465" s="393"/>
      <c r="AN1465" s="417"/>
      <c r="AO1465" s="392"/>
      <c r="AP1465" s="392" t="s">
        <v>55</v>
      </c>
      <c r="AQ1465" s="392"/>
      <c r="AR1465" s="392" t="s">
        <v>954</v>
      </c>
      <c r="AS1465" s="479">
        <v>41006</v>
      </c>
      <c r="AT1465" s="453"/>
      <c r="AU1465" s="453" t="s">
        <v>1627</v>
      </c>
      <c r="AV1465" s="452">
        <v>41248</v>
      </c>
      <c r="AW1465" s="452">
        <v>41265</v>
      </c>
      <c r="AX1465" s="452">
        <v>41403</v>
      </c>
      <c r="AY1465" s="452">
        <v>41270</v>
      </c>
      <c r="AZ1465" s="453"/>
      <c r="BA1465" s="393"/>
      <c r="BB1465" s="393" t="s">
        <v>3116</v>
      </c>
      <c r="BC1465" s="393" t="b">
        <v>0</v>
      </c>
      <c r="BD1465" s="393" t="s">
        <v>3147</v>
      </c>
      <c r="BE1465" s="392"/>
      <c r="BF1465" s="394">
        <v>9</v>
      </c>
      <c r="BG1465" s="394">
        <v>8</v>
      </c>
      <c r="BH1465" s="394"/>
      <c r="BI1465" s="394"/>
      <c r="BJ1465" s="394"/>
      <c r="BK1465" s="394"/>
      <c r="BL1465" s="444"/>
      <c r="BM1465" s="392"/>
      <c r="BN1465" s="393"/>
      <c r="BO1465" s="393"/>
      <c r="BP1465" s="399"/>
      <c r="BQ1465" s="400"/>
      <c r="BR1465" s="401"/>
      <c r="BS1465" s="399">
        <v>2.0660099999999999</v>
      </c>
      <c r="BT1465" s="394"/>
      <c r="BU1465" s="417"/>
      <c r="BV1465" s="399"/>
      <c r="BW1465" s="393"/>
      <c r="BX1465" s="392"/>
      <c r="BY1465" s="393"/>
      <c r="BZ1465" s="393"/>
      <c r="CA1465" s="441"/>
      <c r="CB1465" s="400"/>
      <c r="CC1465" s="398"/>
      <c r="CD1465" s="398"/>
      <c r="CE1465" s="398"/>
      <c r="CF1465" s="398"/>
      <c r="CG1465" s="398"/>
      <c r="CH1465" s="398"/>
      <c r="CI1465" s="398"/>
      <c r="CJ1465" s="398"/>
      <c r="CK1465" s="398"/>
      <c r="CL1465" s="398"/>
      <c r="CM1465" s="398"/>
      <c r="CN1465" s="398"/>
      <c r="CO1465" s="398"/>
      <c r="CP1465" s="398"/>
      <c r="CQ1465" s="398"/>
      <c r="CR1465" s="398"/>
      <c r="CS1465" s="398"/>
      <c r="CT1465" s="398"/>
      <c r="CU1465" s="398"/>
      <c r="CV1465" s="398"/>
      <c r="CW1465" s="398"/>
      <c r="CX1465" s="398"/>
      <c r="CY1465" s="398"/>
      <c r="CZ1465" s="398"/>
      <c r="DA1465" s="398"/>
      <c r="DB1465" s="398"/>
      <c r="DC1465" s="398"/>
      <c r="DD1465" s="398"/>
      <c r="DE1465" s="393"/>
      <c r="DF1465" s="393"/>
      <c r="DG1465" s="393"/>
      <c r="DH1465" s="393"/>
      <c r="DI1465" s="393"/>
      <c r="DJ1465" s="393"/>
      <c r="DK1465" s="896" t="s">
        <v>9741</v>
      </c>
    </row>
    <row r="1466" spans="1:115" ht="25.5" x14ac:dyDescent="0.2">
      <c r="A1466" s="295">
        <v>1462</v>
      </c>
      <c r="B1466" s="390" t="s">
        <v>2968</v>
      </c>
      <c r="C1466" s="390"/>
      <c r="D1466" s="391" t="s">
        <v>4977</v>
      </c>
      <c r="E1466" s="704" t="s">
        <v>956</v>
      </c>
      <c r="F1466" s="393" t="s">
        <v>1352</v>
      </c>
      <c r="G1466" s="393" t="s">
        <v>1671</v>
      </c>
      <c r="H1466" s="393" t="s">
        <v>107</v>
      </c>
      <c r="I1466" s="392"/>
      <c r="J1466" s="392"/>
      <c r="K1466" s="392" t="s">
        <v>957</v>
      </c>
      <c r="L1466" s="392" t="s">
        <v>954</v>
      </c>
      <c r="M1466" s="392"/>
      <c r="N1466" s="393" t="s">
        <v>44</v>
      </c>
      <c r="O1466" s="393" t="s">
        <v>827</v>
      </c>
      <c r="P1466" s="393" t="s">
        <v>827</v>
      </c>
      <c r="Q1466" s="392" t="s">
        <v>836</v>
      </c>
      <c r="R1466" s="392" t="s">
        <v>4149</v>
      </c>
      <c r="S1466" s="392" t="s">
        <v>871</v>
      </c>
      <c r="T1466" s="394">
        <v>1</v>
      </c>
      <c r="U1466" s="395">
        <v>0.02</v>
      </c>
      <c r="V1466" s="395"/>
      <c r="W1466" s="453"/>
      <c r="X1466" s="394"/>
      <c r="Y1466" s="394">
        <v>10</v>
      </c>
      <c r="Z1466" s="394">
        <v>10</v>
      </c>
      <c r="AA1466" s="395">
        <v>0</v>
      </c>
      <c r="AB1466" s="452">
        <v>41270</v>
      </c>
      <c r="AC1466" s="398">
        <v>0</v>
      </c>
      <c r="AD1466" s="398">
        <v>0.2</v>
      </c>
      <c r="AE1466" s="393" t="s">
        <v>111</v>
      </c>
      <c r="AF1466" s="417"/>
      <c r="AG1466" s="417"/>
      <c r="AH1466" s="417"/>
      <c r="AI1466" s="394"/>
      <c r="AJ1466" s="453"/>
      <c r="AK1466" s="453"/>
      <c r="AL1466" s="393"/>
      <c r="AM1466" s="393"/>
      <c r="AN1466" s="417"/>
      <c r="AO1466" s="392"/>
      <c r="AP1466" s="392" t="s">
        <v>55</v>
      </c>
      <c r="AQ1466" s="392"/>
      <c r="AR1466" s="392" t="s">
        <v>954</v>
      </c>
      <c r="AS1466" s="479">
        <v>41006</v>
      </c>
      <c r="AT1466" s="453"/>
      <c r="AU1466" s="453" t="s">
        <v>2868</v>
      </c>
      <c r="AV1466" s="453"/>
      <c r="AW1466" s="453"/>
      <c r="AX1466" s="453"/>
      <c r="AY1466" s="453"/>
      <c r="AZ1466" s="452">
        <v>41270</v>
      </c>
      <c r="BA1466" s="393"/>
      <c r="BB1466" s="393"/>
      <c r="BC1466" s="393" t="b">
        <v>0</v>
      </c>
      <c r="BD1466" s="393"/>
      <c r="BE1466" s="392"/>
      <c r="BF1466" s="394">
        <v>9</v>
      </c>
      <c r="BG1466" s="394">
        <v>8</v>
      </c>
      <c r="BH1466" s="394"/>
      <c r="BI1466" s="394"/>
      <c r="BJ1466" s="394"/>
      <c r="BK1466" s="394"/>
      <c r="BL1466" s="444" t="s">
        <v>6981</v>
      </c>
      <c r="BM1466" s="392"/>
      <c r="BN1466" s="393"/>
      <c r="BO1466" s="393"/>
      <c r="BP1466" s="399"/>
      <c r="BQ1466" s="400"/>
      <c r="BR1466" s="401"/>
      <c r="BS1466" s="399">
        <v>2.401E-2</v>
      </c>
      <c r="BT1466" s="394">
        <v>31</v>
      </c>
      <c r="BU1466" s="417">
        <v>0.67889999999999995</v>
      </c>
      <c r="BV1466" s="399"/>
      <c r="BW1466" s="393"/>
      <c r="BX1466" s="392" t="s">
        <v>4364</v>
      </c>
      <c r="BY1466" s="393" t="s">
        <v>7227</v>
      </c>
      <c r="BZ1466" s="393"/>
      <c r="CA1466" s="441"/>
      <c r="CB1466" s="400"/>
      <c r="CC1466" s="398"/>
      <c r="CD1466" s="398"/>
      <c r="CE1466" s="398"/>
      <c r="CF1466" s="398"/>
      <c r="CG1466" s="398"/>
      <c r="CH1466" s="398"/>
      <c r="CI1466" s="398">
        <v>2.0899999999999998E-3</v>
      </c>
      <c r="CJ1466" s="398">
        <v>2.0899999999999998E-3</v>
      </c>
      <c r="CK1466" s="398">
        <v>2.0899999999999998E-3</v>
      </c>
      <c r="CL1466" s="398">
        <v>2.0899999999999998E-3</v>
      </c>
      <c r="CM1466" s="398">
        <v>2.0899999999999998E-3</v>
      </c>
      <c r="CN1466" s="398">
        <v>2.0899999999999998E-3</v>
      </c>
      <c r="CO1466" s="398">
        <v>2.0899999999999998E-3</v>
      </c>
      <c r="CP1466" s="398">
        <v>2.0899999999999998E-3</v>
      </c>
      <c r="CQ1466" s="398">
        <v>2.0899999999999998E-3</v>
      </c>
      <c r="CR1466" s="398">
        <v>2.0899999999999998E-3</v>
      </c>
      <c r="CS1466" s="398"/>
      <c r="CT1466" s="398"/>
      <c r="CU1466" s="398"/>
      <c r="CV1466" s="398"/>
      <c r="CW1466" s="398"/>
      <c r="CX1466" s="398"/>
      <c r="CY1466" s="398"/>
      <c r="CZ1466" s="398"/>
      <c r="DA1466" s="398"/>
      <c r="DB1466" s="398"/>
      <c r="DC1466" s="398"/>
      <c r="DD1466" s="398"/>
      <c r="DE1466" s="393"/>
      <c r="DF1466" s="393"/>
      <c r="DG1466" s="393"/>
      <c r="DH1466" s="393"/>
      <c r="DI1466" s="393"/>
      <c r="DJ1466" s="393"/>
      <c r="DK1466" s="897"/>
    </row>
    <row r="1467" spans="1:115" ht="38.25" x14ac:dyDescent="0.2">
      <c r="A1467" s="295">
        <v>1463</v>
      </c>
      <c r="B1467" s="390" t="s">
        <v>5825</v>
      </c>
      <c r="C1467" s="390"/>
      <c r="D1467" s="391" t="s">
        <v>5826</v>
      </c>
      <c r="E1467" s="704" t="s">
        <v>5827</v>
      </c>
      <c r="F1467" s="393" t="s">
        <v>1352</v>
      </c>
      <c r="G1467" s="393" t="s">
        <v>1671</v>
      </c>
      <c r="H1467" s="393" t="s">
        <v>107</v>
      </c>
      <c r="I1467" s="392"/>
      <c r="J1467" s="392"/>
      <c r="K1467" s="392" t="s">
        <v>957</v>
      </c>
      <c r="L1467" s="392" t="s">
        <v>954</v>
      </c>
      <c r="M1467" s="392"/>
      <c r="N1467" s="393" t="s">
        <v>44</v>
      </c>
      <c r="O1467" s="393" t="s">
        <v>827</v>
      </c>
      <c r="P1467" s="393" t="s">
        <v>827</v>
      </c>
      <c r="Q1467" s="392" t="s">
        <v>836</v>
      </c>
      <c r="R1467" s="392" t="s">
        <v>5828</v>
      </c>
      <c r="S1467" s="392" t="s">
        <v>871</v>
      </c>
      <c r="T1467" s="394">
        <v>1</v>
      </c>
      <c r="U1467" s="395">
        <v>1.8580000000000001</v>
      </c>
      <c r="V1467" s="395"/>
      <c r="W1467" s="453"/>
      <c r="X1467" s="394"/>
      <c r="Y1467" s="394">
        <v>10</v>
      </c>
      <c r="Z1467" s="394">
        <v>20</v>
      </c>
      <c r="AA1467" s="395">
        <v>0</v>
      </c>
      <c r="AB1467" s="452">
        <v>41671</v>
      </c>
      <c r="AC1467" s="398">
        <v>0</v>
      </c>
      <c r="AD1467" s="398">
        <v>18.580000000000002</v>
      </c>
      <c r="AE1467" s="393" t="s">
        <v>111</v>
      </c>
      <c r="AF1467" s="417"/>
      <c r="AG1467" s="417"/>
      <c r="AH1467" s="417"/>
      <c r="AI1467" s="394"/>
      <c r="AJ1467" s="453"/>
      <c r="AK1467" s="453"/>
      <c r="AL1467" s="393"/>
      <c r="AM1467" s="393"/>
      <c r="AN1467" s="417"/>
      <c r="AO1467" s="392"/>
      <c r="AP1467" s="392"/>
      <c r="AQ1467" s="392"/>
      <c r="AR1467" s="392" t="s">
        <v>954</v>
      </c>
      <c r="AS1467" s="479">
        <v>41006</v>
      </c>
      <c r="AT1467" s="453"/>
      <c r="AU1467" s="453"/>
      <c r="AV1467" s="453"/>
      <c r="AW1467" s="453"/>
      <c r="AX1467" s="453"/>
      <c r="AY1467" s="453"/>
      <c r="AZ1467" s="452">
        <v>41667</v>
      </c>
      <c r="BA1467" s="393"/>
      <c r="BB1467" s="393"/>
      <c r="BC1467" s="393" t="b">
        <v>0</v>
      </c>
      <c r="BD1467" s="393"/>
      <c r="BE1467" s="392"/>
      <c r="BF1467" s="394">
        <v>9</v>
      </c>
      <c r="BG1467" s="394">
        <v>8</v>
      </c>
      <c r="BH1467" s="394"/>
      <c r="BI1467" s="394"/>
      <c r="BJ1467" s="394"/>
      <c r="BK1467" s="394"/>
      <c r="BL1467" s="444" t="s">
        <v>6981</v>
      </c>
      <c r="BM1467" s="392"/>
      <c r="BN1467" s="393"/>
      <c r="BO1467" s="393"/>
      <c r="BP1467" s="399"/>
      <c r="BQ1467" s="400"/>
      <c r="BR1467" s="401"/>
      <c r="BS1467" s="399">
        <v>2.0419999999999998</v>
      </c>
      <c r="BT1467" s="394">
        <v>2737</v>
      </c>
      <c r="BU1467" s="417"/>
      <c r="BV1467" s="399"/>
      <c r="BW1467" s="393"/>
      <c r="BX1467" s="392" t="s">
        <v>4364</v>
      </c>
      <c r="BY1467" s="393" t="s">
        <v>7227</v>
      </c>
      <c r="BZ1467" s="393"/>
      <c r="CA1467" s="441"/>
      <c r="CB1467" s="400"/>
      <c r="CC1467" s="398"/>
      <c r="CD1467" s="398"/>
      <c r="CE1467" s="398"/>
      <c r="CF1467" s="398"/>
      <c r="CG1467" s="398"/>
      <c r="CH1467" s="398"/>
      <c r="CI1467" s="398"/>
      <c r="CJ1467" s="398">
        <v>1.8580000000000001</v>
      </c>
      <c r="CK1467" s="398">
        <v>1.8580000000000001</v>
      </c>
      <c r="CL1467" s="398">
        <v>1.8580000000000001</v>
      </c>
      <c r="CM1467" s="398">
        <v>1.8580000000000001</v>
      </c>
      <c r="CN1467" s="398">
        <v>1.8580000000000001</v>
      </c>
      <c r="CO1467" s="398">
        <v>1.8580000000000001</v>
      </c>
      <c r="CP1467" s="398">
        <v>1.8580000000000001</v>
      </c>
      <c r="CQ1467" s="398">
        <v>1.8580000000000001</v>
      </c>
      <c r="CR1467" s="398">
        <v>1.8580000000000001</v>
      </c>
      <c r="CS1467" s="398">
        <v>1.8580000000000001</v>
      </c>
      <c r="CT1467" s="398"/>
      <c r="CU1467" s="398"/>
      <c r="CV1467" s="398"/>
      <c r="CW1467" s="398"/>
      <c r="CX1467" s="398"/>
      <c r="CY1467" s="398"/>
      <c r="CZ1467" s="398"/>
      <c r="DA1467" s="398"/>
      <c r="DB1467" s="398"/>
      <c r="DC1467" s="398"/>
      <c r="DD1467" s="398"/>
      <c r="DE1467" s="393"/>
      <c r="DF1467" s="393"/>
      <c r="DG1467" s="393"/>
      <c r="DH1467" s="393"/>
      <c r="DI1467" s="393"/>
      <c r="DJ1467" s="393"/>
      <c r="DK1467" s="897"/>
    </row>
    <row r="1468" spans="1:115" ht="25.5" x14ac:dyDescent="0.2">
      <c r="A1468" s="295">
        <v>1464</v>
      </c>
      <c r="B1468" s="390" t="s">
        <v>2987</v>
      </c>
      <c r="C1468" s="424" t="s">
        <v>7797</v>
      </c>
      <c r="D1468" s="391" t="s">
        <v>5239</v>
      </c>
      <c r="E1468" s="704" t="s">
        <v>2988</v>
      </c>
      <c r="F1468" s="393" t="s">
        <v>1352</v>
      </c>
      <c r="G1468" s="393" t="s">
        <v>1673</v>
      </c>
      <c r="H1468" s="393" t="s">
        <v>239</v>
      </c>
      <c r="I1468" s="392"/>
      <c r="J1468" s="392" t="s">
        <v>239</v>
      </c>
      <c r="K1468" s="392"/>
      <c r="L1468" s="392" t="s">
        <v>2989</v>
      </c>
      <c r="M1468" s="392" t="s">
        <v>3701</v>
      </c>
      <c r="N1468" s="393" t="s">
        <v>44</v>
      </c>
      <c r="O1468" s="393" t="s">
        <v>827</v>
      </c>
      <c r="P1468" s="393" t="s">
        <v>827</v>
      </c>
      <c r="Q1468" s="392" t="s">
        <v>836</v>
      </c>
      <c r="R1468" s="392"/>
      <c r="S1468" s="392" t="s">
        <v>650</v>
      </c>
      <c r="T1468" s="394">
        <v>1</v>
      </c>
      <c r="U1468" s="395">
        <v>32.07</v>
      </c>
      <c r="V1468" s="395"/>
      <c r="W1468" s="452">
        <v>41122</v>
      </c>
      <c r="X1468" s="394">
        <v>28</v>
      </c>
      <c r="Y1468" s="394"/>
      <c r="Z1468" s="394"/>
      <c r="AA1468" s="395"/>
      <c r="AB1468" s="453"/>
      <c r="AC1468" s="398">
        <v>0</v>
      </c>
      <c r="AD1468" s="398">
        <v>257.35076712328765</v>
      </c>
      <c r="AE1468" s="393" t="s">
        <v>96</v>
      </c>
      <c r="AF1468" s="417"/>
      <c r="AG1468" s="417"/>
      <c r="AH1468" s="417">
        <v>0</v>
      </c>
      <c r="AI1468" s="394"/>
      <c r="AJ1468" s="453"/>
      <c r="AK1468" s="453"/>
      <c r="AL1468" s="393"/>
      <c r="AM1468" s="393"/>
      <c r="AN1468" s="417"/>
      <c r="AO1468" s="392"/>
      <c r="AP1468" s="392" t="s">
        <v>55</v>
      </c>
      <c r="AQ1468" s="392"/>
      <c r="AR1468" s="392" t="s">
        <v>2990</v>
      </c>
      <c r="AS1468" s="479">
        <v>41122</v>
      </c>
      <c r="AT1468" s="453"/>
      <c r="AU1468" s="453"/>
      <c r="AV1468" s="452">
        <v>41198</v>
      </c>
      <c r="AW1468" s="452">
        <v>41265</v>
      </c>
      <c r="AX1468" s="452">
        <v>41362</v>
      </c>
      <c r="AY1468" s="452">
        <v>41267</v>
      </c>
      <c r="AZ1468" s="453"/>
      <c r="BA1468" s="393"/>
      <c r="BB1468" s="393" t="s">
        <v>3147</v>
      </c>
      <c r="BC1468" s="393" t="b">
        <v>1</v>
      </c>
      <c r="BD1468" s="393" t="s">
        <v>3310</v>
      </c>
      <c r="BE1468" s="392" t="s">
        <v>6245</v>
      </c>
      <c r="BF1468" s="394">
        <v>5</v>
      </c>
      <c r="BG1468" s="394">
        <v>10</v>
      </c>
      <c r="BH1468" s="394">
        <v>12</v>
      </c>
      <c r="BI1468" s="394"/>
      <c r="BJ1468" s="394"/>
      <c r="BK1468" s="394"/>
      <c r="BL1468" s="444"/>
      <c r="BM1468" s="392"/>
      <c r="BN1468" s="393"/>
      <c r="BO1468" s="393"/>
      <c r="BP1468" s="399"/>
      <c r="BQ1468" s="400"/>
      <c r="BR1468" s="401"/>
      <c r="BS1468" s="399">
        <v>50</v>
      </c>
      <c r="BT1468" s="394"/>
      <c r="BU1468" s="417"/>
      <c r="BV1468" s="399"/>
      <c r="BW1468" s="393"/>
      <c r="BX1468" s="392"/>
      <c r="BY1468" s="393"/>
      <c r="BZ1468" s="393"/>
      <c r="CA1468" s="441"/>
      <c r="CB1468" s="400"/>
      <c r="CC1468" s="398"/>
      <c r="CD1468" s="398"/>
      <c r="CE1468" s="398"/>
      <c r="CF1468" s="398"/>
      <c r="CG1468" s="398"/>
      <c r="CH1468" s="398"/>
      <c r="CI1468" s="398"/>
      <c r="CJ1468" s="398"/>
      <c r="CK1468" s="398"/>
      <c r="CL1468" s="398"/>
      <c r="CM1468" s="398"/>
      <c r="CN1468" s="398"/>
      <c r="CO1468" s="398"/>
      <c r="CP1468" s="398"/>
      <c r="CQ1468" s="398"/>
      <c r="CR1468" s="398"/>
      <c r="CS1468" s="398"/>
      <c r="CT1468" s="398"/>
      <c r="CU1468" s="398"/>
      <c r="CV1468" s="398"/>
      <c r="CW1468" s="398"/>
      <c r="CX1468" s="398"/>
      <c r="CY1468" s="398"/>
      <c r="CZ1468" s="398"/>
      <c r="DA1468" s="398"/>
      <c r="DB1468" s="398"/>
      <c r="DC1468" s="398"/>
      <c r="DD1468" s="398"/>
      <c r="DE1468" s="393"/>
      <c r="DF1468" s="393"/>
      <c r="DG1468" s="393"/>
      <c r="DH1468" s="393"/>
      <c r="DI1468" s="393"/>
      <c r="DJ1468" s="393"/>
      <c r="DK1468" s="896" t="s">
        <v>9701</v>
      </c>
    </row>
    <row r="1469" spans="1:115" ht="25.5" x14ac:dyDescent="0.2">
      <c r="A1469" s="295">
        <v>1465</v>
      </c>
      <c r="B1469" s="390" t="s">
        <v>2991</v>
      </c>
      <c r="C1469" s="390"/>
      <c r="D1469" s="391" t="s">
        <v>4636</v>
      </c>
      <c r="E1469" s="704" t="s">
        <v>2992</v>
      </c>
      <c r="F1469" s="393" t="s">
        <v>1352</v>
      </c>
      <c r="G1469" s="393" t="s">
        <v>1673</v>
      </c>
      <c r="H1469" s="393" t="s">
        <v>239</v>
      </c>
      <c r="I1469" s="392"/>
      <c r="J1469" s="392"/>
      <c r="K1469" s="392" t="s">
        <v>242</v>
      </c>
      <c r="L1469" s="392" t="s">
        <v>2989</v>
      </c>
      <c r="M1469" s="392"/>
      <c r="N1469" s="393" t="s">
        <v>44</v>
      </c>
      <c r="O1469" s="393" t="s">
        <v>827</v>
      </c>
      <c r="P1469" s="393" t="s">
        <v>827</v>
      </c>
      <c r="Q1469" s="392" t="s">
        <v>836</v>
      </c>
      <c r="R1469" s="392" t="s">
        <v>3702</v>
      </c>
      <c r="S1469" s="392" t="s">
        <v>650</v>
      </c>
      <c r="T1469" s="394">
        <v>1</v>
      </c>
      <c r="U1469" s="395">
        <v>32.07</v>
      </c>
      <c r="V1469" s="395"/>
      <c r="W1469" s="453"/>
      <c r="X1469" s="394"/>
      <c r="Y1469" s="394">
        <v>7</v>
      </c>
      <c r="Z1469" s="394">
        <v>25</v>
      </c>
      <c r="AA1469" s="395">
        <v>0</v>
      </c>
      <c r="AB1469" s="452">
        <v>41267</v>
      </c>
      <c r="AC1469" s="398">
        <v>0</v>
      </c>
      <c r="AD1469" s="398">
        <v>257.35076712328765</v>
      </c>
      <c r="AE1469" s="393" t="s">
        <v>96</v>
      </c>
      <c r="AF1469" s="417"/>
      <c r="AG1469" s="417"/>
      <c r="AH1469" s="417"/>
      <c r="AI1469" s="394"/>
      <c r="AJ1469" s="453"/>
      <c r="AK1469" s="453"/>
      <c r="AL1469" s="393"/>
      <c r="AM1469" s="393"/>
      <c r="AN1469" s="417"/>
      <c r="AO1469" s="392"/>
      <c r="AP1469" s="392" t="s">
        <v>55</v>
      </c>
      <c r="AQ1469" s="392"/>
      <c r="AR1469" s="392" t="s">
        <v>2990</v>
      </c>
      <c r="AS1469" s="479">
        <v>41122</v>
      </c>
      <c r="AT1469" s="453"/>
      <c r="AU1469" s="453"/>
      <c r="AV1469" s="453"/>
      <c r="AW1469" s="453"/>
      <c r="AX1469" s="453"/>
      <c r="AY1469" s="453"/>
      <c r="AZ1469" s="452">
        <v>41267</v>
      </c>
      <c r="BA1469" s="393"/>
      <c r="BB1469" s="393"/>
      <c r="BC1469" s="393" t="b">
        <v>0</v>
      </c>
      <c r="BD1469" s="393"/>
      <c r="BE1469" s="392"/>
      <c r="BF1469" s="394">
        <v>5</v>
      </c>
      <c r="BG1469" s="394">
        <v>10</v>
      </c>
      <c r="BH1469" s="394">
        <v>12</v>
      </c>
      <c r="BI1469" s="394"/>
      <c r="BJ1469" s="394"/>
      <c r="BK1469" s="394"/>
      <c r="BL1469" s="444" t="s">
        <v>1451</v>
      </c>
      <c r="BM1469" s="392"/>
      <c r="BN1469" s="393" t="s">
        <v>3288</v>
      </c>
      <c r="BO1469" s="393"/>
      <c r="BP1469" s="399"/>
      <c r="BQ1469" s="400"/>
      <c r="BR1469" s="401"/>
      <c r="BS1469" s="399">
        <v>50</v>
      </c>
      <c r="BT1469" s="394">
        <v>78000</v>
      </c>
      <c r="BU1469" s="417">
        <v>0.53939999999999999</v>
      </c>
      <c r="BV1469" s="399"/>
      <c r="BW1469" s="393" t="s">
        <v>3117</v>
      </c>
      <c r="BX1469" s="392" t="s">
        <v>3831</v>
      </c>
      <c r="BY1469" s="393"/>
      <c r="BZ1469" s="393"/>
      <c r="CA1469" s="441"/>
      <c r="CB1469" s="400"/>
      <c r="CC1469" s="398"/>
      <c r="CD1469" s="398"/>
      <c r="CE1469" s="398"/>
      <c r="CF1469" s="398"/>
      <c r="CG1469" s="398"/>
      <c r="CH1469" s="398"/>
      <c r="CI1469" s="398"/>
      <c r="CJ1469" s="398">
        <v>32.07</v>
      </c>
      <c r="CK1469" s="398">
        <v>32.07</v>
      </c>
      <c r="CL1469" s="398">
        <v>32.07</v>
      </c>
      <c r="CM1469" s="398">
        <v>32.07</v>
      </c>
      <c r="CN1469" s="398">
        <v>32.07</v>
      </c>
      <c r="CO1469" s="398">
        <v>32.07</v>
      </c>
      <c r="CP1469" s="398">
        <v>32.07</v>
      </c>
      <c r="CQ1469" s="398">
        <v>32.07</v>
      </c>
      <c r="CR1469" s="398">
        <v>32.07</v>
      </c>
      <c r="CS1469" s="398">
        <v>32.07</v>
      </c>
      <c r="CT1469" s="398"/>
      <c r="CU1469" s="398"/>
      <c r="CV1469" s="398"/>
      <c r="CW1469" s="398"/>
      <c r="CX1469" s="398"/>
      <c r="CY1469" s="398"/>
      <c r="CZ1469" s="398"/>
      <c r="DA1469" s="398"/>
      <c r="DB1469" s="398"/>
      <c r="DC1469" s="398"/>
      <c r="DD1469" s="398"/>
      <c r="DE1469" s="393"/>
      <c r="DF1469" s="393"/>
      <c r="DG1469" s="393"/>
      <c r="DH1469" s="393"/>
      <c r="DI1469" s="393"/>
      <c r="DJ1469" s="393"/>
      <c r="DK1469" s="897"/>
    </row>
    <row r="1470" spans="1:115" ht="38.25" x14ac:dyDescent="0.2">
      <c r="A1470" s="295">
        <v>1466</v>
      </c>
      <c r="B1470" s="390" t="s">
        <v>2993</v>
      </c>
      <c r="C1470" s="424" t="s">
        <v>7798</v>
      </c>
      <c r="D1470" s="391" t="s">
        <v>5450</v>
      </c>
      <c r="E1470" s="704" t="s">
        <v>5451</v>
      </c>
      <c r="F1470" s="393" t="s">
        <v>1340</v>
      </c>
      <c r="G1470" s="393" t="s">
        <v>1677</v>
      </c>
      <c r="H1470" s="393" t="s">
        <v>253</v>
      </c>
      <c r="I1470" s="392"/>
      <c r="J1470" s="392" t="s">
        <v>253</v>
      </c>
      <c r="K1470" s="392"/>
      <c r="L1470" s="392" t="s">
        <v>2994</v>
      </c>
      <c r="M1470" s="392" t="s">
        <v>3703</v>
      </c>
      <c r="N1470" s="393" t="s">
        <v>44</v>
      </c>
      <c r="O1470" s="393" t="s">
        <v>1294</v>
      </c>
      <c r="P1470" s="393" t="s">
        <v>1294</v>
      </c>
      <c r="Q1470" s="392" t="s">
        <v>1293</v>
      </c>
      <c r="R1470" s="392"/>
      <c r="S1470" s="392" t="s">
        <v>2340</v>
      </c>
      <c r="T1470" s="394">
        <v>1</v>
      </c>
      <c r="U1470" s="395">
        <v>159.63999999999999</v>
      </c>
      <c r="V1470" s="395"/>
      <c r="W1470" s="452">
        <v>41123</v>
      </c>
      <c r="X1470" s="394">
        <v>28</v>
      </c>
      <c r="Y1470" s="394"/>
      <c r="Z1470" s="394"/>
      <c r="AA1470" s="395"/>
      <c r="AB1470" s="453"/>
      <c r="AC1470" s="398">
        <v>0</v>
      </c>
      <c r="AD1470" s="398">
        <v>1596.3999999999999</v>
      </c>
      <c r="AE1470" s="393" t="s">
        <v>9525</v>
      </c>
      <c r="AF1470" s="417"/>
      <c r="AG1470" s="417"/>
      <c r="AH1470" s="417">
        <v>0</v>
      </c>
      <c r="AI1470" s="394"/>
      <c r="AJ1470" s="453"/>
      <c r="AK1470" s="453"/>
      <c r="AL1470" s="393"/>
      <c r="AM1470" s="393"/>
      <c r="AN1470" s="417"/>
      <c r="AO1470" s="392"/>
      <c r="AP1470" s="392" t="s">
        <v>55</v>
      </c>
      <c r="AQ1470" s="392"/>
      <c r="AR1470" s="392" t="s">
        <v>55</v>
      </c>
      <c r="AS1470" s="479">
        <v>41123</v>
      </c>
      <c r="AT1470" s="453"/>
      <c r="AU1470" s="453"/>
      <c r="AV1470" s="452">
        <v>41264</v>
      </c>
      <c r="AW1470" s="452">
        <v>41274</v>
      </c>
      <c r="AX1470" s="452">
        <v>41466</v>
      </c>
      <c r="AY1470" s="452">
        <v>41274</v>
      </c>
      <c r="AZ1470" s="453"/>
      <c r="BA1470" s="393"/>
      <c r="BB1470" s="393" t="s">
        <v>3147</v>
      </c>
      <c r="BC1470" s="393" t="b">
        <v>1</v>
      </c>
      <c r="BD1470" s="393" t="s">
        <v>3147</v>
      </c>
      <c r="BE1470" s="392"/>
      <c r="BF1470" s="394">
        <v>5</v>
      </c>
      <c r="BG1470" s="394">
        <v>7</v>
      </c>
      <c r="BH1470" s="394">
        <v>9</v>
      </c>
      <c r="BI1470" s="394"/>
      <c r="BJ1470" s="394"/>
      <c r="BK1470" s="394"/>
      <c r="BL1470" s="444"/>
      <c r="BM1470" s="392"/>
      <c r="BN1470" s="393"/>
      <c r="BO1470" s="393"/>
      <c r="BP1470" s="399"/>
      <c r="BQ1470" s="400"/>
      <c r="BR1470" s="401"/>
      <c r="BS1470" s="399">
        <v>0</v>
      </c>
      <c r="BT1470" s="394"/>
      <c r="BU1470" s="417"/>
      <c r="BV1470" s="399"/>
      <c r="BW1470" s="393"/>
      <c r="BX1470" s="392"/>
      <c r="BY1470" s="393"/>
      <c r="BZ1470" s="393"/>
      <c r="CA1470" s="441"/>
      <c r="CB1470" s="400"/>
      <c r="CC1470" s="398"/>
      <c r="CD1470" s="398"/>
      <c r="CE1470" s="398"/>
      <c r="CF1470" s="398"/>
      <c r="CG1470" s="398"/>
      <c r="CH1470" s="398"/>
      <c r="CI1470" s="398"/>
      <c r="CJ1470" s="398"/>
      <c r="CK1470" s="398"/>
      <c r="CL1470" s="398"/>
      <c r="CM1470" s="398"/>
      <c r="CN1470" s="398"/>
      <c r="CO1470" s="398"/>
      <c r="CP1470" s="398"/>
      <c r="CQ1470" s="398"/>
      <c r="CR1470" s="398"/>
      <c r="CS1470" s="398"/>
      <c r="CT1470" s="398"/>
      <c r="CU1470" s="398"/>
      <c r="CV1470" s="398"/>
      <c r="CW1470" s="398"/>
      <c r="CX1470" s="398"/>
      <c r="CY1470" s="398"/>
      <c r="CZ1470" s="398"/>
      <c r="DA1470" s="398"/>
      <c r="DB1470" s="398"/>
      <c r="DC1470" s="398"/>
      <c r="DD1470" s="398"/>
      <c r="DE1470" s="393"/>
      <c r="DF1470" s="393"/>
      <c r="DG1470" s="393"/>
      <c r="DH1470" s="393"/>
      <c r="DI1470" s="393"/>
      <c r="DJ1470" s="393"/>
      <c r="DK1470" s="896" t="s">
        <v>9700</v>
      </c>
    </row>
    <row r="1471" spans="1:115" ht="38.25" x14ac:dyDescent="0.2">
      <c r="A1471" s="295">
        <v>1467</v>
      </c>
      <c r="B1471" s="390" t="s">
        <v>2995</v>
      </c>
      <c r="C1471" s="390"/>
      <c r="D1471" s="391" t="s">
        <v>5452</v>
      </c>
      <c r="E1471" s="704" t="s">
        <v>2996</v>
      </c>
      <c r="F1471" s="393" t="s">
        <v>1340</v>
      </c>
      <c r="G1471" s="393" t="s">
        <v>1677</v>
      </c>
      <c r="H1471" s="393" t="s">
        <v>253</v>
      </c>
      <c r="I1471" s="392"/>
      <c r="J1471" s="392"/>
      <c r="K1471" s="392" t="s">
        <v>2997</v>
      </c>
      <c r="L1471" s="392" t="s">
        <v>2994</v>
      </c>
      <c r="M1471" s="392"/>
      <c r="N1471" s="393" t="s">
        <v>44</v>
      </c>
      <c r="O1471" s="393" t="s">
        <v>1294</v>
      </c>
      <c r="P1471" s="393" t="s">
        <v>1294</v>
      </c>
      <c r="Q1471" s="392" t="s">
        <v>1293</v>
      </c>
      <c r="R1471" s="392" t="s">
        <v>3704</v>
      </c>
      <c r="S1471" s="392" t="s">
        <v>2340</v>
      </c>
      <c r="T1471" s="394">
        <v>1</v>
      </c>
      <c r="U1471" s="395">
        <v>159.63999999999999</v>
      </c>
      <c r="V1471" s="395"/>
      <c r="W1471" s="453"/>
      <c r="X1471" s="394"/>
      <c r="Y1471" s="394">
        <v>10</v>
      </c>
      <c r="Z1471" s="394">
        <v>12</v>
      </c>
      <c r="AA1471" s="395">
        <v>0</v>
      </c>
      <c r="AB1471" s="452">
        <v>41518</v>
      </c>
      <c r="AC1471" s="398">
        <v>0</v>
      </c>
      <c r="AD1471" s="398">
        <v>1596.3999999999999</v>
      </c>
      <c r="AE1471" s="393" t="s">
        <v>9525</v>
      </c>
      <c r="AF1471" s="417"/>
      <c r="AG1471" s="417"/>
      <c r="AH1471" s="417"/>
      <c r="AI1471" s="394"/>
      <c r="AJ1471" s="453"/>
      <c r="AK1471" s="453"/>
      <c r="AL1471" s="393"/>
      <c r="AM1471" s="393"/>
      <c r="AN1471" s="417"/>
      <c r="AO1471" s="392"/>
      <c r="AP1471" s="392" t="s">
        <v>55</v>
      </c>
      <c r="AQ1471" s="392"/>
      <c r="AR1471" s="392" t="s">
        <v>55</v>
      </c>
      <c r="AS1471" s="479">
        <v>41123</v>
      </c>
      <c r="AT1471" s="453"/>
      <c r="AU1471" s="453"/>
      <c r="AV1471" s="453"/>
      <c r="AW1471" s="453"/>
      <c r="AX1471" s="453"/>
      <c r="AY1471" s="453"/>
      <c r="AZ1471" s="452">
        <v>41274</v>
      </c>
      <c r="BA1471" s="393"/>
      <c r="BB1471" s="393"/>
      <c r="BC1471" s="393" t="b">
        <v>0</v>
      </c>
      <c r="BD1471" s="393"/>
      <c r="BE1471" s="392"/>
      <c r="BF1471" s="394">
        <v>5</v>
      </c>
      <c r="BG1471" s="394">
        <v>7</v>
      </c>
      <c r="BH1471" s="394">
        <v>9</v>
      </c>
      <c r="BI1471" s="394"/>
      <c r="BJ1471" s="394"/>
      <c r="BK1471" s="394"/>
      <c r="BL1471" s="444" t="s">
        <v>6981</v>
      </c>
      <c r="BM1471" s="392"/>
      <c r="BN1471" s="393"/>
      <c r="BO1471" s="393"/>
      <c r="BP1471" s="399"/>
      <c r="BQ1471" s="400"/>
      <c r="BR1471" s="401"/>
      <c r="BS1471" s="399"/>
      <c r="BT1471" s="394"/>
      <c r="BU1471" s="417"/>
      <c r="BV1471" s="399"/>
      <c r="BW1471" s="393" t="s">
        <v>3117</v>
      </c>
      <c r="BX1471" s="392" t="s">
        <v>3154</v>
      </c>
      <c r="BY1471" s="393"/>
      <c r="BZ1471" s="393"/>
      <c r="CA1471" s="441" t="s">
        <v>1662</v>
      </c>
      <c r="CB1471" s="400">
        <v>3</v>
      </c>
      <c r="CC1471" s="398"/>
      <c r="CD1471" s="398"/>
      <c r="CE1471" s="398"/>
      <c r="CF1471" s="398"/>
      <c r="CG1471" s="398"/>
      <c r="CH1471" s="398"/>
      <c r="CI1471" s="398">
        <v>84.406999999999996</v>
      </c>
      <c r="CJ1471" s="398">
        <v>145.65299999999999</v>
      </c>
      <c r="CK1471" s="398">
        <v>171.81</v>
      </c>
      <c r="CL1471" s="398">
        <v>171.81</v>
      </c>
      <c r="CM1471" s="398">
        <v>171.81</v>
      </c>
      <c r="CN1471" s="398">
        <v>171.81</v>
      </c>
      <c r="CO1471" s="398">
        <v>171.81</v>
      </c>
      <c r="CP1471" s="398">
        <v>171.81</v>
      </c>
      <c r="CQ1471" s="398">
        <v>171.81</v>
      </c>
      <c r="CR1471" s="398">
        <v>171.81</v>
      </c>
      <c r="CS1471" s="398"/>
      <c r="CT1471" s="398"/>
      <c r="CU1471" s="398"/>
      <c r="CV1471" s="398"/>
      <c r="CW1471" s="398"/>
      <c r="CX1471" s="398"/>
      <c r="CY1471" s="398"/>
      <c r="CZ1471" s="398"/>
      <c r="DA1471" s="398"/>
      <c r="DB1471" s="398"/>
      <c r="DC1471" s="398"/>
      <c r="DD1471" s="398"/>
      <c r="DE1471" s="393"/>
      <c r="DF1471" s="393"/>
      <c r="DG1471" s="393"/>
      <c r="DH1471" s="393"/>
      <c r="DI1471" s="393"/>
      <c r="DJ1471" s="393"/>
      <c r="DK1471" s="897"/>
    </row>
    <row r="1472" spans="1:115" ht="63.75" x14ac:dyDescent="0.2">
      <c r="A1472" s="295">
        <v>1468</v>
      </c>
      <c r="B1472" s="390" t="s">
        <v>2998</v>
      </c>
      <c r="C1472" s="424" t="s">
        <v>7799</v>
      </c>
      <c r="D1472" s="391" t="s">
        <v>5906</v>
      </c>
      <c r="E1472" s="705" t="s">
        <v>2999</v>
      </c>
      <c r="F1472" s="393" t="s">
        <v>1375</v>
      </c>
      <c r="G1472" s="393" t="s">
        <v>998</v>
      </c>
      <c r="H1472" s="393" t="s">
        <v>1703</v>
      </c>
      <c r="I1472" s="428" t="s">
        <v>8113</v>
      </c>
      <c r="J1472" s="428" t="s">
        <v>8114</v>
      </c>
      <c r="K1472" s="392"/>
      <c r="L1472" s="392" t="s">
        <v>3000</v>
      </c>
      <c r="M1472" s="392" t="s">
        <v>3705</v>
      </c>
      <c r="N1472" s="393" t="s">
        <v>44</v>
      </c>
      <c r="O1472" s="393" t="s">
        <v>51</v>
      </c>
      <c r="P1472" s="393" t="s">
        <v>51</v>
      </c>
      <c r="Q1472" s="392" t="s">
        <v>976</v>
      </c>
      <c r="R1472" s="392"/>
      <c r="S1472" s="428" t="s">
        <v>977</v>
      </c>
      <c r="T1472" s="394">
        <v>16</v>
      </c>
      <c r="U1472" s="395">
        <v>433.92</v>
      </c>
      <c r="V1472" s="395"/>
      <c r="W1472" s="452">
        <v>41183</v>
      </c>
      <c r="X1472" s="394">
        <v>28</v>
      </c>
      <c r="Y1472" s="394"/>
      <c r="Z1472" s="394"/>
      <c r="AA1472" s="395"/>
      <c r="AB1472" s="453"/>
      <c r="AC1472" s="398">
        <v>0</v>
      </c>
      <c r="AD1472" s="398">
        <v>2578.6493041095891</v>
      </c>
      <c r="AE1472" s="393" t="s">
        <v>54</v>
      </c>
      <c r="AF1472" s="417">
        <f>SUM(AF1473:AF1479)</f>
        <v>0</v>
      </c>
      <c r="AG1472" s="417">
        <f>SUM(AG1473:AG1479)</f>
        <v>136.80600000000001</v>
      </c>
      <c r="AH1472" s="417">
        <v>136.80600000000001</v>
      </c>
      <c r="AI1472" s="394">
        <v>1</v>
      </c>
      <c r="AJ1472" s="452">
        <v>42306</v>
      </c>
      <c r="AK1472" s="452">
        <v>42261</v>
      </c>
      <c r="AL1472" s="393"/>
      <c r="AM1472" s="393"/>
      <c r="AN1472" s="417">
        <f>30.75+3.075</f>
        <v>33.825000000000003</v>
      </c>
      <c r="AO1472" s="392"/>
      <c r="AP1472" s="428" t="s">
        <v>7071</v>
      </c>
      <c r="AQ1472" s="392"/>
      <c r="AR1472" s="392" t="s">
        <v>6469</v>
      </c>
      <c r="AS1472" s="479">
        <v>41123</v>
      </c>
      <c r="AT1472" s="453"/>
      <c r="AU1472" s="453"/>
      <c r="AV1472" s="452">
        <v>41192</v>
      </c>
      <c r="AW1472" s="452">
        <v>41599</v>
      </c>
      <c r="AX1472" s="452">
        <v>41681</v>
      </c>
      <c r="AY1472" s="452">
        <v>41599</v>
      </c>
      <c r="AZ1472" s="453"/>
      <c r="BA1472" s="393"/>
      <c r="BB1472" s="393" t="s">
        <v>3116</v>
      </c>
      <c r="BC1472" s="393" t="b">
        <v>0</v>
      </c>
      <c r="BD1472" s="393" t="s">
        <v>3310</v>
      </c>
      <c r="BE1472" s="392"/>
      <c r="BF1472" s="394">
        <v>6</v>
      </c>
      <c r="BG1472" s="394">
        <v>9</v>
      </c>
      <c r="BH1472" s="394">
        <v>8</v>
      </c>
      <c r="BI1472" s="394">
        <v>1</v>
      </c>
      <c r="BJ1472" s="394"/>
      <c r="BK1472" s="394"/>
      <c r="BL1472" s="444"/>
      <c r="BM1472" s="392"/>
      <c r="BN1472" s="393"/>
      <c r="BO1472" s="393"/>
      <c r="BP1472" s="399"/>
      <c r="BQ1472" s="400"/>
      <c r="BR1472" s="401"/>
      <c r="BS1472" s="399">
        <v>0</v>
      </c>
      <c r="BT1472" s="394"/>
      <c r="BU1472" s="417"/>
      <c r="BV1472" s="399"/>
      <c r="BW1472" s="393"/>
      <c r="BX1472" s="392"/>
      <c r="BY1472" s="475" t="s">
        <v>7227</v>
      </c>
      <c r="BZ1472" s="393"/>
      <c r="CA1472" s="441"/>
      <c r="CB1472" s="400"/>
      <c r="CC1472" s="398"/>
      <c r="CD1472" s="398"/>
      <c r="CE1472" s="398"/>
      <c r="CF1472" s="398"/>
      <c r="CG1472" s="398"/>
      <c r="CH1472" s="398"/>
      <c r="CI1472" s="398"/>
      <c r="CJ1472" s="398"/>
      <c r="CK1472" s="398"/>
      <c r="CL1472" s="398"/>
      <c r="CM1472" s="398"/>
      <c r="CN1472" s="398"/>
      <c r="CO1472" s="398"/>
      <c r="CP1472" s="398"/>
      <c r="CQ1472" s="398"/>
      <c r="CR1472" s="398"/>
      <c r="CS1472" s="398"/>
      <c r="CT1472" s="398"/>
      <c r="CU1472" s="398"/>
      <c r="CV1472" s="398"/>
      <c r="CW1472" s="398"/>
      <c r="CX1472" s="398"/>
      <c r="CY1472" s="398"/>
      <c r="CZ1472" s="398"/>
      <c r="DA1472" s="398"/>
      <c r="DB1472" s="398"/>
      <c r="DC1472" s="398"/>
      <c r="DD1472" s="398"/>
      <c r="DE1472" s="393"/>
      <c r="DF1472" s="393"/>
      <c r="DG1472" s="393"/>
      <c r="DH1472" s="393"/>
      <c r="DI1472" s="393"/>
      <c r="DJ1472" s="393"/>
      <c r="DK1472" s="896" t="s">
        <v>9706</v>
      </c>
    </row>
    <row r="1473" spans="1:115" ht="38.25" x14ac:dyDescent="0.2">
      <c r="A1473" s="295">
        <v>1469</v>
      </c>
      <c r="B1473" s="390" t="s">
        <v>3001</v>
      </c>
      <c r="C1473" s="390"/>
      <c r="D1473" s="391" t="s">
        <v>5907</v>
      </c>
      <c r="E1473" s="704" t="s">
        <v>6444</v>
      </c>
      <c r="F1473" s="393" t="s">
        <v>1375</v>
      </c>
      <c r="G1473" s="393" t="s">
        <v>998</v>
      </c>
      <c r="H1473" s="393" t="s">
        <v>1059</v>
      </c>
      <c r="I1473" s="392"/>
      <c r="J1473" s="392"/>
      <c r="K1473" s="392" t="s">
        <v>1059</v>
      </c>
      <c r="L1473" s="392" t="s">
        <v>3000</v>
      </c>
      <c r="M1473" s="392"/>
      <c r="N1473" s="393" t="s">
        <v>44</v>
      </c>
      <c r="O1473" s="393" t="s">
        <v>51</v>
      </c>
      <c r="P1473" s="393" t="s">
        <v>51</v>
      </c>
      <c r="Q1473" s="392" t="s">
        <v>976</v>
      </c>
      <c r="R1473" s="392" t="s">
        <v>3706</v>
      </c>
      <c r="S1473" s="428" t="s">
        <v>977</v>
      </c>
      <c r="T1473" s="394">
        <v>1</v>
      </c>
      <c r="U1473" s="395">
        <v>67.656000000000006</v>
      </c>
      <c r="V1473" s="395"/>
      <c r="W1473" s="453"/>
      <c r="X1473" s="394"/>
      <c r="Y1473" s="394">
        <v>7</v>
      </c>
      <c r="Z1473" s="394">
        <v>21</v>
      </c>
      <c r="AA1473" s="395">
        <v>0</v>
      </c>
      <c r="AB1473" s="452">
        <v>41275</v>
      </c>
      <c r="AC1473" s="398">
        <v>0</v>
      </c>
      <c r="AD1473" s="398">
        <v>541.43335890410958</v>
      </c>
      <c r="AE1473" s="393" t="s">
        <v>54</v>
      </c>
      <c r="AF1473" s="417"/>
      <c r="AG1473" s="417">
        <f>7.304+7.402</f>
        <v>14.706</v>
      </c>
      <c r="AH1473" s="417">
        <v>14.706</v>
      </c>
      <c r="AI1473" s="394">
        <v>1</v>
      </c>
      <c r="AJ1473" s="452">
        <v>42306</v>
      </c>
      <c r="AK1473" s="452">
        <v>42261</v>
      </c>
      <c r="AL1473" s="393"/>
      <c r="AM1473" s="393"/>
      <c r="AN1473" s="417"/>
      <c r="AO1473" s="392"/>
      <c r="AP1473" s="428" t="s">
        <v>7071</v>
      </c>
      <c r="AQ1473" s="392"/>
      <c r="AR1473" s="392" t="s">
        <v>6469</v>
      </c>
      <c r="AS1473" s="479">
        <v>41123</v>
      </c>
      <c r="AT1473" s="453"/>
      <c r="AU1473" s="453"/>
      <c r="AV1473" s="453"/>
      <c r="AW1473" s="453"/>
      <c r="AX1473" s="453"/>
      <c r="AY1473" s="453"/>
      <c r="AZ1473" s="452">
        <v>41599</v>
      </c>
      <c r="BA1473" s="393"/>
      <c r="BB1473" s="393"/>
      <c r="BC1473" s="393" t="b">
        <v>0</v>
      </c>
      <c r="BD1473" s="393"/>
      <c r="BE1473" s="392"/>
      <c r="BF1473" s="394">
        <v>6</v>
      </c>
      <c r="BG1473" s="394">
        <v>9</v>
      </c>
      <c r="BH1473" s="394">
        <v>8</v>
      </c>
      <c r="BI1473" s="394">
        <v>1</v>
      </c>
      <c r="BJ1473" s="394"/>
      <c r="BK1473" s="394"/>
      <c r="BL1473" s="444" t="s">
        <v>1451</v>
      </c>
      <c r="BM1473" s="392" t="s">
        <v>3707</v>
      </c>
      <c r="BN1473" s="393" t="s">
        <v>3214</v>
      </c>
      <c r="BO1473" s="393"/>
      <c r="BP1473" s="399"/>
      <c r="BQ1473" s="400"/>
      <c r="BR1473" s="401"/>
      <c r="BS1473" s="399"/>
      <c r="BT1473" s="394"/>
      <c r="BU1473" s="417"/>
      <c r="BV1473" s="399"/>
      <c r="BW1473" s="393" t="s">
        <v>3117</v>
      </c>
      <c r="BX1473" s="392" t="s">
        <v>1447</v>
      </c>
      <c r="BY1473" s="475" t="s">
        <v>7227</v>
      </c>
      <c r="BZ1473" s="393"/>
      <c r="CA1473" s="441"/>
      <c r="CB1473" s="400"/>
      <c r="CC1473" s="398"/>
      <c r="CD1473" s="398"/>
      <c r="CE1473" s="398"/>
      <c r="CF1473" s="398"/>
      <c r="CG1473" s="398"/>
      <c r="CH1473" s="398"/>
      <c r="CI1473" s="398">
        <v>11.638999999999999</v>
      </c>
      <c r="CJ1473" s="398">
        <v>11.638999999999999</v>
      </c>
      <c r="CK1473" s="398">
        <v>11.638999999999999</v>
      </c>
      <c r="CL1473" s="398">
        <v>11.638999999999999</v>
      </c>
      <c r="CM1473" s="398">
        <v>11.638999999999999</v>
      </c>
      <c r="CN1473" s="398">
        <v>11.638999999999999</v>
      </c>
      <c r="CO1473" s="398">
        <v>11.638999999999999</v>
      </c>
      <c r="CP1473" s="398"/>
      <c r="CQ1473" s="398"/>
      <c r="CR1473" s="398"/>
      <c r="CS1473" s="398"/>
      <c r="CT1473" s="398"/>
      <c r="CU1473" s="398"/>
      <c r="CV1473" s="398"/>
      <c r="CW1473" s="398"/>
      <c r="CX1473" s="398"/>
      <c r="CY1473" s="398"/>
      <c r="CZ1473" s="398"/>
      <c r="DA1473" s="398"/>
      <c r="DB1473" s="398"/>
      <c r="DC1473" s="398"/>
      <c r="DD1473" s="398"/>
      <c r="DE1473" s="393"/>
      <c r="DF1473" s="393"/>
      <c r="DG1473" s="393"/>
      <c r="DH1473" s="393"/>
      <c r="DI1473" s="393"/>
      <c r="DJ1473" s="393"/>
      <c r="DK1473" s="897"/>
    </row>
    <row r="1474" spans="1:115" ht="38.25" x14ac:dyDescent="0.2">
      <c r="A1474" s="295">
        <v>1470</v>
      </c>
      <c r="B1474" s="390" t="s">
        <v>6463</v>
      </c>
      <c r="C1474" s="390"/>
      <c r="D1474" s="391" t="s">
        <v>6437</v>
      </c>
      <c r="E1474" s="705" t="s">
        <v>8056</v>
      </c>
      <c r="F1474" s="393" t="s">
        <v>1375</v>
      </c>
      <c r="G1474" s="393" t="s">
        <v>998</v>
      </c>
      <c r="H1474" s="393" t="s">
        <v>1059</v>
      </c>
      <c r="I1474" s="392"/>
      <c r="J1474" s="392"/>
      <c r="K1474" s="392" t="s">
        <v>6438</v>
      </c>
      <c r="L1474" s="392" t="s">
        <v>3000</v>
      </c>
      <c r="M1474" s="392"/>
      <c r="N1474" s="393" t="s">
        <v>44</v>
      </c>
      <c r="O1474" s="393" t="s">
        <v>51</v>
      </c>
      <c r="P1474" s="393" t="s">
        <v>51</v>
      </c>
      <c r="Q1474" s="392" t="s">
        <v>976</v>
      </c>
      <c r="R1474" s="392" t="s">
        <v>3706</v>
      </c>
      <c r="S1474" s="428" t="s">
        <v>977</v>
      </c>
      <c r="T1474" s="394">
        <v>1</v>
      </c>
      <c r="U1474" s="395">
        <v>26.637</v>
      </c>
      <c r="V1474" s="395"/>
      <c r="W1474" s="453"/>
      <c r="X1474" s="394"/>
      <c r="Y1474" s="394">
        <v>7</v>
      </c>
      <c r="Z1474" s="394">
        <v>21</v>
      </c>
      <c r="AA1474" s="395">
        <v>0</v>
      </c>
      <c r="AB1474" s="452">
        <v>41897</v>
      </c>
      <c r="AC1474" s="398">
        <v>0</v>
      </c>
      <c r="AD1474" s="398">
        <v>167.77661095890412</v>
      </c>
      <c r="AE1474" s="393" t="s">
        <v>54</v>
      </c>
      <c r="AF1474" s="417"/>
      <c r="AG1474" s="417">
        <f>9.5+10.178</f>
        <v>19.678000000000001</v>
      </c>
      <c r="AH1474" s="417">
        <v>19.678000000000001</v>
      </c>
      <c r="AI1474" s="394">
        <v>1</v>
      </c>
      <c r="AJ1474" s="452">
        <v>42306</v>
      </c>
      <c r="AK1474" s="452">
        <v>42261</v>
      </c>
      <c r="AL1474" s="393"/>
      <c r="AM1474" s="393"/>
      <c r="AN1474" s="417"/>
      <c r="AO1474" s="392"/>
      <c r="AP1474" s="392"/>
      <c r="AQ1474" s="392"/>
      <c r="AR1474" s="392" t="s">
        <v>6469</v>
      </c>
      <c r="AS1474" s="479">
        <v>41123</v>
      </c>
      <c r="AT1474" s="453"/>
      <c r="AU1474" s="453"/>
      <c r="AV1474" s="453"/>
      <c r="AW1474" s="453"/>
      <c r="AX1474" s="453"/>
      <c r="AY1474" s="453"/>
      <c r="AZ1474" s="452">
        <v>41897</v>
      </c>
      <c r="BA1474" s="393"/>
      <c r="BB1474" s="393"/>
      <c r="BC1474" s="393" t="b">
        <v>0</v>
      </c>
      <c r="BD1474" s="393"/>
      <c r="BE1474" s="392"/>
      <c r="BF1474" s="394">
        <v>6</v>
      </c>
      <c r="BG1474" s="394">
        <v>9</v>
      </c>
      <c r="BH1474" s="394">
        <v>8</v>
      </c>
      <c r="BI1474" s="394">
        <v>1</v>
      </c>
      <c r="BJ1474" s="394"/>
      <c r="BK1474" s="394"/>
      <c r="BL1474" s="444" t="s">
        <v>1451</v>
      </c>
      <c r="BM1474" s="392" t="s">
        <v>3707</v>
      </c>
      <c r="BN1474" s="393"/>
      <c r="BO1474" s="393"/>
      <c r="BP1474" s="399"/>
      <c r="BQ1474" s="400"/>
      <c r="BR1474" s="401"/>
      <c r="BS1474" s="399"/>
      <c r="BT1474" s="394"/>
      <c r="BU1474" s="417"/>
      <c r="BV1474" s="399"/>
      <c r="BW1474" s="393"/>
      <c r="BX1474" s="392"/>
      <c r="BY1474" s="475" t="s">
        <v>7227</v>
      </c>
      <c r="BZ1474" s="393"/>
      <c r="CA1474" s="441"/>
      <c r="CB1474" s="400"/>
      <c r="CC1474" s="398"/>
      <c r="CD1474" s="398"/>
      <c r="CE1474" s="398"/>
      <c r="CF1474" s="398"/>
      <c r="CG1474" s="398"/>
      <c r="CH1474" s="398"/>
      <c r="CI1474" s="398"/>
      <c r="CJ1474" s="398">
        <v>26.637</v>
      </c>
      <c r="CK1474" s="398">
        <v>26.637</v>
      </c>
      <c r="CL1474" s="398">
        <v>26.637</v>
      </c>
      <c r="CM1474" s="398">
        <v>26.637</v>
      </c>
      <c r="CN1474" s="398">
        <v>26.637</v>
      </c>
      <c r="CO1474" s="398">
        <v>26.637</v>
      </c>
      <c r="CP1474" s="398">
        <v>26.637</v>
      </c>
      <c r="CQ1474" s="398"/>
      <c r="CR1474" s="398"/>
      <c r="CS1474" s="398"/>
      <c r="CT1474" s="398"/>
      <c r="CU1474" s="398"/>
      <c r="CV1474" s="398"/>
      <c r="CW1474" s="398"/>
      <c r="CX1474" s="398"/>
      <c r="CY1474" s="398"/>
      <c r="CZ1474" s="398"/>
      <c r="DA1474" s="398"/>
      <c r="DB1474" s="398"/>
      <c r="DC1474" s="398"/>
      <c r="DD1474" s="398"/>
      <c r="DE1474" s="393"/>
      <c r="DF1474" s="393"/>
      <c r="DG1474" s="393"/>
      <c r="DH1474" s="393"/>
      <c r="DI1474" s="393"/>
      <c r="DJ1474" s="393"/>
      <c r="DK1474" s="897"/>
    </row>
    <row r="1475" spans="1:115" ht="38.25" x14ac:dyDescent="0.2">
      <c r="A1475" s="295">
        <v>1471</v>
      </c>
      <c r="B1475" s="390" t="s">
        <v>6464</v>
      </c>
      <c r="C1475" s="390"/>
      <c r="D1475" s="391" t="s">
        <v>6439</v>
      </c>
      <c r="E1475" s="705" t="s">
        <v>8055</v>
      </c>
      <c r="F1475" s="393" t="s">
        <v>1375</v>
      </c>
      <c r="G1475" s="393" t="s">
        <v>998</v>
      </c>
      <c r="H1475" s="393" t="s">
        <v>1059</v>
      </c>
      <c r="I1475" s="392"/>
      <c r="J1475" s="392"/>
      <c r="K1475" s="392" t="s">
        <v>6438</v>
      </c>
      <c r="L1475" s="392" t="s">
        <v>3000</v>
      </c>
      <c r="M1475" s="392"/>
      <c r="N1475" s="393" t="s">
        <v>44</v>
      </c>
      <c r="O1475" s="393" t="s">
        <v>51</v>
      </c>
      <c r="P1475" s="393" t="s">
        <v>51</v>
      </c>
      <c r="Q1475" s="392" t="s">
        <v>976</v>
      </c>
      <c r="R1475" s="392" t="s">
        <v>3706</v>
      </c>
      <c r="S1475" s="428" t="s">
        <v>977</v>
      </c>
      <c r="T1475" s="394">
        <v>1</v>
      </c>
      <c r="U1475" s="395">
        <v>33.317999999999998</v>
      </c>
      <c r="V1475" s="395"/>
      <c r="W1475" s="453"/>
      <c r="X1475" s="394"/>
      <c r="Y1475" s="394">
        <v>7</v>
      </c>
      <c r="Z1475" s="394">
        <v>21</v>
      </c>
      <c r="AA1475" s="395">
        <v>0</v>
      </c>
      <c r="AB1475" s="452">
        <v>41897</v>
      </c>
      <c r="AC1475" s="398">
        <v>0</v>
      </c>
      <c r="AD1475" s="398">
        <v>209.85775890410957</v>
      </c>
      <c r="AE1475" s="393" t="s">
        <v>54</v>
      </c>
      <c r="AF1475" s="417"/>
      <c r="AG1475" s="417">
        <f>11.864+12.531</f>
        <v>24.395000000000003</v>
      </c>
      <c r="AH1475" s="417">
        <v>24.395000000000003</v>
      </c>
      <c r="AI1475" s="394">
        <v>1</v>
      </c>
      <c r="AJ1475" s="452">
        <v>42306</v>
      </c>
      <c r="AK1475" s="452">
        <v>42261</v>
      </c>
      <c r="AL1475" s="393"/>
      <c r="AM1475" s="393"/>
      <c r="AN1475" s="417"/>
      <c r="AO1475" s="392"/>
      <c r="AP1475" s="392"/>
      <c r="AQ1475" s="392"/>
      <c r="AR1475" s="392" t="s">
        <v>6469</v>
      </c>
      <c r="AS1475" s="479">
        <v>41123</v>
      </c>
      <c r="AT1475" s="453"/>
      <c r="AU1475" s="453"/>
      <c r="AV1475" s="453"/>
      <c r="AW1475" s="453"/>
      <c r="AX1475" s="453"/>
      <c r="AY1475" s="453"/>
      <c r="AZ1475" s="452">
        <v>41897</v>
      </c>
      <c r="BA1475" s="393"/>
      <c r="BB1475" s="393"/>
      <c r="BC1475" s="393" t="b">
        <v>0</v>
      </c>
      <c r="BD1475" s="393"/>
      <c r="BE1475" s="392"/>
      <c r="BF1475" s="394">
        <v>6</v>
      </c>
      <c r="BG1475" s="394">
        <v>9</v>
      </c>
      <c r="BH1475" s="394">
        <v>8</v>
      </c>
      <c r="BI1475" s="394">
        <v>1</v>
      </c>
      <c r="BJ1475" s="394"/>
      <c r="BK1475" s="394"/>
      <c r="BL1475" s="444" t="s">
        <v>1451</v>
      </c>
      <c r="BM1475" s="392" t="s">
        <v>3707</v>
      </c>
      <c r="BN1475" s="393"/>
      <c r="BO1475" s="393"/>
      <c r="BP1475" s="399"/>
      <c r="BQ1475" s="400"/>
      <c r="BR1475" s="401"/>
      <c r="BS1475" s="399"/>
      <c r="BT1475" s="394"/>
      <c r="BU1475" s="417"/>
      <c r="BV1475" s="399"/>
      <c r="BW1475" s="393"/>
      <c r="BX1475" s="392"/>
      <c r="BY1475" s="475" t="s">
        <v>7227</v>
      </c>
      <c r="BZ1475" s="393"/>
      <c r="CA1475" s="441"/>
      <c r="CB1475" s="400"/>
      <c r="CC1475" s="398"/>
      <c r="CD1475" s="398"/>
      <c r="CE1475" s="398"/>
      <c r="CF1475" s="398"/>
      <c r="CG1475" s="398"/>
      <c r="CH1475" s="398"/>
      <c r="CI1475" s="398"/>
      <c r="CJ1475" s="398">
        <v>33.317999999999998</v>
      </c>
      <c r="CK1475" s="398">
        <v>33.317999999999998</v>
      </c>
      <c r="CL1475" s="398">
        <v>33.317999999999998</v>
      </c>
      <c r="CM1475" s="398">
        <v>33.317999999999998</v>
      </c>
      <c r="CN1475" s="398">
        <v>33.317999999999998</v>
      </c>
      <c r="CO1475" s="398">
        <v>33.317999999999998</v>
      </c>
      <c r="CP1475" s="398">
        <v>33.317999999999998</v>
      </c>
      <c r="CQ1475" s="398"/>
      <c r="CR1475" s="398"/>
      <c r="CS1475" s="398"/>
      <c r="CT1475" s="398"/>
      <c r="CU1475" s="398"/>
      <c r="CV1475" s="398"/>
      <c r="CW1475" s="398"/>
      <c r="CX1475" s="398"/>
      <c r="CY1475" s="398"/>
      <c r="CZ1475" s="398"/>
      <c r="DA1475" s="398"/>
      <c r="DB1475" s="398"/>
      <c r="DC1475" s="398"/>
      <c r="DD1475" s="398"/>
      <c r="DE1475" s="393"/>
      <c r="DF1475" s="393"/>
      <c r="DG1475" s="393"/>
      <c r="DH1475" s="393"/>
      <c r="DI1475" s="393"/>
      <c r="DJ1475" s="393"/>
      <c r="DK1475" s="897"/>
    </row>
    <row r="1476" spans="1:115" ht="38.25" x14ac:dyDescent="0.2">
      <c r="A1476" s="295">
        <v>1472</v>
      </c>
      <c r="B1476" s="390" t="s">
        <v>6465</v>
      </c>
      <c r="C1476" s="390"/>
      <c r="D1476" s="391" t="s">
        <v>6440</v>
      </c>
      <c r="E1476" s="705" t="s">
        <v>8054</v>
      </c>
      <c r="F1476" s="393" t="s">
        <v>1375</v>
      </c>
      <c r="G1476" s="393" t="s">
        <v>998</v>
      </c>
      <c r="H1476" s="393" t="s">
        <v>1059</v>
      </c>
      <c r="I1476" s="392"/>
      <c r="J1476" s="392"/>
      <c r="K1476" s="392" t="s">
        <v>6438</v>
      </c>
      <c r="L1476" s="392" t="s">
        <v>3000</v>
      </c>
      <c r="M1476" s="392"/>
      <c r="N1476" s="393" t="s">
        <v>44</v>
      </c>
      <c r="O1476" s="393" t="s">
        <v>51</v>
      </c>
      <c r="P1476" s="393" t="s">
        <v>51</v>
      </c>
      <c r="Q1476" s="392" t="s">
        <v>976</v>
      </c>
      <c r="R1476" s="392" t="s">
        <v>3706</v>
      </c>
      <c r="S1476" s="428" t="s">
        <v>977</v>
      </c>
      <c r="T1476" s="394">
        <v>1</v>
      </c>
      <c r="U1476" s="395">
        <v>19.465</v>
      </c>
      <c r="V1476" s="395"/>
      <c r="W1476" s="453"/>
      <c r="X1476" s="394"/>
      <c r="Y1476" s="394">
        <v>7</v>
      </c>
      <c r="Z1476" s="394">
        <v>21</v>
      </c>
      <c r="AA1476" s="395">
        <v>0</v>
      </c>
      <c r="AB1476" s="452">
        <v>41897</v>
      </c>
      <c r="AC1476" s="398">
        <v>0</v>
      </c>
      <c r="AD1476" s="398">
        <v>122.60283561643834</v>
      </c>
      <c r="AE1476" s="393" t="s">
        <v>54</v>
      </c>
      <c r="AF1476" s="417"/>
      <c r="AG1476" s="417">
        <f>7.008+7.509</f>
        <v>14.516999999999999</v>
      </c>
      <c r="AH1476" s="417">
        <v>14.516999999999999</v>
      </c>
      <c r="AI1476" s="394">
        <v>1</v>
      </c>
      <c r="AJ1476" s="452">
        <v>42306</v>
      </c>
      <c r="AK1476" s="452">
        <v>42261</v>
      </c>
      <c r="AL1476" s="393"/>
      <c r="AM1476" s="393"/>
      <c r="AN1476" s="417"/>
      <c r="AO1476" s="392"/>
      <c r="AP1476" s="392"/>
      <c r="AQ1476" s="392"/>
      <c r="AR1476" s="392" t="s">
        <v>6469</v>
      </c>
      <c r="AS1476" s="479">
        <v>41123</v>
      </c>
      <c r="AT1476" s="453"/>
      <c r="AU1476" s="453"/>
      <c r="AV1476" s="453"/>
      <c r="AW1476" s="453"/>
      <c r="AX1476" s="453"/>
      <c r="AY1476" s="453"/>
      <c r="AZ1476" s="452">
        <v>41897</v>
      </c>
      <c r="BA1476" s="393"/>
      <c r="BB1476" s="393"/>
      <c r="BC1476" s="393" t="b">
        <v>0</v>
      </c>
      <c r="BD1476" s="393"/>
      <c r="BE1476" s="392"/>
      <c r="BF1476" s="394">
        <v>6</v>
      </c>
      <c r="BG1476" s="394">
        <v>9</v>
      </c>
      <c r="BH1476" s="394">
        <v>8</v>
      </c>
      <c r="BI1476" s="394">
        <v>1</v>
      </c>
      <c r="BJ1476" s="394"/>
      <c r="BK1476" s="394"/>
      <c r="BL1476" s="444" t="s">
        <v>1451</v>
      </c>
      <c r="BM1476" s="392" t="s">
        <v>3707</v>
      </c>
      <c r="BN1476" s="393"/>
      <c r="BO1476" s="393"/>
      <c r="BP1476" s="399"/>
      <c r="BQ1476" s="400"/>
      <c r="BR1476" s="401"/>
      <c r="BS1476" s="399"/>
      <c r="BT1476" s="394"/>
      <c r="BU1476" s="417"/>
      <c r="BV1476" s="399"/>
      <c r="BW1476" s="393"/>
      <c r="BX1476" s="392"/>
      <c r="BY1476" s="475" t="s">
        <v>7227</v>
      </c>
      <c r="BZ1476" s="393"/>
      <c r="CA1476" s="441"/>
      <c r="CB1476" s="400"/>
      <c r="CC1476" s="398"/>
      <c r="CD1476" s="398"/>
      <c r="CE1476" s="398"/>
      <c r="CF1476" s="398"/>
      <c r="CG1476" s="398"/>
      <c r="CH1476" s="398"/>
      <c r="CI1476" s="398"/>
      <c r="CJ1476" s="398">
        <v>19.465</v>
      </c>
      <c r="CK1476" s="398">
        <v>19.465</v>
      </c>
      <c r="CL1476" s="398">
        <v>19.465</v>
      </c>
      <c r="CM1476" s="398">
        <v>19.465</v>
      </c>
      <c r="CN1476" s="398">
        <v>19.465</v>
      </c>
      <c r="CO1476" s="398">
        <v>19.465</v>
      </c>
      <c r="CP1476" s="398">
        <v>19.465</v>
      </c>
      <c r="CQ1476" s="398"/>
      <c r="CR1476" s="398"/>
      <c r="CS1476" s="398"/>
      <c r="CT1476" s="398"/>
      <c r="CU1476" s="398"/>
      <c r="CV1476" s="398"/>
      <c r="CW1476" s="398"/>
      <c r="CX1476" s="398"/>
      <c r="CY1476" s="398"/>
      <c r="CZ1476" s="398"/>
      <c r="DA1476" s="398"/>
      <c r="DB1476" s="398"/>
      <c r="DC1476" s="398"/>
      <c r="DD1476" s="398"/>
      <c r="DE1476" s="393"/>
      <c r="DF1476" s="393"/>
      <c r="DG1476" s="393"/>
      <c r="DH1476" s="393"/>
      <c r="DI1476" s="393"/>
      <c r="DJ1476" s="393"/>
      <c r="DK1476" s="897"/>
    </row>
    <row r="1477" spans="1:115" ht="38.25" x14ac:dyDescent="0.2">
      <c r="A1477" s="295">
        <v>1473</v>
      </c>
      <c r="B1477" s="390" t="s">
        <v>6466</v>
      </c>
      <c r="C1477" s="390"/>
      <c r="D1477" s="391" t="s">
        <v>6441</v>
      </c>
      <c r="E1477" s="705" t="s">
        <v>8053</v>
      </c>
      <c r="F1477" s="393" t="s">
        <v>1375</v>
      </c>
      <c r="G1477" s="393" t="s">
        <v>998</v>
      </c>
      <c r="H1477" s="393" t="s">
        <v>1059</v>
      </c>
      <c r="I1477" s="392"/>
      <c r="J1477" s="392"/>
      <c r="K1477" s="392" t="s">
        <v>6438</v>
      </c>
      <c r="L1477" s="392" t="s">
        <v>3000</v>
      </c>
      <c r="M1477" s="392"/>
      <c r="N1477" s="393" t="s">
        <v>44</v>
      </c>
      <c r="O1477" s="393" t="s">
        <v>51</v>
      </c>
      <c r="P1477" s="393" t="s">
        <v>51</v>
      </c>
      <c r="Q1477" s="392" t="s">
        <v>976</v>
      </c>
      <c r="R1477" s="392" t="s">
        <v>3706</v>
      </c>
      <c r="S1477" s="428" t="s">
        <v>977</v>
      </c>
      <c r="T1477" s="394">
        <v>1</v>
      </c>
      <c r="U1477" s="395">
        <v>25.341999999999999</v>
      </c>
      <c r="V1477" s="395"/>
      <c r="W1477" s="453"/>
      <c r="X1477" s="394"/>
      <c r="Y1477" s="394">
        <v>7</v>
      </c>
      <c r="Z1477" s="394">
        <v>21</v>
      </c>
      <c r="AA1477" s="395">
        <v>0</v>
      </c>
      <c r="AB1477" s="452">
        <v>41897</v>
      </c>
      <c r="AC1477" s="398">
        <v>0</v>
      </c>
      <c r="AD1477" s="398">
        <v>159.61988493150685</v>
      </c>
      <c r="AE1477" s="393" t="s">
        <v>54</v>
      </c>
      <c r="AF1477" s="417"/>
      <c r="AG1477" s="417">
        <f>8.726+9.768</f>
        <v>18.494</v>
      </c>
      <c r="AH1477" s="417">
        <v>18.494</v>
      </c>
      <c r="AI1477" s="394">
        <v>1</v>
      </c>
      <c r="AJ1477" s="452">
        <v>42306</v>
      </c>
      <c r="AK1477" s="452">
        <v>42261</v>
      </c>
      <c r="AL1477" s="393"/>
      <c r="AM1477" s="393"/>
      <c r="AN1477" s="417"/>
      <c r="AO1477" s="392"/>
      <c r="AP1477" s="392"/>
      <c r="AQ1477" s="392"/>
      <c r="AR1477" s="392" t="s">
        <v>6469</v>
      </c>
      <c r="AS1477" s="479">
        <v>41123</v>
      </c>
      <c r="AT1477" s="453"/>
      <c r="AU1477" s="453"/>
      <c r="AV1477" s="453"/>
      <c r="AW1477" s="453"/>
      <c r="AX1477" s="453"/>
      <c r="AY1477" s="453"/>
      <c r="AZ1477" s="452">
        <v>41897</v>
      </c>
      <c r="BA1477" s="393"/>
      <c r="BB1477" s="393"/>
      <c r="BC1477" s="393" t="b">
        <v>0</v>
      </c>
      <c r="BD1477" s="393"/>
      <c r="BE1477" s="392"/>
      <c r="BF1477" s="394">
        <v>6</v>
      </c>
      <c r="BG1477" s="394">
        <v>9</v>
      </c>
      <c r="BH1477" s="394">
        <v>8</v>
      </c>
      <c r="BI1477" s="394">
        <v>1</v>
      </c>
      <c r="BJ1477" s="394"/>
      <c r="BK1477" s="394"/>
      <c r="BL1477" s="444" t="s">
        <v>1451</v>
      </c>
      <c r="BM1477" s="392" t="s">
        <v>3707</v>
      </c>
      <c r="BN1477" s="393"/>
      <c r="BO1477" s="393"/>
      <c r="BP1477" s="399"/>
      <c r="BQ1477" s="400"/>
      <c r="BR1477" s="401"/>
      <c r="BS1477" s="399"/>
      <c r="BT1477" s="394"/>
      <c r="BU1477" s="417"/>
      <c r="BV1477" s="399"/>
      <c r="BW1477" s="393"/>
      <c r="BX1477" s="392"/>
      <c r="BY1477" s="475" t="s">
        <v>7227</v>
      </c>
      <c r="BZ1477" s="393"/>
      <c r="CA1477" s="441"/>
      <c r="CB1477" s="400"/>
      <c r="CC1477" s="398"/>
      <c r="CD1477" s="398"/>
      <c r="CE1477" s="398"/>
      <c r="CF1477" s="398"/>
      <c r="CG1477" s="398"/>
      <c r="CH1477" s="398"/>
      <c r="CI1477" s="398"/>
      <c r="CJ1477" s="398">
        <v>25.341999999999999</v>
      </c>
      <c r="CK1477" s="398">
        <v>25.341999999999999</v>
      </c>
      <c r="CL1477" s="398">
        <v>25.341999999999999</v>
      </c>
      <c r="CM1477" s="398">
        <v>25.341999999999999</v>
      </c>
      <c r="CN1477" s="398">
        <v>25.341999999999999</v>
      </c>
      <c r="CO1477" s="398">
        <v>25.341999999999999</v>
      </c>
      <c r="CP1477" s="398">
        <v>25.341999999999999</v>
      </c>
      <c r="CQ1477" s="398"/>
      <c r="CR1477" s="398"/>
      <c r="CS1477" s="398"/>
      <c r="CT1477" s="398"/>
      <c r="CU1477" s="398"/>
      <c r="CV1477" s="398"/>
      <c r="CW1477" s="398"/>
      <c r="CX1477" s="398"/>
      <c r="CY1477" s="398"/>
      <c r="CZ1477" s="398"/>
      <c r="DA1477" s="398"/>
      <c r="DB1477" s="398"/>
      <c r="DC1477" s="398"/>
      <c r="DD1477" s="398"/>
      <c r="DE1477" s="393"/>
      <c r="DF1477" s="393"/>
      <c r="DG1477" s="393"/>
      <c r="DH1477" s="393"/>
      <c r="DI1477" s="393"/>
      <c r="DJ1477" s="393"/>
      <c r="DK1477" s="897"/>
    </row>
    <row r="1478" spans="1:115" ht="38.25" x14ac:dyDescent="0.2">
      <c r="A1478" s="295">
        <v>1474</v>
      </c>
      <c r="B1478" s="390" t="s">
        <v>6467</v>
      </c>
      <c r="C1478" s="390"/>
      <c r="D1478" s="391" t="s">
        <v>6442</v>
      </c>
      <c r="E1478" s="705" t="s">
        <v>8052</v>
      </c>
      <c r="F1478" s="393" t="s">
        <v>1375</v>
      </c>
      <c r="G1478" s="393" t="s">
        <v>998</v>
      </c>
      <c r="H1478" s="393" t="s">
        <v>1059</v>
      </c>
      <c r="I1478" s="392"/>
      <c r="J1478" s="392"/>
      <c r="K1478" s="392" t="s">
        <v>6438</v>
      </c>
      <c r="L1478" s="392" t="s">
        <v>3000</v>
      </c>
      <c r="M1478" s="392"/>
      <c r="N1478" s="393" t="s">
        <v>44</v>
      </c>
      <c r="O1478" s="393" t="s">
        <v>51</v>
      </c>
      <c r="P1478" s="393" t="s">
        <v>51</v>
      </c>
      <c r="Q1478" s="392" t="s">
        <v>976</v>
      </c>
      <c r="R1478" s="392" t="s">
        <v>3706</v>
      </c>
      <c r="S1478" s="428" t="s">
        <v>977</v>
      </c>
      <c r="T1478" s="394">
        <v>1</v>
      </c>
      <c r="U1478" s="395">
        <v>32.768999999999998</v>
      </c>
      <c r="V1478" s="395"/>
      <c r="W1478" s="453"/>
      <c r="X1478" s="394"/>
      <c r="Y1478" s="394">
        <v>7</v>
      </c>
      <c r="Z1478" s="394">
        <v>21</v>
      </c>
      <c r="AA1478" s="395">
        <v>0</v>
      </c>
      <c r="AB1478" s="452">
        <v>41897</v>
      </c>
      <c r="AC1478" s="398">
        <v>0</v>
      </c>
      <c r="AD1478" s="398">
        <v>206.39981095890411</v>
      </c>
      <c r="AE1478" s="393" t="s">
        <v>54</v>
      </c>
      <c r="AF1478" s="417"/>
      <c r="AG1478" s="417">
        <f>11.172+11.799</f>
        <v>22.971</v>
      </c>
      <c r="AH1478" s="417">
        <v>22.971</v>
      </c>
      <c r="AI1478" s="394">
        <v>1</v>
      </c>
      <c r="AJ1478" s="452">
        <v>42306</v>
      </c>
      <c r="AK1478" s="452">
        <v>42261</v>
      </c>
      <c r="AL1478" s="393"/>
      <c r="AM1478" s="393"/>
      <c r="AN1478" s="417"/>
      <c r="AO1478" s="392"/>
      <c r="AP1478" s="392"/>
      <c r="AQ1478" s="392"/>
      <c r="AR1478" s="392" t="s">
        <v>6469</v>
      </c>
      <c r="AS1478" s="479">
        <v>41123</v>
      </c>
      <c r="AT1478" s="453"/>
      <c r="AU1478" s="453"/>
      <c r="AV1478" s="453"/>
      <c r="AW1478" s="453"/>
      <c r="AX1478" s="453"/>
      <c r="AY1478" s="453"/>
      <c r="AZ1478" s="452">
        <v>41897</v>
      </c>
      <c r="BA1478" s="393"/>
      <c r="BB1478" s="393"/>
      <c r="BC1478" s="393" t="b">
        <v>0</v>
      </c>
      <c r="BD1478" s="393"/>
      <c r="BE1478" s="392"/>
      <c r="BF1478" s="394">
        <v>6</v>
      </c>
      <c r="BG1478" s="394">
        <v>9</v>
      </c>
      <c r="BH1478" s="394">
        <v>8</v>
      </c>
      <c r="BI1478" s="394">
        <v>1</v>
      </c>
      <c r="BJ1478" s="394"/>
      <c r="BK1478" s="394"/>
      <c r="BL1478" s="444" t="s">
        <v>1451</v>
      </c>
      <c r="BM1478" s="392" t="s">
        <v>3707</v>
      </c>
      <c r="BN1478" s="393"/>
      <c r="BO1478" s="393"/>
      <c r="BP1478" s="399"/>
      <c r="BQ1478" s="400"/>
      <c r="BR1478" s="401"/>
      <c r="BS1478" s="399"/>
      <c r="BT1478" s="394"/>
      <c r="BU1478" s="417"/>
      <c r="BV1478" s="399"/>
      <c r="BW1478" s="393"/>
      <c r="BX1478" s="392"/>
      <c r="BY1478" s="475" t="s">
        <v>7227</v>
      </c>
      <c r="BZ1478" s="393"/>
      <c r="CA1478" s="441"/>
      <c r="CB1478" s="400"/>
      <c r="CC1478" s="398"/>
      <c r="CD1478" s="398"/>
      <c r="CE1478" s="398"/>
      <c r="CF1478" s="398"/>
      <c r="CG1478" s="398"/>
      <c r="CH1478" s="398"/>
      <c r="CI1478" s="398"/>
      <c r="CJ1478" s="398">
        <v>32.768999999999998</v>
      </c>
      <c r="CK1478" s="398">
        <v>32.768999999999998</v>
      </c>
      <c r="CL1478" s="398">
        <v>32.768999999999998</v>
      </c>
      <c r="CM1478" s="398">
        <v>32.768999999999998</v>
      </c>
      <c r="CN1478" s="398">
        <v>32.768999999999998</v>
      </c>
      <c r="CO1478" s="398">
        <v>32.768999999999998</v>
      </c>
      <c r="CP1478" s="398">
        <v>32.768999999999998</v>
      </c>
      <c r="CQ1478" s="398"/>
      <c r="CR1478" s="398"/>
      <c r="CS1478" s="398"/>
      <c r="CT1478" s="398"/>
      <c r="CU1478" s="398"/>
      <c r="CV1478" s="398"/>
      <c r="CW1478" s="398"/>
      <c r="CX1478" s="398"/>
      <c r="CY1478" s="398"/>
      <c r="CZ1478" s="398"/>
      <c r="DA1478" s="398"/>
      <c r="DB1478" s="398"/>
      <c r="DC1478" s="398"/>
      <c r="DD1478" s="398"/>
      <c r="DE1478" s="393"/>
      <c r="DF1478" s="393"/>
      <c r="DG1478" s="393"/>
      <c r="DH1478" s="393"/>
      <c r="DI1478" s="393"/>
      <c r="DJ1478" s="393"/>
      <c r="DK1478" s="897"/>
    </row>
    <row r="1479" spans="1:115" ht="38.25" x14ac:dyDescent="0.2">
      <c r="A1479" s="295">
        <v>1475</v>
      </c>
      <c r="B1479" s="390" t="s">
        <v>6468</v>
      </c>
      <c r="C1479" s="390"/>
      <c r="D1479" s="391" t="s">
        <v>6443</v>
      </c>
      <c r="E1479" s="705" t="s">
        <v>8051</v>
      </c>
      <c r="F1479" s="393" t="s">
        <v>1375</v>
      </c>
      <c r="G1479" s="393" t="s">
        <v>998</v>
      </c>
      <c r="H1479" s="393" t="s">
        <v>1059</v>
      </c>
      <c r="I1479" s="392"/>
      <c r="J1479" s="392"/>
      <c r="K1479" s="392" t="s">
        <v>6438</v>
      </c>
      <c r="L1479" s="392" t="s">
        <v>3000</v>
      </c>
      <c r="M1479" s="392"/>
      <c r="N1479" s="393" t="s">
        <v>44</v>
      </c>
      <c r="O1479" s="393" t="s">
        <v>51</v>
      </c>
      <c r="P1479" s="393" t="s">
        <v>51</v>
      </c>
      <c r="Q1479" s="392" t="s">
        <v>976</v>
      </c>
      <c r="R1479" s="392" t="s">
        <v>3706</v>
      </c>
      <c r="S1479" s="428" t="s">
        <v>977</v>
      </c>
      <c r="T1479" s="394">
        <v>1</v>
      </c>
      <c r="U1479" s="395">
        <v>29.565000000000001</v>
      </c>
      <c r="V1479" s="395"/>
      <c r="W1479" s="453"/>
      <c r="X1479" s="394"/>
      <c r="Y1479" s="394">
        <v>7</v>
      </c>
      <c r="Z1479" s="394">
        <v>21</v>
      </c>
      <c r="AA1479" s="395">
        <v>0</v>
      </c>
      <c r="AB1479" s="452">
        <v>41897</v>
      </c>
      <c r="AC1479" s="398">
        <v>0</v>
      </c>
      <c r="AD1479" s="398">
        <v>186.21899999999999</v>
      </c>
      <c r="AE1479" s="393" t="s">
        <v>54</v>
      </c>
      <c r="AF1479" s="417"/>
      <c r="AG1479" s="417">
        <f>10.643+11.402</f>
        <v>22.045000000000002</v>
      </c>
      <c r="AH1479" s="417">
        <v>22.045000000000002</v>
      </c>
      <c r="AI1479" s="394">
        <v>1</v>
      </c>
      <c r="AJ1479" s="452">
        <v>42306</v>
      </c>
      <c r="AK1479" s="452">
        <v>42261</v>
      </c>
      <c r="AL1479" s="393"/>
      <c r="AM1479" s="393"/>
      <c r="AN1479" s="417"/>
      <c r="AO1479" s="392"/>
      <c r="AP1479" s="392"/>
      <c r="AQ1479" s="392"/>
      <c r="AR1479" s="392" t="s">
        <v>6469</v>
      </c>
      <c r="AS1479" s="479">
        <v>41123</v>
      </c>
      <c r="AT1479" s="453"/>
      <c r="AU1479" s="453"/>
      <c r="AV1479" s="453"/>
      <c r="AW1479" s="453"/>
      <c r="AX1479" s="453"/>
      <c r="AY1479" s="453"/>
      <c r="AZ1479" s="452">
        <v>41897</v>
      </c>
      <c r="BA1479" s="393"/>
      <c r="BB1479" s="393"/>
      <c r="BC1479" s="393" t="b">
        <v>0</v>
      </c>
      <c r="BD1479" s="393"/>
      <c r="BE1479" s="392"/>
      <c r="BF1479" s="394">
        <v>6</v>
      </c>
      <c r="BG1479" s="394">
        <v>9</v>
      </c>
      <c r="BH1479" s="394">
        <v>8</v>
      </c>
      <c r="BI1479" s="394">
        <v>1</v>
      </c>
      <c r="BJ1479" s="394"/>
      <c r="BK1479" s="394"/>
      <c r="BL1479" s="444" t="s">
        <v>1451</v>
      </c>
      <c r="BM1479" s="392" t="s">
        <v>3707</v>
      </c>
      <c r="BN1479" s="393"/>
      <c r="BO1479" s="393"/>
      <c r="BP1479" s="399"/>
      <c r="BQ1479" s="400"/>
      <c r="BR1479" s="401"/>
      <c r="BS1479" s="399"/>
      <c r="BT1479" s="394"/>
      <c r="BU1479" s="417"/>
      <c r="BV1479" s="399"/>
      <c r="BW1479" s="393"/>
      <c r="BX1479" s="392"/>
      <c r="BY1479" s="475" t="s">
        <v>7227</v>
      </c>
      <c r="BZ1479" s="393"/>
      <c r="CA1479" s="441"/>
      <c r="CB1479" s="400"/>
      <c r="CC1479" s="398"/>
      <c r="CD1479" s="398"/>
      <c r="CE1479" s="398"/>
      <c r="CF1479" s="398"/>
      <c r="CG1479" s="398"/>
      <c r="CH1479" s="398"/>
      <c r="CI1479" s="398"/>
      <c r="CJ1479" s="398">
        <v>29.565000000000001</v>
      </c>
      <c r="CK1479" s="398">
        <v>29.565000000000001</v>
      </c>
      <c r="CL1479" s="398">
        <v>29.565000000000001</v>
      </c>
      <c r="CM1479" s="398">
        <v>29.565000000000001</v>
      </c>
      <c r="CN1479" s="398">
        <v>29.565000000000001</v>
      </c>
      <c r="CO1479" s="398">
        <v>29.565000000000001</v>
      </c>
      <c r="CP1479" s="398">
        <v>29.565000000000001</v>
      </c>
      <c r="CQ1479" s="398"/>
      <c r="CR1479" s="398"/>
      <c r="CS1479" s="398"/>
      <c r="CT1479" s="398"/>
      <c r="CU1479" s="398"/>
      <c r="CV1479" s="398"/>
      <c r="CW1479" s="398"/>
      <c r="CX1479" s="398"/>
      <c r="CY1479" s="398"/>
      <c r="CZ1479" s="398"/>
      <c r="DA1479" s="398"/>
      <c r="DB1479" s="398"/>
      <c r="DC1479" s="398"/>
      <c r="DD1479" s="398"/>
      <c r="DE1479" s="393"/>
      <c r="DF1479" s="393"/>
      <c r="DG1479" s="393"/>
      <c r="DH1479" s="393"/>
      <c r="DI1479" s="393"/>
      <c r="DJ1479" s="393"/>
      <c r="DK1479" s="897"/>
    </row>
    <row r="1480" spans="1:115" ht="25.5" x14ac:dyDescent="0.2">
      <c r="A1480" s="295">
        <v>1476</v>
      </c>
      <c r="B1480" s="390" t="s">
        <v>8049</v>
      </c>
      <c r="C1480" s="390"/>
      <c r="D1480" s="391" t="s">
        <v>8050</v>
      </c>
      <c r="E1480" s="705" t="s">
        <v>8073</v>
      </c>
      <c r="F1480" s="393" t="s">
        <v>1375</v>
      </c>
      <c r="G1480" s="393" t="s">
        <v>998</v>
      </c>
      <c r="H1480" s="393" t="s">
        <v>1059</v>
      </c>
      <c r="I1480" s="392"/>
      <c r="J1480" s="392"/>
      <c r="K1480" s="428" t="s">
        <v>1091</v>
      </c>
      <c r="L1480" s="392" t="s">
        <v>3000</v>
      </c>
      <c r="M1480" s="392"/>
      <c r="N1480" s="393" t="s">
        <v>44</v>
      </c>
      <c r="O1480" s="393" t="s">
        <v>51</v>
      </c>
      <c r="P1480" s="393" t="s">
        <v>51</v>
      </c>
      <c r="Q1480" s="392" t="s">
        <v>976</v>
      </c>
      <c r="R1480" s="392" t="s">
        <v>3706</v>
      </c>
      <c r="S1480" s="428" t="s">
        <v>977</v>
      </c>
      <c r="T1480" s="394">
        <v>1</v>
      </c>
      <c r="U1480" s="395">
        <v>30.14</v>
      </c>
      <c r="V1480" s="395"/>
      <c r="W1480" s="453"/>
      <c r="X1480" s="394"/>
      <c r="Y1480" s="394">
        <v>7</v>
      </c>
      <c r="Z1480" s="394">
        <v>21</v>
      </c>
      <c r="AA1480" s="395">
        <v>0</v>
      </c>
      <c r="AB1480" s="452">
        <v>42391</v>
      </c>
      <c r="AC1480" s="398">
        <v>0</v>
      </c>
      <c r="AD1480" s="398">
        <v>149.04849315068495</v>
      </c>
      <c r="AE1480" s="475" t="s">
        <v>54</v>
      </c>
      <c r="AF1480" s="417"/>
      <c r="AG1480" s="417"/>
      <c r="AH1480" s="417"/>
      <c r="AI1480" s="394"/>
      <c r="AJ1480" s="452"/>
      <c r="AK1480" s="452"/>
      <c r="AL1480" s="393"/>
      <c r="AM1480" s="393"/>
      <c r="AN1480" s="417"/>
      <c r="AO1480" s="392"/>
      <c r="AP1480" s="428"/>
      <c r="AQ1480" s="428"/>
      <c r="AR1480" s="392" t="s">
        <v>6469</v>
      </c>
      <c r="AS1480" s="479">
        <v>41123</v>
      </c>
      <c r="AT1480" s="453"/>
      <c r="AU1480" s="453"/>
      <c r="AV1480" s="453"/>
      <c r="AW1480" s="453"/>
      <c r="AX1480" s="453"/>
      <c r="AY1480" s="453"/>
      <c r="AZ1480" s="452">
        <v>42479</v>
      </c>
      <c r="BA1480" s="393"/>
      <c r="BB1480" s="393"/>
      <c r="BC1480" s="393" t="b">
        <v>0</v>
      </c>
      <c r="BD1480" s="393"/>
      <c r="BE1480" s="392"/>
      <c r="BF1480" s="394">
        <v>6</v>
      </c>
      <c r="BG1480" s="394">
        <v>9</v>
      </c>
      <c r="BH1480" s="394">
        <v>8</v>
      </c>
      <c r="BI1480" s="394">
        <v>1</v>
      </c>
      <c r="BJ1480" s="394"/>
      <c r="BK1480" s="394"/>
      <c r="BL1480" s="444" t="s">
        <v>1451</v>
      </c>
      <c r="BM1480" s="392"/>
      <c r="BN1480" s="393"/>
      <c r="BO1480" s="393"/>
      <c r="BP1480" s="399"/>
      <c r="BQ1480" s="400"/>
      <c r="BR1480" s="401"/>
      <c r="BS1480" s="399"/>
      <c r="BT1480" s="394"/>
      <c r="BU1480" s="417"/>
      <c r="BV1480" s="399"/>
      <c r="BW1480" s="393"/>
      <c r="BX1480" s="392"/>
      <c r="BY1480" s="475" t="s">
        <v>7227</v>
      </c>
      <c r="BZ1480" s="393"/>
      <c r="CA1480" s="441"/>
      <c r="CB1480" s="400"/>
      <c r="CC1480" s="398"/>
      <c r="CD1480" s="398"/>
      <c r="CE1480" s="398"/>
      <c r="CF1480" s="398"/>
      <c r="CG1480" s="398"/>
      <c r="CH1480" s="398"/>
      <c r="CI1480" s="398"/>
      <c r="CJ1480" s="398"/>
      <c r="CK1480" s="398"/>
      <c r="CL1480" s="398"/>
      <c r="CM1480" s="398">
        <v>30.14</v>
      </c>
      <c r="CN1480" s="398">
        <v>30.14</v>
      </c>
      <c r="CO1480" s="398">
        <v>30.14</v>
      </c>
      <c r="CP1480" s="398">
        <v>30.14</v>
      </c>
      <c r="CQ1480" s="398">
        <v>30.14</v>
      </c>
      <c r="CR1480" s="398">
        <v>30.14</v>
      </c>
      <c r="CS1480" s="398">
        <v>30.14</v>
      </c>
      <c r="CT1480" s="398"/>
      <c r="CU1480" s="398"/>
      <c r="CV1480" s="398"/>
      <c r="CW1480" s="398"/>
      <c r="CX1480" s="398"/>
      <c r="CY1480" s="398"/>
      <c r="CZ1480" s="398"/>
      <c r="DA1480" s="398"/>
      <c r="DB1480" s="398"/>
      <c r="DC1480" s="398"/>
      <c r="DD1480" s="398"/>
      <c r="DE1480" s="393"/>
      <c r="DF1480" s="393"/>
      <c r="DG1480" s="393"/>
      <c r="DH1480" s="393"/>
      <c r="DI1480" s="393"/>
      <c r="DJ1480" s="393"/>
      <c r="DK1480" s="897"/>
    </row>
    <row r="1481" spans="1:115" ht="25.5" x14ac:dyDescent="0.2">
      <c r="A1481" s="295">
        <v>1477</v>
      </c>
      <c r="B1481" s="390" t="s">
        <v>8057</v>
      </c>
      <c r="C1481" s="390"/>
      <c r="D1481" s="391" t="s">
        <v>8058</v>
      </c>
      <c r="E1481" s="705" t="s">
        <v>8074</v>
      </c>
      <c r="F1481" s="393" t="s">
        <v>1375</v>
      </c>
      <c r="G1481" s="393" t="s">
        <v>998</v>
      </c>
      <c r="H1481" s="393" t="s">
        <v>1059</v>
      </c>
      <c r="I1481" s="392"/>
      <c r="J1481" s="392"/>
      <c r="K1481" s="428" t="s">
        <v>8082</v>
      </c>
      <c r="L1481" s="392" t="s">
        <v>3000</v>
      </c>
      <c r="M1481" s="392"/>
      <c r="N1481" s="393" t="s">
        <v>44</v>
      </c>
      <c r="O1481" s="393" t="s">
        <v>51</v>
      </c>
      <c r="P1481" s="393" t="s">
        <v>51</v>
      </c>
      <c r="Q1481" s="392" t="s">
        <v>976</v>
      </c>
      <c r="R1481" s="392" t="s">
        <v>3706</v>
      </c>
      <c r="S1481" s="428" t="s">
        <v>977</v>
      </c>
      <c r="T1481" s="394">
        <v>1</v>
      </c>
      <c r="U1481" s="395">
        <v>27.864999999999998</v>
      </c>
      <c r="V1481" s="395"/>
      <c r="W1481" s="453"/>
      <c r="X1481" s="394"/>
      <c r="Y1481" s="394">
        <v>7</v>
      </c>
      <c r="Z1481" s="394">
        <v>21</v>
      </c>
      <c r="AA1481" s="395">
        <v>0</v>
      </c>
      <c r="AB1481" s="452">
        <v>42391</v>
      </c>
      <c r="AC1481" s="398">
        <v>0</v>
      </c>
      <c r="AD1481" s="398">
        <v>137.7981506849315</v>
      </c>
      <c r="AE1481" s="475" t="s">
        <v>54</v>
      </c>
      <c r="AF1481" s="417"/>
      <c r="AG1481" s="417"/>
      <c r="AH1481" s="417"/>
      <c r="AI1481" s="394"/>
      <c r="AJ1481" s="452"/>
      <c r="AK1481" s="452"/>
      <c r="AL1481" s="393"/>
      <c r="AM1481" s="393"/>
      <c r="AN1481" s="417"/>
      <c r="AO1481" s="392"/>
      <c r="AP1481" s="428"/>
      <c r="AQ1481" s="428"/>
      <c r="AR1481" s="392" t="s">
        <v>6469</v>
      </c>
      <c r="AS1481" s="479">
        <v>41123</v>
      </c>
      <c r="AT1481" s="453"/>
      <c r="AU1481" s="453"/>
      <c r="AV1481" s="453"/>
      <c r="AW1481" s="453"/>
      <c r="AX1481" s="453"/>
      <c r="AY1481" s="453"/>
      <c r="AZ1481" s="452">
        <v>42479</v>
      </c>
      <c r="BA1481" s="393"/>
      <c r="BB1481" s="393"/>
      <c r="BC1481" s="393" t="b">
        <v>0</v>
      </c>
      <c r="BD1481" s="393"/>
      <c r="BE1481" s="392"/>
      <c r="BF1481" s="394">
        <v>6</v>
      </c>
      <c r="BG1481" s="394">
        <v>9</v>
      </c>
      <c r="BH1481" s="394">
        <v>8</v>
      </c>
      <c r="BI1481" s="394">
        <v>1</v>
      </c>
      <c r="BJ1481" s="394"/>
      <c r="BK1481" s="394"/>
      <c r="BL1481" s="444" t="s">
        <v>1451</v>
      </c>
      <c r="BM1481" s="392"/>
      <c r="BN1481" s="393"/>
      <c r="BO1481" s="393"/>
      <c r="BP1481" s="399"/>
      <c r="BQ1481" s="400"/>
      <c r="BR1481" s="401"/>
      <c r="BS1481" s="399"/>
      <c r="BT1481" s="394"/>
      <c r="BU1481" s="417"/>
      <c r="BV1481" s="399"/>
      <c r="BW1481" s="393"/>
      <c r="BX1481" s="392"/>
      <c r="BY1481" s="475" t="s">
        <v>7227</v>
      </c>
      <c r="BZ1481" s="393"/>
      <c r="CA1481" s="441"/>
      <c r="CB1481" s="400"/>
      <c r="CC1481" s="398"/>
      <c r="CD1481" s="398"/>
      <c r="CE1481" s="398"/>
      <c r="CF1481" s="398"/>
      <c r="CG1481" s="398"/>
      <c r="CH1481" s="398"/>
      <c r="CI1481" s="398"/>
      <c r="CJ1481" s="398"/>
      <c r="CK1481" s="398"/>
      <c r="CL1481" s="398"/>
      <c r="CM1481" s="398">
        <v>27.864999999999998</v>
      </c>
      <c r="CN1481" s="398">
        <v>27.864999999999998</v>
      </c>
      <c r="CO1481" s="398">
        <v>27.864999999999998</v>
      </c>
      <c r="CP1481" s="398">
        <v>27.864999999999998</v>
      </c>
      <c r="CQ1481" s="398">
        <v>27.864999999999998</v>
      </c>
      <c r="CR1481" s="398">
        <v>27.864999999999998</v>
      </c>
      <c r="CS1481" s="398">
        <v>27.864999999999998</v>
      </c>
      <c r="CT1481" s="398"/>
      <c r="CU1481" s="398"/>
      <c r="CV1481" s="398"/>
      <c r="CW1481" s="398"/>
      <c r="CX1481" s="398"/>
      <c r="CY1481" s="398"/>
      <c r="CZ1481" s="398"/>
      <c r="DA1481" s="398"/>
      <c r="DB1481" s="398"/>
      <c r="DC1481" s="398"/>
      <c r="DD1481" s="398"/>
      <c r="DE1481" s="393"/>
      <c r="DF1481" s="393"/>
      <c r="DG1481" s="393"/>
      <c r="DH1481" s="393"/>
      <c r="DI1481" s="393"/>
      <c r="DJ1481" s="393"/>
      <c r="DK1481" s="897"/>
    </row>
    <row r="1482" spans="1:115" s="3" customFormat="1" ht="25.5" x14ac:dyDescent="0.2">
      <c r="A1482" s="295">
        <v>1478</v>
      </c>
      <c r="B1482" s="390" t="s">
        <v>8059</v>
      </c>
      <c r="C1482" s="390"/>
      <c r="D1482" s="391" t="s">
        <v>8060</v>
      </c>
      <c r="E1482" s="705" t="s">
        <v>8075</v>
      </c>
      <c r="F1482" s="393" t="s">
        <v>1375</v>
      </c>
      <c r="G1482" s="393" t="s">
        <v>998</v>
      </c>
      <c r="H1482" s="393" t="s">
        <v>1059</v>
      </c>
      <c r="I1482" s="392"/>
      <c r="J1482" s="392"/>
      <c r="K1482" s="428" t="s">
        <v>1091</v>
      </c>
      <c r="L1482" s="392" t="s">
        <v>3000</v>
      </c>
      <c r="M1482" s="392"/>
      <c r="N1482" s="393" t="s">
        <v>44</v>
      </c>
      <c r="O1482" s="393" t="s">
        <v>51</v>
      </c>
      <c r="P1482" s="393" t="s">
        <v>51</v>
      </c>
      <c r="Q1482" s="392" t="s">
        <v>976</v>
      </c>
      <c r="R1482" s="392" t="s">
        <v>3706</v>
      </c>
      <c r="S1482" s="428" t="s">
        <v>977</v>
      </c>
      <c r="T1482" s="394">
        <v>1</v>
      </c>
      <c r="U1482" s="395">
        <v>26.866</v>
      </c>
      <c r="V1482" s="395"/>
      <c r="W1482" s="453"/>
      <c r="X1482" s="394"/>
      <c r="Y1482" s="394">
        <v>7</v>
      </c>
      <c r="Z1482" s="394">
        <v>21</v>
      </c>
      <c r="AA1482" s="395">
        <v>0</v>
      </c>
      <c r="AB1482" s="452">
        <v>42398</v>
      </c>
      <c r="AC1482" s="398">
        <v>0</v>
      </c>
      <c r="AD1482" s="398">
        <v>132.34265205479451</v>
      </c>
      <c r="AE1482" s="475" t="s">
        <v>54</v>
      </c>
      <c r="AF1482" s="417"/>
      <c r="AG1482" s="417"/>
      <c r="AH1482" s="417"/>
      <c r="AI1482" s="394"/>
      <c r="AJ1482" s="452"/>
      <c r="AK1482" s="452"/>
      <c r="AL1482" s="393"/>
      <c r="AM1482" s="393"/>
      <c r="AN1482" s="417"/>
      <c r="AO1482" s="392"/>
      <c r="AP1482" s="428"/>
      <c r="AQ1482" s="428"/>
      <c r="AR1482" s="392" t="s">
        <v>6469</v>
      </c>
      <c r="AS1482" s="479">
        <v>41123</v>
      </c>
      <c r="AT1482" s="453"/>
      <c r="AU1482" s="453"/>
      <c r="AV1482" s="453"/>
      <c r="AW1482" s="453"/>
      <c r="AX1482" s="453"/>
      <c r="AY1482" s="453"/>
      <c r="AZ1482" s="452">
        <v>42479</v>
      </c>
      <c r="BA1482" s="393"/>
      <c r="BB1482" s="393"/>
      <c r="BC1482" s="393" t="b">
        <v>0</v>
      </c>
      <c r="BD1482" s="393"/>
      <c r="BE1482" s="392"/>
      <c r="BF1482" s="394">
        <v>6</v>
      </c>
      <c r="BG1482" s="394">
        <v>9</v>
      </c>
      <c r="BH1482" s="394">
        <v>8</v>
      </c>
      <c r="BI1482" s="394">
        <v>1</v>
      </c>
      <c r="BJ1482" s="394"/>
      <c r="BK1482" s="394"/>
      <c r="BL1482" s="444" t="s">
        <v>1451</v>
      </c>
      <c r="BM1482" s="392"/>
      <c r="BN1482" s="393"/>
      <c r="BO1482" s="393"/>
      <c r="BP1482" s="399"/>
      <c r="BQ1482" s="400"/>
      <c r="BR1482" s="401"/>
      <c r="BS1482" s="399"/>
      <c r="BT1482" s="394"/>
      <c r="BU1482" s="417"/>
      <c r="BV1482" s="399"/>
      <c r="BW1482" s="393"/>
      <c r="BX1482" s="392"/>
      <c r="BY1482" s="475" t="s">
        <v>7227</v>
      </c>
      <c r="BZ1482" s="393"/>
      <c r="CA1482" s="441"/>
      <c r="CB1482" s="400"/>
      <c r="CC1482" s="398"/>
      <c r="CD1482" s="398"/>
      <c r="CE1482" s="398"/>
      <c r="CF1482" s="398"/>
      <c r="CG1482" s="398"/>
      <c r="CH1482" s="398"/>
      <c r="CI1482" s="398"/>
      <c r="CJ1482" s="398"/>
      <c r="CK1482" s="398"/>
      <c r="CL1482" s="398"/>
      <c r="CM1482" s="398">
        <v>26.866</v>
      </c>
      <c r="CN1482" s="398">
        <v>26.866</v>
      </c>
      <c r="CO1482" s="398">
        <v>26.866</v>
      </c>
      <c r="CP1482" s="398">
        <v>26.866</v>
      </c>
      <c r="CQ1482" s="398">
        <v>26.866</v>
      </c>
      <c r="CR1482" s="398">
        <v>26.866</v>
      </c>
      <c r="CS1482" s="398">
        <v>26.866</v>
      </c>
      <c r="CT1482" s="398"/>
      <c r="CU1482" s="398"/>
      <c r="CV1482" s="398"/>
      <c r="CW1482" s="398"/>
      <c r="CX1482" s="398"/>
      <c r="CY1482" s="398"/>
      <c r="CZ1482" s="398"/>
      <c r="DA1482" s="398"/>
      <c r="DB1482" s="398"/>
      <c r="DC1482" s="398"/>
      <c r="DD1482" s="398"/>
      <c r="DE1482" s="393"/>
      <c r="DF1482" s="393"/>
      <c r="DG1482" s="393"/>
      <c r="DH1482" s="393"/>
      <c r="DI1482" s="393"/>
      <c r="DJ1482" s="393"/>
      <c r="DK1482" s="897"/>
    </row>
    <row r="1483" spans="1:115" ht="25.5" x14ac:dyDescent="0.2">
      <c r="A1483" s="295">
        <v>1479</v>
      </c>
      <c r="B1483" s="390" t="s">
        <v>8061</v>
      </c>
      <c r="C1483" s="390"/>
      <c r="D1483" s="391" t="s">
        <v>8062</v>
      </c>
      <c r="E1483" s="705" t="s">
        <v>8076</v>
      </c>
      <c r="F1483" s="393" t="s">
        <v>1375</v>
      </c>
      <c r="G1483" s="393" t="s">
        <v>998</v>
      </c>
      <c r="H1483" s="393" t="s">
        <v>1059</v>
      </c>
      <c r="I1483" s="392"/>
      <c r="J1483" s="392"/>
      <c r="K1483" s="428" t="s">
        <v>8082</v>
      </c>
      <c r="L1483" s="392" t="s">
        <v>3000</v>
      </c>
      <c r="M1483" s="392"/>
      <c r="N1483" s="393" t="s">
        <v>44</v>
      </c>
      <c r="O1483" s="393" t="s">
        <v>51</v>
      </c>
      <c r="P1483" s="393" t="s">
        <v>51</v>
      </c>
      <c r="Q1483" s="392" t="s">
        <v>976</v>
      </c>
      <c r="R1483" s="392" t="s">
        <v>3706</v>
      </c>
      <c r="S1483" s="428" t="s">
        <v>977</v>
      </c>
      <c r="T1483" s="394">
        <v>1</v>
      </c>
      <c r="U1483" s="395">
        <v>21.61</v>
      </c>
      <c r="V1483" s="395"/>
      <c r="W1483" s="453"/>
      <c r="X1483" s="394"/>
      <c r="Y1483" s="394">
        <v>7</v>
      </c>
      <c r="Z1483" s="394">
        <v>21</v>
      </c>
      <c r="AA1483" s="395">
        <v>0</v>
      </c>
      <c r="AB1483" s="452">
        <v>42398</v>
      </c>
      <c r="AC1483" s="398">
        <v>0</v>
      </c>
      <c r="AD1483" s="398">
        <v>106.45145205479452</v>
      </c>
      <c r="AE1483" s="475" t="s">
        <v>54</v>
      </c>
      <c r="AF1483" s="417"/>
      <c r="AG1483" s="417"/>
      <c r="AH1483" s="417"/>
      <c r="AI1483" s="394"/>
      <c r="AJ1483" s="452"/>
      <c r="AK1483" s="452"/>
      <c r="AL1483" s="393"/>
      <c r="AM1483" s="393"/>
      <c r="AN1483" s="417"/>
      <c r="AO1483" s="392"/>
      <c r="AP1483" s="428"/>
      <c r="AQ1483" s="428"/>
      <c r="AR1483" s="392" t="s">
        <v>6469</v>
      </c>
      <c r="AS1483" s="479">
        <v>41123</v>
      </c>
      <c r="AT1483" s="453"/>
      <c r="AU1483" s="453"/>
      <c r="AV1483" s="453"/>
      <c r="AW1483" s="453"/>
      <c r="AX1483" s="453"/>
      <c r="AY1483" s="453"/>
      <c r="AZ1483" s="452">
        <v>42479</v>
      </c>
      <c r="BA1483" s="393"/>
      <c r="BB1483" s="393"/>
      <c r="BC1483" s="393" t="b">
        <v>0</v>
      </c>
      <c r="BD1483" s="393"/>
      <c r="BE1483" s="392"/>
      <c r="BF1483" s="394">
        <v>6</v>
      </c>
      <c r="BG1483" s="394">
        <v>9</v>
      </c>
      <c r="BH1483" s="394">
        <v>8</v>
      </c>
      <c r="BI1483" s="394">
        <v>1</v>
      </c>
      <c r="BJ1483" s="394"/>
      <c r="BK1483" s="394"/>
      <c r="BL1483" s="444" t="s">
        <v>1451</v>
      </c>
      <c r="BM1483" s="392"/>
      <c r="BN1483" s="393"/>
      <c r="BO1483" s="393"/>
      <c r="BP1483" s="399"/>
      <c r="BQ1483" s="400"/>
      <c r="BR1483" s="401"/>
      <c r="BS1483" s="399"/>
      <c r="BT1483" s="394"/>
      <c r="BU1483" s="417"/>
      <c r="BV1483" s="399"/>
      <c r="BW1483" s="393"/>
      <c r="BX1483" s="392"/>
      <c r="BY1483" s="475" t="s">
        <v>7227</v>
      </c>
      <c r="BZ1483" s="393"/>
      <c r="CA1483" s="441"/>
      <c r="CB1483" s="400"/>
      <c r="CC1483" s="398"/>
      <c r="CD1483" s="398"/>
      <c r="CE1483" s="398"/>
      <c r="CF1483" s="398"/>
      <c r="CG1483" s="398"/>
      <c r="CH1483" s="398"/>
      <c r="CI1483" s="398"/>
      <c r="CJ1483" s="398"/>
      <c r="CK1483" s="398"/>
      <c r="CL1483" s="398"/>
      <c r="CM1483" s="398">
        <v>21.61</v>
      </c>
      <c r="CN1483" s="398">
        <v>21.61</v>
      </c>
      <c r="CO1483" s="398">
        <v>21.61</v>
      </c>
      <c r="CP1483" s="398">
        <v>21.61</v>
      </c>
      <c r="CQ1483" s="398">
        <v>21.61</v>
      </c>
      <c r="CR1483" s="398">
        <v>21.61</v>
      </c>
      <c r="CS1483" s="398">
        <v>21.61</v>
      </c>
      <c r="CT1483" s="398"/>
      <c r="CU1483" s="398"/>
      <c r="CV1483" s="398"/>
      <c r="CW1483" s="398"/>
      <c r="CX1483" s="398"/>
      <c r="CY1483" s="398"/>
      <c r="CZ1483" s="398"/>
      <c r="DA1483" s="398"/>
      <c r="DB1483" s="398"/>
      <c r="DC1483" s="398"/>
      <c r="DD1483" s="398"/>
      <c r="DE1483" s="393"/>
      <c r="DF1483" s="393"/>
      <c r="DG1483" s="393"/>
      <c r="DH1483" s="393"/>
      <c r="DI1483" s="393"/>
      <c r="DJ1483" s="393"/>
      <c r="DK1483" s="897"/>
    </row>
    <row r="1484" spans="1:115" ht="25.5" x14ac:dyDescent="0.2">
      <c r="A1484" s="295">
        <v>1480</v>
      </c>
      <c r="B1484" s="390" t="s">
        <v>8063</v>
      </c>
      <c r="C1484" s="390"/>
      <c r="D1484" s="391" t="s">
        <v>8064</v>
      </c>
      <c r="E1484" s="705" t="s">
        <v>8077</v>
      </c>
      <c r="F1484" s="393" t="s">
        <v>1375</v>
      </c>
      <c r="G1484" s="393" t="s">
        <v>998</v>
      </c>
      <c r="H1484" s="393" t="s">
        <v>1059</v>
      </c>
      <c r="I1484" s="392"/>
      <c r="J1484" s="392"/>
      <c r="K1484" s="428" t="s">
        <v>1091</v>
      </c>
      <c r="L1484" s="392" t="s">
        <v>3000</v>
      </c>
      <c r="M1484" s="392"/>
      <c r="N1484" s="393" t="s">
        <v>44</v>
      </c>
      <c r="O1484" s="393" t="s">
        <v>51</v>
      </c>
      <c r="P1484" s="393" t="s">
        <v>51</v>
      </c>
      <c r="Q1484" s="392" t="s">
        <v>976</v>
      </c>
      <c r="R1484" s="392" t="s">
        <v>3706</v>
      </c>
      <c r="S1484" s="428" t="s">
        <v>977</v>
      </c>
      <c r="T1484" s="394">
        <v>1</v>
      </c>
      <c r="U1484" s="395">
        <v>16.91</v>
      </c>
      <c r="V1484" s="395"/>
      <c r="W1484" s="453"/>
      <c r="X1484" s="394"/>
      <c r="Y1484" s="394">
        <v>7</v>
      </c>
      <c r="Z1484" s="394">
        <v>21</v>
      </c>
      <c r="AA1484" s="395">
        <v>0</v>
      </c>
      <c r="AB1484" s="452">
        <v>42384</v>
      </c>
      <c r="AC1484" s="398">
        <v>0</v>
      </c>
      <c r="AD1484" s="398">
        <v>83.947726027397266</v>
      </c>
      <c r="AE1484" s="475" t="s">
        <v>54</v>
      </c>
      <c r="AF1484" s="417"/>
      <c r="AG1484" s="417"/>
      <c r="AH1484" s="417"/>
      <c r="AI1484" s="394"/>
      <c r="AJ1484" s="452"/>
      <c r="AK1484" s="452"/>
      <c r="AL1484" s="393"/>
      <c r="AM1484" s="393"/>
      <c r="AN1484" s="417"/>
      <c r="AO1484" s="392"/>
      <c r="AP1484" s="428"/>
      <c r="AQ1484" s="428"/>
      <c r="AR1484" s="392" t="s">
        <v>6469</v>
      </c>
      <c r="AS1484" s="479">
        <v>41123</v>
      </c>
      <c r="AT1484" s="453"/>
      <c r="AU1484" s="453"/>
      <c r="AV1484" s="453"/>
      <c r="AW1484" s="453"/>
      <c r="AX1484" s="453"/>
      <c r="AY1484" s="453"/>
      <c r="AZ1484" s="452">
        <v>42479</v>
      </c>
      <c r="BA1484" s="393"/>
      <c r="BB1484" s="393"/>
      <c r="BC1484" s="393" t="b">
        <v>0</v>
      </c>
      <c r="BD1484" s="393"/>
      <c r="BE1484" s="392"/>
      <c r="BF1484" s="394">
        <v>6</v>
      </c>
      <c r="BG1484" s="394">
        <v>9</v>
      </c>
      <c r="BH1484" s="394">
        <v>8</v>
      </c>
      <c r="BI1484" s="394">
        <v>1</v>
      </c>
      <c r="BJ1484" s="394"/>
      <c r="BK1484" s="394"/>
      <c r="BL1484" s="444" t="s">
        <v>1451</v>
      </c>
      <c r="BM1484" s="392"/>
      <c r="BN1484" s="393"/>
      <c r="BO1484" s="393"/>
      <c r="BP1484" s="399"/>
      <c r="BQ1484" s="400"/>
      <c r="BR1484" s="401"/>
      <c r="BS1484" s="399"/>
      <c r="BT1484" s="394"/>
      <c r="BU1484" s="417"/>
      <c r="BV1484" s="399"/>
      <c r="BW1484" s="393"/>
      <c r="BX1484" s="392"/>
      <c r="BY1484" s="475" t="s">
        <v>7227</v>
      </c>
      <c r="BZ1484" s="393"/>
      <c r="CA1484" s="441"/>
      <c r="CB1484" s="400"/>
      <c r="CC1484" s="398"/>
      <c r="CD1484" s="398"/>
      <c r="CE1484" s="398"/>
      <c r="CF1484" s="398"/>
      <c r="CG1484" s="398"/>
      <c r="CH1484" s="398"/>
      <c r="CI1484" s="398"/>
      <c r="CJ1484" s="398"/>
      <c r="CK1484" s="398"/>
      <c r="CL1484" s="398"/>
      <c r="CM1484" s="398">
        <v>16.91</v>
      </c>
      <c r="CN1484" s="398">
        <v>16.91</v>
      </c>
      <c r="CO1484" s="398">
        <v>16.91</v>
      </c>
      <c r="CP1484" s="398">
        <v>16.91</v>
      </c>
      <c r="CQ1484" s="398">
        <v>16.91</v>
      </c>
      <c r="CR1484" s="398">
        <v>16.91</v>
      </c>
      <c r="CS1484" s="398">
        <v>16.91</v>
      </c>
      <c r="CT1484" s="398"/>
      <c r="CU1484" s="398"/>
      <c r="CV1484" s="398"/>
      <c r="CW1484" s="398"/>
      <c r="CX1484" s="398"/>
      <c r="CY1484" s="398"/>
      <c r="CZ1484" s="398"/>
      <c r="DA1484" s="398"/>
      <c r="DB1484" s="398"/>
      <c r="DC1484" s="398"/>
      <c r="DD1484" s="398"/>
      <c r="DE1484" s="393"/>
      <c r="DF1484" s="393"/>
      <c r="DG1484" s="393"/>
      <c r="DH1484" s="393"/>
      <c r="DI1484" s="393"/>
      <c r="DJ1484" s="393"/>
      <c r="DK1484" s="897"/>
    </row>
    <row r="1485" spans="1:115" ht="25.5" x14ac:dyDescent="0.2">
      <c r="A1485" s="295">
        <v>1481</v>
      </c>
      <c r="B1485" s="390" t="s">
        <v>8065</v>
      </c>
      <c r="C1485" s="390"/>
      <c r="D1485" s="391" t="s">
        <v>8066</v>
      </c>
      <c r="E1485" s="705" t="s">
        <v>8078</v>
      </c>
      <c r="F1485" s="393" t="s">
        <v>1375</v>
      </c>
      <c r="G1485" s="393" t="s">
        <v>998</v>
      </c>
      <c r="H1485" s="393" t="s">
        <v>1059</v>
      </c>
      <c r="I1485" s="392"/>
      <c r="J1485" s="392"/>
      <c r="K1485" s="428" t="s">
        <v>1091</v>
      </c>
      <c r="L1485" s="392" t="s">
        <v>3000</v>
      </c>
      <c r="M1485" s="392"/>
      <c r="N1485" s="393" t="s">
        <v>44</v>
      </c>
      <c r="O1485" s="393" t="s">
        <v>51</v>
      </c>
      <c r="P1485" s="393" t="s">
        <v>51</v>
      </c>
      <c r="Q1485" s="392" t="s">
        <v>976</v>
      </c>
      <c r="R1485" s="392" t="s">
        <v>3706</v>
      </c>
      <c r="S1485" s="428" t="s">
        <v>977</v>
      </c>
      <c r="T1485" s="394">
        <v>1</v>
      </c>
      <c r="U1485" s="395">
        <v>17.331</v>
      </c>
      <c r="V1485" s="395"/>
      <c r="W1485" s="453"/>
      <c r="X1485" s="394"/>
      <c r="Y1485" s="394">
        <v>7</v>
      </c>
      <c r="Z1485" s="394">
        <v>21</v>
      </c>
      <c r="AA1485" s="395">
        <v>0</v>
      </c>
      <c r="AB1485" s="452">
        <v>42398</v>
      </c>
      <c r="AC1485" s="398">
        <v>0</v>
      </c>
      <c r="AD1485" s="398">
        <v>85.372980821917807</v>
      </c>
      <c r="AE1485" s="475" t="s">
        <v>54</v>
      </c>
      <c r="AF1485" s="417"/>
      <c r="AG1485" s="417"/>
      <c r="AH1485" s="417"/>
      <c r="AI1485" s="394"/>
      <c r="AJ1485" s="452"/>
      <c r="AK1485" s="452"/>
      <c r="AL1485" s="393"/>
      <c r="AM1485" s="393"/>
      <c r="AN1485" s="417"/>
      <c r="AO1485" s="392"/>
      <c r="AP1485" s="428"/>
      <c r="AQ1485" s="428"/>
      <c r="AR1485" s="392" t="s">
        <v>6469</v>
      </c>
      <c r="AS1485" s="479">
        <v>41123</v>
      </c>
      <c r="AT1485" s="453"/>
      <c r="AU1485" s="453"/>
      <c r="AV1485" s="453"/>
      <c r="AW1485" s="453"/>
      <c r="AX1485" s="453"/>
      <c r="AY1485" s="453"/>
      <c r="AZ1485" s="452">
        <v>42479</v>
      </c>
      <c r="BA1485" s="393"/>
      <c r="BB1485" s="393"/>
      <c r="BC1485" s="393" t="b">
        <v>0</v>
      </c>
      <c r="BD1485" s="393"/>
      <c r="BE1485" s="392"/>
      <c r="BF1485" s="394">
        <v>6</v>
      </c>
      <c r="BG1485" s="394">
        <v>9</v>
      </c>
      <c r="BH1485" s="394">
        <v>8</v>
      </c>
      <c r="BI1485" s="394">
        <v>1</v>
      </c>
      <c r="BJ1485" s="394"/>
      <c r="BK1485" s="394"/>
      <c r="BL1485" s="444" t="s">
        <v>1451</v>
      </c>
      <c r="BM1485" s="392"/>
      <c r="BN1485" s="393"/>
      <c r="BO1485" s="393"/>
      <c r="BP1485" s="399"/>
      <c r="BQ1485" s="400"/>
      <c r="BR1485" s="401"/>
      <c r="BS1485" s="399"/>
      <c r="BT1485" s="394"/>
      <c r="BU1485" s="417"/>
      <c r="BV1485" s="399"/>
      <c r="BW1485" s="393"/>
      <c r="BX1485" s="392"/>
      <c r="BY1485" s="475" t="s">
        <v>7227</v>
      </c>
      <c r="BZ1485" s="393"/>
      <c r="CA1485" s="441"/>
      <c r="CB1485" s="400"/>
      <c r="CC1485" s="398"/>
      <c r="CD1485" s="398"/>
      <c r="CE1485" s="398"/>
      <c r="CF1485" s="398"/>
      <c r="CG1485" s="398"/>
      <c r="CH1485" s="398"/>
      <c r="CI1485" s="398"/>
      <c r="CJ1485" s="398"/>
      <c r="CK1485" s="398"/>
      <c r="CL1485" s="398"/>
      <c r="CM1485" s="398">
        <v>17.331</v>
      </c>
      <c r="CN1485" s="398">
        <v>17.331</v>
      </c>
      <c r="CO1485" s="398">
        <v>17.331</v>
      </c>
      <c r="CP1485" s="398">
        <v>17.331</v>
      </c>
      <c r="CQ1485" s="398">
        <v>17.331</v>
      </c>
      <c r="CR1485" s="398">
        <v>17.331</v>
      </c>
      <c r="CS1485" s="398">
        <v>17.331</v>
      </c>
      <c r="CT1485" s="398"/>
      <c r="CU1485" s="398"/>
      <c r="CV1485" s="398"/>
      <c r="CW1485" s="398"/>
      <c r="CX1485" s="398"/>
      <c r="CY1485" s="398"/>
      <c r="CZ1485" s="398"/>
      <c r="DA1485" s="398"/>
      <c r="DB1485" s="398"/>
      <c r="DC1485" s="398"/>
      <c r="DD1485" s="398"/>
      <c r="DE1485" s="393"/>
      <c r="DF1485" s="393"/>
      <c r="DG1485" s="393"/>
      <c r="DH1485" s="393"/>
      <c r="DI1485" s="393"/>
      <c r="DJ1485" s="393"/>
      <c r="DK1485" s="897"/>
    </row>
    <row r="1486" spans="1:115" ht="25.5" x14ac:dyDescent="0.2">
      <c r="A1486" s="295">
        <v>1482</v>
      </c>
      <c r="B1486" s="390" t="s">
        <v>8067</v>
      </c>
      <c r="C1486" s="390"/>
      <c r="D1486" s="391" t="s">
        <v>8068</v>
      </c>
      <c r="E1486" s="705" t="s">
        <v>8079</v>
      </c>
      <c r="F1486" s="393" t="s">
        <v>1375</v>
      </c>
      <c r="G1486" s="393" t="s">
        <v>998</v>
      </c>
      <c r="H1486" s="393" t="s">
        <v>1059</v>
      </c>
      <c r="I1486" s="392"/>
      <c r="J1486" s="392"/>
      <c r="K1486" s="428" t="s">
        <v>1091</v>
      </c>
      <c r="L1486" s="392" t="s">
        <v>3000</v>
      </c>
      <c r="M1486" s="392"/>
      <c r="N1486" s="393" t="s">
        <v>44</v>
      </c>
      <c r="O1486" s="393" t="s">
        <v>51</v>
      </c>
      <c r="P1486" s="393" t="s">
        <v>51</v>
      </c>
      <c r="Q1486" s="392" t="s">
        <v>976</v>
      </c>
      <c r="R1486" s="392" t="s">
        <v>3706</v>
      </c>
      <c r="S1486" s="428" t="s">
        <v>977</v>
      </c>
      <c r="T1486" s="394">
        <v>1</v>
      </c>
      <c r="U1486" s="395">
        <v>19.881</v>
      </c>
      <c r="V1486" s="395"/>
      <c r="W1486" s="453"/>
      <c r="X1486" s="394"/>
      <c r="Y1486" s="394">
        <v>7</v>
      </c>
      <c r="Z1486" s="394">
        <v>21</v>
      </c>
      <c r="AA1486" s="395">
        <v>0</v>
      </c>
      <c r="AB1486" s="452">
        <v>42384</v>
      </c>
      <c r="AC1486" s="398">
        <v>0</v>
      </c>
      <c r="AD1486" s="398">
        <v>98.696909589041098</v>
      </c>
      <c r="AE1486" s="475" t="s">
        <v>54</v>
      </c>
      <c r="AF1486" s="417"/>
      <c r="AG1486" s="417"/>
      <c r="AH1486" s="417"/>
      <c r="AI1486" s="394"/>
      <c r="AJ1486" s="452"/>
      <c r="AK1486" s="452"/>
      <c r="AL1486" s="393"/>
      <c r="AM1486" s="393"/>
      <c r="AN1486" s="417"/>
      <c r="AO1486" s="392"/>
      <c r="AP1486" s="428"/>
      <c r="AQ1486" s="428"/>
      <c r="AR1486" s="392" t="s">
        <v>6469</v>
      </c>
      <c r="AS1486" s="479">
        <v>41123</v>
      </c>
      <c r="AT1486" s="453"/>
      <c r="AU1486" s="453"/>
      <c r="AV1486" s="453"/>
      <c r="AW1486" s="453"/>
      <c r="AX1486" s="453"/>
      <c r="AY1486" s="453"/>
      <c r="AZ1486" s="452">
        <v>42479</v>
      </c>
      <c r="BA1486" s="393"/>
      <c r="BB1486" s="393"/>
      <c r="BC1486" s="393" t="b">
        <v>0</v>
      </c>
      <c r="BD1486" s="393"/>
      <c r="BE1486" s="392"/>
      <c r="BF1486" s="394">
        <v>6</v>
      </c>
      <c r="BG1486" s="394">
        <v>9</v>
      </c>
      <c r="BH1486" s="394">
        <v>8</v>
      </c>
      <c r="BI1486" s="394">
        <v>1</v>
      </c>
      <c r="BJ1486" s="394"/>
      <c r="BK1486" s="394"/>
      <c r="BL1486" s="444" t="s">
        <v>1451</v>
      </c>
      <c r="BM1486" s="392"/>
      <c r="BN1486" s="393"/>
      <c r="BO1486" s="393"/>
      <c r="BP1486" s="399"/>
      <c r="BQ1486" s="400"/>
      <c r="BR1486" s="401"/>
      <c r="BS1486" s="399"/>
      <c r="BT1486" s="394"/>
      <c r="BU1486" s="417"/>
      <c r="BV1486" s="399"/>
      <c r="BW1486" s="393"/>
      <c r="BX1486" s="392"/>
      <c r="BY1486" s="475" t="s">
        <v>7227</v>
      </c>
      <c r="BZ1486" s="393"/>
      <c r="CA1486" s="441"/>
      <c r="CB1486" s="400"/>
      <c r="CC1486" s="398"/>
      <c r="CD1486" s="398"/>
      <c r="CE1486" s="398"/>
      <c r="CF1486" s="398"/>
      <c r="CG1486" s="398"/>
      <c r="CH1486" s="398"/>
      <c r="CI1486" s="398"/>
      <c r="CJ1486" s="398"/>
      <c r="CK1486" s="398"/>
      <c r="CL1486" s="398"/>
      <c r="CM1486" s="398">
        <v>19.881</v>
      </c>
      <c r="CN1486" s="398">
        <v>19.881</v>
      </c>
      <c r="CO1486" s="398">
        <v>19.881</v>
      </c>
      <c r="CP1486" s="398">
        <v>19.881</v>
      </c>
      <c r="CQ1486" s="398">
        <v>19.881</v>
      </c>
      <c r="CR1486" s="398">
        <v>19.881</v>
      </c>
      <c r="CS1486" s="398">
        <v>19.881</v>
      </c>
      <c r="CT1486" s="398"/>
      <c r="CU1486" s="398"/>
      <c r="CV1486" s="398"/>
      <c r="CW1486" s="398"/>
      <c r="CX1486" s="398"/>
      <c r="CY1486" s="398"/>
      <c r="CZ1486" s="398"/>
      <c r="DA1486" s="398"/>
      <c r="DB1486" s="398"/>
      <c r="DC1486" s="398"/>
      <c r="DD1486" s="398"/>
      <c r="DE1486" s="393"/>
      <c r="DF1486" s="393"/>
      <c r="DG1486" s="393"/>
      <c r="DH1486" s="393"/>
      <c r="DI1486" s="393"/>
      <c r="DJ1486" s="393"/>
      <c r="DK1486" s="897"/>
    </row>
    <row r="1487" spans="1:115" ht="25.5" x14ac:dyDescent="0.2">
      <c r="A1487" s="295">
        <v>1483</v>
      </c>
      <c r="B1487" s="390" t="s">
        <v>8069</v>
      </c>
      <c r="C1487" s="390"/>
      <c r="D1487" s="391" t="s">
        <v>8070</v>
      </c>
      <c r="E1487" s="705" t="s">
        <v>8080</v>
      </c>
      <c r="F1487" s="393" t="s">
        <v>1375</v>
      </c>
      <c r="G1487" s="393" t="s">
        <v>998</v>
      </c>
      <c r="H1487" s="393" t="s">
        <v>1059</v>
      </c>
      <c r="I1487" s="392"/>
      <c r="J1487" s="392"/>
      <c r="K1487" s="428" t="s">
        <v>1091</v>
      </c>
      <c r="L1487" s="392" t="s">
        <v>3000</v>
      </c>
      <c r="M1487" s="392"/>
      <c r="N1487" s="393" t="s">
        <v>44</v>
      </c>
      <c r="O1487" s="393" t="s">
        <v>51</v>
      </c>
      <c r="P1487" s="393" t="s">
        <v>51</v>
      </c>
      <c r="Q1487" s="392" t="s">
        <v>976</v>
      </c>
      <c r="R1487" s="392" t="s">
        <v>3706</v>
      </c>
      <c r="S1487" s="428" t="s">
        <v>977</v>
      </c>
      <c r="T1487" s="394">
        <v>1</v>
      </c>
      <c r="U1487" s="395">
        <v>19.283999999999999</v>
      </c>
      <c r="V1487" s="395"/>
      <c r="W1487" s="453"/>
      <c r="X1487" s="394"/>
      <c r="Y1487" s="394">
        <v>7</v>
      </c>
      <c r="Z1487" s="394">
        <v>21</v>
      </c>
      <c r="AA1487" s="395">
        <v>0</v>
      </c>
      <c r="AB1487" s="452">
        <v>42384</v>
      </c>
      <c r="AC1487" s="398">
        <v>0</v>
      </c>
      <c r="AD1487" s="398">
        <v>95.733172602739728</v>
      </c>
      <c r="AE1487" s="475" t="s">
        <v>54</v>
      </c>
      <c r="AF1487" s="417"/>
      <c r="AG1487" s="417"/>
      <c r="AH1487" s="417"/>
      <c r="AI1487" s="394"/>
      <c r="AJ1487" s="452"/>
      <c r="AK1487" s="452"/>
      <c r="AL1487" s="393"/>
      <c r="AM1487" s="393"/>
      <c r="AN1487" s="417"/>
      <c r="AO1487" s="392"/>
      <c r="AP1487" s="428"/>
      <c r="AQ1487" s="428"/>
      <c r="AR1487" s="392" t="s">
        <v>6469</v>
      </c>
      <c r="AS1487" s="479">
        <v>41123</v>
      </c>
      <c r="AT1487" s="453"/>
      <c r="AU1487" s="453"/>
      <c r="AV1487" s="453"/>
      <c r="AW1487" s="453"/>
      <c r="AX1487" s="453"/>
      <c r="AY1487" s="453"/>
      <c r="AZ1487" s="452">
        <v>42479</v>
      </c>
      <c r="BA1487" s="393"/>
      <c r="BB1487" s="393"/>
      <c r="BC1487" s="393" t="b">
        <v>0</v>
      </c>
      <c r="BD1487" s="393"/>
      <c r="BE1487" s="392"/>
      <c r="BF1487" s="394">
        <v>6</v>
      </c>
      <c r="BG1487" s="394">
        <v>9</v>
      </c>
      <c r="BH1487" s="394">
        <v>8</v>
      </c>
      <c r="BI1487" s="394">
        <v>1</v>
      </c>
      <c r="BJ1487" s="394"/>
      <c r="BK1487" s="394"/>
      <c r="BL1487" s="444" t="s">
        <v>1451</v>
      </c>
      <c r="BM1487" s="392"/>
      <c r="BN1487" s="393"/>
      <c r="BO1487" s="393"/>
      <c r="BP1487" s="399"/>
      <c r="BQ1487" s="400"/>
      <c r="BR1487" s="401"/>
      <c r="BS1487" s="399"/>
      <c r="BT1487" s="394"/>
      <c r="BU1487" s="417"/>
      <c r="BV1487" s="399"/>
      <c r="BW1487" s="393"/>
      <c r="BX1487" s="392"/>
      <c r="BY1487" s="475" t="s">
        <v>7227</v>
      </c>
      <c r="BZ1487" s="393"/>
      <c r="CA1487" s="441"/>
      <c r="CB1487" s="400"/>
      <c r="CC1487" s="398"/>
      <c r="CD1487" s="398"/>
      <c r="CE1487" s="398"/>
      <c r="CF1487" s="398"/>
      <c r="CG1487" s="398"/>
      <c r="CH1487" s="398"/>
      <c r="CI1487" s="398"/>
      <c r="CJ1487" s="398"/>
      <c r="CK1487" s="398"/>
      <c r="CL1487" s="398"/>
      <c r="CM1487" s="398">
        <v>19.283999999999999</v>
      </c>
      <c r="CN1487" s="398">
        <v>19.283999999999999</v>
      </c>
      <c r="CO1487" s="398">
        <v>19.283999999999999</v>
      </c>
      <c r="CP1487" s="398">
        <v>19.283999999999999</v>
      </c>
      <c r="CQ1487" s="398">
        <v>19.283999999999999</v>
      </c>
      <c r="CR1487" s="398">
        <v>19.283999999999999</v>
      </c>
      <c r="CS1487" s="398">
        <v>19.283999999999999</v>
      </c>
      <c r="CT1487" s="398"/>
      <c r="CU1487" s="398"/>
      <c r="CV1487" s="398"/>
      <c r="CW1487" s="398"/>
      <c r="CX1487" s="398"/>
      <c r="CY1487" s="398"/>
      <c r="CZ1487" s="398"/>
      <c r="DA1487" s="398"/>
      <c r="DB1487" s="398"/>
      <c r="DC1487" s="398"/>
      <c r="DD1487" s="398"/>
      <c r="DE1487" s="393"/>
      <c r="DF1487" s="393"/>
      <c r="DG1487" s="393"/>
      <c r="DH1487" s="393"/>
      <c r="DI1487" s="393"/>
      <c r="DJ1487" s="393"/>
      <c r="DK1487" s="897"/>
    </row>
    <row r="1488" spans="1:115" ht="25.5" x14ac:dyDescent="0.2">
      <c r="A1488" s="295">
        <v>1484</v>
      </c>
      <c r="B1488" s="390" t="s">
        <v>8071</v>
      </c>
      <c r="C1488" s="390"/>
      <c r="D1488" s="391" t="s">
        <v>8072</v>
      </c>
      <c r="E1488" s="705" t="s">
        <v>8081</v>
      </c>
      <c r="F1488" s="393" t="s">
        <v>1375</v>
      </c>
      <c r="G1488" s="393" t="s">
        <v>998</v>
      </c>
      <c r="H1488" s="393" t="s">
        <v>1059</v>
      </c>
      <c r="I1488" s="392"/>
      <c r="J1488" s="392"/>
      <c r="K1488" s="428" t="s">
        <v>1091</v>
      </c>
      <c r="L1488" s="392" t="s">
        <v>3000</v>
      </c>
      <c r="M1488" s="392"/>
      <c r="N1488" s="393" t="s">
        <v>44</v>
      </c>
      <c r="O1488" s="393" t="s">
        <v>51</v>
      </c>
      <c r="P1488" s="393" t="s">
        <v>51</v>
      </c>
      <c r="Q1488" s="392" t="s">
        <v>976</v>
      </c>
      <c r="R1488" s="392" t="s">
        <v>3706</v>
      </c>
      <c r="S1488" s="428" t="s">
        <v>977</v>
      </c>
      <c r="T1488" s="394">
        <v>1</v>
      </c>
      <c r="U1488" s="395">
        <v>19.280999999999999</v>
      </c>
      <c r="V1488" s="395"/>
      <c r="W1488" s="453"/>
      <c r="X1488" s="394"/>
      <c r="Y1488" s="394">
        <v>7</v>
      </c>
      <c r="Z1488" s="394">
        <v>21</v>
      </c>
      <c r="AA1488" s="395">
        <v>0</v>
      </c>
      <c r="AB1488" s="452">
        <v>42391</v>
      </c>
      <c r="AC1488" s="398">
        <v>0</v>
      </c>
      <c r="AD1488" s="398">
        <v>95.348506849315058</v>
      </c>
      <c r="AE1488" s="475" t="s">
        <v>54</v>
      </c>
      <c r="AF1488" s="417"/>
      <c r="AG1488" s="417"/>
      <c r="AH1488" s="417"/>
      <c r="AI1488" s="394"/>
      <c r="AJ1488" s="452"/>
      <c r="AK1488" s="452"/>
      <c r="AL1488" s="393"/>
      <c r="AM1488" s="393"/>
      <c r="AN1488" s="417"/>
      <c r="AO1488" s="392"/>
      <c r="AP1488" s="428"/>
      <c r="AQ1488" s="428"/>
      <c r="AR1488" s="392" t="s">
        <v>6469</v>
      </c>
      <c r="AS1488" s="479">
        <v>41123</v>
      </c>
      <c r="AT1488" s="453"/>
      <c r="AU1488" s="453"/>
      <c r="AV1488" s="453"/>
      <c r="AW1488" s="453"/>
      <c r="AX1488" s="453"/>
      <c r="AY1488" s="453"/>
      <c r="AZ1488" s="452">
        <v>42479</v>
      </c>
      <c r="BA1488" s="393"/>
      <c r="BB1488" s="393"/>
      <c r="BC1488" s="393" t="b">
        <v>0</v>
      </c>
      <c r="BD1488" s="393"/>
      <c r="BE1488" s="392"/>
      <c r="BF1488" s="394">
        <v>6</v>
      </c>
      <c r="BG1488" s="394">
        <v>9</v>
      </c>
      <c r="BH1488" s="394">
        <v>8</v>
      </c>
      <c r="BI1488" s="394">
        <v>1</v>
      </c>
      <c r="BJ1488" s="394"/>
      <c r="BK1488" s="394"/>
      <c r="BL1488" s="444" t="s">
        <v>1451</v>
      </c>
      <c r="BM1488" s="392"/>
      <c r="BN1488" s="393"/>
      <c r="BO1488" s="393"/>
      <c r="BP1488" s="399"/>
      <c r="BQ1488" s="400"/>
      <c r="BR1488" s="401"/>
      <c r="BS1488" s="399"/>
      <c r="BT1488" s="394"/>
      <c r="BU1488" s="417"/>
      <c r="BV1488" s="399"/>
      <c r="BW1488" s="393"/>
      <c r="BX1488" s="392"/>
      <c r="BY1488" s="475" t="s">
        <v>7227</v>
      </c>
      <c r="BZ1488" s="393"/>
      <c r="CA1488" s="441"/>
      <c r="CB1488" s="400"/>
      <c r="CC1488" s="398"/>
      <c r="CD1488" s="398"/>
      <c r="CE1488" s="398"/>
      <c r="CF1488" s="398"/>
      <c r="CG1488" s="398"/>
      <c r="CH1488" s="398"/>
      <c r="CI1488" s="398"/>
      <c r="CJ1488" s="398"/>
      <c r="CK1488" s="398"/>
      <c r="CL1488" s="398"/>
      <c r="CM1488" s="398">
        <v>19.280999999999999</v>
      </c>
      <c r="CN1488" s="398">
        <v>19.280999999999999</v>
      </c>
      <c r="CO1488" s="398">
        <v>19.280999999999999</v>
      </c>
      <c r="CP1488" s="398">
        <v>19.280999999999999</v>
      </c>
      <c r="CQ1488" s="398">
        <v>19.280999999999999</v>
      </c>
      <c r="CR1488" s="398">
        <v>19.280999999999999</v>
      </c>
      <c r="CS1488" s="398">
        <v>19.280999999999999</v>
      </c>
      <c r="CT1488" s="398"/>
      <c r="CU1488" s="398"/>
      <c r="CV1488" s="398"/>
      <c r="CW1488" s="398"/>
      <c r="CX1488" s="398"/>
      <c r="CY1488" s="398"/>
      <c r="CZ1488" s="398"/>
      <c r="DA1488" s="398"/>
      <c r="DB1488" s="398"/>
      <c r="DC1488" s="398"/>
      <c r="DD1488" s="398"/>
      <c r="DE1488" s="393"/>
      <c r="DF1488" s="393"/>
      <c r="DG1488" s="393"/>
      <c r="DH1488" s="393"/>
      <c r="DI1488" s="393"/>
      <c r="DJ1488" s="393"/>
      <c r="DK1488" s="897"/>
    </row>
    <row r="1489" spans="1:115" ht="51" x14ac:dyDescent="0.2">
      <c r="A1489" s="295">
        <v>1485</v>
      </c>
      <c r="B1489" s="390" t="s">
        <v>3002</v>
      </c>
      <c r="C1489" s="424" t="s">
        <v>7800</v>
      </c>
      <c r="D1489" s="391" t="s">
        <v>5453</v>
      </c>
      <c r="E1489" s="704" t="s">
        <v>3003</v>
      </c>
      <c r="F1489" s="393" t="s">
        <v>1340</v>
      </c>
      <c r="G1489" s="393" t="s">
        <v>1675</v>
      </c>
      <c r="H1489" s="393" t="s">
        <v>1707</v>
      </c>
      <c r="I1489" s="392"/>
      <c r="J1489" s="392" t="s">
        <v>1707</v>
      </c>
      <c r="K1489" s="392"/>
      <c r="L1489" s="392" t="s">
        <v>3004</v>
      </c>
      <c r="M1489" s="392" t="s">
        <v>3708</v>
      </c>
      <c r="N1489" s="393" t="s">
        <v>44</v>
      </c>
      <c r="O1489" s="393" t="s">
        <v>1294</v>
      </c>
      <c r="P1489" s="393" t="s">
        <v>1294</v>
      </c>
      <c r="Q1489" s="392" t="s">
        <v>1293</v>
      </c>
      <c r="R1489" s="392"/>
      <c r="S1489" s="392" t="s">
        <v>2340</v>
      </c>
      <c r="T1489" s="394">
        <v>1</v>
      </c>
      <c r="U1489" s="395">
        <v>82.281999999999996</v>
      </c>
      <c r="V1489" s="395"/>
      <c r="W1489" s="452">
        <v>41124</v>
      </c>
      <c r="X1489" s="394">
        <v>28</v>
      </c>
      <c r="Y1489" s="394"/>
      <c r="Z1489" s="394"/>
      <c r="AA1489" s="395"/>
      <c r="AB1489" s="453"/>
      <c r="AC1489" s="398">
        <v>0</v>
      </c>
      <c r="AD1489" s="398">
        <v>576.19943013698628</v>
      </c>
      <c r="AE1489" s="393" t="s">
        <v>787</v>
      </c>
      <c r="AF1489" s="417"/>
      <c r="AG1489" s="417"/>
      <c r="AH1489" s="417">
        <v>0</v>
      </c>
      <c r="AI1489" s="394"/>
      <c r="AJ1489" s="453"/>
      <c r="AK1489" s="453"/>
      <c r="AL1489" s="393"/>
      <c r="AM1489" s="393"/>
      <c r="AN1489" s="417"/>
      <c r="AO1489" s="392"/>
      <c r="AP1489" s="392" t="s">
        <v>55</v>
      </c>
      <c r="AQ1489" s="392"/>
      <c r="AR1489" s="392" t="s">
        <v>55</v>
      </c>
      <c r="AS1489" s="479">
        <v>41124</v>
      </c>
      <c r="AT1489" s="453"/>
      <c r="AU1489" s="453"/>
      <c r="AV1489" s="452">
        <v>41156</v>
      </c>
      <c r="AW1489" s="452">
        <v>41274</v>
      </c>
      <c r="AX1489" s="452">
        <v>41471</v>
      </c>
      <c r="AY1489" s="452">
        <v>41274</v>
      </c>
      <c r="AZ1489" s="453"/>
      <c r="BA1489" s="393"/>
      <c r="BB1489" s="393" t="s">
        <v>3147</v>
      </c>
      <c r="BC1489" s="393" t="b">
        <v>0</v>
      </c>
      <c r="BD1489" s="393" t="s">
        <v>3147</v>
      </c>
      <c r="BE1489" s="392"/>
      <c r="BF1489" s="394">
        <v>9</v>
      </c>
      <c r="BG1489" s="394">
        <v>5</v>
      </c>
      <c r="BH1489" s="394">
        <v>11</v>
      </c>
      <c r="BI1489" s="394"/>
      <c r="BJ1489" s="394"/>
      <c r="BK1489" s="394"/>
      <c r="BL1489" s="444"/>
      <c r="BM1489" s="392"/>
      <c r="BN1489" s="393"/>
      <c r="BO1489" s="393"/>
      <c r="BP1489" s="399"/>
      <c r="BQ1489" s="400"/>
      <c r="BR1489" s="401"/>
      <c r="BS1489" s="399">
        <v>0</v>
      </c>
      <c r="BT1489" s="394"/>
      <c r="BU1489" s="417"/>
      <c r="BV1489" s="399"/>
      <c r="BW1489" s="393"/>
      <c r="BX1489" s="392"/>
      <c r="BY1489" s="393"/>
      <c r="BZ1489" s="393"/>
      <c r="CA1489" s="441"/>
      <c r="CB1489" s="400"/>
      <c r="CC1489" s="398"/>
      <c r="CD1489" s="398"/>
      <c r="CE1489" s="398"/>
      <c r="CF1489" s="398"/>
      <c r="CG1489" s="398"/>
      <c r="CH1489" s="398"/>
      <c r="CI1489" s="398"/>
      <c r="CJ1489" s="398"/>
      <c r="CK1489" s="398"/>
      <c r="CL1489" s="398"/>
      <c r="CM1489" s="398"/>
      <c r="CN1489" s="398"/>
      <c r="CO1489" s="398"/>
      <c r="CP1489" s="398"/>
      <c r="CQ1489" s="398"/>
      <c r="CR1489" s="398"/>
      <c r="CS1489" s="398"/>
      <c r="CT1489" s="398"/>
      <c r="CU1489" s="398"/>
      <c r="CV1489" s="398"/>
      <c r="CW1489" s="398"/>
      <c r="CX1489" s="398"/>
      <c r="CY1489" s="398"/>
      <c r="CZ1489" s="398"/>
      <c r="DA1489" s="398"/>
      <c r="DB1489" s="398"/>
      <c r="DC1489" s="398"/>
      <c r="DD1489" s="398"/>
      <c r="DE1489" s="393"/>
      <c r="DF1489" s="393"/>
      <c r="DG1489" s="393"/>
      <c r="DH1489" s="393"/>
      <c r="DI1489" s="393"/>
      <c r="DJ1489" s="393"/>
      <c r="DK1489" s="896" t="s">
        <v>9701</v>
      </c>
    </row>
    <row r="1490" spans="1:115" ht="38.25" x14ac:dyDescent="0.2">
      <c r="A1490" s="295">
        <v>1486</v>
      </c>
      <c r="B1490" s="390" t="s">
        <v>3005</v>
      </c>
      <c r="C1490" s="390"/>
      <c r="D1490" s="391" t="s">
        <v>5454</v>
      </c>
      <c r="E1490" s="704" t="s">
        <v>5455</v>
      </c>
      <c r="F1490" s="393" t="s">
        <v>1340</v>
      </c>
      <c r="G1490" s="393" t="s">
        <v>1675</v>
      </c>
      <c r="H1490" s="393" t="s">
        <v>1707</v>
      </c>
      <c r="I1490" s="392"/>
      <c r="J1490" s="392"/>
      <c r="K1490" s="392" t="s">
        <v>3006</v>
      </c>
      <c r="L1490" s="392" t="s">
        <v>3004</v>
      </c>
      <c r="M1490" s="392"/>
      <c r="N1490" s="393" t="s">
        <v>44</v>
      </c>
      <c r="O1490" s="393" t="s">
        <v>1294</v>
      </c>
      <c r="P1490" s="393" t="s">
        <v>1294</v>
      </c>
      <c r="Q1490" s="392" t="s">
        <v>1293</v>
      </c>
      <c r="R1490" s="392" t="s">
        <v>3709</v>
      </c>
      <c r="S1490" s="392" t="s">
        <v>2340</v>
      </c>
      <c r="T1490" s="394">
        <v>1</v>
      </c>
      <c r="U1490" s="395">
        <v>82.281999999999996</v>
      </c>
      <c r="V1490" s="395"/>
      <c r="W1490" s="453"/>
      <c r="X1490" s="394"/>
      <c r="Y1490" s="394">
        <v>7</v>
      </c>
      <c r="Z1490" s="394">
        <v>25</v>
      </c>
      <c r="AA1490" s="395">
        <v>0.67</v>
      </c>
      <c r="AB1490" s="452">
        <v>41640</v>
      </c>
      <c r="AC1490" s="398">
        <v>0</v>
      </c>
      <c r="AD1490" s="398">
        <v>576.19943013698628</v>
      </c>
      <c r="AE1490" s="393" t="s">
        <v>787</v>
      </c>
      <c r="AF1490" s="417"/>
      <c r="AG1490" s="417"/>
      <c r="AH1490" s="417"/>
      <c r="AI1490" s="394"/>
      <c r="AJ1490" s="453"/>
      <c r="AK1490" s="453"/>
      <c r="AL1490" s="393"/>
      <c r="AM1490" s="393"/>
      <c r="AN1490" s="417"/>
      <c r="AO1490" s="392"/>
      <c r="AP1490" s="392" t="s">
        <v>55</v>
      </c>
      <c r="AQ1490" s="392"/>
      <c r="AR1490" s="392" t="s">
        <v>55</v>
      </c>
      <c r="AS1490" s="479">
        <v>41124</v>
      </c>
      <c r="AT1490" s="453"/>
      <c r="AU1490" s="453"/>
      <c r="AV1490" s="453"/>
      <c r="AW1490" s="453"/>
      <c r="AX1490" s="453"/>
      <c r="AY1490" s="453"/>
      <c r="AZ1490" s="452">
        <v>41274</v>
      </c>
      <c r="BA1490" s="393"/>
      <c r="BB1490" s="393"/>
      <c r="BC1490" s="393" t="b">
        <v>0</v>
      </c>
      <c r="BD1490" s="393"/>
      <c r="BE1490" s="392"/>
      <c r="BF1490" s="394">
        <v>9</v>
      </c>
      <c r="BG1490" s="394">
        <v>5</v>
      </c>
      <c r="BH1490" s="394">
        <v>11</v>
      </c>
      <c r="BI1490" s="394"/>
      <c r="BJ1490" s="394"/>
      <c r="BK1490" s="394"/>
      <c r="BL1490" s="444" t="s">
        <v>6981</v>
      </c>
      <c r="BM1490" s="392"/>
      <c r="BN1490" s="393"/>
      <c r="BO1490" s="393"/>
      <c r="BP1490" s="399"/>
      <c r="BQ1490" s="400"/>
      <c r="BR1490" s="401"/>
      <c r="BS1490" s="399"/>
      <c r="BT1490" s="394"/>
      <c r="BU1490" s="417"/>
      <c r="BV1490" s="399"/>
      <c r="BW1490" s="393" t="s">
        <v>3117</v>
      </c>
      <c r="BX1490" s="392" t="s">
        <v>1450</v>
      </c>
      <c r="BY1490" s="393"/>
      <c r="BZ1490" s="393"/>
      <c r="CA1490" s="441" t="s">
        <v>1662</v>
      </c>
      <c r="CB1490" s="400">
        <v>3</v>
      </c>
      <c r="CC1490" s="398"/>
      <c r="CD1490" s="398"/>
      <c r="CE1490" s="398"/>
      <c r="CF1490" s="398"/>
      <c r="CG1490" s="398"/>
      <c r="CH1490" s="398"/>
      <c r="CI1490" s="398"/>
      <c r="CJ1490" s="398">
        <v>91.123000000000005</v>
      </c>
      <c r="CK1490" s="398">
        <v>87.968999999999994</v>
      </c>
      <c r="CL1490" s="398">
        <v>84.944999999999993</v>
      </c>
      <c r="CM1490" s="398">
        <v>82.045000000000002</v>
      </c>
      <c r="CN1490" s="398">
        <v>79.263000000000005</v>
      </c>
      <c r="CO1490" s="398">
        <v>76.594999999999999</v>
      </c>
      <c r="CP1490" s="398">
        <v>74.034999999999997</v>
      </c>
      <c r="CQ1490" s="398"/>
      <c r="CR1490" s="398"/>
      <c r="CS1490" s="398"/>
      <c r="CT1490" s="398"/>
      <c r="CU1490" s="398"/>
      <c r="CV1490" s="398"/>
      <c r="CW1490" s="398"/>
      <c r="CX1490" s="398"/>
      <c r="CY1490" s="398"/>
      <c r="CZ1490" s="398"/>
      <c r="DA1490" s="398"/>
      <c r="DB1490" s="398"/>
      <c r="DC1490" s="398"/>
      <c r="DD1490" s="398"/>
      <c r="DE1490" s="393"/>
      <c r="DF1490" s="393"/>
      <c r="DG1490" s="393"/>
      <c r="DH1490" s="393"/>
      <c r="DI1490" s="393"/>
      <c r="DJ1490" s="393"/>
      <c r="DK1490" s="897"/>
    </row>
    <row r="1491" spans="1:115" ht="25.5" x14ac:dyDescent="0.2">
      <c r="A1491" s="295">
        <v>1487</v>
      </c>
      <c r="B1491" s="390" t="s">
        <v>3007</v>
      </c>
      <c r="C1491" s="424" t="s">
        <v>7801</v>
      </c>
      <c r="D1491" s="391"/>
      <c r="E1491" s="706" t="s">
        <v>3008</v>
      </c>
      <c r="F1491" s="390" t="s">
        <v>1358</v>
      </c>
      <c r="G1491" s="390" t="s">
        <v>1674</v>
      </c>
      <c r="H1491" s="390" t="s">
        <v>1362</v>
      </c>
      <c r="I1491" s="402"/>
      <c r="J1491" s="402" t="s">
        <v>1362</v>
      </c>
      <c r="K1491" s="402"/>
      <c r="L1491" s="402" t="s">
        <v>3009</v>
      </c>
      <c r="M1491" s="402" t="s">
        <v>3710</v>
      </c>
      <c r="N1491" s="390" t="s">
        <v>33</v>
      </c>
      <c r="O1491" s="390" t="s">
        <v>289</v>
      </c>
      <c r="P1491" s="390" t="s">
        <v>289</v>
      </c>
      <c r="Q1491" s="402" t="s">
        <v>721</v>
      </c>
      <c r="R1491" s="402"/>
      <c r="S1491" s="402" t="s">
        <v>291</v>
      </c>
      <c r="T1491" s="411">
        <v>1</v>
      </c>
      <c r="U1491" s="412">
        <v>1.593</v>
      </c>
      <c r="V1491" s="412"/>
      <c r="W1491" s="457">
        <v>41124</v>
      </c>
      <c r="X1491" s="411">
        <v>28</v>
      </c>
      <c r="Y1491" s="411"/>
      <c r="Z1491" s="411"/>
      <c r="AA1491" s="412"/>
      <c r="AB1491" s="454"/>
      <c r="AC1491" s="413">
        <v>0</v>
      </c>
      <c r="AD1491" s="413">
        <v>11.155364383561643</v>
      </c>
      <c r="AE1491" s="390" t="s">
        <v>660</v>
      </c>
      <c r="AF1491" s="419"/>
      <c r="AG1491" s="419"/>
      <c r="AH1491" s="419">
        <v>0</v>
      </c>
      <c r="AI1491" s="411"/>
      <c r="AJ1491" s="454"/>
      <c r="AK1491" s="454"/>
      <c r="AL1491" s="390"/>
      <c r="AM1491" s="390"/>
      <c r="AN1491" s="419"/>
      <c r="AO1491" s="402"/>
      <c r="AP1491" s="402" t="s">
        <v>55</v>
      </c>
      <c r="AQ1491" s="402"/>
      <c r="AR1491" s="402" t="s">
        <v>55</v>
      </c>
      <c r="AS1491" s="481">
        <v>41125</v>
      </c>
      <c r="AT1491" s="454"/>
      <c r="AU1491" s="454"/>
      <c r="AV1491" s="454"/>
      <c r="AW1491" s="454"/>
      <c r="AX1491" s="454"/>
      <c r="AY1491" s="454"/>
      <c r="AZ1491" s="454"/>
      <c r="BA1491" s="390"/>
      <c r="BB1491" s="390" t="s">
        <v>3147</v>
      </c>
      <c r="BC1491" s="390" t="b">
        <v>1</v>
      </c>
      <c r="BD1491" s="390" t="s">
        <v>3147</v>
      </c>
      <c r="BE1491" s="402"/>
      <c r="BF1491" s="411">
        <v>4</v>
      </c>
      <c r="BG1491" s="411">
        <v>9</v>
      </c>
      <c r="BH1491" s="411">
        <v>8</v>
      </c>
      <c r="BI1491" s="411">
        <v>11</v>
      </c>
      <c r="BJ1491" s="411">
        <v>5</v>
      </c>
      <c r="BK1491" s="411">
        <v>1</v>
      </c>
      <c r="BL1491" s="445"/>
      <c r="BM1491" s="402"/>
      <c r="BN1491" s="390"/>
      <c r="BO1491" s="390"/>
      <c r="BP1491" s="414"/>
      <c r="BQ1491" s="415"/>
      <c r="BR1491" s="416"/>
      <c r="BS1491" s="414">
        <v>1.1830000000000001</v>
      </c>
      <c r="BT1491" s="411"/>
      <c r="BU1491" s="419"/>
      <c r="BV1491" s="414"/>
      <c r="BW1491" s="390"/>
      <c r="BX1491" s="402"/>
      <c r="BY1491" s="390"/>
      <c r="BZ1491" s="390"/>
      <c r="CA1491" s="442"/>
      <c r="CB1491" s="415"/>
      <c r="CC1491" s="413"/>
      <c r="CD1491" s="413"/>
      <c r="CE1491" s="413"/>
      <c r="CF1491" s="413"/>
      <c r="CG1491" s="413"/>
      <c r="CH1491" s="413"/>
      <c r="CI1491" s="413"/>
      <c r="CJ1491" s="413"/>
      <c r="CK1491" s="413"/>
      <c r="CL1491" s="413"/>
      <c r="CM1491" s="413"/>
      <c r="CN1491" s="413"/>
      <c r="CO1491" s="413"/>
      <c r="CP1491" s="413"/>
      <c r="CQ1491" s="413"/>
      <c r="CR1491" s="413"/>
      <c r="CS1491" s="413"/>
      <c r="CT1491" s="413"/>
      <c r="CU1491" s="413"/>
      <c r="CV1491" s="413"/>
      <c r="CW1491" s="413"/>
      <c r="CX1491" s="413"/>
      <c r="CY1491" s="413"/>
      <c r="CZ1491" s="413"/>
      <c r="DA1491" s="413"/>
      <c r="DB1491" s="413"/>
      <c r="DC1491" s="413"/>
      <c r="DD1491" s="413"/>
      <c r="DE1491" s="390"/>
      <c r="DF1491" s="390"/>
      <c r="DG1491" s="390"/>
      <c r="DH1491" s="390"/>
      <c r="DI1491" s="390"/>
      <c r="DJ1491" s="390"/>
      <c r="DK1491" s="901"/>
    </row>
    <row r="1492" spans="1:115" ht="25.5" x14ac:dyDescent="0.2">
      <c r="A1492" s="295">
        <v>1488</v>
      </c>
      <c r="B1492" s="390" t="s">
        <v>3010</v>
      </c>
      <c r="C1492" s="390"/>
      <c r="D1492" s="391"/>
      <c r="E1492" s="706" t="s">
        <v>3011</v>
      </c>
      <c r="F1492" s="390" t="s">
        <v>1358</v>
      </c>
      <c r="G1492" s="390" t="s">
        <v>1674</v>
      </c>
      <c r="H1492" s="390" t="s">
        <v>1362</v>
      </c>
      <c r="I1492" s="402"/>
      <c r="J1492" s="402"/>
      <c r="K1492" s="402" t="s">
        <v>3012</v>
      </c>
      <c r="L1492" s="402" t="s">
        <v>3009</v>
      </c>
      <c r="M1492" s="402"/>
      <c r="N1492" s="390" t="s">
        <v>33</v>
      </c>
      <c r="O1492" s="390" t="s">
        <v>289</v>
      </c>
      <c r="P1492" s="390" t="s">
        <v>289</v>
      </c>
      <c r="Q1492" s="402" t="s">
        <v>721</v>
      </c>
      <c r="R1492" s="402" t="s">
        <v>4150</v>
      </c>
      <c r="S1492" s="402" t="s">
        <v>291</v>
      </c>
      <c r="T1492" s="411">
        <v>1</v>
      </c>
      <c r="U1492" s="412">
        <v>1.593</v>
      </c>
      <c r="V1492" s="412"/>
      <c r="W1492" s="454"/>
      <c r="X1492" s="411"/>
      <c r="Y1492" s="411">
        <v>7</v>
      </c>
      <c r="Z1492" s="411">
        <v>30</v>
      </c>
      <c r="AA1492" s="412">
        <v>0</v>
      </c>
      <c r="AB1492" s="457">
        <v>41640</v>
      </c>
      <c r="AC1492" s="413">
        <v>0</v>
      </c>
      <c r="AD1492" s="413">
        <v>11.155364383561643</v>
      </c>
      <c r="AE1492" s="390" t="s">
        <v>660</v>
      </c>
      <c r="AF1492" s="419"/>
      <c r="AG1492" s="419"/>
      <c r="AH1492" s="419"/>
      <c r="AI1492" s="411"/>
      <c r="AJ1492" s="454"/>
      <c r="AK1492" s="454"/>
      <c r="AL1492" s="390"/>
      <c r="AM1492" s="390"/>
      <c r="AN1492" s="419"/>
      <c r="AO1492" s="402"/>
      <c r="AP1492" s="402" t="s">
        <v>55</v>
      </c>
      <c r="AQ1492" s="402"/>
      <c r="AR1492" s="402" t="s">
        <v>55</v>
      </c>
      <c r="AS1492" s="481">
        <v>41125</v>
      </c>
      <c r="AT1492" s="454"/>
      <c r="AU1492" s="454"/>
      <c r="AV1492" s="454"/>
      <c r="AW1492" s="454"/>
      <c r="AX1492" s="454"/>
      <c r="AY1492" s="454"/>
      <c r="AZ1492" s="454"/>
      <c r="BA1492" s="390"/>
      <c r="BB1492" s="390"/>
      <c r="BC1492" s="390" t="b">
        <v>0</v>
      </c>
      <c r="BD1492" s="390"/>
      <c r="BE1492" s="402"/>
      <c r="BF1492" s="411">
        <v>4</v>
      </c>
      <c r="BG1492" s="411">
        <v>9</v>
      </c>
      <c r="BH1492" s="411">
        <v>8</v>
      </c>
      <c r="BI1492" s="411">
        <v>11</v>
      </c>
      <c r="BJ1492" s="411">
        <v>5</v>
      </c>
      <c r="BK1492" s="411">
        <v>1</v>
      </c>
      <c r="BL1492" s="445" t="s">
        <v>1451</v>
      </c>
      <c r="BM1492" s="402"/>
      <c r="BN1492" s="390"/>
      <c r="BO1492" s="390"/>
      <c r="BP1492" s="414"/>
      <c r="BQ1492" s="415"/>
      <c r="BR1492" s="416"/>
      <c r="BS1492" s="414">
        <v>1.1830000000000001</v>
      </c>
      <c r="BT1492" s="411">
        <v>4177</v>
      </c>
      <c r="BU1492" s="419">
        <v>0.38140000000000002</v>
      </c>
      <c r="BV1492" s="414"/>
      <c r="BW1492" s="390" t="s">
        <v>3117</v>
      </c>
      <c r="BX1492" s="402" t="s">
        <v>1450</v>
      </c>
      <c r="BY1492" s="390"/>
      <c r="BZ1492" s="390"/>
      <c r="CA1492" s="442"/>
      <c r="CB1492" s="415"/>
      <c r="CC1492" s="413"/>
      <c r="CD1492" s="413"/>
      <c r="CE1492" s="413"/>
      <c r="CF1492" s="413"/>
      <c r="CG1492" s="413"/>
      <c r="CH1492" s="413"/>
      <c r="CI1492" s="413"/>
      <c r="CJ1492" s="413">
        <v>1.593</v>
      </c>
      <c r="CK1492" s="413">
        <v>1.593</v>
      </c>
      <c r="CL1492" s="413">
        <v>1.593</v>
      </c>
      <c r="CM1492" s="413">
        <v>1.593</v>
      </c>
      <c r="CN1492" s="413">
        <v>1.593</v>
      </c>
      <c r="CO1492" s="413">
        <v>1.593</v>
      </c>
      <c r="CP1492" s="413">
        <v>1.593</v>
      </c>
      <c r="CQ1492" s="413"/>
      <c r="CR1492" s="413"/>
      <c r="CS1492" s="413"/>
      <c r="CT1492" s="413"/>
      <c r="CU1492" s="413"/>
      <c r="CV1492" s="413"/>
      <c r="CW1492" s="413"/>
      <c r="CX1492" s="413"/>
      <c r="CY1492" s="413"/>
      <c r="CZ1492" s="413"/>
      <c r="DA1492" s="413"/>
      <c r="DB1492" s="413"/>
      <c r="DC1492" s="413"/>
      <c r="DD1492" s="413"/>
      <c r="DE1492" s="390"/>
      <c r="DF1492" s="390"/>
      <c r="DG1492" s="390"/>
      <c r="DH1492" s="390"/>
      <c r="DI1492" s="390"/>
      <c r="DJ1492" s="390"/>
      <c r="DK1492" s="897"/>
    </row>
    <row r="1493" spans="1:115" ht="25.5" x14ac:dyDescent="0.2">
      <c r="A1493" s="295">
        <v>1489</v>
      </c>
      <c r="B1493" s="390" t="s">
        <v>3013</v>
      </c>
      <c r="C1493" s="424" t="s">
        <v>7802</v>
      </c>
      <c r="D1493" s="391" t="s">
        <v>5240</v>
      </c>
      <c r="E1493" s="705" t="s">
        <v>1943</v>
      </c>
      <c r="F1493" s="393" t="s">
        <v>1352</v>
      </c>
      <c r="G1493" s="393" t="s">
        <v>1673</v>
      </c>
      <c r="H1493" s="393" t="s">
        <v>42</v>
      </c>
      <c r="I1493" s="392"/>
      <c r="J1493" s="392" t="s">
        <v>42</v>
      </c>
      <c r="K1493" s="392"/>
      <c r="L1493" s="392" t="s">
        <v>922</v>
      </c>
      <c r="M1493" s="392" t="s">
        <v>3711</v>
      </c>
      <c r="N1493" s="393" t="s">
        <v>44</v>
      </c>
      <c r="O1493" s="393" t="s">
        <v>827</v>
      </c>
      <c r="P1493" s="393" t="s">
        <v>827</v>
      </c>
      <c r="Q1493" s="392" t="s">
        <v>923</v>
      </c>
      <c r="R1493" s="392"/>
      <c r="S1493" s="392" t="s">
        <v>46</v>
      </c>
      <c r="T1493" s="394">
        <v>4</v>
      </c>
      <c r="U1493" s="395">
        <v>146.30200000000002</v>
      </c>
      <c r="V1493" s="395"/>
      <c r="W1493" s="452">
        <v>39265</v>
      </c>
      <c r="X1493" s="394">
        <v>28</v>
      </c>
      <c r="Y1493" s="394"/>
      <c r="Z1493" s="394"/>
      <c r="AA1493" s="395"/>
      <c r="AB1493" s="453"/>
      <c r="AC1493" s="398">
        <v>0</v>
      </c>
      <c r="AD1493" s="398">
        <v>912.99178630136976</v>
      </c>
      <c r="AE1493" s="393" t="s">
        <v>37</v>
      </c>
      <c r="AF1493" s="417"/>
      <c r="AG1493" s="417">
        <f>SUM(AG1494:AG1497)</f>
        <v>297.48099999999999</v>
      </c>
      <c r="AH1493" s="417">
        <v>297.48099999999999</v>
      </c>
      <c r="AI1493" s="394">
        <v>1</v>
      </c>
      <c r="AJ1493" s="453">
        <v>42366</v>
      </c>
      <c r="AK1493" s="453">
        <v>42825</v>
      </c>
      <c r="AL1493" s="393"/>
      <c r="AM1493" s="393"/>
      <c r="AN1493" s="417">
        <f>1.1+0.463</f>
        <v>1.5630000000000002</v>
      </c>
      <c r="AO1493" s="475" t="s">
        <v>7418</v>
      </c>
      <c r="AP1493" s="428" t="s">
        <v>7315</v>
      </c>
      <c r="AQ1493" s="392" t="s">
        <v>7051</v>
      </c>
      <c r="AR1493" s="392" t="s">
        <v>236</v>
      </c>
      <c r="AS1493" s="479">
        <v>40758</v>
      </c>
      <c r="AT1493" s="453"/>
      <c r="AU1493" s="453"/>
      <c r="AV1493" s="452">
        <v>41192</v>
      </c>
      <c r="AW1493" s="452">
        <v>41274</v>
      </c>
      <c r="AX1493" s="452">
        <v>41360</v>
      </c>
      <c r="AY1493" s="452">
        <v>41274</v>
      </c>
      <c r="AZ1493" s="453"/>
      <c r="BA1493" s="393"/>
      <c r="BB1493" s="393" t="s">
        <v>3116</v>
      </c>
      <c r="BC1493" s="393" t="b">
        <v>0</v>
      </c>
      <c r="BD1493" s="393" t="s">
        <v>3116</v>
      </c>
      <c r="BE1493" s="392"/>
      <c r="BF1493" s="394">
        <v>10</v>
      </c>
      <c r="BG1493" s="394">
        <v>9</v>
      </c>
      <c r="BH1493" s="394">
        <v>1</v>
      </c>
      <c r="BI1493" s="394">
        <v>5</v>
      </c>
      <c r="BJ1493" s="394">
        <v>11</v>
      </c>
      <c r="BK1493" s="394"/>
      <c r="BL1493" s="444"/>
      <c r="BM1493" s="392"/>
      <c r="BN1493" s="393"/>
      <c r="BO1493" s="393"/>
      <c r="BP1493" s="399"/>
      <c r="BQ1493" s="400"/>
      <c r="BR1493" s="401"/>
      <c r="BS1493" s="399">
        <v>0</v>
      </c>
      <c r="BT1493" s="394"/>
      <c r="BU1493" s="417"/>
      <c r="BV1493" s="399"/>
      <c r="BW1493" s="393"/>
      <c r="BX1493" s="392"/>
      <c r="BY1493" s="475" t="s">
        <v>7224</v>
      </c>
      <c r="BZ1493" s="393"/>
      <c r="CA1493" s="441"/>
      <c r="CB1493" s="400"/>
      <c r="CC1493" s="398"/>
      <c r="CD1493" s="398"/>
      <c r="CE1493" s="398"/>
      <c r="CF1493" s="398"/>
      <c r="CG1493" s="398"/>
      <c r="CH1493" s="398"/>
      <c r="CI1493" s="398"/>
      <c r="CJ1493" s="398"/>
      <c r="CK1493" s="398"/>
      <c r="CL1493" s="398"/>
      <c r="CM1493" s="398"/>
      <c r="CN1493" s="398"/>
      <c r="CO1493" s="398"/>
      <c r="CP1493" s="398"/>
      <c r="CQ1493" s="398"/>
      <c r="CR1493" s="398"/>
      <c r="CS1493" s="398"/>
      <c r="CT1493" s="398"/>
      <c r="CU1493" s="398"/>
      <c r="CV1493" s="398"/>
      <c r="CW1493" s="398"/>
      <c r="CX1493" s="398"/>
      <c r="CY1493" s="398"/>
      <c r="CZ1493" s="398"/>
      <c r="DA1493" s="398"/>
      <c r="DB1493" s="398"/>
      <c r="DC1493" s="398"/>
      <c r="DD1493" s="398"/>
      <c r="DE1493" s="393"/>
      <c r="DF1493" s="393"/>
      <c r="DG1493" s="393"/>
      <c r="DH1493" s="393"/>
      <c r="DI1493" s="393"/>
      <c r="DJ1493" s="393"/>
      <c r="DK1493" s="896" t="s">
        <v>9725</v>
      </c>
    </row>
    <row r="1494" spans="1:115" ht="25.5" x14ac:dyDescent="0.2">
      <c r="A1494" s="295">
        <v>1490</v>
      </c>
      <c r="B1494" s="390" t="s">
        <v>3014</v>
      </c>
      <c r="C1494" s="390"/>
      <c r="D1494" s="391" t="s">
        <v>4637</v>
      </c>
      <c r="E1494" s="704" t="s">
        <v>924</v>
      </c>
      <c r="F1494" s="393" t="s">
        <v>1352</v>
      </c>
      <c r="G1494" s="393" t="s">
        <v>1673</v>
      </c>
      <c r="H1494" s="393" t="s">
        <v>42</v>
      </c>
      <c r="I1494" s="392"/>
      <c r="J1494" s="392"/>
      <c r="K1494" s="392" t="s">
        <v>42</v>
      </c>
      <c r="L1494" s="392" t="s">
        <v>922</v>
      </c>
      <c r="M1494" s="392"/>
      <c r="N1494" s="393" t="s">
        <v>44</v>
      </c>
      <c r="O1494" s="393" t="s">
        <v>827</v>
      </c>
      <c r="P1494" s="393" t="s">
        <v>827</v>
      </c>
      <c r="Q1494" s="392" t="s">
        <v>923</v>
      </c>
      <c r="R1494" s="392" t="s">
        <v>3712</v>
      </c>
      <c r="S1494" s="392" t="s">
        <v>46</v>
      </c>
      <c r="T1494" s="394">
        <v>1</v>
      </c>
      <c r="U1494" s="395">
        <v>31.5</v>
      </c>
      <c r="V1494" s="395"/>
      <c r="W1494" s="453"/>
      <c r="X1494" s="394"/>
      <c r="Y1494" s="394">
        <v>7</v>
      </c>
      <c r="Z1494" s="394">
        <v>15</v>
      </c>
      <c r="AA1494" s="395">
        <v>0</v>
      </c>
      <c r="AB1494" s="452">
        <v>41274</v>
      </c>
      <c r="AC1494" s="398">
        <v>0</v>
      </c>
      <c r="AD1494" s="398">
        <v>252.17260273972602</v>
      </c>
      <c r="AE1494" s="393" t="s">
        <v>37</v>
      </c>
      <c r="AF1494" s="417"/>
      <c r="AG1494" s="417">
        <f>75.115+27.445</f>
        <v>102.56</v>
      </c>
      <c r="AH1494" s="417">
        <v>102.56</v>
      </c>
      <c r="AI1494" s="394">
        <v>1</v>
      </c>
      <c r="AJ1494" s="453">
        <v>42366</v>
      </c>
      <c r="AK1494" s="453">
        <v>42825</v>
      </c>
      <c r="AL1494" s="393"/>
      <c r="AM1494" s="393"/>
      <c r="AN1494" s="417"/>
      <c r="AO1494" s="475" t="s">
        <v>7418</v>
      </c>
      <c r="AP1494" s="428" t="s">
        <v>7315</v>
      </c>
      <c r="AQ1494" s="392" t="s">
        <v>7051</v>
      </c>
      <c r="AR1494" s="392" t="s">
        <v>236</v>
      </c>
      <c r="AS1494" s="479">
        <v>40758</v>
      </c>
      <c r="AT1494" s="453"/>
      <c r="AU1494" s="453"/>
      <c r="AV1494" s="453"/>
      <c r="AW1494" s="453"/>
      <c r="AX1494" s="453"/>
      <c r="AY1494" s="453"/>
      <c r="AZ1494" s="452">
        <v>41274</v>
      </c>
      <c r="BA1494" s="393"/>
      <c r="BB1494" s="393"/>
      <c r="BC1494" s="393" t="b">
        <v>0</v>
      </c>
      <c r="BD1494" s="393"/>
      <c r="BE1494" s="392"/>
      <c r="BF1494" s="394">
        <v>10</v>
      </c>
      <c r="BG1494" s="394">
        <v>9</v>
      </c>
      <c r="BH1494" s="394">
        <v>1</v>
      </c>
      <c r="BI1494" s="394">
        <v>5</v>
      </c>
      <c r="BJ1494" s="394">
        <v>11</v>
      </c>
      <c r="BK1494" s="394"/>
      <c r="BL1494" s="444" t="s">
        <v>6986</v>
      </c>
      <c r="BM1494" s="392" t="s">
        <v>3713</v>
      </c>
      <c r="BN1494" s="393" t="s">
        <v>42</v>
      </c>
      <c r="BO1494" s="393"/>
      <c r="BP1494" s="399"/>
      <c r="BQ1494" s="400"/>
      <c r="BR1494" s="401"/>
      <c r="BS1494" s="399"/>
      <c r="BT1494" s="394"/>
      <c r="BU1494" s="417">
        <v>0.89</v>
      </c>
      <c r="BV1494" s="399">
        <v>36.747999999999998</v>
      </c>
      <c r="BW1494" s="393" t="s">
        <v>3117</v>
      </c>
      <c r="BX1494" s="392" t="s">
        <v>3714</v>
      </c>
      <c r="BY1494" s="475" t="s">
        <v>7224</v>
      </c>
      <c r="BZ1494" s="393"/>
      <c r="CA1494" s="441"/>
      <c r="CB1494" s="400"/>
      <c r="CC1494" s="398"/>
      <c r="CD1494" s="398"/>
      <c r="CE1494" s="398"/>
      <c r="CF1494" s="398"/>
      <c r="CG1494" s="398"/>
      <c r="CH1494" s="398"/>
      <c r="CI1494" s="398">
        <v>31500</v>
      </c>
      <c r="CJ1494" s="398">
        <v>31500</v>
      </c>
      <c r="CK1494" s="398">
        <v>31500</v>
      </c>
      <c r="CL1494" s="398">
        <v>31500</v>
      </c>
      <c r="CM1494" s="398">
        <v>31500</v>
      </c>
      <c r="CN1494" s="398">
        <v>31500</v>
      </c>
      <c r="CO1494" s="398">
        <v>31500</v>
      </c>
      <c r="CP1494" s="398"/>
      <c r="CQ1494" s="398"/>
      <c r="CR1494" s="398"/>
      <c r="CS1494" s="398"/>
      <c r="CT1494" s="398"/>
      <c r="CU1494" s="398"/>
      <c r="CV1494" s="398"/>
      <c r="CW1494" s="398"/>
      <c r="CX1494" s="398"/>
      <c r="CY1494" s="398"/>
      <c r="CZ1494" s="398"/>
      <c r="DA1494" s="398"/>
      <c r="DB1494" s="398"/>
      <c r="DC1494" s="398"/>
      <c r="DD1494" s="398"/>
      <c r="DE1494" s="393"/>
      <c r="DF1494" s="393"/>
      <c r="DG1494" s="393"/>
      <c r="DH1494" s="393"/>
      <c r="DI1494" s="393"/>
      <c r="DJ1494" s="393"/>
      <c r="DK1494" s="897"/>
    </row>
    <row r="1495" spans="1:115" ht="25.5" x14ac:dyDescent="0.2">
      <c r="A1495" s="295">
        <v>1491</v>
      </c>
      <c r="B1495" s="390" t="s">
        <v>7018</v>
      </c>
      <c r="C1495" s="390"/>
      <c r="D1495" s="391" t="s">
        <v>7019</v>
      </c>
      <c r="E1495" s="704" t="s">
        <v>7020</v>
      </c>
      <c r="F1495" s="393" t="s">
        <v>1352</v>
      </c>
      <c r="G1495" s="393" t="s">
        <v>1673</v>
      </c>
      <c r="H1495" s="393" t="s">
        <v>42</v>
      </c>
      <c r="I1495" s="392"/>
      <c r="J1495" s="392"/>
      <c r="K1495" s="392" t="s">
        <v>42</v>
      </c>
      <c r="L1495" s="392" t="s">
        <v>922</v>
      </c>
      <c r="M1495" s="392"/>
      <c r="N1495" s="393" t="s">
        <v>44</v>
      </c>
      <c r="O1495" s="393" t="s">
        <v>827</v>
      </c>
      <c r="P1495" s="393" t="s">
        <v>827</v>
      </c>
      <c r="Q1495" s="392" t="s">
        <v>923</v>
      </c>
      <c r="R1495" s="392" t="s">
        <v>7021</v>
      </c>
      <c r="S1495" s="392" t="s">
        <v>46</v>
      </c>
      <c r="T1495" s="394">
        <v>1</v>
      </c>
      <c r="U1495" s="395">
        <v>38.536999999999999</v>
      </c>
      <c r="V1495" s="395"/>
      <c r="W1495" s="453"/>
      <c r="X1495" s="394"/>
      <c r="Y1495" s="394">
        <v>7</v>
      </c>
      <c r="Z1495" s="394">
        <v>21</v>
      </c>
      <c r="AA1495" s="395">
        <v>0</v>
      </c>
      <c r="AB1495" s="452">
        <v>42095</v>
      </c>
      <c r="AC1495" s="398"/>
      <c r="AD1495" s="398">
        <v>221.82530684931504</v>
      </c>
      <c r="AE1495" s="393" t="s">
        <v>37</v>
      </c>
      <c r="AF1495" s="417"/>
      <c r="AG1495" s="417">
        <f>38.255+29.229</f>
        <v>67.484000000000009</v>
      </c>
      <c r="AH1495" s="417">
        <v>67.484000000000009</v>
      </c>
      <c r="AI1495" s="394"/>
      <c r="AJ1495" s="453">
        <v>42705</v>
      </c>
      <c r="AK1495" s="453">
        <v>42825</v>
      </c>
      <c r="AL1495" s="393"/>
      <c r="AM1495" s="393"/>
      <c r="AN1495" s="417"/>
      <c r="AO1495" s="475" t="s">
        <v>7418</v>
      </c>
      <c r="AP1495" s="392"/>
      <c r="AQ1495" s="392"/>
      <c r="AR1495" s="392" t="s">
        <v>236</v>
      </c>
      <c r="AS1495" s="479">
        <v>40758</v>
      </c>
      <c r="AT1495" s="453"/>
      <c r="AU1495" s="453"/>
      <c r="AV1495" s="453"/>
      <c r="AW1495" s="453"/>
      <c r="AX1495" s="453"/>
      <c r="AY1495" s="453"/>
      <c r="AZ1495" s="452">
        <v>42094</v>
      </c>
      <c r="BA1495" s="393"/>
      <c r="BB1495" s="393"/>
      <c r="BC1495" s="393" t="b">
        <v>0</v>
      </c>
      <c r="BD1495" s="393"/>
      <c r="BE1495" s="392"/>
      <c r="BF1495" s="394">
        <v>10</v>
      </c>
      <c r="BG1495" s="394">
        <v>9</v>
      </c>
      <c r="BH1495" s="394">
        <v>1</v>
      </c>
      <c r="BI1495" s="394">
        <v>5</v>
      </c>
      <c r="BJ1495" s="394">
        <v>11</v>
      </c>
      <c r="BK1495" s="394"/>
      <c r="BL1495" s="444" t="s">
        <v>6986</v>
      </c>
      <c r="BM1495" s="392" t="s">
        <v>3713</v>
      </c>
      <c r="BN1495" s="393" t="s">
        <v>42</v>
      </c>
      <c r="BO1495" s="393"/>
      <c r="BP1495" s="399"/>
      <c r="BQ1495" s="400"/>
      <c r="BR1495" s="401"/>
      <c r="BS1495" s="399"/>
      <c r="BT1495" s="394"/>
      <c r="BU1495" s="417"/>
      <c r="BV1495" s="399"/>
      <c r="BW1495" s="393" t="s">
        <v>3117</v>
      </c>
      <c r="BX1495" s="392" t="s">
        <v>3714</v>
      </c>
      <c r="BY1495" s="475" t="s">
        <v>7224</v>
      </c>
      <c r="BZ1495" s="393"/>
      <c r="CA1495" s="441"/>
      <c r="CB1495" s="400"/>
      <c r="CC1495" s="398"/>
      <c r="CD1495" s="398"/>
      <c r="CE1495" s="398"/>
      <c r="CF1495" s="398"/>
      <c r="CG1495" s="398"/>
      <c r="CH1495" s="398"/>
      <c r="CI1495" s="398"/>
      <c r="CJ1495" s="398"/>
      <c r="CK1495" s="398">
        <v>38.536999999999999</v>
      </c>
      <c r="CL1495" s="398">
        <v>38.536999999999999</v>
      </c>
      <c r="CM1495" s="398">
        <v>38.536999999999999</v>
      </c>
      <c r="CN1495" s="398">
        <v>38.536999999999999</v>
      </c>
      <c r="CO1495" s="398">
        <v>38.536999999999999</v>
      </c>
      <c r="CP1495" s="398">
        <v>38.536999999999999</v>
      </c>
      <c r="CQ1495" s="398">
        <v>38.536999999999999</v>
      </c>
      <c r="CR1495" s="398"/>
      <c r="CS1495" s="398"/>
      <c r="CT1495" s="398"/>
      <c r="CU1495" s="398"/>
      <c r="CV1495" s="398"/>
      <c r="CW1495" s="398"/>
      <c r="CX1495" s="398"/>
      <c r="CY1495" s="398"/>
      <c r="CZ1495" s="398"/>
      <c r="DA1495" s="398"/>
      <c r="DB1495" s="398"/>
      <c r="DC1495" s="398"/>
      <c r="DD1495" s="398"/>
      <c r="DE1495" s="393"/>
      <c r="DF1495" s="393"/>
      <c r="DG1495" s="393"/>
      <c r="DH1495" s="393"/>
      <c r="DI1495" s="393"/>
      <c r="DJ1495" s="393"/>
      <c r="DK1495" s="897"/>
    </row>
    <row r="1496" spans="1:115" ht="25.5" x14ac:dyDescent="0.2">
      <c r="A1496" s="295">
        <v>1492</v>
      </c>
      <c r="B1496" s="390" t="s">
        <v>7022</v>
      </c>
      <c r="C1496" s="390"/>
      <c r="D1496" s="391" t="s">
        <v>7023</v>
      </c>
      <c r="E1496" s="704" t="s">
        <v>7024</v>
      </c>
      <c r="F1496" s="393" t="s">
        <v>1352</v>
      </c>
      <c r="G1496" s="393" t="s">
        <v>1673</v>
      </c>
      <c r="H1496" s="393" t="s">
        <v>42</v>
      </c>
      <c r="I1496" s="392"/>
      <c r="J1496" s="392"/>
      <c r="K1496" s="392" t="s">
        <v>42</v>
      </c>
      <c r="L1496" s="392" t="s">
        <v>922</v>
      </c>
      <c r="M1496" s="392"/>
      <c r="N1496" s="393" t="s">
        <v>44</v>
      </c>
      <c r="O1496" s="393" t="s">
        <v>827</v>
      </c>
      <c r="P1496" s="393" t="s">
        <v>827</v>
      </c>
      <c r="Q1496" s="392" t="s">
        <v>923</v>
      </c>
      <c r="R1496" s="392" t="s">
        <v>7025</v>
      </c>
      <c r="S1496" s="392" t="s">
        <v>46</v>
      </c>
      <c r="T1496" s="394">
        <v>1</v>
      </c>
      <c r="U1496" s="395">
        <v>38.14</v>
      </c>
      <c r="V1496" s="395"/>
      <c r="W1496" s="453"/>
      <c r="X1496" s="394"/>
      <c r="Y1496" s="394">
        <v>7</v>
      </c>
      <c r="Z1496" s="394">
        <v>21</v>
      </c>
      <c r="AA1496" s="395">
        <v>0</v>
      </c>
      <c r="AB1496" s="452">
        <v>42095</v>
      </c>
      <c r="AC1496" s="398"/>
      <c r="AD1496" s="398">
        <v>219.54010958904109</v>
      </c>
      <c r="AE1496" s="393" t="s">
        <v>37</v>
      </c>
      <c r="AF1496" s="417"/>
      <c r="AG1496" s="417">
        <f>36.313+29.031</f>
        <v>65.343999999999994</v>
      </c>
      <c r="AH1496" s="417">
        <v>65.343999999999994</v>
      </c>
      <c r="AI1496" s="394"/>
      <c r="AJ1496" s="453">
        <v>42705</v>
      </c>
      <c r="AK1496" s="453">
        <v>42825</v>
      </c>
      <c r="AL1496" s="393"/>
      <c r="AM1496" s="393"/>
      <c r="AN1496" s="417"/>
      <c r="AO1496" s="475" t="s">
        <v>7418</v>
      </c>
      <c r="AP1496" s="392"/>
      <c r="AQ1496" s="392"/>
      <c r="AR1496" s="392" t="s">
        <v>236</v>
      </c>
      <c r="AS1496" s="479">
        <v>40758</v>
      </c>
      <c r="AT1496" s="453"/>
      <c r="AU1496" s="453"/>
      <c r="AV1496" s="453"/>
      <c r="AW1496" s="453"/>
      <c r="AX1496" s="453"/>
      <c r="AY1496" s="453"/>
      <c r="AZ1496" s="452">
        <v>42107</v>
      </c>
      <c r="BA1496" s="393"/>
      <c r="BB1496" s="393"/>
      <c r="BC1496" s="393" t="b">
        <v>0</v>
      </c>
      <c r="BD1496" s="393"/>
      <c r="BE1496" s="392"/>
      <c r="BF1496" s="394">
        <v>10</v>
      </c>
      <c r="BG1496" s="394">
        <v>9</v>
      </c>
      <c r="BH1496" s="394">
        <v>1</v>
      </c>
      <c r="BI1496" s="394">
        <v>5</v>
      </c>
      <c r="BJ1496" s="394">
        <v>11</v>
      </c>
      <c r="BK1496" s="394"/>
      <c r="BL1496" s="444" t="s">
        <v>6986</v>
      </c>
      <c r="BM1496" s="392" t="s">
        <v>3713</v>
      </c>
      <c r="BN1496" s="393" t="s">
        <v>42</v>
      </c>
      <c r="BO1496" s="393"/>
      <c r="BP1496" s="399"/>
      <c r="BQ1496" s="400"/>
      <c r="BR1496" s="401"/>
      <c r="BS1496" s="399"/>
      <c r="BT1496" s="394"/>
      <c r="BU1496" s="417"/>
      <c r="BV1496" s="399"/>
      <c r="BW1496" s="393" t="s">
        <v>3117</v>
      </c>
      <c r="BX1496" s="392" t="s">
        <v>3714</v>
      </c>
      <c r="BY1496" s="475" t="s">
        <v>7224</v>
      </c>
      <c r="BZ1496" s="393"/>
      <c r="CA1496" s="441"/>
      <c r="CB1496" s="400"/>
      <c r="CC1496" s="398"/>
      <c r="CD1496" s="398"/>
      <c r="CE1496" s="398"/>
      <c r="CF1496" s="398"/>
      <c r="CG1496" s="398"/>
      <c r="CH1496" s="398"/>
      <c r="CI1496" s="398"/>
      <c r="CJ1496" s="398"/>
      <c r="CK1496" s="398">
        <v>38.14</v>
      </c>
      <c r="CL1496" s="398">
        <v>38.14</v>
      </c>
      <c r="CM1496" s="398">
        <v>38.14</v>
      </c>
      <c r="CN1496" s="398">
        <v>38.14</v>
      </c>
      <c r="CO1496" s="398">
        <v>38.14</v>
      </c>
      <c r="CP1496" s="398">
        <v>38.14</v>
      </c>
      <c r="CQ1496" s="398">
        <v>38.14</v>
      </c>
      <c r="CR1496" s="398"/>
      <c r="CS1496" s="398"/>
      <c r="CT1496" s="398"/>
      <c r="CU1496" s="398"/>
      <c r="CV1496" s="398"/>
      <c r="CW1496" s="398"/>
      <c r="CX1496" s="398"/>
      <c r="CY1496" s="398"/>
      <c r="CZ1496" s="398"/>
      <c r="DA1496" s="398"/>
      <c r="DB1496" s="398"/>
      <c r="DC1496" s="398"/>
      <c r="DD1496" s="398"/>
      <c r="DE1496" s="393"/>
      <c r="DF1496" s="393"/>
      <c r="DG1496" s="393"/>
      <c r="DH1496" s="393"/>
      <c r="DI1496" s="393"/>
      <c r="DJ1496" s="393"/>
      <c r="DK1496" s="897"/>
    </row>
    <row r="1497" spans="1:115" ht="25.5" x14ac:dyDescent="0.2">
      <c r="A1497" s="295">
        <v>1493</v>
      </c>
      <c r="B1497" s="390" t="s">
        <v>7026</v>
      </c>
      <c r="C1497" s="390"/>
      <c r="D1497" s="391" t="s">
        <v>7027</v>
      </c>
      <c r="E1497" s="704" t="s">
        <v>7028</v>
      </c>
      <c r="F1497" s="393" t="s">
        <v>1352</v>
      </c>
      <c r="G1497" s="393" t="s">
        <v>1673</v>
      </c>
      <c r="H1497" s="393" t="s">
        <v>42</v>
      </c>
      <c r="I1497" s="392"/>
      <c r="J1497" s="392"/>
      <c r="K1497" s="392" t="s">
        <v>42</v>
      </c>
      <c r="L1497" s="392" t="s">
        <v>922</v>
      </c>
      <c r="M1497" s="392"/>
      <c r="N1497" s="393" t="s">
        <v>44</v>
      </c>
      <c r="O1497" s="393" t="s">
        <v>827</v>
      </c>
      <c r="P1497" s="393" t="s">
        <v>827</v>
      </c>
      <c r="Q1497" s="392" t="s">
        <v>923</v>
      </c>
      <c r="R1497" s="392" t="s">
        <v>7029</v>
      </c>
      <c r="S1497" s="392" t="s">
        <v>46</v>
      </c>
      <c r="T1497" s="394">
        <v>1</v>
      </c>
      <c r="U1497" s="395">
        <v>38.125</v>
      </c>
      <c r="V1497" s="395"/>
      <c r="W1497" s="453"/>
      <c r="X1497" s="394"/>
      <c r="Y1497" s="394">
        <v>7</v>
      </c>
      <c r="Z1497" s="394">
        <v>21</v>
      </c>
      <c r="AA1497" s="395">
        <v>0</v>
      </c>
      <c r="AB1497" s="452">
        <v>42095</v>
      </c>
      <c r="AC1497" s="398"/>
      <c r="AD1497" s="398">
        <v>219.45376712328766</v>
      </c>
      <c r="AE1497" s="393" t="s">
        <v>37</v>
      </c>
      <c r="AF1497" s="417"/>
      <c r="AG1497" s="417">
        <f>32.775+29.318</f>
        <v>62.093000000000004</v>
      </c>
      <c r="AH1497" s="417">
        <v>62.093000000000004</v>
      </c>
      <c r="AI1497" s="394"/>
      <c r="AJ1497" s="453">
        <v>42705</v>
      </c>
      <c r="AK1497" s="453">
        <v>42825</v>
      </c>
      <c r="AL1497" s="393"/>
      <c r="AM1497" s="393"/>
      <c r="AN1497" s="417"/>
      <c r="AO1497" s="475" t="s">
        <v>7418</v>
      </c>
      <c r="AP1497" s="392"/>
      <c r="AQ1497" s="392"/>
      <c r="AR1497" s="392" t="s">
        <v>236</v>
      </c>
      <c r="AS1497" s="479">
        <v>40758</v>
      </c>
      <c r="AT1497" s="453"/>
      <c r="AU1497" s="453"/>
      <c r="AV1497" s="453"/>
      <c r="AW1497" s="453"/>
      <c r="AX1497" s="453"/>
      <c r="AY1497" s="453"/>
      <c r="AZ1497" s="452">
        <v>42107</v>
      </c>
      <c r="BA1497" s="393"/>
      <c r="BB1497" s="393"/>
      <c r="BC1497" s="393" t="b">
        <v>0</v>
      </c>
      <c r="BD1497" s="393"/>
      <c r="BE1497" s="392"/>
      <c r="BF1497" s="394">
        <v>10</v>
      </c>
      <c r="BG1497" s="394">
        <v>9</v>
      </c>
      <c r="BH1497" s="394">
        <v>1</v>
      </c>
      <c r="BI1497" s="394">
        <v>5</v>
      </c>
      <c r="BJ1497" s="394">
        <v>11</v>
      </c>
      <c r="BK1497" s="394"/>
      <c r="BL1497" s="444" t="s">
        <v>6986</v>
      </c>
      <c r="BM1497" s="392" t="s">
        <v>3713</v>
      </c>
      <c r="BN1497" s="393" t="s">
        <v>42</v>
      </c>
      <c r="BO1497" s="393"/>
      <c r="BP1497" s="399"/>
      <c r="BQ1497" s="400"/>
      <c r="BR1497" s="401"/>
      <c r="BS1497" s="399"/>
      <c r="BT1497" s="394"/>
      <c r="BU1497" s="417"/>
      <c r="BV1497" s="399"/>
      <c r="BW1497" s="393" t="s">
        <v>3117</v>
      </c>
      <c r="BX1497" s="392" t="s">
        <v>3714</v>
      </c>
      <c r="BY1497" s="475" t="s">
        <v>7224</v>
      </c>
      <c r="BZ1497" s="393"/>
      <c r="CA1497" s="441"/>
      <c r="CB1497" s="400"/>
      <c r="CC1497" s="398"/>
      <c r="CD1497" s="398"/>
      <c r="CE1497" s="398"/>
      <c r="CF1497" s="398"/>
      <c r="CG1497" s="398"/>
      <c r="CH1497" s="398"/>
      <c r="CI1497" s="398"/>
      <c r="CJ1497" s="398"/>
      <c r="CK1497" s="398">
        <v>38.125</v>
      </c>
      <c r="CL1497" s="398">
        <v>38.125</v>
      </c>
      <c r="CM1497" s="398">
        <v>38.125</v>
      </c>
      <c r="CN1497" s="398">
        <v>38.125</v>
      </c>
      <c r="CO1497" s="398">
        <v>38.125</v>
      </c>
      <c r="CP1497" s="398">
        <v>38.125</v>
      </c>
      <c r="CQ1497" s="398">
        <v>38.125</v>
      </c>
      <c r="CR1497" s="398"/>
      <c r="CS1497" s="398"/>
      <c r="CT1497" s="398"/>
      <c r="CU1497" s="398"/>
      <c r="CV1497" s="398"/>
      <c r="CW1497" s="398"/>
      <c r="CX1497" s="398"/>
      <c r="CY1497" s="398"/>
      <c r="CZ1497" s="398"/>
      <c r="DA1497" s="398"/>
      <c r="DB1497" s="398"/>
      <c r="DC1497" s="398"/>
      <c r="DD1497" s="398"/>
      <c r="DE1497" s="393"/>
      <c r="DF1497" s="393"/>
      <c r="DG1497" s="393"/>
      <c r="DH1497" s="393"/>
      <c r="DI1497" s="393"/>
      <c r="DJ1497" s="393"/>
      <c r="DK1497" s="897"/>
    </row>
    <row r="1498" spans="1:115" ht="63.75" x14ac:dyDescent="0.2">
      <c r="A1498" s="295">
        <v>1494</v>
      </c>
      <c r="B1498" s="390" t="s">
        <v>3015</v>
      </c>
      <c r="C1498" s="424" t="s">
        <v>7803</v>
      </c>
      <c r="D1498" s="391" t="s">
        <v>4590</v>
      </c>
      <c r="E1498" s="704" t="s">
        <v>937</v>
      </c>
      <c r="F1498" s="393" t="s">
        <v>1375</v>
      </c>
      <c r="G1498" s="393" t="s">
        <v>1361</v>
      </c>
      <c r="H1498" s="393" t="s">
        <v>137</v>
      </c>
      <c r="I1498" s="392"/>
      <c r="J1498" s="392" t="s">
        <v>137</v>
      </c>
      <c r="K1498" s="392"/>
      <c r="L1498" s="392" t="s">
        <v>266</v>
      </c>
      <c r="M1498" s="392" t="s">
        <v>4151</v>
      </c>
      <c r="N1498" s="393" t="s">
        <v>44</v>
      </c>
      <c r="O1498" s="393" t="s">
        <v>827</v>
      </c>
      <c r="P1498" s="393" t="s">
        <v>827</v>
      </c>
      <c r="Q1498" s="392" t="s">
        <v>923</v>
      </c>
      <c r="R1498" s="392"/>
      <c r="S1498" s="392" t="s">
        <v>46</v>
      </c>
      <c r="T1498" s="394">
        <v>5</v>
      </c>
      <c r="U1498" s="395">
        <v>201.26400000000001</v>
      </c>
      <c r="V1498" s="395"/>
      <c r="W1498" s="452">
        <v>40634</v>
      </c>
      <c r="X1498" s="394">
        <v>28</v>
      </c>
      <c r="Y1498" s="394"/>
      <c r="Z1498" s="394"/>
      <c r="AA1498" s="395"/>
      <c r="AB1498" s="453"/>
      <c r="AC1498" s="398">
        <v>200</v>
      </c>
      <c r="AD1498" s="398">
        <v>2012.6399999999999</v>
      </c>
      <c r="AE1498" s="393" t="s">
        <v>355</v>
      </c>
      <c r="AF1498" s="417"/>
      <c r="AG1498" s="417"/>
      <c r="AH1498" s="417">
        <v>0</v>
      </c>
      <c r="AI1498" s="394"/>
      <c r="AJ1498" s="453"/>
      <c r="AK1498" s="453"/>
      <c r="AL1498" s="393"/>
      <c r="AM1498" s="393"/>
      <c r="AN1498" s="417"/>
      <c r="AO1498" s="392"/>
      <c r="AP1498" s="428" t="s">
        <v>55</v>
      </c>
      <c r="AQ1498" s="392" t="s">
        <v>7057</v>
      </c>
      <c r="AR1498" s="392" t="s">
        <v>882</v>
      </c>
      <c r="AS1498" s="479">
        <v>40577</v>
      </c>
      <c r="AT1498" s="452"/>
      <c r="AU1498" s="453" t="s">
        <v>936</v>
      </c>
      <c r="AV1498" s="452">
        <v>40795</v>
      </c>
      <c r="AW1498" s="452">
        <v>41002</v>
      </c>
      <c r="AX1498" s="452">
        <v>41082</v>
      </c>
      <c r="AY1498" s="452">
        <v>41023</v>
      </c>
      <c r="AZ1498" s="453"/>
      <c r="BA1498" s="393"/>
      <c r="BB1498" s="393" t="s">
        <v>3116</v>
      </c>
      <c r="BC1498" s="393" t="b">
        <v>0</v>
      </c>
      <c r="BD1498" s="393" t="s">
        <v>3116</v>
      </c>
      <c r="BE1498" s="392"/>
      <c r="BF1498" s="394">
        <v>5</v>
      </c>
      <c r="BG1498" s="394">
        <v>7</v>
      </c>
      <c r="BH1498" s="394">
        <v>8</v>
      </c>
      <c r="BI1498" s="394"/>
      <c r="BJ1498" s="394"/>
      <c r="BK1498" s="394"/>
      <c r="BL1498" s="444"/>
      <c r="BM1498" s="392"/>
      <c r="BN1498" s="393"/>
      <c r="BO1498" s="393"/>
      <c r="BP1498" s="399"/>
      <c r="BQ1498" s="400"/>
      <c r="BR1498" s="401"/>
      <c r="BS1498" s="399">
        <v>0</v>
      </c>
      <c r="BT1498" s="394"/>
      <c r="BU1498" s="417"/>
      <c r="BV1498" s="399"/>
      <c r="BW1498" s="393"/>
      <c r="BX1498" s="392"/>
      <c r="BY1498" s="393"/>
      <c r="BZ1498" s="393"/>
      <c r="CA1498" s="441"/>
      <c r="CB1498" s="400"/>
      <c r="CC1498" s="398"/>
      <c r="CD1498" s="398"/>
      <c r="CE1498" s="398"/>
      <c r="CF1498" s="398"/>
      <c r="CG1498" s="398"/>
      <c r="CH1498" s="398"/>
      <c r="CI1498" s="398"/>
      <c r="CJ1498" s="398"/>
      <c r="CK1498" s="398"/>
      <c r="CL1498" s="398"/>
      <c r="CM1498" s="398"/>
      <c r="CN1498" s="398"/>
      <c r="CO1498" s="398"/>
      <c r="CP1498" s="398"/>
      <c r="CQ1498" s="398"/>
      <c r="CR1498" s="398"/>
      <c r="CS1498" s="398"/>
      <c r="CT1498" s="398"/>
      <c r="CU1498" s="398"/>
      <c r="CV1498" s="398"/>
      <c r="CW1498" s="398"/>
      <c r="CX1498" s="398"/>
      <c r="CY1498" s="398"/>
      <c r="CZ1498" s="398"/>
      <c r="DA1498" s="398"/>
      <c r="DB1498" s="398"/>
      <c r="DC1498" s="398"/>
      <c r="DD1498" s="398"/>
      <c r="DE1498" s="393"/>
      <c r="DF1498" s="393"/>
      <c r="DG1498" s="393"/>
      <c r="DH1498" s="393"/>
      <c r="DI1498" s="393"/>
      <c r="DJ1498" s="393"/>
      <c r="DK1498" s="896" t="s">
        <v>9721</v>
      </c>
    </row>
    <row r="1499" spans="1:115" ht="25.5" x14ac:dyDescent="0.2">
      <c r="A1499" s="295">
        <v>1495</v>
      </c>
      <c r="B1499" s="390" t="s">
        <v>3016</v>
      </c>
      <c r="C1499" s="390"/>
      <c r="D1499" s="391" t="s">
        <v>2319</v>
      </c>
      <c r="E1499" s="704" t="s">
        <v>938</v>
      </c>
      <c r="F1499" s="393" t="s">
        <v>1375</v>
      </c>
      <c r="G1499" s="393" t="s">
        <v>1361</v>
      </c>
      <c r="H1499" s="393" t="s">
        <v>137</v>
      </c>
      <c r="I1499" s="392"/>
      <c r="J1499" s="392"/>
      <c r="K1499" s="392" t="s">
        <v>2147</v>
      </c>
      <c r="L1499" s="392" t="s">
        <v>266</v>
      </c>
      <c r="M1499" s="392"/>
      <c r="N1499" s="393" t="s">
        <v>44</v>
      </c>
      <c r="O1499" s="393" t="s">
        <v>827</v>
      </c>
      <c r="P1499" s="393" t="s">
        <v>827</v>
      </c>
      <c r="Q1499" s="392" t="s">
        <v>923</v>
      </c>
      <c r="R1499" s="392" t="s">
        <v>3491</v>
      </c>
      <c r="S1499" s="392" t="s">
        <v>46</v>
      </c>
      <c r="T1499" s="394">
        <v>1</v>
      </c>
      <c r="U1499" s="395">
        <v>38.563000000000002</v>
      </c>
      <c r="V1499" s="395"/>
      <c r="W1499" s="453"/>
      <c r="X1499" s="394"/>
      <c r="Y1499" s="394">
        <v>10</v>
      </c>
      <c r="Z1499" s="394">
        <v>15</v>
      </c>
      <c r="AA1499" s="395">
        <v>0</v>
      </c>
      <c r="AB1499" s="452">
        <v>41031</v>
      </c>
      <c r="AC1499" s="398">
        <v>200</v>
      </c>
      <c r="AD1499" s="398">
        <v>385.63</v>
      </c>
      <c r="AE1499" s="393" t="s">
        <v>355</v>
      </c>
      <c r="AF1499" s="417"/>
      <c r="AG1499" s="417"/>
      <c r="AH1499" s="417"/>
      <c r="AI1499" s="394"/>
      <c r="AJ1499" s="453"/>
      <c r="AK1499" s="453"/>
      <c r="AL1499" s="393"/>
      <c r="AM1499" s="393"/>
      <c r="AN1499" s="417"/>
      <c r="AO1499" s="392"/>
      <c r="AP1499" s="428" t="s">
        <v>55</v>
      </c>
      <c r="AQ1499" s="392" t="s">
        <v>7057</v>
      </c>
      <c r="AR1499" s="392" t="s">
        <v>882</v>
      </c>
      <c r="AS1499" s="479">
        <v>40577</v>
      </c>
      <c r="AT1499" s="452"/>
      <c r="AU1499" s="453" t="s">
        <v>2669</v>
      </c>
      <c r="AV1499" s="453"/>
      <c r="AW1499" s="453"/>
      <c r="AX1499" s="453"/>
      <c r="AY1499" s="453"/>
      <c r="AZ1499" s="452">
        <v>41023</v>
      </c>
      <c r="BA1499" s="393"/>
      <c r="BB1499" s="393"/>
      <c r="BC1499" s="393" t="b">
        <v>0</v>
      </c>
      <c r="BD1499" s="393"/>
      <c r="BE1499" s="392"/>
      <c r="BF1499" s="394">
        <v>5</v>
      </c>
      <c r="BG1499" s="394">
        <v>7</v>
      </c>
      <c r="BH1499" s="394">
        <v>8</v>
      </c>
      <c r="BI1499" s="394"/>
      <c r="BJ1499" s="394"/>
      <c r="BK1499" s="394"/>
      <c r="BL1499" s="444" t="s">
        <v>6981</v>
      </c>
      <c r="BM1499" s="392"/>
      <c r="BN1499" s="393"/>
      <c r="BO1499" s="393"/>
      <c r="BP1499" s="399"/>
      <c r="BQ1499" s="400"/>
      <c r="BR1499" s="401"/>
      <c r="BS1499" s="399"/>
      <c r="BT1499" s="394"/>
      <c r="BU1499" s="417">
        <v>0.95469999999999999</v>
      </c>
      <c r="BV1499" s="399"/>
      <c r="BW1499" s="393" t="s">
        <v>3117</v>
      </c>
      <c r="BX1499" s="392" t="s">
        <v>4364</v>
      </c>
      <c r="BY1499" s="393" t="s">
        <v>7224</v>
      </c>
      <c r="BZ1499" s="393"/>
      <c r="CA1499" s="441"/>
      <c r="CB1499" s="400"/>
      <c r="CC1499" s="398"/>
      <c r="CD1499" s="398"/>
      <c r="CE1499" s="398"/>
      <c r="CF1499" s="398"/>
      <c r="CG1499" s="398">
        <v>2047</v>
      </c>
      <c r="CH1499" s="398">
        <v>20881</v>
      </c>
      <c r="CI1499" s="398">
        <v>35569</v>
      </c>
      <c r="CJ1499" s="398">
        <v>41762</v>
      </c>
      <c r="CK1499" s="398">
        <v>41762</v>
      </c>
      <c r="CL1499" s="398">
        <v>41762</v>
      </c>
      <c r="CM1499" s="398">
        <v>41762</v>
      </c>
      <c r="CN1499" s="398">
        <v>41762</v>
      </c>
      <c r="CO1499" s="398">
        <v>41762</v>
      </c>
      <c r="CP1499" s="398">
        <v>41762</v>
      </c>
      <c r="CQ1499" s="398">
        <v>34801</v>
      </c>
      <c r="CR1499" s="398"/>
      <c r="CS1499" s="398"/>
      <c r="CT1499" s="398"/>
      <c r="CU1499" s="398"/>
      <c r="CV1499" s="398"/>
      <c r="CW1499" s="398"/>
      <c r="CX1499" s="398"/>
      <c r="CY1499" s="398"/>
      <c r="CZ1499" s="398"/>
      <c r="DA1499" s="398"/>
      <c r="DB1499" s="398"/>
      <c r="DC1499" s="398"/>
      <c r="DD1499" s="398"/>
      <c r="DE1499" s="393"/>
      <c r="DF1499" s="393"/>
      <c r="DG1499" s="393"/>
      <c r="DH1499" s="393"/>
      <c r="DI1499" s="393"/>
      <c r="DJ1499" s="393"/>
      <c r="DK1499" s="897"/>
    </row>
    <row r="1500" spans="1:115" ht="25.5" x14ac:dyDescent="0.2">
      <c r="A1500" s="295">
        <v>1496</v>
      </c>
      <c r="B1500" s="390" t="s">
        <v>4403</v>
      </c>
      <c r="C1500" s="390"/>
      <c r="D1500" s="391" t="s">
        <v>4404</v>
      </c>
      <c r="E1500" s="704" t="s">
        <v>4405</v>
      </c>
      <c r="F1500" s="393" t="s">
        <v>1375</v>
      </c>
      <c r="G1500" s="393" t="s">
        <v>1361</v>
      </c>
      <c r="H1500" s="393" t="s">
        <v>137</v>
      </c>
      <c r="I1500" s="392"/>
      <c r="J1500" s="392"/>
      <c r="K1500" s="392" t="s">
        <v>642</v>
      </c>
      <c r="L1500" s="392" t="s">
        <v>266</v>
      </c>
      <c r="M1500" s="392"/>
      <c r="N1500" s="393" t="s">
        <v>44</v>
      </c>
      <c r="O1500" s="393" t="s">
        <v>827</v>
      </c>
      <c r="P1500" s="393" t="s">
        <v>827</v>
      </c>
      <c r="Q1500" s="392" t="s">
        <v>923</v>
      </c>
      <c r="R1500" s="392" t="s">
        <v>3491</v>
      </c>
      <c r="S1500" s="392" t="s">
        <v>46</v>
      </c>
      <c r="T1500" s="394">
        <v>1</v>
      </c>
      <c r="U1500" s="395">
        <v>36.290999999999997</v>
      </c>
      <c r="V1500" s="395"/>
      <c r="W1500" s="453"/>
      <c r="X1500" s="394"/>
      <c r="Y1500" s="394">
        <v>10</v>
      </c>
      <c r="Z1500" s="394">
        <v>15</v>
      </c>
      <c r="AA1500" s="395">
        <v>0</v>
      </c>
      <c r="AB1500" s="452">
        <v>41275</v>
      </c>
      <c r="AC1500" s="398">
        <v>0</v>
      </c>
      <c r="AD1500" s="398">
        <v>362.90999999999997</v>
      </c>
      <c r="AE1500" s="393" t="s">
        <v>355</v>
      </c>
      <c r="AF1500" s="417"/>
      <c r="AG1500" s="417"/>
      <c r="AH1500" s="417"/>
      <c r="AI1500" s="394"/>
      <c r="AJ1500" s="453"/>
      <c r="AK1500" s="453"/>
      <c r="AL1500" s="393"/>
      <c r="AM1500" s="393"/>
      <c r="AN1500" s="417"/>
      <c r="AO1500" s="392"/>
      <c r="AP1500" s="392"/>
      <c r="AQ1500" s="392"/>
      <c r="AR1500" s="392" t="s">
        <v>882</v>
      </c>
      <c r="AS1500" s="479">
        <v>40577</v>
      </c>
      <c r="AT1500" s="453"/>
      <c r="AU1500" s="453"/>
      <c r="AV1500" s="453"/>
      <c r="AW1500" s="453"/>
      <c r="AX1500" s="453"/>
      <c r="AY1500" s="453"/>
      <c r="AZ1500" s="452">
        <v>41272</v>
      </c>
      <c r="BA1500" s="393"/>
      <c r="BB1500" s="393"/>
      <c r="BC1500" s="393" t="b">
        <v>0</v>
      </c>
      <c r="BD1500" s="393"/>
      <c r="BE1500" s="392"/>
      <c r="BF1500" s="394">
        <v>5</v>
      </c>
      <c r="BG1500" s="394">
        <v>7</v>
      </c>
      <c r="BH1500" s="394">
        <v>8</v>
      </c>
      <c r="BI1500" s="394"/>
      <c r="BJ1500" s="394"/>
      <c r="BK1500" s="394"/>
      <c r="BL1500" s="444" t="s">
        <v>6981</v>
      </c>
      <c r="BM1500" s="392"/>
      <c r="BN1500" s="393"/>
      <c r="BO1500" s="393"/>
      <c r="BP1500" s="399"/>
      <c r="BQ1500" s="400"/>
      <c r="BR1500" s="401"/>
      <c r="BS1500" s="399"/>
      <c r="BT1500" s="394"/>
      <c r="BU1500" s="417">
        <v>0.97699999999999998</v>
      </c>
      <c r="BV1500" s="399"/>
      <c r="BW1500" s="393" t="s">
        <v>3117</v>
      </c>
      <c r="BX1500" s="392" t="s">
        <v>4364</v>
      </c>
      <c r="BY1500" s="393" t="s">
        <v>7224</v>
      </c>
      <c r="BZ1500" s="393"/>
      <c r="CA1500" s="441"/>
      <c r="CB1500" s="400"/>
      <c r="CC1500" s="398"/>
      <c r="CD1500" s="398"/>
      <c r="CE1500" s="398"/>
      <c r="CF1500" s="398"/>
      <c r="CG1500" s="398"/>
      <c r="CH1500" s="398"/>
      <c r="CI1500" s="398">
        <v>36.290999999999997</v>
      </c>
      <c r="CJ1500" s="398">
        <v>36.290999999999997</v>
      </c>
      <c r="CK1500" s="398">
        <v>36.290999999999997</v>
      </c>
      <c r="CL1500" s="398">
        <v>36.290999999999997</v>
      </c>
      <c r="CM1500" s="398">
        <v>36.290999999999997</v>
      </c>
      <c r="CN1500" s="398">
        <v>36.290999999999997</v>
      </c>
      <c r="CO1500" s="398">
        <v>36.290999999999997</v>
      </c>
      <c r="CP1500" s="398">
        <v>36.290999999999997</v>
      </c>
      <c r="CQ1500" s="398">
        <v>36.290999999999997</v>
      </c>
      <c r="CR1500" s="398">
        <v>36.290999999999997</v>
      </c>
      <c r="CS1500" s="398"/>
      <c r="CT1500" s="398"/>
      <c r="CU1500" s="398"/>
      <c r="CV1500" s="398"/>
      <c r="CW1500" s="398"/>
      <c r="CX1500" s="398"/>
      <c r="CY1500" s="398"/>
      <c r="CZ1500" s="398"/>
      <c r="DA1500" s="398"/>
      <c r="DB1500" s="398"/>
      <c r="DC1500" s="398"/>
      <c r="DD1500" s="398"/>
      <c r="DE1500" s="393"/>
      <c r="DF1500" s="393"/>
      <c r="DG1500" s="393"/>
      <c r="DH1500" s="393"/>
      <c r="DI1500" s="393"/>
      <c r="DJ1500" s="393"/>
      <c r="DK1500" s="897"/>
    </row>
    <row r="1501" spans="1:115" ht="25.5" x14ac:dyDescent="0.2">
      <c r="A1501" s="295">
        <v>1497</v>
      </c>
      <c r="B1501" s="390" t="s">
        <v>4406</v>
      </c>
      <c r="C1501" s="390"/>
      <c r="D1501" s="391" t="s">
        <v>4407</v>
      </c>
      <c r="E1501" s="704" t="s">
        <v>4408</v>
      </c>
      <c r="F1501" s="393" t="s">
        <v>1375</v>
      </c>
      <c r="G1501" s="393" t="s">
        <v>1361</v>
      </c>
      <c r="H1501" s="393" t="s">
        <v>137</v>
      </c>
      <c r="I1501" s="392"/>
      <c r="J1501" s="392"/>
      <c r="K1501" s="392" t="s">
        <v>642</v>
      </c>
      <c r="L1501" s="392" t="s">
        <v>266</v>
      </c>
      <c r="M1501" s="392"/>
      <c r="N1501" s="393" t="s">
        <v>44</v>
      </c>
      <c r="O1501" s="393" t="s">
        <v>827</v>
      </c>
      <c r="P1501" s="393" t="s">
        <v>827</v>
      </c>
      <c r="Q1501" s="392" t="s">
        <v>923</v>
      </c>
      <c r="R1501" s="392" t="s">
        <v>3491</v>
      </c>
      <c r="S1501" s="392" t="s">
        <v>46</v>
      </c>
      <c r="T1501" s="394">
        <v>1</v>
      </c>
      <c r="U1501" s="395">
        <v>39.283000000000001</v>
      </c>
      <c r="V1501" s="395"/>
      <c r="W1501" s="453"/>
      <c r="X1501" s="394"/>
      <c r="Y1501" s="394">
        <v>10</v>
      </c>
      <c r="Z1501" s="394">
        <v>15</v>
      </c>
      <c r="AA1501" s="395">
        <v>0</v>
      </c>
      <c r="AB1501" s="452">
        <v>41275</v>
      </c>
      <c r="AC1501" s="398">
        <v>0</v>
      </c>
      <c r="AD1501" s="398">
        <v>392.83000000000004</v>
      </c>
      <c r="AE1501" s="393" t="s">
        <v>355</v>
      </c>
      <c r="AF1501" s="417"/>
      <c r="AG1501" s="417"/>
      <c r="AH1501" s="417"/>
      <c r="AI1501" s="394"/>
      <c r="AJ1501" s="453"/>
      <c r="AK1501" s="453"/>
      <c r="AL1501" s="393"/>
      <c r="AM1501" s="393"/>
      <c r="AN1501" s="417"/>
      <c r="AO1501" s="392"/>
      <c r="AP1501" s="392"/>
      <c r="AQ1501" s="392"/>
      <c r="AR1501" s="392" t="s">
        <v>882</v>
      </c>
      <c r="AS1501" s="479">
        <v>40577</v>
      </c>
      <c r="AT1501" s="453"/>
      <c r="AU1501" s="453"/>
      <c r="AV1501" s="453"/>
      <c r="AW1501" s="453"/>
      <c r="AX1501" s="453"/>
      <c r="AY1501" s="453"/>
      <c r="AZ1501" s="452">
        <v>41272</v>
      </c>
      <c r="BA1501" s="393"/>
      <c r="BB1501" s="393"/>
      <c r="BC1501" s="393" t="b">
        <v>0</v>
      </c>
      <c r="BD1501" s="393"/>
      <c r="BE1501" s="392"/>
      <c r="BF1501" s="394">
        <v>5</v>
      </c>
      <c r="BG1501" s="394">
        <v>7</v>
      </c>
      <c r="BH1501" s="394">
        <v>8</v>
      </c>
      <c r="BI1501" s="394"/>
      <c r="BJ1501" s="394"/>
      <c r="BK1501" s="394"/>
      <c r="BL1501" s="444" t="s">
        <v>6981</v>
      </c>
      <c r="BM1501" s="392"/>
      <c r="BN1501" s="393"/>
      <c r="BO1501" s="393"/>
      <c r="BP1501" s="399"/>
      <c r="BQ1501" s="400"/>
      <c r="BR1501" s="401"/>
      <c r="BS1501" s="399"/>
      <c r="BT1501" s="394"/>
      <c r="BU1501" s="417">
        <v>0.97699999999999998</v>
      </c>
      <c r="BV1501" s="399"/>
      <c r="BW1501" s="393" t="s">
        <v>3117</v>
      </c>
      <c r="BX1501" s="392" t="s">
        <v>4364</v>
      </c>
      <c r="BY1501" s="393" t="s">
        <v>7224</v>
      </c>
      <c r="BZ1501" s="393"/>
      <c r="CA1501" s="441"/>
      <c r="CB1501" s="400"/>
      <c r="CC1501" s="398"/>
      <c r="CD1501" s="398"/>
      <c r="CE1501" s="398"/>
      <c r="CF1501" s="398"/>
      <c r="CG1501" s="398"/>
      <c r="CH1501" s="398"/>
      <c r="CI1501" s="398">
        <v>39.283000000000001</v>
      </c>
      <c r="CJ1501" s="398">
        <v>39.283000000000001</v>
      </c>
      <c r="CK1501" s="398">
        <v>39.283000000000001</v>
      </c>
      <c r="CL1501" s="398">
        <v>39.283000000000001</v>
      </c>
      <c r="CM1501" s="398">
        <v>39.283000000000001</v>
      </c>
      <c r="CN1501" s="398">
        <v>39.283000000000001</v>
      </c>
      <c r="CO1501" s="398">
        <v>39.283000000000001</v>
      </c>
      <c r="CP1501" s="398">
        <v>39.283000000000001</v>
      </c>
      <c r="CQ1501" s="398">
        <v>39.283000000000001</v>
      </c>
      <c r="CR1501" s="398">
        <v>39.283000000000001</v>
      </c>
      <c r="CS1501" s="398"/>
      <c r="CT1501" s="398"/>
      <c r="CU1501" s="398"/>
      <c r="CV1501" s="398"/>
      <c r="CW1501" s="398"/>
      <c r="CX1501" s="398"/>
      <c r="CY1501" s="398"/>
      <c r="CZ1501" s="398"/>
      <c r="DA1501" s="398"/>
      <c r="DB1501" s="398"/>
      <c r="DC1501" s="398"/>
      <c r="DD1501" s="398"/>
      <c r="DE1501" s="393"/>
      <c r="DF1501" s="393"/>
      <c r="DG1501" s="393"/>
      <c r="DH1501" s="393"/>
      <c r="DI1501" s="393"/>
      <c r="DJ1501" s="393"/>
      <c r="DK1501" s="897"/>
    </row>
    <row r="1502" spans="1:115" ht="25.5" x14ac:dyDescent="0.2">
      <c r="A1502" s="295">
        <v>1498</v>
      </c>
      <c r="B1502" s="390" t="s">
        <v>5729</v>
      </c>
      <c r="C1502" s="390"/>
      <c r="D1502" s="391" t="s">
        <v>5730</v>
      </c>
      <c r="E1502" s="704" t="s">
        <v>5731</v>
      </c>
      <c r="F1502" s="393" t="s">
        <v>1375</v>
      </c>
      <c r="G1502" s="393" t="s">
        <v>1361</v>
      </c>
      <c r="H1502" s="393" t="s">
        <v>137</v>
      </c>
      <c r="I1502" s="392"/>
      <c r="J1502" s="392"/>
      <c r="K1502" s="392" t="s">
        <v>2147</v>
      </c>
      <c r="L1502" s="392" t="s">
        <v>266</v>
      </c>
      <c r="M1502" s="392"/>
      <c r="N1502" s="393" t="s">
        <v>44</v>
      </c>
      <c r="O1502" s="393" t="s">
        <v>827</v>
      </c>
      <c r="P1502" s="393" t="s">
        <v>827</v>
      </c>
      <c r="Q1502" s="392" t="s">
        <v>923</v>
      </c>
      <c r="R1502" s="392" t="s">
        <v>3491</v>
      </c>
      <c r="S1502" s="392" t="s">
        <v>46</v>
      </c>
      <c r="T1502" s="394">
        <v>1</v>
      </c>
      <c r="U1502" s="395">
        <v>43.627000000000002</v>
      </c>
      <c r="V1502" s="395"/>
      <c r="W1502" s="453"/>
      <c r="X1502" s="394"/>
      <c r="Y1502" s="394">
        <v>10</v>
      </c>
      <c r="Z1502" s="394">
        <v>15</v>
      </c>
      <c r="AA1502" s="395">
        <v>0</v>
      </c>
      <c r="AB1502" s="452">
        <v>41640</v>
      </c>
      <c r="AC1502" s="398">
        <v>0</v>
      </c>
      <c r="AD1502" s="398">
        <v>436.27000000000004</v>
      </c>
      <c r="AE1502" s="393" t="s">
        <v>355</v>
      </c>
      <c r="AF1502" s="417"/>
      <c r="AG1502" s="417"/>
      <c r="AH1502" s="417"/>
      <c r="AI1502" s="394"/>
      <c r="AJ1502" s="453"/>
      <c r="AK1502" s="453"/>
      <c r="AL1502" s="393"/>
      <c r="AM1502" s="393"/>
      <c r="AN1502" s="417"/>
      <c r="AO1502" s="392"/>
      <c r="AP1502" s="392"/>
      <c r="AQ1502" s="392"/>
      <c r="AR1502" s="392" t="s">
        <v>882</v>
      </c>
      <c r="AS1502" s="479">
        <v>40577</v>
      </c>
      <c r="AT1502" s="453"/>
      <c r="AU1502" s="453"/>
      <c r="AV1502" s="453"/>
      <c r="AW1502" s="453"/>
      <c r="AX1502" s="453"/>
      <c r="AY1502" s="453"/>
      <c r="AZ1502" s="452">
        <v>41607</v>
      </c>
      <c r="BA1502" s="393"/>
      <c r="BB1502" s="393"/>
      <c r="BC1502" s="393" t="b">
        <v>0</v>
      </c>
      <c r="BD1502" s="393"/>
      <c r="BE1502" s="392"/>
      <c r="BF1502" s="394">
        <v>5</v>
      </c>
      <c r="BG1502" s="394">
        <v>7</v>
      </c>
      <c r="BH1502" s="394">
        <v>8</v>
      </c>
      <c r="BI1502" s="394"/>
      <c r="BJ1502" s="394"/>
      <c r="BK1502" s="394"/>
      <c r="BL1502" s="444" t="s">
        <v>6981</v>
      </c>
      <c r="BM1502" s="392"/>
      <c r="BN1502" s="393"/>
      <c r="BO1502" s="393"/>
      <c r="BP1502" s="399"/>
      <c r="BQ1502" s="400"/>
      <c r="BR1502" s="401"/>
      <c r="BS1502" s="399"/>
      <c r="BT1502" s="394"/>
      <c r="BU1502" s="417">
        <v>0.97699999999999998</v>
      </c>
      <c r="BV1502" s="399"/>
      <c r="BW1502" s="393" t="s">
        <v>3117</v>
      </c>
      <c r="BX1502" s="392" t="s">
        <v>4364</v>
      </c>
      <c r="BY1502" s="393" t="s">
        <v>7224</v>
      </c>
      <c r="BZ1502" s="393"/>
      <c r="CA1502" s="441"/>
      <c r="CB1502" s="400"/>
      <c r="CC1502" s="398"/>
      <c r="CD1502" s="398"/>
      <c r="CE1502" s="398"/>
      <c r="CF1502" s="398"/>
      <c r="CG1502" s="398"/>
      <c r="CH1502" s="398"/>
      <c r="CI1502" s="398">
        <v>42.863999999999997</v>
      </c>
      <c r="CJ1502" s="398">
        <v>43.710999999999999</v>
      </c>
      <c r="CK1502" s="398">
        <v>43.710999999999999</v>
      </c>
      <c r="CL1502" s="398">
        <v>43.710999999999999</v>
      </c>
      <c r="CM1502" s="398">
        <v>43.710999999999999</v>
      </c>
      <c r="CN1502" s="398">
        <v>43.710999999999999</v>
      </c>
      <c r="CO1502" s="398">
        <v>43.710999999999999</v>
      </c>
      <c r="CP1502" s="398">
        <v>43.710999999999999</v>
      </c>
      <c r="CQ1502" s="398">
        <v>43.710999999999999</v>
      </c>
      <c r="CR1502" s="398">
        <v>43.710999999999999</v>
      </c>
      <c r="CS1502" s="398"/>
      <c r="CT1502" s="398"/>
      <c r="CU1502" s="398"/>
      <c r="CV1502" s="398"/>
      <c r="CW1502" s="398"/>
      <c r="CX1502" s="398"/>
      <c r="CY1502" s="398"/>
      <c r="CZ1502" s="398"/>
      <c r="DA1502" s="398"/>
      <c r="DB1502" s="398"/>
      <c r="DC1502" s="398"/>
      <c r="DD1502" s="398"/>
      <c r="DE1502" s="393"/>
      <c r="DF1502" s="393"/>
      <c r="DG1502" s="393"/>
      <c r="DH1502" s="393"/>
      <c r="DI1502" s="393"/>
      <c r="DJ1502" s="393"/>
      <c r="DK1502" s="897"/>
    </row>
    <row r="1503" spans="1:115" ht="25.5" x14ac:dyDescent="0.2">
      <c r="A1503" s="295">
        <v>1499</v>
      </c>
      <c r="B1503" s="390" t="s">
        <v>5732</v>
      </c>
      <c r="C1503" s="390"/>
      <c r="D1503" s="391" t="s">
        <v>5733</v>
      </c>
      <c r="E1503" s="704" t="s">
        <v>5734</v>
      </c>
      <c r="F1503" s="393" t="s">
        <v>1375</v>
      </c>
      <c r="G1503" s="393" t="s">
        <v>1361</v>
      </c>
      <c r="H1503" s="393" t="s">
        <v>137</v>
      </c>
      <c r="I1503" s="392"/>
      <c r="J1503" s="392"/>
      <c r="K1503" s="392" t="s">
        <v>2147</v>
      </c>
      <c r="L1503" s="392" t="s">
        <v>266</v>
      </c>
      <c r="M1503" s="392"/>
      <c r="N1503" s="393" t="s">
        <v>44</v>
      </c>
      <c r="O1503" s="393" t="s">
        <v>827</v>
      </c>
      <c r="P1503" s="393" t="s">
        <v>827</v>
      </c>
      <c r="Q1503" s="392" t="s">
        <v>923</v>
      </c>
      <c r="R1503" s="392" t="s">
        <v>3491</v>
      </c>
      <c r="S1503" s="392" t="s">
        <v>46</v>
      </c>
      <c r="T1503" s="394">
        <v>1</v>
      </c>
      <c r="U1503" s="395">
        <v>43.5</v>
      </c>
      <c r="V1503" s="395"/>
      <c r="W1503" s="453"/>
      <c r="X1503" s="394"/>
      <c r="Y1503" s="394">
        <v>10</v>
      </c>
      <c r="Z1503" s="394">
        <v>15</v>
      </c>
      <c r="AA1503" s="395">
        <v>0</v>
      </c>
      <c r="AB1503" s="452">
        <v>41640</v>
      </c>
      <c r="AC1503" s="398">
        <v>0</v>
      </c>
      <c r="AD1503" s="398">
        <v>435</v>
      </c>
      <c r="AE1503" s="393" t="s">
        <v>355</v>
      </c>
      <c r="AF1503" s="417"/>
      <c r="AG1503" s="417"/>
      <c r="AH1503" s="417"/>
      <c r="AI1503" s="394"/>
      <c r="AJ1503" s="453"/>
      <c r="AK1503" s="453"/>
      <c r="AL1503" s="393"/>
      <c r="AM1503" s="393"/>
      <c r="AN1503" s="417"/>
      <c r="AO1503" s="392"/>
      <c r="AP1503" s="392"/>
      <c r="AQ1503" s="392"/>
      <c r="AR1503" s="392" t="s">
        <v>882</v>
      </c>
      <c r="AS1503" s="479">
        <v>40577</v>
      </c>
      <c r="AT1503" s="453"/>
      <c r="AU1503" s="453"/>
      <c r="AV1503" s="453"/>
      <c r="AW1503" s="453"/>
      <c r="AX1503" s="453"/>
      <c r="AY1503" s="453"/>
      <c r="AZ1503" s="452">
        <v>41607</v>
      </c>
      <c r="BA1503" s="393"/>
      <c r="BB1503" s="393"/>
      <c r="BC1503" s="393" t="b">
        <v>0</v>
      </c>
      <c r="BD1503" s="393"/>
      <c r="BE1503" s="392"/>
      <c r="BF1503" s="394">
        <v>5</v>
      </c>
      <c r="BG1503" s="394">
        <v>7</v>
      </c>
      <c r="BH1503" s="394">
        <v>8</v>
      </c>
      <c r="BI1503" s="394"/>
      <c r="BJ1503" s="394"/>
      <c r="BK1503" s="394"/>
      <c r="BL1503" s="444" t="s">
        <v>6981</v>
      </c>
      <c r="BM1503" s="392"/>
      <c r="BN1503" s="393"/>
      <c r="BO1503" s="393"/>
      <c r="BP1503" s="399"/>
      <c r="BQ1503" s="400"/>
      <c r="BR1503" s="401"/>
      <c r="BS1503" s="399"/>
      <c r="BT1503" s="394"/>
      <c r="BU1503" s="417">
        <v>0.97699999999999998</v>
      </c>
      <c r="BV1503" s="399"/>
      <c r="BW1503" s="393" t="s">
        <v>3117</v>
      </c>
      <c r="BX1503" s="392" t="s">
        <v>4364</v>
      </c>
      <c r="BY1503" s="393" t="s">
        <v>7224</v>
      </c>
      <c r="BZ1503" s="393"/>
      <c r="CA1503" s="441"/>
      <c r="CB1503" s="400"/>
      <c r="CC1503" s="398"/>
      <c r="CD1503" s="398"/>
      <c r="CE1503" s="398"/>
      <c r="CF1503" s="398"/>
      <c r="CG1503" s="398"/>
      <c r="CH1503" s="398"/>
      <c r="CI1503" s="398">
        <v>41.594999999999999</v>
      </c>
      <c r="CJ1503" s="398">
        <v>43.710999999999999</v>
      </c>
      <c r="CK1503" s="398">
        <v>43.710999999999999</v>
      </c>
      <c r="CL1503" s="398">
        <v>43.710999999999999</v>
      </c>
      <c r="CM1503" s="398">
        <v>43.710999999999999</v>
      </c>
      <c r="CN1503" s="398">
        <v>43.710999999999999</v>
      </c>
      <c r="CO1503" s="398">
        <v>43.710999999999999</v>
      </c>
      <c r="CP1503" s="398">
        <v>43.710999999999999</v>
      </c>
      <c r="CQ1503" s="398">
        <v>43.710999999999999</v>
      </c>
      <c r="CR1503" s="398">
        <v>43.710999999999999</v>
      </c>
      <c r="CS1503" s="398"/>
      <c r="CT1503" s="398"/>
      <c r="CU1503" s="398"/>
      <c r="CV1503" s="398"/>
      <c r="CW1503" s="398"/>
      <c r="CX1503" s="398"/>
      <c r="CY1503" s="398"/>
      <c r="CZ1503" s="398"/>
      <c r="DA1503" s="398"/>
      <c r="DB1503" s="398"/>
      <c r="DC1503" s="398"/>
      <c r="DD1503" s="398"/>
      <c r="DE1503" s="393"/>
      <c r="DF1503" s="393"/>
      <c r="DG1503" s="393"/>
      <c r="DH1503" s="393"/>
      <c r="DI1503" s="393"/>
      <c r="DJ1503" s="393"/>
      <c r="DK1503" s="897"/>
    </row>
    <row r="1504" spans="1:115" ht="51" x14ac:dyDescent="0.2">
      <c r="A1504" s="295">
        <v>1500</v>
      </c>
      <c r="B1504" s="390" t="s">
        <v>3017</v>
      </c>
      <c r="C1504" s="424" t="s">
        <v>7804</v>
      </c>
      <c r="D1504" s="391"/>
      <c r="E1504" s="707" t="s">
        <v>3018</v>
      </c>
      <c r="F1504" s="404" t="s">
        <v>1375</v>
      </c>
      <c r="G1504" s="404" t="s">
        <v>1669</v>
      </c>
      <c r="H1504" s="404" t="s">
        <v>818</v>
      </c>
      <c r="I1504" s="403"/>
      <c r="J1504" s="403" t="s">
        <v>818</v>
      </c>
      <c r="K1504" s="403"/>
      <c r="L1504" s="403" t="s">
        <v>3019</v>
      </c>
      <c r="M1504" s="403" t="s">
        <v>3715</v>
      </c>
      <c r="N1504" s="404" t="s">
        <v>3142</v>
      </c>
      <c r="O1504" s="404" t="s">
        <v>34</v>
      </c>
      <c r="P1504" s="404" t="s">
        <v>34</v>
      </c>
      <c r="Q1504" s="403" t="s">
        <v>1274</v>
      </c>
      <c r="R1504" s="403"/>
      <c r="S1504" s="403" t="s">
        <v>256</v>
      </c>
      <c r="T1504" s="405">
        <v>1</v>
      </c>
      <c r="U1504" s="406">
        <v>8.61</v>
      </c>
      <c r="V1504" s="406"/>
      <c r="W1504" s="456">
        <v>41183</v>
      </c>
      <c r="X1504" s="405">
        <v>28</v>
      </c>
      <c r="Y1504" s="405"/>
      <c r="Z1504" s="405"/>
      <c r="AA1504" s="406"/>
      <c r="AB1504" s="455"/>
      <c r="AC1504" s="407">
        <v>1.43</v>
      </c>
      <c r="AD1504" s="407">
        <v>70.342520547945199</v>
      </c>
      <c r="AE1504" s="404" t="s">
        <v>72</v>
      </c>
      <c r="AF1504" s="418"/>
      <c r="AG1504" s="418"/>
      <c r="AH1504" s="418">
        <v>0</v>
      </c>
      <c r="AI1504" s="405"/>
      <c r="AJ1504" s="455"/>
      <c r="AK1504" s="455"/>
      <c r="AL1504" s="404"/>
      <c r="AM1504" s="404"/>
      <c r="AN1504" s="418"/>
      <c r="AO1504" s="403"/>
      <c r="AP1504" s="403" t="s">
        <v>55</v>
      </c>
      <c r="AQ1504" s="403"/>
      <c r="AR1504" s="403" t="s">
        <v>3020</v>
      </c>
      <c r="AS1504" s="482">
        <v>41129</v>
      </c>
      <c r="AT1504" s="455"/>
      <c r="AU1504" s="455"/>
      <c r="AV1504" s="455"/>
      <c r="AW1504" s="455"/>
      <c r="AX1504" s="455"/>
      <c r="AY1504" s="455"/>
      <c r="AZ1504" s="455"/>
      <c r="BA1504" s="404"/>
      <c r="BB1504" s="404" t="s">
        <v>3147</v>
      </c>
      <c r="BC1504" s="404" t="b">
        <v>0</v>
      </c>
      <c r="BD1504" s="404" t="s">
        <v>3116</v>
      </c>
      <c r="BE1504" s="403"/>
      <c r="BF1504" s="405">
        <v>3</v>
      </c>
      <c r="BG1504" s="405">
        <v>2</v>
      </c>
      <c r="BH1504" s="405">
        <v>9</v>
      </c>
      <c r="BI1504" s="405">
        <v>8</v>
      </c>
      <c r="BJ1504" s="405">
        <v>5</v>
      </c>
      <c r="BK1504" s="405"/>
      <c r="BL1504" s="446"/>
      <c r="BM1504" s="403"/>
      <c r="BN1504" s="404"/>
      <c r="BO1504" s="404"/>
      <c r="BP1504" s="408"/>
      <c r="BQ1504" s="409"/>
      <c r="BR1504" s="410"/>
      <c r="BS1504" s="408">
        <v>0</v>
      </c>
      <c r="BT1504" s="405"/>
      <c r="BU1504" s="418"/>
      <c r="BV1504" s="408"/>
      <c r="BW1504" s="404"/>
      <c r="BX1504" s="403"/>
      <c r="BY1504" s="404"/>
      <c r="BZ1504" s="404"/>
      <c r="CA1504" s="443"/>
      <c r="CB1504" s="409"/>
      <c r="CC1504" s="407"/>
      <c r="CD1504" s="407"/>
      <c r="CE1504" s="407"/>
      <c r="CF1504" s="407"/>
      <c r="CG1504" s="407"/>
      <c r="CH1504" s="407"/>
      <c r="CI1504" s="407"/>
      <c r="CJ1504" s="407"/>
      <c r="CK1504" s="407"/>
      <c r="CL1504" s="407"/>
      <c r="CM1504" s="407"/>
      <c r="CN1504" s="407"/>
      <c r="CO1504" s="407"/>
      <c r="CP1504" s="407"/>
      <c r="CQ1504" s="407"/>
      <c r="CR1504" s="407"/>
      <c r="CS1504" s="407"/>
      <c r="CT1504" s="407"/>
      <c r="CU1504" s="407"/>
      <c r="CV1504" s="407"/>
      <c r="CW1504" s="407"/>
      <c r="CX1504" s="407"/>
      <c r="CY1504" s="407"/>
      <c r="CZ1504" s="407"/>
      <c r="DA1504" s="407"/>
      <c r="DB1504" s="407"/>
      <c r="DC1504" s="407"/>
      <c r="DD1504" s="407"/>
      <c r="DE1504" s="404"/>
      <c r="DF1504" s="404"/>
      <c r="DG1504" s="404"/>
      <c r="DH1504" s="404"/>
      <c r="DI1504" s="404"/>
      <c r="DJ1504" s="404"/>
      <c r="DK1504" s="901"/>
    </row>
    <row r="1505" spans="1:115" ht="38.25" x14ac:dyDescent="0.2">
      <c r="A1505" s="295">
        <v>1501</v>
      </c>
      <c r="B1505" s="390" t="s">
        <v>3021</v>
      </c>
      <c r="C1505" s="390"/>
      <c r="D1505" s="391"/>
      <c r="E1505" s="707" t="s">
        <v>3022</v>
      </c>
      <c r="F1505" s="404" t="s">
        <v>1375</v>
      </c>
      <c r="G1505" s="404" t="s">
        <v>1669</v>
      </c>
      <c r="H1505" s="404" t="s">
        <v>818</v>
      </c>
      <c r="I1505" s="403"/>
      <c r="J1505" s="403"/>
      <c r="K1505" s="403" t="s">
        <v>3023</v>
      </c>
      <c r="L1505" s="403" t="s">
        <v>3019</v>
      </c>
      <c r="M1505" s="403"/>
      <c r="N1505" s="404" t="s">
        <v>3142</v>
      </c>
      <c r="O1505" s="404" t="s">
        <v>34</v>
      </c>
      <c r="P1505" s="404" t="s">
        <v>34</v>
      </c>
      <c r="Q1505" s="403" t="s">
        <v>1274</v>
      </c>
      <c r="R1505" s="403" t="s">
        <v>3716</v>
      </c>
      <c r="S1505" s="403" t="s">
        <v>256</v>
      </c>
      <c r="T1505" s="405">
        <v>1</v>
      </c>
      <c r="U1505" s="406">
        <v>8.61</v>
      </c>
      <c r="V1505" s="406"/>
      <c r="W1505" s="455"/>
      <c r="X1505" s="405"/>
      <c r="Y1505" s="405">
        <v>7</v>
      </c>
      <c r="Z1505" s="405">
        <v>25</v>
      </c>
      <c r="AA1505" s="406">
        <v>0</v>
      </c>
      <c r="AB1505" s="456">
        <v>41214</v>
      </c>
      <c r="AC1505" s="407">
        <v>1.43</v>
      </c>
      <c r="AD1505" s="407">
        <v>70.342520547945199</v>
      </c>
      <c r="AE1505" s="404" t="s">
        <v>72</v>
      </c>
      <c r="AF1505" s="418"/>
      <c r="AG1505" s="418"/>
      <c r="AH1505" s="418"/>
      <c r="AI1505" s="405"/>
      <c r="AJ1505" s="455"/>
      <c r="AK1505" s="455"/>
      <c r="AL1505" s="404"/>
      <c r="AM1505" s="404"/>
      <c r="AN1505" s="418"/>
      <c r="AO1505" s="403"/>
      <c r="AP1505" s="403" t="s">
        <v>55</v>
      </c>
      <c r="AQ1505" s="403"/>
      <c r="AR1505" s="403" t="s">
        <v>3020</v>
      </c>
      <c r="AS1505" s="482">
        <v>41129</v>
      </c>
      <c r="AT1505" s="455"/>
      <c r="AU1505" s="455"/>
      <c r="AV1505" s="455"/>
      <c r="AW1505" s="455"/>
      <c r="AX1505" s="455"/>
      <c r="AY1505" s="455"/>
      <c r="AZ1505" s="455"/>
      <c r="BA1505" s="404"/>
      <c r="BB1505" s="404"/>
      <c r="BC1505" s="404" t="b">
        <v>0</v>
      </c>
      <c r="BD1505" s="404"/>
      <c r="BE1505" s="403"/>
      <c r="BF1505" s="405">
        <v>3</v>
      </c>
      <c r="BG1505" s="405">
        <v>2</v>
      </c>
      <c r="BH1505" s="405">
        <v>9</v>
      </c>
      <c r="BI1505" s="405">
        <v>8</v>
      </c>
      <c r="BJ1505" s="405">
        <v>5</v>
      </c>
      <c r="BK1505" s="405"/>
      <c r="BL1505" s="446" t="s">
        <v>6981</v>
      </c>
      <c r="BM1505" s="403"/>
      <c r="BN1505" s="404"/>
      <c r="BO1505" s="404"/>
      <c r="BP1505" s="408"/>
      <c r="BQ1505" s="409"/>
      <c r="BR1505" s="410"/>
      <c r="BS1505" s="408"/>
      <c r="BT1505" s="405"/>
      <c r="BU1505" s="418"/>
      <c r="BV1505" s="408">
        <v>8.9</v>
      </c>
      <c r="BW1505" s="404" t="s">
        <v>3117</v>
      </c>
      <c r="BX1505" s="403" t="s">
        <v>1447</v>
      </c>
      <c r="BY1505" s="404"/>
      <c r="BZ1505" s="404"/>
      <c r="CA1505" s="443" t="s">
        <v>1663</v>
      </c>
      <c r="CB1505" s="409">
        <v>5</v>
      </c>
      <c r="CC1505" s="407"/>
      <c r="CD1505" s="407"/>
      <c r="CE1505" s="407"/>
      <c r="CF1505" s="407"/>
      <c r="CG1505" s="407"/>
      <c r="CH1505" s="407"/>
      <c r="CI1505" s="407">
        <v>8.61</v>
      </c>
      <c r="CJ1505" s="407">
        <v>8.61</v>
      </c>
      <c r="CK1505" s="407">
        <v>8.61</v>
      </c>
      <c r="CL1505" s="407">
        <v>8.61</v>
      </c>
      <c r="CM1505" s="407">
        <v>8.61</v>
      </c>
      <c r="CN1505" s="407">
        <v>8.61</v>
      </c>
      <c r="CO1505" s="407">
        <v>8.61</v>
      </c>
      <c r="CP1505" s="407"/>
      <c r="CQ1505" s="407"/>
      <c r="CR1505" s="407"/>
      <c r="CS1505" s="407"/>
      <c r="CT1505" s="407"/>
      <c r="CU1505" s="407"/>
      <c r="CV1505" s="407"/>
      <c r="CW1505" s="407"/>
      <c r="CX1505" s="407"/>
      <c r="CY1505" s="407"/>
      <c r="CZ1505" s="407"/>
      <c r="DA1505" s="407"/>
      <c r="DB1505" s="407"/>
      <c r="DC1505" s="407"/>
      <c r="DD1505" s="407"/>
      <c r="DE1505" s="404"/>
      <c r="DF1505" s="404"/>
      <c r="DG1505" s="404"/>
      <c r="DH1505" s="404"/>
      <c r="DI1505" s="404"/>
      <c r="DJ1505" s="404"/>
      <c r="DK1505" s="897"/>
    </row>
    <row r="1506" spans="1:115" ht="51" x14ac:dyDescent="0.2">
      <c r="A1506" s="295">
        <v>1502</v>
      </c>
      <c r="B1506" s="390" t="s">
        <v>3024</v>
      </c>
      <c r="C1506" s="424" t="s">
        <v>7805</v>
      </c>
      <c r="D1506" s="391"/>
      <c r="E1506" s="707" t="s">
        <v>3025</v>
      </c>
      <c r="F1506" s="404" t="s">
        <v>1352</v>
      </c>
      <c r="G1506" s="404" t="s">
        <v>1673</v>
      </c>
      <c r="H1506" s="404" t="s">
        <v>42</v>
      </c>
      <c r="I1506" s="403"/>
      <c r="J1506" s="403" t="s">
        <v>42</v>
      </c>
      <c r="K1506" s="403"/>
      <c r="L1506" s="403" t="s">
        <v>3026</v>
      </c>
      <c r="M1506" s="403" t="s">
        <v>3717</v>
      </c>
      <c r="N1506" s="404" t="s">
        <v>3142</v>
      </c>
      <c r="O1506" s="404" t="s">
        <v>34</v>
      </c>
      <c r="P1506" s="404" t="s">
        <v>34</v>
      </c>
      <c r="Q1506" s="403" t="s">
        <v>1096</v>
      </c>
      <c r="R1506" s="403"/>
      <c r="S1506" s="403" t="s">
        <v>256</v>
      </c>
      <c r="T1506" s="405">
        <v>1</v>
      </c>
      <c r="U1506" s="406">
        <v>2.214</v>
      </c>
      <c r="V1506" s="406"/>
      <c r="W1506" s="456">
        <v>41044</v>
      </c>
      <c r="X1506" s="405">
        <v>28</v>
      </c>
      <c r="Y1506" s="405"/>
      <c r="Z1506" s="405"/>
      <c r="AA1506" s="406"/>
      <c r="AB1506" s="455"/>
      <c r="AC1506" s="407">
        <v>0</v>
      </c>
      <c r="AD1506" s="407">
        <v>22.14</v>
      </c>
      <c r="AE1506" s="404" t="s">
        <v>96</v>
      </c>
      <c r="AF1506" s="418"/>
      <c r="AG1506" s="418"/>
      <c r="AH1506" s="418">
        <v>0</v>
      </c>
      <c r="AI1506" s="405"/>
      <c r="AJ1506" s="455"/>
      <c r="AK1506" s="455"/>
      <c r="AL1506" s="404"/>
      <c r="AM1506" s="404"/>
      <c r="AN1506" s="418"/>
      <c r="AO1506" s="403"/>
      <c r="AP1506" s="403" t="s">
        <v>55</v>
      </c>
      <c r="AQ1506" s="403"/>
      <c r="AR1506" s="403" t="s">
        <v>55</v>
      </c>
      <c r="AS1506" s="482">
        <v>41132</v>
      </c>
      <c r="AT1506" s="455"/>
      <c r="AU1506" s="455"/>
      <c r="AV1506" s="455"/>
      <c r="AW1506" s="455"/>
      <c r="AX1506" s="455"/>
      <c r="AY1506" s="455"/>
      <c r="AZ1506" s="455"/>
      <c r="BA1506" s="404"/>
      <c r="BB1506" s="404" t="s">
        <v>3116</v>
      </c>
      <c r="BC1506" s="404" t="b">
        <v>0</v>
      </c>
      <c r="BD1506" s="404" t="s">
        <v>3147</v>
      </c>
      <c r="BE1506" s="403"/>
      <c r="BF1506" s="405">
        <v>2</v>
      </c>
      <c r="BG1506" s="405">
        <v>9</v>
      </c>
      <c r="BH1506" s="405">
        <v>7</v>
      </c>
      <c r="BI1506" s="405">
        <v>5</v>
      </c>
      <c r="BJ1506" s="405"/>
      <c r="BK1506" s="405"/>
      <c r="BL1506" s="446"/>
      <c r="BM1506" s="403"/>
      <c r="BN1506" s="404"/>
      <c r="BO1506" s="404"/>
      <c r="BP1506" s="408"/>
      <c r="BQ1506" s="409"/>
      <c r="BR1506" s="410"/>
      <c r="BS1506" s="408">
        <v>0</v>
      </c>
      <c r="BT1506" s="405"/>
      <c r="BU1506" s="418"/>
      <c r="BV1506" s="408"/>
      <c r="BW1506" s="404"/>
      <c r="BX1506" s="403"/>
      <c r="BY1506" s="404"/>
      <c r="BZ1506" s="404"/>
      <c r="CA1506" s="443"/>
      <c r="CB1506" s="409"/>
      <c r="CC1506" s="407"/>
      <c r="CD1506" s="407"/>
      <c r="CE1506" s="407"/>
      <c r="CF1506" s="407"/>
      <c r="CG1506" s="407"/>
      <c r="CH1506" s="407"/>
      <c r="CI1506" s="407"/>
      <c r="CJ1506" s="407"/>
      <c r="CK1506" s="407"/>
      <c r="CL1506" s="407"/>
      <c r="CM1506" s="407"/>
      <c r="CN1506" s="407"/>
      <c r="CO1506" s="407"/>
      <c r="CP1506" s="407"/>
      <c r="CQ1506" s="407"/>
      <c r="CR1506" s="407"/>
      <c r="CS1506" s="407"/>
      <c r="CT1506" s="407"/>
      <c r="CU1506" s="407"/>
      <c r="CV1506" s="407"/>
      <c r="CW1506" s="407"/>
      <c r="CX1506" s="407"/>
      <c r="CY1506" s="407"/>
      <c r="CZ1506" s="407"/>
      <c r="DA1506" s="407"/>
      <c r="DB1506" s="407"/>
      <c r="DC1506" s="407"/>
      <c r="DD1506" s="407"/>
      <c r="DE1506" s="404"/>
      <c r="DF1506" s="404"/>
      <c r="DG1506" s="404"/>
      <c r="DH1506" s="404"/>
      <c r="DI1506" s="404"/>
      <c r="DJ1506" s="404"/>
      <c r="DK1506" s="901"/>
    </row>
    <row r="1507" spans="1:115" ht="25.5" x14ac:dyDescent="0.2">
      <c r="A1507" s="295">
        <v>1503</v>
      </c>
      <c r="B1507" s="390" t="s">
        <v>3027</v>
      </c>
      <c r="C1507" s="390"/>
      <c r="D1507" s="391"/>
      <c r="E1507" s="707" t="s">
        <v>3028</v>
      </c>
      <c r="F1507" s="404" t="s">
        <v>1352</v>
      </c>
      <c r="G1507" s="404" t="s">
        <v>1673</v>
      </c>
      <c r="H1507" s="404" t="s">
        <v>42</v>
      </c>
      <c r="I1507" s="403"/>
      <c r="J1507" s="403"/>
      <c r="K1507" s="403" t="s">
        <v>464</v>
      </c>
      <c r="L1507" s="403" t="s">
        <v>3026</v>
      </c>
      <c r="M1507" s="403"/>
      <c r="N1507" s="404" t="s">
        <v>3142</v>
      </c>
      <c r="O1507" s="404" t="s">
        <v>34</v>
      </c>
      <c r="P1507" s="404" t="s">
        <v>34</v>
      </c>
      <c r="Q1507" s="403" t="s">
        <v>1096</v>
      </c>
      <c r="R1507" s="403" t="s">
        <v>3718</v>
      </c>
      <c r="S1507" s="403" t="s">
        <v>256</v>
      </c>
      <c r="T1507" s="405">
        <v>1</v>
      </c>
      <c r="U1507" s="406">
        <v>2.214</v>
      </c>
      <c r="V1507" s="406"/>
      <c r="W1507" s="455"/>
      <c r="X1507" s="405"/>
      <c r="Y1507" s="405">
        <v>10</v>
      </c>
      <c r="Z1507" s="405">
        <v>11</v>
      </c>
      <c r="AA1507" s="406">
        <v>0</v>
      </c>
      <c r="AB1507" s="456">
        <v>41365</v>
      </c>
      <c r="AC1507" s="407">
        <v>0</v>
      </c>
      <c r="AD1507" s="407">
        <v>22.14</v>
      </c>
      <c r="AE1507" s="404" t="s">
        <v>96</v>
      </c>
      <c r="AF1507" s="418"/>
      <c r="AG1507" s="418"/>
      <c r="AH1507" s="418"/>
      <c r="AI1507" s="405"/>
      <c r="AJ1507" s="455"/>
      <c r="AK1507" s="455"/>
      <c r="AL1507" s="404"/>
      <c r="AM1507" s="404"/>
      <c r="AN1507" s="418"/>
      <c r="AO1507" s="403"/>
      <c r="AP1507" s="403" t="s">
        <v>55</v>
      </c>
      <c r="AQ1507" s="403"/>
      <c r="AR1507" s="403" t="s">
        <v>55</v>
      </c>
      <c r="AS1507" s="482">
        <v>41132</v>
      </c>
      <c r="AT1507" s="455"/>
      <c r="AU1507" s="455"/>
      <c r="AV1507" s="455"/>
      <c r="AW1507" s="455"/>
      <c r="AX1507" s="455"/>
      <c r="AY1507" s="455"/>
      <c r="AZ1507" s="455"/>
      <c r="BA1507" s="404"/>
      <c r="BB1507" s="404"/>
      <c r="BC1507" s="404" t="b">
        <v>0</v>
      </c>
      <c r="BD1507" s="404"/>
      <c r="BE1507" s="403"/>
      <c r="BF1507" s="405">
        <v>2</v>
      </c>
      <c r="BG1507" s="405">
        <v>9</v>
      </c>
      <c r="BH1507" s="405">
        <v>7</v>
      </c>
      <c r="BI1507" s="405">
        <v>5</v>
      </c>
      <c r="BJ1507" s="405"/>
      <c r="BK1507" s="405"/>
      <c r="BL1507" s="446" t="s">
        <v>6981</v>
      </c>
      <c r="BM1507" s="403"/>
      <c r="BN1507" s="404"/>
      <c r="BO1507" s="404"/>
      <c r="BP1507" s="408"/>
      <c r="BQ1507" s="409"/>
      <c r="BR1507" s="410"/>
      <c r="BS1507" s="408"/>
      <c r="BT1507" s="405"/>
      <c r="BU1507" s="418"/>
      <c r="BV1507" s="408">
        <v>1.93</v>
      </c>
      <c r="BW1507" s="404" t="s">
        <v>3117</v>
      </c>
      <c r="BX1507" s="403" t="s">
        <v>3177</v>
      </c>
      <c r="BY1507" s="404" t="s">
        <v>7224</v>
      </c>
      <c r="BZ1507" s="404"/>
      <c r="CA1507" s="443"/>
      <c r="CB1507" s="409"/>
      <c r="CC1507" s="407"/>
      <c r="CD1507" s="407"/>
      <c r="CE1507" s="407"/>
      <c r="CF1507" s="407"/>
      <c r="CG1507" s="407"/>
      <c r="CH1507" s="407"/>
      <c r="CI1507" s="407">
        <v>2.214</v>
      </c>
      <c r="CJ1507" s="407">
        <v>2.214</v>
      </c>
      <c r="CK1507" s="407">
        <v>2.214</v>
      </c>
      <c r="CL1507" s="407">
        <v>2.214</v>
      </c>
      <c r="CM1507" s="407">
        <v>2.214</v>
      </c>
      <c r="CN1507" s="407">
        <v>2.214</v>
      </c>
      <c r="CO1507" s="407">
        <v>2.214</v>
      </c>
      <c r="CP1507" s="407">
        <v>2.214</v>
      </c>
      <c r="CQ1507" s="407">
        <v>2.214</v>
      </c>
      <c r="CR1507" s="407">
        <v>2.214</v>
      </c>
      <c r="CS1507" s="407"/>
      <c r="CT1507" s="407"/>
      <c r="CU1507" s="407"/>
      <c r="CV1507" s="407"/>
      <c r="CW1507" s="407"/>
      <c r="CX1507" s="407"/>
      <c r="CY1507" s="407"/>
      <c r="CZ1507" s="407"/>
      <c r="DA1507" s="407"/>
      <c r="DB1507" s="407"/>
      <c r="DC1507" s="407"/>
      <c r="DD1507" s="407"/>
      <c r="DE1507" s="404"/>
      <c r="DF1507" s="404"/>
      <c r="DG1507" s="404"/>
      <c r="DH1507" s="404"/>
      <c r="DI1507" s="404"/>
      <c r="DJ1507" s="404"/>
      <c r="DK1507" s="897"/>
    </row>
    <row r="1508" spans="1:115" ht="38.25" x14ac:dyDescent="0.2">
      <c r="A1508" s="295">
        <v>1504</v>
      </c>
      <c r="B1508" s="390" t="s">
        <v>3029</v>
      </c>
      <c r="C1508" s="424" t="s">
        <v>7806</v>
      </c>
      <c r="D1508" s="391"/>
      <c r="E1508" s="707" t="s">
        <v>3030</v>
      </c>
      <c r="F1508" s="404" t="s">
        <v>1375</v>
      </c>
      <c r="G1508" s="404" t="s">
        <v>998</v>
      </c>
      <c r="H1508" s="404" t="s">
        <v>1059</v>
      </c>
      <c r="I1508" s="403"/>
      <c r="J1508" s="403" t="s">
        <v>1059</v>
      </c>
      <c r="K1508" s="403"/>
      <c r="L1508" s="403" t="s">
        <v>3031</v>
      </c>
      <c r="M1508" s="403" t="s">
        <v>3719</v>
      </c>
      <c r="N1508" s="404" t="s">
        <v>3142</v>
      </c>
      <c r="O1508" s="404" t="s">
        <v>34</v>
      </c>
      <c r="P1508" s="404" t="s">
        <v>34</v>
      </c>
      <c r="Q1508" s="403" t="s">
        <v>1145</v>
      </c>
      <c r="R1508" s="403"/>
      <c r="S1508" s="403" t="s">
        <v>912</v>
      </c>
      <c r="T1508" s="405">
        <v>1</v>
      </c>
      <c r="U1508" s="406">
        <v>13.895</v>
      </c>
      <c r="V1508" s="406"/>
      <c r="W1508" s="456">
        <v>41127</v>
      </c>
      <c r="X1508" s="405">
        <v>28</v>
      </c>
      <c r="Y1508" s="405"/>
      <c r="Z1508" s="405"/>
      <c r="AA1508" s="406"/>
      <c r="AB1508" s="455"/>
      <c r="AC1508" s="407">
        <v>0.48</v>
      </c>
      <c r="AD1508" s="407">
        <v>116.52765753424657</v>
      </c>
      <c r="AE1508" s="404" t="s">
        <v>54</v>
      </c>
      <c r="AF1508" s="418"/>
      <c r="AG1508" s="418"/>
      <c r="AH1508" s="418">
        <v>0</v>
      </c>
      <c r="AI1508" s="405"/>
      <c r="AJ1508" s="455"/>
      <c r="AK1508" s="455"/>
      <c r="AL1508" s="404"/>
      <c r="AM1508" s="404"/>
      <c r="AN1508" s="418"/>
      <c r="AO1508" s="403"/>
      <c r="AP1508" s="403" t="s">
        <v>55</v>
      </c>
      <c r="AQ1508" s="403"/>
      <c r="AR1508" s="403" t="s">
        <v>55</v>
      </c>
      <c r="AS1508" s="482">
        <v>41135</v>
      </c>
      <c r="AT1508" s="455"/>
      <c r="AU1508" s="455"/>
      <c r="AV1508" s="455"/>
      <c r="AW1508" s="455"/>
      <c r="AX1508" s="455"/>
      <c r="AY1508" s="455"/>
      <c r="AZ1508" s="455"/>
      <c r="BA1508" s="404"/>
      <c r="BB1508" s="404" t="s">
        <v>3116</v>
      </c>
      <c r="BC1508" s="404" t="b">
        <v>0</v>
      </c>
      <c r="BD1508" s="404" t="s">
        <v>3147</v>
      </c>
      <c r="BE1508" s="403"/>
      <c r="BF1508" s="405">
        <v>4</v>
      </c>
      <c r="BG1508" s="405">
        <v>1</v>
      </c>
      <c r="BH1508" s="405">
        <v>6</v>
      </c>
      <c r="BI1508" s="405">
        <v>8</v>
      </c>
      <c r="BJ1508" s="405">
        <v>9</v>
      </c>
      <c r="BK1508" s="405">
        <v>5</v>
      </c>
      <c r="BL1508" s="446"/>
      <c r="BM1508" s="403"/>
      <c r="BN1508" s="404"/>
      <c r="BO1508" s="404"/>
      <c r="BP1508" s="408"/>
      <c r="BQ1508" s="409"/>
      <c r="BR1508" s="410"/>
      <c r="BS1508" s="408">
        <v>0</v>
      </c>
      <c r="BT1508" s="405"/>
      <c r="BU1508" s="418"/>
      <c r="BV1508" s="408"/>
      <c r="BW1508" s="404"/>
      <c r="BX1508" s="403"/>
      <c r="BY1508" s="404"/>
      <c r="BZ1508" s="404"/>
      <c r="CA1508" s="443"/>
      <c r="CB1508" s="409"/>
      <c r="CC1508" s="407"/>
      <c r="CD1508" s="407"/>
      <c r="CE1508" s="407"/>
      <c r="CF1508" s="407"/>
      <c r="CG1508" s="407"/>
      <c r="CH1508" s="407"/>
      <c r="CI1508" s="407"/>
      <c r="CJ1508" s="407"/>
      <c r="CK1508" s="407"/>
      <c r="CL1508" s="407"/>
      <c r="CM1508" s="407"/>
      <c r="CN1508" s="407"/>
      <c r="CO1508" s="407"/>
      <c r="CP1508" s="407"/>
      <c r="CQ1508" s="407"/>
      <c r="CR1508" s="407"/>
      <c r="CS1508" s="407"/>
      <c r="CT1508" s="407"/>
      <c r="CU1508" s="407"/>
      <c r="CV1508" s="407"/>
      <c r="CW1508" s="407"/>
      <c r="CX1508" s="407"/>
      <c r="CY1508" s="407"/>
      <c r="CZ1508" s="407"/>
      <c r="DA1508" s="407"/>
      <c r="DB1508" s="407"/>
      <c r="DC1508" s="407"/>
      <c r="DD1508" s="407"/>
      <c r="DE1508" s="404"/>
      <c r="DF1508" s="404"/>
      <c r="DG1508" s="404"/>
      <c r="DH1508" s="404"/>
      <c r="DI1508" s="404"/>
      <c r="DJ1508" s="404"/>
      <c r="DK1508" s="901"/>
    </row>
    <row r="1509" spans="1:115" ht="25.5" x14ac:dyDescent="0.2">
      <c r="A1509" s="295">
        <v>1505</v>
      </c>
      <c r="B1509" s="390" t="s">
        <v>3032</v>
      </c>
      <c r="C1509" s="390"/>
      <c r="D1509" s="391"/>
      <c r="E1509" s="707" t="s">
        <v>3033</v>
      </c>
      <c r="F1509" s="404" t="s">
        <v>1375</v>
      </c>
      <c r="G1509" s="404" t="s">
        <v>998</v>
      </c>
      <c r="H1509" s="404" t="s">
        <v>1059</v>
      </c>
      <c r="I1509" s="403"/>
      <c r="J1509" s="403"/>
      <c r="K1509" s="403" t="s">
        <v>3034</v>
      </c>
      <c r="L1509" s="403" t="s">
        <v>3031</v>
      </c>
      <c r="M1509" s="403"/>
      <c r="N1509" s="404" t="s">
        <v>3142</v>
      </c>
      <c r="O1509" s="404" t="s">
        <v>34</v>
      </c>
      <c r="P1509" s="404" t="s">
        <v>34</v>
      </c>
      <c r="Q1509" s="403" t="s">
        <v>1145</v>
      </c>
      <c r="R1509" s="403" t="s">
        <v>3720</v>
      </c>
      <c r="S1509" s="403" t="s">
        <v>912</v>
      </c>
      <c r="T1509" s="405">
        <v>1</v>
      </c>
      <c r="U1509" s="406">
        <v>13.895</v>
      </c>
      <c r="V1509" s="406"/>
      <c r="W1509" s="455"/>
      <c r="X1509" s="405"/>
      <c r="Y1509" s="405">
        <v>7</v>
      </c>
      <c r="Z1509" s="405">
        <v>21</v>
      </c>
      <c r="AA1509" s="406">
        <v>3.2530000000000001</v>
      </c>
      <c r="AB1509" s="456">
        <v>41135</v>
      </c>
      <c r="AC1509" s="407">
        <v>0.48</v>
      </c>
      <c r="AD1509" s="407">
        <v>116.52765753424657</v>
      </c>
      <c r="AE1509" s="404" t="s">
        <v>54</v>
      </c>
      <c r="AF1509" s="418"/>
      <c r="AG1509" s="418"/>
      <c r="AH1509" s="418"/>
      <c r="AI1509" s="405"/>
      <c r="AJ1509" s="455"/>
      <c r="AK1509" s="455"/>
      <c r="AL1509" s="404"/>
      <c r="AM1509" s="404"/>
      <c r="AN1509" s="418"/>
      <c r="AO1509" s="403"/>
      <c r="AP1509" s="403" t="s">
        <v>55</v>
      </c>
      <c r="AQ1509" s="403"/>
      <c r="AR1509" s="403" t="s">
        <v>55</v>
      </c>
      <c r="AS1509" s="482">
        <v>41135</v>
      </c>
      <c r="AT1509" s="455"/>
      <c r="AU1509" s="455"/>
      <c r="AV1509" s="455"/>
      <c r="AW1509" s="455"/>
      <c r="AX1509" s="455"/>
      <c r="AY1509" s="455"/>
      <c r="AZ1509" s="455"/>
      <c r="BA1509" s="404"/>
      <c r="BB1509" s="404"/>
      <c r="BC1509" s="404" t="b">
        <v>0</v>
      </c>
      <c r="BD1509" s="404"/>
      <c r="BE1509" s="403"/>
      <c r="BF1509" s="405">
        <v>4</v>
      </c>
      <c r="BG1509" s="405">
        <v>1</v>
      </c>
      <c r="BH1509" s="405">
        <v>6</v>
      </c>
      <c r="BI1509" s="405">
        <v>8</v>
      </c>
      <c r="BJ1509" s="405">
        <v>9</v>
      </c>
      <c r="BK1509" s="405">
        <v>5</v>
      </c>
      <c r="BL1509" s="446" t="s">
        <v>6981</v>
      </c>
      <c r="BM1509" s="403"/>
      <c r="BN1509" s="404"/>
      <c r="BO1509" s="404"/>
      <c r="BP1509" s="408"/>
      <c r="BQ1509" s="409"/>
      <c r="BR1509" s="410"/>
      <c r="BS1509" s="408"/>
      <c r="BT1509" s="405"/>
      <c r="BU1509" s="418"/>
      <c r="BV1509" s="408"/>
      <c r="BW1509" s="404" t="s">
        <v>3117</v>
      </c>
      <c r="BX1509" s="403" t="s">
        <v>4364</v>
      </c>
      <c r="BY1509" s="404" t="s">
        <v>7224</v>
      </c>
      <c r="BZ1509" s="404"/>
      <c r="CA1509" s="443"/>
      <c r="CB1509" s="409"/>
      <c r="CC1509" s="407"/>
      <c r="CD1509" s="407"/>
      <c r="CE1509" s="407"/>
      <c r="CF1509" s="407"/>
      <c r="CG1509" s="407"/>
      <c r="CH1509" s="407">
        <v>0.48</v>
      </c>
      <c r="CI1509" s="407">
        <v>4.798</v>
      </c>
      <c r="CJ1509" s="407">
        <v>11.994</v>
      </c>
      <c r="CK1509" s="407">
        <v>19.998999999999999</v>
      </c>
      <c r="CL1509" s="407">
        <v>19.998999999999999</v>
      </c>
      <c r="CM1509" s="407">
        <v>19.998999999999999</v>
      </c>
      <c r="CN1509" s="407">
        <v>19.998999999999999</v>
      </c>
      <c r="CO1509" s="407"/>
      <c r="CP1509" s="407"/>
      <c r="CQ1509" s="407"/>
      <c r="CR1509" s="407"/>
      <c r="CS1509" s="407"/>
      <c r="CT1509" s="407"/>
      <c r="CU1509" s="407"/>
      <c r="CV1509" s="407"/>
      <c r="CW1509" s="407"/>
      <c r="CX1509" s="407"/>
      <c r="CY1509" s="407"/>
      <c r="CZ1509" s="407"/>
      <c r="DA1509" s="407"/>
      <c r="DB1509" s="407"/>
      <c r="DC1509" s="407"/>
      <c r="DD1509" s="407"/>
      <c r="DE1509" s="404"/>
      <c r="DF1509" s="404"/>
      <c r="DG1509" s="404"/>
      <c r="DH1509" s="404"/>
      <c r="DI1509" s="404"/>
      <c r="DJ1509" s="404"/>
      <c r="DK1509" s="897"/>
    </row>
    <row r="1510" spans="1:115" ht="63.75" x14ac:dyDescent="0.2">
      <c r="A1510" s="295">
        <v>1506</v>
      </c>
      <c r="B1510" s="390" t="s">
        <v>3035</v>
      </c>
      <c r="C1510" s="424" t="s">
        <v>7807</v>
      </c>
      <c r="D1510" s="391"/>
      <c r="E1510" s="707" t="s">
        <v>3036</v>
      </c>
      <c r="F1510" s="404" t="s">
        <v>1352</v>
      </c>
      <c r="G1510" s="404" t="s">
        <v>1361</v>
      </c>
      <c r="H1510" s="404" t="s">
        <v>42</v>
      </c>
      <c r="I1510" s="403"/>
      <c r="J1510" s="403" t="s">
        <v>42</v>
      </c>
      <c r="K1510" s="403"/>
      <c r="L1510" s="403" t="s">
        <v>3026</v>
      </c>
      <c r="M1510" s="403" t="s">
        <v>3721</v>
      </c>
      <c r="N1510" s="404" t="s">
        <v>3142</v>
      </c>
      <c r="O1510" s="404" t="s">
        <v>51</v>
      </c>
      <c r="P1510" s="404" t="s">
        <v>51</v>
      </c>
      <c r="Q1510" s="403" t="s">
        <v>426</v>
      </c>
      <c r="R1510" s="403"/>
      <c r="S1510" s="403" t="s">
        <v>427</v>
      </c>
      <c r="T1510" s="405">
        <v>1</v>
      </c>
      <c r="U1510" s="406">
        <v>1.569</v>
      </c>
      <c r="V1510" s="406"/>
      <c r="W1510" s="456">
        <v>41044</v>
      </c>
      <c r="X1510" s="405">
        <v>28</v>
      </c>
      <c r="Y1510" s="405"/>
      <c r="Z1510" s="405"/>
      <c r="AA1510" s="406"/>
      <c r="AB1510" s="455"/>
      <c r="AC1510" s="407">
        <v>0</v>
      </c>
      <c r="AD1510" s="407">
        <v>12.169421917808219</v>
      </c>
      <c r="AE1510" s="404" t="s">
        <v>96</v>
      </c>
      <c r="AF1510" s="418"/>
      <c r="AG1510" s="418"/>
      <c r="AH1510" s="418">
        <v>0</v>
      </c>
      <c r="AI1510" s="405"/>
      <c r="AJ1510" s="455"/>
      <c r="AK1510" s="455"/>
      <c r="AL1510" s="404"/>
      <c r="AM1510" s="404"/>
      <c r="AN1510" s="418"/>
      <c r="AO1510" s="403"/>
      <c r="AP1510" s="403" t="s">
        <v>55</v>
      </c>
      <c r="AQ1510" s="403"/>
      <c r="AR1510" s="403" t="s">
        <v>55</v>
      </c>
      <c r="AS1510" s="482">
        <v>41135</v>
      </c>
      <c r="AT1510" s="455"/>
      <c r="AU1510" s="455"/>
      <c r="AV1510" s="455"/>
      <c r="AW1510" s="455"/>
      <c r="AX1510" s="455"/>
      <c r="AY1510" s="455"/>
      <c r="AZ1510" s="455"/>
      <c r="BA1510" s="404"/>
      <c r="BB1510" s="404" t="s">
        <v>3116</v>
      </c>
      <c r="BC1510" s="404" t="b">
        <v>0</v>
      </c>
      <c r="BD1510" s="404" t="s">
        <v>3147</v>
      </c>
      <c r="BE1510" s="403"/>
      <c r="BF1510" s="405">
        <v>9</v>
      </c>
      <c r="BG1510" s="405">
        <v>7</v>
      </c>
      <c r="BH1510" s="405">
        <v>5</v>
      </c>
      <c r="BI1510" s="405">
        <v>11</v>
      </c>
      <c r="BJ1510" s="405"/>
      <c r="BK1510" s="405"/>
      <c r="BL1510" s="446"/>
      <c r="BM1510" s="403"/>
      <c r="BN1510" s="404"/>
      <c r="BO1510" s="404"/>
      <c r="BP1510" s="408"/>
      <c r="BQ1510" s="409"/>
      <c r="BR1510" s="410"/>
      <c r="BS1510" s="408">
        <v>0</v>
      </c>
      <c r="BT1510" s="405"/>
      <c r="BU1510" s="418"/>
      <c r="BV1510" s="408"/>
      <c r="BW1510" s="404"/>
      <c r="BX1510" s="403"/>
      <c r="BY1510" s="404"/>
      <c r="BZ1510" s="404"/>
      <c r="CA1510" s="443"/>
      <c r="CB1510" s="409"/>
      <c r="CC1510" s="407"/>
      <c r="CD1510" s="407"/>
      <c r="CE1510" s="407"/>
      <c r="CF1510" s="407"/>
      <c r="CG1510" s="407"/>
      <c r="CH1510" s="407"/>
      <c r="CI1510" s="407"/>
      <c r="CJ1510" s="407"/>
      <c r="CK1510" s="407"/>
      <c r="CL1510" s="407"/>
      <c r="CM1510" s="407"/>
      <c r="CN1510" s="407"/>
      <c r="CO1510" s="407"/>
      <c r="CP1510" s="407"/>
      <c r="CQ1510" s="407"/>
      <c r="CR1510" s="407"/>
      <c r="CS1510" s="407"/>
      <c r="CT1510" s="407"/>
      <c r="CU1510" s="407"/>
      <c r="CV1510" s="407"/>
      <c r="CW1510" s="407"/>
      <c r="CX1510" s="407"/>
      <c r="CY1510" s="407"/>
      <c r="CZ1510" s="407"/>
      <c r="DA1510" s="407"/>
      <c r="DB1510" s="407"/>
      <c r="DC1510" s="407"/>
      <c r="DD1510" s="407"/>
      <c r="DE1510" s="404"/>
      <c r="DF1510" s="404"/>
      <c r="DG1510" s="404"/>
      <c r="DH1510" s="404"/>
      <c r="DI1510" s="404"/>
      <c r="DJ1510" s="404"/>
      <c r="DK1510" s="901"/>
    </row>
    <row r="1511" spans="1:115" ht="15" x14ac:dyDescent="0.2">
      <c r="A1511" s="295">
        <v>1507</v>
      </c>
      <c r="B1511" s="390" t="s">
        <v>3037</v>
      </c>
      <c r="C1511" s="390"/>
      <c r="D1511" s="391"/>
      <c r="E1511" s="707" t="s">
        <v>3038</v>
      </c>
      <c r="F1511" s="404" t="s">
        <v>1352</v>
      </c>
      <c r="G1511" s="404" t="s">
        <v>1361</v>
      </c>
      <c r="H1511" s="404" t="s">
        <v>42</v>
      </c>
      <c r="I1511" s="403"/>
      <c r="J1511" s="403"/>
      <c r="K1511" s="403" t="s">
        <v>3039</v>
      </c>
      <c r="L1511" s="403" t="s">
        <v>3026</v>
      </c>
      <c r="M1511" s="403"/>
      <c r="N1511" s="404" t="s">
        <v>3142</v>
      </c>
      <c r="O1511" s="404" t="s">
        <v>51</v>
      </c>
      <c r="P1511" s="404" t="s">
        <v>51</v>
      </c>
      <c r="Q1511" s="403" t="s">
        <v>426</v>
      </c>
      <c r="R1511" s="403" t="s">
        <v>3722</v>
      </c>
      <c r="S1511" s="403" t="s">
        <v>427</v>
      </c>
      <c r="T1511" s="405">
        <v>1</v>
      </c>
      <c r="U1511" s="406">
        <v>1.569</v>
      </c>
      <c r="V1511" s="406"/>
      <c r="W1511" s="455"/>
      <c r="X1511" s="405"/>
      <c r="Y1511" s="405">
        <v>7</v>
      </c>
      <c r="Z1511" s="405">
        <v>8</v>
      </c>
      <c r="AA1511" s="406">
        <v>-0.23599999999999999</v>
      </c>
      <c r="AB1511" s="456">
        <v>41365</v>
      </c>
      <c r="AC1511" s="407">
        <v>0</v>
      </c>
      <c r="AD1511" s="407">
        <v>12.169421917808219</v>
      </c>
      <c r="AE1511" s="404" t="s">
        <v>96</v>
      </c>
      <c r="AF1511" s="418"/>
      <c r="AG1511" s="418"/>
      <c r="AH1511" s="418"/>
      <c r="AI1511" s="405"/>
      <c r="AJ1511" s="455"/>
      <c r="AK1511" s="455"/>
      <c r="AL1511" s="404"/>
      <c r="AM1511" s="404"/>
      <c r="AN1511" s="418"/>
      <c r="AO1511" s="403"/>
      <c r="AP1511" s="403" t="s">
        <v>55</v>
      </c>
      <c r="AQ1511" s="403"/>
      <c r="AR1511" s="403" t="s">
        <v>55</v>
      </c>
      <c r="AS1511" s="482">
        <v>41135</v>
      </c>
      <c r="AT1511" s="455"/>
      <c r="AU1511" s="455"/>
      <c r="AV1511" s="455"/>
      <c r="AW1511" s="455"/>
      <c r="AX1511" s="455"/>
      <c r="AY1511" s="455"/>
      <c r="AZ1511" s="455"/>
      <c r="BA1511" s="404"/>
      <c r="BB1511" s="404"/>
      <c r="BC1511" s="404" t="b">
        <v>0</v>
      </c>
      <c r="BD1511" s="404"/>
      <c r="BE1511" s="403"/>
      <c r="BF1511" s="405">
        <v>9</v>
      </c>
      <c r="BG1511" s="405">
        <v>7</v>
      </c>
      <c r="BH1511" s="405">
        <v>5</v>
      </c>
      <c r="BI1511" s="405">
        <v>11</v>
      </c>
      <c r="BJ1511" s="405"/>
      <c r="BK1511" s="405"/>
      <c r="BL1511" s="446" t="s">
        <v>6981</v>
      </c>
      <c r="BM1511" s="403"/>
      <c r="BN1511" s="404"/>
      <c r="BO1511" s="404"/>
      <c r="BP1511" s="408"/>
      <c r="BQ1511" s="409"/>
      <c r="BR1511" s="410"/>
      <c r="BS1511" s="408"/>
      <c r="BT1511" s="405"/>
      <c r="BU1511" s="418"/>
      <c r="BV1511" s="408">
        <v>1.7569999999999999</v>
      </c>
      <c r="BW1511" s="404" t="s">
        <v>3117</v>
      </c>
      <c r="BX1511" s="403" t="s">
        <v>4364</v>
      </c>
      <c r="BY1511" s="404" t="s">
        <v>7224</v>
      </c>
      <c r="BZ1511" s="404"/>
      <c r="CA1511" s="443"/>
      <c r="CB1511" s="409"/>
      <c r="CC1511" s="407"/>
      <c r="CD1511" s="407"/>
      <c r="CE1511" s="407"/>
      <c r="CF1511" s="407"/>
      <c r="CG1511" s="407"/>
      <c r="CH1511" s="407"/>
      <c r="CI1511" s="407">
        <v>1.9730000000000001</v>
      </c>
      <c r="CJ1511" s="407">
        <v>1.839</v>
      </c>
      <c r="CK1511" s="407">
        <v>1.704</v>
      </c>
      <c r="CL1511" s="407">
        <v>1.569</v>
      </c>
      <c r="CM1511" s="407">
        <v>1.4350000000000001</v>
      </c>
      <c r="CN1511" s="407">
        <v>1.3</v>
      </c>
      <c r="CO1511" s="407">
        <v>1.1659999999999999</v>
      </c>
      <c r="CP1511" s="407"/>
      <c r="CQ1511" s="407"/>
      <c r="CR1511" s="407"/>
      <c r="CS1511" s="407"/>
      <c r="CT1511" s="407"/>
      <c r="CU1511" s="407"/>
      <c r="CV1511" s="407"/>
      <c r="CW1511" s="407"/>
      <c r="CX1511" s="407"/>
      <c r="CY1511" s="407"/>
      <c r="CZ1511" s="407"/>
      <c r="DA1511" s="407"/>
      <c r="DB1511" s="407"/>
      <c r="DC1511" s="407"/>
      <c r="DD1511" s="407"/>
      <c r="DE1511" s="404"/>
      <c r="DF1511" s="404"/>
      <c r="DG1511" s="404"/>
      <c r="DH1511" s="404"/>
      <c r="DI1511" s="404"/>
      <c r="DJ1511" s="404"/>
      <c r="DK1511" s="897"/>
    </row>
    <row r="1512" spans="1:115" ht="76.5" x14ac:dyDescent="0.2">
      <c r="A1512" s="295">
        <v>1508</v>
      </c>
      <c r="B1512" s="390" t="s">
        <v>3040</v>
      </c>
      <c r="C1512" s="424" t="s">
        <v>7808</v>
      </c>
      <c r="D1512" s="391"/>
      <c r="E1512" s="708" t="s">
        <v>3041</v>
      </c>
      <c r="F1512" s="404" t="s">
        <v>1375</v>
      </c>
      <c r="G1512" s="404" t="s">
        <v>1361</v>
      </c>
      <c r="H1512" s="404" t="s">
        <v>137</v>
      </c>
      <c r="I1512" s="403"/>
      <c r="J1512" s="403" t="s">
        <v>137</v>
      </c>
      <c r="K1512" s="403"/>
      <c r="L1512" s="403" t="s">
        <v>1697</v>
      </c>
      <c r="M1512" s="403" t="s">
        <v>3723</v>
      </c>
      <c r="N1512" s="404" t="s">
        <v>3142</v>
      </c>
      <c r="O1512" s="404" t="s">
        <v>69</v>
      </c>
      <c r="P1512" s="404" t="s">
        <v>69</v>
      </c>
      <c r="Q1512" s="403" t="s">
        <v>1111</v>
      </c>
      <c r="R1512" s="403"/>
      <c r="S1512" s="486" t="s">
        <v>8125</v>
      </c>
      <c r="T1512" s="405">
        <v>1</v>
      </c>
      <c r="U1512" s="406">
        <v>21.434000000000001</v>
      </c>
      <c r="V1512" s="406"/>
      <c r="W1512" s="456">
        <v>41456</v>
      </c>
      <c r="X1512" s="405">
        <v>28</v>
      </c>
      <c r="Y1512" s="405"/>
      <c r="Z1512" s="405"/>
      <c r="AA1512" s="406"/>
      <c r="AB1512" s="455"/>
      <c r="AC1512" s="407">
        <v>0</v>
      </c>
      <c r="AD1512" s="407">
        <v>118.0338082191781</v>
      </c>
      <c r="AE1512" s="404" t="s">
        <v>133</v>
      </c>
      <c r="AF1512" s="418"/>
      <c r="AG1512" s="418"/>
      <c r="AH1512" s="418">
        <v>0</v>
      </c>
      <c r="AI1512" s="405"/>
      <c r="AJ1512" s="455"/>
      <c r="AK1512" s="455"/>
      <c r="AL1512" s="404"/>
      <c r="AM1512" s="404"/>
      <c r="AN1512" s="418"/>
      <c r="AO1512" s="403"/>
      <c r="AP1512" s="403" t="s">
        <v>55</v>
      </c>
      <c r="AQ1512" s="403"/>
      <c r="AR1512" s="403" t="s">
        <v>55</v>
      </c>
      <c r="AS1512" s="482">
        <v>41142</v>
      </c>
      <c r="AT1512" s="456">
        <v>41422</v>
      </c>
      <c r="AU1512" s="455"/>
      <c r="AV1512" s="455"/>
      <c r="AW1512" s="455"/>
      <c r="AX1512" s="455"/>
      <c r="AY1512" s="455"/>
      <c r="AZ1512" s="455"/>
      <c r="BA1512" s="404"/>
      <c r="BB1512" s="404" t="s">
        <v>3147</v>
      </c>
      <c r="BC1512" s="404" t="b">
        <v>1</v>
      </c>
      <c r="BD1512" s="404" t="s">
        <v>3147</v>
      </c>
      <c r="BE1512" s="403"/>
      <c r="BF1512" s="405">
        <v>9</v>
      </c>
      <c r="BG1512" s="405"/>
      <c r="BH1512" s="405"/>
      <c r="BI1512" s="405"/>
      <c r="BJ1512" s="405"/>
      <c r="BK1512" s="405"/>
      <c r="BL1512" s="446"/>
      <c r="BM1512" s="403"/>
      <c r="BN1512" s="404"/>
      <c r="BO1512" s="404"/>
      <c r="BP1512" s="408"/>
      <c r="BQ1512" s="409"/>
      <c r="BR1512" s="410"/>
      <c r="BS1512" s="408">
        <v>0</v>
      </c>
      <c r="BT1512" s="405"/>
      <c r="BU1512" s="418"/>
      <c r="BV1512" s="408"/>
      <c r="BW1512" s="404"/>
      <c r="BX1512" s="403"/>
      <c r="BY1512" s="404"/>
      <c r="BZ1512" s="404"/>
      <c r="CA1512" s="443"/>
      <c r="CB1512" s="409"/>
      <c r="CC1512" s="407"/>
      <c r="CD1512" s="407"/>
      <c r="CE1512" s="407"/>
      <c r="CF1512" s="407"/>
      <c r="CG1512" s="407"/>
      <c r="CH1512" s="407"/>
      <c r="CI1512" s="407"/>
      <c r="CJ1512" s="407"/>
      <c r="CK1512" s="407"/>
      <c r="CL1512" s="407"/>
      <c r="CM1512" s="407"/>
      <c r="CN1512" s="407"/>
      <c r="CO1512" s="407"/>
      <c r="CP1512" s="407"/>
      <c r="CQ1512" s="407"/>
      <c r="CR1512" s="407"/>
      <c r="CS1512" s="407"/>
      <c r="CT1512" s="407"/>
      <c r="CU1512" s="407"/>
      <c r="CV1512" s="407"/>
      <c r="CW1512" s="407"/>
      <c r="CX1512" s="407"/>
      <c r="CY1512" s="407"/>
      <c r="CZ1512" s="407"/>
      <c r="DA1512" s="407"/>
      <c r="DB1512" s="407"/>
      <c r="DC1512" s="407"/>
      <c r="DD1512" s="407"/>
      <c r="DE1512" s="404"/>
      <c r="DF1512" s="404"/>
      <c r="DG1512" s="404"/>
      <c r="DH1512" s="404"/>
      <c r="DI1512" s="404"/>
      <c r="DJ1512" s="404"/>
      <c r="DK1512" s="901"/>
    </row>
    <row r="1513" spans="1:115" ht="25.5" x14ac:dyDescent="0.2">
      <c r="A1513" s="295">
        <v>1509</v>
      </c>
      <c r="B1513" s="390" t="s">
        <v>3042</v>
      </c>
      <c r="C1513" s="390"/>
      <c r="D1513" s="391"/>
      <c r="E1513" s="707" t="s">
        <v>3043</v>
      </c>
      <c r="F1513" s="404" t="s">
        <v>1375</v>
      </c>
      <c r="G1513" s="404" t="s">
        <v>1361</v>
      </c>
      <c r="H1513" s="404" t="s">
        <v>137</v>
      </c>
      <c r="I1513" s="403"/>
      <c r="J1513" s="403"/>
      <c r="K1513" s="403" t="s">
        <v>534</v>
      </c>
      <c r="L1513" s="403" t="s">
        <v>1697</v>
      </c>
      <c r="M1513" s="403"/>
      <c r="N1513" s="404" t="s">
        <v>3142</v>
      </c>
      <c r="O1513" s="404" t="s">
        <v>69</v>
      </c>
      <c r="P1513" s="404" t="s">
        <v>69</v>
      </c>
      <c r="Q1513" s="403" t="s">
        <v>1111</v>
      </c>
      <c r="R1513" s="403" t="s">
        <v>3724</v>
      </c>
      <c r="S1513" s="486" t="s">
        <v>8125</v>
      </c>
      <c r="T1513" s="405">
        <v>1</v>
      </c>
      <c r="U1513" s="406">
        <v>21.434000000000001</v>
      </c>
      <c r="V1513" s="406"/>
      <c r="W1513" s="455"/>
      <c r="X1513" s="405"/>
      <c r="Y1513" s="405">
        <v>7</v>
      </c>
      <c r="Z1513" s="405">
        <v>21</v>
      </c>
      <c r="AA1513" s="406">
        <v>1.333</v>
      </c>
      <c r="AB1513" s="456">
        <v>42186</v>
      </c>
      <c r="AC1513" s="407">
        <v>0</v>
      </c>
      <c r="AD1513" s="407">
        <v>118.0338082191781</v>
      </c>
      <c r="AE1513" s="404" t="s">
        <v>133</v>
      </c>
      <c r="AF1513" s="418"/>
      <c r="AG1513" s="418"/>
      <c r="AH1513" s="418"/>
      <c r="AI1513" s="405"/>
      <c r="AJ1513" s="455"/>
      <c r="AK1513" s="455"/>
      <c r="AL1513" s="404"/>
      <c r="AM1513" s="404"/>
      <c r="AN1513" s="418"/>
      <c r="AO1513" s="403"/>
      <c r="AP1513" s="403" t="s">
        <v>55</v>
      </c>
      <c r="AQ1513" s="403"/>
      <c r="AR1513" s="403" t="s">
        <v>55</v>
      </c>
      <c r="AS1513" s="482">
        <v>41142</v>
      </c>
      <c r="AT1513" s="456">
        <v>41422</v>
      </c>
      <c r="AU1513" s="455"/>
      <c r="AV1513" s="455"/>
      <c r="AW1513" s="455"/>
      <c r="AX1513" s="455"/>
      <c r="AY1513" s="455"/>
      <c r="AZ1513" s="455"/>
      <c r="BA1513" s="404"/>
      <c r="BB1513" s="404"/>
      <c r="BC1513" s="404" t="b">
        <v>0</v>
      </c>
      <c r="BD1513" s="404"/>
      <c r="BE1513" s="403"/>
      <c r="BF1513" s="405">
        <v>9</v>
      </c>
      <c r="BG1513" s="405"/>
      <c r="BH1513" s="405"/>
      <c r="BI1513" s="405"/>
      <c r="BJ1513" s="405"/>
      <c r="BK1513" s="405"/>
      <c r="BL1513" s="446" t="s">
        <v>6981</v>
      </c>
      <c r="BM1513" s="403"/>
      <c r="BN1513" s="404"/>
      <c r="BO1513" s="404"/>
      <c r="BP1513" s="408"/>
      <c r="BQ1513" s="409"/>
      <c r="BR1513" s="410"/>
      <c r="BS1513" s="408"/>
      <c r="BT1513" s="405"/>
      <c r="BU1513" s="418"/>
      <c r="BV1513" s="408"/>
      <c r="BW1513" s="404" t="s">
        <v>3117</v>
      </c>
      <c r="BX1513" s="403" t="s">
        <v>1449</v>
      </c>
      <c r="BY1513" s="404"/>
      <c r="BZ1513" s="404"/>
      <c r="CA1513" s="443"/>
      <c r="CB1513" s="409"/>
      <c r="CC1513" s="407"/>
      <c r="CD1513" s="407"/>
      <c r="CE1513" s="407"/>
      <c r="CF1513" s="407"/>
      <c r="CG1513" s="407"/>
      <c r="CH1513" s="407"/>
      <c r="CI1513" s="407"/>
      <c r="CJ1513" s="407"/>
      <c r="CK1513" s="407">
        <v>6.4820000000000002</v>
      </c>
      <c r="CL1513" s="407">
        <v>15.66</v>
      </c>
      <c r="CM1513" s="407">
        <v>18.190000000000001</v>
      </c>
      <c r="CN1513" s="407">
        <v>20.58</v>
      </c>
      <c r="CO1513" s="407">
        <v>22.83</v>
      </c>
      <c r="CP1513" s="407">
        <v>24.95</v>
      </c>
      <c r="CQ1513" s="407">
        <v>26.94</v>
      </c>
      <c r="CR1513" s="407">
        <v>14.409000000000001</v>
      </c>
      <c r="CS1513" s="407"/>
      <c r="CT1513" s="407"/>
      <c r="CU1513" s="407"/>
      <c r="CV1513" s="407"/>
      <c r="CW1513" s="407"/>
      <c r="CX1513" s="407"/>
      <c r="CY1513" s="407"/>
      <c r="CZ1513" s="407"/>
      <c r="DA1513" s="407"/>
      <c r="DB1513" s="407"/>
      <c r="DC1513" s="407"/>
      <c r="DD1513" s="407"/>
      <c r="DE1513" s="404"/>
      <c r="DF1513" s="404"/>
      <c r="DG1513" s="404"/>
      <c r="DH1513" s="404"/>
      <c r="DI1513" s="404"/>
      <c r="DJ1513" s="404"/>
      <c r="DK1513" s="897"/>
    </row>
    <row r="1514" spans="1:115" ht="25.5" x14ac:dyDescent="0.2">
      <c r="A1514" s="295">
        <v>1510</v>
      </c>
      <c r="B1514" s="390" t="s">
        <v>3044</v>
      </c>
      <c r="C1514" s="424" t="s">
        <v>7809</v>
      </c>
      <c r="D1514" s="391" t="s">
        <v>5641</v>
      </c>
      <c r="E1514" s="704" t="s">
        <v>3045</v>
      </c>
      <c r="F1514" s="393" t="s">
        <v>1352</v>
      </c>
      <c r="G1514" s="393" t="s">
        <v>1673</v>
      </c>
      <c r="H1514" s="393" t="s">
        <v>67</v>
      </c>
      <c r="I1514" s="392"/>
      <c r="J1514" s="392" t="s">
        <v>67</v>
      </c>
      <c r="K1514" s="392"/>
      <c r="L1514" s="392" t="s">
        <v>3046</v>
      </c>
      <c r="M1514" s="392" t="s">
        <v>3725</v>
      </c>
      <c r="N1514" s="393" t="s">
        <v>44</v>
      </c>
      <c r="O1514" s="393" t="s">
        <v>34</v>
      </c>
      <c r="P1514" s="393" t="s">
        <v>34</v>
      </c>
      <c r="Q1514" s="392" t="s">
        <v>1145</v>
      </c>
      <c r="R1514" s="392"/>
      <c r="S1514" s="392" t="s">
        <v>912</v>
      </c>
      <c r="T1514" s="394">
        <v>1</v>
      </c>
      <c r="U1514" s="395">
        <v>55.198</v>
      </c>
      <c r="V1514" s="395"/>
      <c r="W1514" s="452">
        <v>41143</v>
      </c>
      <c r="X1514" s="394">
        <v>28</v>
      </c>
      <c r="Y1514" s="394"/>
      <c r="Z1514" s="394"/>
      <c r="AA1514" s="395"/>
      <c r="AB1514" s="453"/>
      <c r="AC1514" s="398">
        <v>0</v>
      </c>
      <c r="AD1514" s="398">
        <v>551.98</v>
      </c>
      <c r="AE1514" s="393" t="s">
        <v>787</v>
      </c>
      <c r="AF1514" s="417"/>
      <c r="AG1514" s="417"/>
      <c r="AH1514" s="417">
        <v>0</v>
      </c>
      <c r="AI1514" s="394"/>
      <c r="AJ1514" s="453"/>
      <c r="AK1514" s="453"/>
      <c r="AL1514" s="393"/>
      <c r="AM1514" s="393"/>
      <c r="AN1514" s="417"/>
      <c r="AO1514" s="392"/>
      <c r="AP1514" s="392" t="s">
        <v>55</v>
      </c>
      <c r="AQ1514" s="392"/>
      <c r="AR1514" s="392" t="s">
        <v>55</v>
      </c>
      <c r="AS1514" s="479">
        <v>41143</v>
      </c>
      <c r="AT1514" s="453"/>
      <c r="AU1514" s="453"/>
      <c r="AV1514" s="452">
        <v>41275</v>
      </c>
      <c r="AW1514" s="452">
        <v>41432</v>
      </c>
      <c r="AX1514" s="452">
        <v>41558</v>
      </c>
      <c r="AY1514" s="452">
        <v>41432</v>
      </c>
      <c r="AZ1514" s="453"/>
      <c r="BA1514" s="393"/>
      <c r="BB1514" s="393" t="s">
        <v>3116</v>
      </c>
      <c r="BC1514" s="393" t="b">
        <v>0</v>
      </c>
      <c r="BD1514" s="393" t="s">
        <v>3116</v>
      </c>
      <c r="BE1514" s="392"/>
      <c r="BF1514" s="394">
        <v>3</v>
      </c>
      <c r="BG1514" s="394">
        <v>6</v>
      </c>
      <c r="BH1514" s="394">
        <v>4</v>
      </c>
      <c r="BI1514" s="394">
        <v>9</v>
      </c>
      <c r="BJ1514" s="394"/>
      <c r="BK1514" s="394"/>
      <c r="BL1514" s="444"/>
      <c r="BM1514" s="392"/>
      <c r="BN1514" s="393"/>
      <c r="BO1514" s="393"/>
      <c r="BP1514" s="399"/>
      <c r="BQ1514" s="400"/>
      <c r="BR1514" s="401"/>
      <c r="BS1514" s="399">
        <v>0</v>
      </c>
      <c r="BT1514" s="394"/>
      <c r="BU1514" s="417"/>
      <c r="BV1514" s="399"/>
      <c r="BW1514" s="393"/>
      <c r="BX1514" s="392"/>
      <c r="BY1514" s="475" t="s">
        <v>7224</v>
      </c>
      <c r="BZ1514" s="393" t="s">
        <v>3165</v>
      </c>
      <c r="CA1514" s="441"/>
      <c r="CB1514" s="400"/>
      <c r="CC1514" s="398"/>
      <c r="CD1514" s="398"/>
      <c r="CE1514" s="398"/>
      <c r="CF1514" s="398"/>
      <c r="CG1514" s="398"/>
      <c r="CH1514" s="398"/>
      <c r="CI1514" s="398"/>
      <c r="CJ1514" s="398"/>
      <c r="CK1514" s="398"/>
      <c r="CL1514" s="398"/>
      <c r="CM1514" s="398"/>
      <c r="CN1514" s="398"/>
      <c r="CO1514" s="398"/>
      <c r="CP1514" s="398"/>
      <c r="CQ1514" s="398"/>
      <c r="CR1514" s="398"/>
      <c r="CS1514" s="398"/>
      <c r="CT1514" s="398"/>
      <c r="CU1514" s="398"/>
      <c r="CV1514" s="398"/>
      <c r="CW1514" s="398"/>
      <c r="CX1514" s="398"/>
      <c r="CY1514" s="398"/>
      <c r="CZ1514" s="398"/>
      <c r="DA1514" s="398"/>
      <c r="DB1514" s="398"/>
      <c r="DC1514" s="398"/>
      <c r="DD1514" s="398"/>
      <c r="DE1514" s="393"/>
      <c r="DF1514" s="393"/>
      <c r="DG1514" s="393"/>
      <c r="DH1514" s="393"/>
      <c r="DI1514" s="393"/>
      <c r="DJ1514" s="393"/>
      <c r="DK1514" s="896" t="s">
        <v>9700</v>
      </c>
    </row>
    <row r="1515" spans="1:115" ht="51" x14ac:dyDescent="0.2">
      <c r="A1515" s="295">
        <v>1511</v>
      </c>
      <c r="B1515" s="390" t="s">
        <v>3047</v>
      </c>
      <c r="C1515" s="390"/>
      <c r="D1515" s="391" t="s">
        <v>5642</v>
      </c>
      <c r="E1515" s="704" t="s">
        <v>3048</v>
      </c>
      <c r="F1515" s="393" t="s">
        <v>1352</v>
      </c>
      <c r="G1515" s="393" t="s">
        <v>1673</v>
      </c>
      <c r="H1515" s="393" t="s">
        <v>67</v>
      </c>
      <c r="I1515" s="392"/>
      <c r="J1515" s="392"/>
      <c r="K1515" s="392" t="s">
        <v>3049</v>
      </c>
      <c r="L1515" s="392" t="s">
        <v>3046</v>
      </c>
      <c r="M1515" s="392"/>
      <c r="N1515" s="393" t="s">
        <v>44</v>
      </c>
      <c r="O1515" s="393" t="s">
        <v>34</v>
      </c>
      <c r="P1515" s="393" t="s">
        <v>34</v>
      </c>
      <c r="Q1515" s="392" t="s">
        <v>1145</v>
      </c>
      <c r="R1515" s="392" t="s">
        <v>4152</v>
      </c>
      <c r="S1515" s="392" t="s">
        <v>912</v>
      </c>
      <c r="T1515" s="394">
        <v>1</v>
      </c>
      <c r="U1515" s="395">
        <v>55.198</v>
      </c>
      <c r="V1515" s="395"/>
      <c r="W1515" s="453"/>
      <c r="X1515" s="394"/>
      <c r="Y1515" s="394">
        <v>10</v>
      </c>
      <c r="Z1515" s="394">
        <v>10</v>
      </c>
      <c r="AA1515" s="395">
        <v>0</v>
      </c>
      <c r="AB1515" s="452">
        <v>41275</v>
      </c>
      <c r="AC1515" s="398">
        <v>0</v>
      </c>
      <c r="AD1515" s="398">
        <v>551.98</v>
      </c>
      <c r="AE1515" s="393" t="s">
        <v>787</v>
      </c>
      <c r="AF1515" s="417"/>
      <c r="AG1515" s="417"/>
      <c r="AH1515" s="417"/>
      <c r="AI1515" s="394"/>
      <c r="AJ1515" s="453"/>
      <c r="AK1515" s="453"/>
      <c r="AL1515" s="393"/>
      <c r="AM1515" s="393"/>
      <c r="AN1515" s="417"/>
      <c r="AO1515" s="392"/>
      <c r="AP1515" s="392" t="s">
        <v>55</v>
      </c>
      <c r="AQ1515" s="392"/>
      <c r="AR1515" s="392" t="s">
        <v>55</v>
      </c>
      <c r="AS1515" s="479">
        <v>41143</v>
      </c>
      <c r="AT1515" s="453"/>
      <c r="AU1515" s="453"/>
      <c r="AV1515" s="453"/>
      <c r="AW1515" s="453"/>
      <c r="AX1515" s="453"/>
      <c r="AY1515" s="453"/>
      <c r="AZ1515" s="452">
        <v>41432</v>
      </c>
      <c r="BA1515" s="393"/>
      <c r="BB1515" s="393"/>
      <c r="BC1515" s="393" t="b">
        <v>0</v>
      </c>
      <c r="BD1515" s="393"/>
      <c r="BE1515" s="392"/>
      <c r="BF1515" s="394">
        <v>3</v>
      </c>
      <c r="BG1515" s="394">
        <v>6</v>
      </c>
      <c r="BH1515" s="394">
        <v>4</v>
      </c>
      <c r="BI1515" s="394">
        <v>9</v>
      </c>
      <c r="BJ1515" s="394"/>
      <c r="BK1515" s="394"/>
      <c r="BL1515" s="444" t="s">
        <v>1451</v>
      </c>
      <c r="BM1515" s="392" t="s">
        <v>1144</v>
      </c>
      <c r="BN1515" s="393" t="s">
        <v>3214</v>
      </c>
      <c r="BO1515" s="393"/>
      <c r="BP1515" s="399"/>
      <c r="BQ1515" s="400"/>
      <c r="BR1515" s="401"/>
      <c r="BS1515" s="399"/>
      <c r="BT1515" s="394"/>
      <c r="BU1515" s="417"/>
      <c r="BV1515" s="399"/>
      <c r="BW1515" s="393" t="s">
        <v>3117</v>
      </c>
      <c r="BX1515" s="392" t="s">
        <v>1447</v>
      </c>
      <c r="BY1515" s="475" t="s">
        <v>7224</v>
      </c>
      <c r="BZ1515" s="393" t="s">
        <v>3165</v>
      </c>
      <c r="CA1515" s="441" t="s">
        <v>1664</v>
      </c>
      <c r="CB1515" s="400"/>
      <c r="CC1515" s="398"/>
      <c r="CD1515" s="398"/>
      <c r="CE1515" s="398"/>
      <c r="CF1515" s="398"/>
      <c r="CG1515" s="398"/>
      <c r="CH1515" s="398"/>
      <c r="CI1515" s="398">
        <v>57.798000000000002</v>
      </c>
      <c r="CJ1515" s="398">
        <v>57.798000000000002</v>
      </c>
      <c r="CK1515" s="398">
        <v>57.798000000000002</v>
      </c>
      <c r="CL1515" s="398">
        <v>57.798000000000002</v>
      </c>
      <c r="CM1515" s="398">
        <v>57.798000000000002</v>
      </c>
      <c r="CN1515" s="398">
        <v>57.798000000000002</v>
      </c>
      <c r="CO1515" s="398">
        <v>57.798000000000002</v>
      </c>
      <c r="CP1515" s="398">
        <v>57.798000000000002</v>
      </c>
      <c r="CQ1515" s="398">
        <v>57.798000000000002</v>
      </c>
      <c r="CR1515" s="398">
        <v>57.798000000000002</v>
      </c>
      <c r="CS1515" s="398"/>
      <c r="CT1515" s="398"/>
      <c r="CU1515" s="398"/>
      <c r="CV1515" s="398"/>
      <c r="CW1515" s="398"/>
      <c r="CX1515" s="398"/>
      <c r="CY1515" s="398"/>
      <c r="CZ1515" s="398"/>
      <c r="DA1515" s="398"/>
      <c r="DB1515" s="398"/>
      <c r="DC1515" s="398"/>
      <c r="DD1515" s="398"/>
      <c r="DE1515" s="393"/>
      <c r="DF1515" s="393"/>
      <c r="DG1515" s="393"/>
      <c r="DH1515" s="393"/>
      <c r="DI1515" s="393"/>
      <c r="DJ1515" s="393"/>
      <c r="DK1515" s="897"/>
    </row>
    <row r="1516" spans="1:115" ht="51" x14ac:dyDescent="0.2">
      <c r="A1516" s="295">
        <v>1512</v>
      </c>
      <c r="B1516" s="390" t="s">
        <v>3050</v>
      </c>
      <c r="C1516" s="424" t="s">
        <v>7810</v>
      </c>
      <c r="D1516" s="391" t="s">
        <v>5643</v>
      </c>
      <c r="E1516" s="705" t="s">
        <v>1068</v>
      </c>
      <c r="F1516" s="393" t="s">
        <v>1375</v>
      </c>
      <c r="G1516" s="393" t="s">
        <v>1670</v>
      </c>
      <c r="H1516" s="393" t="s">
        <v>1702</v>
      </c>
      <c r="I1516" s="392" t="s">
        <v>3051</v>
      </c>
      <c r="J1516" s="392" t="s">
        <v>3052</v>
      </c>
      <c r="K1516" s="392"/>
      <c r="L1516" s="392" t="s">
        <v>1071</v>
      </c>
      <c r="M1516" s="392" t="s">
        <v>3726</v>
      </c>
      <c r="N1516" s="393" t="s">
        <v>44</v>
      </c>
      <c r="O1516" s="393" t="s">
        <v>51</v>
      </c>
      <c r="P1516" s="393" t="s">
        <v>51</v>
      </c>
      <c r="Q1516" s="392" t="s">
        <v>976</v>
      </c>
      <c r="R1516" s="392"/>
      <c r="S1516" s="392" t="s">
        <v>977</v>
      </c>
      <c r="T1516" s="394">
        <v>3</v>
      </c>
      <c r="U1516" s="395">
        <v>141.05500000000001</v>
      </c>
      <c r="V1516" s="395"/>
      <c r="W1516" s="452">
        <v>41244</v>
      </c>
      <c r="X1516" s="394">
        <v>28</v>
      </c>
      <c r="Y1516" s="394"/>
      <c r="Z1516" s="394"/>
      <c r="AA1516" s="395"/>
      <c r="AB1516" s="453"/>
      <c r="AC1516" s="398">
        <v>0</v>
      </c>
      <c r="AD1516" s="398">
        <v>819.96696712328776</v>
      </c>
      <c r="AE1516" s="393" t="s">
        <v>54</v>
      </c>
      <c r="AF1516" s="417"/>
      <c r="AG1516" s="417"/>
      <c r="AH1516" s="417">
        <v>179.85704000000001</v>
      </c>
      <c r="AI1516" s="394"/>
      <c r="AJ1516" s="453">
        <v>42915</v>
      </c>
      <c r="AK1516" s="453">
        <v>42825</v>
      </c>
      <c r="AL1516" s="393"/>
      <c r="AM1516" s="393"/>
      <c r="AN1516" s="417"/>
      <c r="AO1516" s="428" t="s">
        <v>7994</v>
      </c>
      <c r="AP1516" s="428" t="s">
        <v>7071</v>
      </c>
      <c r="AQ1516" s="392"/>
      <c r="AR1516" s="392" t="s">
        <v>55</v>
      </c>
      <c r="AS1516" s="479">
        <v>41145</v>
      </c>
      <c r="AT1516" s="453"/>
      <c r="AU1516" s="453" t="s">
        <v>1073</v>
      </c>
      <c r="AV1516" s="452">
        <v>40892</v>
      </c>
      <c r="AW1516" s="452">
        <v>41449</v>
      </c>
      <c r="AX1516" s="452">
        <v>41558</v>
      </c>
      <c r="AY1516" s="452">
        <v>41449</v>
      </c>
      <c r="AZ1516" s="453"/>
      <c r="BA1516" s="393"/>
      <c r="BB1516" s="393" t="s">
        <v>3147</v>
      </c>
      <c r="BC1516" s="393" t="b">
        <v>0</v>
      </c>
      <c r="BD1516" s="393" t="s">
        <v>3147</v>
      </c>
      <c r="BE1516" s="392"/>
      <c r="BF1516" s="394">
        <v>1</v>
      </c>
      <c r="BG1516" s="394">
        <v>6</v>
      </c>
      <c r="BH1516" s="394">
        <v>8</v>
      </c>
      <c r="BI1516" s="394">
        <v>9</v>
      </c>
      <c r="BJ1516" s="394"/>
      <c r="BK1516" s="394"/>
      <c r="BL1516" s="444"/>
      <c r="BM1516" s="392"/>
      <c r="BN1516" s="393"/>
      <c r="BO1516" s="393"/>
      <c r="BP1516" s="399"/>
      <c r="BQ1516" s="400"/>
      <c r="BR1516" s="401"/>
      <c r="BS1516" s="399">
        <v>0</v>
      </c>
      <c r="BT1516" s="394"/>
      <c r="BU1516" s="417"/>
      <c r="BV1516" s="399"/>
      <c r="BW1516" s="393"/>
      <c r="BX1516" s="392"/>
      <c r="BY1516" s="475" t="s">
        <v>7227</v>
      </c>
      <c r="BZ1516" s="393"/>
      <c r="CA1516" s="441"/>
      <c r="CB1516" s="400"/>
      <c r="CC1516" s="398"/>
      <c r="CD1516" s="398"/>
      <c r="CE1516" s="398"/>
      <c r="CF1516" s="398"/>
      <c r="CG1516" s="398"/>
      <c r="CH1516" s="398"/>
      <c r="CI1516" s="398"/>
      <c r="CJ1516" s="398"/>
      <c r="CK1516" s="398"/>
      <c r="CL1516" s="398"/>
      <c r="CM1516" s="398"/>
      <c r="CN1516" s="398"/>
      <c r="CO1516" s="398"/>
      <c r="CP1516" s="398"/>
      <c r="CQ1516" s="398"/>
      <c r="CR1516" s="398"/>
      <c r="CS1516" s="398"/>
      <c r="CT1516" s="398"/>
      <c r="CU1516" s="398"/>
      <c r="CV1516" s="398"/>
      <c r="CW1516" s="398"/>
      <c r="CX1516" s="398"/>
      <c r="CY1516" s="398"/>
      <c r="CZ1516" s="398"/>
      <c r="DA1516" s="398"/>
      <c r="DB1516" s="398"/>
      <c r="DC1516" s="398"/>
      <c r="DD1516" s="398"/>
      <c r="DE1516" s="393"/>
      <c r="DF1516" s="393"/>
      <c r="DG1516" s="393"/>
      <c r="DH1516" s="393"/>
      <c r="DI1516" s="393"/>
      <c r="DJ1516" s="393"/>
      <c r="DK1516" s="896" t="s">
        <v>9728</v>
      </c>
    </row>
    <row r="1517" spans="1:115" ht="25.5" x14ac:dyDescent="0.2">
      <c r="A1517" s="295">
        <v>1513</v>
      </c>
      <c r="B1517" s="390" t="s">
        <v>3053</v>
      </c>
      <c r="C1517" s="390"/>
      <c r="D1517" s="391" t="s">
        <v>5644</v>
      </c>
      <c r="E1517" s="704" t="s">
        <v>1072</v>
      </c>
      <c r="F1517" s="393" t="s">
        <v>1375</v>
      </c>
      <c r="G1517" s="393" t="s">
        <v>1670</v>
      </c>
      <c r="H1517" s="393" t="s">
        <v>1069</v>
      </c>
      <c r="I1517" s="392"/>
      <c r="J1517" s="392"/>
      <c r="K1517" s="392" t="s">
        <v>1069</v>
      </c>
      <c r="L1517" s="392" t="s">
        <v>1071</v>
      </c>
      <c r="M1517" s="392"/>
      <c r="N1517" s="393" t="s">
        <v>44</v>
      </c>
      <c r="O1517" s="393" t="s">
        <v>51</v>
      </c>
      <c r="P1517" s="393" t="s">
        <v>51</v>
      </c>
      <c r="Q1517" s="392" t="s">
        <v>976</v>
      </c>
      <c r="R1517" s="392" t="s">
        <v>3727</v>
      </c>
      <c r="S1517" s="392" t="s">
        <v>977</v>
      </c>
      <c r="T1517" s="394">
        <v>1</v>
      </c>
      <c r="U1517" s="395">
        <v>45.192999999999998</v>
      </c>
      <c r="V1517" s="395"/>
      <c r="W1517" s="453"/>
      <c r="X1517" s="394"/>
      <c r="Y1517" s="394">
        <v>7</v>
      </c>
      <c r="Z1517" s="394">
        <v>7</v>
      </c>
      <c r="AA1517" s="395">
        <v>7</v>
      </c>
      <c r="AB1517" s="452">
        <v>41275</v>
      </c>
      <c r="AC1517" s="398">
        <v>0</v>
      </c>
      <c r="AD1517" s="398">
        <v>361.66781643835617</v>
      </c>
      <c r="AE1517" s="393" t="s">
        <v>54</v>
      </c>
      <c r="AF1517" s="417"/>
      <c r="AG1517" s="417">
        <f>89.006+63.57998</f>
        <v>152.58598000000001</v>
      </c>
      <c r="AH1517" s="417">
        <v>152.58598000000001</v>
      </c>
      <c r="AI1517" s="394"/>
      <c r="AJ1517" s="453">
        <v>42915</v>
      </c>
      <c r="AK1517" s="453">
        <v>42825</v>
      </c>
      <c r="AL1517" s="393"/>
      <c r="AM1517" s="393"/>
      <c r="AN1517" s="417"/>
      <c r="AO1517" s="428"/>
      <c r="AP1517" s="428" t="s">
        <v>7071</v>
      </c>
      <c r="AQ1517" s="392"/>
      <c r="AR1517" s="392" t="s">
        <v>55</v>
      </c>
      <c r="AS1517" s="479">
        <v>41145</v>
      </c>
      <c r="AT1517" s="453"/>
      <c r="AU1517" s="453" t="s">
        <v>5645</v>
      </c>
      <c r="AV1517" s="453"/>
      <c r="AW1517" s="453"/>
      <c r="AX1517" s="453"/>
      <c r="AY1517" s="453"/>
      <c r="AZ1517" s="452">
        <v>41449</v>
      </c>
      <c r="BA1517" s="393"/>
      <c r="BB1517" s="393"/>
      <c r="BC1517" s="393" t="b">
        <v>0</v>
      </c>
      <c r="BD1517" s="393"/>
      <c r="BE1517" s="392"/>
      <c r="BF1517" s="394">
        <v>1</v>
      </c>
      <c r="BG1517" s="394">
        <v>6</v>
      </c>
      <c r="BH1517" s="394">
        <v>8</v>
      </c>
      <c r="BI1517" s="394">
        <v>9</v>
      </c>
      <c r="BJ1517" s="394"/>
      <c r="BK1517" s="394"/>
      <c r="BL1517" s="444" t="s">
        <v>1451</v>
      </c>
      <c r="BM1517" s="392" t="s">
        <v>3728</v>
      </c>
      <c r="BN1517" s="393" t="s">
        <v>1008</v>
      </c>
      <c r="BO1517" s="393"/>
      <c r="BP1517" s="399"/>
      <c r="BQ1517" s="400"/>
      <c r="BR1517" s="401"/>
      <c r="BS1517" s="399"/>
      <c r="BT1517" s="394"/>
      <c r="BU1517" s="417"/>
      <c r="BV1517" s="399">
        <v>171.60599999999999</v>
      </c>
      <c r="BW1517" s="393" t="s">
        <v>3117</v>
      </c>
      <c r="BX1517" s="392" t="s">
        <v>1447</v>
      </c>
      <c r="BY1517" s="475" t="s">
        <v>7227</v>
      </c>
      <c r="BZ1517" s="393"/>
      <c r="CA1517" s="441" t="s">
        <v>1662</v>
      </c>
      <c r="CB1517" s="400">
        <v>3</v>
      </c>
      <c r="CC1517" s="398"/>
      <c r="CD1517" s="398"/>
      <c r="CE1517" s="398"/>
      <c r="CF1517" s="398"/>
      <c r="CG1517" s="398"/>
      <c r="CH1517" s="398"/>
      <c r="CI1517" s="398">
        <v>8.9659999999999993</v>
      </c>
      <c r="CJ1517" s="398">
        <v>51.29</v>
      </c>
      <c r="CK1517" s="398">
        <v>51.29</v>
      </c>
      <c r="CL1517" s="398">
        <v>51.29</v>
      </c>
      <c r="CM1517" s="398">
        <v>51.29</v>
      </c>
      <c r="CN1517" s="398">
        <v>51.29</v>
      </c>
      <c r="CO1517" s="398">
        <v>50.929000000000002</v>
      </c>
      <c r="CP1517" s="398"/>
      <c r="CQ1517" s="398"/>
      <c r="CR1517" s="398"/>
      <c r="CS1517" s="398"/>
      <c r="CT1517" s="398"/>
      <c r="CU1517" s="398"/>
      <c r="CV1517" s="398"/>
      <c r="CW1517" s="398"/>
      <c r="CX1517" s="398"/>
      <c r="CY1517" s="398"/>
      <c r="CZ1517" s="398"/>
      <c r="DA1517" s="398"/>
      <c r="DB1517" s="398"/>
      <c r="DC1517" s="398"/>
      <c r="DD1517" s="398"/>
      <c r="DE1517" s="393"/>
      <c r="DF1517" s="393"/>
      <c r="DG1517" s="393"/>
      <c r="DH1517" s="393"/>
      <c r="DI1517" s="393"/>
      <c r="DJ1517" s="393"/>
      <c r="DK1517" s="897"/>
    </row>
    <row r="1518" spans="1:115" ht="25.5" x14ac:dyDescent="0.2">
      <c r="A1518" s="295">
        <v>1514</v>
      </c>
      <c r="B1518" s="390" t="s">
        <v>8020</v>
      </c>
      <c r="C1518" s="390"/>
      <c r="D1518" s="391" t="s">
        <v>8022</v>
      </c>
      <c r="E1518" s="705" t="s">
        <v>8025</v>
      </c>
      <c r="F1518" s="393" t="s">
        <v>1375</v>
      </c>
      <c r="G1518" s="393" t="s">
        <v>1670</v>
      </c>
      <c r="H1518" s="393" t="s">
        <v>1069</v>
      </c>
      <c r="I1518" s="392"/>
      <c r="J1518" s="392"/>
      <c r="K1518" s="392" t="s">
        <v>1069</v>
      </c>
      <c r="L1518" s="392" t="s">
        <v>1071</v>
      </c>
      <c r="M1518" s="392"/>
      <c r="N1518" s="393" t="s">
        <v>44</v>
      </c>
      <c r="O1518" s="393" t="s">
        <v>51</v>
      </c>
      <c r="P1518" s="393" t="s">
        <v>51</v>
      </c>
      <c r="Q1518" s="392" t="s">
        <v>976</v>
      </c>
      <c r="R1518" s="392" t="s">
        <v>3727</v>
      </c>
      <c r="S1518" s="392" t="s">
        <v>977</v>
      </c>
      <c r="T1518" s="394">
        <v>1</v>
      </c>
      <c r="U1518" s="395">
        <v>47.930999999999997</v>
      </c>
      <c r="V1518" s="395"/>
      <c r="W1518" s="453"/>
      <c r="X1518" s="394"/>
      <c r="Y1518" s="394">
        <v>7</v>
      </c>
      <c r="Z1518" s="394">
        <v>7</v>
      </c>
      <c r="AA1518" s="395"/>
      <c r="AB1518" s="452">
        <v>42451</v>
      </c>
      <c r="AC1518" s="398"/>
      <c r="AD1518" s="398">
        <v>229.14957534246577</v>
      </c>
      <c r="AE1518" s="393" t="s">
        <v>54</v>
      </c>
      <c r="AF1518" s="417"/>
      <c r="AG1518" s="417">
        <f>27.27106</f>
        <v>27.271059999999999</v>
      </c>
      <c r="AH1518" s="417">
        <v>27.271059999999999</v>
      </c>
      <c r="AI1518" s="394"/>
      <c r="AJ1518" s="453">
        <v>43152</v>
      </c>
      <c r="AK1518" s="453">
        <v>42825</v>
      </c>
      <c r="AL1518" s="393"/>
      <c r="AM1518" s="393"/>
      <c r="AN1518" s="417"/>
      <c r="AO1518" s="392"/>
      <c r="AP1518" s="392"/>
      <c r="AQ1518" s="392"/>
      <c r="AR1518" s="428" t="s">
        <v>55</v>
      </c>
      <c r="AS1518" s="479">
        <v>41145</v>
      </c>
      <c r="AT1518" s="453"/>
      <c r="AU1518" s="453"/>
      <c r="AV1518" s="453"/>
      <c r="AW1518" s="453"/>
      <c r="AX1518" s="453"/>
      <c r="AY1518" s="453"/>
      <c r="AZ1518" s="452">
        <v>42451</v>
      </c>
      <c r="BA1518" s="393"/>
      <c r="BB1518" s="393"/>
      <c r="BC1518" s="393" t="b">
        <v>0</v>
      </c>
      <c r="BD1518" s="393"/>
      <c r="BE1518" s="392"/>
      <c r="BF1518" s="394">
        <v>1</v>
      </c>
      <c r="BG1518" s="394">
        <v>6</v>
      </c>
      <c r="BH1518" s="394">
        <v>8</v>
      </c>
      <c r="BI1518" s="394">
        <v>9</v>
      </c>
      <c r="BJ1518" s="394"/>
      <c r="BK1518" s="394"/>
      <c r="BL1518" s="444" t="s">
        <v>1451</v>
      </c>
      <c r="BM1518" s="428" t="s">
        <v>3728</v>
      </c>
      <c r="BN1518" s="475" t="s">
        <v>1008</v>
      </c>
      <c r="BO1518" s="393"/>
      <c r="BP1518" s="399"/>
      <c r="BQ1518" s="400"/>
      <c r="BR1518" s="401"/>
      <c r="BS1518" s="399"/>
      <c r="BT1518" s="394"/>
      <c r="BU1518" s="417"/>
      <c r="BV1518" s="399"/>
      <c r="BW1518" s="475" t="s">
        <v>3117</v>
      </c>
      <c r="BX1518" s="392"/>
      <c r="BY1518" s="475" t="s">
        <v>7227</v>
      </c>
      <c r="BZ1518" s="393"/>
      <c r="CA1518" s="441"/>
      <c r="CB1518" s="400"/>
      <c r="CC1518" s="398"/>
      <c r="CD1518" s="398"/>
      <c r="CE1518" s="398"/>
      <c r="CF1518" s="398"/>
      <c r="CG1518" s="398"/>
      <c r="CH1518" s="398"/>
      <c r="CI1518" s="398"/>
      <c r="CJ1518" s="398"/>
      <c r="CK1518" s="398">
        <v>28.303899999999999</v>
      </c>
      <c r="CL1518" s="398">
        <v>51.290500000000002</v>
      </c>
      <c r="CM1518" s="398">
        <v>51.290500000000002</v>
      </c>
      <c r="CN1518" s="398">
        <v>51.290500000000002</v>
      </c>
      <c r="CO1518" s="398">
        <v>51.290500000000002</v>
      </c>
      <c r="CP1518" s="398">
        <v>51.290500000000002</v>
      </c>
      <c r="CQ1518" s="398">
        <v>50.763730000000002</v>
      </c>
      <c r="CR1518" s="398"/>
      <c r="CS1518" s="398"/>
      <c r="CT1518" s="398"/>
      <c r="CU1518" s="398"/>
      <c r="CV1518" s="398"/>
      <c r="CW1518" s="398"/>
      <c r="CX1518" s="398"/>
      <c r="CY1518" s="398"/>
      <c r="CZ1518" s="398"/>
      <c r="DA1518" s="398"/>
      <c r="DB1518" s="398"/>
      <c r="DC1518" s="398"/>
      <c r="DD1518" s="398"/>
      <c r="DE1518" s="393"/>
      <c r="DF1518" s="393"/>
      <c r="DG1518" s="393"/>
      <c r="DH1518" s="393"/>
      <c r="DI1518" s="393"/>
      <c r="DJ1518" s="393"/>
      <c r="DK1518" s="897"/>
    </row>
    <row r="1519" spans="1:115" ht="25.5" x14ac:dyDescent="0.2">
      <c r="A1519" s="295">
        <v>1515</v>
      </c>
      <c r="B1519" s="390" t="s">
        <v>8021</v>
      </c>
      <c r="C1519" s="390"/>
      <c r="D1519" s="391" t="s">
        <v>8023</v>
      </c>
      <c r="E1519" s="705" t="s">
        <v>8024</v>
      </c>
      <c r="F1519" s="393" t="s">
        <v>1375</v>
      </c>
      <c r="G1519" s="393" t="s">
        <v>1670</v>
      </c>
      <c r="H1519" s="393" t="s">
        <v>1069</v>
      </c>
      <c r="I1519" s="392"/>
      <c r="J1519" s="392"/>
      <c r="K1519" s="392" t="s">
        <v>1069</v>
      </c>
      <c r="L1519" s="392" t="s">
        <v>1071</v>
      </c>
      <c r="M1519" s="392"/>
      <c r="N1519" s="393" t="s">
        <v>44</v>
      </c>
      <c r="O1519" s="393" t="s">
        <v>51</v>
      </c>
      <c r="P1519" s="393" t="s">
        <v>51</v>
      </c>
      <c r="Q1519" s="392" t="s">
        <v>976</v>
      </c>
      <c r="R1519" s="428" t="s">
        <v>3727</v>
      </c>
      <c r="S1519" s="428" t="s">
        <v>977</v>
      </c>
      <c r="T1519" s="394">
        <v>1</v>
      </c>
      <c r="U1519" s="395">
        <v>47.930999999999997</v>
      </c>
      <c r="V1519" s="395"/>
      <c r="W1519" s="453"/>
      <c r="X1519" s="394"/>
      <c r="Y1519" s="394">
        <v>7</v>
      </c>
      <c r="Z1519" s="394">
        <v>7</v>
      </c>
      <c r="AA1519" s="395"/>
      <c r="AB1519" s="452">
        <v>42451</v>
      </c>
      <c r="AC1519" s="398"/>
      <c r="AD1519" s="398">
        <v>229.14957534246577</v>
      </c>
      <c r="AE1519" s="393" t="s">
        <v>54</v>
      </c>
      <c r="AF1519" s="417"/>
      <c r="AG1519" s="417"/>
      <c r="AH1519" s="417">
        <f>+SUM(AF1519:AG1519)</f>
        <v>0</v>
      </c>
      <c r="AI1519" s="394"/>
      <c r="AJ1519" s="453"/>
      <c r="AK1519" s="453"/>
      <c r="AL1519" s="393"/>
      <c r="AM1519" s="393"/>
      <c r="AN1519" s="417"/>
      <c r="AO1519" s="392"/>
      <c r="AP1519" s="392"/>
      <c r="AQ1519" s="392"/>
      <c r="AR1519" s="428" t="s">
        <v>55</v>
      </c>
      <c r="AS1519" s="479">
        <v>41145</v>
      </c>
      <c r="AT1519" s="453"/>
      <c r="AU1519" s="453"/>
      <c r="AV1519" s="453"/>
      <c r="AW1519" s="453"/>
      <c r="AX1519" s="453"/>
      <c r="AY1519" s="453"/>
      <c r="AZ1519" s="452">
        <v>42451</v>
      </c>
      <c r="BA1519" s="393"/>
      <c r="BB1519" s="393"/>
      <c r="BC1519" s="393" t="b">
        <v>0</v>
      </c>
      <c r="BD1519" s="393"/>
      <c r="BE1519" s="392"/>
      <c r="BF1519" s="394">
        <v>1</v>
      </c>
      <c r="BG1519" s="394">
        <v>6</v>
      </c>
      <c r="BH1519" s="394">
        <v>8</v>
      </c>
      <c r="BI1519" s="394">
        <v>9</v>
      </c>
      <c r="BJ1519" s="394"/>
      <c r="BK1519" s="394"/>
      <c r="BL1519" s="444" t="s">
        <v>1451</v>
      </c>
      <c r="BM1519" s="428" t="s">
        <v>3728</v>
      </c>
      <c r="BN1519" s="475" t="s">
        <v>1008</v>
      </c>
      <c r="BO1519" s="393"/>
      <c r="BP1519" s="399"/>
      <c r="BQ1519" s="400"/>
      <c r="BR1519" s="401"/>
      <c r="BS1519" s="399"/>
      <c r="BT1519" s="394"/>
      <c r="BU1519" s="417"/>
      <c r="BV1519" s="399"/>
      <c r="BW1519" s="475" t="s">
        <v>3117</v>
      </c>
      <c r="BX1519" s="392"/>
      <c r="BY1519" s="475" t="s">
        <v>7227</v>
      </c>
      <c r="BZ1519" s="393"/>
      <c r="CA1519" s="441"/>
      <c r="CB1519" s="400"/>
      <c r="CC1519" s="398"/>
      <c r="CD1519" s="398"/>
      <c r="CE1519" s="398"/>
      <c r="CF1519" s="398"/>
      <c r="CG1519" s="398"/>
      <c r="CH1519" s="398"/>
      <c r="CI1519" s="398"/>
      <c r="CJ1519" s="398"/>
      <c r="CK1519" s="398">
        <v>28.303899999999999</v>
      </c>
      <c r="CL1519" s="398">
        <v>51.290500000000002</v>
      </c>
      <c r="CM1519" s="398">
        <v>51.290500000000002</v>
      </c>
      <c r="CN1519" s="398">
        <v>51.290500000000002</v>
      </c>
      <c r="CO1519" s="398">
        <v>51.290500000000002</v>
      </c>
      <c r="CP1519" s="398">
        <v>51.290500000000002</v>
      </c>
      <c r="CQ1519" s="398">
        <v>50.763730000000002</v>
      </c>
      <c r="CR1519" s="398"/>
      <c r="CS1519" s="398"/>
      <c r="CT1519" s="398"/>
      <c r="CU1519" s="398"/>
      <c r="CV1519" s="398"/>
      <c r="CW1519" s="398"/>
      <c r="CX1519" s="398"/>
      <c r="CY1519" s="398"/>
      <c r="CZ1519" s="398"/>
      <c r="DA1519" s="398"/>
      <c r="DB1519" s="398"/>
      <c r="DC1519" s="398"/>
      <c r="DD1519" s="398"/>
      <c r="DE1519" s="393"/>
      <c r="DF1519" s="393"/>
      <c r="DG1519" s="393"/>
      <c r="DH1519" s="393"/>
      <c r="DI1519" s="393"/>
      <c r="DJ1519" s="393"/>
      <c r="DK1519" s="897"/>
    </row>
    <row r="1520" spans="1:115" ht="51" x14ac:dyDescent="0.2">
      <c r="A1520" s="295">
        <v>1516</v>
      </c>
      <c r="B1520" s="390" t="s">
        <v>3054</v>
      </c>
      <c r="C1520" s="424" t="s">
        <v>7811</v>
      </c>
      <c r="D1520" s="391"/>
      <c r="E1520" s="707" t="s">
        <v>3055</v>
      </c>
      <c r="F1520" s="404" t="s">
        <v>1375</v>
      </c>
      <c r="G1520" s="404" t="s">
        <v>1669</v>
      </c>
      <c r="H1520" s="404" t="s">
        <v>959</v>
      </c>
      <c r="I1520" s="403"/>
      <c r="J1520" s="403" t="s">
        <v>959</v>
      </c>
      <c r="K1520" s="403"/>
      <c r="L1520" s="403" t="s">
        <v>3056</v>
      </c>
      <c r="M1520" s="403" t="s">
        <v>4496</v>
      </c>
      <c r="N1520" s="404" t="s">
        <v>3142</v>
      </c>
      <c r="O1520" s="404" t="s">
        <v>139</v>
      </c>
      <c r="P1520" s="404" t="s">
        <v>139</v>
      </c>
      <c r="Q1520" s="403" t="s">
        <v>140</v>
      </c>
      <c r="R1520" s="403"/>
      <c r="S1520" s="403" t="s">
        <v>3057</v>
      </c>
      <c r="T1520" s="405">
        <v>1</v>
      </c>
      <c r="U1520" s="406">
        <v>1.9239999999999999</v>
      </c>
      <c r="V1520" s="406"/>
      <c r="W1520" s="456">
        <v>41214</v>
      </c>
      <c r="X1520" s="405">
        <v>28</v>
      </c>
      <c r="Y1520" s="405"/>
      <c r="Z1520" s="405"/>
      <c r="AA1520" s="406"/>
      <c r="AB1520" s="455"/>
      <c r="AC1520" s="407">
        <v>0.16</v>
      </c>
      <c r="AD1520" s="407">
        <v>19.239999999999998</v>
      </c>
      <c r="AE1520" s="404" t="s">
        <v>72</v>
      </c>
      <c r="AF1520" s="418"/>
      <c r="AG1520" s="418"/>
      <c r="AH1520" s="418">
        <v>0</v>
      </c>
      <c r="AI1520" s="405"/>
      <c r="AJ1520" s="455"/>
      <c r="AK1520" s="455"/>
      <c r="AL1520" s="404"/>
      <c r="AM1520" s="404"/>
      <c r="AN1520" s="418"/>
      <c r="AO1520" s="403"/>
      <c r="AP1520" s="403" t="s">
        <v>55</v>
      </c>
      <c r="AQ1520" s="403"/>
      <c r="AR1520" s="403" t="s">
        <v>55</v>
      </c>
      <c r="AS1520" s="482">
        <v>41151</v>
      </c>
      <c r="AT1520" s="455"/>
      <c r="AU1520" s="455"/>
      <c r="AV1520" s="455"/>
      <c r="AW1520" s="455"/>
      <c r="AX1520" s="455"/>
      <c r="AY1520" s="455"/>
      <c r="AZ1520" s="455"/>
      <c r="BA1520" s="404"/>
      <c r="BB1520" s="404" t="s">
        <v>3116</v>
      </c>
      <c r="BC1520" s="404" t="b">
        <v>0</v>
      </c>
      <c r="BD1520" s="404" t="s">
        <v>3116</v>
      </c>
      <c r="BE1520" s="403"/>
      <c r="BF1520" s="405">
        <v>4</v>
      </c>
      <c r="BG1520" s="405">
        <v>9</v>
      </c>
      <c r="BH1520" s="405">
        <v>5</v>
      </c>
      <c r="BI1520" s="405">
        <v>11</v>
      </c>
      <c r="BJ1520" s="405"/>
      <c r="BK1520" s="405"/>
      <c r="BL1520" s="446"/>
      <c r="BM1520" s="403"/>
      <c r="BN1520" s="404"/>
      <c r="BO1520" s="404"/>
      <c r="BP1520" s="408"/>
      <c r="BQ1520" s="409"/>
      <c r="BR1520" s="410"/>
      <c r="BS1520" s="408">
        <v>1.98</v>
      </c>
      <c r="BT1520" s="405"/>
      <c r="BU1520" s="418"/>
      <c r="BV1520" s="408"/>
      <c r="BW1520" s="404"/>
      <c r="BX1520" s="403"/>
      <c r="BY1520" s="404"/>
      <c r="BZ1520" s="404"/>
      <c r="CA1520" s="443"/>
      <c r="CB1520" s="409"/>
      <c r="CC1520" s="407"/>
      <c r="CD1520" s="407"/>
      <c r="CE1520" s="407"/>
      <c r="CF1520" s="407"/>
      <c r="CG1520" s="407"/>
      <c r="CH1520" s="407"/>
      <c r="CI1520" s="407"/>
      <c r="CJ1520" s="407"/>
      <c r="CK1520" s="407"/>
      <c r="CL1520" s="407"/>
      <c r="CM1520" s="407"/>
      <c r="CN1520" s="407"/>
      <c r="CO1520" s="407"/>
      <c r="CP1520" s="407"/>
      <c r="CQ1520" s="407"/>
      <c r="CR1520" s="407"/>
      <c r="CS1520" s="407"/>
      <c r="CT1520" s="407"/>
      <c r="CU1520" s="407"/>
      <c r="CV1520" s="407"/>
      <c r="CW1520" s="407"/>
      <c r="CX1520" s="407"/>
      <c r="CY1520" s="407"/>
      <c r="CZ1520" s="407"/>
      <c r="DA1520" s="407"/>
      <c r="DB1520" s="407"/>
      <c r="DC1520" s="407"/>
      <c r="DD1520" s="407"/>
      <c r="DE1520" s="404"/>
      <c r="DF1520" s="404"/>
      <c r="DG1520" s="404"/>
      <c r="DH1520" s="404"/>
      <c r="DI1520" s="404"/>
      <c r="DJ1520" s="404"/>
      <c r="DK1520" s="897"/>
    </row>
    <row r="1521" spans="1:115" ht="38.25" x14ac:dyDescent="0.2">
      <c r="A1521" s="295">
        <v>1517</v>
      </c>
      <c r="B1521" s="390" t="s">
        <v>3058</v>
      </c>
      <c r="C1521" s="390"/>
      <c r="D1521" s="391"/>
      <c r="E1521" s="707" t="s">
        <v>3059</v>
      </c>
      <c r="F1521" s="404" t="s">
        <v>1375</v>
      </c>
      <c r="G1521" s="404" t="s">
        <v>1669</v>
      </c>
      <c r="H1521" s="404" t="s">
        <v>959</v>
      </c>
      <c r="I1521" s="403"/>
      <c r="J1521" s="403"/>
      <c r="K1521" s="403" t="s">
        <v>3060</v>
      </c>
      <c r="L1521" s="403" t="s">
        <v>3056</v>
      </c>
      <c r="M1521" s="403"/>
      <c r="N1521" s="404" t="s">
        <v>3142</v>
      </c>
      <c r="O1521" s="404" t="s">
        <v>139</v>
      </c>
      <c r="P1521" s="404" t="s">
        <v>139</v>
      </c>
      <c r="Q1521" s="403" t="s">
        <v>140</v>
      </c>
      <c r="R1521" s="403" t="s">
        <v>3729</v>
      </c>
      <c r="S1521" s="403" t="s">
        <v>3057</v>
      </c>
      <c r="T1521" s="405">
        <v>1</v>
      </c>
      <c r="U1521" s="406">
        <v>1.9239999999999999</v>
      </c>
      <c r="V1521" s="406"/>
      <c r="W1521" s="455"/>
      <c r="X1521" s="405"/>
      <c r="Y1521" s="405">
        <v>10</v>
      </c>
      <c r="Z1521" s="405">
        <v>20</v>
      </c>
      <c r="AA1521" s="406">
        <v>0</v>
      </c>
      <c r="AB1521" s="456">
        <v>41244</v>
      </c>
      <c r="AC1521" s="407">
        <v>0.16</v>
      </c>
      <c r="AD1521" s="407">
        <v>19.239999999999998</v>
      </c>
      <c r="AE1521" s="404" t="s">
        <v>72</v>
      </c>
      <c r="AF1521" s="418"/>
      <c r="AG1521" s="418"/>
      <c r="AH1521" s="418"/>
      <c r="AI1521" s="405"/>
      <c r="AJ1521" s="455"/>
      <c r="AK1521" s="455"/>
      <c r="AL1521" s="404"/>
      <c r="AM1521" s="404"/>
      <c r="AN1521" s="418"/>
      <c r="AO1521" s="403"/>
      <c r="AP1521" s="403" t="s">
        <v>55</v>
      </c>
      <c r="AQ1521" s="403"/>
      <c r="AR1521" s="403" t="s">
        <v>55</v>
      </c>
      <c r="AS1521" s="482">
        <v>41151</v>
      </c>
      <c r="AT1521" s="455"/>
      <c r="AU1521" s="455"/>
      <c r="AV1521" s="455"/>
      <c r="AW1521" s="455"/>
      <c r="AX1521" s="455"/>
      <c r="AY1521" s="455"/>
      <c r="AZ1521" s="455"/>
      <c r="BA1521" s="404"/>
      <c r="BB1521" s="404"/>
      <c r="BC1521" s="404" t="b">
        <v>0</v>
      </c>
      <c r="BD1521" s="404"/>
      <c r="BE1521" s="403"/>
      <c r="BF1521" s="405">
        <v>4</v>
      </c>
      <c r="BG1521" s="405">
        <v>9</v>
      </c>
      <c r="BH1521" s="405">
        <v>5</v>
      </c>
      <c r="BI1521" s="405">
        <v>11</v>
      </c>
      <c r="BJ1521" s="405"/>
      <c r="BK1521" s="405"/>
      <c r="BL1521" s="446" t="s">
        <v>6981</v>
      </c>
      <c r="BM1521" s="403"/>
      <c r="BN1521" s="404"/>
      <c r="BO1521" s="404"/>
      <c r="BP1521" s="408"/>
      <c r="BQ1521" s="409"/>
      <c r="BR1521" s="410"/>
      <c r="BS1521" s="408">
        <v>1.98</v>
      </c>
      <c r="BT1521" s="405">
        <v>15400</v>
      </c>
      <c r="BU1521" s="418">
        <v>0.54200000000000004</v>
      </c>
      <c r="BV1521" s="408">
        <v>9.9740000000000002</v>
      </c>
      <c r="BW1521" s="404" t="s">
        <v>3117</v>
      </c>
      <c r="BX1521" s="403" t="s">
        <v>1448</v>
      </c>
      <c r="BY1521" s="404"/>
      <c r="BZ1521" s="404"/>
      <c r="CA1521" s="443"/>
      <c r="CB1521" s="409"/>
      <c r="CC1521" s="407"/>
      <c r="CD1521" s="407"/>
      <c r="CE1521" s="407"/>
      <c r="CF1521" s="407"/>
      <c r="CG1521" s="407"/>
      <c r="CH1521" s="407"/>
      <c r="CI1521" s="407">
        <v>1.9239999999999999</v>
      </c>
      <c r="CJ1521" s="407">
        <v>1.9239999999999999</v>
      </c>
      <c r="CK1521" s="407">
        <v>1.9239999999999999</v>
      </c>
      <c r="CL1521" s="407">
        <v>1.9239999999999999</v>
      </c>
      <c r="CM1521" s="407">
        <v>1.9239999999999999</v>
      </c>
      <c r="CN1521" s="407">
        <v>1.9239999999999999</v>
      </c>
      <c r="CO1521" s="407">
        <v>1.9239999999999999</v>
      </c>
      <c r="CP1521" s="407">
        <v>1.9239999999999999</v>
      </c>
      <c r="CQ1521" s="407">
        <v>1.9239999999999999</v>
      </c>
      <c r="CR1521" s="407">
        <v>1.9239999999999999</v>
      </c>
      <c r="CS1521" s="407"/>
      <c r="CT1521" s="407"/>
      <c r="CU1521" s="407"/>
      <c r="CV1521" s="407"/>
      <c r="CW1521" s="407"/>
      <c r="CX1521" s="407"/>
      <c r="CY1521" s="407"/>
      <c r="CZ1521" s="407"/>
      <c r="DA1521" s="407"/>
      <c r="DB1521" s="407"/>
      <c r="DC1521" s="407"/>
      <c r="DD1521" s="407"/>
      <c r="DE1521" s="404"/>
      <c r="DF1521" s="404"/>
      <c r="DG1521" s="404"/>
      <c r="DH1521" s="404"/>
      <c r="DI1521" s="404"/>
      <c r="DJ1521" s="404"/>
      <c r="DK1521" s="897"/>
    </row>
    <row r="1522" spans="1:115" ht="38.25" x14ac:dyDescent="0.2">
      <c r="A1522" s="295">
        <v>1518</v>
      </c>
      <c r="B1522" s="390" t="s">
        <v>3061</v>
      </c>
      <c r="C1522" s="424" t="s">
        <v>7812</v>
      </c>
      <c r="D1522" s="391"/>
      <c r="E1522" s="706" t="s">
        <v>3062</v>
      </c>
      <c r="F1522" s="390" t="s">
        <v>1340</v>
      </c>
      <c r="G1522" s="390" t="s">
        <v>1677</v>
      </c>
      <c r="H1522" s="390" t="s">
        <v>253</v>
      </c>
      <c r="I1522" s="402"/>
      <c r="J1522" s="402" t="s">
        <v>253</v>
      </c>
      <c r="K1522" s="402"/>
      <c r="L1522" s="402" t="s">
        <v>3063</v>
      </c>
      <c r="M1522" s="402" t="s">
        <v>4497</v>
      </c>
      <c r="N1522" s="390" t="s">
        <v>33</v>
      </c>
      <c r="O1522" s="390" t="s">
        <v>1294</v>
      </c>
      <c r="P1522" s="390" t="s">
        <v>1294</v>
      </c>
      <c r="Q1522" s="402" t="s">
        <v>1293</v>
      </c>
      <c r="R1522" s="402"/>
      <c r="S1522" s="402" t="s">
        <v>3064</v>
      </c>
      <c r="T1522" s="411">
        <v>1</v>
      </c>
      <c r="U1522" s="412">
        <v>1.0349999999999999</v>
      </c>
      <c r="V1522" s="412"/>
      <c r="W1522" s="457">
        <v>41152</v>
      </c>
      <c r="X1522" s="411">
        <v>28</v>
      </c>
      <c r="Y1522" s="411"/>
      <c r="Z1522" s="411"/>
      <c r="AA1522" s="412"/>
      <c r="AB1522" s="454"/>
      <c r="AC1522" s="413">
        <v>0</v>
      </c>
      <c r="AD1522" s="413">
        <v>10.35</v>
      </c>
      <c r="AE1522" s="390" t="s">
        <v>9525</v>
      </c>
      <c r="AF1522" s="419"/>
      <c r="AG1522" s="419"/>
      <c r="AH1522" s="419">
        <v>0</v>
      </c>
      <c r="AI1522" s="411"/>
      <c r="AJ1522" s="454"/>
      <c r="AK1522" s="454"/>
      <c r="AL1522" s="390"/>
      <c r="AM1522" s="390"/>
      <c r="AN1522" s="419"/>
      <c r="AO1522" s="402"/>
      <c r="AP1522" s="402" t="s">
        <v>55</v>
      </c>
      <c r="AQ1522" s="402"/>
      <c r="AR1522" s="402" t="s">
        <v>55</v>
      </c>
      <c r="AS1522" s="481">
        <v>41152</v>
      </c>
      <c r="AT1522" s="454"/>
      <c r="AU1522" s="454"/>
      <c r="AV1522" s="454"/>
      <c r="AW1522" s="454"/>
      <c r="AX1522" s="454"/>
      <c r="AY1522" s="454"/>
      <c r="AZ1522" s="454"/>
      <c r="BA1522" s="390"/>
      <c r="BB1522" s="390" t="s">
        <v>3147</v>
      </c>
      <c r="BC1522" s="390" t="b">
        <v>1</v>
      </c>
      <c r="BD1522" s="390" t="s">
        <v>3147</v>
      </c>
      <c r="BE1522" s="402"/>
      <c r="BF1522" s="411">
        <v>9</v>
      </c>
      <c r="BG1522" s="411">
        <v>1</v>
      </c>
      <c r="BH1522" s="411">
        <v>5</v>
      </c>
      <c r="BI1522" s="411">
        <v>7</v>
      </c>
      <c r="BJ1522" s="411"/>
      <c r="BK1522" s="411"/>
      <c r="BL1522" s="445"/>
      <c r="BM1522" s="402"/>
      <c r="BN1522" s="390"/>
      <c r="BO1522" s="390"/>
      <c r="BP1522" s="414"/>
      <c r="BQ1522" s="415"/>
      <c r="BR1522" s="416"/>
      <c r="BS1522" s="414">
        <v>10.5</v>
      </c>
      <c r="BT1522" s="411"/>
      <c r="BU1522" s="419"/>
      <c r="BV1522" s="414"/>
      <c r="BW1522" s="390"/>
      <c r="BX1522" s="402"/>
      <c r="BY1522" s="390"/>
      <c r="BZ1522" s="390"/>
      <c r="CA1522" s="442"/>
      <c r="CB1522" s="415"/>
      <c r="CC1522" s="413"/>
      <c r="CD1522" s="413"/>
      <c r="CE1522" s="413"/>
      <c r="CF1522" s="413"/>
      <c r="CG1522" s="413"/>
      <c r="CH1522" s="413"/>
      <c r="CI1522" s="413"/>
      <c r="CJ1522" s="413"/>
      <c r="CK1522" s="413"/>
      <c r="CL1522" s="413"/>
      <c r="CM1522" s="413"/>
      <c r="CN1522" s="413"/>
      <c r="CO1522" s="413"/>
      <c r="CP1522" s="413"/>
      <c r="CQ1522" s="413"/>
      <c r="CR1522" s="413"/>
      <c r="CS1522" s="413"/>
      <c r="CT1522" s="413"/>
      <c r="CU1522" s="413"/>
      <c r="CV1522" s="413"/>
      <c r="CW1522" s="413"/>
      <c r="CX1522" s="413"/>
      <c r="CY1522" s="413"/>
      <c r="CZ1522" s="413"/>
      <c r="DA1522" s="413"/>
      <c r="DB1522" s="413"/>
      <c r="DC1522" s="413"/>
      <c r="DD1522" s="413"/>
      <c r="DE1522" s="390"/>
      <c r="DF1522" s="390"/>
      <c r="DG1522" s="390"/>
      <c r="DH1522" s="390"/>
      <c r="DI1522" s="390"/>
      <c r="DJ1522" s="390"/>
      <c r="DK1522" s="897"/>
    </row>
    <row r="1523" spans="1:115" ht="38.25" x14ac:dyDescent="0.2">
      <c r="A1523" s="295">
        <v>1519</v>
      </c>
      <c r="B1523" s="390" t="s">
        <v>3065</v>
      </c>
      <c r="C1523" s="390"/>
      <c r="D1523" s="391"/>
      <c r="E1523" s="706" t="s">
        <v>3066</v>
      </c>
      <c r="F1523" s="390" t="s">
        <v>1340</v>
      </c>
      <c r="G1523" s="390" t="s">
        <v>1677</v>
      </c>
      <c r="H1523" s="390" t="s">
        <v>253</v>
      </c>
      <c r="I1523" s="402"/>
      <c r="J1523" s="402"/>
      <c r="K1523" s="402" t="s">
        <v>2997</v>
      </c>
      <c r="L1523" s="402" t="s">
        <v>3063</v>
      </c>
      <c r="M1523" s="402"/>
      <c r="N1523" s="390" t="s">
        <v>33</v>
      </c>
      <c r="O1523" s="390" t="s">
        <v>1294</v>
      </c>
      <c r="P1523" s="390" t="s">
        <v>1294</v>
      </c>
      <c r="Q1523" s="402" t="s">
        <v>1293</v>
      </c>
      <c r="R1523" s="402" t="s">
        <v>3730</v>
      </c>
      <c r="S1523" s="402" t="s">
        <v>3064</v>
      </c>
      <c r="T1523" s="411">
        <v>1</v>
      </c>
      <c r="U1523" s="412">
        <v>1.0349999999999999</v>
      </c>
      <c r="V1523" s="412"/>
      <c r="W1523" s="454"/>
      <c r="X1523" s="411"/>
      <c r="Y1523" s="411">
        <v>10</v>
      </c>
      <c r="Z1523" s="411">
        <v>10</v>
      </c>
      <c r="AA1523" s="412">
        <v>0</v>
      </c>
      <c r="AB1523" s="457">
        <v>41274</v>
      </c>
      <c r="AC1523" s="413">
        <v>0</v>
      </c>
      <c r="AD1523" s="413">
        <v>10.35</v>
      </c>
      <c r="AE1523" s="390" t="s">
        <v>9525</v>
      </c>
      <c r="AF1523" s="419"/>
      <c r="AG1523" s="419"/>
      <c r="AH1523" s="419"/>
      <c r="AI1523" s="411"/>
      <c r="AJ1523" s="454"/>
      <c r="AK1523" s="454"/>
      <c r="AL1523" s="390"/>
      <c r="AM1523" s="390"/>
      <c r="AN1523" s="419"/>
      <c r="AO1523" s="402"/>
      <c r="AP1523" s="402" t="s">
        <v>55</v>
      </c>
      <c r="AQ1523" s="402"/>
      <c r="AR1523" s="402" t="s">
        <v>55</v>
      </c>
      <c r="AS1523" s="481">
        <v>41152</v>
      </c>
      <c r="AT1523" s="454"/>
      <c r="AU1523" s="454"/>
      <c r="AV1523" s="454"/>
      <c r="AW1523" s="454"/>
      <c r="AX1523" s="454"/>
      <c r="AY1523" s="454"/>
      <c r="AZ1523" s="454"/>
      <c r="BA1523" s="390"/>
      <c r="BB1523" s="390"/>
      <c r="BC1523" s="390" t="b">
        <v>0</v>
      </c>
      <c r="BD1523" s="390"/>
      <c r="BE1523" s="402"/>
      <c r="BF1523" s="411">
        <v>9</v>
      </c>
      <c r="BG1523" s="411">
        <v>1</v>
      </c>
      <c r="BH1523" s="411">
        <v>5</v>
      </c>
      <c r="BI1523" s="411">
        <v>7</v>
      </c>
      <c r="BJ1523" s="411"/>
      <c r="BK1523" s="411"/>
      <c r="BL1523" s="445" t="s">
        <v>6981</v>
      </c>
      <c r="BM1523" s="402"/>
      <c r="BN1523" s="390"/>
      <c r="BO1523" s="390"/>
      <c r="BP1523" s="414"/>
      <c r="BQ1523" s="415"/>
      <c r="BR1523" s="416"/>
      <c r="BS1523" s="414">
        <v>10.5</v>
      </c>
      <c r="BT1523" s="411"/>
      <c r="BU1523" s="419">
        <v>0.53349999999999997</v>
      </c>
      <c r="BV1523" s="414"/>
      <c r="BW1523" s="390" t="s">
        <v>3117</v>
      </c>
      <c r="BX1523" s="402" t="s">
        <v>1447</v>
      </c>
      <c r="BY1523" s="390"/>
      <c r="BZ1523" s="390"/>
      <c r="CA1523" s="442" t="s">
        <v>1662</v>
      </c>
      <c r="CB1523" s="415">
        <v>3</v>
      </c>
      <c r="CC1523" s="413"/>
      <c r="CD1523" s="413"/>
      <c r="CE1523" s="413"/>
      <c r="CF1523" s="413"/>
      <c r="CG1523" s="413"/>
      <c r="CH1523" s="413"/>
      <c r="CI1523" s="413">
        <v>1.03498</v>
      </c>
      <c r="CJ1523" s="413">
        <v>1.03498</v>
      </c>
      <c r="CK1523" s="413">
        <v>1.03498</v>
      </c>
      <c r="CL1523" s="413">
        <v>1.03498</v>
      </c>
      <c r="CM1523" s="413">
        <v>1.03498</v>
      </c>
      <c r="CN1523" s="413">
        <v>1.03498</v>
      </c>
      <c r="CO1523" s="413">
        <v>1.03498</v>
      </c>
      <c r="CP1523" s="413">
        <v>1.03498</v>
      </c>
      <c r="CQ1523" s="413">
        <v>1.03498</v>
      </c>
      <c r="CR1523" s="413">
        <v>1.03498</v>
      </c>
      <c r="CS1523" s="413"/>
      <c r="CT1523" s="413"/>
      <c r="CU1523" s="413"/>
      <c r="CV1523" s="413"/>
      <c r="CW1523" s="413"/>
      <c r="CX1523" s="413"/>
      <c r="CY1523" s="413"/>
      <c r="CZ1523" s="413"/>
      <c r="DA1523" s="413"/>
      <c r="DB1523" s="413"/>
      <c r="DC1523" s="413"/>
      <c r="DD1523" s="413"/>
      <c r="DE1523" s="390"/>
      <c r="DF1523" s="390"/>
      <c r="DG1523" s="390"/>
      <c r="DH1523" s="390"/>
      <c r="DI1523" s="390"/>
      <c r="DJ1523" s="390"/>
      <c r="DK1523" s="897"/>
    </row>
    <row r="1524" spans="1:115" ht="38.25" x14ac:dyDescent="0.2">
      <c r="A1524" s="295">
        <v>1520</v>
      </c>
      <c r="B1524" s="390" t="s">
        <v>3731</v>
      </c>
      <c r="C1524" s="424" t="s">
        <v>7813</v>
      </c>
      <c r="D1524" s="391"/>
      <c r="E1524" s="707" t="s">
        <v>1813</v>
      </c>
      <c r="F1524" s="404" t="s">
        <v>1340</v>
      </c>
      <c r="G1524" s="404" t="s">
        <v>1677</v>
      </c>
      <c r="H1524" s="404" t="s">
        <v>151</v>
      </c>
      <c r="I1524" s="403"/>
      <c r="J1524" s="403" t="s">
        <v>151</v>
      </c>
      <c r="K1524" s="403"/>
      <c r="L1524" s="403" t="s">
        <v>3732</v>
      </c>
      <c r="M1524" s="403" t="s">
        <v>3733</v>
      </c>
      <c r="N1524" s="404" t="s">
        <v>3142</v>
      </c>
      <c r="O1524" s="404" t="s">
        <v>289</v>
      </c>
      <c r="P1524" s="404" t="s">
        <v>289</v>
      </c>
      <c r="Q1524" s="403" t="s">
        <v>721</v>
      </c>
      <c r="R1524" s="403"/>
      <c r="S1524" s="403" t="s">
        <v>650</v>
      </c>
      <c r="T1524" s="405">
        <v>1</v>
      </c>
      <c r="U1524" s="406">
        <v>21.452000000000002</v>
      </c>
      <c r="V1524" s="406"/>
      <c r="W1524" s="456">
        <v>41029</v>
      </c>
      <c r="X1524" s="405">
        <v>28</v>
      </c>
      <c r="Y1524" s="405"/>
      <c r="Z1524" s="405"/>
      <c r="AA1524" s="406"/>
      <c r="AB1524" s="455"/>
      <c r="AC1524" s="407">
        <v>0</v>
      </c>
      <c r="AD1524" s="407">
        <v>171.67477260273975</v>
      </c>
      <c r="AE1524" s="404" t="s">
        <v>103</v>
      </c>
      <c r="AF1524" s="418"/>
      <c r="AG1524" s="418"/>
      <c r="AH1524" s="418">
        <v>0</v>
      </c>
      <c r="AI1524" s="405"/>
      <c r="AJ1524" s="455"/>
      <c r="AK1524" s="455"/>
      <c r="AL1524" s="404"/>
      <c r="AM1524" s="404"/>
      <c r="AN1524" s="418"/>
      <c r="AO1524" s="403"/>
      <c r="AP1524" s="403" t="s">
        <v>55</v>
      </c>
      <c r="AQ1524" s="403"/>
      <c r="AR1524" s="403" t="s">
        <v>55</v>
      </c>
      <c r="AS1524" s="482">
        <v>41153</v>
      </c>
      <c r="AT1524" s="455"/>
      <c r="AU1524" s="455" t="s">
        <v>1829</v>
      </c>
      <c r="AV1524" s="455"/>
      <c r="AW1524" s="455"/>
      <c r="AX1524" s="455"/>
      <c r="AY1524" s="455"/>
      <c r="AZ1524" s="455"/>
      <c r="BA1524" s="404"/>
      <c r="BB1524" s="404" t="s">
        <v>3147</v>
      </c>
      <c r="BC1524" s="404" t="b">
        <v>1</v>
      </c>
      <c r="BD1524" s="404" t="s">
        <v>3116</v>
      </c>
      <c r="BE1524" s="403"/>
      <c r="BF1524" s="405">
        <v>4</v>
      </c>
      <c r="BG1524" s="405">
        <v>5</v>
      </c>
      <c r="BH1524" s="405">
        <v>9</v>
      </c>
      <c r="BI1524" s="405">
        <v>11</v>
      </c>
      <c r="BJ1524" s="405"/>
      <c r="BK1524" s="405"/>
      <c r="BL1524" s="446"/>
      <c r="BM1524" s="403"/>
      <c r="BN1524" s="404"/>
      <c r="BO1524" s="404"/>
      <c r="BP1524" s="408"/>
      <c r="BQ1524" s="409"/>
      <c r="BR1524" s="410"/>
      <c r="BS1524" s="408">
        <v>23</v>
      </c>
      <c r="BT1524" s="405"/>
      <c r="BU1524" s="418"/>
      <c r="BV1524" s="408"/>
      <c r="BW1524" s="404"/>
      <c r="BX1524" s="403"/>
      <c r="BY1524" s="404"/>
      <c r="BZ1524" s="404"/>
      <c r="CA1524" s="443"/>
      <c r="CB1524" s="409"/>
      <c r="CC1524" s="407"/>
      <c r="CD1524" s="407"/>
      <c r="CE1524" s="407"/>
      <c r="CF1524" s="407"/>
      <c r="CG1524" s="407"/>
      <c r="CH1524" s="407"/>
      <c r="CI1524" s="407"/>
      <c r="CJ1524" s="407"/>
      <c r="CK1524" s="407"/>
      <c r="CL1524" s="407"/>
      <c r="CM1524" s="407"/>
      <c r="CN1524" s="407"/>
      <c r="CO1524" s="407"/>
      <c r="CP1524" s="407"/>
      <c r="CQ1524" s="407"/>
      <c r="CR1524" s="407"/>
      <c r="CS1524" s="407"/>
      <c r="CT1524" s="407"/>
      <c r="CU1524" s="407"/>
      <c r="CV1524" s="407"/>
      <c r="CW1524" s="407"/>
      <c r="CX1524" s="407"/>
      <c r="CY1524" s="407"/>
      <c r="CZ1524" s="407"/>
      <c r="DA1524" s="407"/>
      <c r="DB1524" s="407"/>
      <c r="DC1524" s="407"/>
      <c r="DD1524" s="407"/>
      <c r="DE1524" s="404"/>
      <c r="DF1524" s="404"/>
      <c r="DG1524" s="404"/>
      <c r="DH1524" s="404"/>
      <c r="DI1524" s="404"/>
      <c r="DJ1524" s="404"/>
      <c r="DK1524" s="897"/>
    </row>
    <row r="1525" spans="1:115" ht="25.5" x14ac:dyDescent="0.2">
      <c r="A1525" s="295">
        <v>1521</v>
      </c>
      <c r="B1525" s="390" t="s">
        <v>3734</v>
      </c>
      <c r="C1525" s="390"/>
      <c r="D1525" s="391"/>
      <c r="E1525" s="707" t="s">
        <v>3735</v>
      </c>
      <c r="F1525" s="404" t="s">
        <v>1340</v>
      </c>
      <c r="G1525" s="404" t="s">
        <v>1677</v>
      </c>
      <c r="H1525" s="404" t="s">
        <v>151</v>
      </c>
      <c r="I1525" s="403"/>
      <c r="J1525" s="403"/>
      <c r="K1525" s="403" t="s">
        <v>1815</v>
      </c>
      <c r="L1525" s="403" t="s">
        <v>3732</v>
      </c>
      <c r="M1525" s="403"/>
      <c r="N1525" s="404" t="s">
        <v>3142</v>
      </c>
      <c r="O1525" s="404" t="s">
        <v>289</v>
      </c>
      <c r="P1525" s="404" t="s">
        <v>289</v>
      </c>
      <c r="Q1525" s="403" t="s">
        <v>721</v>
      </c>
      <c r="R1525" s="403" t="s">
        <v>3736</v>
      </c>
      <c r="S1525" s="403" t="s">
        <v>650</v>
      </c>
      <c r="T1525" s="405">
        <v>1</v>
      </c>
      <c r="U1525" s="406">
        <v>21.452000000000002</v>
      </c>
      <c r="V1525" s="406"/>
      <c r="W1525" s="455"/>
      <c r="X1525" s="405"/>
      <c r="Y1525" s="405">
        <v>7</v>
      </c>
      <c r="Z1525" s="405">
        <v>30</v>
      </c>
      <c r="AA1525" s="406">
        <v>0</v>
      </c>
      <c r="AB1525" s="456">
        <v>41275</v>
      </c>
      <c r="AC1525" s="407">
        <v>0</v>
      </c>
      <c r="AD1525" s="407">
        <v>171.67477260273975</v>
      </c>
      <c r="AE1525" s="404" t="s">
        <v>103</v>
      </c>
      <c r="AF1525" s="418"/>
      <c r="AG1525" s="418"/>
      <c r="AH1525" s="418"/>
      <c r="AI1525" s="405"/>
      <c r="AJ1525" s="455"/>
      <c r="AK1525" s="455"/>
      <c r="AL1525" s="404"/>
      <c r="AM1525" s="404"/>
      <c r="AN1525" s="418"/>
      <c r="AO1525" s="403"/>
      <c r="AP1525" s="403" t="s">
        <v>55</v>
      </c>
      <c r="AQ1525" s="403"/>
      <c r="AR1525" s="403" t="s">
        <v>55</v>
      </c>
      <c r="AS1525" s="482">
        <v>41153</v>
      </c>
      <c r="AT1525" s="455"/>
      <c r="AU1525" s="455" t="s">
        <v>4257</v>
      </c>
      <c r="AV1525" s="455"/>
      <c r="AW1525" s="455"/>
      <c r="AX1525" s="455"/>
      <c r="AY1525" s="455"/>
      <c r="AZ1525" s="455"/>
      <c r="BA1525" s="404"/>
      <c r="BB1525" s="404"/>
      <c r="BC1525" s="404" t="b">
        <v>0</v>
      </c>
      <c r="BD1525" s="404"/>
      <c r="BE1525" s="403"/>
      <c r="BF1525" s="405">
        <v>4</v>
      </c>
      <c r="BG1525" s="405">
        <v>5</v>
      </c>
      <c r="BH1525" s="405">
        <v>9</v>
      </c>
      <c r="BI1525" s="405">
        <v>11</v>
      </c>
      <c r="BJ1525" s="405"/>
      <c r="BK1525" s="405"/>
      <c r="BL1525" s="446" t="s">
        <v>6981</v>
      </c>
      <c r="BM1525" s="403"/>
      <c r="BN1525" s="404"/>
      <c r="BO1525" s="404"/>
      <c r="BP1525" s="408"/>
      <c r="BQ1525" s="409"/>
      <c r="BR1525" s="410"/>
      <c r="BS1525" s="408">
        <v>23</v>
      </c>
      <c r="BT1525" s="405">
        <v>107923</v>
      </c>
      <c r="BU1525" s="418">
        <v>1.9879999999999998E-2</v>
      </c>
      <c r="BV1525" s="408"/>
      <c r="BW1525" s="404" t="s">
        <v>3117</v>
      </c>
      <c r="BX1525" s="403"/>
      <c r="BY1525" s="404"/>
      <c r="BZ1525" s="404"/>
      <c r="CA1525" s="443" t="s">
        <v>1662</v>
      </c>
      <c r="CB1525" s="409">
        <v>3</v>
      </c>
      <c r="CC1525" s="407"/>
      <c r="CD1525" s="407"/>
      <c r="CE1525" s="407"/>
      <c r="CF1525" s="407"/>
      <c r="CG1525" s="407"/>
      <c r="CH1525" s="407"/>
      <c r="CI1525" s="407">
        <v>21.452000000000002</v>
      </c>
      <c r="CJ1525" s="407">
        <v>21.452000000000002</v>
      </c>
      <c r="CK1525" s="407">
        <v>21.452000000000002</v>
      </c>
      <c r="CL1525" s="407">
        <v>21.452000000000002</v>
      </c>
      <c r="CM1525" s="407">
        <v>21.452000000000002</v>
      </c>
      <c r="CN1525" s="407">
        <v>21.452000000000002</v>
      </c>
      <c r="CO1525" s="407">
        <v>21.452000000000002</v>
      </c>
      <c r="CP1525" s="407"/>
      <c r="CQ1525" s="407"/>
      <c r="CR1525" s="407"/>
      <c r="CS1525" s="407"/>
      <c r="CT1525" s="407"/>
      <c r="CU1525" s="407"/>
      <c r="CV1525" s="407"/>
      <c r="CW1525" s="407"/>
      <c r="CX1525" s="407"/>
      <c r="CY1525" s="407"/>
      <c r="CZ1525" s="407"/>
      <c r="DA1525" s="407"/>
      <c r="DB1525" s="407"/>
      <c r="DC1525" s="407"/>
      <c r="DD1525" s="407"/>
      <c r="DE1525" s="404"/>
      <c r="DF1525" s="404"/>
      <c r="DG1525" s="404"/>
      <c r="DH1525" s="404"/>
      <c r="DI1525" s="404"/>
      <c r="DJ1525" s="404"/>
      <c r="DK1525" s="897"/>
    </row>
    <row r="1526" spans="1:115" ht="51" x14ac:dyDescent="0.2">
      <c r="A1526" s="295">
        <v>1522</v>
      </c>
      <c r="B1526" s="390" t="s">
        <v>3737</v>
      </c>
      <c r="C1526" s="424" t="s">
        <v>7814</v>
      </c>
      <c r="D1526" s="391" t="s">
        <v>5766</v>
      </c>
      <c r="E1526" s="704" t="s">
        <v>3738</v>
      </c>
      <c r="F1526" s="393" t="s">
        <v>1375</v>
      </c>
      <c r="G1526" s="393" t="s">
        <v>998</v>
      </c>
      <c r="H1526" s="393" t="s">
        <v>1381</v>
      </c>
      <c r="I1526" s="392"/>
      <c r="J1526" s="392" t="s">
        <v>1381</v>
      </c>
      <c r="K1526" s="392"/>
      <c r="L1526" s="392" t="s">
        <v>2450</v>
      </c>
      <c r="M1526" s="392" t="s">
        <v>3739</v>
      </c>
      <c r="N1526" s="393" t="s">
        <v>44</v>
      </c>
      <c r="O1526" s="393" t="s">
        <v>51</v>
      </c>
      <c r="P1526" s="393" t="s">
        <v>51</v>
      </c>
      <c r="Q1526" s="392" t="s">
        <v>976</v>
      </c>
      <c r="R1526" s="392"/>
      <c r="S1526" s="392" t="s">
        <v>977</v>
      </c>
      <c r="T1526" s="394">
        <v>3</v>
      </c>
      <c r="U1526" s="395">
        <v>139.58600000000001</v>
      </c>
      <c r="V1526" s="395"/>
      <c r="W1526" s="452">
        <v>41157</v>
      </c>
      <c r="X1526" s="394">
        <v>28</v>
      </c>
      <c r="Y1526" s="394"/>
      <c r="Z1526" s="394"/>
      <c r="AA1526" s="395"/>
      <c r="AB1526" s="453"/>
      <c r="AC1526" s="398">
        <v>10.499000000000001</v>
      </c>
      <c r="AD1526" s="398">
        <v>1314.6590794520548</v>
      </c>
      <c r="AE1526" s="393" t="s">
        <v>47</v>
      </c>
      <c r="AF1526" s="417"/>
      <c r="AG1526" s="417">
        <f>SUM(AG1527:AG1529)</f>
        <v>329.10299999999995</v>
      </c>
      <c r="AH1526" s="417">
        <v>329.10299999999995</v>
      </c>
      <c r="AI1526" s="394"/>
      <c r="AJ1526" s="453">
        <v>42545</v>
      </c>
      <c r="AK1526" s="453">
        <v>43024</v>
      </c>
      <c r="AL1526" s="393"/>
      <c r="AM1526" s="393"/>
      <c r="AN1526" s="417"/>
      <c r="AO1526" s="428" t="s">
        <v>9372</v>
      </c>
      <c r="AP1526" s="428" t="s">
        <v>9399</v>
      </c>
      <c r="AQ1526" s="428" t="s">
        <v>7057</v>
      </c>
      <c r="AR1526" s="392" t="s">
        <v>55</v>
      </c>
      <c r="AS1526" s="479">
        <v>41157</v>
      </c>
      <c r="AT1526" s="453"/>
      <c r="AU1526" s="453"/>
      <c r="AV1526" s="453"/>
      <c r="AW1526" s="453"/>
      <c r="AX1526" s="453"/>
      <c r="AY1526" s="452">
        <v>41564</v>
      </c>
      <c r="AZ1526" s="453"/>
      <c r="BA1526" s="393"/>
      <c r="BB1526" s="393" t="s">
        <v>3116</v>
      </c>
      <c r="BC1526" s="393" t="b">
        <v>0</v>
      </c>
      <c r="BD1526" s="393" t="s">
        <v>3147</v>
      </c>
      <c r="BE1526" s="392" t="s">
        <v>6245</v>
      </c>
      <c r="BF1526" s="394">
        <v>4</v>
      </c>
      <c r="BG1526" s="394">
        <v>7</v>
      </c>
      <c r="BH1526" s="394">
        <v>8</v>
      </c>
      <c r="BI1526" s="394">
        <v>9</v>
      </c>
      <c r="BJ1526" s="394">
        <v>6</v>
      </c>
      <c r="BK1526" s="394"/>
      <c r="BL1526" s="444"/>
      <c r="BM1526" s="392"/>
      <c r="BN1526" s="393"/>
      <c r="BO1526" s="393"/>
      <c r="BP1526" s="399"/>
      <c r="BQ1526" s="400"/>
      <c r="BR1526" s="401"/>
      <c r="BS1526" s="399">
        <v>0</v>
      </c>
      <c r="BT1526" s="394"/>
      <c r="BU1526" s="417"/>
      <c r="BV1526" s="399"/>
      <c r="BW1526" s="393"/>
      <c r="BX1526" s="392"/>
      <c r="BY1526" s="475" t="s">
        <v>7224</v>
      </c>
      <c r="BZ1526" s="393"/>
      <c r="CA1526" s="441"/>
      <c r="CB1526" s="400"/>
      <c r="CC1526" s="398"/>
      <c r="CD1526" s="398"/>
      <c r="CE1526" s="398"/>
      <c r="CF1526" s="398"/>
      <c r="CG1526" s="398"/>
      <c r="CH1526" s="398"/>
      <c r="CI1526" s="398"/>
      <c r="CJ1526" s="398"/>
      <c r="CK1526" s="398"/>
      <c r="CL1526" s="398"/>
      <c r="CM1526" s="398"/>
      <c r="CN1526" s="398"/>
      <c r="CO1526" s="398"/>
      <c r="CP1526" s="398"/>
      <c r="CQ1526" s="398"/>
      <c r="CR1526" s="398"/>
      <c r="CS1526" s="398"/>
      <c r="CT1526" s="398"/>
      <c r="CU1526" s="398"/>
      <c r="CV1526" s="398"/>
      <c r="CW1526" s="398"/>
      <c r="CX1526" s="398"/>
      <c r="CY1526" s="398"/>
      <c r="CZ1526" s="398"/>
      <c r="DA1526" s="398"/>
      <c r="DB1526" s="398"/>
      <c r="DC1526" s="398"/>
      <c r="DD1526" s="398"/>
      <c r="DE1526" s="393"/>
      <c r="DF1526" s="393"/>
      <c r="DG1526" s="393"/>
      <c r="DH1526" s="393"/>
      <c r="DI1526" s="393"/>
      <c r="DJ1526" s="393"/>
      <c r="DK1526" s="896" t="s">
        <v>9725</v>
      </c>
    </row>
    <row r="1527" spans="1:115" ht="25.5" x14ac:dyDescent="0.2">
      <c r="A1527" s="295">
        <v>1523</v>
      </c>
      <c r="B1527" s="390" t="s">
        <v>3740</v>
      </c>
      <c r="C1527" s="390"/>
      <c r="D1527" s="391" t="s">
        <v>5767</v>
      </c>
      <c r="E1527" s="704" t="s">
        <v>3741</v>
      </c>
      <c r="F1527" s="393" t="s">
        <v>1375</v>
      </c>
      <c r="G1527" s="393" t="s">
        <v>998</v>
      </c>
      <c r="H1527" s="393" t="s">
        <v>1381</v>
      </c>
      <c r="I1527" s="392"/>
      <c r="J1527" s="392"/>
      <c r="K1527" s="392" t="s">
        <v>3742</v>
      </c>
      <c r="L1527" s="392" t="s">
        <v>2450</v>
      </c>
      <c r="M1527" s="392"/>
      <c r="N1527" s="393" t="s">
        <v>44</v>
      </c>
      <c r="O1527" s="393" t="s">
        <v>51</v>
      </c>
      <c r="P1527" s="393" t="s">
        <v>51</v>
      </c>
      <c r="Q1527" s="392" t="s">
        <v>976</v>
      </c>
      <c r="R1527" s="392" t="s">
        <v>3743</v>
      </c>
      <c r="S1527" s="392" t="s">
        <v>977</v>
      </c>
      <c r="T1527" s="394">
        <v>1</v>
      </c>
      <c r="U1527" s="395">
        <v>46.527999999999999</v>
      </c>
      <c r="V1527" s="395"/>
      <c r="W1527" s="453"/>
      <c r="X1527" s="394"/>
      <c r="Y1527" s="394">
        <v>7</v>
      </c>
      <c r="Z1527" s="394">
        <v>21</v>
      </c>
      <c r="AA1527" s="395">
        <v>0</v>
      </c>
      <c r="AB1527" s="452">
        <v>41183</v>
      </c>
      <c r="AC1527" s="398">
        <v>10.499000000000001</v>
      </c>
      <c r="AD1527" s="398">
        <v>384.07907945205477</v>
      </c>
      <c r="AE1527" s="393" t="s">
        <v>47</v>
      </c>
      <c r="AF1527" s="417"/>
      <c r="AG1527" s="417">
        <f>24.625+38.489+40.525+35.378</f>
        <v>139.017</v>
      </c>
      <c r="AH1527" s="417">
        <v>139.017</v>
      </c>
      <c r="AI1527" s="394"/>
      <c r="AJ1527" s="453">
        <v>42545</v>
      </c>
      <c r="AK1527" s="453">
        <v>43024</v>
      </c>
      <c r="AL1527" s="393"/>
      <c r="AM1527" s="393"/>
      <c r="AN1527" s="417"/>
      <c r="AO1527" s="428" t="s">
        <v>9372</v>
      </c>
      <c r="AP1527" s="428" t="s">
        <v>9399</v>
      </c>
      <c r="AQ1527" s="428" t="s">
        <v>7057</v>
      </c>
      <c r="AR1527" s="392" t="s">
        <v>55</v>
      </c>
      <c r="AS1527" s="479">
        <v>41157</v>
      </c>
      <c r="AT1527" s="453"/>
      <c r="AU1527" s="453"/>
      <c r="AV1527" s="453"/>
      <c r="AW1527" s="453"/>
      <c r="AX1527" s="453"/>
      <c r="AY1527" s="453"/>
      <c r="AZ1527" s="452">
        <v>41564</v>
      </c>
      <c r="BA1527" s="393"/>
      <c r="BB1527" s="393"/>
      <c r="BC1527" s="393" t="b">
        <v>0</v>
      </c>
      <c r="BD1527" s="393"/>
      <c r="BE1527" s="392"/>
      <c r="BF1527" s="394">
        <v>4</v>
      </c>
      <c r="BG1527" s="394">
        <v>7</v>
      </c>
      <c r="BH1527" s="394">
        <v>8</v>
      </c>
      <c r="BI1527" s="394">
        <v>9</v>
      </c>
      <c r="BJ1527" s="394">
        <v>6</v>
      </c>
      <c r="BK1527" s="394"/>
      <c r="BL1527" s="444" t="s">
        <v>6983</v>
      </c>
      <c r="BM1527" s="392"/>
      <c r="BN1527" s="393"/>
      <c r="BO1527" s="393"/>
      <c r="BP1527" s="399"/>
      <c r="BQ1527" s="400"/>
      <c r="BR1527" s="401"/>
      <c r="BS1527" s="399"/>
      <c r="BT1527" s="394"/>
      <c r="BU1527" s="417"/>
      <c r="BV1527" s="399">
        <v>180</v>
      </c>
      <c r="BW1527" s="393" t="s">
        <v>3117</v>
      </c>
      <c r="BX1527" s="392"/>
      <c r="BY1527" s="475" t="s">
        <v>7224</v>
      </c>
      <c r="BZ1527" s="393"/>
      <c r="CA1527" s="441"/>
      <c r="CB1527" s="400"/>
      <c r="CC1527" s="398"/>
      <c r="CD1527" s="398"/>
      <c r="CE1527" s="398"/>
      <c r="CF1527" s="398"/>
      <c r="CG1527" s="398"/>
      <c r="CH1527" s="398"/>
      <c r="CI1527" s="398">
        <v>41.996000000000002</v>
      </c>
      <c r="CJ1527" s="398">
        <v>41.996000000000002</v>
      </c>
      <c r="CK1527" s="398">
        <v>41.996000000000002</v>
      </c>
      <c r="CL1527" s="398">
        <v>41.996000000000002</v>
      </c>
      <c r="CM1527" s="398">
        <v>41.996000000000002</v>
      </c>
      <c r="CN1527" s="398">
        <v>41.996000000000002</v>
      </c>
      <c r="CO1527" s="398">
        <v>41.996000000000002</v>
      </c>
      <c r="CP1527" s="398"/>
      <c r="CQ1527" s="398"/>
      <c r="CR1527" s="398"/>
      <c r="CS1527" s="398"/>
      <c r="CT1527" s="398"/>
      <c r="CU1527" s="398"/>
      <c r="CV1527" s="398"/>
      <c r="CW1527" s="398"/>
      <c r="CX1527" s="398"/>
      <c r="CY1527" s="398"/>
      <c r="CZ1527" s="398"/>
      <c r="DA1527" s="398"/>
      <c r="DB1527" s="398"/>
      <c r="DC1527" s="398"/>
      <c r="DD1527" s="398"/>
      <c r="DE1527" s="393"/>
      <c r="DF1527" s="393"/>
      <c r="DG1527" s="393"/>
      <c r="DH1527" s="393"/>
      <c r="DI1527" s="393"/>
      <c r="DJ1527" s="393"/>
      <c r="DK1527" s="897"/>
    </row>
    <row r="1528" spans="1:115" ht="25.5" x14ac:dyDescent="0.2">
      <c r="A1528" s="295">
        <v>1524</v>
      </c>
      <c r="B1528" s="390" t="s">
        <v>6069</v>
      </c>
      <c r="C1528" s="390"/>
      <c r="D1528" s="391" t="s">
        <v>6051</v>
      </c>
      <c r="E1528" s="704" t="s">
        <v>6070</v>
      </c>
      <c r="F1528" s="393" t="s">
        <v>1375</v>
      </c>
      <c r="G1528" s="393" t="s">
        <v>998</v>
      </c>
      <c r="H1528" s="393" t="s">
        <v>1381</v>
      </c>
      <c r="I1528" s="392"/>
      <c r="J1528" s="392"/>
      <c r="K1528" s="392" t="s">
        <v>159</v>
      </c>
      <c r="L1528" s="392" t="s">
        <v>2450</v>
      </c>
      <c r="M1528" s="392"/>
      <c r="N1528" s="393" t="s">
        <v>44</v>
      </c>
      <c r="O1528" s="393" t="s">
        <v>51</v>
      </c>
      <c r="P1528" s="393" t="s">
        <v>51</v>
      </c>
      <c r="Q1528" s="392" t="s">
        <v>976</v>
      </c>
      <c r="R1528" s="392" t="s">
        <v>3743</v>
      </c>
      <c r="S1528" s="392" t="s">
        <v>977</v>
      </c>
      <c r="T1528" s="394">
        <v>1</v>
      </c>
      <c r="U1528" s="395">
        <v>46.527999999999999</v>
      </c>
      <c r="V1528" s="395"/>
      <c r="W1528" s="453"/>
      <c r="X1528" s="394"/>
      <c r="Y1528" s="394">
        <v>10</v>
      </c>
      <c r="Z1528" s="394"/>
      <c r="AA1528" s="395">
        <v>0</v>
      </c>
      <c r="AB1528" s="452">
        <v>41758</v>
      </c>
      <c r="AC1528" s="398">
        <v>0</v>
      </c>
      <c r="AD1528" s="398">
        <v>465.28</v>
      </c>
      <c r="AE1528" s="393" t="s">
        <v>47</v>
      </c>
      <c r="AF1528" s="417"/>
      <c r="AG1528" s="417">
        <f>4.462+30.098+37.451+34.355</f>
        <v>106.36599999999999</v>
      </c>
      <c r="AH1528" s="417">
        <v>106.36599999999999</v>
      </c>
      <c r="AI1528" s="394"/>
      <c r="AJ1528" s="453">
        <v>42545</v>
      </c>
      <c r="AK1528" s="453">
        <v>43024</v>
      </c>
      <c r="AL1528" s="393"/>
      <c r="AM1528" s="393"/>
      <c r="AN1528" s="417"/>
      <c r="AO1528" s="428" t="s">
        <v>9372</v>
      </c>
      <c r="AP1528" s="428" t="s">
        <v>9399</v>
      </c>
      <c r="AQ1528" s="428" t="s">
        <v>7057</v>
      </c>
      <c r="AR1528" s="392" t="s">
        <v>55</v>
      </c>
      <c r="AS1528" s="479">
        <v>41157</v>
      </c>
      <c r="AT1528" s="453"/>
      <c r="AU1528" s="453"/>
      <c r="AV1528" s="453"/>
      <c r="AW1528" s="453"/>
      <c r="AX1528" s="453"/>
      <c r="AY1528" s="453"/>
      <c r="AZ1528" s="452">
        <v>41757</v>
      </c>
      <c r="BA1528" s="393"/>
      <c r="BB1528" s="393"/>
      <c r="BC1528" s="393" t="b">
        <v>0</v>
      </c>
      <c r="BD1528" s="393"/>
      <c r="BE1528" s="392"/>
      <c r="BF1528" s="394">
        <v>4</v>
      </c>
      <c r="BG1528" s="394">
        <v>7</v>
      </c>
      <c r="BH1528" s="394">
        <v>8</v>
      </c>
      <c r="BI1528" s="394">
        <v>9</v>
      </c>
      <c r="BJ1528" s="394">
        <v>6</v>
      </c>
      <c r="BK1528" s="394"/>
      <c r="BL1528" s="444" t="s">
        <v>6983</v>
      </c>
      <c r="BM1528" s="392"/>
      <c r="BN1528" s="393"/>
      <c r="BO1528" s="393"/>
      <c r="BP1528" s="399"/>
      <c r="BQ1528" s="400"/>
      <c r="BR1528" s="401"/>
      <c r="BS1528" s="399"/>
      <c r="BT1528" s="394"/>
      <c r="BU1528" s="417"/>
      <c r="BV1528" s="399">
        <v>180</v>
      </c>
      <c r="BW1528" s="393" t="s">
        <v>3117</v>
      </c>
      <c r="BX1528" s="392"/>
      <c r="BY1528" s="475" t="s">
        <v>7224</v>
      </c>
      <c r="BZ1528" s="393"/>
      <c r="CA1528" s="441"/>
      <c r="CB1528" s="400"/>
      <c r="CC1528" s="398"/>
      <c r="CD1528" s="398"/>
      <c r="CE1528" s="398"/>
      <c r="CF1528" s="398"/>
      <c r="CG1528" s="398"/>
      <c r="CH1528" s="398"/>
      <c r="CI1528" s="398"/>
      <c r="CJ1528" s="398"/>
      <c r="CK1528" s="398">
        <v>46.53</v>
      </c>
      <c r="CL1528" s="398">
        <v>46.53</v>
      </c>
      <c r="CM1528" s="398">
        <v>46.53</v>
      </c>
      <c r="CN1528" s="398">
        <v>46.53</v>
      </c>
      <c r="CO1528" s="398">
        <v>46.53</v>
      </c>
      <c r="CP1528" s="398">
        <v>46.53</v>
      </c>
      <c r="CQ1528" s="398">
        <v>46.53</v>
      </c>
      <c r="CR1528" s="398">
        <v>46.53</v>
      </c>
      <c r="CS1528" s="398">
        <v>46.53</v>
      </c>
      <c r="CT1528" s="398">
        <v>46.53</v>
      </c>
      <c r="CU1528" s="398"/>
      <c r="CV1528" s="398"/>
      <c r="CW1528" s="398"/>
      <c r="CX1528" s="398"/>
      <c r="CY1528" s="398"/>
      <c r="CZ1528" s="398"/>
      <c r="DA1528" s="398"/>
      <c r="DB1528" s="398"/>
      <c r="DC1528" s="398"/>
      <c r="DD1528" s="398"/>
      <c r="DE1528" s="393"/>
      <c r="DF1528" s="393"/>
      <c r="DG1528" s="393"/>
      <c r="DH1528" s="393"/>
      <c r="DI1528" s="393"/>
      <c r="DJ1528" s="393"/>
      <c r="DK1528" s="897"/>
    </row>
    <row r="1529" spans="1:115" ht="25.5" x14ac:dyDescent="0.2">
      <c r="A1529" s="295">
        <v>1525</v>
      </c>
      <c r="B1529" s="390" t="s">
        <v>7990</v>
      </c>
      <c r="C1529" s="390"/>
      <c r="D1529" s="391" t="s">
        <v>7991</v>
      </c>
      <c r="E1529" s="705" t="s">
        <v>7992</v>
      </c>
      <c r="F1529" s="393" t="s">
        <v>1375</v>
      </c>
      <c r="G1529" s="393" t="s">
        <v>998</v>
      </c>
      <c r="H1529" s="393" t="s">
        <v>1381</v>
      </c>
      <c r="I1529" s="392"/>
      <c r="J1529" s="392"/>
      <c r="K1529" s="428" t="s">
        <v>159</v>
      </c>
      <c r="L1529" s="428" t="s">
        <v>2450</v>
      </c>
      <c r="M1529" s="392"/>
      <c r="N1529" s="475" t="s">
        <v>44</v>
      </c>
      <c r="O1529" s="475" t="s">
        <v>51</v>
      </c>
      <c r="P1529" s="475" t="s">
        <v>51</v>
      </c>
      <c r="Q1529" s="428" t="s">
        <v>976</v>
      </c>
      <c r="R1529" s="428" t="s">
        <v>7993</v>
      </c>
      <c r="S1529" s="428" t="s">
        <v>977</v>
      </c>
      <c r="T1529" s="394">
        <v>1</v>
      </c>
      <c r="U1529" s="395">
        <v>46.53</v>
      </c>
      <c r="V1529" s="395"/>
      <c r="W1529" s="453"/>
      <c r="X1529" s="394"/>
      <c r="Y1529" s="394">
        <v>10</v>
      </c>
      <c r="Z1529" s="394">
        <v>10</v>
      </c>
      <c r="AA1529" s="395">
        <v>0</v>
      </c>
      <c r="AB1529" s="452">
        <v>41789</v>
      </c>
      <c r="AC1529" s="398">
        <v>0</v>
      </c>
      <c r="AD1529" s="398">
        <v>465.3</v>
      </c>
      <c r="AE1529" s="475" t="s">
        <v>47</v>
      </c>
      <c r="AF1529" s="417"/>
      <c r="AG1529" s="417">
        <f>13.99+34.513+35.217</f>
        <v>83.72</v>
      </c>
      <c r="AH1529" s="417">
        <v>83.72</v>
      </c>
      <c r="AI1529" s="394"/>
      <c r="AJ1529" s="453">
        <v>43083</v>
      </c>
      <c r="AK1529" s="453">
        <v>43024</v>
      </c>
      <c r="AL1529" s="393"/>
      <c r="AM1529" s="393"/>
      <c r="AN1529" s="417"/>
      <c r="AO1529" s="428" t="s">
        <v>9372</v>
      </c>
      <c r="AP1529" s="428" t="s">
        <v>9399</v>
      </c>
      <c r="AQ1529" s="428" t="s">
        <v>7057</v>
      </c>
      <c r="AR1529" s="428" t="s">
        <v>55</v>
      </c>
      <c r="AS1529" s="479">
        <v>41157</v>
      </c>
      <c r="AT1529" s="453"/>
      <c r="AU1529" s="453"/>
      <c r="AV1529" s="453"/>
      <c r="AW1529" s="453"/>
      <c r="AX1529" s="453"/>
      <c r="AY1529" s="453"/>
      <c r="AZ1529" s="452">
        <v>41789</v>
      </c>
      <c r="BA1529" s="393"/>
      <c r="BB1529" s="393"/>
      <c r="BC1529" s="393" t="b">
        <v>0</v>
      </c>
      <c r="BD1529" s="393"/>
      <c r="BE1529" s="392"/>
      <c r="BF1529" s="394">
        <v>4</v>
      </c>
      <c r="BG1529" s="394">
        <v>7</v>
      </c>
      <c r="BH1529" s="394">
        <v>8</v>
      </c>
      <c r="BI1529" s="394">
        <v>9</v>
      </c>
      <c r="BJ1529" s="394">
        <v>6</v>
      </c>
      <c r="BK1529" s="394"/>
      <c r="BL1529" s="444" t="s">
        <v>6983</v>
      </c>
      <c r="BM1529" s="392"/>
      <c r="BN1529" s="393"/>
      <c r="BO1529" s="393"/>
      <c r="BP1529" s="399"/>
      <c r="BQ1529" s="400"/>
      <c r="BR1529" s="401"/>
      <c r="BS1529" s="399"/>
      <c r="BT1529" s="394"/>
      <c r="BU1529" s="417"/>
      <c r="BV1529" s="399">
        <v>180</v>
      </c>
      <c r="BW1529" s="475" t="s">
        <v>3117</v>
      </c>
      <c r="BX1529" s="392"/>
      <c r="BY1529" s="475" t="s">
        <v>7224</v>
      </c>
      <c r="BZ1529" s="393"/>
      <c r="CA1529" s="441"/>
      <c r="CB1529" s="400"/>
      <c r="CC1529" s="398"/>
      <c r="CD1529" s="398"/>
      <c r="CE1529" s="398"/>
      <c r="CF1529" s="398"/>
      <c r="CG1529" s="398"/>
      <c r="CH1529" s="398"/>
      <c r="CI1529" s="398"/>
      <c r="CJ1529" s="398"/>
      <c r="CK1529" s="398">
        <v>46.53</v>
      </c>
      <c r="CL1529" s="398">
        <v>46.53</v>
      </c>
      <c r="CM1529" s="398">
        <v>46.53</v>
      </c>
      <c r="CN1529" s="398">
        <v>46.53</v>
      </c>
      <c r="CO1529" s="398">
        <v>46.53</v>
      </c>
      <c r="CP1529" s="398">
        <v>46.53</v>
      </c>
      <c r="CQ1529" s="398">
        <v>46.53</v>
      </c>
      <c r="CR1529" s="398">
        <v>46.53</v>
      </c>
      <c r="CS1529" s="398">
        <v>46.53</v>
      </c>
      <c r="CT1529" s="398">
        <v>46.53</v>
      </c>
      <c r="CU1529" s="398"/>
      <c r="CV1529" s="398"/>
      <c r="CW1529" s="398"/>
      <c r="CX1529" s="398"/>
      <c r="CY1529" s="398"/>
      <c r="CZ1529" s="398"/>
      <c r="DA1529" s="398"/>
      <c r="DB1529" s="398"/>
      <c r="DC1529" s="398"/>
      <c r="DD1529" s="398"/>
      <c r="DE1529" s="393"/>
      <c r="DF1529" s="393"/>
      <c r="DG1529" s="393"/>
      <c r="DH1529" s="393"/>
      <c r="DI1529" s="393"/>
      <c r="DJ1529" s="393"/>
      <c r="DK1529" s="897"/>
    </row>
    <row r="1530" spans="1:115" ht="63.75" x14ac:dyDescent="0.2">
      <c r="A1530" s="295">
        <v>1526</v>
      </c>
      <c r="B1530" s="390" t="s">
        <v>3744</v>
      </c>
      <c r="C1530" s="424" t="s">
        <v>7815</v>
      </c>
      <c r="D1530" s="391"/>
      <c r="E1530" s="707" t="s">
        <v>3745</v>
      </c>
      <c r="F1530" s="404" t="s">
        <v>1375</v>
      </c>
      <c r="G1530" s="404" t="s">
        <v>1361</v>
      </c>
      <c r="H1530" s="404" t="s">
        <v>137</v>
      </c>
      <c r="I1530" s="403"/>
      <c r="J1530" s="403" t="s">
        <v>137</v>
      </c>
      <c r="K1530" s="403"/>
      <c r="L1530" s="403" t="s">
        <v>3746</v>
      </c>
      <c r="M1530" s="403" t="s">
        <v>3747</v>
      </c>
      <c r="N1530" s="404" t="s">
        <v>3142</v>
      </c>
      <c r="O1530" s="404" t="s">
        <v>827</v>
      </c>
      <c r="P1530" s="404" t="s">
        <v>827</v>
      </c>
      <c r="Q1530" s="403" t="s">
        <v>923</v>
      </c>
      <c r="R1530" s="403"/>
      <c r="S1530" s="403" t="s">
        <v>3748</v>
      </c>
      <c r="T1530" s="405">
        <v>1</v>
      </c>
      <c r="U1530" s="406">
        <v>1.7999999999999999E-2</v>
      </c>
      <c r="V1530" s="406"/>
      <c r="W1530" s="456">
        <v>41274</v>
      </c>
      <c r="X1530" s="405">
        <v>28</v>
      </c>
      <c r="Y1530" s="405"/>
      <c r="Z1530" s="405"/>
      <c r="AA1530" s="406"/>
      <c r="AB1530" s="455"/>
      <c r="AC1530" s="407">
        <v>0</v>
      </c>
      <c r="AD1530" s="407">
        <v>0.14404931506849314</v>
      </c>
      <c r="AE1530" s="404" t="s">
        <v>133</v>
      </c>
      <c r="AF1530" s="418"/>
      <c r="AG1530" s="418"/>
      <c r="AH1530" s="418">
        <v>0</v>
      </c>
      <c r="AI1530" s="405"/>
      <c r="AJ1530" s="455"/>
      <c r="AK1530" s="455"/>
      <c r="AL1530" s="404"/>
      <c r="AM1530" s="404"/>
      <c r="AN1530" s="418"/>
      <c r="AO1530" s="403"/>
      <c r="AP1530" s="403" t="s">
        <v>55</v>
      </c>
      <c r="AQ1530" s="403"/>
      <c r="AR1530" s="403" t="s">
        <v>55</v>
      </c>
      <c r="AS1530" s="482">
        <v>41172</v>
      </c>
      <c r="AT1530" s="455"/>
      <c r="AU1530" s="455"/>
      <c r="AV1530" s="455"/>
      <c r="AW1530" s="455"/>
      <c r="AX1530" s="455"/>
      <c r="AY1530" s="455"/>
      <c r="AZ1530" s="455"/>
      <c r="BA1530" s="404"/>
      <c r="BB1530" s="404" t="s">
        <v>3116</v>
      </c>
      <c r="BC1530" s="404" t="b">
        <v>0</v>
      </c>
      <c r="BD1530" s="404" t="s">
        <v>3116</v>
      </c>
      <c r="BE1530" s="403"/>
      <c r="BF1530" s="405">
        <v>5</v>
      </c>
      <c r="BG1530" s="405">
        <v>7</v>
      </c>
      <c r="BH1530" s="405">
        <v>1</v>
      </c>
      <c r="BI1530" s="405">
        <v>10</v>
      </c>
      <c r="BJ1530" s="405">
        <v>9</v>
      </c>
      <c r="BK1530" s="405"/>
      <c r="BL1530" s="446"/>
      <c r="BM1530" s="403"/>
      <c r="BN1530" s="404"/>
      <c r="BO1530" s="404"/>
      <c r="BP1530" s="408"/>
      <c r="BQ1530" s="409"/>
      <c r="BR1530" s="410"/>
      <c r="BS1530" s="408">
        <v>0</v>
      </c>
      <c r="BT1530" s="405"/>
      <c r="BU1530" s="418"/>
      <c r="BV1530" s="408"/>
      <c r="BW1530" s="404"/>
      <c r="BX1530" s="403"/>
      <c r="BY1530" s="404"/>
      <c r="BZ1530" s="404"/>
      <c r="CA1530" s="443"/>
      <c r="CB1530" s="409"/>
      <c r="CC1530" s="407"/>
      <c r="CD1530" s="407"/>
      <c r="CE1530" s="407"/>
      <c r="CF1530" s="407"/>
      <c r="CG1530" s="407"/>
      <c r="CH1530" s="407"/>
      <c r="CI1530" s="407"/>
      <c r="CJ1530" s="407"/>
      <c r="CK1530" s="407"/>
      <c r="CL1530" s="407"/>
      <c r="CM1530" s="407"/>
      <c r="CN1530" s="407"/>
      <c r="CO1530" s="407"/>
      <c r="CP1530" s="407"/>
      <c r="CQ1530" s="407"/>
      <c r="CR1530" s="407"/>
      <c r="CS1530" s="407"/>
      <c r="CT1530" s="407"/>
      <c r="CU1530" s="407"/>
      <c r="CV1530" s="407"/>
      <c r="CW1530" s="407"/>
      <c r="CX1530" s="407"/>
      <c r="CY1530" s="407"/>
      <c r="CZ1530" s="407"/>
      <c r="DA1530" s="407"/>
      <c r="DB1530" s="407"/>
      <c r="DC1530" s="407"/>
      <c r="DD1530" s="407"/>
      <c r="DE1530" s="404"/>
      <c r="DF1530" s="404"/>
      <c r="DG1530" s="404"/>
      <c r="DH1530" s="404"/>
      <c r="DI1530" s="404"/>
      <c r="DJ1530" s="404"/>
      <c r="DK1530" s="897"/>
    </row>
    <row r="1531" spans="1:115" ht="38.25" x14ac:dyDescent="0.2">
      <c r="A1531" s="295">
        <v>1527</v>
      </c>
      <c r="B1531" s="390" t="s">
        <v>3749</v>
      </c>
      <c r="C1531" s="390"/>
      <c r="D1531" s="391"/>
      <c r="E1531" s="707" t="s">
        <v>3750</v>
      </c>
      <c r="F1531" s="404" t="s">
        <v>1375</v>
      </c>
      <c r="G1531" s="404" t="s">
        <v>1361</v>
      </c>
      <c r="H1531" s="404" t="s">
        <v>137</v>
      </c>
      <c r="I1531" s="403"/>
      <c r="J1531" s="403"/>
      <c r="K1531" s="403" t="s">
        <v>2164</v>
      </c>
      <c r="L1531" s="403" t="s">
        <v>3746</v>
      </c>
      <c r="M1531" s="403"/>
      <c r="N1531" s="404" t="s">
        <v>3142</v>
      </c>
      <c r="O1531" s="404" t="s">
        <v>827</v>
      </c>
      <c r="P1531" s="404" t="s">
        <v>827</v>
      </c>
      <c r="Q1531" s="403" t="s">
        <v>923</v>
      </c>
      <c r="R1531" s="403" t="s">
        <v>3751</v>
      </c>
      <c r="S1531" s="403" t="s">
        <v>3748</v>
      </c>
      <c r="T1531" s="405">
        <v>1</v>
      </c>
      <c r="U1531" s="406">
        <v>1.7999999999999999E-2</v>
      </c>
      <c r="V1531" s="406"/>
      <c r="W1531" s="455"/>
      <c r="X1531" s="405"/>
      <c r="Y1531" s="405">
        <v>7</v>
      </c>
      <c r="Z1531" s="405">
        <v>20</v>
      </c>
      <c r="AA1531" s="406">
        <v>0</v>
      </c>
      <c r="AB1531" s="456">
        <v>41275</v>
      </c>
      <c r="AC1531" s="407">
        <v>0</v>
      </c>
      <c r="AD1531" s="407">
        <v>0.14404931506849314</v>
      </c>
      <c r="AE1531" s="404" t="s">
        <v>133</v>
      </c>
      <c r="AF1531" s="418"/>
      <c r="AG1531" s="418"/>
      <c r="AH1531" s="418"/>
      <c r="AI1531" s="405"/>
      <c r="AJ1531" s="455"/>
      <c r="AK1531" s="455"/>
      <c r="AL1531" s="404"/>
      <c r="AM1531" s="404"/>
      <c r="AN1531" s="418"/>
      <c r="AO1531" s="403"/>
      <c r="AP1531" s="403" t="s">
        <v>55</v>
      </c>
      <c r="AQ1531" s="403"/>
      <c r="AR1531" s="403" t="s">
        <v>55</v>
      </c>
      <c r="AS1531" s="482">
        <v>41172</v>
      </c>
      <c r="AT1531" s="455"/>
      <c r="AU1531" s="455"/>
      <c r="AV1531" s="455"/>
      <c r="AW1531" s="455"/>
      <c r="AX1531" s="455"/>
      <c r="AY1531" s="455"/>
      <c r="AZ1531" s="455"/>
      <c r="BA1531" s="404"/>
      <c r="BB1531" s="404"/>
      <c r="BC1531" s="404" t="b">
        <v>0</v>
      </c>
      <c r="BD1531" s="404"/>
      <c r="BE1531" s="403"/>
      <c r="BF1531" s="405">
        <v>5</v>
      </c>
      <c r="BG1531" s="405">
        <v>7</v>
      </c>
      <c r="BH1531" s="405">
        <v>1</v>
      </c>
      <c r="BI1531" s="405">
        <v>10</v>
      </c>
      <c r="BJ1531" s="405">
        <v>9</v>
      </c>
      <c r="BK1531" s="405"/>
      <c r="BL1531" s="446" t="s">
        <v>6981</v>
      </c>
      <c r="BM1531" s="403"/>
      <c r="BN1531" s="404"/>
      <c r="BO1531" s="404"/>
      <c r="BP1531" s="408"/>
      <c r="BQ1531" s="409"/>
      <c r="BR1531" s="410"/>
      <c r="BS1531" s="408"/>
      <c r="BT1531" s="405"/>
      <c r="BU1531" s="418"/>
      <c r="BV1531" s="408"/>
      <c r="BW1531" s="404" t="s">
        <v>3117</v>
      </c>
      <c r="BX1531" s="403" t="s">
        <v>4364</v>
      </c>
      <c r="BY1531" s="404" t="s">
        <v>7224</v>
      </c>
      <c r="BZ1531" s="404"/>
      <c r="CA1531" s="443"/>
      <c r="CB1531" s="409"/>
      <c r="CC1531" s="407"/>
      <c r="CD1531" s="407"/>
      <c r="CE1531" s="407"/>
      <c r="CF1531" s="407"/>
      <c r="CG1531" s="407"/>
      <c r="CH1531" s="407"/>
      <c r="CI1531" s="407">
        <v>1.7999999999999999E-2</v>
      </c>
      <c r="CJ1531" s="407">
        <v>1.7999999999999999E-2</v>
      </c>
      <c r="CK1531" s="407">
        <v>1.7999999999999999E-2</v>
      </c>
      <c r="CL1531" s="407">
        <v>1.7999999999999999E-2</v>
      </c>
      <c r="CM1531" s="407">
        <v>1.7999999999999999E-2</v>
      </c>
      <c r="CN1531" s="407">
        <v>1.7999999999999999E-2</v>
      </c>
      <c r="CO1531" s="407">
        <v>1.7999999999999999E-2</v>
      </c>
      <c r="CP1531" s="407"/>
      <c r="CQ1531" s="407"/>
      <c r="CR1531" s="407"/>
      <c r="CS1531" s="407"/>
      <c r="CT1531" s="407"/>
      <c r="CU1531" s="407"/>
      <c r="CV1531" s="407"/>
      <c r="CW1531" s="407"/>
      <c r="CX1531" s="407"/>
      <c r="CY1531" s="407"/>
      <c r="CZ1531" s="407"/>
      <c r="DA1531" s="407"/>
      <c r="DB1531" s="407"/>
      <c r="DC1531" s="407"/>
      <c r="DD1531" s="407"/>
      <c r="DE1531" s="404"/>
      <c r="DF1531" s="404"/>
      <c r="DG1531" s="404"/>
      <c r="DH1531" s="404"/>
      <c r="DI1531" s="404"/>
      <c r="DJ1531" s="404"/>
      <c r="DK1531" s="897"/>
    </row>
    <row r="1532" spans="1:115" ht="229.5" x14ac:dyDescent="0.2">
      <c r="A1532" s="295">
        <v>1528</v>
      </c>
      <c r="B1532" s="390" t="s">
        <v>3752</v>
      </c>
      <c r="C1532" s="424" t="s">
        <v>7816</v>
      </c>
      <c r="D1532" s="391"/>
      <c r="E1532" s="707" t="s">
        <v>3753</v>
      </c>
      <c r="F1532" s="404" t="s">
        <v>1751</v>
      </c>
      <c r="G1532" s="404" t="s">
        <v>1751</v>
      </c>
      <c r="H1532" s="404" t="s">
        <v>350</v>
      </c>
      <c r="I1532" s="403" t="s">
        <v>4153</v>
      </c>
      <c r="J1532" s="403" t="s">
        <v>1149</v>
      </c>
      <c r="K1532" s="403"/>
      <c r="L1532" s="403" t="s">
        <v>3754</v>
      </c>
      <c r="M1532" s="403" t="s">
        <v>3755</v>
      </c>
      <c r="N1532" s="404" t="s">
        <v>3142</v>
      </c>
      <c r="O1532" s="404" t="s">
        <v>51</v>
      </c>
      <c r="P1532" s="404" t="s">
        <v>51</v>
      </c>
      <c r="Q1532" s="403" t="s">
        <v>976</v>
      </c>
      <c r="R1532" s="403"/>
      <c r="S1532" s="403" t="s">
        <v>977</v>
      </c>
      <c r="T1532" s="405">
        <v>1</v>
      </c>
      <c r="U1532" s="406">
        <v>62.624000000000002</v>
      </c>
      <c r="V1532" s="406"/>
      <c r="W1532" s="456">
        <v>41179</v>
      </c>
      <c r="X1532" s="405">
        <v>28</v>
      </c>
      <c r="Y1532" s="405"/>
      <c r="Z1532" s="405"/>
      <c r="AA1532" s="406"/>
      <c r="AB1532" s="455"/>
      <c r="AC1532" s="407">
        <v>0</v>
      </c>
      <c r="AD1532" s="407">
        <v>626.24</v>
      </c>
      <c r="AE1532" s="404" t="s">
        <v>96</v>
      </c>
      <c r="AF1532" s="418"/>
      <c r="AG1532" s="418"/>
      <c r="AH1532" s="418">
        <v>0</v>
      </c>
      <c r="AI1532" s="405"/>
      <c r="AJ1532" s="455"/>
      <c r="AK1532" s="455"/>
      <c r="AL1532" s="404"/>
      <c r="AM1532" s="404"/>
      <c r="AN1532" s="418"/>
      <c r="AO1532" s="403"/>
      <c r="AP1532" s="403" t="s">
        <v>55</v>
      </c>
      <c r="AQ1532" s="403"/>
      <c r="AR1532" s="403" t="s">
        <v>55</v>
      </c>
      <c r="AS1532" s="482">
        <v>41180</v>
      </c>
      <c r="AT1532" s="455"/>
      <c r="AU1532" s="455"/>
      <c r="AV1532" s="455"/>
      <c r="AW1532" s="455"/>
      <c r="AX1532" s="455"/>
      <c r="AY1532" s="455"/>
      <c r="AZ1532" s="455"/>
      <c r="BA1532" s="404"/>
      <c r="BB1532" s="404" t="s">
        <v>3147</v>
      </c>
      <c r="BC1532" s="404" t="b">
        <v>0</v>
      </c>
      <c r="BD1532" s="404" t="s">
        <v>3147</v>
      </c>
      <c r="BE1532" s="403"/>
      <c r="BF1532" s="405">
        <v>4</v>
      </c>
      <c r="BG1532" s="405">
        <v>1</v>
      </c>
      <c r="BH1532" s="405">
        <v>6</v>
      </c>
      <c r="BI1532" s="405">
        <v>8</v>
      </c>
      <c r="BJ1532" s="405">
        <v>3</v>
      </c>
      <c r="BK1532" s="405">
        <v>9</v>
      </c>
      <c r="BL1532" s="446"/>
      <c r="BM1532" s="403"/>
      <c r="BN1532" s="404"/>
      <c r="BO1532" s="404"/>
      <c r="BP1532" s="408"/>
      <c r="BQ1532" s="409"/>
      <c r="BR1532" s="410"/>
      <c r="BS1532" s="408">
        <v>0</v>
      </c>
      <c r="BT1532" s="405"/>
      <c r="BU1532" s="418"/>
      <c r="BV1532" s="408"/>
      <c r="BW1532" s="404"/>
      <c r="BX1532" s="403"/>
      <c r="BY1532" s="404"/>
      <c r="BZ1532" s="404" t="s">
        <v>3165</v>
      </c>
      <c r="CA1532" s="443"/>
      <c r="CB1532" s="409"/>
      <c r="CC1532" s="407"/>
      <c r="CD1532" s="407"/>
      <c r="CE1532" s="407"/>
      <c r="CF1532" s="407"/>
      <c r="CG1532" s="407"/>
      <c r="CH1532" s="407"/>
      <c r="CI1532" s="407"/>
      <c r="CJ1532" s="407"/>
      <c r="CK1532" s="407"/>
      <c r="CL1532" s="407"/>
      <c r="CM1532" s="407"/>
      <c r="CN1532" s="407"/>
      <c r="CO1532" s="407"/>
      <c r="CP1532" s="407"/>
      <c r="CQ1532" s="407"/>
      <c r="CR1532" s="407"/>
      <c r="CS1532" s="407"/>
      <c r="CT1532" s="407"/>
      <c r="CU1532" s="407"/>
      <c r="CV1532" s="407"/>
      <c r="CW1532" s="407"/>
      <c r="CX1532" s="407"/>
      <c r="CY1532" s="407"/>
      <c r="CZ1532" s="407"/>
      <c r="DA1532" s="407"/>
      <c r="DB1532" s="407"/>
      <c r="DC1532" s="407"/>
      <c r="DD1532" s="407"/>
      <c r="DE1532" s="404"/>
      <c r="DF1532" s="404"/>
      <c r="DG1532" s="404"/>
      <c r="DH1532" s="404"/>
      <c r="DI1532" s="404"/>
      <c r="DJ1532" s="404"/>
      <c r="DK1532" s="897"/>
    </row>
    <row r="1533" spans="1:115" ht="15" x14ac:dyDescent="0.2">
      <c r="A1533" s="295">
        <v>1529</v>
      </c>
      <c r="B1533" s="390" t="s">
        <v>3756</v>
      </c>
      <c r="C1533" s="390"/>
      <c r="D1533" s="391"/>
      <c r="E1533" s="707" t="s">
        <v>3757</v>
      </c>
      <c r="F1533" s="404" t="s">
        <v>1751</v>
      </c>
      <c r="G1533" s="404" t="s">
        <v>1751</v>
      </c>
      <c r="H1533" s="404" t="s">
        <v>350</v>
      </c>
      <c r="I1533" s="403"/>
      <c r="J1533" s="403"/>
      <c r="K1533" s="403" t="s">
        <v>350</v>
      </c>
      <c r="L1533" s="403" t="s">
        <v>3754</v>
      </c>
      <c r="M1533" s="403"/>
      <c r="N1533" s="404" t="s">
        <v>3142</v>
      </c>
      <c r="O1533" s="404" t="s">
        <v>51</v>
      </c>
      <c r="P1533" s="404" t="s">
        <v>51</v>
      </c>
      <c r="Q1533" s="403" t="s">
        <v>976</v>
      </c>
      <c r="R1533" s="403" t="s">
        <v>3758</v>
      </c>
      <c r="S1533" s="403" t="s">
        <v>977</v>
      </c>
      <c r="T1533" s="405">
        <v>1</v>
      </c>
      <c r="U1533" s="406">
        <v>62.624000000000002</v>
      </c>
      <c r="V1533" s="406"/>
      <c r="W1533" s="455"/>
      <c r="X1533" s="405"/>
      <c r="Y1533" s="405">
        <v>10</v>
      </c>
      <c r="Z1533" s="405">
        <v>10</v>
      </c>
      <c r="AA1533" s="406">
        <v>0</v>
      </c>
      <c r="AB1533" s="456">
        <v>41275</v>
      </c>
      <c r="AC1533" s="407">
        <v>0</v>
      </c>
      <c r="AD1533" s="407">
        <v>626.24</v>
      </c>
      <c r="AE1533" s="404" t="s">
        <v>96</v>
      </c>
      <c r="AF1533" s="418"/>
      <c r="AG1533" s="418"/>
      <c r="AH1533" s="418"/>
      <c r="AI1533" s="405"/>
      <c r="AJ1533" s="455"/>
      <c r="AK1533" s="455"/>
      <c r="AL1533" s="404"/>
      <c r="AM1533" s="404"/>
      <c r="AN1533" s="418"/>
      <c r="AO1533" s="403"/>
      <c r="AP1533" s="403" t="s">
        <v>55</v>
      </c>
      <c r="AQ1533" s="403"/>
      <c r="AR1533" s="403" t="s">
        <v>55</v>
      </c>
      <c r="AS1533" s="482">
        <v>41180</v>
      </c>
      <c r="AT1533" s="455"/>
      <c r="AU1533" s="455"/>
      <c r="AV1533" s="455"/>
      <c r="AW1533" s="455"/>
      <c r="AX1533" s="455"/>
      <c r="AY1533" s="455"/>
      <c r="AZ1533" s="455"/>
      <c r="BA1533" s="404"/>
      <c r="BB1533" s="404"/>
      <c r="BC1533" s="404" t="b">
        <v>0</v>
      </c>
      <c r="BD1533" s="404"/>
      <c r="BE1533" s="403"/>
      <c r="BF1533" s="405">
        <v>4</v>
      </c>
      <c r="BG1533" s="405">
        <v>1</v>
      </c>
      <c r="BH1533" s="405">
        <v>6</v>
      </c>
      <c r="BI1533" s="405">
        <v>8</v>
      </c>
      <c r="BJ1533" s="405">
        <v>3</v>
      </c>
      <c r="BK1533" s="405">
        <v>9</v>
      </c>
      <c r="BL1533" s="446" t="s">
        <v>7001</v>
      </c>
      <c r="BM1533" s="403"/>
      <c r="BN1533" s="404"/>
      <c r="BO1533" s="404"/>
      <c r="BP1533" s="408"/>
      <c r="BQ1533" s="409"/>
      <c r="BR1533" s="410"/>
      <c r="BS1533" s="408"/>
      <c r="BT1533" s="405"/>
      <c r="BU1533" s="418"/>
      <c r="BV1533" s="408">
        <v>355.3</v>
      </c>
      <c r="BW1533" s="404" t="s">
        <v>3117</v>
      </c>
      <c r="BX1533" s="403" t="s">
        <v>4364</v>
      </c>
      <c r="BY1533" s="404" t="s">
        <v>7224</v>
      </c>
      <c r="BZ1533" s="404" t="s">
        <v>3165</v>
      </c>
      <c r="CA1533" s="443"/>
      <c r="CB1533" s="409"/>
      <c r="CC1533" s="407"/>
      <c r="CD1533" s="407"/>
      <c r="CE1533" s="407"/>
      <c r="CF1533" s="407"/>
      <c r="CG1533" s="407"/>
      <c r="CH1533" s="407"/>
      <c r="CI1533" s="407">
        <v>62.624000000000002</v>
      </c>
      <c r="CJ1533" s="407">
        <v>62.624000000000002</v>
      </c>
      <c r="CK1533" s="407">
        <v>62.624000000000002</v>
      </c>
      <c r="CL1533" s="407">
        <v>62.624000000000002</v>
      </c>
      <c r="CM1533" s="407">
        <v>62.624000000000002</v>
      </c>
      <c r="CN1533" s="407">
        <v>62.624000000000002</v>
      </c>
      <c r="CO1533" s="407">
        <v>62.624000000000002</v>
      </c>
      <c r="CP1533" s="407">
        <v>62.624000000000002</v>
      </c>
      <c r="CQ1533" s="407">
        <v>62.624000000000002</v>
      </c>
      <c r="CR1533" s="407">
        <v>62.624000000000002</v>
      </c>
      <c r="CS1533" s="407"/>
      <c r="CT1533" s="407"/>
      <c r="CU1533" s="407"/>
      <c r="CV1533" s="407"/>
      <c r="CW1533" s="407"/>
      <c r="CX1533" s="407"/>
      <c r="CY1533" s="407"/>
      <c r="CZ1533" s="407"/>
      <c r="DA1533" s="407"/>
      <c r="DB1533" s="407"/>
      <c r="DC1533" s="407"/>
      <c r="DD1533" s="407"/>
      <c r="DE1533" s="404"/>
      <c r="DF1533" s="404"/>
      <c r="DG1533" s="404"/>
      <c r="DH1533" s="404"/>
      <c r="DI1533" s="404"/>
      <c r="DJ1533" s="404"/>
      <c r="DK1533" s="897"/>
    </row>
    <row r="1534" spans="1:115" ht="15" x14ac:dyDescent="0.2">
      <c r="A1534" s="295">
        <v>1530</v>
      </c>
      <c r="B1534" s="390" t="s">
        <v>3759</v>
      </c>
      <c r="C1534" s="424" t="s">
        <v>7817</v>
      </c>
      <c r="D1534" s="391"/>
      <c r="E1534" s="707" t="s">
        <v>3760</v>
      </c>
      <c r="F1534" s="404" t="s">
        <v>1375</v>
      </c>
      <c r="G1534" s="404" t="s">
        <v>1670</v>
      </c>
      <c r="H1534" s="404" t="s">
        <v>523</v>
      </c>
      <c r="I1534" s="403"/>
      <c r="J1534" s="403" t="s">
        <v>523</v>
      </c>
      <c r="K1534" s="403"/>
      <c r="L1534" s="403" t="s">
        <v>3761</v>
      </c>
      <c r="M1534" s="403" t="s">
        <v>3762</v>
      </c>
      <c r="N1534" s="404" t="s">
        <v>3142</v>
      </c>
      <c r="O1534" s="404" t="s">
        <v>1283</v>
      </c>
      <c r="P1534" s="404" t="s">
        <v>1283</v>
      </c>
      <c r="Q1534" s="403" t="s">
        <v>1284</v>
      </c>
      <c r="R1534" s="403"/>
      <c r="S1534" s="403" t="s">
        <v>3763</v>
      </c>
      <c r="T1534" s="405">
        <v>1</v>
      </c>
      <c r="U1534" s="406">
        <v>13.548999999999999</v>
      </c>
      <c r="V1534" s="406"/>
      <c r="W1534" s="456">
        <v>40350</v>
      </c>
      <c r="X1534" s="405">
        <v>60</v>
      </c>
      <c r="Y1534" s="405"/>
      <c r="Z1534" s="405"/>
      <c r="AA1534" s="406"/>
      <c r="AB1534" s="455"/>
      <c r="AC1534" s="407">
        <v>26.29757</v>
      </c>
      <c r="AD1534" s="407">
        <v>142.76562739726026</v>
      </c>
      <c r="AE1534" s="404" t="s">
        <v>3764</v>
      </c>
      <c r="AF1534" s="418"/>
      <c r="AG1534" s="418"/>
      <c r="AH1534" s="418">
        <v>0</v>
      </c>
      <c r="AI1534" s="405"/>
      <c r="AJ1534" s="455"/>
      <c r="AK1534" s="455"/>
      <c r="AL1534" s="404"/>
      <c r="AM1534" s="404"/>
      <c r="AN1534" s="418"/>
      <c r="AO1534" s="403"/>
      <c r="AP1534" s="403" t="s">
        <v>55</v>
      </c>
      <c r="AQ1534" s="403"/>
      <c r="AR1534" s="403" t="s">
        <v>55</v>
      </c>
      <c r="AS1534" s="482">
        <v>41180</v>
      </c>
      <c r="AT1534" s="455"/>
      <c r="AU1534" s="455"/>
      <c r="AV1534" s="455"/>
      <c r="AW1534" s="455"/>
      <c r="AX1534" s="455"/>
      <c r="AY1534" s="455"/>
      <c r="AZ1534" s="455"/>
      <c r="BA1534" s="404"/>
      <c r="BB1534" s="404" t="s">
        <v>3116</v>
      </c>
      <c r="BC1534" s="404" t="b">
        <v>1</v>
      </c>
      <c r="BD1534" s="404" t="s">
        <v>3147</v>
      </c>
      <c r="BE1534" s="403"/>
      <c r="BF1534" s="405">
        <v>5</v>
      </c>
      <c r="BG1534" s="405">
        <v>8</v>
      </c>
      <c r="BH1534" s="405">
        <v>9</v>
      </c>
      <c r="BI1534" s="405">
        <v>7</v>
      </c>
      <c r="BJ1534" s="405">
        <v>2</v>
      </c>
      <c r="BK1534" s="405">
        <v>3</v>
      </c>
      <c r="BL1534" s="446"/>
      <c r="BM1534" s="403"/>
      <c r="BN1534" s="404"/>
      <c r="BO1534" s="404"/>
      <c r="BP1534" s="408"/>
      <c r="BQ1534" s="409"/>
      <c r="BR1534" s="410"/>
      <c r="BS1534" s="408">
        <v>0</v>
      </c>
      <c r="BT1534" s="405"/>
      <c r="BU1534" s="418"/>
      <c r="BV1534" s="408"/>
      <c r="BW1534" s="404"/>
      <c r="BX1534" s="403"/>
      <c r="BY1534" s="404"/>
      <c r="BZ1534" s="404"/>
      <c r="CA1534" s="443"/>
      <c r="CB1534" s="409"/>
      <c r="CC1534" s="407"/>
      <c r="CD1534" s="407"/>
      <c r="CE1534" s="407"/>
      <c r="CF1534" s="407"/>
      <c r="CG1534" s="407"/>
      <c r="CH1534" s="407"/>
      <c r="CI1534" s="407"/>
      <c r="CJ1534" s="407"/>
      <c r="CK1534" s="407"/>
      <c r="CL1534" s="407"/>
      <c r="CM1534" s="407"/>
      <c r="CN1534" s="407"/>
      <c r="CO1534" s="407"/>
      <c r="CP1534" s="407"/>
      <c r="CQ1534" s="407"/>
      <c r="CR1534" s="407"/>
      <c r="CS1534" s="407"/>
      <c r="CT1534" s="407"/>
      <c r="CU1534" s="407"/>
      <c r="CV1534" s="407"/>
      <c r="CW1534" s="407"/>
      <c r="CX1534" s="407"/>
      <c r="CY1534" s="407"/>
      <c r="CZ1534" s="407"/>
      <c r="DA1534" s="407"/>
      <c r="DB1534" s="407"/>
      <c r="DC1534" s="407"/>
      <c r="DD1534" s="407"/>
      <c r="DE1534" s="404"/>
      <c r="DF1534" s="404"/>
      <c r="DG1534" s="404"/>
      <c r="DH1534" s="404"/>
      <c r="DI1534" s="404"/>
      <c r="DJ1534" s="404"/>
      <c r="DK1534" s="897"/>
    </row>
    <row r="1535" spans="1:115" ht="51" x14ac:dyDescent="0.2">
      <c r="A1535" s="295">
        <v>1531</v>
      </c>
      <c r="B1535" s="390" t="s">
        <v>3765</v>
      </c>
      <c r="C1535" s="390"/>
      <c r="D1535" s="391"/>
      <c r="E1535" s="707" t="s">
        <v>3766</v>
      </c>
      <c r="F1535" s="404" t="s">
        <v>1375</v>
      </c>
      <c r="G1535" s="404" t="s">
        <v>1670</v>
      </c>
      <c r="H1535" s="404" t="s">
        <v>523</v>
      </c>
      <c r="I1535" s="403"/>
      <c r="J1535" s="403"/>
      <c r="K1535" s="403" t="s">
        <v>3767</v>
      </c>
      <c r="L1535" s="403" t="s">
        <v>3761</v>
      </c>
      <c r="M1535" s="403"/>
      <c r="N1535" s="404" t="s">
        <v>3142</v>
      </c>
      <c r="O1535" s="404" t="s">
        <v>1283</v>
      </c>
      <c r="P1535" s="404" t="s">
        <v>1283</v>
      </c>
      <c r="Q1535" s="403" t="s">
        <v>1284</v>
      </c>
      <c r="R1535" s="403" t="s">
        <v>3768</v>
      </c>
      <c r="S1535" s="403" t="s">
        <v>3763</v>
      </c>
      <c r="T1535" s="405">
        <v>1</v>
      </c>
      <c r="U1535" s="406">
        <v>13.548999999999999</v>
      </c>
      <c r="V1535" s="406"/>
      <c r="W1535" s="455"/>
      <c r="X1535" s="405"/>
      <c r="Y1535" s="405">
        <v>30</v>
      </c>
      <c r="Z1535" s="405">
        <v>30</v>
      </c>
      <c r="AA1535" s="406"/>
      <c r="AB1535" s="456">
        <v>40350</v>
      </c>
      <c r="AC1535" s="407">
        <v>26.29757</v>
      </c>
      <c r="AD1535" s="407">
        <v>142.76562739726026</v>
      </c>
      <c r="AE1535" s="404" t="s">
        <v>3764</v>
      </c>
      <c r="AF1535" s="418"/>
      <c r="AG1535" s="418"/>
      <c r="AH1535" s="418"/>
      <c r="AI1535" s="405"/>
      <c r="AJ1535" s="455"/>
      <c r="AK1535" s="455"/>
      <c r="AL1535" s="404"/>
      <c r="AM1535" s="404"/>
      <c r="AN1535" s="418"/>
      <c r="AO1535" s="403"/>
      <c r="AP1535" s="403" t="s">
        <v>55</v>
      </c>
      <c r="AQ1535" s="403"/>
      <c r="AR1535" s="403" t="s">
        <v>55</v>
      </c>
      <c r="AS1535" s="482">
        <v>41180</v>
      </c>
      <c r="AT1535" s="455"/>
      <c r="AU1535" s="455"/>
      <c r="AV1535" s="455"/>
      <c r="AW1535" s="455"/>
      <c r="AX1535" s="455"/>
      <c r="AY1535" s="455"/>
      <c r="AZ1535" s="455"/>
      <c r="BA1535" s="404"/>
      <c r="BB1535" s="404"/>
      <c r="BC1535" s="404" t="b">
        <v>0</v>
      </c>
      <c r="BD1535" s="404"/>
      <c r="BE1535" s="403"/>
      <c r="BF1535" s="405">
        <v>5</v>
      </c>
      <c r="BG1535" s="405">
        <v>8</v>
      </c>
      <c r="BH1535" s="405">
        <v>9</v>
      </c>
      <c r="BI1535" s="405">
        <v>7</v>
      </c>
      <c r="BJ1535" s="405">
        <v>2</v>
      </c>
      <c r="BK1535" s="405">
        <v>3</v>
      </c>
      <c r="BL1535" s="446" t="s">
        <v>6984</v>
      </c>
      <c r="BM1535" s="403"/>
      <c r="BN1535" s="404"/>
      <c r="BO1535" s="404"/>
      <c r="BP1535" s="408"/>
      <c r="BQ1535" s="409"/>
      <c r="BR1535" s="410"/>
      <c r="BS1535" s="408"/>
      <c r="BT1535" s="405"/>
      <c r="BU1535" s="418"/>
      <c r="BV1535" s="408"/>
      <c r="BW1535" s="404" t="s">
        <v>3117</v>
      </c>
      <c r="BX1535" s="403" t="s">
        <v>3160</v>
      </c>
      <c r="BY1535" s="404"/>
      <c r="BZ1535" s="404"/>
      <c r="CA1535" s="443"/>
      <c r="CB1535" s="409"/>
      <c r="CC1535" s="407"/>
      <c r="CD1535" s="407"/>
      <c r="CE1535" s="407"/>
      <c r="CF1535" s="407">
        <v>10.95553</v>
      </c>
      <c r="CG1535" s="407">
        <v>12.330019999999999</v>
      </c>
      <c r="CH1535" s="407">
        <v>13.95722</v>
      </c>
      <c r="CI1535" s="407">
        <v>15.71327</v>
      </c>
      <c r="CJ1535" s="407">
        <v>17.466390000000001</v>
      </c>
      <c r="CK1535" s="407">
        <v>19.09864</v>
      </c>
      <c r="CL1535" s="407">
        <v>20.518879999999999</v>
      </c>
      <c r="CM1535" s="407">
        <v>21.6676</v>
      </c>
      <c r="CN1535" s="407">
        <v>22.515750000000001</v>
      </c>
      <c r="CO1535" s="407">
        <v>23.060079999999999</v>
      </c>
      <c r="CP1535" s="407">
        <v>23.316839999999999</v>
      </c>
      <c r="CQ1535" s="407">
        <v>23.315449999999998</v>
      </c>
      <c r="CR1535" s="407">
        <v>23.092860000000002</v>
      </c>
      <c r="CS1535" s="407">
        <v>22.689029999999999</v>
      </c>
      <c r="CT1535" s="407">
        <v>13.395239999999999</v>
      </c>
      <c r="CU1535" s="407">
        <v>12.745089999999999</v>
      </c>
      <c r="CV1535" s="407">
        <v>12.023300000000001</v>
      </c>
      <c r="CW1535" s="407">
        <v>11.2582</v>
      </c>
      <c r="CX1535" s="407">
        <v>10.47367</v>
      </c>
      <c r="CY1535" s="407">
        <v>9.688561</v>
      </c>
      <c r="CZ1535" s="407">
        <v>8.9178200000000007</v>
      </c>
      <c r="DA1535" s="407">
        <v>8.1726399999999995</v>
      </c>
      <c r="DB1535" s="407">
        <v>7.4610599999999998</v>
      </c>
      <c r="DC1535" s="407">
        <v>6.7885200000000001</v>
      </c>
      <c r="DD1535" s="407"/>
      <c r="DE1535" s="404"/>
      <c r="DF1535" s="404"/>
      <c r="DG1535" s="404"/>
      <c r="DH1535" s="404"/>
      <c r="DI1535" s="404"/>
      <c r="DJ1535" s="404"/>
      <c r="DK1535" s="897"/>
    </row>
    <row r="1536" spans="1:115" ht="204" x14ac:dyDescent="0.2">
      <c r="A1536" s="295">
        <v>1532</v>
      </c>
      <c r="B1536" s="390" t="s">
        <v>4154</v>
      </c>
      <c r="C1536" s="424" t="s">
        <v>7818</v>
      </c>
      <c r="D1536" s="391"/>
      <c r="E1536" s="707" t="s">
        <v>4155</v>
      </c>
      <c r="F1536" s="404" t="s">
        <v>1375</v>
      </c>
      <c r="G1536" s="404" t="s">
        <v>1751</v>
      </c>
      <c r="H1536" s="404" t="s">
        <v>1700</v>
      </c>
      <c r="I1536" s="403" t="s">
        <v>4156</v>
      </c>
      <c r="J1536" s="403" t="s">
        <v>4157</v>
      </c>
      <c r="K1536" s="403"/>
      <c r="L1536" s="403" t="s">
        <v>4158</v>
      </c>
      <c r="M1536" s="403" t="s">
        <v>4159</v>
      </c>
      <c r="N1536" s="404" t="s">
        <v>3142</v>
      </c>
      <c r="O1536" s="404" t="s">
        <v>51</v>
      </c>
      <c r="P1536" s="404" t="s">
        <v>51</v>
      </c>
      <c r="Q1536" s="403" t="s">
        <v>426</v>
      </c>
      <c r="R1536" s="403"/>
      <c r="S1536" s="403" t="s">
        <v>427</v>
      </c>
      <c r="T1536" s="405">
        <v>1</v>
      </c>
      <c r="U1536" s="406">
        <v>41.938000000000002</v>
      </c>
      <c r="V1536" s="406"/>
      <c r="W1536" s="456">
        <v>41187</v>
      </c>
      <c r="X1536" s="405">
        <v>28</v>
      </c>
      <c r="Y1536" s="405"/>
      <c r="Z1536" s="405"/>
      <c r="AA1536" s="406"/>
      <c r="AB1536" s="455"/>
      <c r="AC1536" s="407">
        <v>0</v>
      </c>
      <c r="AD1536" s="407">
        <v>419.38</v>
      </c>
      <c r="AE1536" s="404" t="s">
        <v>72</v>
      </c>
      <c r="AF1536" s="418"/>
      <c r="AG1536" s="418"/>
      <c r="AH1536" s="418">
        <v>0</v>
      </c>
      <c r="AI1536" s="405"/>
      <c r="AJ1536" s="455"/>
      <c r="AK1536" s="455"/>
      <c r="AL1536" s="404"/>
      <c r="AM1536" s="404"/>
      <c r="AN1536" s="418"/>
      <c r="AO1536" s="403"/>
      <c r="AP1536" s="403" t="s">
        <v>55</v>
      </c>
      <c r="AQ1536" s="403"/>
      <c r="AR1536" s="403" t="s">
        <v>55</v>
      </c>
      <c r="AS1536" s="482">
        <v>41187</v>
      </c>
      <c r="AT1536" s="455"/>
      <c r="AU1536" s="455"/>
      <c r="AV1536" s="455"/>
      <c r="AW1536" s="455"/>
      <c r="AX1536" s="455"/>
      <c r="AY1536" s="455"/>
      <c r="AZ1536" s="455"/>
      <c r="BA1536" s="404"/>
      <c r="BB1536" s="404" t="s">
        <v>3147</v>
      </c>
      <c r="BC1536" s="404" t="b">
        <v>0</v>
      </c>
      <c r="BD1536" s="404" t="s">
        <v>3147</v>
      </c>
      <c r="BE1536" s="403"/>
      <c r="BF1536" s="405">
        <v>8</v>
      </c>
      <c r="BG1536" s="405">
        <v>9</v>
      </c>
      <c r="BH1536" s="405">
        <v>7</v>
      </c>
      <c r="BI1536" s="405">
        <v>11</v>
      </c>
      <c r="BJ1536" s="405">
        <v>1</v>
      </c>
      <c r="BK1536" s="405"/>
      <c r="BL1536" s="446"/>
      <c r="BM1536" s="403"/>
      <c r="BN1536" s="404"/>
      <c r="BO1536" s="404"/>
      <c r="BP1536" s="408"/>
      <c r="BQ1536" s="409"/>
      <c r="BR1536" s="410"/>
      <c r="BS1536" s="408">
        <v>0</v>
      </c>
      <c r="BT1536" s="405"/>
      <c r="BU1536" s="418"/>
      <c r="BV1536" s="408"/>
      <c r="BW1536" s="404"/>
      <c r="BX1536" s="403"/>
      <c r="BY1536" s="404"/>
      <c r="BZ1536" s="404"/>
      <c r="CA1536" s="443"/>
      <c r="CB1536" s="409"/>
      <c r="CC1536" s="407"/>
      <c r="CD1536" s="407"/>
      <c r="CE1536" s="407"/>
      <c r="CF1536" s="407"/>
      <c r="CG1536" s="407"/>
      <c r="CH1536" s="407"/>
      <c r="CI1536" s="407"/>
      <c r="CJ1536" s="407"/>
      <c r="CK1536" s="407"/>
      <c r="CL1536" s="407"/>
      <c r="CM1536" s="407"/>
      <c r="CN1536" s="407"/>
      <c r="CO1536" s="407"/>
      <c r="CP1536" s="407"/>
      <c r="CQ1536" s="407"/>
      <c r="CR1536" s="407"/>
      <c r="CS1536" s="407"/>
      <c r="CT1536" s="407"/>
      <c r="CU1536" s="407"/>
      <c r="CV1536" s="407"/>
      <c r="CW1536" s="407"/>
      <c r="CX1536" s="407"/>
      <c r="CY1536" s="407"/>
      <c r="CZ1536" s="407"/>
      <c r="DA1536" s="407"/>
      <c r="DB1536" s="407"/>
      <c r="DC1536" s="407"/>
      <c r="DD1536" s="407"/>
      <c r="DE1536" s="404"/>
      <c r="DF1536" s="404"/>
      <c r="DG1536" s="404"/>
      <c r="DH1536" s="404"/>
      <c r="DI1536" s="404"/>
      <c r="DJ1536" s="404"/>
      <c r="DK1536" s="897"/>
    </row>
    <row r="1537" spans="1:115" ht="25.5" x14ac:dyDescent="0.2">
      <c r="A1537" s="295">
        <v>1533</v>
      </c>
      <c r="B1537" s="390" t="s">
        <v>4160</v>
      </c>
      <c r="C1537" s="390"/>
      <c r="D1537" s="391"/>
      <c r="E1537" s="707" t="s">
        <v>4161</v>
      </c>
      <c r="F1537" s="404" t="s">
        <v>1375</v>
      </c>
      <c r="G1537" s="404" t="s">
        <v>1668</v>
      </c>
      <c r="H1537" s="404" t="s">
        <v>1700</v>
      </c>
      <c r="I1537" s="403"/>
      <c r="J1537" s="403"/>
      <c r="K1537" s="403" t="s">
        <v>1700</v>
      </c>
      <c r="L1537" s="403" t="s">
        <v>4158</v>
      </c>
      <c r="M1537" s="403"/>
      <c r="N1537" s="404" t="s">
        <v>3142</v>
      </c>
      <c r="O1537" s="404" t="s">
        <v>51</v>
      </c>
      <c r="P1537" s="404" t="s">
        <v>51</v>
      </c>
      <c r="Q1537" s="403" t="s">
        <v>426</v>
      </c>
      <c r="R1537" s="403" t="s">
        <v>4162</v>
      </c>
      <c r="S1537" s="403" t="s">
        <v>427</v>
      </c>
      <c r="T1537" s="405">
        <v>1</v>
      </c>
      <c r="U1537" s="406">
        <v>41.938000000000002</v>
      </c>
      <c r="V1537" s="406"/>
      <c r="W1537" s="455"/>
      <c r="X1537" s="405"/>
      <c r="Y1537" s="405">
        <v>10</v>
      </c>
      <c r="Z1537" s="405">
        <v>10</v>
      </c>
      <c r="AA1537" s="406">
        <v>0</v>
      </c>
      <c r="AB1537" s="456">
        <v>41426</v>
      </c>
      <c r="AC1537" s="407">
        <v>0</v>
      </c>
      <c r="AD1537" s="407">
        <v>419.38</v>
      </c>
      <c r="AE1537" s="404" t="s">
        <v>72</v>
      </c>
      <c r="AF1537" s="418"/>
      <c r="AG1537" s="418"/>
      <c r="AH1537" s="418"/>
      <c r="AI1537" s="405"/>
      <c r="AJ1537" s="455"/>
      <c r="AK1537" s="455"/>
      <c r="AL1537" s="404"/>
      <c r="AM1537" s="404"/>
      <c r="AN1537" s="418"/>
      <c r="AO1537" s="403"/>
      <c r="AP1537" s="403" t="s">
        <v>55</v>
      </c>
      <c r="AQ1537" s="403"/>
      <c r="AR1537" s="403" t="s">
        <v>55</v>
      </c>
      <c r="AS1537" s="482">
        <v>41187</v>
      </c>
      <c r="AT1537" s="455"/>
      <c r="AU1537" s="455"/>
      <c r="AV1537" s="455"/>
      <c r="AW1537" s="455"/>
      <c r="AX1537" s="455"/>
      <c r="AY1537" s="455"/>
      <c r="AZ1537" s="455"/>
      <c r="BA1537" s="404"/>
      <c r="BB1537" s="404"/>
      <c r="BC1537" s="404" t="b">
        <v>0</v>
      </c>
      <c r="BD1537" s="404"/>
      <c r="BE1537" s="403"/>
      <c r="BF1537" s="405">
        <v>8</v>
      </c>
      <c r="BG1537" s="405">
        <v>9</v>
      </c>
      <c r="BH1537" s="405">
        <v>7</v>
      </c>
      <c r="BI1537" s="405">
        <v>11</v>
      </c>
      <c r="BJ1537" s="405">
        <v>1</v>
      </c>
      <c r="BK1537" s="405"/>
      <c r="BL1537" s="446" t="s">
        <v>1451</v>
      </c>
      <c r="BM1537" s="403"/>
      <c r="BN1537" s="404"/>
      <c r="BO1537" s="404"/>
      <c r="BP1537" s="408"/>
      <c r="BQ1537" s="409"/>
      <c r="BR1537" s="410"/>
      <c r="BS1537" s="408"/>
      <c r="BT1537" s="405"/>
      <c r="BU1537" s="418">
        <v>0.76</v>
      </c>
      <c r="BV1537" s="408">
        <v>55.152000000000001</v>
      </c>
      <c r="BW1537" s="404" t="s">
        <v>3165</v>
      </c>
      <c r="BX1537" s="403" t="s">
        <v>3714</v>
      </c>
      <c r="BY1537" s="404"/>
      <c r="BZ1537" s="404"/>
      <c r="CA1537" s="443"/>
      <c r="CB1537" s="409"/>
      <c r="CC1537" s="407"/>
      <c r="CD1537" s="407"/>
      <c r="CE1537" s="407"/>
      <c r="CF1537" s="407"/>
      <c r="CG1537" s="407"/>
      <c r="CH1537" s="407"/>
      <c r="CI1537" s="407">
        <v>41.915909999999997</v>
      </c>
      <c r="CJ1537" s="407">
        <v>41.915909999999997</v>
      </c>
      <c r="CK1537" s="407">
        <v>41.915909999999997</v>
      </c>
      <c r="CL1537" s="407">
        <v>41.915909999999997</v>
      </c>
      <c r="CM1537" s="407">
        <v>41.915909999999997</v>
      </c>
      <c r="CN1537" s="407">
        <v>41.915909999999997</v>
      </c>
      <c r="CO1537" s="407">
        <v>41.915909999999997</v>
      </c>
      <c r="CP1537" s="407">
        <v>41.915909999999997</v>
      </c>
      <c r="CQ1537" s="407">
        <v>41.915909999999997</v>
      </c>
      <c r="CR1537" s="407">
        <v>41.915909999999997</v>
      </c>
      <c r="CS1537" s="407"/>
      <c r="CT1537" s="407"/>
      <c r="CU1537" s="407"/>
      <c r="CV1537" s="407"/>
      <c r="CW1537" s="407"/>
      <c r="CX1537" s="407"/>
      <c r="CY1537" s="407"/>
      <c r="CZ1537" s="407"/>
      <c r="DA1537" s="407"/>
      <c r="DB1537" s="407"/>
      <c r="DC1537" s="407"/>
      <c r="DD1537" s="407"/>
      <c r="DE1537" s="404"/>
      <c r="DF1537" s="404"/>
      <c r="DG1537" s="404"/>
      <c r="DH1537" s="404"/>
      <c r="DI1537" s="404"/>
      <c r="DJ1537" s="404"/>
      <c r="DK1537" s="897"/>
    </row>
    <row r="1538" spans="1:115" ht="63.75" x14ac:dyDescent="0.2">
      <c r="A1538" s="295">
        <v>1534</v>
      </c>
      <c r="B1538" s="390" t="s">
        <v>4163</v>
      </c>
      <c r="C1538" s="424" t="s">
        <v>7819</v>
      </c>
      <c r="D1538" s="391" t="s">
        <v>5241</v>
      </c>
      <c r="E1538" s="704" t="s">
        <v>4164</v>
      </c>
      <c r="F1538" s="393" t="s">
        <v>1340</v>
      </c>
      <c r="G1538" s="393" t="s">
        <v>1677</v>
      </c>
      <c r="H1538" s="393" t="s">
        <v>1351</v>
      </c>
      <c r="I1538" s="392"/>
      <c r="J1538" s="392" t="s">
        <v>1351</v>
      </c>
      <c r="K1538" s="392"/>
      <c r="L1538" s="392" t="s">
        <v>4165</v>
      </c>
      <c r="M1538" s="392" t="s">
        <v>4166</v>
      </c>
      <c r="N1538" s="393" t="s">
        <v>44</v>
      </c>
      <c r="O1538" s="393" t="s">
        <v>1155</v>
      </c>
      <c r="P1538" s="393" t="s">
        <v>1155</v>
      </c>
      <c r="Q1538" s="392" t="s">
        <v>1155</v>
      </c>
      <c r="R1538" s="392"/>
      <c r="S1538" s="392" t="s">
        <v>650</v>
      </c>
      <c r="T1538" s="394">
        <v>1</v>
      </c>
      <c r="U1538" s="395">
        <v>190.13499999999999</v>
      </c>
      <c r="V1538" s="395"/>
      <c r="W1538" s="452">
        <v>41188</v>
      </c>
      <c r="X1538" s="394">
        <v>28</v>
      </c>
      <c r="Y1538" s="394"/>
      <c r="Z1538" s="394"/>
      <c r="AA1538" s="395"/>
      <c r="AB1538" s="453"/>
      <c r="AC1538" s="398">
        <v>0</v>
      </c>
      <c r="AD1538" s="398">
        <v>1522.1218356164384</v>
      </c>
      <c r="AE1538" s="393" t="s">
        <v>47</v>
      </c>
      <c r="AF1538" s="417"/>
      <c r="AG1538" s="417"/>
      <c r="AH1538" s="417">
        <v>0</v>
      </c>
      <c r="AI1538" s="394"/>
      <c r="AJ1538" s="453"/>
      <c r="AK1538" s="453"/>
      <c r="AL1538" s="393"/>
      <c r="AM1538" s="393"/>
      <c r="AN1538" s="417"/>
      <c r="AO1538" s="392"/>
      <c r="AP1538" s="392" t="s">
        <v>7116</v>
      </c>
      <c r="AQ1538" s="392"/>
      <c r="AR1538" s="392" t="s">
        <v>55</v>
      </c>
      <c r="AS1538" s="479">
        <v>41188</v>
      </c>
      <c r="AT1538" s="453"/>
      <c r="AU1538" s="453"/>
      <c r="AV1538" s="452">
        <v>41253</v>
      </c>
      <c r="AW1538" s="452">
        <v>41263</v>
      </c>
      <c r="AX1538" s="453"/>
      <c r="AY1538" s="452">
        <v>41274</v>
      </c>
      <c r="AZ1538" s="453"/>
      <c r="BA1538" s="393"/>
      <c r="BB1538" s="393" t="s">
        <v>3147</v>
      </c>
      <c r="BC1538" s="393" t="b">
        <v>1</v>
      </c>
      <c r="BD1538" s="393" t="s">
        <v>3147</v>
      </c>
      <c r="BE1538" s="392"/>
      <c r="BF1538" s="394">
        <v>10</v>
      </c>
      <c r="BG1538" s="394">
        <v>9</v>
      </c>
      <c r="BH1538" s="394">
        <v>5</v>
      </c>
      <c r="BI1538" s="394">
        <v>8</v>
      </c>
      <c r="BJ1538" s="394">
        <v>11</v>
      </c>
      <c r="BK1538" s="394">
        <v>7</v>
      </c>
      <c r="BL1538" s="444"/>
      <c r="BM1538" s="392"/>
      <c r="BN1538" s="393"/>
      <c r="BO1538" s="393"/>
      <c r="BP1538" s="399"/>
      <c r="BQ1538" s="400"/>
      <c r="BR1538" s="401"/>
      <c r="BS1538" s="399">
        <v>81</v>
      </c>
      <c r="BT1538" s="394"/>
      <c r="BU1538" s="417"/>
      <c r="BV1538" s="399"/>
      <c r="BW1538" s="393"/>
      <c r="BX1538" s="392"/>
      <c r="BY1538" s="393"/>
      <c r="BZ1538" s="393"/>
      <c r="CA1538" s="441"/>
      <c r="CB1538" s="400"/>
      <c r="CC1538" s="398"/>
      <c r="CD1538" s="398"/>
      <c r="CE1538" s="398"/>
      <c r="CF1538" s="398"/>
      <c r="CG1538" s="398"/>
      <c r="CH1538" s="398"/>
      <c r="CI1538" s="398"/>
      <c r="CJ1538" s="398"/>
      <c r="CK1538" s="398"/>
      <c r="CL1538" s="398"/>
      <c r="CM1538" s="398"/>
      <c r="CN1538" s="398"/>
      <c r="CO1538" s="398"/>
      <c r="CP1538" s="398"/>
      <c r="CQ1538" s="398"/>
      <c r="CR1538" s="398"/>
      <c r="CS1538" s="398"/>
      <c r="CT1538" s="398"/>
      <c r="CU1538" s="398"/>
      <c r="CV1538" s="398"/>
      <c r="CW1538" s="398"/>
      <c r="CX1538" s="398"/>
      <c r="CY1538" s="398"/>
      <c r="CZ1538" s="398"/>
      <c r="DA1538" s="398"/>
      <c r="DB1538" s="398"/>
      <c r="DC1538" s="398"/>
      <c r="DD1538" s="398"/>
      <c r="DE1538" s="393"/>
      <c r="DF1538" s="393"/>
      <c r="DG1538" s="393"/>
      <c r="DH1538" s="393"/>
      <c r="DI1538" s="393"/>
      <c r="DJ1538" s="393"/>
      <c r="DK1538" s="896" t="s">
        <v>9751</v>
      </c>
    </row>
    <row r="1539" spans="1:115" ht="25.5" x14ac:dyDescent="0.2">
      <c r="A1539" s="295">
        <v>1535</v>
      </c>
      <c r="B1539" s="390" t="s">
        <v>4167</v>
      </c>
      <c r="C1539" s="390"/>
      <c r="D1539" s="391" t="s">
        <v>4978</v>
      </c>
      <c r="E1539" s="704" t="s">
        <v>4168</v>
      </c>
      <c r="F1539" s="393" t="s">
        <v>1340</v>
      </c>
      <c r="G1539" s="393" t="s">
        <v>1677</v>
      </c>
      <c r="H1539" s="393" t="s">
        <v>1351</v>
      </c>
      <c r="I1539" s="392"/>
      <c r="J1539" s="392"/>
      <c r="K1539" s="392" t="s">
        <v>4169</v>
      </c>
      <c r="L1539" s="392" t="s">
        <v>4165</v>
      </c>
      <c r="M1539" s="392"/>
      <c r="N1539" s="393" t="s">
        <v>44</v>
      </c>
      <c r="O1539" s="393" t="s">
        <v>1155</v>
      </c>
      <c r="P1539" s="393" t="s">
        <v>1155</v>
      </c>
      <c r="Q1539" s="392" t="s">
        <v>1155</v>
      </c>
      <c r="R1539" s="392" t="s">
        <v>4170</v>
      </c>
      <c r="S1539" s="392" t="s">
        <v>650</v>
      </c>
      <c r="T1539" s="394">
        <v>1</v>
      </c>
      <c r="U1539" s="395">
        <v>190.13499999999999</v>
      </c>
      <c r="V1539" s="395"/>
      <c r="W1539" s="453"/>
      <c r="X1539" s="394"/>
      <c r="Y1539" s="394">
        <v>7</v>
      </c>
      <c r="Z1539" s="394">
        <v>20</v>
      </c>
      <c r="AA1539" s="395">
        <v>0</v>
      </c>
      <c r="AB1539" s="452">
        <v>41274</v>
      </c>
      <c r="AC1539" s="398">
        <v>0</v>
      </c>
      <c r="AD1539" s="398">
        <v>1522.1218356164384</v>
      </c>
      <c r="AE1539" s="393" t="s">
        <v>47</v>
      </c>
      <c r="AF1539" s="417"/>
      <c r="AG1539" s="417"/>
      <c r="AH1539" s="417"/>
      <c r="AI1539" s="394"/>
      <c r="AJ1539" s="453"/>
      <c r="AK1539" s="453"/>
      <c r="AL1539" s="393"/>
      <c r="AM1539" s="393"/>
      <c r="AN1539" s="417"/>
      <c r="AO1539" s="392"/>
      <c r="AP1539" s="392" t="s">
        <v>7116</v>
      </c>
      <c r="AQ1539" s="392"/>
      <c r="AR1539" s="392" t="s">
        <v>55</v>
      </c>
      <c r="AS1539" s="479">
        <v>41188</v>
      </c>
      <c r="AT1539" s="453"/>
      <c r="AU1539" s="453"/>
      <c r="AV1539" s="453"/>
      <c r="AW1539" s="453"/>
      <c r="AX1539" s="453"/>
      <c r="AY1539" s="453"/>
      <c r="AZ1539" s="452">
        <v>41274</v>
      </c>
      <c r="BA1539" s="393"/>
      <c r="BB1539" s="393"/>
      <c r="BC1539" s="393" t="b">
        <v>0</v>
      </c>
      <c r="BD1539" s="393"/>
      <c r="BE1539" s="392"/>
      <c r="BF1539" s="394">
        <v>10</v>
      </c>
      <c r="BG1539" s="394">
        <v>9</v>
      </c>
      <c r="BH1539" s="394">
        <v>5</v>
      </c>
      <c r="BI1539" s="394">
        <v>8</v>
      </c>
      <c r="BJ1539" s="394">
        <v>11</v>
      </c>
      <c r="BK1539" s="394">
        <v>7</v>
      </c>
      <c r="BL1539" s="444" t="s">
        <v>1451</v>
      </c>
      <c r="BM1539" s="392" t="s">
        <v>3377</v>
      </c>
      <c r="BN1539" s="393" t="s">
        <v>3378</v>
      </c>
      <c r="BO1539" s="393"/>
      <c r="BP1539" s="399"/>
      <c r="BQ1539" s="400"/>
      <c r="BR1539" s="401"/>
      <c r="BS1539" s="399">
        <v>81</v>
      </c>
      <c r="BT1539" s="394">
        <v>319676</v>
      </c>
      <c r="BU1539" s="417">
        <v>0.56469999999999998</v>
      </c>
      <c r="BV1539" s="399"/>
      <c r="BW1539" s="393" t="s">
        <v>3117</v>
      </c>
      <c r="BX1539" s="392"/>
      <c r="BY1539" s="393"/>
      <c r="BZ1539" s="393"/>
      <c r="CA1539" s="441" t="s">
        <v>1662</v>
      </c>
      <c r="CB1539" s="400">
        <v>3</v>
      </c>
      <c r="CC1539" s="398"/>
      <c r="CD1539" s="398"/>
      <c r="CE1539" s="398"/>
      <c r="CF1539" s="398"/>
      <c r="CG1539" s="398"/>
      <c r="CH1539" s="398"/>
      <c r="CI1539" s="398"/>
      <c r="CJ1539" s="398"/>
      <c r="CK1539" s="398"/>
      <c r="CL1539" s="398">
        <v>180.53200000000001</v>
      </c>
      <c r="CM1539" s="398">
        <v>180.53200000000001</v>
      </c>
      <c r="CN1539" s="398">
        <v>180.53200000000001</v>
      </c>
      <c r="CO1539" s="398">
        <v>180.53200000000001</v>
      </c>
      <c r="CP1539" s="398">
        <v>180.53200000000001</v>
      </c>
      <c r="CQ1539" s="398">
        <v>180.53200000000001</v>
      </c>
      <c r="CR1539" s="398">
        <v>180.53200000000001</v>
      </c>
      <c r="CS1539" s="398"/>
      <c r="CT1539" s="398"/>
      <c r="CU1539" s="398"/>
      <c r="CV1539" s="398"/>
      <c r="CW1539" s="398"/>
      <c r="CX1539" s="398"/>
      <c r="CY1539" s="398"/>
      <c r="CZ1539" s="398"/>
      <c r="DA1539" s="398"/>
      <c r="DB1539" s="398"/>
      <c r="DC1539" s="398"/>
      <c r="DD1539" s="398"/>
      <c r="DE1539" s="393"/>
      <c r="DF1539" s="393"/>
      <c r="DG1539" s="393"/>
      <c r="DH1539" s="393"/>
      <c r="DI1539" s="393"/>
      <c r="DJ1539" s="393"/>
      <c r="DK1539" s="897"/>
    </row>
    <row r="1540" spans="1:115" ht="63.75" x14ac:dyDescent="0.2">
      <c r="A1540" s="295">
        <v>1536</v>
      </c>
      <c r="B1540" s="390" t="s">
        <v>4171</v>
      </c>
      <c r="C1540" s="424" t="s">
        <v>7820</v>
      </c>
      <c r="D1540" s="391" t="s">
        <v>6071</v>
      </c>
      <c r="E1540" s="704" t="s">
        <v>4172</v>
      </c>
      <c r="F1540" s="393" t="s">
        <v>1352</v>
      </c>
      <c r="G1540" s="393" t="s">
        <v>1672</v>
      </c>
      <c r="H1540" s="393" t="s">
        <v>261</v>
      </c>
      <c r="I1540" s="392"/>
      <c r="J1540" s="392" t="s">
        <v>261</v>
      </c>
      <c r="K1540" s="392"/>
      <c r="L1540" s="392" t="s">
        <v>4173</v>
      </c>
      <c r="M1540" s="392" t="s">
        <v>3994</v>
      </c>
      <c r="N1540" s="393" t="s">
        <v>44</v>
      </c>
      <c r="O1540" s="393" t="s">
        <v>51</v>
      </c>
      <c r="P1540" s="393" t="s">
        <v>51</v>
      </c>
      <c r="Q1540" s="392" t="s">
        <v>426</v>
      </c>
      <c r="R1540" s="392"/>
      <c r="S1540" s="392" t="s">
        <v>256</v>
      </c>
      <c r="T1540" s="394">
        <v>1</v>
      </c>
      <c r="U1540" s="395">
        <v>6.2910000000000004</v>
      </c>
      <c r="V1540" s="395"/>
      <c r="W1540" s="452">
        <v>40404</v>
      </c>
      <c r="X1540" s="394">
        <v>28</v>
      </c>
      <c r="Y1540" s="394"/>
      <c r="Z1540" s="394"/>
      <c r="AA1540" s="395"/>
      <c r="AB1540" s="453"/>
      <c r="AC1540" s="398">
        <v>0</v>
      </c>
      <c r="AD1540" s="398">
        <v>62.910000000000004</v>
      </c>
      <c r="AE1540" s="393" t="s">
        <v>72</v>
      </c>
      <c r="AF1540" s="417"/>
      <c r="AG1540" s="417"/>
      <c r="AH1540" s="417">
        <v>0</v>
      </c>
      <c r="AI1540" s="394"/>
      <c r="AJ1540" s="453"/>
      <c r="AK1540" s="453"/>
      <c r="AL1540" s="393"/>
      <c r="AM1540" s="393"/>
      <c r="AN1540" s="417"/>
      <c r="AO1540" s="392"/>
      <c r="AP1540" s="392" t="s">
        <v>55</v>
      </c>
      <c r="AQ1540" s="392"/>
      <c r="AR1540" s="392" t="s">
        <v>55</v>
      </c>
      <c r="AS1540" s="479">
        <v>41191</v>
      </c>
      <c r="AT1540" s="453"/>
      <c r="AU1540" s="453" t="s">
        <v>526</v>
      </c>
      <c r="AV1540" s="452">
        <v>40504</v>
      </c>
      <c r="AW1540" s="452">
        <v>41681</v>
      </c>
      <c r="AX1540" s="452">
        <v>41740</v>
      </c>
      <c r="AY1540" s="452">
        <v>41795</v>
      </c>
      <c r="AZ1540" s="453"/>
      <c r="BA1540" s="393"/>
      <c r="BB1540" s="393" t="s">
        <v>3147</v>
      </c>
      <c r="BC1540" s="393" t="b">
        <v>0</v>
      </c>
      <c r="BD1540" s="393" t="s">
        <v>3147</v>
      </c>
      <c r="BE1540" s="392"/>
      <c r="BF1540" s="394">
        <v>4</v>
      </c>
      <c r="BG1540" s="394">
        <v>9</v>
      </c>
      <c r="BH1540" s="394">
        <v>11</v>
      </c>
      <c r="BI1540" s="394">
        <v>5</v>
      </c>
      <c r="BJ1540" s="394"/>
      <c r="BK1540" s="394"/>
      <c r="BL1540" s="444"/>
      <c r="BM1540" s="392"/>
      <c r="BN1540" s="393"/>
      <c r="BO1540" s="393"/>
      <c r="BP1540" s="399"/>
      <c r="BQ1540" s="400"/>
      <c r="BR1540" s="401"/>
      <c r="BS1540" s="399">
        <v>0</v>
      </c>
      <c r="BT1540" s="394"/>
      <c r="BU1540" s="417"/>
      <c r="BV1540" s="399"/>
      <c r="BW1540" s="393"/>
      <c r="BX1540" s="392"/>
      <c r="BY1540" s="393"/>
      <c r="BZ1540" s="393"/>
      <c r="CA1540" s="441"/>
      <c r="CB1540" s="400"/>
      <c r="CC1540" s="398"/>
      <c r="CD1540" s="398"/>
      <c r="CE1540" s="398"/>
      <c r="CF1540" s="398"/>
      <c r="CG1540" s="398"/>
      <c r="CH1540" s="398"/>
      <c r="CI1540" s="398"/>
      <c r="CJ1540" s="398"/>
      <c r="CK1540" s="398"/>
      <c r="CL1540" s="398"/>
      <c r="CM1540" s="398"/>
      <c r="CN1540" s="398"/>
      <c r="CO1540" s="398"/>
      <c r="CP1540" s="398"/>
      <c r="CQ1540" s="398"/>
      <c r="CR1540" s="398"/>
      <c r="CS1540" s="398"/>
      <c r="CT1540" s="398"/>
      <c r="CU1540" s="398"/>
      <c r="CV1540" s="398"/>
      <c r="CW1540" s="398"/>
      <c r="CX1540" s="398"/>
      <c r="CY1540" s="398"/>
      <c r="CZ1540" s="398"/>
      <c r="DA1540" s="398"/>
      <c r="DB1540" s="398"/>
      <c r="DC1540" s="398"/>
      <c r="DD1540" s="398"/>
      <c r="DE1540" s="393"/>
      <c r="DF1540" s="393"/>
      <c r="DG1540" s="393"/>
      <c r="DH1540" s="393"/>
      <c r="DI1540" s="393"/>
      <c r="DJ1540" s="393"/>
      <c r="DK1540" s="896" t="s">
        <v>9734</v>
      </c>
    </row>
    <row r="1541" spans="1:115" ht="38.25" x14ac:dyDescent="0.2">
      <c r="A1541" s="295">
        <v>1537</v>
      </c>
      <c r="B1541" s="390" t="s">
        <v>4174</v>
      </c>
      <c r="C1541" s="390"/>
      <c r="D1541" s="391" t="s">
        <v>6072</v>
      </c>
      <c r="E1541" s="704" t="s">
        <v>4175</v>
      </c>
      <c r="F1541" s="393" t="s">
        <v>1352</v>
      </c>
      <c r="G1541" s="393" t="s">
        <v>1672</v>
      </c>
      <c r="H1541" s="393" t="s">
        <v>261</v>
      </c>
      <c r="I1541" s="392"/>
      <c r="J1541" s="392"/>
      <c r="K1541" s="392" t="s">
        <v>261</v>
      </c>
      <c r="L1541" s="392" t="s">
        <v>4173</v>
      </c>
      <c r="M1541" s="392"/>
      <c r="N1541" s="393" t="s">
        <v>44</v>
      </c>
      <c r="O1541" s="393" t="s">
        <v>51</v>
      </c>
      <c r="P1541" s="393" t="s">
        <v>51</v>
      </c>
      <c r="Q1541" s="392" t="s">
        <v>426</v>
      </c>
      <c r="R1541" s="392" t="s">
        <v>4176</v>
      </c>
      <c r="S1541" s="392" t="s">
        <v>256</v>
      </c>
      <c r="T1541" s="394">
        <v>1</v>
      </c>
      <c r="U1541" s="395">
        <v>6.2910000000000004</v>
      </c>
      <c r="V1541" s="395"/>
      <c r="W1541" s="453"/>
      <c r="X1541" s="394"/>
      <c r="Y1541" s="394">
        <v>10</v>
      </c>
      <c r="Z1541" s="394">
        <v>11</v>
      </c>
      <c r="AA1541" s="395">
        <v>0</v>
      </c>
      <c r="AB1541" s="452">
        <v>41275</v>
      </c>
      <c r="AC1541" s="398">
        <v>0</v>
      </c>
      <c r="AD1541" s="398">
        <v>62.910000000000004</v>
      </c>
      <c r="AE1541" s="393" t="s">
        <v>72</v>
      </c>
      <c r="AF1541" s="417"/>
      <c r="AG1541" s="417"/>
      <c r="AH1541" s="417"/>
      <c r="AI1541" s="394"/>
      <c r="AJ1541" s="453"/>
      <c r="AK1541" s="453"/>
      <c r="AL1541" s="393"/>
      <c r="AM1541" s="393"/>
      <c r="AN1541" s="417"/>
      <c r="AO1541" s="392"/>
      <c r="AP1541" s="392" t="s">
        <v>55</v>
      </c>
      <c r="AQ1541" s="392"/>
      <c r="AR1541" s="392" t="s">
        <v>55</v>
      </c>
      <c r="AS1541" s="479">
        <v>41191</v>
      </c>
      <c r="AT1541" s="453"/>
      <c r="AU1541" s="453" t="s">
        <v>4258</v>
      </c>
      <c r="AV1541" s="453"/>
      <c r="AW1541" s="453"/>
      <c r="AX1541" s="453"/>
      <c r="AY1541" s="453"/>
      <c r="AZ1541" s="452">
        <v>41795</v>
      </c>
      <c r="BA1541" s="393"/>
      <c r="BB1541" s="393"/>
      <c r="BC1541" s="393" t="b">
        <v>0</v>
      </c>
      <c r="BD1541" s="393"/>
      <c r="BE1541" s="392"/>
      <c r="BF1541" s="394">
        <v>4</v>
      </c>
      <c r="BG1541" s="394">
        <v>9</v>
      </c>
      <c r="BH1541" s="394">
        <v>11</v>
      </c>
      <c r="BI1541" s="394">
        <v>5</v>
      </c>
      <c r="BJ1541" s="394"/>
      <c r="BK1541" s="394"/>
      <c r="BL1541" s="444" t="s">
        <v>6981</v>
      </c>
      <c r="BM1541" s="392"/>
      <c r="BN1541" s="393"/>
      <c r="BO1541" s="393"/>
      <c r="BP1541" s="399"/>
      <c r="BQ1541" s="400"/>
      <c r="BR1541" s="401"/>
      <c r="BS1541" s="399"/>
      <c r="BT1541" s="394"/>
      <c r="BU1541" s="417">
        <v>0.48620000000000002</v>
      </c>
      <c r="BV1541" s="399">
        <v>12.9</v>
      </c>
      <c r="BW1541" s="393" t="s">
        <v>3117</v>
      </c>
      <c r="BX1541" s="392" t="s">
        <v>4364</v>
      </c>
      <c r="BY1541" s="393" t="s">
        <v>7224</v>
      </c>
      <c r="BZ1541" s="393"/>
      <c r="CA1541" s="441"/>
      <c r="CB1541" s="400"/>
      <c r="CC1541" s="398"/>
      <c r="CD1541" s="398"/>
      <c r="CE1541" s="398"/>
      <c r="CF1541" s="398"/>
      <c r="CG1541" s="398"/>
      <c r="CH1541" s="398"/>
      <c r="CI1541" s="398">
        <v>6.2910000000000004</v>
      </c>
      <c r="CJ1541" s="398">
        <v>6.2910000000000004</v>
      </c>
      <c r="CK1541" s="398">
        <v>6.2910000000000004</v>
      </c>
      <c r="CL1541" s="398">
        <v>6.2910000000000004</v>
      </c>
      <c r="CM1541" s="398">
        <v>6.2910000000000004</v>
      </c>
      <c r="CN1541" s="398">
        <v>6.2910000000000004</v>
      </c>
      <c r="CO1541" s="398">
        <v>6.2910000000000004</v>
      </c>
      <c r="CP1541" s="398">
        <v>6.2910000000000004</v>
      </c>
      <c r="CQ1541" s="398">
        <v>6.2910000000000004</v>
      </c>
      <c r="CR1541" s="398">
        <v>6.2910000000000004</v>
      </c>
      <c r="CS1541" s="398"/>
      <c r="CT1541" s="398"/>
      <c r="CU1541" s="398"/>
      <c r="CV1541" s="398"/>
      <c r="CW1541" s="398"/>
      <c r="CX1541" s="398"/>
      <c r="CY1541" s="398"/>
      <c r="CZ1541" s="398"/>
      <c r="DA1541" s="398"/>
      <c r="DB1541" s="398"/>
      <c r="DC1541" s="398"/>
      <c r="DD1541" s="398"/>
      <c r="DE1541" s="393"/>
      <c r="DF1541" s="393"/>
      <c r="DG1541" s="393"/>
      <c r="DH1541" s="393"/>
      <c r="DI1541" s="393"/>
      <c r="DJ1541" s="393"/>
      <c r="DK1541" s="897"/>
    </row>
    <row r="1542" spans="1:115" ht="63.75" x14ac:dyDescent="0.2">
      <c r="A1542" s="295">
        <v>1538</v>
      </c>
      <c r="B1542" s="390" t="s">
        <v>4177</v>
      </c>
      <c r="C1542" s="424" t="s">
        <v>7821</v>
      </c>
      <c r="D1542" s="391" t="s">
        <v>5242</v>
      </c>
      <c r="E1542" s="704" t="s">
        <v>4178</v>
      </c>
      <c r="F1542" s="393" t="s">
        <v>1352</v>
      </c>
      <c r="G1542" s="393" t="s">
        <v>1671</v>
      </c>
      <c r="H1542" s="393" t="s">
        <v>117</v>
      </c>
      <c r="I1542" s="392"/>
      <c r="J1542" s="392" t="s">
        <v>587</v>
      </c>
      <c r="K1542" s="392"/>
      <c r="L1542" s="392" t="s">
        <v>4179</v>
      </c>
      <c r="M1542" s="392" t="s">
        <v>4180</v>
      </c>
      <c r="N1542" s="393" t="s">
        <v>44</v>
      </c>
      <c r="O1542" s="393" t="s">
        <v>69</v>
      </c>
      <c r="P1542" s="393" t="s">
        <v>69</v>
      </c>
      <c r="Q1542" s="392" t="s">
        <v>572</v>
      </c>
      <c r="R1542" s="392"/>
      <c r="S1542" s="392" t="s">
        <v>198</v>
      </c>
      <c r="T1542" s="394">
        <v>1</v>
      </c>
      <c r="U1542" s="395">
        <v>7.88</v>
      </c>
      <c r="V1542" s="395"/>
      <c r="W1542" s="452">
        <v>41197</v>
      </c>
      <c r="X1542" s="394">
        <v>28</v>
      </c>
      <c r="Y1542" s="394"/>
      <c r="Z1542" s="394"/>
      <c r="AA1542" s="395"/>
      <c r="AB1542" s="453"/>
      <c r="AC1542" s="398">
        <v>0</v>
      </c>
      <c r="AD1542" s="398">
        <v>78.8</v>
      </c>
      <c r="AE1542" s="393" t="s">
        <v>47</v>
      </c>
      <c r="AF1542" s="417"/>
      <c r="AG1542" s="417"/>
      <c r="AH1542" s="417">
        <v>0</v>
      </c>
      <c r="AI1542" s="394"/>
      <c r="AJ1542" s="453"/>
      <c r="AK1542" s="453"/>
      <c r="AL1542" s="393"/>
      <c r="AM1542" s="393"/>
      <c r="AN1542" s="417"/>
      <c r="AO1542" s="392"/>
      <c r="AP1542" s="392" t="s">
        <v>7117</v>
      </c>
      <c r="AQ1542" s="392"/>
      <c r="AR1542" s="392" t="s">
        <v>55</v>
      </c>
      <c r="AS1542" s="479">
        <v>41194</v>
      </c>
      <c r="AT1542" s="453"/>
      <c r="AU1542" s="453"/>
      <c r="AV1542" s="452">
        <v>41244</v>
      </c>
      <c r="AW1542" s="452">
        <v>41272</v>
      </c>
      <c r="AX1542" s="452">
        <v>41439</v>
      </c>
      <c r="AY1542" s="452">
        <v>41272</v>
      </c>
      <c r="AZ1542" s="453"/>
      <c r="BA1542" s="393"/>
      <c r="BB1542" s="393" t="s">
        <v>3116</v>
      </c>
      <c r="BC1542" s="393" t="b">
        <v>0</v>
      </c>
      <c r="BD1542" s="393" t="s">
        <v>3116</v>
      </c>
      <c r="BE1542" s="392"/>
      <c r="BF1542" s="394">
        <v>9</v>
      </c>
      <c r="BG1542" s="394">
        <v>8</v>
      </c>
      <c r="BH1542" s="394">
        <v>1</v>
      </c>
      <c r="BI1542" s="394">
        <v>6</v>
      </c>
      <c r="BJ1542" s="394">
        <v>2</v>
      </c>
      <c r="BK1542" s="394"/>
      <c r="BL1542" s="444"/>
      <c r="BM1542" s="392"/>
      <c r="BN1542" s="393"/>
      <c r="BO1542" s="393"/>
      <c r="BP1542" s="399"/>
      <c r="BQ1542" s="400"/>
      <c r="BR1542" s="401"/>
      <c r="BS1542" s="399">
        <v>0</v>
      </c>
      <c r="BT1542" s="394"/>
      <c r="BU1542" s="417"/>
      <c r="BV1542" s="399"/>
      <c r="BW1542" s="393"/>
      <c r="BX1542" s="392"/>
      <c r="BY1542" s="475" t="s">
        <v>7227</v>
      </c>
      <c r="BZ1542" s="393"/>
      <c r="CA1542" s="441"/>
      <c r="CB1542" s="400"/>
      <c r="CC1542" s="398"/>
      <c r="CD1542" s="398"/>
      <c r="CE1542" s="398"/>
      <c r="CF1542" s="398"/>
      <c r="CG1542" s="398"/>
      <c r="CH1542" s="398"/>
      <c r="CI1542" s="398"/>
      <c r="CJ1542" s="398"/>
      <c r="CK1542" s="398"/>
      <c r="CL1542" s="398"/>
      <c r="CM1542" s="398"/>
      <c r="CN1542" s="398"/>
      <c r="CO1542" s="398"/>
      <c r="CP1542" s="398"/>
      <c r="CQ1542" s="398"/>
      <c r="CR1542" s="398"/>
      <c r="CS1542" s="398"/>
      <c r="CT1542" s="398"/>
      <c r="CU1542" s="398"/>
      <c r="CV1542" s="398"/>
      <c r="CW1542" s="398"/>
      <c r="CX1542" s="398"/>
      <c r="CY1542" s="398"/>
      <c r="CZ1542" s="398"/>
      <c r="DA1542" s="398"/>
      <c r="DB1542" s="398"/>
      <c r="DC1542" s="398"/>
      <c r="DD1542" s="398"/>
      <c r="DE1542" s="393"/>
      <c r="DF1542" s="393"/>
      <c r="DG1542" s="393"/>
      <c r="DH1542" s="393"/>
      <c r="DI1542" s="393"/>
      <c r="DJ1542" s="393"/>
      <c r="DK1542" s="896" t="s">
        <v>9700</v>
      </c>
    </row>
    <row r="1543" spans="1:115" ht="51" x14ac:dyDescent="0.2">
      <c r="A1543" s="295">
        <v>1539</v>
      </c>
      <c r="B1543" s="390" t="s">
        <v>4181</v>
      </c>
      <c r="C1543" s="390"/>
      <c r="D1543" s="391" t="s">
        <v>5243</v>
      </c>
      <c r="E1543" s="704" t="s">
        <v>4182</v>
      </c>
      <c r="F1543" s="393" t="s">
        <v>1352</v>
      </c>
      <c r="G1543" s="393" t="s">
        <v>1671</v>
      </c>
      <c r="H1543" s="393" t="s">
        <v>117</v>
      </c>
      <c r="I1543" s="392"/>
      <c r="J1543" s="392"/>
      <c r="K1543" s="392" t="s">
        <v>4183</v>
      </c>
      <c r="L1543" s="392" t="s">
        <v>4179</v>
      </c>
      <c r="M1543" s="392"/>
      <c r="N1543" s="393" t="s">
        <v>44</v>
      </c>
      <c r="O1543" s="393" t="s">
        <v>69</v>
      </c>
      <c r="P1543" s="393" t="s">
        <v>69</v>
      </c>
      <c r="Q1543" s="392" t="s">
        <v>572</v>
      </c>
      <c r="R1543" s="392" t="s">
        <v>4184</v>
      </c>
      <c r="S1543" s="392" t="s">
        <v>198</v>
      </c>
      <c r="T1543" s="394">
        <v>1</v>
      </c>
      <c r="U1543" s="395">
        <v>7.88</v>
      </c>
      <c r="V1543" s="395"/>
      <c r="W1543" s="453"/>
      <c r="X1543" s="394"/>
      <c r="Y1543" s="394">
        <v>10</v>
      </c>
      <c r="Z1543" s="394">
        <v>10</v>
      </c>
      <c r="AA1543" s="395">
        <v>0</v>
      </c>
      <c r="AB1543" s="452">
        <v>41302</v>
      </c>
      <c r="AC1543" s="398">
        <v>0</v>
      </c>
      <c r="AD1543" s="398">
        <v>78.8</v>
      </c>
      <c r="AE1543" s="393" t="s">
        <v>47</v>
      </c>
      <c r="AF1543" s="417"/>
      <c r="AG1543" s="417"/>
      <c r="AH1543" s="417"/>
      <c r="AI1543" s="394"/>
      <c r="AJ1543" s="453"/>
      <c r="AK1543" s="453"/>
      <c r="AL1543" s="393"/>
      <c r="AM1543" s="393"/>
      <c r="AN1543" s="417"/>
      <c r="AO1543" s="392"/>
      <c r="AP1543" s="392" t="s">
        <v>7117</v>
      </c>
      <c r="AQ1543" s="392"/>
      <c r="AR1543" s="392" t="s">
        <v>55</v>
      </c>
      <c r="AS1543" s="479">
        <v>41194</v>
      </c>
      <c r="AT1543" s="453"/>
      <c r="AU1543" s="453"/>
      <c r="AV1543" s="453"/>
      <c r="AW1543" s="453"/>
      <c r="AX1543" s="453"/>
      <c r="AY1543" s="453"/>
      <c r="AZ1543" s="452">
        <v>41272</v>
      </c>
      <c r="BA1543" s="393"/>
      <c r="BB1543" s="393"/>
      <c r="BC1543" s="393" t="b">
        <v>0</v>
      </c>
      <c r="BD1543" s="393"/>
      <c r="BE1543" s="392"/>
      <c r="BF1543" s="394">
        <v>9</v>
      </c>
      <c r="BG1543" s="394">
        <v>8</v>
      </c>
      <c r="BH1543" s="394">
        <v>1</v>
      </c>
      <c r="BI1543" s="394">
        <v>6</v>
      </c>
      <c r="BJ1543" s="394">
        <v>2</v>
      </c>
      <c r="BK1543" s="394"/>
      <c r="BL1543" s="444" t="s">
        <v>6981</v>
      </c>
      <c r="BM1543" s="392"/>
      <c r="BN1543" s="393"/>
      <c r="BO1543" s="393"/>
      <c r="BP1543" s="399"/>
      <c r="BQ1543" s="400"/>
      <c r="BR1543" s="401"/>
      <c r="BS1543" s="399"/>
      <c r="BT1543" s="394"/>
      <c r="BU1543" s="417"/>
      <c r="BV1543" s="399"/>
      <c r="BW1543" s="393" t="s">
        <v>3117</v>
      </c>
      <c r="BX1543" s="392"/>
      <c r="BY1543" s="475" t="s">
        <v>7227</v>
      </c>
      <c r="BZ1543" s="393"/>
      <c r="CA1543" s="441"/>
      <c r="CB1543" s="400"/>
      <c r="CC1543" s="398"/>
      <c r="CD1543" s="398"/>
      <c r="CE1543" s="398"/>
      <c r="CF1543" s="398"/>
      <c r="CG1543" s="398"/>
      <c r="CH1543" s="398"/>
      <c r="CI1543" s="398">
        <v>7.2229999999999999</v>
      </c>
      <c r="CJ1543" s="398">
        <v>7.88</v>
      </c>
      <c r="CK1543" s="398">
        <v>7.88</v>
      </c>
      <c r="CL1543" s="398">
        <v>7.88</v>
      </c>
      <c r="CM1543" s="398">
        <v>7.88</v>
      </c>
      <c r="CN1543" s="398">
        <v>7.88</v>
      </c>
      <c r="CO1543" s="398">
        <v>7.88</v>
      </c>
      <c r="CP1543" s="398">
        <v>7.88</v>
      </c>
      <c r="CQ1543" s="398">
        <v>7.88</v>
      </c>
      <c r="CR1543" s="398">
        <v>7.88</v>
      </c>
      <c r="CS1543" s="398">
        <v>0.65700000000000003</v>
      </c>
      <c r="CT1543" s="398"/>
      <c r="CU1543" s="398"/>
      <c r="CV1543" s="398"/>
      <c r="CW1543" s="398"/>
      <c r="CX1543" s="398"/>
      <c r="CY1543" s="398"/>
      <c r="CZ1543" s="398"/>
      <c r="DA1543" s="398"/>
      <c r="DB1543" s="398"/>
      <c r="DC1543" s="398"/>
      <c r="DD1543" s="398"/>
      <c r="DE1543" s="393"/>
      <c r="DF1543" s="393"/>
      <c r="DG1543" s="393"/>
      <c r="DH1543" s="393"/>
      <c r="DI1543" s="393"/>
      <c r="DJ1543" s="393"/>
      <c r="DK1543" s="897"/>
    </row>
    <row r="1544" spans="1:115" ht="76.5" x14ac:dyDescent="0.2">
      <c r="A1544" s="295">
        <v>1540</v>
      </c>
      <c r="B1544" s="390" t="s">
        <v>4185</v>
      </c>
      <c r="C1544" s="424" t="s">
        <v>7822</v>
      </c>
      <c r="D1544" s="391" t="s">
        <v>5646</v>
      </c>
      <c r="E1544" s="704" t="s">
        <v>4186</v>
      </c>
      <c r="F1544" s="393" t="s">
        <v>1352</v>
      </c>
      <c r="G1544" s="393" t="s">
        <v>1673</v>
      </c>
      <c r="H1544" s="393" t="s">
        <v>42</v>
      </c>
      <c r="I1544" s="392"/>
      <c r="J1544" s="392" t="s">
        <v>42</v>
      </c>
      <c r="K1544" s="392"/>
      <c r="L1544" s="392" t="s">
        <v>4187</v>
      </c>
      <c r="M1544" s="392" t="s">
        <v>4188</v>
      </c>
      <c r="N1544" s="393" t="s">
        <v>44</v>
      </c>
      <c r="O1544" s="393" t="s">
        <v>374</v>
      </c>
      <c r="P1544" s="393" t="s">
        <v>374</v>
      </c>
      <c r="Q1544" s="392" t="s">
        <v>375</v>
      </c>
      <c r="R1544" s="392"/>
      <c r="S1544" s="392" t="s">
        <v>4189</v>
      </c>
      <c r="T1544" s="394">
        <v>1</v>
      </c>
      <c r="U1544" s="395">
        <v>3.4729999999999999</v>
      </c>
      <c r="V1544" s="395"/>
      <c r="W1544" s="452">
        <v>41243</v>
      </c>
      <c r="X1544" s="394">
        <v>28</v>
      </c>
      <c r="Y1544" s="394"/>
      <c r="Z1544" s="394"/>
      <c r="AA1544" s="395"/>
      <c r="AB1544" s="453"/>
      <c r="AC1544" s="398">
        <v>0.50871299999999997</v>
      </c>
      <c r="AD1544" s="398">
        <v>34.729999999999997</v>
      </c>
      <c r="AE1544" s="393" t="s">
        <v>72</v>
      </c>
      <c r="AF1544" s="417"/>
      <c r="AG1544" s="417"/>
      <c r="AH1544" s="417">
        <v>0</v>
      </c>
      <c r="AI1544" s="394"/>
      <c r="AJ1544" s="453"/>
      <c r="AK1544" s="453"/>
      <c r="AL1544" s="393"/>
      <c r="AM1544" s="393"/>
      <c r="AN1544" s="417"/>
      <c r="AO1544" s="392"/>
      <c r="AP1544" s="392" t="s">
        <v>55</v>
      </c>
      <c r="AQ1544" s="392"/>
      <c r="AR1544" s="392" t="s">
        <v>55</v>
      </c>
      <c r="AS1544" s="479">
        <v>41201</v>
      </c>
      <c r="AT1544" s="453"/>
      <c r="AU1544" s="453"/>
      <c r="AV1544" s="452">
        <v>41387</v>
      </c>
      <c r="AW1544" s="452">
        <v>41523</v>
      </c>
      <c r="AX1544" s="452">
        <v>41213</v>
      </c>
      <c r="AY1544" s="452">
        <v>41523</v>
      </c>
      <c r="AZ1544" s="453"/>
      <c r="BA1544" s="393"/>
      <c r="BB1544" s="393" t="s">
        <v>5789</v>
      </c>
      <c r="BC1544" s="393" t="b">
        <v>0</v>
      </c>
      <c r="BD1544" s="393" t="s">
        <v>3147</v>
      </c>
      <c r="BE1544" s="392"/>
      <c r="BF1544" s="394">
        <v>2</v>
      </c>
      <c r="BG1544" s="394">
        <v>8</v>
      </c>
      <c r="BH1544" s="394">
        <v>4</v>
      </c>
      <c r="BI1544" s="394">
        <v>9</v>
      </c>
      <c r="BJ1544" s="394">
        <v>2</v>
      </c>
      <c r="BK1544" s="394">
        <v>3</v>
      </c>
      <c r="BL1544" s="444"/>
      <c r="BM1544" s="392"/>
      <c r="BN1544" s="393"/>
      <c r="BO1544" s="393"/>
      <c r="BP1544" s="399"/>
      <c r="BQ1544" s="400"/>
      <c r="BR1544" s="401"/>
      <c r="BS1544" s="399">
        <v>0</v>
      </c>
      <c r="BT1544" s="394"/>
      <c r="BU1544" s="417"/>
      <c r="BV1544" s="399"/>
      <c r="BW1544" s="393"/>
      <c r="BX1544" s="392"/>
      <c r="BY1544" s="393"/>
      <c r="BZ1544" s="393"/>
      <c r="CA1544" s="441"/>
      <c r="CB1544" s="400"/>
      <c r="CC1544" s="398"/>
      <c r="CD1544" s="398"/>
      <c r="CE1544" s="398"/>
      <c r="CF1544" s="398"/>
      <c r="CG1544" s="398"/>
      <c r="CH1544" s="398"/>
      <c r="CI1544" s="398"/>
      <c r="CJ1544" s="398"/>
      <c r="CK1544" s="398"/>
      <c r="CL1544" s="398"/>
      <c r="CM1544" s="398"/>
      <c r="CN1544" s="398"/>
      <c r="CO1544" s="398"/>
      <c r="CP1544" s="398"/>
      <c r="CQ1544" s="398"/>
      <c r="CR1544" s="398"/>
      <c r="CS1544" s="398"/>
      <c r="CT1544" s="398"/>
      <c r="CU1544" s="398"/>
      <c r="CV1544" s="398"/>
      <c r="CW1544" s="398"/>
      <c r="CX1544" s="398"/>
      <c r="CY1544" s="398"/>
      <c r="CZ1544" s="398"/>
      <c r="DA1544" s="398"/>
      <c r="DB1544" s="398"/>
      <c r="DC1544" s="398"/>
      <c r="DD1544" s="398"/>
      <c r="DE1544" s="393"/>
      <c r="DF1544" s="393"/>
      <c r="DG1544" s="393"/>
      <c r="DH1544" s="393"/>
      <c r="DI1544" s="393"/>
      <c r="DJ1544" s="393"/>
      <c r="DK1544" s="896" t="s">
        <v>9746</v>
      </c>
    </row>
    <row r="1545" spans="1:115" ht="38.25" x14ac:dyDescent="0.2">
      <c r="A1545" s="295">
        <v>1541</v>
      </c>
      <c r="B1545" s="390" t="s">
        <v>4190</v>
      </c>
      <c r="C1545" s="390"/>
      <c r="D1545" s="391" t="s">
        <v>5735</v>
      </c>
      <c r="E1545" s="704" t="s">
        <v>4191</v>
      </c>
      <c r="F1545" s="393" t="s">
        <v>1352</v>
      </c>
      <c r="G1545" s="393" t="s">
        <v>1673</v>
      </c>
      <c r="H1545" s="393" t="s">
        <v>42</v>
      </c>
      <c r="I1545" s="392"/>
      <c r="J1545" s="392"/>
      <c r="K1545" s="392" t="s">
        <v>85</v>
      </c>
      <c r="L1545" s="392" t="s">
        <v>4187</v>
      </c>
      <c r="M1545" s="392"/>
      <c r="N1545" s="393" t="s">
        <v>44</v>
      </c>
      <c r="O1545" s="393" t="s">
        <v>374</v>
      </c>
      <c r="P1545" s="393" t="s">
        <v>374</v>
      </c>
      <c r="Q1545" s="392" t="s">
        <v>375</v>
      </c>
      <c r="R1545" s="392" t="s">
        <v>4192</v>
      </c>
      <c r="S1545" s="392" t="s">
        <v>4189</v>
      </c>
      <c r="T1545" s="394">
        <v>1</v>
      </c>
      <c r="U1545" s="395">
        <v>3.4729999999999999</v>
      </c>
      <c r="V1545" s="395"/>
      <c r="W1545" s="453"/>
      <c r="X1545" s="394"/>
      <c r="Y1545" s="394">
        <v>10</v>
      </c>
      <c r="Z1545" s="394">
        <v>10</v>
      </c>
      <c r="AA1545" s="395">
        <v>0</v>
      </c>
      <c r="AB1545" s="452">
        <v>41244</v>
      </c>
      <c r="AC1545" s="398">
        <v>0.50871299999999997</v>
      </c>
      <c r="AD1545" s="398">
        <v>34.729999999999997</v>
      </c>
      <c r="AE1545" s="393" t="s">
        <v>72</v>
      </c>
      <c r="AF1545" s="417"/>
      <c r="AG1545" s="417"/>
      <c r="AH1545" s="417"/>
      <c r="AI1545" s="394"/>
      <c r="AJ1545" s="453"/>
      <c r="AK1545" s="453"/>
      <c r="AL1545" s="393"/>
      <c r="AM1545" s="393"/>
      <c r="AN1545" s="417"/>
      <c r="AO1545" s="392"/>
      <c r="AP1545" s="392" t="s">
        <v>55</v>
      </c>
      <c r="AQ1545" s="392"/>
      <c r="AR1545" s="392" t="s">
        <v>55</v>
      </c>
      <c r="AS1545" s="479">
        <v>41201</v>
      </c>
      <c r="AT1545" s="453"/>
      <c r="AU1545" s="453"/>
      <c r="AV1545" s="453"/>
      <c r="AW1545" s="453"/>
      <c r="AX1545" s="453"/>
      <c r="AY1545" s="453"/>
      <c r="AZ1545" s="452">
        <v>41523</v>
      </c>
      <c r="BA1545" s="393"/>
      <c r="BB1545" s="393"/>
      <c r="BC1545" s="393" t="b">
        <v>0</v>
      </c>
      <c r="BD1545" s="393"/>
      <c r="BE1545" s="392"/>
      <c r="BF1545" s="394">
        <v>2</v>
      </c>
      <c r="BG1545" s="394">
        <v>8</v>
      </c>
      <c r="BH1545" s="394">
        <v>4</v>
      </c>
      <c r="BI1545" s="394">
        <v>9</v>
      </c>
      <c r="BJ1545" s="394">
        <v>2</v>
      </c>
      <c r="BK1545" s="394">
        <v>3</v>
      </c>
      <c r="BL1545" s="444" t="s">
        <v>6983</v>
      </c>
      <c r="BM1545" s="392" t="s">
        <v>4193</v>
      </c>
      <c r="BN1545" s="393" t="s">
        <v>42</v>
      </c>
      <c r="BO1545" s="393"/>
      <c r="BP1545" s="399"/>
      <c r="BQ1545" s="400"/>
      <c r="BR1545" s="401"/>
      <c r="BS1545" s="399"/>
      <c r="BT1545" s="394"/>
      <c r="BU1545" s="417">
        <v>0.91</v>
      </c>
      <c r="BV1545" s="399">
        <v>14.63</v>
      </c>
      <c r="BW1545" s="393" t="s">
        <v>3117</v>
      </c>
      <c r="BX1545" s="392" t="s">
        <v>4364</v>
      </c>
      <c r="BY1545" s="393" t="s">
        <v>7224</v>
      </c>
      <c r="BZ1545" s="393"/>
      <c r="CA1545" s="441"/>
      <c r="CB1545" s="400"/>
      <c r="CC1545" s="398"/>
      <c r="CD1545" s="398"/>
      <c r="CE1545" s="398"/>
      <c r="CF1545" s="398"/>
      <c r="CG1545" s="398"/>
      <c r="CH1545" s="398"/>
      <c r="CI1545" s="398">
        <v>6.1070000000000002</v>
      </c>
      <c r="CJ1545" s="398">
        <v>6.1070000000000002</v>
      </c>
      <c r="CK1545" s="398">
        <v>6.1070000000000002</v>
      </c>
      <c r="CL1545" s="398">
        <v>6.1070000000000002</v>
      </c>
      <c r="CM1545" s="398">
        <v>6.1070000000000002</v>
      </c>
      <c r="CN1545" s="398">
        <v>6.1070000000000002</v>
      </c>
      <c r="CO1545" s="398">
        <v>6.1070000000000002</v>
      </c>
      <c r="CP1545" s="398">
        <v>6.1070000000000002</v>
      </c>
      <c r="CQ1545" s="398">
        <v>6.1070000000000002</v>
      </c>
      <c r="CR1545" s="398">
        <v>6.1070000000000002</v>
      </c>
      <c r="CS1545" s="398"/>
      <c r="CT1545" s="398"/>
      <c r="CU1545" s="398"/>
      <c r="CV1545" s="398"/>
      <c r="CW1545" s="398"/>
      <c r="CX1545" s="398"/>
      <c r="CY1545" s="398"/>
      <c r="CZ1545" s="398"/>
      <c r="DA1545" s="398"/>
      <c r="DB1545" s="398"/>
      <c r="DC1545" s="398"/>
      <c r="DD1545" s="398"/>
      <c r="DE1545" s="393"/>
      <c r="DF1545" s="393"/>
      <c r="DG1545" s="393"/>
      <c r="DH1545" s="393"/>
      <c r="DI1545" s="393"/>
      <c r="DJ1545" s="393"/>
      <c r="DK1545" s="897"/>
    </row>
    <row r="1546" spans="1:115" ht="51" x14ac:dyDescent="0.2">
      <c r="A1546" s="295">
        <v>1542</v>
      </c>
      <c r="B1546" s="390" t="s">
        <v>4194</v>
      </c>
      <c r="C1546" s="424" t="s">
        <v>7823</v>
      </c>
      <c r="D1546" s="391" t="s">
        <v>5456</v>
      </c>
      <c r="E1546" s="704" t="s">
        <v>4195</v>
      </c>
      <c r="F1546" s="393" t="s">
        <v>1352</v>
      </c>
      <c r="G1546" s="393" t="s">
        <v>1671</v>
      </c>
      <c r="H1546" s="393" t="s">
        <v>117</v>
      </c>
      <c r="I1546" s="392"/>
      <c r="J1546" s="392" t="s">
        <v>4196</v>
      </c>
      <c r="K1546" s="392"/>
      <c r="L1546" s="392" t="s">
        <v>4197</v>
      </c>
      <c r="M1546" s="392" t="s">
        <v>4198</v>
      </c>
      <c r="N1546" s="393" t="s">
        <v>44</v>
      </c>
      <c r="O1546" s="393" t="s">
        <v>820</v>
      </c>
      <c r="P1546" s="393" t="s">
        <v>820</v>
      </c>
      <c r="Q1546" s="392" t="s">
        <v>1833</v>
      </c>
      <c r="R1546" s="392"/>
      <c r="S1546" s="392" t="s">
        <v>4199</v>
      </c>
      <c r="T1546" s="394">
        <v>1</v>
      </c>
      <c r="U1546" s="395">
        <v>3.3460000000000001</v>
      </c>
      <c r="V1546" s="395"/>
      <c r="W1546" s="452">
        <v>41210</v>
      </c>
      <c r="X1546" s="394">
        <v>28</v>
      </c>
      <c r="Y1546" s="394"/>
      <c r="Z1546" s="394"/>
      <c r="AA1546" s="395"/>
      <c r="AB1546" s="453"/>
      <c r="AC1546" s="398">
        <v>0</v>
      </c>
      <c r="AD1546" s="398">
        <v>33.46</v>
      </c>
      <c r="AE1546" s="393" t="s">
        <v>72</v>
      </c>
      <c r="AF1546" s="417"/>
      <c r="AG1546" s="417"/>
      <c r="AH1546" s="417">
        <v>0</v>
      </c>
      <c r="AI1546" s="394"/>
      <c r="AJ1546" s="453"/>
      <c r="AK1546" s="453"/>
      <c r="AL1546" s="393"/>
      <c r="AM1546" s="393"/>
      <c r="AN1546" s="417"/>
      <c r="AO1546" s="392"/>
      <c r="AP1546" s="392" t="s">
        <v>55</v>
      </c>
      <c r="AQ1546" s="392"/>
      <c r="AR1546" s="392" t="s">
        <v>55</v>
      </c>
      <c r="AS1546" s="479">
        <v>41210</v>
      </c>
      <c r="AT1546" s="453"/>
      <c r="AU1546" s="453"/>
      <c r="AV1546" s="452">
        <v>41244</v>
      </c>
      <c r="AW1546" s="452">
        <v>41273</v>
      </c>
      <c r="AX1546" s="452">
        <v>41458</v>
      </c>
      <c r="AY1546" s="452">
        <v>41273</v>
      </c>
      <c r="AZ1546" s="453"/>
      <c r="BA1546" s="393"/>
      <c r="BB1546" s="393" t="s">
        <v>3116</v>
      </c>
      <c r="BC1546" s="393" t="b">
        <v>0</v>
      </c>
      <c r="BD1546" s="393" t="s">
        <v>3147</v>
      </c>
      <c r="BE1546" s="392"/>
      <c r="BF1546" s="394">
        <v>1</v>
      </c>
      <c r="BG1546" s="394">
        <v>8</v>
      </c>
      <c r="BH1546" s="394">
        <v>9</v>
      </c>
      <c r="BI1546" s="394">
        <v>5</v>
      </c>
      <c r="BJ1546" s="394"/>
      <c r="BK1546" s="394"/>
      <c r="BL1546" s="444"/>
      <c r="BM1546" s="392"/>
      <c r="BN1546" s="393"/>
      <c r="BO1546" s="393"/>
      <c r="BP1546" s="399"/>
      <c r="BQ1546" s="400"/>
      <c r="BR1546" s="401"/>
      <c r="BS1546" s="399">
        <v>0</v>
      </c>
      <c r="BT1546" s="394"/>
      <c r="BU1546" s="417"/>
      <c r="BV1546" s="399"/>
      <c r="BW1546" s="393"/>
      <c r="BX1546" s="392"/>
      <c r="BY1546" s="393"/>
      <c r="BZ1546" s="393"/>
      <c r="CA1546" s="441"/>
      <c r="CB1546" s="400"/>
      <c r="CC1546" s="398"/>
      <c r="CD1546" s="398"/>
      <c r="CE1546" s="398"/>
      <c r="CF1546" s="398"/>
      <c r="CG1546" s="398"/>
      <c r="CH1546" s="398"/>
      <c r="CI1546" s="398"/>
      <c r="CJ1546" s="398"/>
      <c r="CK1546" s="398"/>
      <c r="CL1546" s="398"/>
      <c r="CM1546" s="398"/>
      <c r="CN1546" s="398"/>
      <c r="CO1546" s="398"/>
      <c r="CP1546" s="398"/>
      <c r="CQ1546" s="398"/>
      <c r="CR1546" s="398"/>
      <c r="CS1546" s="398"/>
      <c r="CT1546" s="398"/>
      <c r="CU1546" s="398"/>
      <c r="CV1546" s="398"/>
      <c r="CW1546" s="398"/>
      <c r="CX1546" s="398"/>
      <c r="CY1546" s="398"/>
      <c r="CZ1546" s="398"/>
      <c r="DA1546" s="398"/>
      <c r="DB1546" s="398"/>
      <c r="DC1546" s="398"/>
      <c r="DD1546" s="398"/>
      <c r="DE1546" s="393"/>
      <c r="DF1546" s="393"/>
      <c r="DG1546" s="393"/>
      <c r="DH1546" s="393"/>
      <c r="DI1546" s="393"/>
      <c r="DJ1546" s="393"/>
      <c r="DK1546" s="896" t="s">
        <v>9700</v>
      </c>
    </row>
    <row r="1547" spans="1:115" ht="15" x14ac:dyDescent="0.2">
      <c r="A1547" s="295">
        <v>1543</v>
      </c>
      <c r="B1547" s="390" t="s">
        <v>4200</v>
      </c>
      <c r="C1547" s="390"/>
      <c r="D1547" s="391" t="s">
        <v>5457</v>
      </c>
      <c r="E1547" s="704" t="s">
        <v>4201</v>
      </c>
      <c r="F1547" s="393" t="s">
        <v>1352</v>
      </c>
      <c r="G1547" s="393" t="s">
        <v>1671</v>
      </c>
      <c r="H1547" s="393" t="s">
        <v>117</v>
      </c>
      <c r="I1547" s="392"/>
      <c r="J1547" s="392"/>
      <c r="K1547" s="392" t="s">
        <v>4196</v>
      </c>
      <c r="L1547" s="392" t="s">
        <v>4197</v>
      </c>
      <c r="M1547" s="392"/>
      <c r="N1547" s="393" t="s">
        <v>44</v>
      </c>
      <c r="O1547" s="393" t="s">
        <v>820</v>
      </c>
      <c r="P1547" s="393" t="s">
        <v>820</v>
      </c>
      <c r="Q1547" s="392" t="s">
        <v>1833</v>
      </c>
      <c r="R1547" s="392" t="s">
        <v>4202</v>
      </c>
      <c r="S1547" s="392" t="s">
        <v>4199</v>
      </c>
      <c r="T1547" s="394">
        <v>1</v>
      </c>
      <c r="U1547" s="395">
        <v>3.3460000000000001</v>
      </c>
      <c r="V1547" s="395"/>
      <c r="W1547" s="453"/>
      <c r="X1547" s="394"/>
      <c r="Y1547" s="394">
        <v>10</v>
      </c>
      <c r="Z1547" s="394">
        <v>10</v>
      </c>
      <c r="AA1547" s="395">
        <v>-0.2</v>
      </c>
      <c r="AB1547" s="452">
        <v>41306</v>
      </c>
      <c r="AC1547" s="398">
        <v>0</v>
      </c>
      <c r="AD1547" s="398">
        <v>33.46</v>
      </c>
      <c r="AE1547" s="393" t="s">
        <v>72</v>
      </c>
      <c r="AF1547" s="417"/>
      <c r="AG1547" s="417"/>
      <c r="AH1547" s="417"/>
      <c r="AI1547" s="394"/>
      <c r="AJ1547" s="453"/>
      <c r="AK1547" s="453"/>
      <c r="AL1547" s="393"/>
      <c r="AM1547" s="393"/>
      <c r="AN1547" s="417"/>
      <c r="AO1547" s="392"/>
      <c r="AP1547" s="392" t="s">
        <v>55</v>
      </c>
      <c r="AQ1547" s="392"/>
      <c r="AR1547" s="392" t="s">
        <v>55</v>
      </c>
      <c r="AS1547" s="479">
        <v>41210</v>
      </c>
      <c r="AT1547" s="453"/>
      <c r="AU1547" s="453"/>
      <c r="AV1547" s="453"/>
      <c r="AW1547" s="453"/>
      <c r="AX1547" s="453"/>
      <c r="AY1547" s="453"/>
      <c r="AZ1547" s="452">
        <v>41273</v>
      </c>
      <c r="BA1547" s="393"/>
      <c r="BB1547" s="393"/>
      <c r="BC1547" s="393" t="b">
        <v>0</v>
      </c>
      <c r="BD1547" s="393"/>
      <c r="BE1547" s="392"/>
      <c r="BF1547" s="394">
        <v>1</v>
      </c>
      <c r="BG1547" s="394">
        <v>8</v>
      </c>
      <c r="BH1547" s="394">
        <v>9</v>
      </c>
      <c r="BI1547" s="394">
        <v>5</v>
      </c>
      <c r="BJ1547" s="394"/>
      <c r="BK1547" s="394"/>
      <c r="BL1547" s="444" t="s">
        <v>6983</v>
      </c>
      <c r="BM1547" s="392"/>
      <c r="BN1547" s="393"/>
      <c r="BO1547" s="393"/>
      <c r="BP1547" s="399"/>
      <c r="BQ1547" s="400"/>
      <c r="BR1547" s="401"/>
      <c r="BS1547" s="399"/>
      <c r="BT1547" s="394"/>
      <c r="BU1547" s="417"/>
      <c r="BV1547" s="399"/>
      <c r="BW1547" s="393" t="s">
        <v>3117</v>
      </c>
      <c r="BX1547" s="392"/>
      <c r="BY1547" s="393"/>
      <c r="BZ1547" s="393"/>
      <c r="CA1547" s="441"/>
      <c r="CB1547" s="400"/>
      <c r="CC1547" s="398"/>
      <c r="CD1547" s="398"/>
      <c r="CE1547" s="398"/>
      <c r="CF1547" s="398"/>
      <c r="CG1547" s="398"/>
      <c r="CH1547" s="398"/>
      <c r="CI1547" s="398">
        <v>5.1920000000000002</v>
      </c>
      <c r="CJ1547" s="398">
        <v>4.7709999999999999</v>
      </c>
      <c r="CK1547" s="398">
        <v>4.3540000000000001</v>
      </c>
      <c r="CL1547" s="398">
        <v>3.9409999999999998</v>
      </c>
      <c r="CM1547" s="398">
        <v>3.532</v>
      </c>
      <c r="CN1547" s="398">
        <v>3.1280000000000001</v>
      </c>
      <c r="CO1547" s="398">
        <v>2.7269999999999999</v>
      </c>
      <c r="CP1547" s="398">
        <v>2.331</v>
      </c>
      <c r="CQ1547" s="398">
        <v>1.9390000000000001</v>
      </c>
      <c r="CR1547" s="398">
        <v>1.55</v>
      </c>
      <c r="CS1547" s="398"/>
      <c r="CT1547" s="398"/>
      <c r="CU1547" s="398"/>
      <c r="CV1547" s="398"/>
      <c r="CW1547" s="398"/>
      <c r="CX1547" s="398"/>
      <c r="CY1547" s="398"/>
      <c r="CZ1547" s="398"/>
      <c r="DA1547" s="398"/>
      <c r="DB1547" s="398"/>
      <c r="DC1547" s="398"/>
      <c r="DD1547" s="398"/>
      <c r="DE1547" s="393"/>
      <c r="DF1547" s="393"/>
      <c r="DG1547" s="393"/>
      <c r="DH1547" s="393"/>
      <c r="DI1547" s="393"/>
      <c r="DJ1547" s="393"/>
      <c r="DK1547" s="897"/>
    </row>
    <row r="1548" spans="1:115" ht="38.25" x14ac:dyDescent="0.2">
      <c r="A1548" s="295">
        <v>1544</v>
      </c>
      <c r="B1548" s="390" t="s">
        <v>4203</v>
      </c>
      <c r="C1548" s="424" t="s">
        <v>7824</v>
      </c>
      <c r="D1548" s="391" t="s">
        <v>5647</v>
      </c>
      <c r="E1548" s="704" t="s">
        <v>4204</v>
      </c>
      <c r="F1548" s="393" t="s">
        <v>1375</v>
      </c>
      <c r="G1548" s="393" t="s">
        <v>998</v>
      </c>
      <c r="H1548" s="393" t="s">
        <v>1381</v>
      </c>
      <c r="I1548" s="392" t="s">
        <v>1059</v>
      </c>
      <c r="J1548" s="392" t="s">
        <v>4205</v>
      </c>
      <c r="K1548" s="392"/>
      <c r="L1548" s="392" t="s">
        <v>4206</v>
      </c>
      <c r="M1548" s="392" t="s">
        <v>4207</v>
      </c>
      <c r="N1548" s="393" t="s">
        <v>44</v>
      </c>
      <c r="O1548" s="393" t="s">
        <v>51</v>
      </c>
      <c r="P1548" s="393" t="s">
        <v>51</v>
      </c>
      <c r="Q1548" s="392" t="s">
        <v>976</v>
      </c>
      <c r="R1548" s="392"/>
      <c r="S1548" s="392" t="s">
        <v>977</v>
      </c>
      <c r="T1548" s="394">
        <v>2</v>
      </c>
      <c r="U1548" s="395">
        <v>64.998000000000005</v>
      </c>
      <c r="V1548" s="395"/>
      <c r="W1548" s="452">
        <v>41275</v>
      </c>
      <c r="X1548" s="394">
        <v>28</v>
      </c>
      <c r="Y1548" s="394"/>
      <c r="Z1548" s="394"/>
      <c r="AA1548" s="395"/>
      <c r="AB1548" s="453"/>
      <c r="AC1548" s="398">
        <v>0</v>
      </c>
      <c r="AD1548" s="398">
        <v>497.36201917808216</v>
      </c>
      <c r="AE1548" s="393" t="s">
        <v>787</v>
      </c>
      <c r="AF1548" s="417"/>
      <c r="AG1548" s="417"/>
      <c r="AH1548" s="417">
        <v>8.3409999999999993</v>
      </c>
      <c r="AI1548" s="394"/>
      <c r="AJ1548" s="453">
        <v>42962</v>
      </c>
      <c r="AK1548" s="453">
        <v>43100</v>
      </c>
      <c r="AL1548" s="393"/>
      <c r="AM1548" s="393"/>
      <c r="AN1548" s="417"/>
      <c r="AO1548" s="428" t="s">
        <v>133</v>
      </c>
      <c r="AP1548" s="428" t="s">
        <v>8115</v>
      </c>
      <c r="AQ1548" s="392"/>
      <c r="AR1548" s="392" t="s">
        <v>55</v>
      </c>
      <c r="AS1548" s="479">
        <v>41212</v>
      </c>
      <c r="AT1548" s="453"/>
      <c r="AU1548" s="453"/>
      <c r="AV1548" s="452">
        <v>41219</v>
      </c>
      <c r="AW1548" s="452">
        <v>41456</v>
      </c>
      <c r="AX1548" s="452">
        <v>41571</v>
      </c>
      <c r="AY1548" s="452">
        <v>41456</v>
      </c>
      <c r="AZ1548" s="453"/>
      <c r="BA1548" s="393"/>
      <c r="BB1548" s="393" t="s">
        <v>3147</v>
      </c>
      <c r="BC1548" s="393" t="b">
        <v>0</v>
      </c>
      <c r="BD1548" s="393" t="s">
        <v>3116</v>
      </c>
      <c r="BE1548" s="392"/>
      <c r="BF1548" s="394">
        <v>1</v>
      </c>
      <c r="BG1548" s="394">
        <v>4</v>
      </c>
      <c r="BH1548" s="394">
        <v>6</v>
      </c>
      <c r="BI1548" s="394">
        <v>8</v>
      </c>
      <c r="BJ1548" s="394">
        <v>7</v>
      </c>
      <c r="BK1548" s="394"/>
      <c r="BL1548" s="444"/>
      <c r="BM1548" s="392"/>
      <c r="BN1548" s="393"/>
      <c r="BO1548" s="393"/>
      <c r="BP1548" s="399"/>
      <c r="BQ1548" s="400"/>
      <c r="BR1548" s="401"/>
      <c r="BS1548" s="399">
        <v>0</v>
      </c>
      <c r="BT1548" s="394"/>
      <c r="BU1548" s="417"/>
      <c r="BV1548" s="399"/>
      <c r="BW1548" s="393"/>
      <c r="BX1548" s="392"/>
      <c r="BY1548" s="393"/>
      <c r="BZ1548" s="393"/>
      <c r="CA1548" s="441"/>
      <c r="CB1548" s="400"/>
      <c r="CC1548" s="398"/>
      <c r="CD1548" s="398"/>
      <c r="CE1548" s="398"/>
      <c r="CF1548" s="398"/>
      <c r="CG1548" s="398"/>
      <c r="CH1548" s="398"/>
      <c r="CI1548" s="398"/>
      <c r="CJ1548" s="398"/>
      <c r="CK1548" s="398"/>
      <c r="CL1548" s="398"/>
      <c r="CM1548" s="398"/>
      <c r="CN1548" s="398"/>
      <c r="CO1548" s="398"/>
      <c r="CP1548" s="398"/>
      <c r="CQ1548" s="398"/>
      <c r="CR1548" s="398"/>
      <c r="CS1548" s="398"/>
      <c r="CT1548" s="398"/>
      <c r="CU1548" s="398"/>
      <c r="CV1548" s="398"/>
      <c r="CW1548" s="398"/>
      <c r="CX1548" s="398"/>
      <c r="CY1548" s="398"/>
      <c r="CZ1548" s="398"/>
      <c r="DA1548" s="398"/>
      <c r="DB1548" s="398"/>
      <c r="DC1548" s="398"/>
      <c r="DD1548" s="398"/>
      <c r="DE1548" s="393"/>
      <c r="DF1548" s="393"/>
      <c r="DG1548" s="393"/>
      <c r="DH1548" s="393"/>
      <c r="DI1548" s="393"/>
      <c r="DJ1548" s="393"/>
      <c r="DK1548" s="896" t="s">
        <v>9714</v>
      </c>
    </row>
    <row r="1549" spans="1:115" ht="15" x14ac:dyDescent="0.2">
      <c r="A1549" s="295">
        <v>1545</v>
      </c>
      <c r="B1549" s="390" t="s">
        <v>4208</v>
      </c>
      <c r="C1549" s="390"/>
      <c r="D1549" s="391" t="s">
        <v>5648</v>
      </c>
      <c r="E1549" s="704" t="s">
        <v>4209</v>
      </c>
      <c r="F1549" s="393" t="s">
        <v>1375</v>
      </c>
      <c r="G1549" s="393" t="s">
        <v>998</v>
      </c>
      <c r="H1549" s="393" t="s">
        <v>1381</v>
      </c>
      <c r="I1549" s="392"/>
      <c r="J1549" s="392"/>
      <c r="K1549" s="392" t="s">
        <v>1381</v>
      </c>
      <c r="L1549" s="392" t="s">
        <v>4206</v>
      </c>
      <c r="M1549" s="392"/>
      <c r="N1549" s="393" t="s">
        <v>44</v>
      </c>
      <c r="O1549" s="393" t="s">
        <v>51</v>
      </c>
      <c r="P1549" s="393" t="s">
        <v>51</v>
      </c>
      <c r="Q1549" s="392" t="s">
        <v>976</v>
      </c>
      <c r="R1549" s="392" t="s">
        <v>4210</v>
      </c>
      <c r="S1549" s="392" t="s">
        <v>977</v>
      </c>
      <c r="T1549" s="394">
        <v>1</v>
      </c>
      <c r="U1549" s="395">
        <v>30.751000000000001</v>
      </c>
      <c r="V1549" s="395"/>
      <c r="W1549" s="453"/>
      <c r="X1549" s="394"/>
      <c r="Y1549" s="394">
        <v>7</v>
      </c>
      <c r="Z1549" s="394">
        <v>21</v>
      </c>
      <c r="AA1549" s="395">
        <v>-1.869</v>
      </c>
      <c r="AB1549" s="452">
        <v>41275</v>
      </c>
      <c r="AC1549" s="398">
        <v>0</v>
      </c>
      <c r="AD1549" s="398">
        <v>246.0922493150685</v>
      </c>
      <c r="AE1549" s="393" t="s">
        <v>787</v>
      </c>
      <c r="AF1549" s="417"/>
      <c r="AG1549" s="417">
        <f>2.512+5.829</f>
        <v>8.3409999999999993</v>
      </c>
      <c r="AH1549" s="417">
        <v>8.3409999999999993</v>
      </c>
      <c r="AI1549" s="394"/>
      <c r="AJ1549" s="453">
        <v>42962</v>
      </c>
      <c r="AK1549" s="453">
        <v>43100</v>
      </c>
      <c r="AL1549" s="393"/>
      <c r="AM1549" s="393"/>
      <c r="AN1549" s="417"/>
      <c r="AO1549" s="392"/>
      <c r="AP1549" s="428" t="s">
        <v>8115</v>
      </c>
      <c r="AQ1549" s="392"/>
      <c r="AR1549" s="392" t="s">
        <v>55</v>
      </c>
      <c r="AS1549" s="479">
        <v>41212</v>
      </c>
      <c r="AT1549" s="453"/>
      <c r="AU1549" s="453"/>
      <c r="AV1549" s="453"/>
      <c r="AW1549" s="453"/>
      <c r="AX1549" s="453"/>
      <c r="AY1549" s="453"/>
      <c r="AZ1549" s="452">
        <v>41456</v>
      </c>
      <c r="BA1549" s="393"/>
      <c r="BB1549" s="393"/>
      <c r="BC1549" s="393" t="b">
        <v>0</v>
      </c>
      <c r="BD1549" s="393"/>
      <c r="BE1549" s="392"/>
      <c r="BF1549" s="394">
        <v>1</v>
      </c>
      <c r="BG1549" s="394">
        <v>4</v>
      </c>
      <c r="BH1549" s="394">
        <v>6</v>
      </c>
      <c r="BI1549" s="394">
        <v>8</v>
      </c>
      <c r="BJ1549" s="394">
        <v>7</v>
      </c>
      <c r="BK1549" s="394"/>
      <c r="BL1549" s="444" t="s">
        <v>6983</v>
      </c>
      <c r="BM1549" s="392"/>
      <c r="BN1549" s="393"/>
      <c r="BO1549" s="393"/>
      <c r="BP1549" s="399"/>
      <c r="BQ1549" s="400"/>
      <c r="BR1549" s="401"/>
      <c r="BS1549" s="399"/>
      <c r="BT1549" s="394"/>
      <c r="BU1549" s="417"/>
      <c r="BV1549" s="399"/>
      <c r="BW1549" s="393" t="s">
        <v>3117</v>
      </c>
      <c r="BX1549" s="392" t="s">
        <v>4364</v>
      </c>
      <c r="BY1549" s="393" t="s">
        <v>7224</v>
      </c>
      <c r="BZ1549" s="393"/>
      <c r="CA1549" s="441"/>
      <c r="CB1549" s="400"/>
      <c r="CC1549" s="398"/>
      <c r="CD1549" s="398"/>
      <c r="CE1549" s="398"/>
      <c r="CF1549" s="398"/>
      <c r="CG1549" s="398"/>
      <c r="CH1549" s="398"/>
      <c r="CI1549" s="398">
        <v>5.2869999999999999</v>
      </c>
      <c r="CJ1549" s="398">
        <v>13.218</v>
      </c>
      <c r="CK1549" s="398">
        <v>22.207000000000001</v>
      </c>
      <c r="CL1549" s="398">
        <v>29.741</v>
      </c>
      <c r="CM1549" s="398">
        <v>35.637</v>
      </c>
      <c r="CN1549" s="398">
        <v>40.151000000000003</v>
      </c>
      <c r="CO1549" s="398">
        <v>43.107999999999997</v>
      </c>
      <c r="CP1549" s="398"/>
      <c r="CQ1549" s="398"/>
      <c r="CR1549" s="398"/>
      <c r="CS1549" s="398"/>
      <c r="CT1549" s="398"/>
      <c r="CU1549" s="398"/>
      <c r="CV1549" s="398"/>
      <c r="CW1549" s="398"/>
      <c r="CX1549" s="398"/>
      <c r="CY1549" s="398"/>
      <c r="CZ1549" s="398"/>
      <c r="DA1549" s="398"/>
      <c r="DB1549" s="398"/>
      <c r="DC1549" s="398"/>
      <c r="DD1549" s="398"/>
      <c r="DE1549" s="393"/>
      <c r="DF1549" s="393"/>
      <c r="DG1549" s="393"/>
      <c r="DH1549" s="393"/>
      <c r="DI1549" s="393"/>
      <c r="DJ1549" s="393"/>
      <c r="DK1549" s="897"/>
    </row>
    <row r="1550" spans="1:115" ht="15" x14ac:dyDescent="0.2">
      <c r="A1550" s="295">
        <v>1546</v>
      </c>
      <c r="B1550" s="390" t="s">
        <v>5736</v>
      </c>
      <c r="C1550" s="390"/>
      <c r="D1550" s="391" t="s">
        <v>5737</v>
      </c>
      <c r="E1550" s="704" t="s">
        <v>5738</v>
      </c>
      <c r="F1550" s="393" t="s">
        <v>1375</v>
      </c>
      <c r="G1550" s="393" t="s">
        <v>998</v>
      </c>
      <c r="H1550" s="393" t="s">
        <v>1059</v>
      </c>
      <c r="I1550" s="392"/>
      <c r="J1550" s="392"/>
      <c r="K1550" s="392" t="s">
        <v>1059</v>
      </c>
      <c r="L1550" s="392" t="s">
        <v>4206</v>
      </c>
      <c r="M1550" s="392"/>
      <c r="N1550" s="393" t="s">
        <v>44</v>
      </c>
      <c r="O1550" s="393" t="s">
        <v>51</v>
      </c>
      <c r="P1550" s="393" t="s">
        <v>51</v>
      </c>
      <c r="Q1550" s="392" t="s">
        <v>976</v>
      </c>
      <c r="R1550" s="392" t="s">
        <v>4210</v>
      </c>
      <c r="S1550" s="392" t="s">
        <v>977</v>
      </c>
      <c r="T1550" s="394">
        <v>1</v>
      </c>
      <c r="U1550" s="395">
        <v>34.247</v>
      </c>
      <c r="V1550" s="395"/>
      <c r="W1550" s="453"/>
      <c r="X1550" s="394"/>
      <c r="Y1550" s="394">
        <v>7</v>
      </c>
      <c r="Z1550" s="394">
        <v>21</v>
      </c>
      <c r="AA1550" s="395">
        <v>-2.5270000000000001</v>
      </c>
      <c r="AB1550" s="452">
        <v>41518</v>
      </c>
      <c r="AC1550" s="398">
        <v>0</v>
      </c>
      <c r="AD1550" s="398">
        <v>251.26976986301369</v>
      </c>
      <c r="AE1550" s="393" t="s">
        <v>787</v>
      </c>
      <c r="AF1550" s="417"/>
      <c r="AG1550" s="417"/>
      <c r="AH1550" s="417"/>
      <c r="AI1550" s="394"/>
      <c r="AJ1550" s="453"/>
      <c r="AK1550" s="453"/>
      <c r="AL1550" s="393"/>
      <c r="AM1550" s="393"/>
      <c r="AN1550" s="417"/>
      <c r="AO1550" s="392"/>
      <c r="AP1550" s="392"/>
      <c r="AQ1550" s="392"/>
      <c r="AR1550" s="392" t="s">
        <v>55</v>
      </c>
      <c r="AS1550" s="479">
        <v>41212</v>
      </c>
      <c r="AT1550" s="453"/>
      <c r="AU1550" s="453"/>
      <c r="AV1550" s="453"/>
      <c r="AW1550" s="453"/>
      <c r="AX1550" s="453"/>
      <c r="AY1550" s="453"/>
      <c r="AZ1550" s="452">
        <v>41456</v>
      </c>
      <c r="BA1550" s="393"/>
      <c r="BB1550" s="393"/>
      <c r="BC1550" s="393" t="b">
        <v>0</v>
      </c>
      <c r="BD1550" s="393"/>
      <c r="BE1550" s="392" t="s">
        <v>6245</v>
      </c>
      <c r="BF1550" s="394">
        <v>1</v>
      </c>
      <c r="BG1550" s="394">
        <v>4</v>
      </c>
      <c r="BH1550" s="394">
        <v>6</v>
      </c>
      <c r="BI1550" s="394">
        <v>8</v>
      </c>
      <c r="BJ1550" s="394">
        <v>7</v>
      </c>
      <c r="BK1550" s="394"/>
      <c r="BL1550" s="444" t="s">
        <v>6981</v>
      </c>
      <c r="BM1550" s="392"/>
      <c r="BN1550" s="393"/>
      <c r="BO1550" s="393"/>
      <c r="BP1550" s="399"/>
      <c r="BQ1550" s="400"/>
      <c r="BR1550" s="401"/>
      <c r="BS1550" s="399"/>
      <c r="BT1550" s="394"/>
      <c r="BU1550" s="417"/>
      <c r="BV1550" s="399"/>
      <c r="BW1550" s="393"/>
      <c r="BX1550" s="392"/>
      <c r="BY1550" s="393" t="s">
        <v>7224</v>
      </c>
      <c r="BZ1550" s="393"/>
      <c r="CA1550" s="441"/>
      <c r="CB1550" s="400"/>
      <c r="CC1550" s="398"/>
      <c r="CD1550" s="398"/>
      <c r="CE1550" s="398"/>
      <c r="CF1550" s="398"/>
      <c r="CG1550" s="398"/>
      <c r="CH1550" s="398"/>
      <c r="CI1550" s="398">
        <v>16.454000000000001</v>
      </c>
      <c r="CJ1550" s="398">
        <v>44.305</v>
      </c>
      <c r="CK1550" s="398">
        <v>39.875</v>
      </c>
      <c r="CL1550" s="398">
        <v>35.887</v>
      </c>
      <c r="CM1550" s="398">
        <v>32.298999999999999</v>
      </c>
      <c r="CN1550" s="398">
        <v>29.068999999999999</v>
      </c>
      <c r="CO1550" s="398">
        <v>26.161999999999999</v>
      </c>
      <c r="CP1550" s="398">
        <v>15.676</v>
      </c>
      <c r="CQ1550" s="398"/>
      <c r="CR1550" s="398"/>
      <c r="CS1550" s="398"/>
      <c r="CT1550" s="398"/>
      <c r="CU1550" s="398"/>
      <c r="CV1550" s="398"/>
      <c r="CW1550" s="398"/>
      <c r="CX1550" s="398"/>
      <c r="CY1550" s="398"/>
      <c r="CZ1550" s="398"/>
      <c r="DA1550" s="398"/>
      <c r="DB1550" s="398"/>
      <c r="DC1550" s="398"/>
      <c r="DD1550" s="398"/>
      <c r="DE1550" s="393"/>
      <c r="DF1550" s="393"/>
      <c r="DG1550" s="393"/>
      <c r="DH1550" s="393"/>
      <c r="DI1550" s="393"/>
      <c r="DJ1550" s="393"/>
      <c r="DK1550" s="897"/>
    </row>
    <row r="1551" spans="1:115" ht="76.5" x14ac:dyDescent="0.2">
      <c r="A1551" s="295">
        <v>1547</v>
      </c>
      <c r="B1551" s="390" t="s">
        <v>4259</v>
      </c>
      <c r="C1551" s="424" t="s">
        <v>7825</v>
      </c>
      <c r="D1551" s="391" t="s">
        <v>5244</v>
      </c>
      <c r="E1551" s="704" t="s">
        <v>4260</v>
      </c>
      <c r="F1551" s="393" t="s">
        <v>1375</v>
      </c>
      <c r="G1551" s="393" t="s">
        <v>998</v>
      </c>
      <c r="H1551" s="393" t="s">
        <v>1059</v>
      </c>
      <c r="I1551" s="392"/>
      <c r="J1551" s="392" t="s">
        <v>1059</v>
      </c>
      <c r="K1551" s="392"/>
      <c r="L1551" s="392" t="s">
        <v>4261</v>
      </c>
      <c r="M1551" s="392" t="s">
        <v>4262</v>
      </c>
      <c r="N1551" s="393" t="s">
        <v>44</v>
      </c>
      <c r="O1551" s="393" t="s">
        <v>51</v>
      </c>
      <c r="P1551" s="393" t="s">
        <v>51</v>
      </c>
      <c r="Q1551" s="392" t="s">
        <v>976</v>
      </c>
      <c r="R1551" s="392"/>
      <c r="S1551" s="392" t="s">
        <v>977</v>
      </c>
      <c r="T1551" s="394">
        <v>8</v>
      </c>
      <c r="U1551" s="395">
        <v>287.86399999999998</v>
      </c>
      <c r="V1551" s="395"/>
      <c r="W1551" s="452">
        <v>40678</v>
      </c>
      <c r="X1551" s="394">
        <v>28</v>
      </c>
      <c r="Y1551" s="394"/>
      <c r="Z1551" s="394"/>
      <c r="AA1551" s="395"/>
      <c r="AB1551" s="453"/>
      <c r="AC1551" s="398">
        <v>9.9474999999999998</v>
      </c>
      <c r="AD1551" s="398">
        <v>2878.64</v>
      </c>
      <c r="AE1551" s="393" t="s">
        <v>96</v>
      </c>
      <c r="AF1551" s="417">
        <f>SUM(AF1552:AF1564)</f>
        <v>0</v>
      </c>
      <c r="AG1551" s="417">
        <f>SUM(AG1552:AG1564)</f>
        <v>212.381</v>
      </c>
      <c r="AH1551" s="417">
        <v>212.381</v>
      </c>
      <c r="AI1551" s="394">
        <v>1</v>
      </c>
      <c r="AJ1551" s="452">
        <v>42079</v>
      </c>
      <c r="AK1551" s="453">
        <v>42916</v>
      </c>
      <c r="AL1551" s="393"/>
      <c r="AM1551" s="393"/>
      <c r="AN1551" s="417"/>
      <c r="AO1551" s="428" t="s">
        <v>133</v>
      </c>
      <c r="AP1551" s="428" t="s">
        <v>7208</v>
      </c>
      <c r="AQ1551" s="392"/>
      <c r="AR1551" s="392" t="s">
        <v>4263</v>
      </c>
      <c r="AS1551" s="479">
        <v>40677</v>
      </c>
      <c r="AT1551" s="453"/>
      <c r="AU1551" s="453"/>
      <c r="AV1551" s="452">
        <v>40757</v>
      </c>
      <c r="AW1551" s="452">
        <v>41040</v>
      </c>
      <c r="AX1551" s="452">
        <v>41219</v>
      </c>
      <c r="AY1551" s="452">
        <v>41152</v>
      </c>
      <c r="AZ1551" s="453"/>
      <c r="BA1551" s="393"/>
      <c r="BB1551" s="393" t="s">
        <v>3116</v>
      </c>
      <c r="BC1551" s="393" t="b">
        <v>0</v>
      </c>
      <c r="BD1551" s="393" t="s">
        <v>3116</v>
      </c>
      <c r="BE1551" s="392" t="s">
        <v>6245</v>
      </c>
      <c r="BF1551" s="394">
        <v>1</v>
      </c>
      <c r="BG1551" s="394">
        <v>4</v>
      </c>
      <c r="BH1551" s="394">
        <v>6</v>
      </c>
      <c r="BI1551" s="394">
        <v>8</v>
      </c>
      <c r="BJ1551" s="394">
        <v>5</v>
      </c>
      <c r="BK1551" s="394"/>
      <c r="BL1551" s="444"/>
      <c r="BM1551" s="392"/>
      <c r="BN1551" s="393"/>
      <c r="BO1551" s="393"/>
      <c r="BP1551" s="399"/>
      <c r="BQ1551" s="400"/>
      <c r="BR1551" s="401"/>
      <c r="BS1551" s="399">
        <v>0</v>
      </c>
      <c r="BT1551" s="394"/>
      <c r="BU1551" s="417"/>
      <c r="BV1551" s="399"/>
      <c r="BW1551" s="393"/>
      <c r="BX1551" s="392"/>
      <c r="BY1551" s="393"/>
      <c r="BZ1551" s="393"/>
      <c r="CA1551" s="441"/>
      <c r="CB1551" s="400"/>
      <c r="CC1551" s="398"/>
      <c r="CD1551" s="398"/>
      <c r="CE1551" s="398"/>
      <c r="CF1551" s="398"/>
      <c r="CG1551" s="398"/>
      <c r="CH1551" s="398"/>
      <c r="CI1551" s="398"/>
      <c r="CJ1551" s="398"/>
      <c r="CK1551" s="398"/>
      <c r="CL1551" s="398"/>
      <c r="CM1551" s="398"/>
      <c r="CN1551" s="398"/>
      <c r="CO1551" s="398"/>
      <c r="CP1551" s="398"/>
      <c r="CQ1551" s="398"/>
      <c r="CR1551" s="398"/>
      <c r="CS1551" s="398"/>
      <c r="CT1551" s="398"/>
      <c r="CU1551" s="398"/>
      <c r="CV1551" s="398"/>
      <c r="CW1551" s="398"/>
      <c r="CX1551" s="398"/>
      <c r="CY1551" s="398"/>
      <c r="CZ1551" s="398"/>
      <c r="DA1551" s="398"/>
      <c r="DB1551" s="398"/>
      <c r="DC1551" s="398"/>
      <c r="DD1551" s="398"/>
      <c r="DE1551" s="393"/>
      <c r="DF1551" s="393"/>
      <c r="DG1551" s="393"/>
      <c r="DH1551" s="393"/>
      <c r="DI1551" s="393"/>
      <c r="DJ1551" s="393"/>
      <c r="DK1551" s="896" t="s">
        <v>9698</v>
      </c>
    </row>
    <row r="1552" spans="1:115" ht="38.25" x14ac:dyDescent="0.2">
      <c r="A1552" s="295">
        <v>1548</v>
      </c>
      <c r="B1552" s="390" t="s">
        <v>4264</v>
      </c>
      <c r="C1552" s="390"/>
      <c r="D1552" s="391" t="s">
        <v>4265</v>
      </c>
      <c r="E1552" s="704" t="s">
        <v>4266</v>
      </c>
      <c r="F1552" s="393" t="s">
        <v>1375</v>
      </c>
      <c r="G1552" s="393" t="s">
        <v>998</v>
      </c>
      <c r="H1552" s="393" t="s">
        <v>1059</v>
      </c>
      <c r="I1552" s="392"/>
      <c r="J1552" s="392"/>
      <c r="K1552" s="392" t="s">
        <v>1059</v>
      </c>
      <c r="L1552" s="392" t="s">
        <v>4261</v>
      </c>
      <c r="M1552" s="392"/>
      <c r="N1552" s="393" t="s">
        <v>44</v>
      </c>
      <c r="O1552" s="393" t="s">
        <v>51</v>
      </c>
      <c r="P1552" s="393" t="s">
        <v>51</v>
      </c>
      <c r="Q1552" s="392" t="s">
        <v>976</v>
      </c>
      <c r="R1552" s="392" t="s">
        <v>4267</v>
      </c>
      <c r="S1552" s="392" t="s">
        <v>977</v>
      </c>
      <c r="T1552" s="394">
        <v>1</v>
      </c>
      <c r="U1552" s="395">
        <v>39.79</v>
      </c>
      <c r="V1552" s="395"/>
      <c r="W1552" s="453"/>
      <c r="X1552" s="394"/>
      <c r="Y1552" s="394">
        <v>10</v>
      </c>
      <c r="Z1552" s="394">
        <v>10</v>
      </c>
      <c r="AA1552" s="395">
        <v>3.5550000000000002</v>
      </c>
      <c r="AB1552" s="452">
        <v>41183</v>
      </c>
      <c r="AC1552" s="398">
        <v>9.9474999999999998</v>
      </c>
      <c r="AD1552" s="398">
        <v>397.9</v>
      </c>
      <c r="AE1552" s="393" t="s">
        <v>96</v>
      </c>
      <c r="AF1552" s="417"/>
      <c r="AG1552" s="417">
        <f>5.592+23.935+43.357+47.637</f>
        <v>120.521</v>
      </c>
      <c r="AH1552" s="417">
        <v>120.521</v>
      </c>
      <c r="AI1552" s="394">
        <v>1</v>
      </c>
      <c r="AJ1552" s="452">
        <v>42079</v>
      </c>
      <c r="AK1552" s="453">
        <v>42916</v>
      </c>
      <c r="AL1552" s="393"/>
      <c r="AM1552" s="393"/>
      <c r="AN1552" s="417"/>
      <c r="AO1552" s="428" t="s">
        <v>133</v>
      </c>
      <c r="AP1552" s="428" t="s">
        <v>7208</v>
      </c>
      <c r="AQ1552" s="392"/>
      <c r="AR1552" s="392" t="s">
        <v>4263</v>
      </c>
      <c r="AS1552" s="479">
        <v>40677</v>
      </c>
      <c r="AT1552" s="453"/>
      <c r="AU1552" s="453"/>
      <c r="AV1552" s="453"/>
      <c r="AW1552" s="453"/>
      <c r="AX1552" s="453"/>
      <c r="AY1552" s="453"/>
      <c r="AZ1552" s="452">
        <v>41152</v>
      </c>
      <c r="BA1552" s="393"/>
      <c r="BB1552" s="393"/>
      <c r="BC1552" s="393" t="b">
        <v>0</v>
      </c>
      <c r="BD1552" s="393"/>
      <c r="BE1552" s="392"/>
      <c r="BF1552" s="394">
        <v>1</v>
      </c>
      <c r="BG1552" s="394">
        <v>4</v>
      </c>
      <c r="BH1552" s="394">
        <v>6</v>
      </c>
      <c r="BI1552" s="394">
        <v>8</v>
      </c>
      <c r="BJ1552" s="394">
        <v>5</v>
      </c>
      <c r="BK1552" s="394"/>
      <c r="BL1552" s="444" t="s">
        <v>7001</v>
      </c>
      <c r="BM1552" s="392"/>
      <c r="BN1552" s="393" t="s">
        <v>3288</v>
      </c>
      <c r="BO1552" s="393"/>
      <c r="BP1552" s="399"/>
      <c r="BQ1552" s="400"/>
      <c r="BR1552" s="401"/>
      <c r="BS1552" s="399"/>
      <c r="BT1552" s="394"/>
      <c r="BU1552" s="417"/>
      <c r="BV1552" s="399"/>
      <c r="BW1552" s="393" t="s">
        <v>3117</v>
      </c>
      <c r="BX1552" s="392" t="s">
        <v>3199</v>
      </c>
      <c r="BY1552" s="393"/>
      <c r="BZ1552" s="393"/>
      <c r="CA1552" s="441"/>
      <c r="CB1552" s="400"/>
      <c r="CC1552" s="398"/>
      <c r="CD1552" s="398"/>
      <c r="CE1552" s="398"/>
      <c r="CF1552" s="398"/>
      <c r="CG1552" s="398"/>
      <c r="CH1552" s="398">
        <v>28.518999999999998</v>
      </c>
      <c r="CI1552" s="398">
        <v>57.197000000000003</v>
      </c>
      <c r="CJ1552" s="398">
        <v>57.197000000000003</v>
      </c>
      <c r="CK1552" s="398">
        <v>60.771000000000001</v>
      </c>
      <c r="CL1552" s="398">
        <v>60.771000000000001</v>
      </c>
      <c r="CM1552" s="398">
        <v>60.771000000000001</v>
      </c>
      <c r="CN1552" s="398">
        <v>60.771000000000001</v>
      </c>
      <c r="CO1552" s="398">
        <v>60.771000000000001</v>
      </c>
      <c r="CP1552" s="398">
        <v>60.771000000000001</v>
      </c>
      <c r="CQ1552" s="398">
        <v>60.771000000000001</v>
      </c>
      <c r="CR1552" s="398"/>
      <c r="CS1552" s="398"/>
      <c r="CT1552" s="398"/>
      <c r="CU1552" s="398"/>
      <c r="CV1552" s="398"/>
      <c r="CW1552" s="398"/>
      <c r="CX1552" s="398"/>
      <c r="CY1552" s="398"/>
      <c r="CZ1552" s="398"/>
      <c r="DA1552" s="398"/>
      <c r="DB1552" s="398"/>
      <c r="DC1552" s="398"/>
      <c r="DD1552" s="398"/>
      <c r="DE1552" s="393"/>
      <c r="DF1552" s="393"/>
      <c r="DG1552" s="393"/>
      <c r="DH1552" s="393"/>
      <c r="DI1552" s="393"/>
      <c r="DJ1552" s="393"/>
      <c r="DK1552" s="897"/>
    </row>
    <row r="1553" spans="1:254" ht="15" x14ac:dyDescent="0.2">
      <c r="A1553" s="295">
        <v>1549</v>
      </c>
      <c r="B1553" s="390" t="s">
        <v>5822</v>
      </c>
      <c r="C1553" s="390"/>
      <c r="D1553" s="391" t="s">
        <v>5823</v>
      </c>
      <c r="E1553" s="704" t="s">
        <v>5824</v>
      </c>
      <c r="F1553" s="393" t="s">
        <v>1375</v>
      </c>
      <c r="G1553" s="393" t="s">
        <v>998</v>
      </c>
      <c r="H1553" s="393" t="s">
        <v>1059</v>
      </c>
      <c r="I1553" s="392"/>
      <c r="J1553" s="392"/>
      <c r="K1553" s="392" t="s">
        <v>1059</v>
      </c>
      <c r="L1553" s="392" t="s">
        <v>4261</v>
      </c>
      <c r="M1553" s="392"/>
      <c r="N1553" s="393" t="s">
        <v>44</v>
      </c>
      <c r="O1553" s="393" t="s">
        <v>51</v>
      </c>
      <c r="P1553" s="393" t="s">
        <v>51</v>
      </c>
      <c r="Q1553" s="392" t="s">
        <v>976</v>
      </c>
      <c r="R1553" s="392" t="s">
        <v>4267</v>
      </c>
      <c r="S1553" s="392" t="s">
        <v>977</v>
      </c>
      <c r="T1553" s="394">
        <v>1</v>
      </c>
      <c r="U1553" s="395">
        <v>33.302999999999997</v>
      </c>
      <c r="V1553" s="395"/>
      <c r="W1553" s="453"/>
      <c r="X1553" s="394"/>
      <c r="Y1553" s="394">
        <v>10</v>
      </c>
      <c r="Z1553" s="394">
        <v>13</v>
      </c>
      <c r="AA1553" s="395">
        <v>0</v>
      </c>
      <c r="AB1553" s="452">
        <v>41671</v>
      </c>
      <c r="AC1553" s="398">
        <v>0</v>
      </c>
      <c r="AD1553" s="398">
        <v>333.03</v>
      </c>
      <c r="AE1553" s="393" t="s">
        <v>96</v>
      </c>
      <c r="AF1553" s="417"/>
      <c r="AG1553" s="417">
        <f>0.925+5.637+11.113+14.53</f>
        <v>32.204999999999998</v>
      </c>
      <c r="AH1553" s="417">
        <v>32.204999999999998</v>
      </c>
      <c r="AI1553" s="394">
        <v>1</v>
      </c>
      <c r="AJ1553" s="452">
        <v>42079</v>
      </c>
      <c r="AK1553" s="453">
        <v>42916</v>
      </c>
      <c r="AL1553" s="393"/>
      <c r="AM1553" s="393"/>
      <c r="AN1553" s="417"/>
      <c r="AO1553" s="428" t="s">
        <v>133</v>
      </c>
      <c r="AP1553" s="392"/>
      <c r="AQ1553" s="392"/>
      <c r="AR1553" s="392" t="s">
        <v>4263</v>
      </c>
      <c r="AS1553" s="479">
        <v>40677</v>
      </c>
      <c r="AT1553" s="453"/>
      <c r="AU1553" s="453"/>
      <c r="AV1553" s="453"/>
      <c r="AW1553" s="453"/>
      <c r="AX1553" s="453"/>
      <c r="AY1553" s="453"/>
      <c r="AZ1553" s="452">
        <v>41662</v>
      </c>
      <c r="BA1553" s="393"/>
      <c r="BB1553" s="393"/>
      <c r="BC1553" s="393" t="b">
        <v>0</v>
      </c>
      <c r="BD1553" s="393"/>
      <c r="BE1553" s="392"/>
      <c r="BF1553" s="394">
        <v>1</v>
      </c>
      <c r="BG1553" s="394">
        <v>4</v>
      </c>
      <c r="BH1553" s="394">
        <v>6</v>
      </c>
      <c r="BI1553" s="394">
        <v>8</v>
      </c>
      <c r="BJ1553" s="394">
        <v>5</v>
      </c>
      <c r="BK1553" s="394"/>
      <c r="BL1553" s="444" t="s">
        <v>6984</v>
      </c>
      <c r="BM1553" s="392"/>
      <c r="BN1553" s="393" t="s">
        <v>3288</v>
      </c>
      <c r="BO1553" s="393"/>
      <c r="BP1553" s="399"/>
      <c r="BQ1553" s="400"/>
      <c r="BR1553" s="401"/>
      <c r="BS1553" s="399"/>
      <c r="BT1553" s="394"/>
      <c r="BU1553" s="417"/>
      <c r="BV1553" s="399"/>
      <c r="BW1553" s="393" t="s">
        <v>3117</v>
      </c>
      <c r="BX1553" s="392"/>
      <c r="BY1553" s="393"/>
      <c r="BZ1553" s="393"/>
      <c r="CA1553" s="441"/>
      <c r="CB1553" s="400"/>
      <c r="CC1553" s="398"/>
      <c r="CD1553" s="398"/>
      <c r="CE1553" s="398"/>
      <c r="CF1553" s="398"/>
      <c r="CG1553" s="398"/>
      <c r="CH1553" s="398"/>
      <c r="CI1553" s="398"/>
      <c r="CJ1553" s="398">
        <v>12.933</v>
      </c>
      <c r="CK1553" s="398">
        <v>35.566000000000003</v>
      </c>
      <c r="CL1553" s="398">
        <v>35.566000000000003</v>
      </c>
      <c r="CM1553" s="398">
        <v>35.566000000000003</v>
      </c>
      <c r="CN1553" s="398">
        <v>35.566000000000003</v>
      </c>
      <c r="CO1553" s="398">
        <v>35.566000000000003</v>
      </c>
      <c r="CP1553" s="398">
        <v>35.566000000000003</v>
      </c>
      <c r="CQ1553" s="398">
        <v>35.566000000000003</v>
      </c>
      <c r="CR1553" s="398">
        <v>35.566000000000003</v>
      </c>
      <c r="CS1553" s="398">
        <v>35.566000000000003</v>
      </c>
      <c r="CT1553" s="398"/>
      <c r="CU1553" s="398"/>
      <c r="CV1553" s="398"/>
      <c r="CW1553" s="398"/>
      <c r="CX1553" s="398"/>
      <c r="CY1553" s="398"/>
      <c r="CZ1553" s="398"/>
      <c r="DA1553" s="398"/>
      <c r="DB1553" s="398"/>
      <c r="DC1553" s="398"/>
      <c r="DD1553" s="398"/>
      <c r="DE1553" s="393"/>
      <c r="DF1553" s="393"/>
      <c r="DG1553" s="393"/>
      <c r="DH1553" s="393"/>
      <c r="DI1553" s="393"/>
      <c r="DJ1553" s="393"/>
      <c r="DK1553" s="897"/>
    </row>
    <row r="1554" spans="1:254" ht="15" x14ac:dyDescent="0.2">
      <c r="A1554" s="295">
        <v>1550</v>
      </c>
      <c r="B1554" s="390" t="s">
        <v>6924</v>
      </c>
      <c r="C1554" s="390"/>
      <c r="D1554" s="391" t="s">
        <v>6925</v>
      </c>
      <c r="E1554" s="704" t="s">
        <v>6926</v>
      </c>
      <c r="F1554" s="393" t="s">
        <v>1375</v>
      </c>
      <c r="G1554" s="393" t="s">
        <v>998</v>
      </c>
      <c r="H1554" s="393" t="s">
        <v>1059</v>
      </c>
      <c r="I1554" s="392"/>
      <c r="J1554" s="392"/>
      <c r="K1554" s="392" t="s">
        <v>1059</v>
      </c>
      <c r="L1554" s="392" t="s">
        <v>4261</v>
      </c>
      <c r="M1554" s="392"/>
      <c r="N1554" s="393" t="s">
        <v>44</v>
      </c>
      <c r="O1554" s="393" t="s">
        <v>51</v>
      </c>
      <c r="P1554" s="393" t="s">
        <v>51</v>
      </c>
      <c r="Q1554" s="392" t="s">
        <v>976</v>
      </c>
      <c r="R1554" s="392" t="s">
        <v>6927</v>
      </c>
      <c r="S1554" s="392" t="s">
        <v>977</v>
      </c>
      <c r="T1554" s="394">
        <v>1</v>
      </c>
      <c r="U1554" s="395">
        <v>41.457999999999998</v>
      </c>
      <c r="V1554" s="395"/>
      <c r="W1554" s="453"/>
      <c r="X1554" s="394"/>
      <c r="Y1554" s="394">
        <v>10</v>
      </c>
      <c r="Z1554" s="394">
        <v>5</v>
      </c>
      <c r="AA1554" s="395">
        <v>0</v>
      </c>
      <c r="AB1554" s="452">
        <v>42036</v>
      </c>
      <c r="AC1554" s="398"/>
      <c r="AD1554" s="398">
        <v>414.58</v>
      </c>
      <c r="AE1554" s="393" t="s">
        <v>96</v>
      </c>
      <c r="AF1554" s="417"/>
      <c r="AG1554" s="417"/>
      <c r="AH1554" s="417">
        <f>SUM(AF1554:AG1554)</f>
        <v>0</v>
      </c>
      <c r="AI1554" s="394"/>
      <c r="AJ1554" s="453"/>
      <c r="AK1554" s="453">
        <v>42916</v>
      </c>
      <c r="AL1554" s="393"/>
      <c r="AM1554" s="393"/>
      <c r="AN1554" s="417"/>
      <c r="AO1554" s="428" t="s">
        <v>133</v>
      </c>
      <c r="AP1554" s="392"/>
      <c r="AQ1554" s="392"/>
      <c r="AR1554" s="392" t="s">
        <v>4263</v>
      </c>
      <c r="AS1554" s="479">
        <v>40677</v>
      </c>
      <c r="AT1554" s="453"/>
      <c r="AU1554" s="453"/>
      <c r="AV1554" s="453"/>
      <c r="AW1554" s="453"/>
      <c r="AX1554" s="453"/>
      <c r="AY1554" s="453"/>
      <c r="AZ1554" s="452">
        <v>42016</v>
      </c>
      <c r="BA1554" s="393"/>
      <c r="BB1554" s="393"/>
      <c r="BC1554" s="393" t="b">
        <v>0</v>
      </c>
      <c r="BD1554" s="393"/>
      <c r="BE1554" s="392"/>
      <c r="BF1554" s="394">
        <v>1</v>
      </c>
      <c r="BG1554" s="394">
        <v>4</v>
      </c>
      <c r="BH1554" s="394">
        <v>6</v>
      </c>
      <c r="BI1554" s="394">
        <v>8</v>
      </c>
      <c r="BJ1554" s="394">
        <v>5</v>
      </c>
      <c r="BK1554" s="394"/>
      <c r="BL1554" s="444" t="s">
        <v>6981</v>
      </c>
      <c r="BM1554" s="392"/>
      <c r="BN1554" s="393"/>
      <c r="BO1554" s="393"/>
      <c r="BP1554" s="399"/>
      <c r="BQ1554" s="400"/>
      <c r="BR1554" s="401"/>
      <c r="BS1554" s="399"/>
      <c r="BT1554" s="394"/>
      <c r="BU1554" s="417"/>
      <c r="BV1554" s="399"/>
      <c r="BW1554" s="393"/>
      <c r="BX1554" s="392"/>
      <c r="BY1554" s="393"/>
      <c r="BZ1554" s="393"/>
      <c r="CA1554" s="441"/>
      <c r="CB1554" s="400"/>
      <c r="CC1554" s="398"/>
      <c r="CD1554" s="398"/>
      <c r="CE1554" s="398"/>
      <c r="CF1554" s="398"/>
      <c r="CG1554" s="398"/>
      <c r="CH1554" s="398"/>
      <c r="CI1554" s="398"/>
      <c r="CJ1554" s="398"/>
      <c r="CK1554" s="398">
        <v>38.322000000000003</v>
      </c>
      <c r="CL1554" s="398">
        <v>41.805999999999997</v>
      </c>
      <c r="CM1554" s="398">
        <v>41.805999999999997</v>
      </c>
      <c r="CN1554" s="398">
        <v>41.805999999999997</v>
      </c>
      <c r="CO1554" s="398">
        <v>41.805999999999997</v>
      </c>
      <c r="CP1554" s="398">
        <v>41.805999999999997</v>
      </c>
      <c r="CQ1554" s="398">
        <v>41.805999999999997</v>
      </c>
      <c r="CR1554" s="398">
        <v>41.805999999999997</v>
      </c>
      <c r="CS1554" s="398">
        <v>41.805999999999997</v>
      </c>
      <c r="CT1554" s="398">
        <v>41.805999999999997</v>
      </c>
      <c r="CU1554" s="398"/>
      <c r="CV1554" s="398"/>
      <c r="CW1554" s="398"/>
      <c r="CX1554" s="398"/>
      <c r="CY1554" s="398"/>
      <c r="CZ1554" s="398"/>
      <c r="DA1554" s="398"/>
      <c r="DB1554" s="398"/>
      <c r="DC1554" s="398"/>
      <c r="DD1554" s="398"/>
      <c r="DE1554" s="393"/>
      <c r="DF1554" s="393"/>
      <c r="DG1554" s="393"/>
      <c r="DH1554" s="393"/>
      <c r="DI1554" s="393"/>
      <c r="DJ1554" s="393"/>
      <c r="DK1554" s="897"/>
    </row>
    <row r="1555" spans="1:254" ht="15" x14ac:dyDescent="0.2">
      <c r="A1555" s="295">
        <v>1551</v>
      </c>
      <c r="B1555" s="390" t="s">
        <v>8171</v>
      </c>
      <c r="C1555" s="390"/>
      <c r="D1555" s="391" t="s">
        <v>6928</v>
      </c>
      <c r="E1555" s="704" t="s">
        <v>6929</v>
      </c>
      <c r="F1555" s="393" t="s">
        <v>1375</v>
      </c>
      <c r="G1555" s="475" t="s">
        <v>1668</v>
      </c>
      <c r="H1555" s="393" t="s">
        <v>1378</v>
      </c>
      <c r="I1555" s="392"/>
      <c r="J1555" s="392"/>
      <c r="K1555" s="392" t="s">
        <v>1378</v>
      </c>
      <c r="L1555" s="392" t="s">
        <v>4261</v>
      </c>
      <c r="M1555" s="392"/>
      <c r="N1555" s="393" t="s">
        <v>44</v>
      </c>
      <c r="O1555" s="393" t="s">
        <v>51</v>
      </c>
      <c r="P1555" s="393" t="s">
        <v>51</v>
      </c>
      <c r="Q1555" s="392" t="s">
        <v>976</v>
      </c>
      <c r="R1555" s="392" t="s">
        <v>6930</v>
      </c>
      <c r="S1555" s="392" t="s">
        <v>977</v>
      </c>
      <c r="T1555" s="394">
        <v>1</v>
      </c>
      <c r="U1555" s="395">
        <v>19.384</v>
      </c>
      <c r="V1555" s="395"/>
      <c r="W1555" s="453"/>
      <c r="X1555" s="394"/>
      <c r="Y1555" s="394">
        <v>10</v>
      </c>
      <c r="Z1555" s="394">
        <v>5</v>
      </c>
      <c r="AA1555" s="395">
        <v>0</v>
      </c>
      <c r="AB1555" s="452">
        <v>42064</v>
      </c>
      <c r="AC1555" s="398"/>
      <c r="AD1555" s="398">
        <v>193.84</v>
      </c>
      <c r="AE1555" s="393" t="s">
        <v>96</v>
      </c>
      <c r="AF1555" s="417"/>
      <c r="AG1555" s="417"/>
      <c r="AH1555" s="417">
        <f>SUM(AF1555:AG1555)</f>
        <v>0</v>
      </c>
      <c r="AI1555" s="394"/>
      <c r="AJ1555" s="453"/>
      <c r="AK1555" s="453">
        <v>42916</v>
      </c>
      <c r="AL1555" s="393"/>
      <c r="AM1555" s="393"/>
      <c r="AN1555" s="417"/>
      <c r="AO1555" s="428" t="s">
        <v>133</v>
      </c>
      <c r="AP1555" s="392"/>
      <c r="AQ1555" s="392"/>
      <c r="AR1555" s="392" t="s">
        <v>4263</v>
      </c>
      <c r="AS1555" s="479">
        <v>40677</v>
      </c>
      <c r="AT1555" s="453"/>
      <c r="AU1555" s="453"/>
      <c r="AV1555" s="453"/>
      <c r="AW1555" s="453"/>
      <c r="AX1555" s="453"/>
      <c r="AY1555" s="453"/>
      <c r="AZ1555" s="452">
        <v>42038</v>
      </c>
      <c r="BA1555" s="393"/>
      <c r="BB1555" s="393"/>
      <c r="BC1555" s="393" t="b">
        <v>0</v>
      </c>
      <c r="BD1555" s="393"/>
      <c r="BE1555" s="392"/>
      <c r="BF1555" s="394">
        <v>1</v>
      </c>
      <c r="BG1555" s="394">
        <v>4</v>
      </c>
      <c r="BH1555" s="394">
        <v>6</v>
      </c>
      <c r="BI1555" s="394">
        <v>8</v>
      </c>
      <c r="BJ1555" s="394">
        <v>5</v>
      </c>
      <c r="BK1555" s="394"/>
      <c r="BL1555" s="444" t="s">
        <v>6981</v>
      </c>
      <c r="BM1555" s="392"/>
      <c r="BN1555" s="393"/>
      <c r="BO1555" s="393"/>
      <c r="BP1555" s="399"/>
      <c r="BQ1555" s="400"/>
      <c r="BR1555" s="401"/>
      <c r="BS1555" s="399"/>
      <c r="BT1555" s="394"/>
      <c r="BU1555" s="417"/>
      <c r="BV1555" s="399"/>
      <c r="BW1555" s="393"/>
      <c r="BX1555" s="392"/>
      <c r="BY1555" s="393"/>
      <c r="BZ1555" s="393"/>
      <c r="CA1555" s="441"/>
      <c r="CB1555" s="400"/>
      <c r="CC1555" s="398"/>
      <c r="CD1555" s="398"/>
      <c r="CE1555" s="398"/>
      <c r="CF1555" s="398"/>
      <c r="CG1555" s="398"/>
      <c r="CH1555" s="398"/>
      <c r="CI1555" s="398"/>
      <c r="CJ1555" s="398"/>
      <c r="CK1555" s="398">
        <v>19.384</v>
      </c>
      <c r="CL1555" s="398">
        <v>19.384</v>
      </c>
      <c r="CM1555" s="398">
        <v>19.384</v>
      </c>
      <c r="CN1555" s="398">
        <v>19.384</v>
      </c>
      <c r="CO1555" s="398">
        <v>19.384</v>
      </c>
      <c r="CP1555" s="398">
        <v>19.384</v>
      </c>
      <c r="CQ1555" s="398">
        <v>19.384</v>
      </c>
      <c r="CR1555" s="398">
        <v>19.384</v>
      </c>
      <c r="CS1555" s="398">
        <v>19.384</v>
      </c>
      <c r="CT1555" s="398">
        <v>19.384</v>
      </c>
      <c r="CU1555" s="398"/>
      <c r="CV1555" s="398"/>
      <c r="CW1555" s="398"/>
      <c r="CX1555" s="398"/>
      <c r="CY1555" s="398"/>
      <c r="CZ1555" s="398"/>
      <c r="DA1555" s="398"/>
      <c r="DB1555" s="398"/>
      <c r="DC1555" s="398"/>
      <c r="DD1555" s="398"/>
      <c r="DE1555" s="393"/>
      <c r="DF1555" s="393"/>
      <c r="DG1555" s="393"/>
      <c r="DH1555" s="393"/>
      <c r="DI1555" s="393"/>
      <c r="DJ1555" s="393"/>
      <c r="DK1555" s="897"/>
    </row>
    <row r="1556" spans="1:254" ht="15" x14ac:dyDescent="0.2">
      <c r="A1556" s="295">
        <v>1552</v>
      </c>
      <c r="B1556" s="390" t="s">
        <v>8172</v>
      </c>
      <c r="C1556" s="390"/>
      <c r="D1556" s="391" t="s">
        <v>7206</v>
      </c>
      <c r="E1556" s="704" t="s">
        <v>7207</v>
      </c>
      <c r="F1556" s="393" t="s">
        <v>1375</v>
      </c>
      <c r="G1556" s="393" t="s">
        <v>998</v>
      </c>
      <c r="H1556" s="393" t="s">
        <v>1059</v>
      </c>
      <c r="I1556" s="392"/>
      <c r="J1556" s="392"/>
      <c r="K1556" s="392" t="s">
        <v>1059</v>
      </c>
      <c r="L1556" s="392" t="s">
        <v>4261</v>
      </c>
      <c r="M1556" s="392"/>
      <c r="N1556" s="393" t="s">
        <v>44</v>
      </c>
      <c r="O1556" s="393" t="s">
        <v>51</v>
      </c>
      <c r="P1556" s="393" t="s">
        <v>51</v>
      </c>
      <c r="Q1556" s="392" t="s">
        <v>976</v>
      </c>
      <c r="R1556" s="392" t="s">
        <v>6930</v>
      </c>
      <c r="S1556" s="392" t="s">
        <v>977</v>
      </c>
      <c r="T1556" s="394">
        <v>1</v>
      </c>
      <c r="U1556" s="395">
        <v>44.094999999999999</v>
      </c>
      <c r="V1556" s="395"/>
      <c r="W1556" s="453"/>
      <c r="X1556" s="394"/>
      <c r="Y1556" s="394">
        <v>10</v>
      </c>
      <c r="Z1556" s="394">
        <v>10</v>
      </c>
      <c r="AA1556" s="395">
        <v>0</v>
      </c>
      <c r="AB1556" s="452">
        <v>42217</v>
      </c>
      <c r="AC1556" s="398"/>
      <c r="AD1556" s="398">
        <v>440.95</v>
      </c>
      <c r="AE1556" s="393" t="s">
        <v>96</v>
      </c>
      <c r="AF1556" s="417"/>
      <c r="AG1556" s="417">
        <f>14.012+44.531</f>
        <v>58.542999999999999</v>
      </c>
      <c r="AH1556" s="417">
        <v>58.542999999999999</v>
      </c>
      <c r="AI1556" s="394"/>
      <c r="AJ1556" s="453"/>
      <c r="AK1556" s="453">
        <v>42916</v>
      </c>
      <c r="AL1556" s="393"/>
      <c r="AM1556" s="393"/>
      <c r="AN1556" s="417"/>
      <c r="AO1556" s="428" t="s">
        <v>133</v>
      </c>
      <c r="AP1556" s="392"/>
      <c r="AQ1556" s="392"/>
      <c r="AR1556" s="392" t="s">
        <v>4263</v>
      </c>
      <c r="AS1556" s="479">
        <v>40677</v>
      </c>
      <c r="AT1556" s="453"/>
      <c r="AU1556" s="453"/>
      <c r="AV1556" s="453"/>
      <c r="AW1556" s="453"/>
      <c r="AX1556" s="453"/>
      <c r="AY1556" s="453"/>
      <c r="AZ1556" s="452">
        <v>42213</v>
      </c>
      <c r="BA1556" s="393"/>
      <c r="BB1556" s="393"/>
      <c r="BC1556" s="393" t="b">
        <v>0</v>
      </c>
      <c r="BD1556" s="393"/>
      <c r="BE1556" s="392"/>
      <c r="BF1556" s="394">
        <v>1</v>
      </c>
      <c r="BG1556" s="394">
        <v>4</v>
      </c>
      <c r="BH1556" s="394">
        <v>6</v>
      </c>
      <c r="BI1556" s="394">
        <v>8</v>
      </c>
      <c r="BJ1556" s="394">
        <v>5</v>
      </c>
      <c r="BK1556" s="394"/>
      <c r="BL1556" s="444" t="s">
        <v>6981</v>
      </c>
      <c r="BM1556" s="392"/>
      <c r="BN1556" s="393"/>
      <c r="BO1556" s="393"/>
      <c r="BP1556" s="399"/>
      <c r="BQ1556" s="400"/>
      <c r="BR1556" s="401"/>
      <c r="BS1556" s="399"/>
      <c r="BT1556" s="394"/>
      <c r="BU1556" s="417"/>
      <c r="BV1556" s="399"/>
      <c r="BW1556" s="393" t="s">
        <v>3117</v>
      </c>
      <c r="BX1556" s="392"/>
      <c r="BY1556" s="393"/>
      <c r="BZ1556" s="393"/>
      <c r="CA1556" s="441"/>
      <c r="CB1556" s="400"/>
      <c r="CC1556" s="398"/>
      <c r="CD1556" s="398"/>
      <c r="CE1556" s="398"/>
      <c r="CF1556" s="398"/>
      <c r="CG1556" s="398"/>
      <c r="CH1556" s="398"/>
      <c r="CI1556" s="398"/>
      <c r="CJ1556" s="398"/>
      <c r="CK1556" s="398">
        <v>44.094999999999999</v>
      </c>
      <c r="CL1556" s="398">
        <v>44.094999999999999</v>
      </c>
      <c r="CM1556" s="398">
        <v>44.094999999999999</v>
      </c>
      <c r="CN1556" s="398">
        <v>44.094999999999999</v>
      </c>
      <c r="CO1556" s="398">
        <v>44.094999999999999</v>
      </c>
      <c r="CP1556" s="398">
        <v>44.094999999999999</v>
      </c>
      <c r="CQ1556" s="398">
        <v>44.094999999999999</v>
      </c>
      <c r="CR1556" s="398">
        <v>44.094999999999999</v>
      </c>
      <c r="CS1556" s="398">
        <v>44.094999999999999</v>
      </c>
      <c r="CT1556" s="398">
        <v>44.094999999999999</v>
      </c>
      <c r="CU1556" s="398"/>
      <c r="CV1556" s="398"/>
      <c r="CW1556" s="398"/>
      <c r="CX1556" s="398"/>
      <c r="CY1556" s="398"/>
      <c r="CZ1556" s="398"/>
      <c r="DA1556" s="398"/>
      <c r="DB1556" s="398"/>
      <c r="DC1556" s="398"/>
      <c r="DD1556" s="398"/>
      <c r="DE1556" s="393"/>
      <c r="DF1556" s="393"/>
      <c r="DG1556" s="393"/>
      <c r="DH1556" s="393"/>
      <c r="DI1556" s="393"/>
      <c r="DJ1556" s="393"/>
      <c r="DK1556" s="897"/>
    </row>
    <row r="1557" spans="1:254" ht="15" x14ac:dyDescent="0.2">
      <c r="A1557" s="295">
        <v>1553</v>
      </c>
      <c r="B1557" s="390" t="s">
        <v>8173</v>
      </c>
      <c r="C1557" s="390"/>
      <c r="D1557" s="391" t="s">
        <v>7209</v>
      </c>
      <c r="E1557" s="704" t="s">
        <v>7210</v>
      </c>
      <c r="F1557" s="393" t="s">
        <v>1375</v>
      </c>
      <c r="G1557" s="393" t="s">
        <v>998</v>
      </c>
      <c r="H1557" s="393" t="s">
        <v>1059</v>
      </c>
      <c r="I1557" s="392"/>
      <c r="J1557" s="392"/>
      <c r="K1557" s="392" t="s">
        <v>1059</v>
      </c>
      <c r="L1557" s="392" t="s">
        <v>4261</v>
      </c>
      <c r="M1557" s="392"/>
      <c r="N1557" s="393" t="s">
        <v>44</v>
      </c>
      <c r="O1557" s="393" t="s">
        <v>51</v>
      </c>
      <c r="P1557" s="393" t="s">
        <v>51</v>
      </c>
      <c r="Q1557" s="392" t="s">
        <v>976</v>
      </c>
      <c r="R1557" s="392" t="s">
        <v>6930</v>
      </c>
      <c r="S1557" s="392" t="s">
        <v>977</v>
      </c>
      <c r="T1557" s="394">
        <v>1</v>
      </c>
      <c r="U1557" s="395">
        <v>44.094999999999999</v>
      </c>
      <c r="V1557" s="395"/>
      <c r="W1557" s="453"/>
      <c r="X1557" s="394"/>
      <c r="Y1557" s="394">
        <v>10</v>
      </c>
      <c r="Z1557" s="394">
        <v>10</v>
      </c>
      <c r="AA1557" s="395">
        <v>0</v>
      </c>
      <c r="AB1557" s="452">
        <v>42217</v>
      </c>
      <c r="AC1557" s="398"/>
      <c r="AD1557" s="398">
        <v>440.95</v>
      </c>
      <c r="AE1557" s="393" t="s">
        <v>96</v>
      </c>
      <c r="AF1557" s="417"/>
      <c r="AG1557" s="417">
        <f>1.112</f>
        <v>1.1120000000000001</v>
      </c>
      <c r="AH1557" s="417">
        <v>1.1120000000000001</v>
      </c>
      <c r="AI1557" s="394"/>
      <c r="AJ1557" s="453"/>
      <c r="AK1557" s="453">
        <v>42916</v>
      </c>
      <c r="AL1557" s="393"/>
      <c r="AM1557" s="393"/>
      <c r="AN1557" s="417"/>
      <c r="AO1557" s="428" t="s">
        <v>133</v>
      </c>
      <c r="AP1557" s="392"/>
      <c r="AQ1557" s="392"/>
      <c r="AR1557" s="392" t="s">
        <v>4263</v>
      </c>
      <c r="AS1557" s="479">
        <v>40677</v>
      </c>
      <c r="AT1557" s="453"/>
      <c r="AU1557" s="453"/>
      <c r="AV1557" s="453"/>
      <c r="AW1557" s="453"/>
      <c r="AX1557" s="453"/>
      <c r="AY1557" s="453"/>
      <c r="AZ1557" s="452">
        <v>42213</v>
      </c>
      <c r="BA1557" s="393"/>
      <c r="BB1557" s="393"/>
      <c r="BC1557" s="393" t="b">
        <v>0</v>
      </c>
      <c r="BD1557" s="393"/>
      <c r="BE1557" s="392"/>
      <c r="BF1557" s="394">
        <v>1</v>
      </c>
      <c r="BG1557" s="394">
        <v>4</v>
      </c>
      <c r="BH1557" s="394">
        <v>6</v>
      </c>
      <c r="BI1557" s="394">
        <v>8</v>
      </c>
      <c r="BJ1557" s="394">
        <v>5</v>
      </c>
      <c r="BK1557" s="394"/>
      <c r="BL1557" s="444" t="s">
        <v>6981</v>
      </c>
      <c r="BM1557" s="392"/>
      <c r="BN1557" s="393"/>
      <c r="BO1557" s="393"/>
      <c r="BP1557" s="399"/>
      <c r="BQ1557" s="400"/>
      <c r="BR1557" s="401"/>
      <c r="BS1557" s="399"/>
      <c r="BT1557" s="394"/>
      <c r="BU1557" s="417"/>
      <c r="BV1557" s="399"/>
      <c r="BW1557" s="393" t="s">
        <v>3117</v>
      </c>
      <c r="BX1557" s="392"/>
      <c r="BY1557" s="393"/>
      <c r="BZ1557" s="393"/>
      <c r="CA1557" s="441"/>
      <c r="CB1557" s="400"/>
      <c r="CC1557" s="398"/>
      <c r="CD1557" s="398"/>
      <c r="CE1557" s="398"/>
      <c r="CF1557" s="398"/>
      <c r="CG1557" s="398"/>
      <c r="CH1557" s="398"/>
      <c r="CI1557" s="398"/>
      <c r="CJ1557" s="398"/>
      <c r="CK1557" s="398">
        <v>44.094999999999999</v>
      </c>
      <c r="CL1557" s="398">
        <v>44.094999999999999</v>
      </c>
      <c r="CM1557" s="398">
        <v>44.094999999999999</v>
      </c>
      <c r="CN1557" s="398">
        <v>44.094999999999999</v>
      </c>
      <c r="CO1557" s="398">
        <v>44.094999999999999</v>
      </c>
      <c r="CP1557" s="398">
        <v>44.094999999999999</v>
      </c>
      <c r="CQ1557" s="398">
        <v>44.094999999999999</v>
      </c>
      <c r="CR1557" s="398">
        <v>44.094999999999999</v>
      </c>
      <c r="CS1557" s="398">
        <v>44.094999999999999</v>
      </c>
      <c r="CT1557" s="398">
        <v>44.094999999999999</v>
      </c>
      <c r="CU1557" s="398"/>
      <c r="CV1557" s="398"/>
      <c r="CW1557" s="398"/>
      <c r="CX1557" s="398"/>
      <c r="CY1557" s="398"/>
      <c r="CZ1557" s="398"/>
      <c r="DA1557" s="398"/>
      <c r="DB1557" s="398"/>
      <c r="DC1557" s="398"/>
      <c r="DD1557" s="398"/>
      <c r="DE1557" s="393"/>
      <c r="DF1557" s="393"/>
      <c r="DG1557" s="393"/>
      <c r="DH1557" s="393"/>
      <c r="DI1557" s="393"/>
      <c r="DJ1557" s="393"/>
      <c r="DK1557" s="897"/>
    </row>
    <row r="1558" spans="1:254" s="361" customFormat="1" ht="15" x14ac:dyDescent="0.2">
      <c r="A1558" s="295">
        <v>1554</v>
      </c>
      <c r="B1558" s="390" t="s">
        <v>8174</v>
      </c>
      <c r="C1558" s="390"/>
      <c r="D1558" s="391" t="s">
        <v>8018</v>
      </c>
      <c r="E1558" s="705" t="s">
        <v>8019</v>
      </c>
      <c r="F1558" s="393" t="s">
        <v>1375</v>
      </c>
      <c r="G1558" s="475" t="s">
        <v>1668</v>
      </c>
      <c r="H1558" s="393" t="s">
        <v>1378</v>
      </c>
      <c r="I1558" s="392"/>
      <c r="J1558" s="392"/>
      <c r="K1558" s="392" t="s">
        <v>1378</v>
      </c>
      <c r="L1558" s="392" t="s">
        <v>4261</v>
      </c>
      <c r="M1558" s="392"/>
      <c r="N1558" s="475" t="s">
        <v>44</v>
      </c>
      <c r="O1558" s="393" t="s">
        <v>51</v>
      </c>
      <c r="P1558" s="393" t="s">
        <v>51</v>
      </c>
      <c r="Q1558" s="392" t="s">
        <v>976</v>
      </c>
      <c r="R1558" s="392" t="s">
        <v>6930</v>
      </c>
      <c r="S1558" s="392" t="s">
        <v>977</v>
      </c>
      <c r="T1558" s="394">
        <v>1</v>
      </c>
      <c r="U1558" s="395">
        <v>22.952000000000002</v>
      </c>
      <c r="V1558" s="395"/>
      <c r="W1558" s="453"/>
      <c r="X1558" s="394"/>
      <c r="Y1558" s="394">
        <v>10</v>
      </c>
      <c r="Z1558" s="394">
        <v>10</v>
      </c>
      <c r="AA1558" s="395">
        <v>0</v>
      </c>
      <c r="AB1558" s="452">
        <v>42736</v>
      </c>
      <c r="AC1558" s="398"/>
      <c r="AD1558" s="398">
        <v>229.52</v>
      </c>
      <c r="AE1558" s="475" t="s">
        <v>96</v>
      </c>
      <c r="AF1558" s="417"/>
      <c r="AG1558" s="417"/>
      <c r="AH1558" s="417"/>
      <c r="AI1558" s="394"/>
      <c r="AJ1558" s="453"/>
      <c r="AK1558" s="453"/>
      <c r="AL1558" s="393"/>
      <c r="AM1558" s="393"/>
      <c r="AN1558" s="417"/>
      <c r="AO1558" s="392"/>
      <c r="AP1558" s="392"/>
      <c r="AQ1558" s="392"/>
      <c r="AR1558" s="428" t="s">
        <v>4263</v>
      </c>
      <c r="AS1558" s="479">
        <v>40677</v>
      </c>
      <c r="AT1558" s="453"/>
      <c r="AU1558" s="453"/>
      <c r="AV1558" s="453"/>
      <c r="AW1558" s="453"/>
      <c r="AX1558" s="453"/>
      <c r="AY1558" s="453"/>
      <c r="AZ1558" s="452">
        <v>42429</v>
      </c>
      <c r="BA1558" s="393"/>
      <c r="BB1558" s="393"/>
      <c r="BC1558" s="393" t="b">
        <v>0</v>
      </c>
      <c r="BD1558" s="393"/>
      <c r="BE1558" s="392"/>
      <c r="BF1558" s="394">
        <v>1</v>
      </c>
      <c r="BG1558" s="394">
        <v>4</v>
      </c>
      <c r="BH1558" s="394">
        <v>6</v>
      </c>
      <c r="BI1558" s="394">
        <v>8</v>
      </c>
      <c r="BJ1558" s="394">
        <v>5</v>
      </c>
      <c r="BK1558" s="394"/>
      <c r="BL1558" s="444" t="s">
        <v>6981</v>
      </c>
      <c r="BM1558" s="392"/>
      <c r="BN1558" s="393"/>
      <c r="BO1558" s="393"/>
      <c r="BP1558" s="399"/>
      <c r="BQ1558" s="400"/>
      <c r="BR1558" s="401"/>
      <c r="BS1558" s="399"/>
      <c r="BT1558" s="394"/>
      <c r="BU1558" s="417"/>
      <c r="BV1558" s="399"/>
      <c r="BW1558" s="475" t="s">
        <v>3117</v>
      </c>
      <c r="BX1558" s="392"/>
      <c r="BY1558" s="393"/>
      <c r="BZ1558" s="393"/>
      <c r="CA1558" s="441"/>
      <c r="CB1558" s="400"/>
      <c r="CC1558" s="398"/>
      <c r="CD1558" s="398"/>
      <c r="CE1558" s="398"/>
      <c r="CF1558" s="398"/>
      <c r="CG1558" s="398"/>
      <c r="CH1558" s="398"/>
      <c r="CI1558" s="398"/>
      <c r="CJ1558" s="398"/>
      <c r="CK1558" s="398"/>
      <c r="CL1558" s="398">
        <v>20.952000000000002</v>
      </c>
      <c r="CM1558" s="398">
        <v>20.952000000000002</v>
      </c>
      <c r="CN1558" s="398">
        <v>20.952000000000002</v>
      </c>
      <c r="CO1558" s="398">
        <v>20.952000000000002</v>
      </c>
      <c r="CP1558" s="398">
        <v>20.952000000000002</v>
      </c>
      <c r="CQ1558" s="398">
        <v>20.952000000000002</v>
      </c>
      <c r="CR1558" s="398">
        <v>20.952000000000002</v>
      </c>
      <c r="CS1558" s="398">
        <v>20.952000000000002</v>
      </c>
      <c r="CT1558" s="398">
        <v>20.952000000000002</v>
      </c>
      <c r="CU1558" s="398">
        <v>20.952000000000002</v>
      </c>
      <c r="CV1558" s="398"/>
      <c r="CW1558" s="398"/>
      <c r="CX1558" s="398"/>
      <c r="CY1558" s="398"/>
      <c r="CZ1558" s="398"/>
      <c r="DA1558" s="398"/>
      <c r="DB1558" s="398"/>
      <c r="DC1558" s="398"/>
      <c r="DD1558" s="398"/>
      <c r="DE1558" s="393"/>
      <c r="DF1558" s="393"/>
      <c r="DG1558" s="393"/>
      <c r="DH1558" s="393"/>
      <c r="DI1558" s="393"/>
      <c r="DJ1558" s="393"/>
      <c r="DK1558" s="897"/>
      <c r="DL1558" s="791"/>
      <c r="DM1558" s="791"/>
      <c r="DN1558" s="791"/>
      <c r="DO1558" s="791"/>
      <c r="DP1558" s="791"/>
      <c r="DQ1558" s="791"/>
      <c r="DR1558" s="791"/>
      <c r="DS1558" s="791"/>
      <c r="DT1558" s="791"/>
      <c r="DU1558" s="791"/>
      <c r="DV1558" s="791"/>
      <c r="DW1558" s="791"/>
      <c r="DX1558" s="791"/>
      <c r="DY1558" s="791"/>
      <c r="DZ1558" s="791"/>
      <c r="EA1558" s="791"/>
      <c r="EB1558" s="791"/>
      <c r="EC1558" s="791"/>
      <c r="ED1558" s="791"/>
      <c r="EE1558" s="791"/>
      <c r="EF1558" s="791"/>
      <c r="EG1558" s="791"/>
      <c r="EH1558" s="791"/>
      <c r="EI1558" s="791"/>
      <c r="EJ1558" s="791"/>
      <c r="EK1558" s="791"/>
      <c r="EL1558" s="791"/>
      <c r="EM1558" s="791"/>
      <c r="EN1558" s="791"/>
      <c r="EO1558" s="791"/>
      <c r="EP1558" s="791"/>
      <c r="EQ1558" s="791"/>
      <c r="ER1558" s="791"/>
      <c r="ES1558" s="791"/>
      <c r="ET1558" s="791"/>
      <c r="EU1558" s="791"/>
      <c r="EV1558" s="791"/>
      <c r="EW1558" s="791"/>
      <c r="EX1558" s="791"/>
      <c r="EY1558" s="791"/>
      <c r="EZ1558" s="791"/>
      <c r="FA1558" s="791"/>
      <c r="FB1558" s="791"/>
      <c r="FC1558" s="791"/>
      <c r="FD1558" s="791"/>
      <c r="FE1558" s="791"/>
      <c r="FF1558" s="791"/>
      <c r="FG1558" s="791"/>
      <c r="FH1558" s="791"/>
      <c r="FI1558" s="791"/>
      <c r="FJ1558" s="791"/>
      <c r="FK1558" s="791"/>
      <c r="FL1558" s="791"/>
      <c r="FM1558" s="791"/>
      <c r="FN1558" s="791"/>
      <c r="FO1558" s="791"/>
      <c r="FP1558" s="791"/>
      <c r="FQ1558" s="791"/>
      <c r="FR1558" s="791"/>
      <c r="FS1558" s="791"/>
      <c r="FT1558" s="791"/>
      <c r="FU1558" s="791"/>
      <c r="FV1558" s="791"/>
      <c r="FW1558" s="791"/>
      <c r="FX1558" s="791"/>
      <c r="FY1558" s="791"/>
      <c r="FZ1558" s="791"/>
      <c r="GA1558" s="791"/>
      <c r="GB1558" s="791"/>
      <c r="GC1558" s="791"/>
      <c r="GD1558" s="791"/>
      <c r="GE1558" s="791"/>
      <c r="GF1558" s="791"/>
      <c r="GG1558" s="791"/>
      <c r="GH1558" s="791"/>
      <c r="GI1558" s="791"/>
      <c r="GJ1558" s="791"/>
      <c r="GK1558" s="791"/>
      <c r="GL1558" s="791"/>
      <c r="GM1558" s="791"/>
      <c r="GN1558" s="791"/>
      <c r="GO1558" s="791"/>
      <c r="GP1558" s="791"/>
      <c r="GQ1558" s="791"/>
      <c r="GR1558" s="791"/>
      <c r="GS1558" s="791"/>
      <c r="GT1558" s="791"/>
      <c r="GU1558" s="791"/>
      <c r="GV1558" s="791"/>
      <c r="GW1558" s="791"/>
      <c r="GX1558" s="791"/>
      <c r="GY1558" s="791"/>
      <c r="GZ1558" s="791"/>
      <c r="HA1558" s="791"/>
      <c r="HB1558" s="791"/>
      <c r="HC1558" s="791"/>
      <c r="HD1558" s="791"/>
      <c r="HE1558" s="791"/>
      <c r="HF1558" s="791"/>
      <c r="HG1558" s="791"/>
      <c r="HH1558" s="791"/>
      <c r="HI1558" s="791"/>
      <c r="HJ1558" s="791"/>
      <c r="HK1558" s="791"/>
      <c r="HL1558" s="791"/>
      <c r="HM1558" s="791"/>
      <c r="HN1558" s="791"/>
      <c r="HO1558" s="791"/>
      <c r="HP1558" s="791"/>
      <c r="HQ1558" s="791"/>
      <c r="HR1558" s="791"/>
      <c r="HS1558" s="791"/>
      <c r="HT1558" s="791"/>
      <c r="HU1558" s="791"/>
      <c r="HV1558" s="791"/>
      <c r="HW1558" s="791"/>
      <c r="HX1558" s="791"/>
      <c r="HY1558" s="791"/>
      <c r="HZ1558" s="791"/>
      <c r="IA1558" s="791"/>
      <c r="IB1558" s="791"/>
      <c r="IC1558" s="791"/>
      <c r="ID1558" s="791"/>
      <c r="IE1558" s="791"/>
      <c r="IF1558" s="791"/>
      <c r="IG1558" s="791"/>
      <c r="IH1558" s="791"/>
      <c r="II1558" s="791"/>
      <c r="IJ1558" s="791"/>
      <c r="IK1558" s="791"/>
      <c r="IL1558" s="791"/>
      <c r="IM1558" s="791"/>
      <c r="IN1558" s="791"/>
      <c r="IO1558" s="791"/>
      <c r="IP1558" s="791"/>
      <c r="IQ1558" s="791"/>
      <c r="IR1558" s="791"/>
      <c r="IS1558" s="791"/>
      <c r="IT1558" s="791"/>
    </row>
    <row r="1559" spans="1:254" s="361" customFormat="1" ht="15" x14ac:dyDescent="0.2">
      <c r="A1559" s="295">
        <v>1555</v>
      </c>
      <c r="B1559" s="390" t="s">
        <v>9569</v>
      </c>
      <c r="C1559" s="390"/>
      <c r="D1559" s="391" t="s">
        <v>9570</v>
      </c>
      <c r="E1559" s="705" t="s">
        <v>9571</v>
      </c>
      <c r="F1559" s="393" t="s">
        <v>1375</v>
      </c>
      <c r="G1559" s="393" t="s">
        <v>998</v>
      </c>
      <c r="H1559" s="393" t="s">
        <v>1059</v>
      </c>
      <c r="I1559" s="392"/>
      <c r="J1559" s="392"/>
      <c r="K1559" s="392" t="s">
        <v>1059</v>
      </c>
      <c r="L1559" s="428" t="s">
        <v>4261</v>
      </c>
      <c r="M1559" s="392"/>
      <c r="N1559" s="475" t="s">
        <v>44</v>
      </c>
      <c r="O1559" s="393" t="s">
        <v>51</v>
      </c>
      <c r="P1559" s="393" t="s">
        <v>51</v>
      </c>
      <c r="Q1559" s="392" t="s">
        <v>976</v>
      </c>
      <c r="R1559" s="428" t="s">
        <v>9572</v>
      </c>
      <c r="S1559" s="428" t="s">
        <v>977</v>
      </c>
      <c r="T1559" s="394">
        <v>1</v>
      </c>
      <c r="U1559" s="395">
        <v>42.786999999999999</v>
      </c>
      <c r="V1559" s="395"/>
      <c r="W1559" s="453"/>
      <c r="X1559" s="394"/>
      <c r="Y1559" s="394">
        <v>10</v>
      </c>
      <c r="Z1559" s="394">
        <v>10</v>
      </c>
      <c r="AA1559" s="395">
        <v>0</v>
      </c>
      <c r="AB1559" s="452">
        <v>43271</v>
      </c>
      <c r="AC1559" s="398"/>
      <c r="AD1559" s="398">
        <v>427.87</v>
      </c>
      <c r="AE1559" s="475" t="s">
        <v>96</v>
      </c>
      <c r="AF1559" s="417"/>
      <c r="AG1559" s="417"/>
      <c r="AH1559" s="417"/>
      <c r="AI1559" s="394"/>
      <c r="AJ1559" s="453"/>
      <c r="AK1559" s="453"/>
      <c r="AL1559" s="393"/>
      <c r="AM1559" s="393"/>
      <c r="AN1559" s="417"/>
      <c r="AO1559" s="392"/>
      <c r="AP1559" s="392"/>
      <c r="AQ1559" s="392"/>
      <c r="AR1559" s="428" t="s">
        <v>4263</v>
      </c>
      <c r="AS1559" s="479">
        <v>40677</v>
      </c>
      <c r="AT1559" s="453"/>
      <c r="AU1559" s="453"/>
      <c r="AV1559" s="453"/>
      <c r="AW1559" s="453"/>
      <c r="AX1559" s="453"/>
      <c r="AY1559" s="453"/>
      <c r="AZ1559" s="452">
        <v>43271</v>
      </c>
      <c r="BA1559" s="393"/>
      <c r="BB1559" s="393"/>
      <c r="BC1559" s="393" t="b">
        <v>0</v>
      </c>
      <c r="BD1559" s="393"/>
      <c r="BE1559" s="392"/>
      <c r="BF1559" s="394">
        <v>1</v>
      </c>
      <c r="BG1559" s="394">
        <v>4</v>
      </c>
      <c r="BH1559" s="394">
        <v>6</v>
      </c>
      <c r="BI1559" s="394">
        <v>8</v>
      </c>
      <c r="BJ1559" s="394">
        <v>5</v>
      </c>
      <c r="BK1559" s="394"/>
      <c r="BL1559" s="444" t="s">
        <v>6981</v>
      </c>
      <c r="BM1559" s="392"/>
      <c r="BN1559" s="393"/>
      <c r="BO1559" s="393"/>
      <c r="BP1559" s="399"/>
      <c r="BQ1559" s="400"/>
      <c r="BR1559" s="401"/>
      <c r="BS1559" s="399"/>
      <c r="BT1559" s="394"/>
      <c r="BU1559" s="417"/>
      <c r="BV1559" s="399"/>
      <c r="BW1559" s="475" t="s">
        <v>3117</v>
      </c>
      <c r="BX1559" s="392"/>
      <c r="BY1559" s="393"/>
      <c r="BZ1559" s="393"/>
      <c r="CA1559" s="441"/>
      <c r="CB1559" s="400"/>
      <c r="CC1559" s="398"/>
      <c r="CD1559" s="398"/>
      <c r="CE1559" s="398"/>
      <c r="CF1559" s="398"/>
      <c r="CG1559" s="398"/>
      <c r="CH1559" s="398"/>
      <c r="CI1559" s="398"/>
      <c r="CJ1559" s="398"/>
      <c r="CK1559" s="398"/>
      <c r="CL1559" s="398"/>
      <c r="CM1559" s="398"/>
      <c r="CN1559" s="398">
        <v>42.786999999999999</v>
      </c>
      <c r="CO1559" s="398">
        <v>42.786999999999999</v>
      </c>
      <c r="CP1559" s="398">
        <v>42.786999999999999</v>
      </c>
      <c r="CQ1559" s="398">
        <v>42.786999999999999</v>
      </c>
      <c r="CR1559" s="398">
        <v>42.786999999999999</v>
      </c>
      <c r="CS1559" s="398">
        <v>42.786999999999999</v>
      </c>
      <c r="CT1559" s="398">
        <v>42.786999999999999</v>
      </c>
      <c r="CU1559" s="398">
        <v>42.786999999999999</v>
      </c>
      <c r="CV1559" s="398">
        <v>42.786999999999999</v>
      </c>
      <c r="CW1559" s="398">
        <v>42.786999999999999</v>
      </c>
      <c r="CX1559" s="398">
        <v>42.786999999999999</v>
      </c>
      <c r="CY1559" s="398"/>
      <c r="CZ1559" s="398"/>
      <c r="DA1559" s="398"/>
      <c r="DB1559" s="398"/>
      <c r="DC1559" s="398"/>
      <c r="DD1559" s="398"/>
      <c r="DE1559" s="393"/>
      <c r="DF1559" s="393"/>
      <c r="DG1559" s="393"/>
      <c r="DH1559" s="393"/>
      <c r="DI1559" s="393"/>
      <c r="DJ1559" s="393"/>
      <c r="DK1559" s="916"/>
      <c r="DL1559" s="791"/>
      <c r="DM1559" s="791"/>
      <c r="DN1559" s="791"/>
      <c r="DO1559" s="791"/>
      <c r="DP1559" s="791"/>
      <c r="DQ1559" s="791"/>
      <c r="DR1559" s="791"/>
      <c r="DS1559" s="791"/>
      <c r="DT1559" s="791"/>
      <c r="DU1559" s="791"/>
      <c r="DV1559" s="791"/>
      <c r="DW1559" s="791"/>
      <c r="DX1559" s="791"/>
      <c r="DY1559" s="791"/>
      <c r="DZ1559" s="791"/>
      <c r="EA1559" s="791"/>
      <c r="EB1559" s="791"/>
      <c r="EC1559" s="791"/>
      <c r="ED1559" s="791"/>
      <c r="EE1559" s="791"/>
      <c r="EF1559" s="791"/>
      <c r="EG1559" s="791"/>
      <c r="EH1559" s="791"/>
      <c r="EI1559" s="791"/>
      <c r="EJ1559" s="791"/>
      <c r="EK1559" s="791"/>
      <c r="EL1559" s="791"/>
      <c r="EM1559" s="791"/>
      <c r="EN1559" s="791"/>
      <c r="EO1559" s="791"/>
      <c r="EP1559" s="791"/>
      <c r="EQ1559" s="791"/>
      <c r="ER1559" s="791"/>
      <c r="ES1559" s="791"/>
      <c r="ET1559" s="791"/>
      <c r="EU1559" s="791"/>
      <c r="EV1559" s="791"/>
      <c r="EW1559" s="791"/>
      <c r="EX1559" s="791"/>
      <c r="EY1559" s="791"/>
      <c r="EZ1559" s="791"/>
      <c r="FA1559" s="791"/>
      <c r="FB1559" s="791"/>
      <c r="FC1559" s="791"/>
      <c r="FD1559" s="791"/>
      <c r="FE1559" s="791"/>
      <c r="FF1559" s="791"/>
      <c r="FG1559" s="791"/>
      <c r="FH1559" s="791"/>
      <c r="FI1559" s="791"/>
      <c r="FJ1559" s="791"/>
      <c r="FK1559" s="791"/>
      <c r="FL1559" s="791"/>
      <c r="FM1559" s="791"/>
      <c r="FN1559" s="791"/>
      <c r="FO1559" s="791"/>
      <c r="FP1559" s="791"/>
      <c r="FQ1559" s="791"/>
      <c r="FR1559" s="791"/>
      <c r="FS1559" s="791"/>
      <c r="FT1559" s="791"/>
      <c r="FU1559" s="791"/>
      <c r="FV1559" s="791"/>
      <c r="FW1559" s="791"/>
      <c r="FX1559" s="791"/>
      <c r="FY1559" s="791"/>
      <c r="FZ1559" s="791"/>
      <c r="GA1559" s="791"/>
      <c r="GB1559" s="791"/>
      <c r="GC1559" s="791"/>
      <c r="GD1559" s="791"/>
      <c r="GE1559" s="791"/>
      <c r="GF1559" s="791"/>
      <c r="GG1559" s="791"/>
      <c r="GH1559" s="791"/>
      <c r="GI1559" s="791"/>
      <c r="GJ1559" s="791"/>
      <c r="GK1559" s="791"/>
      <c r="GL1559" s="791"/>
      <c r="GM1559" s="791"/>
      <c r="GN1559" s="791"/>
      <c r="GO1559" s="791"/>
      <c r="GP1559" s="791"/>
      <c r="GQ1559" s="791"/>
      <c r="GR1559" s="791"/>
      <c r="GS1559" s="791"/>
      <c r="GT1559" s="791"/>
      <c r="GU1559" s="791"/>
      <c r="GV1559" s="791"/>
      <c r="GW1559" s="791"/>
      <c r="GX1559" s="791"/>
      <c r="GY1559" s="791"/>
      <c r="GZ1559" s="791"/>
      <c r="HA1559" s="791"/>
      <c r="HB1559" s="791"/>
      <c r="HC1559" s="791"/>
      <c r="HD1559" s="791"/>
      <c r="HE1559" s="791"/>
      <c r="HF1559" s="791"/>
      <c r="HG1559" s="791"/>
      <c r="HH1559" s="791"/>
      <c r="HI1559" s="791"/>
      <c r="HJ1559" s="791"/>
      <c r="HK1559" s="791"/>
      <c r="HL1559" s="791"/>
      <c r="HM1559" s="791"/>
      <c r="HN1559" s="791"/>
      <c r="HO1559" s="791"/>
      <c r="HP1559" s="791"/>
      <c r="HQ1559" s="791"/>
      <c r="HR1559" s="791"/>
      <c r="HS1559" s="791"/>
      <c r="HT1559" s="791"/>
      <c r="HU1559" s="791"/>
      <c r="HV1559" s="791"/>
      <c r="HW1559" s="791"/>
      <c r="HX1559" s="791"/>
      <c r="HY1559" s="791"/>
      <c r="HZ1559" s="791"/>
      <c r="IA1559" s="791"/>
      <c r="IB1559" s="791"/>
      <c r="IC1559" s="791"/>
      <c r="ID1559" s="791"/>
      <c r="IE1559" s="791"/>
      <c r="IF1559" s="791"/>
      <c r="IG1559" s="791"/>
      <c r="IH1559" s="791"/>
      <c r="II1559" s="791"/>
      <c r="IJ1559" s="791"/>
      <c r="IK1559" s="791"/>
      <c r="IL1559" s="791"/>
      <c r="IM1559" s="791"/>
      <c r="IN1559" s="791"/>
      <c r="IO1559" s="791"/>
      <c r="IP1559" s="791"/>
      <c r="IQ1559" s="791"/>
      <c r="IR1559" s="791"/>
      <c r="IS1559" s="791"/>
      <c r="IT1559" s="791"/>
    </row>
    <row r="1560" spans="1:254" s="361" customFormat="1" ht="51" x14ac:dyDescent="0.2">
      <c r="A1560" s="295">
        <v>1556</v>
      </c>
      <c r="B1560" s="390" t="s">
        <v>4268</v>
      </c>
      <c r="C1560" s="424" t="s">
        <v>7826</v>
      </c>
      <c r="D1560" s="391" t="s">
        <v>6643</v>
      </c>
      <c r="E1560" s="705" t="s">
        <v>4269</v>
      </c>
      <c r="F1560" s="393" t="s">
        <v>1352</v>
      </c>
      <c r="G1560" s="393" t="s">
        <v>1673</v>
      </c>
      <c r="H1560" s="393" t="s">
        <v>42</v>
      </c>
      <c r="I1560" s="392"/>
      <c r="J1560" s="392" t="s">
        <v>42</v>
      </c>
      <c r="K1560" s="392"/>
      <c r="L1560" s="392" t="s">
        <v>4270</v>
      </c>
      <c r="M1560" s="392" t="s">
        <v>4271</v>
      </c>
      <c r="N1560" s="393" t="s">
        <v>44</v>
      </c>
      <c r="O1560" s="393" t="s">
        <v>820</v>
      </c>
      <c r="P1560" s="393" t="s">
        <v>820</v>
      </c>
      <c r="Q1560" s="392" t="s">
        <v>1323</v>
      </c>
      <c r="R1560" s="392"/>
      <c r="S1560" s="392" t="s">
        <v>4272</v>
      </c>
      <c r="T1560" s="394">
        <v>3</v>
      </c>
      <c r="U1560" s="395">
        <v>1038.22</v>
      </c>
      <c r="V1560" s="395"/>
      <c r="W1560" s="452">
        <v>40947</v>
      </c>
      <c r="X1560" s="394">
        <v>28</v>
      </c>
      <c r="Y1560" s="394"/>
      <c r="Z1560" s="394"/>
      <c r="AA1560" s="395"/>
      <c r="AB1560" s="453"/>
      <c r="AC1560" s="398">
        <v>0</v>
      </c>
      <c r="AD1560" s="398">
        <v>10382.200000000001</v>
      </c>
      <c r="AE1560" s="393" t="s">
        <v>434</v>
      </c>
      <c r="AF1560" s="417"/>
      <c r="AG1560" s="417"/>
      <c r="AH1560" s="417">
        <v>0</v>
      </c>
      <c r="AI1560" s="394"/>
      <c r="AJ1560" s="453"/>
      <c r="AK1560" s="453"/>
      <c r="AL1560" s="393"/>
      <c r="AM1560" s="393"/>
      <c r="AN1560" s="417"/>
      <c r="AO1560" s="392"/>
      <c r="AP1560" s="392" t="s">
        <v>55</v>
      </c>
      <c r="AQ1560" s="392"/>
      <c r="AR1560" s="392" t="s">
        <v>55</v>
      </c>
      <c r="AS1560" s="479">
        <v>41219</v>
      </c>
      <c r="AT1560" s="453"/>
      <c r="AU1560" s="453"/>
      <c r="AV1560" s="452">
        <v>41255</v>
      </c>
      <c r="AW1560" s="452">
        <v>41921</v>
      </c>
      <c r="AX1560" s="452">
        <v>41970</v>
      </c>
      <c r="AY1560" s="452">
        <v>41921</v>
      </c>
      <c r="AZ1560" s="453"/>
      <c r="BA1560" s="393"/>
      <c r="BB1560" s="393" t="s">
        <v>3116</v>
      </c>
      <c r="BC1560" s="393" t="b">
        <v>0</v>
      </c>
      <c r="BD1560" s="393" t="s">
        <v>3147</v>
      </c>
      <c r="BE1560" s="392"/>
      <c r="BF1560" s="394">
        <v>8</v>
      </c>
      <c r="BG1560" s="394">
        <v>1</v>
      </c>
      <c r="BH1560" s="394">
        <v>6</v>
      </c>
      <c r="BI1560" s="394">
        <v>9</v>
      </c>
      <c r="BJ1560" s="394"/>
      <c r="BK1560" s="394"/>
      <c r="BL1560" s="444"/>
      <c r="BM1560" s="392"/>
      <c r="BN1560" s="393"/>
      <c r="BO1560" s="393"/>
      <c r="BP1560" s="399"/>
      <c r="BQ1560" s="400"/>
      <c r="BR1560" s="401"/>
      <c r="BS1560" s="399">
        <v>0</v>
      </c>
      <c r="BT1560" s="394"/>
      <c r="BU1560" s="417"/>
      <c r="BV1560" s="399"/>
      <c r="BW1560" s="393"/>
      <c r="BX1560" s="392"/>
      <c r="BY1560" s="393"/>
      <c r="BZ1560" s="393"/>
      <c r="CA1560" s="441"/>
      <c r="CB1560" s="400"/>
      <c r="CC1560" s="398"/>
      <c r="CD1560" s="398"/>
      <c r="CE1560" s="398"/>
      <c r="CF1560" s="398"/>
      <c r="CG1560" s="398"/>
      <c r="CH1560" s="398"/>
      <c r="CI1560" s="398"/>
      <c r="CJ1560" s="398"/>
      <c r="CK1560" s="398"/>
      <c r="CL1560" s="398"/>
      <c r="CM1560" s="398"/>
      <c r="CN1560" s="398"/>
      <c r="CO1560" s="398"/>
      <c r="CP1560" s="398"/>
      <c r="CQ1560" s="398"/>
      <c r="CR1560" s="398"/>
      <c r="CS1560" s="398"/>
      <c r="CT1560" s="398"/>
      <c r="CU1560" s="398"/>
      <c r="CV1560" s="398"/>
      <c r="CW1560" s="398"/>
      <c r="CX1560" s="398"/>
      <c r="CY1560" s="398"/>
      <c r="CZ1560" s="398"/>
      <c r="DA1560" s="398"/>
      <c r="DB1560" s="398"/>
      <c r="DC1560" s="398"/>
      <c r="DD1560" s="398"/>
      <c r="DE1560" s="393"/>
      <c r="DF1560" s="393"/>
      <c r="DG1560" s="393"/>
      <c r="DH1560" s="393"/>
      <c r="DI1560" s="393"/>
      <c r="DJ1560" s="393"/>
      <c r="DK1560" s="899" t="s">
        <v>9706</v>
      </c>
      <c r="DL1560" s="791"/>
      <c r="DM1560" s="791"/>
      <c r="DN1560" s="791"/>
      <c r="DO1560" s="791"/>
      <c r="DP1560" s="791"/>
      <c r="DQ1560" s="791"/>
      <c r="DR1560" s="791"/>
      <c r="DS1560" s="791"/>
      <c r="DT1560" s="791"/>
      <c r="DU1560" s="791"/>
      <c r="DV1560" s="791"/>
      <c r="DW1560" s="791"/>
      <c r="DX1560" s="791"/>
      <c r="DY1560" s="791"/>
      <c r="DZ1560" s="791"/>
      <c r="EA1560" s="791"/>
      <c r="EB1560" s="791"/>
      <c r="EC1560" s="791"/>
      <c r="ED1560" s="791"/>
      <c r="EE1560" s="791"/>
      <c r="EF1560" s="791"/>
      <c r="EG1560" s="791"/>
      <c r="EH1560" s="791"/>
      <c r="EI1560" s="791"/>
      <c r="EJ1560" s="791"/>
      <c r="EK1560" s="791"/>
      <c r="EL1560" s="791"/>
      <c r="EM1560" s="791"/>
      <c r="EN1560" s="791"/>
      <c r="EO1560" s="791"/>
      <c r="EP1560" s="791"/>
      <c r="EQ1560" s="791"/>
      <c r="ER1560" s="791"/>
      <c r="ES1560" s="791"/>
      <c r="ET1560" s="791"/>
      <c r="EU1560" s="791"/>
      <c r="EV1560" s="791"/>
      <c r="EW1560" s="791"/>
      <c r="EX1560" s="791"/>
      <c r="EY1560" s="791"/>
      <c r="EZ1560" s="791"/>
      <c r="FA1560" s="791"/>
      <c r="FB1560" s="791"/>
      <c r="FC1560" s="791"/>
      <c r="FD1560" s="791"/>
      <c r="FE1560" s="791"/>
      <c r="FF1560" s="791"/>
      <c r="FG1560" s="791"/>
      <c r="FH1560" s="791"/>
      <c r="FI1560" s="791"/>
      <c r="FJ1560" s="791"/>
      <c r="FK1560" s="791"/>
      <c r="FL1560" s="791"/>
      <c r="FM1560" s="791"/>
      <c r="FN1560" s="791"/>
      <c r="FO1560" s="791"/>
      <c r="FP1560" s="791"/>
      <c r="FQ1560" s="791"/>
      <c r="FR1560" s="791"/>
      <c r="FS1560" s="791"/>
      <c r="FT1560" s="791"/>
      <c r="FU1560" s="791"/>
      <c r="FV1560" s="791"/>
      <c r="FW1560" s="791"/>
      <c r="FX1560" s="791"/>
      <c r="FY1560" s="791"/>
      <c r="FZ1560" s="791"/>
      <c r="GA1560" s="791"/>
      <c r="GB1560" s="791"/>
      <c r="GC1560" s="791"/>
      <c r="GD1560" s="791"/>
      <c r="GE1560" s="791"/>
      <c r="GF1560" s="791"/>
      <c r="GG1560" s="791"/>
      <c r="GH1560" s="791"/>
      <c r="GI1560" s="791"/>
      <c r="GJ1560" s="791"/>
      <c r="GK1560" s="791"/>
      <c r="GL1560" s="791"/>
      <c r="GM1560" s="791"/>
      <c r="GN1560" s="791"/>
      <c r="GO1560" s="791"/>
      <c r="GP1560" s="791"/>
      <c r="GQ1560" s="791"/>
      <c r="GR1560" s="791"/>
      <c r="GS1560" s="791"/>
      <c r="GT1560" s="791"/>
      <c r="GU1560" s="791"/>
      <c r="GV1560" s="791"/>
      <c r="GW1560" s="791"/>
      <c r="GX1560" s="791"/>
      <c r="GY1560" s="791"/>
      <c r="GZ1560" s="791"/>
      <c r="HA1560" s="791"/>
      <c r="HB1560" s="791"/>
      <c r="HC1560" s="791"/>
      <c r="HD1560" s="791"/>
      <c r="HE1560" s="791"/>
      <c r="HF1560" s="791"/>
      <c r="HG1560" s="791"/>
      <c r="HH1560" s="791"/>
      <c r="HI1560" s="791"/>
      <c r="HJ1560" s="791"/>
      <c r="HK1560" s="791"/>
      <c r="HL1560" s="791"/>
      <c r="HM1560" s="791"/>
      <c r="HN1560" s="791"/>
      <c r="HO1560" s="791"/>
      <c r="HP1560" s="791"/>
      <c r="HQ1560" s="791"/>
      <c r="HR1560" s="791"/>
      <c r="HS1560" s="791"/>
      <c r="HT1560" s="791"/>
      <c r="HU1560" s="791"/>
      <c r="HV1560" s="791"/>
      <c r="HW1560" s="791"/>
      <c r="HX1560" s="791"/>
      <c r="HY1560" s="791"/>
      <c r="HZ1560" s="791"/>
      <c r="IA1560" s="791"/>
      <c r="IB1560" s="791"/>
      <c r="IC1560" s="791"/>
      <c r="ID1560" s="791"/>
      <c r="IE1560" s="791"/>
      <c r="IF1560" s="791"/>
      <c r="IG1560" s="791"/>
      <c r="IH1560" s="791"/>
      <c r="II1560" s="791"/>
      <c r="IJ1560" s="791"/>
      <c r="IK1560" s="791"/>
      <c r="IL1560" s="791"/>
      <c r="IM1560" s="791"/>
      <c r="IN1560" s="791"/>
      <c r="IO1560" s="791"/>
      <c r="IP1560" s="791"/>
      <c r="IQ1560" s="791"/>
      <c r="IR1560" s="791"/>
      <c r="IS1560" s="791"/>
      <c r="IT1560" s="791"/>
    </row>
    <row r="1561" spans="1:254" ht="15" x14ac:dyDescent="0.2">
      <c r="A1561" s="295">
        <v>1557</v>
      </c>
      <c r="B1561" s="390" t="s">
        <v>4273</v>
      </c>
      <c r="C1561" s="390"/>
      <c r="D1561" s="391" t="s">
        <v>6644</v>
      </c>
      <c r="E1561" s="704" t="s">
        <v>4274</v>
      </c>
      <c r="F1561" s="393" t="s">
        <v>1352</v>
      </c>
      <c r="G1561" s="393" t="s">
        <v>1673</v>
      </c>
      <c r="H1561" s="393" t="s">
        <v>42</v>
      </c>
      <c r="I1561" s="392"/>
      <c r="J1561" s="392"/>
      <c r="K1561" s="392" t="s">
        <v>464</v>
      </c>
      <c r="L1561" s="392" t="s">
        <v>4270</v>
      </c>
      <c r="M1561" s="392"/>
      <c r="N1561" s="393" t="s">
        <v>44</v>
      </c>
      <c r="O1561" s="393" t="s">
        <v>820</v>
      </c>
      <c r="P1561" s="393" t="s">
        <v>820</v>
      </c>
      <c r="Q1561" s="392" t="s">
        <v>1323</v>
      </c>
      <c r="R1561" s="392" t="s">
        <v>4275</v>
      </c>
      <c r="S1561" s="392" t="s">
        <v>4272</v>
      </c>
      <c r="T1561" s="394">
        <v>1</v>
      </c>
      <c r="U1561" s="395">
        <v>637.44000000000005</v>
      </c>
      <c r="V1561" s="395"/>
      <c r="W1561" s="453"/>
      <c r="X1561" s="394"/>
      <c r="Y1561" s="394">
        <v>10</v>
      </c>
      <c r="Z1561" s="394">
        <v>30</v>
      </c>
      <c r="AA1561" s="395">
        <v>16.89</v>
      </c>
      <c r="AB1561" s="452">
        <v>42370</v>
      </c>
      <c r="AC1561" s="398">
        <v>0</v>
      </c>
      <c r="AD1561" s="398">
        <v>6374.4000000000005</v>
      </c>
      <c r="AE1561" s="393" t="s">
        <v>434</v>
      </c>
      <c r="AF1561" s="417"/>
      <c r="AG1561" s="417"/>
      <c r="AH1561" s="417"/>
      <c r="AI1561" s="394"/>
      <c r="AJ1561" s="453"/>
      <c r="AK1561" s="453"/>
      <c r="AL1561" s="393"/>
      <c r="AM1561" s="393"/>
      <c r="AN1561" s="417"/>
      <c r="AO1561" s="392"/>
      <c r="AP1561" s="392" t="s">
        <v>55</v>
      </c>
      <c r="AQ1561" s="392"/>
      <c r="AR1561" s="392" t="s">
        <v>55</v>
      </c>
      <c r="AS1561" s="479">
        <v>41219</v>
      </c>
      <c r="AT1561" s="453"/>
      <c r="AU1561" s="453"/>
      <c r="AV1561" s="453"/>
      <c r="AW1561" s="453"/>
      <c r="AX1561" s="453"/>
      <c r="AY1561" s="453"/>
      <c r="AZ1561" s="452">
        <v>41921</v>
      </c>
      <c r="BA1561" s="393"/>
      <c r="BB1561" s="393"/>
      <c r="BC1561" s="393" t="b">
        <v>0</v>
      </c>
      <c r="BD1561" s="393"/>
      <c r="BE1561" s="392"/>
      <c r="BF1561" s="394">
        <v>8</v>
      </c>
      <c r="BG1561" s="394">
        <v>1</v>
      </c>
      <c r="BH1561" s="394">
        <v>6</v>
      </c>
      <c r="BI1561" s="394">
        <v>9</v>
      </c>
      <c r="BJ1561" s="394"/>
      <c r="BK1561" s="394"/>
      <c r="BL1561" s="444" t="s">
        <v>6981</v>
      </c>
      <c r="BM1561" s="392"/>
      <c r="BN1561" s="393"/>
      <c r="BO1561" s="393"/>
      <c r="BP1561" s="399"/>
      <c r="BQ1561" s="400"/>
      <c r="BR1561" s="401"/>
      <c r="BS1561" s="399"/>
      <c r="BT1561" s="394"/>
      <c r="BU1561" s="417"/>
      <c r="BV1561" s="399"/>
      <c r="BW1561" s="393" t="s">
        <v>3117</v>
      </c>
      <c r="BX1561" s="392" t="s">
        <v>3205</v>
      </c>
      <c r="BY1561" s="393"/>
      <c r="BZ1561" s="393"/>
      <c r="CA1561" s="441"/>
      <c r="CB1561" s="400"/>
      <c r="CC1561" s="398"/>
      <c r="CD1561" s="398"/>
      <c r="CE1561" s="398"/>
      <c r="CF1561" s="398"/>
      <c r="CG1561" s="398"/>
      <c r="CH1561" s="398"/>
      <c r="CI1561" s="398"/>
      <c r="CJ1561" s="398"/>
      <c r="CK1561" s="398"/>
      <c r="CL1561" s="398">
        <v>552.71</v>
      </c>
      <c r="CM1561" s="398">
        <v>570.29600000000005</v>
      </c>
      <c r="CN1561" s="398">
        <v>588.44100000000003</v>
      </c>
      <c r="CO1561" s="398">
        <v>607.16200000000003</v>
      </c>
      <c r="CP1561" s="398">
        <v>626.47699999999998</v>
      </c>
      <c r="CQ1561" s="398">
        <v>646.54499999999996</v>
      </c>
      <c r="CR1561" s="398">
        <v>660.71600000000001</v>
      </c>
      <c r="CS1561" s="398">
        <v>675.18799999999999</v>
      </c>
      <c r="CT1561" s="398">
        <v>689.96699999999998</v>
      </c>
      <c r="CU1561" s="398">
        <v>705.05899999999997</v>
      </c>
      <c r="CV1561" s="398"/>
      <c r="CW1561" s="398"/>
      <c r="CX1561" s="398"/>
      <c r="CY1561" s="398"/>
      <c r="CZ1561" s="398"/>
      <c r="DA1561" s="398"/>
      <c r="DB1561" s="398"/>
      <c r="DC1561" s="398"/>
      <c r="DD1561" s="398"/>
      <c r="DE1561" s="393"/>
      <c r="DF1561" s="393"/>
      <c r="DG1561" s="393"/>
      <c r="DH1561" s="393"/>
      <c r="DI1561" s="393"/>
      <c r="DJ1561" s="393"/>
      <c r="DK1561" s="916"/>
      <c r="DL1561" s="55"/>
      <c r="DM1561" s="55"/>
      <c r="DN1561" s="55"/>
      <c r="DO1561" s="55"/>
      <c r="DP1561" s="55"/>
      <c r="DQ1561" s="55"/>
      <c r="DR1561" s="55"/>
      <c r="DS1561" s="55"/>
      <c r="DT1561" s="55"/>
      <c r="DU1561" s="55"/>
      <c r="DV1561" s="55"/>
      <c r="DW1561" s="55"/>
      <c r="DX1561" s="55"/>
      <c r="DY1561" s="55"/>
      <c r="DZ1561" s="55"/>
      <c r="EA1561" s="55"/>
      <c r="EB1561" s="55"/>
      <c r="EC1561" s="55"/>
      <c r="ED1561" s="55"/>
      <c r="EE1561" s="55"/>
      <c r="EF1561" s="55"/>
      <c r="EG1561" s="55"/>
      <c r="EH1561" s="55"/>
      <c r="EI1561" s="55"/>
      <c r="EJ1561" s="55"/>
      <c r="EK1561" s="55"/>
      <c r="EL1561" s="55"/>
      <c r="EM1561" s="55"/>
      <c r="EN1561" s="55"/>
      <c r="EO1561" s="55"/>
      <c r="EP1561" s="55"/>
      <c r="EQ1561" s="55"/>
      <c r="ER1561" s="55"/>
      <c r="ES1561" s="55"/>
      <c r="ET1561" s="55"/>
      <c r="EU1561" s="55"/>
      <c r="EV1561" s="55"/>
      <c r="EW1561" s="55"/>
      <c r="EX1561" s="55"/>
      <c r="EY1561" s="55"/>
      <c r="EZ1561" s="55"/>
      <c r="FA1561" s="55"/>
      <c r="FB1561" s="55"/>
      <c r="FC1561" s="55"/>
      <c r="FD1561" s="55"/>
      <c r="FE1561" s="55"/>
      <c r="FF1561" s="55"/>
      <c r="FG1561" s="55"/>
      <c r="FH1561" s="55"/>
      <c r="FI1561" s="55"/>
      <c r="FJ1561" s="55"/>
      <c r="FK1561" s="55"/>
      <c r="FL1561" s="55"/>
      <c r="FM1561" s="55"/>
      <c r="FN1561" s="55"/>
      <c r="FO1561" s="55"/>
      <c r="FP1561" s="55"/>
      <c r="FQ1561" s="55"/>
      <c r="FR1561" s="55"/>
      <c r="FS1561" s="55"/>
      <c r="FT1561" s="55"/>
      <c r="FU1561" s="55"/>
      <c r="FV1561" s="55"/>
      <c r="FW1561" s="55"/>
      <c r="FX1561" s="55"/>
      <c r="FY1561" s="55"/>
      <c r="FZ1561" s="55"/>
      <c r="GA1561" s="55"/>
      <c r="GB1561" s="55"/>
      <c r="GC1561" s="55"/>
      <c r="GD1561" s="55"/>
      <c r="GE1561" s="55"/>
      <c r="GF1561" s="55"/>
      <c r="GG1561" s="55"/>
      <c r="GH1561" s="55"/>
      <c r="GI1561" s="55"/>
      <c r="GJ1561" s="55"/>
      <c r="GK1561" s="55"/>
      <c r="GL1561" s="55"/>
      <c r="GM1561" s="55"/>
      <c r="GN1561" s="55"/>
      <c r="GO1561" s="55"/>
      <c r="GP1561" s="55"/>
      <c r="GQ1561" s="55"/>
      <c r="GR1561" s="55"/>
      <c r="GS1561" s="55"/>
      <c r="GT1561" s="55"/>
      <c r="GU1561" s="55"/>
      <c r="GV1561" s="55"/>
      <c r="GW1561" s="55"/>
      <c r="GX1561" s="55"/>
      <c r="GY1561" s="55"/>
      <c r="GZ1561" s="55"/>
      <c r="HA1561" s="55"/>
      <c r="HB1561" s="55"/>
      <c r="HC1561" s="55"/>
      <c r="HD1561" s="55"/>
      <c r="HE1561" s="55"/>
      <c r="HF1561" s="55"/>
      <c r="HG1561" s="55"/>
      <c r="HH1561" s="55"/>
      <c r="HI1561" s="55"/>
      <c r="HJ1561" s="55"/>
      <c r="HK1561" s="55"/>
      <c r="HL1561" s="55"/>
      <c r="HM1561" s="55"/>
      <c r="HN1561" s="55"/>
      <c r="HO1561" s="55"/>
      <c r="HP1561" s="55"/>
      <c r="HQ1561" s="55"/>
      <c r="HR1561" s="55"/>
      <c r="HS1561" s="55"/>
      <c r="HT1561" s="55"/>
      <c r="HU1561" s="55"/>
      <c r="HV1561" s="55"/>
      <c r="HW1561" s="55"/>
      <c r="HX1561" s="55"/>
      <c r="HY1561" s="55"/>
      <c r="HZ1561" s="55"/>
      <c r="IA1561" s="55"/>
      <c r="IB1561" s="55"/>
      <c r="IC1561" s="55"/>
      <c r="ID1561" s="55"/>
      <c r="IE1561" s="55"/>
      <c r="IF1561" s="55"/>
      <c r="IG1561" s="55"/>
      <c r="IH1561" s="55"/>
      <c r="II1561" s="55"/>
      <c r="IJ1561" s="55"/>
      <c r="IK1561" s="55"/>
      <c r="IL1561" s="55"/>
      <c r="IM1561" s="55"/>
      <c r="IN1561" s="55"/>
      <c r="IO1561" s="55"/>
      <c r="IP1561" s="55"/>
      <c r="IQ1561" s="55"/>
      <c r="IR1561" s="55"/>
      <c r="IS1561" s="55"/>
      <c r="IT1561" s="55"/>
    </row>
    <row r="1562" spans="1:254" ht="15" x14ac:dyDescent="0.2">
      <c r="A1562" s="295">
        <v>1558</v>
      </c>
      <c r="B1562" s="390" t="s">
        <v>9028</v>
      </c>
      <c r="C1562" s="390"/>
      <c r="D1562" s="391" t="s">
        <v>9029</v>
      </c>
      <c r="E1562" s="705" t="s">
        <v>9030</v>
      </c>
      <c r="F1562" s="393" t="s">
        <v>1352</v>
      </c>
      <c r="G1562" s="393" t="s">
        <v>1673</v>
      </c>
      <c r="H1562" s="393" t="s">
        <v>42</v>
      </c>
      <c r="I1562" s="392"/>
      <c r="J1562" s="392"/>
      <c r="K1562" s="428" t="s">
        <v>2172</v>
      </c>
      <c r="L1562" s="428" t="s">
        <v>4270</v>
      </c>
      <c r="M1562" s="392"/>
      <c r="N1562" s="475" t="s">
        <v>44</v>
      </c>
      <c r="O1562" s="393" t="s">
        <v>820</v>
      </c>
      <c r="P1562" s="393" t="s">
        <v>820</v>
      </c>
      <c r="Q1562" s="392" t="s">
        <v>1323</v>
      </c>
      <c r="R1562" s="428" t="s">
        <v>9031</v>
      </c>
      <c r="S1562" s="428" t="s">
        <v>4272</v>
      </c>
      <c r="T1562" s="394">
        <v>1</v>
      </c>
      <c r="U1562" s="395">
        <v>138.81200000000001</v>
      </c>
      <c r="V1562" s="395"/>
      <c r="W1562" s="453"/>
      <c r="X1562" s="394"/>
      <c r="Y1562" s="394">
        <v>10</v>
      </c>
      <c r="Z1562" s="394">
        <v>30</v>
      </c>
      <c r="AA1562" s="395"/>
      <c r="AB1562" s="452">
        <v>43101</v>
      </c>
      <c r="AC1562" s="398">
        <v>0</v>
      </c>
      <c r="AD1562" s="398">
        <v>1388.1200000000001</v>
      </c>
      <c r="AE1562" s="475" t="s">
        <v>434</v>
      </c>
      <c r="AF1562" s="417"/>
      <c r="AG1562" s="417"/>
      <c r="AH1562" s="417"/>
      <c r="AI1562" s="394"/>
      <c r="AJ1562" s="453"/>
      <c r="AK1562" s="453"/>
      <c r="AL1562" s="393"/>
      <c r="AM1562" s="393"/>
      <c r="AN1562" s="417"/>
      <c r="AO1562" s="392"/>
      <c r="AP1562" s="428" t="s">
        <v>55</v>
      </c>
      <c r="AQ1562" s="392"/>
      <c r="AR1562" s="428" t="s">
        <v>55</v>
      </c>
      <c r="AS1562" s="479">
        <v>41219</v>
      </c>
      <c r="AT1562" s="453"/>
      <c r="AU1562" s="453"/>
      <c r="AV1562" s="453"/>
      <c r="AW1562" s="453"/>
      <c r="AX1562" s="453"/>
      <c r="AY1562" s="453"/>
      <c r="AZ1562" s="452">
        <v>42909</v>
      </c>
      <c r="BA1562" s="393"/>
      <c r="BB1562" s="393"/>
      <c r="BC1562" s="393" t="b">
        <v>0</v>
      </c>
      <c r="BD1562" s="393"/>
      <c r="BE1562" s="392"/>
      <c r="BF1562" s="394">
        <v>8</v>
      </c>
      <c r="BG1562" s="394">
        <v>1</v>
      </c>
      <c r="BH1562" s="394">
        <v>6</v>
      </c>
      <c r="BI1562" s="394">
        <v>9</v>
      </c>
      <c r="BJ1562" s="394"/>
      <c r="BK1562" s="394"/>
      <c r="BL1562" s="444" t="s">
        <v>6981</v>
      </c>
      <c r="BM1562" s="392"/>
      <c r="BN1562" s="393"/>
      <c r="BO1562" s="393"/>
      <c r="BP1562" s="399"/>
      <c r="BQ1562" s="400"/>
      <c r="BR1562" s="401"/>
      <c r="BS1562" s="399"/>
      <c r="BT1562" s="394"/>
      <c r="BU1562" s="417"/>
      <c r="BV1562" s="399"/>
      <c r="BW1562" s="475" t="s">
        <v>3117</v>
      </c>
      <c r="BX1562" s="428" t="s">
        <v>3205</v>
      </c>
      <c r="BY1562" s="393"/>
      <c r="BZ1562" s="393"/>
      <c r="CA1562" s="441"/>
      <c r="CB1562" s="400"/>
      <c r="CC1562" s="398"/>
      <c r="CD1562" s="398"/>
      <c r="CE1562" s="398"/>
      <c r="CF1562" s="398"/>
      <c r="CG1562" s="398"/>
      <c r="CH1562" s="398"/>
      <c r="CI1562" s="398"/>
      <c r="CJ1562" s="398"/>
      <c r="CK1562" s="398"/>
      <c r="CL1562" s="398"/>
      <c r="CM1562" s="398"/>
      <c r="CN1562" s="398">
        <v>88.239000000000004</v>
      </c>
      <c r="CO1562" s="398">
        <v>102.66</v>
      </c>
      <c r="CP1562" s="398">
        <v>116.696</v>
      </c>
      <c r="CQ1562" s="398">
        <v>130.33699999999999</v>
      </c>
      <c r="CR1562" s="398">
        <v>138.822</v>
      </c>
      <c r="CS1562" s="398">
        <v>147.017</v>
      </c>
      <c r="CT1562" s="398">
        <v>154.92500000000001</v>
      </c>
      <c r="CU1562" s="398">
        <v>162.55099999999999</v>
      </c>
      <c r="CV1562" s="398">
        <v>169.899</v>
      </c>
      <c r="CW1562" s="398">
        <v>176.97300000000001</v>
      </c>
      <c r="CX1562" s="398"/>
      <c r="CY1562" s="398"/>
      <c r="CZ1562" s="398"/>
      <c r="DA1562" s="398"/>
      <c r="DB1562" s="398"/>
      <c r="DC1562" s="398"/>
      <c r="DD1562" s="398"/>
      <c r="DE1562" s="393"/>
      <c r="DF1562" s="393"/>
      <c r="DG1562" s="393"/>
      <c r="DH1562" s="393"/>
      <c r="DI1562" s="393"/>
      <c r="DJ1562" s="393"/>
      <c r="DK1562" s="916"/>
      <c r="DL1562" s="55"/>
      <c r="DM1562" s="55"/>
      <c r="DN1562" s="55"/>
      <c r="DO1562" s="55"/>
      <c r="DP1562" s="55"/>
      <c r="DQ1562" s="55"/>
      <c r="DR1562" s="55"/>
      <c r="DS1562" s="55"/>
      <c r="DT1562" s="55"/>
      <c r="DU1562" s="55"/>
      <c r="DV1562" s="55"/>
      <c r="DW1562" s="55"/>
      <c r="DX1562" s="55"/>
      <c r="DY1562" s="55"/>
      <c r="DZ1562" s="55"/>
      <c r="EA1562" s="55"/>
      <c r="EB1562" s="55"/>
      <c r="EC1562" s="55"/>
      <c r="ED1562" s="55"/>
      <c r="EE1562" s="55"/>
      <c r="EF1562" s="55"/>
      <c r="EG1562" s="55"/>
      <c r="EH1562" s="55"/>
      <c r="EI1562" s="55"/>
      <c r="EJ1562" s="55"/>
      <c r="EK1562" s="55"/>
      <c r="EL1562" s="55"/>
      <c r="EM1562" s="55"/>
      <c r="EN1562" s="55"/>
      <c r="EO1562" s="55"/>
      <c r="EP1562" s="55"/>
      <c r="EQ1562" s="55"/>
      <c r="ER1562" s="55"/>
      <c r="ES1562" s="55"/>
      <c r="ET1562" s="55"/>
      <c r="EU1562" s="55"/>
      <c r="EV1562" s="55"/>
      <c r="EW1562" s="55"/>
      <c r="EX1562" s="55"/>
      <c r="EY1562" s="55"/>
      <c r="EZ1562" s="55"/>
      <c r="FA1562" s="55"/>
      <c r="FB1562" s="55"/>
      <c r="FC1562" s="55"/>
      <c r="FD1562" s="55"/>
      <c r="FE1562" s="55"/>
      <c r="FF1562" s="55"/>
      <c r="FG1562" s="55"/>
      <c r="FH1562" s="55"/>
      <c r="FI1562" s="55"/>
      <c r="FJ1562" s="55"/>
      <c r="FK1562" s="55"/>
      <c r="FL1562" s="55"/>
      <c r="FM1562" s="55"/>
      <c r="FN1562" s="55"/>
      <c r="FO1562" s="55"/>
      <c r="FP1562" s="55"/>
      <c r="FQ1562" s="55"/>
      <c r="FR1562" s="55"/>
      <c r="FS1562" s="55"/>
      <c r="FT1562" s="55"/>
      <c r="FU1562" s="55"/>
      <c r="FV1562" s="55"/>
      <c r="FW1562" s="55"/>
      <c r="FX1562" s="55"/>
      <c r="FY1562" s="55"/>
      <c r="FZ1562" s="55"/>
      <c r="GA1562" s="55"/>
      <c r="GB1562" s="55"/>
      <c r="GC1562" s="55"/>
      <c r="GD1562" s="55"/>
      <c r="GE1562" s="55"/>
      <c r="GF1562" s="55"/>
      <c r="GG1562" s="55"/>
      <c r="GH1562" s="55"/>
      <c r="GI1562" s="55"/>
      <c r="GJ1562" s="55"/>
      <c r="GK1562" s="55"/>
      <c r="GL1562" s="55"/>
      <c r="GM1562" s="55"/>
      <c r="GN1562" s="55"/>
      <c r="GO1562" s="55"/>
      <c r="GP1562" s="55"/>
      <c r="GQ1562" s="55"/>
      <c r="GR1562" s="55"/>
      <c r="GS1562" s="55"/>
      <c r="GT1562" s="55"/>
      <c r="GU1562" s="55"/>
      <c r="GV1562" s="55"/>
      <c r="GW1562" s="55"/>
      <c r="GX1562" s="55"/>
      <c r="GY1562" s="55"/>
      <c r="GZ1562" s="55"/>
      <c r="HA1562" s="55"/>
      <c r="HB1562" s="55"/>
      <c r="HC1562" s="55"/>
      <c r="HD1562" s="55"/>
      <c r="HE1562" s="55"/>
      <c r="HF1562" s="55"/>
      <c r="HG1562" s="55"/>
      <c r="HH1562" s="55"/>
      <c r="HI1562" s="55"/>
      <c r="HJ1562" s="55"/>
      <c r="HK1562" s="55"/>
      <c r="HL1562" s="55"/>
      <c r="HM1562" s="55"/>
      <c r="HN1562" s="55"/>
      <c r="HO1562" s="55"/>
      <c r="HP1562" s="55"/>
      <c r="HQ1562" s="55"/>
      <c r="HR1562" s="55"/>
      <c r="HS1562" s="55"/>
      <c r="HT1562" s="55"/>
      <c r="HU1562" s="55"/>
      <c r="HV1562" s="55"/>
      <c r="HW1562" s="55"/>
      <c r="HX1562" s="55"/>
      <c r="HY1562" s="55"/>
      <c r="HZ1562" s="55"/>
      <c r="IA1562" s="55"/>
      <c r="IB1562" s="55"/>
      <c r="IC1562" s="55"/>
      <c r="ID1562" s="55"/>
      <c r="IE1562" s="55"/>
      <c r="IF1562" s="55"/>
      <c r="IG1562" s="55"/>
      <c r="IH1562" s="55"/>
      <c r="II1562" s="55"/>
      <c r="IJ1562" s="55"/>
      <c r="IK1562" s="55"/>
      <c r="IL1562" s="55"/>
      <c r="IM1562" s="55"/>
      <c r="IN1562" s="55"/>
      <c r="IO1562" s="55"/>
      <c r="IP1562" s="55"/>
      <c r="IQ1562" s="55"/>
      <c r="IR1562" s="55"/>
      <c r="IS1562" s="55"/>
      <c r="IT1562" s="55"/>
    </row>
    <row r="1563" spans="1:254" ht="25.5" x14ac:dyDescent="0.2">
      <c r="A1563" s="295">
        <v>1559</v>
      </c>
      <c r="B1563" s="449" t="s">
        <v>9378</v>
      </c>
      <c r="C1563" s="390"/>
      <c r="D1563" s="474" t="s">
        <v>9379</v>
      </c>
      <c r="E1563" s="705" t="s">
        <v>9392</v>
      </c>
      <c r="F1563" s="393" t="s">
        <v>1352</v>
      </c>
      <c r="G1563" s="393" t="s">
        <v>1673</v>
      </c>
      <c r="H1563" s="393" t="s">
        <v>42</v>
      </c>
      <c r="I1563" s="392"/>
      <c r="J1563" s="392"/>
      <c r="K1563" s="428" t="s">
        <v>85</v>
      </c>
      <c r="L1563" s="428" t="s">
        <v>4270</v>
      </c>
      <c r="M1563" s="392"/>
      <c r="N1563" s="475" t="s">
        <v>44</v>
      </c>
      <c r="O1563" s="475" t="s">
        <v>820</v>
      </c>
      <c r="P1563" s="475" t="s">
        <v>820</v>
      </c>
      <c r="Q1563" s="428" t="s">
        <v>1323</v>
      </c>
      <c r="R1563" s="428" t="s">
        <v>9393</v>
      </c>
      <c r="S1563" s="428" t="s">
        <v>4272</v>
      </c>
      <c r="T1563" s="394">
        <v>1</v>
      </c>
      <c r="U1563" s="395">
        <v>261.96800000000002</v>
      </c>
      <c r="V1563" s="395"/>
      <c r="W1563" s="453"/>
      <c r="X1563" s="394"/>
      <c r="Y1563" s="394">
        <v>10</v>
      </c>
      <c r="Z1563" s="394">
        <v>30</v>
      </c>
      <c r="AA1563" s="395"/>
      <c r="AB1563" s="452">
        <v>44197</v>
      </c>
      <c r="AC1563" s="398"/>
      <c r="AD1563" s="398">
        <v>2619.6800000000003</v>
      </c>
      <c r="AE1563" s="475" t="s">
        <v>434</v>
      </c>
      <c r="AF1563" s="417"/>
      <c r="AG1563" s="417"/>
      <c r="AH1563" s="417"/>
      <c r="AI1563" s="394"/>
      <c r="AJ1563" s="453"/>
      <c r="AK1563" s="453"/>
      <c r="AL1563" s="393"/>
      <c r="AM1563" s="393"/>
      <c r="AN1563" s="417"/>
      <c r="AO1563" s="392"/>
      <c r="AP1563" s="428" t="s">
        <v>55</v>
      </c>
      <c r="AQ1563" s="392"/>
      <c r="AR1563" s="428" t="s">
        <v>55</v>
      </c>
      <c r="AS1563" s="479">
        <v>41219</v>
      </c>
      <c r="AT1563" s="453"/>
      <c r="AU1563" s="453"/>
      <c r="AV1563" s="453"/>
      <c r="AW1563" s="453"/>
      <c r="AX1563" s="453"/>
      <c r="AY1563" s="453"/>
      <c r="AZ1563" s="452">
        <v>43090</v>
      </c>
      <c r="BA1563" s="393"/>
      <c r="BB1563" s="393"/>
      <c r="BC1563" s="393" t="b">
        <v>0</v>
      </c>
      <c r="BD1563" s="393"/>
      <c r="BE1563" s="392"/>
      <c r="BF1563" s="394">
        <v>8</v>
      </c>
      <c r="BG1563" s="394">
        <v>1</v>
      </c>
      <c r="BH1563" s="394">
        <v>6</v>
      </c>
      <c r="BI1563" s="394">
        <v>9</v>
      </c>
      <c r="BJ1563" s="394"/>
      <c r="BK1563" s="394"/>
      <c r="BL1563" s="444" t="s">
        <v>6981</v>
      </c>
      <c r="BM1563" s="392"/>
      <c r="BN1563" s="393"/>
      <c r="BO1563" s="393"/>
      <c r="BP1563" s="399"/>
      <c r="BQ1563" s="400"/>
      <c r="BR1563" s="401"/>
      <c r="BS1563" s="399"/>
      <c r="BT1563" s="394"/>
      <c r="BU1563" s="417"/>
      <c r="BV1563" s="399"/>
      <c r="BW1563" s="475" t="s">
        <v>3117</v>
      </c>
      <c r="BX1563" s="428"/>
      <c r="BY1563" s="393"/>
      <c r="BZ1563" s="393"/>
      <c r="CA1563" s="441"/>
      <c r="CB1563" s="400"/>
      <c r="CC1563" s="398"/>
      <c r="CD1563" s="398"/>
      <c r="CE1563" s="398"/>
      <c r="CF1563" s="398"/>
      <c r="CG1563" s="398"/>
      <c r="CH1563" s="398"/>
      <c r="CI1563" s="398"/>
      <c r="CJ1563" s="398"/>
      <c r="CK1563" s="398"/>
      <c r="CL1563" s="398"/>
      <c r="CM1563" s="398"/>
      <c r="CN1563" s="398"/>
      <c r="CO1563" s="398"/>
      <c r="CP1563" s="398"/>
      <c r="CQ1563" s="398">
        <v>239.715</v>
      </c>
      <c r="CR1563" s="398">
        <v>244.09</v>
      </c>
      <c r="CS1563" s="398">
        <v>248.214</v>
      </c>
      <c r="CT1563" s="398">
        <v>253.334</v>
      </c>
      <c r="CU1563" s="398">
        <v>255.727</v>
      </c>
      <c r="CV1563" s="398">
        <v>262.69499999999999</v>
      </c>
      <c r="CW1563" s="398">
        <v>269.363</v>
      </c>
      <c r="CX1563" s="398">
        <v>277.10700000000003</v>
      </c>
      <c r="CY1563" s="398">
        <v>281.81900000000002</v>
      </c>
      <c r="CZ1563" s="398">
        <v>287.61599999999999</v>
      </c>
      <c r="DA1563" s="398"/>
      <c r="DB1563" s="398"/>
      <c r="DC1563" s="398"/>
      <c r="DD1563" s="398"/>
      <c r="DE1563" s="393"/>
      <c r="DF1563" s="393"/>
      <c r="DG1563" s="393"/>
      <c r="DH1563" s="393"/>
      <c r="DI1563" s="393"/>
      <c r="DJ1563" s="393"/>
      <c r="DK1563" s="897"/>
    </row>
    <row r="1564" spans="1:254" ht="25.5" x14ac:dyDescent="0.2">
      <c r="A1564" s="295">
        <v>1560</v>
      </c>
      <c r="B1564" s="390" t="s">
        <v>4276</v>
      </c>
      <c r="C1564" s="424" t="s">
        <v>7827</v>
      </c>
      <c r="D1564" s="391" t="s">
        <v>5458</v>
      </c>
      <c r="E1564" s="705" t="s">
        <v>4277</v>
      </c>
      <c r="F1564" s="393" t="s">
        <v>1352</v>
      </c>
      <c r="G1564" s="393" t="s">
        <v>1673</v>
      </c>
      <c r="H1564" s="393" t="s">
        <v>42</v>
      </c>
      <c r="I1564" s="392"/>
      <c r="J1564" s="392" t="s">
        <v>42</v>
      </c>
      <c r="K1564" s="392"/>
      <c r="L1564" s="392" t="s">
        <v>2360</v>
      </c>
      <c r="M1564" s="392" t="s">
        <v>4278</v>
      </c>
      <c r="N1564" s="393" t="s">
        <v>44</v>
      </c>
      <c r="O1564" s="393" t="s">
        <v>5030</v>
      </c>
      <c r="P1564" s="393" t="s">
        <v>5030</v>
      </c>
      <c r="Q1564" s="392" t="s">
        <v>1831</v>
      </c>
      <c r="R1564" s="392"/>
      <c r="S1564" s="392" t="s">
        <v>291</v>
      </c>
      <c r="T1564" s="394">
        <v>7</v>
      </c>
      <c r="U1564" s="395">
        <v>115.79499999999999</v>
      </c>
      <c r="V1564" s="395"/>
      <c r="W1564" s="452">
        <v>41226</v>
      </c>
      <c r="X1564" s="394">
        <v>28</v>
      </c>
      <c r="Y1564" s="394"/>
      <c r="Z1564" s="394"/>
      <c r="AA1564" s="395"/>
      <c r="AB1564" s="453"/>
      <c r="AC1564" s="398">
        <v>0</v>
      </c>
      <c r="AD1564" s="398">
        <v>622.2504191780821</v>
      </c>
      <c r="AE1564" s="393" t="s">
        <v>96</v>
      </c>
      <c r="AF1564" s="417"/>
      <c r="AG1564" s="417"/>
      <c r="AH1564" s="417">
        <v>0</v>
      </c>
      <c r="AI1564" s="394"/>
      <c r="AJ1564" s="453"/>
      <c r="AK1564" s="453"/>
      <c r="AL1564" s="393"/>
      <c r="AM1564" s="393"/>
      <c r="AN1564" s="417"/>
      <c r="AO1564" s="392"/>
      <c r="AP1564" s="392" t="s">
        <v>55</v>
      </c>
      <c r="AQ1564" s="392"/>
      <c r="AR1564" s="392" t="s">
        <v>55</v>
      </c>
      <c r="AS1564" s="479">
        <v>41226</v>
      </c>
      <c r="AT1564" s="453"/>
      <c r="AU1564" s="453"/>
      <c r="AV1564" s="452">
        <v>41255</v>
      </c>
      <c r="AW1564" s="452">
        <v>41274</v>
      </c>
      <c r="AX1564" s="452">
        <v>41460</v>
      </c>
      <c r="AY1564" s="452">
        <v>41274</v>
      </c>
      <c r="AZ1564" s="453"/>
      <c r="BA1564" s="393"/>
      <c r="BB1564" s="393" t="s">
        <v>3116</v>
      </c>
      <c r="BC1564" s="393" t="b">
        <v>0</v>
      </c>
      <c r="BD1564" s="393" t="s">
        <v>3147</v>
      </c>
      <c r="BE1564" s="392"/>
      <c r="BF1564" s="394">
        <v>10</v>
      </c>
      <c r="BG1564" s="394">
        <v>9</v>
      </c>
      <c r="BH1564" s="394">
        <v>5</v>
      </c>
      <c r="BI1564" s="394">
        <v>4</v>
      </c>
      <c r="BJ1564" s="394"/>
      <c r="BK1564" s="394"/>
      <c r="BL1564" s="444"/>
      <c r="BM1564" s="392"/>
      <c r="BN1564" s="393"/>
      <c r="BO1564" s="393"/>
      <c r="BP1564" s="399"/>
      <c r="BQ1564" s="400"/>
      <c r="BR1564" s="401"/>
      <c r="BS1564" s="399">
        <v>73.490000000000009</v>
      </c>
      <c r="BT1564" s="394"/>
      <c r="BU1564" s="417"/>
      <c r="BV1564" s="399"/>
      <c r="BW1564" s="393"/>
      <c r="BX1564" s="392"/>
      <c r="BY1564" s="393"/>
      <c r="BZ1564" s="393"/>
      <c r="CA1564" s="441"/>
      <c r="CB1564" s="400"/>
      <c r="CC1564" s="398"/>
      <c r="CD1564" s="398"/>
      <c r="CE1564" s="398"/>
      <c r="CF1564" s="398"/>
      <c r="CG1564" s="398"/>
      <c r="CH1564" s="398"/>
      <c r="CI1564" s="398"/>
      <c r="CJ1564" s="398"/>
      <c r="CK1564" s="398"/>
      <c r="CL1564" s="398"/>
      <c r="CM1564" s="398"/>
      <c r="CN1564" s="398"/>
      <c r="CO1564" s="398"/>
      <c r="CP1564" s="398"/>
      <c r="CQ1564" s="398"/>
      <c r="CR1564" s="398"/>
      <c r="CS1564" s="398"/>
      <c r="CT1564" s="398"/>
      <c r="CU1564" s="398"/>
      <c r="CV1564" s="398"/>
      <c r="CW1564" s="398"/>
      <c r="CX1564" s="398"/>
      <c r="CY1564" s="398"/>
      <c r="CZ1564" s="398"/>
      <c r="DA1564" s="398"/>
      <c r="DB1564" s="398"/>
      <c r="DC1564" s="398"/>
      <c r="DD1564" s="398"/>
      <c r="DE1564" s="393"/>
      <c r="DF1564" s="393"/>
      <c r="DG1564" s="393"/>
      <c r="DH1564" s="393"/>
      <c r="DI1564" s="393"/>
      <c r="DJ1564" s="393"/>
      <c r="DK1564" s="896" t="s">
        <v>9716</v>
      </c>
    </row>
    <row r="1565" spans="1:254" ht="15" x14ac:dyDescent="0.2">
      <c r="A1565" s="295">
        <v>1561</v>
      </c>
      <c r="B1565" s="390" t="s">
        <v>4279</v>
      </c>
      <c r="C1565" s="390"/>
      <c r="D1565" s="391" t="s">
        <v>5459</v>
      </c>
      <c r="E1565" s="843" t="s">
        <v>4280</v>
      </c>
      <c r="F1565" s="393" t="s">
        <v>1352</v>
      </c>
      <c r="G1565" s="393" t="s">
        <v>1673</v>
      </c>
      <c r="H1565" s="393" t="s">
        <v>42</v>
      </c>
      <c r="I1565" s="392"/>
      <c r="J1565" s="392"/>
      <c r="K1565" s="392" t="s">
        <v>242</v>
      </c>
      <c r="L1565" s="563" t="s">
        <v>2360</v>
      </c>
      <c r="M1565" s="563"/>
      <c r="N1565" s="561" t="s">
        <v>44</v>
      </c>
      <c r="O1565" s="393" t="s">
        <v>827</v>
      </c>
      <c r="P1565" s="393" t="s">
        <v>827</v>
      </c>
      <c r="Q1565" s="392" t="s">
        <v>836</v>
      </c>
      <c r="R1565" s="392" t="s">
        <v>4281</v>
      </c>
      <c r="S1565" s="563" t="s">
        <v>291</v>
      </c>
      <c r="T1565" s="564">
        <v>1</v>
      </c>
      <c r="U1565" s="565">
        <v>7.5570000000000004</v>
      </c>
      <c r="V1565" s="565"/>
      <c r="W1565" s="566"/>
      <c r="X1565" s="564"/>
      <c r="Y1565" s="564">
        <v>7</v>
      </c>
      <c r="Z1565" s="564">
        <v>20</v>
      </c>
      <c r="AA1565" s="565">
        <v>0</v>
      </c>
      <c r="AB1565" s="567">
        <v>41456</v>
      </c>
      <c r="AC1565" s="568">
        <v>0</v>
      </c>
      <c r="AD1565" s="568">
        <v>56.729260273972606</v>
      </c>
      <c r="AE1565" s="561" t="s">
        <v>96</v>
      </c>
      <c r="AF1565" s="569"/>
      <c r="AG1565" s="569"/>
      <c r="AH1565" s="569"/>
      <c r="AI1565" s="564"/>
      <c r="AJ1565" s="566"/>
      <c r="AK1565" s="566"/>
      <c r="AL1565" s="561"/>
      <c r="AM1565" s="561"/>
      <c r="AN1565" s="569"/>
      <c r="AO1565" s="563"/>
      <c r="AP1565" s="563" t="s">
        <v>55</v>
      </c>
      <c r="AQ1565" s="563"/>
      <c r="AR1565" s="563" t="s">
        <v>55</v>
      </c>
      <c r="AS1565" s="578">
        <v>41226</v>
      </c>
      <c r="AT1565" s="566"/>
      <c r="AU1565" s="566"/>
      <c r="AV1565" s="566"/>
      <c r="AW1565" s="566"/>
      <c r="AX1565" s="566"/>
      <c r="AY1565" s="566"/>
      <c r="AZ1565" s="567">
        <v>41274</v>
      </c>
      <c r="BA1565" s="561"/>
      <c r="BB1565" s="561"/>
      <c r="BC1565" s="561" t="b">
        <v>0</v>
      </c>
      <c r="BD1565" s="561"/>
      <c r="BE1565" s="563"/>
      <c r="BF1565" s="394">
        <v>10</v>
      </c>
      <c r="BG1565" s="394">
        <v>9</v>
      </c>
      <c r="BH1565" s="394">
        <v>5</v>
      </c>
      <c r="BI1565" s="394">
        <v>4</v>
      </c>
      <c r="BJ1565" s="394"/>
      <c r="BK1565" s="394"/>
      <c r="BL1565" s="444" t="s">
        <v>1451</v>
      </c>
      <c r="BM1565" s="563"/>
      <c r="BN1565" s="561"/>
      <c r="BO1565" s="561"/>
      <c r="BP1565" s="571"/>
      <c r="BQ1565" s="572"/>
      <c r="BR1565" s="573"/>
      <c r="BS1565" s="571">
        <v>5</v>
      </c>
      <c r="BT1565" s="564">
        <v>8078</v>
      </c>
      <c r="BU1565" s="569">
        <v>0.95282999999999995</v>
      </c>
      <c r="BV1565" s="571"/>
      <c r="BW1565" s="561" t="s">
        <v>3117</v>
      </c>
      <c r="BX1565" s="563" t="s">
        <v>1520</v>
      </c>
      <c r="BY1565" s="561" t="s">
        <v>7224</v>
      </c>
      <c r="BZ1565" s="561"/>
      <c r="CA1565" s="574"/>
      <c r="CB1565" s="572"/>
      <c r="CC1565" s="568"/>
      <c r="CD1565" s="568"/>
      <c r="CE1565" s="568"/>
      <c r="CF1565" s="568"/>
      <c r="CG1565" s="568"/>
      <c r="CH1565" s="568"/>
      <c r="CI1565" s="568">
        <v>7.6950000000000003</v>
      </c>
      <c r="CJ1565" s="568">
        <v>7.6479999999999997</v>
      </c>
      <c r="CK1565" s="568">
        <v>7.6029999999999998</v>
      </c>
      <c r="CL1565" s="568">
        <v>7.5570000000000004</v>
      </c>
      <c r="CM1565" s="568">
        <v>7.5119999999999996</v>
      </c>
      <c r="CN1565" s="568">
        <v>7.4660000000000002</v>
      </c>
      <c r="CO1565" s="568">
        <v>7.4219999999999997</v>
      </c>
      <c r="CP1565" s="568"/>
      <c r="CQ1565" s="568"/>
      <c r="CR1565" s="568"/>
      <c r="CS1565" s="568"/>
      <c r="CT1565" s="568"/>
      <c r="CU1565" s="568"/>
      <c r="CV1565" s="568"/>
      <c r="CW1565" s="568"/>
      <c r="CX1565" s="568"/>
      <c r="CY1565" s="568"/>
      <c r="CZ1565" s="568"/>
      <c r="DA1565" s="568"/>
      <c r="DB1565" s="568"/>
      <c r="DC1565" s="568"/>
      <c r="DD1565" s="568"/>
      <c r="DE1565" s="561"/>
      <c r="DF1565" s="561"/>
      <c r="DG1565" s="561"/>
      <c r="DH1565" s="561"/>
      <c r="DI1565" s="561"/>
      <c r="DJ1565" s="561"/>
      <c r="DK1565" s="897"/>
    </row>
    <row r="1566" spans="1:254" s="361" customFormat="1" ht="15" x14ac:dyDescent="0.2">
      <c r="A1566" s="295">
        <v>1562</v>
      </c>
      <c r="B1566" s="390" t="s">
        <v>6159</v>
      </c>
      <c r="C1566" s="390"/>
      <c r="D1566" s="391" t="s">
        <v>6160</v>
      </c>
      <c r="E1566" s="704" t="s">
        <v>6161</v>
      </c>
      <c r="F1566" s="393" t="s">
        <v>1352</v>
      </c>
      <c r="G1566" s="393" t="s">
        <v>1673</v>
      </c>
      <c r="H1566" s="393" t="s">
        <v>42</v>
      </c>
      <c r="I1566" s="392"/>
      <c r="J1566" s="392"/>
      <c r="K1566" s="392" t="s">
        <v>85</v>
      </c>
      <c r="L1566" s="392" t="s">
        <v>2360</v>
      </c>
      <c r="M1566" s="392"/>
      <c r="N1566" s="393" t="s">
        <v>44</v>
      </c>
      <c r="O1566" s="393" t="s">
        <v>827</v>
      </c>
      <c r="P1566" s="393" t="s">
        <v>827</v>
      </c>
      <c r="Q1566" s="392" t="s">
        <v>836</v>
      </c>
      <c r="R1566" s="392" t="s">
        <v>6162</v>
      </c>
      <c r="S1566" s="392" t="s">
        <v>291</v>
      </c>
      <c r="T1566" s="394">
        <v>1</v>
      </c>
      <c r="U1566" s="395">
        <v>14.92</v>
      </c>
      <c r="V1566" s="395"/>
      <c r="W1566" s="453"/>
      <c r="X1566" s="394"/>
      <c r="Y1566" s="394">
        <v>7</v>
      </c>
      <c r="Z1566" s="394">
        <v>25</v>
      </c>
      <c r="AA1566" s="395">
        <v>-0.15</v>
      </c>
      <c r="AB1566" s="452">
        <v>41883</v>
      </c>
      <c r="AC1566" s="398">
        <v>0</v>
      </c>
      <c r="AD1566" s="398">
        <v>94.547835616438348</v>
      </c>
      <c r="AE1566" s="393" t="s">
        <v>96</v>
      </c>
      <c r="AF1566" s="417"/>
      <c r="AG1566" s="417"/>
      <c r="AH1566" s="417"/>
      <c r="AI1566" s="394"/>
      <c r="AJ1566" s="453"/>
      <c r="AK1566" s="453"/>
      <c r="AL1566" s="393"/>
      <c r="AM1566" s="393"/>
      <c r="AN1566" s="417"/>
      <c r="AO1566" s="392"/>
      <c r="AP1566" s="392"/>
      <c r="AQ1566" s="392"/>
      <c r="AR1566" s="392" t="s">
        <v>55</v>
      </c>
      <c r="AS1566" s="479">
        <v>41226</v>
      </c>
      <c r="AT1566" s="453"/>
      <c r="AU1566" s="453"/>
      <c r="AV1566" s="453"/>
      <c r="AW1566" s="453"/>
      <c r="AX1566" s="453"/>
      <c r="AY1566" s="453"/>
      <c r="AZ1566" s="452">
        <v>41838</v>
      </c>
      <c r="BA1566" s="393"/>
      <c r="BB1566" s="393"/>
      <c r="BC1566" s="393" t="b">
        <v>0</v>
      </c>
      <c r="BD1566" s="393"/>
      <c r="BE1566" s="392"/>
      <c r="BF1566" s="394">
        <v>10</v>
      </c>
      <c r="BG1566" s="394">
        <v>9</v>
      </c>
      <c r="BH1566" s="394">
        <v>5</v>
      </c>
      <c r="BI1566" s="394">
        <v>4</v>
      </c>
      <c r="BJ1566" s="394"/>
      <c r="BK1566" s="394"/>
      <c r="BL1566" s="444" t="s">
        <v>1451</v>
      </c>
      <c r="BM1566" s="392"/>
      <c r="BN1566" s="393"/>
      <c r="BO1566" s="393"/>
      <c r="BP1566" s="399"/>
      <c r="BQ1566" s="400"/>
      <c r="BR1566" s="401"/>
      <c r="BS1566" s="399">
        <v>10</v>
      </c>
      <c r="BT1566" s="394">
        <v>15302</v>
      </c>
      <c r="BU1566" s="417">
        <v>0.97499999999999998</v>
      </c>
      <c r="BV1566" s="399"/>
      <c r="BW1566" s="393" t="s">
        <v>3117</v>
      </c>
      <c r="BX1566" s="392" t="s">
        <v>1520</v>
      </c>
      <c r="BY1566" s="393" t="s">
        <v>7224</v>
      </c>
      <c r="BZ1566" s="393"/>
      <c r="CA1566" s="441"/>
      <c r="CB1566" s="400"/>
      <c r="CC1566" s="398"/>
      <c r="CD1566" s="398"/>
      <c r="CE1566" s="398"/>
      <c r="CF1566" s="398"/>
      <c r="CG1566" s="398"/>
      <c r="CH1566" s="398"/>
      <c r="CI1566" s="398"/>
      <c r="CJ1566" s="398"/>
      <c r="CK1566" s="398">
        <v>15.374000000000001</v>
      </c>
      <c r="CL1566" s="398">
        <v>15.22</v>
      </c>
      <c r="CM1566" s="398">
        <v>15.068</v>
      </c>
      <c r="CN1566" s="398">
        <v>14.917</v>
      </c>
      <c r="CO1566" s="398">
        <v>14.768000000000001</v>
      </c>
      <c r="CP1566" s="398">
        <v>14.62</v>
      </c>
      <c r="CQ1566" s="398">
        <v>14.474</v>
      </c>
      <c r="CR1566" s="398"/>
      <c r="CS1566" s="398"/>
      <c r="CT1566" s="398"/>
      <c r="CU1566" s="398"/>
      <c r="CV1566" s="398"/>
      <c r="CW1566" s="398"/>
      <c r="CX1566" s="398"/>
      <c r="CY1566" s="398"/>
      <c r="CZ1566" s="398"/>
      <c r="DA1566" s="398"/>
      <c r="DB1566" s="398"/>
      <c r="DC1566" s="398"/>
      <c r="DD1566" s="398"/>
      <c r="DE1566" s="393"/>
      <c r="DF1566" s="393"/>
      <c r="DG1566" s="393"/>
      <c r="DH1566" s="393"/>
      <c r="DI1566" s="393"/>
      <c r="DJ1566" s="393"/>
      <c r="DK1566" s="897"/>
      <c r="DL1566" s="895"/>
    </row>
    <row r="1567" spans="1:254" s="361" customFormat="1" ht="15" x14ac:dyDescent="0.2">
      <c r="A1567" s="295">
        <v>1563</v>
      </c>
      <c r="B1567" s="390" t="s">
        <v>6473</v>
      </c>
      <c r="C1567" s="390"/>
      <c r="D1567" s="391" t="s">
        <v>6220</v>
      </c>
      <c r="E1567" s="704" t="s">
        <v>6221</v>
      </c>
      <c r="F1567" s="393" t="s">
        <v>1352</v>
      </c>
      <c r="G1567" s="393" t="s">
        <v>1673</v>
      </c>
      <c r="H1567" s="393" t="s">
        <v>42</v>
      </c>
      <c r="I1567" s="392"/>
      <c r="J1567" s="392"/>
      <c r="K1567" s="392" t="s">
        <v>2252</v>
      </c>
      <c r="L1567" s="392" t="s">
        <v>2360</v>
      </c>
      <c r="M1567" s="392"/>
      <c r="N1567" s="393" t="s">
        <v>44</v>
      </c>
      <c r="O1567" s="393" t="s">
        <v>827</v>
      </c>
      <c r="P1567" s="393" t="s">
        <v>827</v>
      </c>
      <c r="Q1567" s="392" t="s">
        <v>836</v>
      </c>
      <c r="R1567" s="392" t="s">
        <v>6222</v>
      </c>
      <c r="S1567" s="392" t="s">
        <v>291</v>
      </c>
      <c r="T1567" s="394">
        <v>1</v>
      </c>
      <c r="U1567" s="395">
        <v>14.566000000000001</v>
      </c>
      <c r="V1567" s="395"/>
      <c r="W1567" s="453"/>
      <c r="X1567" s="394"/>
      <c r="Y1567" s="394">
        <v>7</v>
      </c>
      <c r="Z1567" s="394">
        <v>25</v>
      </c>
      <c r="AA1567" s="395">
        <v>0</v>
      </c>
      <c r="AB1567" s="452">
        <v>41913</v>
      </c>
      <c r="AC1567" s="398">
        <v>0</v>
      </c>
      <c r="AD1567" s="398">
        <v>91.107336986301362</v>
      </c>
      <c r="AE1567" s="393" t="s">
        <v>96</v>
      </c>
      <c r="AF1567" s="417"/>
      <c r="AG1567" s="417"/>
      <c r="AH1567" s="417"/>
      <c r="AI1567" s="394"/>
      <c r="AJ1567" s="453"/>
      <c r="AK1567" s="453"/>
      <c r="AL1567" s="393"/>
      <c r="AM1567" s="393"/>
      <c r="AN1567" s="417"/>
      <c r="AO1567" s="392"/>
      <c r="AP1567" s="392"/>
      <c r="AQ1567" s="392"/>
      <c r="AR1567" s="392" t="s">
        <v>55</v>
      </c>
      <c r="AS1567" s="479">
        <v>41226</v>
      </c>
      <c r="AT1567" s="453"/>
      <c r="AU1567" s="453"/>
      <c r="AV1567" s="453"/>
      <c r="AW1567" s="453"/>
      <c r="AX1567" s="453"/>
      <c r="AY1567" s="453"/>
      <c r="AZ1567" s="452">
        <v>41866</v>
      </c>
      <c r="BA1567" s="393"/>
      <c r="BB1567" s="393"/>
      <c r="BC1567" s="393" t="b">
        <v>0</v>
      </c>
      <c r="BD1567" s="393"/>
      <c r="BE1567" s="392"/>
      <c r="BF1567" s="394">
        <v>10</v>
      </c>
      <c r="BG1567" s="394">
        <v>9</v>
      </c>
      <c r="BH1567" s="394">
        <v>5</v>
      </c>
      <c r="BI1567" s="394">
        <v>4</v>
      </c>
      <c r="BJ1567" s="394"/>
      <c r="BK1567" s="394"/>
      <c r="BL1567" s="444" t="s">
        <v>1451</v>
      </c>
      <c r="BM1567" s="392"/>
      <c r="BN1567" s="393"/>
      <c r="BO1567" s="393"/>
      <c r="BP1567" s="399"/>
      <c r="BQ1567" s="400"/>
      <c r="BR1567" s="401"/>
      <c r="BS1567" s="399">
        <v>9.1300000000000008</v>
      </c>
      <c r="BT1567" s="394">
        <v>14939</v>
      </c>
      <c r="BU1567" s="417">
        <v>0.97504999999999997</v>
      </c>
      <c r="BV1567" s="399"/>
      <c r="BW1567" s="393" t="s">
        <v>3117</v>
      </c>
      <c r="BX1567" s="392" t="s">
        <v>1520</v>
      </c>
      <c r="BY1567" s="393" t="s">
        <v>7224</v>
      </c>
      <c r="BZ1567" s="393"/>
      <c r="CA1567" s="441"/>
      <c r="CB1567" s="400"/>
      <c r="CC1567" s="398"/>
      <c r="CD1567" s="398"/>
      <c r="CE1567" s="398"/>
      <c r="CF1567" s="398"/>
      <c r="CG1567" s="398"/>
      <c r="CH1567" s="398"/>
      <c r="CI1567" s="398"/>
      <c r="CJ1567" s="398">
        <v>14.566000000000001</v>
      </c>
      <c r="CK1567" s="398">
        <v>14.566000000000001</v>
      </c>
      <c r="CL1567" s="398">
        <v>14.566000000000001</v>
      </c>
      <c r="CM1567" s="398">
        <v>14.566000000000001</v>
      </c>
      <c r="CN1567" s="398">
        <v>14.566000000000001</v>
      </c>
      <c r="CO1567" s="398">
        <v>14.566000000000001</v>
      </c>
      <c r="CP1567" s="398">
        <v>14.566000000000001</v>
      </c>
      <c r="CQ1567" s="398"/>
      <c r="CR1567" s="398"/>
      <c r="CS1567" s="398"/>
      <c r="CT1567" s="398"/>
      <c r="CU1567" s="398"/>
      <c r="CV1567" s="398"/>
      <c r="CW1567" s="398"/>
      <c r="CX1567" s="398"/>
      <c r="CY1567" s="398"/>
      <c r="CZ1567" s="398"/>
      <c r="DA1567" s="398"/>
      <c r="DB1567" s="398"/>
      <c r="DC1567" s="398"/>
      <c r="DD1567" s="398"/>
      <c r="DE1567" s="393"/>
      <c r="DF1567" s="393"/>
      <c r="DG1567" s="393"/>
      <c r="DH1567" s="393"/>
      <c r="DI1567" s="393"/>
      <c r="DJ1567" s="393"/>
      <c r="DK1567" s="897"/>
      <c r="DL1567" s="895"/>
    </row>
    <row r="1568" spans="1:254" s="791" customFormat="1" ht="38.25" x14ac:dyDescent="0.2">
      <c r="A1568" s="295">
        <v>1564</v>
      </c>
      <c r="B1568" s="390" t="s">
        <v>6474</v>
      </c>
      <c r="C1568" s="577"/>
      <c r="D1568" s="391" t="s">
        <v>6223</v>
      </c>
      <c r="E1568" s="843" t="s">
        <v>6224</v>
      </c>
      <c r="F1568" s="393" t="s">
        <v>1352</v>
      </c>
      <c r="G1568" s="393" t="s">
        <v>1673</v>
      </c>
      <c r="H1568" s="393" t="s">
        <v>42</v>
      </c>
      <c r="I1568" s="392"/>
      <c r="J1568" s="392"/>
      <c r="K1568" s="392" t="s">
        <v>460</v>
      </c>
      <c r="L1568" s="563" t="s">
        <v>2360</v>
      </c>
      <c r="M1568" s="563"/>
      <c r="N1568" s="561" t="s">
        <v>44</v>
      </c>
      <c r="O1568" s="393" t="s">
        <v>827</v>
      </c>
      <c r="P1568" s="393" t="s">
        <v>827</v>
      </c>
      <c r="Q1568" s="392" t="s">
        <v>836</v>
      </c>
      <c r="R1568" s="392" t="s">
        <v>6225</v>
      </c>
      <c r="S1568" s="563" t="s">
        <v>291</v>
      </c>
      <c r="T1568" s="564">
        <v>1</v>
      </c>
      <c r="U1568" s="565">
        <v>16.658999999999999</v>
      </c>
      <c r="V1568" s="565"/>
      <c r="W1568" s="566"/>
      <c r="X1568" s="564"/>
      <c r="Y1568" s="564">
        <v>7</v>
      </c>
      <c r="Z1568" s="564">
        <v>25</v>
      </c>
      <c r="AA1568" s="565">
        <v>-0.16800000000000001</v>
      </c>
      <c r="AB1568" s="567">
        <v>41913</v>
      </c>
      <c r="AC1568" s="568">
        <v>0</v>
      </c>
      <c r="AD1568" s="568">
        <v>104.19862191780821</v>
      </c>
      <c r="AE1568" s="561" t="s">
        <v>96</v>
      </c>
      <c r="AF1568" s="569"/>
      <c r="AG1568" s="569"/>
      <c r="AH1568" s="569"/>
      <c r="AI1568" s="564"/>
      <c r="AJ1568" s="566"/>
      <c r="AK1568" s="566"/>
      <c r="AL1568" s="561"/>
      <c r="AM1568" s="561"/>
      <c r="AN1568" s="569"/>
      <c r="AO1568" s="563"/>
      <c r="AP1568" s="563"/>
      <c r="AQ1568" s="563"/>
      <c r="AR1568" s="563" t="s">
        <v>55</v>
      </c>
      <c r="AS1568" s="578">
        <v>41226</v>
      </c>
      <c r="AT1568" s="566"/>
      <c r="AU1568" s="566"/>
      <c r="AV1568" s="566"/>
      <c r="AW1568" s="566"/>
      <c r="AX1568" s="566"/>
      <c r="AY1568" s="566"/>
      <c r="AZ1568" s="567">
        <v>41866</v>
      </c>
      <c r="BA1568" s="561"/>
      <c r="BB1568" s="561"/>
      <c r="BC1568" s="561" t="b">
        <v>0</v>
      </c>
      <c r="BD1568" s="561"/>
      <c r="BE1568" s="563"/>
      <c r="BF1568" s="394">
        <v>10</v>
      </c>
      <c r="BG1568" s="394">
        <v>9</v>
      </c>
      <c r="BH1568" s="394">
        <v>5</v>
      </c>
      <c r="BI1568" s="394">
        <v>4</v>
      </c>
      <c r="BJ1568" s="394"/>
      <c r="BK1568" s="394"/>
      <c r="BL1568" s="444" t="s">
        <v>1451</v>
      </c>
      <c r="BM1568" s="563"/>
      <c r="BN1568" s="561"/>
      <c r="BO1568" s="561"/>
      <c r="BP1568" s="571"/>
      <c r="BQ1568" s="572"/>
      <c r="BR1568" s="573"/>
      <c r="BS1568" s="571">
        <v>10</v>
      </c>
      <c r="BT1568" s="564">
        <v>17294</v>
      </c>
      <c r="BU1568" s="569">
        <v>0.96330000000000005</v>
      </c>
      <c r="BV1568" s="571"/>
      <c r="BW1568" s="561" t="s">
        <v>3117</v>
      </c>
      <c r="BX1568" s="563" t="s">
        <v>1520</v>
      </c>
      <c r="BY1568" s="561" t="s">
        <v>7224</v>
      </c>
      <c r="BZ1568" s="561"/>
      <c r="CA1568" s="574"/>
      <c r="CB1568" s="572"/>
      <c r="CC1568" s="568"/>
      <c r="CD1568" s="568"/>
      <c r="CE1568" s="568"/>
      <c r="CF1568" s="568"/>
      <c r="CG1568" s="568"/>
      <c r="CH1568" s="568"/>
      <c r="CI1568" s="568"/>
      <c r="CJ1568" s="568">
        <v>17.166</v>
      </c>
      <c r="CK1568" s="568">
        <v>16.994</v>
      </c>
      <c r="CL1568" s="568">
        <v>16.824000000000002</v>
      </c>
      <c r="CM1568" s="568">
        <v>16.655999999999999</v>
      </c>
      <c r="CN1568" s="568">
        <v>16.489000000000001</v>
      </c>
      <c r="CO1568" s="568">
        <v>16.324000000000002</v>
      </c>
      <c r="CP1568" s="568">
        <v>16.161000000000001</v>
      </c>
      <c r="CQ1568" s="568"/>
      <c r="CR1568" s="568"/>
      <c r="CS1568" s="568"/>
      <c r="CT1568" s="568"/>
      <c r="CU1568" s="568"/>
      <c r="CV1568" s="568"/>
      <c r="CW1568" s="568"/>
      <c r="CX1568" s="568"/>
      <c r="CY1568" s="568"/>
      <c r="CZ1568" s="568"/>
      <c r="DA1568" s="568"/>
      <c r="DB1568" s="568"/>
      <c r="DC1568" s="568"/>
      <c r="DD1568" s="568"/>
      <c r="DE1568" s="561"/>
      <c r="DF1568" s="561"/>
      <c r="DG1568" s="561"/>
      <c r="DH1568" s="561"/>
      <c r="DI1568" s="561"/>
      <c r="DJ1568" s="561"/>
      <c r="DK1568" s="897"/>
    </row>
    <row r="1569" spans="1:115" s="791" customFormat="1" ht="102" x14ac:dyDescent="0.2">
      <c r="A1569" s="295">
        <v>1565</v>
      </c>
      <c r="B1569" s="390" t="s">
        <v>7130</v>
      </c>
      <c r="C1569" s="577"/>
      <c r="D1569" s="391" t="s">
        <v>7131</v>
      </c>
      <c r="E1569" s="843" t="s">
        <v>7132</v>
      </c>
      <c r="F1569" s="393" t="s">
        <v>1352</v>
      </c>
      <c r="G1569" s="393" t="s">
        <v>1673</v>
      </c>
      <c r="H1569" s="393" t="s">
        <v>42</v>
      </c>
      <c r="I1569" s="563"/>
      <c r="J1569" s="563"/>
      <c r="K1569" s="560" t="s">
        <v>7133</v>
      </c>
      <c r="L1569" s="563" t="s">
        <v>2360</v>
      </c>
      <c r="M1569" s="563"/>
      <c r="N1569" s="561" t="s">
        <v>44</v>
      </c>
      <c r="O1569" s="561" t="s">
        <v>827</v>
      </c>
      <c r="P1569" s="561" t="s">
        <v>827</v>
      </c>
      <c r="Q1569" s="563" t="s">
        <v>836</v>
      </c>
      <c r="R1569" s="563" t="s">
        <v>7134</v>
      </c>
      <c r="S1569" s="563" t="s">
        <v>291</v>
      </c>
      <c r="T1569" s="564">
        <v>1</v>
      </c>
      <c r="U1569" s="565">
        <v>23.547000000000001</v>
      </c>
      <c r="V1569" s="565"/>
      <c r="W1569" s="566"/>
      <c r="X1569" s="564"/>
      <c r="Y1569" s="564">
        <v>7</v>
      </c>
      <c r="Z1569" s="564">
        <v>25</v>
      </c>
      <c r="AA1569" s="565">
        <v>-4.2000000000000003E-2</v>
      </c>
      <c r="AB1569" s="567">
        <v>42156</v>
      </c>
      <c r="AC1569" s="568"/>
      <c r="AD1569" s="568">
        <v>131.60515068493152</v>
      </c>
      <c r="AE1569" s="561" t="s">
        <v>96</v>
      </c>
      <c r="AF1569" s="569"/>
      <c r="AG1569" s="569"/>
      <c r="AH1569" s="569"/>
      <c r="AI1569" s="564"/>
      <c r="AJ1569" s="566"/>
      <c r="AK1569" s="566"/>
      <c r="AL1569" s="561"/>
      <c r="AM1569" s="561"/>
      <c r="AN1569" s="569"/>
      <c r="AO1569" s="563"/>
      <c r="AP1569" s="563"/>
      <c r="AQ1569" s="563"/>
      <c r="AR1569" s="563" t="s">
        <v>5667</v>
      </c>
      <c r="AS1569" s="578">
        <v>41226</v>
      </c>
      <c r="AT1569" s="566"/>
      <c r="AU1569" s="566"/>
      <c r="AV1569" s="566"/>
      <c r="AW1569" s="566"/>
      <c r="AX1569" s="566"/>
      <c r="AY1569" s="566"/>
      <c r="AZ1569" s="567">
        <v>42132</v>
      </c>
      <c r="BA1569" s="561"/>
      <c r="BB1569" s="561"/>
      <c r="BC1569" s="561" t="b">
        <v>0</v>
      </c>
      <c r="BD1569" s="561"/>
      <c r="BE1569" s="563"/>
      <c r="BF1569" s="394">
        <v>10</v>
      </c>
      <c r="BG1569" s="394">
        <v>9</v>
      </c>
      <c r="BH1569" s="394">
        <v>5</v>
      </c>
      <c r="BI1569" s="394">
        <v>4</v>
      </c>
      <c r="BJ1569" s="394"/>
      <c r="BK1569" s="394"/>
      <c r="BL1569" s="444" t="s">
        <v>1451</v>
      </c>
      <c r="BM1569" s="563"/>
      <c r="BN1569" s="561"/>
      <c r="BO1569" s="561"/>
      <c r="BP1569" s="571"/>
      <c r="BQ1569" s="572"/>
      <c r="BR1569" s="573"/>
      <c r="BS1569" s="571">
        <v>13.36</v>
      </c>
      <c r="BT1569" s="564">
        <v>24030</v>
      </c>
      <c r="BU1569" s="569"/>
      <c r="BV1569" s="571"/>
      <c r="BW1569" s="561" t="s">
        <v>3117</v>
      </c>
      <c r="BX1569" s="563" t="s">
        <v>1520</v>
      </c>
      <c r="BY1569" s="561" t="s">
        <v>7224</v>
      </c>
      <c r="BZ1569" s="561"/>
      <c r="CA1569" s="574"/>
      <c r="CB1569" s="572"/>
      <c r="CC1569" s="568"/>
      <c r="CD1569" s="568"/>
      <c r="CE1569" s="568"/>
      <c r="CF1569" s="568"/>
      <c r="CG1569" s="568"/>
      <c r="CH1569" s="568"/>
      <c r="CI1569" s="568"/>
      <c r="CJ1569" s="568"/>
      <c r="CK1569" s="568">
        <v>23.648</v>
      </c>
      <c r="CL1569" s="568">
        <v>23.648</v>
      </c>
      <c r="CM1569" s="568">
        <v>23.600999999999999</v>
      </c>
      <c r="CN1569" s="568">
        <v>23.553999999999998</v>
      </c>
      <c r="CO1569" s="568">
        <v>23.507000000000001</v>
      </c>
      <c r="CP1569" s="568">
        <v>23.46</v>
      </c>
      <c r="CQ1569" s="568">
        <v>23.413</v>
      </c>
      <c r="CR1569" s="568"/>
      <c r="CS1569" s="568"/>
      <c r="CT1569" s="568"/>
      <c r="CU1569" s="568"/>
      <c r="CV1569" s="568"/>
      <c r="CW1569" s="568"/>
      <c r="CX1569" s="568"/>
      <c r="CY1569" s="568"/>
      <c r="CZ1569" s="568"/>
      <c r="DA1569" s="568"/>
      <c r="DB1569" s="568"/>
      <c r="DC1569" s="568"/>
      <c r="DD1569" s="568"/>
      <c r="DE1569" s="561"/>
      <c r="DF1569" s="561"/>
      <c r="DG1569" s="561"/>
      <c r="DH1569" s="561"/>
      <c r="DI1569" s="561"/>
      <c r="DJ1569" s="561"/>
      <c r="DK1569" s="897"/>
    </row>
    <row r="1570" spans="1:115" ht="15" x14ac:dyDescent="0.2">
      <c r="A1570" s="295">
        <v>1566</v>
      </c>
      <c r="B1570" s="390" t="s">
        <v>8238</v>
      </c>
      <c r="C1570" s="390"/>
      <c r="D1570" s="391" t="s">
        <v>8237</v>
      </c>
      <c r="E1570" s="705" t="s">
        <v>8236</v>
      </c>
      <c r="F1570" s="393" t="s">
        <v>1352</v>
      </c>
      <c r="G1570" s="393" t="s">
        <v>1673</v>
      </c>
      <c r="H1570" s="393" t="s">
        <v>42</v>
      </c>
      <c r="I1570" s="392"/>
      <c r="J1570" s="392"/>
      <c r="K1570" s="428" t="s">
        <v>2168</v>
      </c>
      <c r="L1570" s="428" t="s">
        <v>2360</v>
      </c>
      <c r="M1570" s="392"/>
      <c r="N1570" s="475" t="s">
        <v>44</v>
      </c>
      <c r="O1570" s="393" t="s">
        <v>827</v>
      </c>
      <c r="P1570" s="393" t="s">
        <v>827</v>
      </c>
      <c r="Q1570" s="392" t="s">
        <v>836</v>
      </c>
      <c r="R1570" s="392" t="s">
        <v>6225</v>
      </c>
      <c r="S1570" s="428" t="s">
        <v>291</v>
      </c>
      <c r="T1570" s="394">
        <v>1</v>
      </c>
      <c r="U1570" s="395">
        <v>13.895</v>
      </c>
      <c r="V1570" s="395"/>
      <c r="W1570" s="453"/>
      <c r="X1570" s="394"/>
      <c r="Y1570" s="394">
        <v>7</v>
      </c>
      <c r="Z1570" s="394">
        <v>25</v>
      </c>
      <c r="AA1570" s="395"/>
      <c r="AB1570" s="452">
        <v>42612</v>
      </c>
      <c r="AC1570" s="398"/>
      <c r="AD1570" s="398">
        <v>60.300493150684929</v>
      </c>
      <c r="AE1570" s="475" t="s">
        <v>96</v>
      </c>
      <c r="AF1570" s="417"/>
      <c r="AG1570" s="417"/>
      <c r="AH1570" s="417"/>
      <c r="AI1570" s="394"/>
      <c r="AJ1570" s="453"/>
      <c r="AK1570" s="453"/>
      <c r="AL1570" s="393"/>
      <c r="AM1570" s="393"/>
      <c r="AN1570" s="417"/>
      <c r="AO1570" s="392"/>
      <c r="AP1570" s="392"/>
      <c r="AQ1570" s="392"/>
      <c r="AR1570" s="428" t="s">
        <v>5667</v>
      </c>
      <c r="AS1570" s="479">
        <v>41226</v>
      </c>
      <c r="AT1570" s="453"/>
      <c r="AU1570" s="453"/>
      <c r="AV1570" s="453"/>
      <c r="AW1570" s="453"/>
      <c r="AX1570" s="453"/>
      <c r="AY1570" s="453"/>
      <c r="AZ1570" s="452">
        <v>42612</v>
      </c>
      <c r="BA1570" s="393"/>
      <c r="BB1570" s="393"/>
      <c r="BC1570" s="393" t="b">
        <v>0</v>
      </c>
      <c r="BD1570" s="393"/>
      <c r="BE1570" s="392"/>
      <c r="BF1570" s="394">
        <v>10</v>
      </c>
      <c r="BG1570" s="394">
        <v>9</v>
      </c>
      <c r="BH1570" s="394">
        <v>5</v>
      </c>
      <c r="BI1570" s="394">
        <v>4</v>
      </c>
      <c r="BJ1570" s="394"/>
      <c r="BK1570" s="394"/>
      <c r="BL1570" s="444" t="s">
        <v>1451</v>
      </c>
      <c r="BM1570" s="392"/>
      <c r="BN1570" s="393"/>
      <c r="BO1570" s="393"/>
      <c r="BP1570" s="399"/>
      <c r="BQ1570" s="400"/>
      <c r="BR1570" s="401"/>
      <c r="BS1570" s="399">
        <v>10</v>
      </c>
      <c r="BT1570" s="394">
        <v>14212.87</v>
      </c>
      <c r="BU1570" s="417">
        <v>0.97770999999999997</v>
      </c>
      <c r="BV1570" s="399"/>
      <c r="BW1570" s="475" t="s">
        <v>3117</v>
      </c>
      <c r="BX1570" s="428" t="s">
        <v>1520</v>
      </c>
      <c r="BY1570" s="475" t="s">
        <v>7224</v>
      </c>
      <c r="BZ1570" s="393"/>
      <c r="CA1570" s="441"/>
      <c r="CB1570" s="400"/>
      <c r="CC1570" s="398"/>
      <c r="CD1570" s="398"/>
      <c r="CE1570" s="398"/>
      <c r="CF1570" s="398"/>
      <c r="CG1570" s="398"/>
      <c r="CH1570" s="398"/>
      <c r="CI1570" s="398"/>
      <c r="CJ1570" s="398"/>
      <c r="CK1570" s="398"/>
      <c r="CL1570" s="398">
        <v>14.318</v>
      </c>
      <c r="CM1570" s="398">
        <v>14.175000000000001</v>
      </c>
      <c r="CN1570" s="398">
        <v>14.032999999999999</v>
      </c>
      <c r="CO1570" s="398">
        <v>13.893000000000001</v>
      </c>
      <c r="CP1570" s="398">
        <v>13.754</v>
      </c>
      <c r="CQ1570" s="398">
        <v>13.616</v>
      </c>
      <c r="CR1570" s="398">
        <v>13.48</v>
      </c>
      <c r="CS1570" s="398"/>
      <c r="CT1570" s="398"/>
      <c r="CU1570" s="398"/>
      <c r="CV1570" s="398"/>
      <c r="CW1570" s="398"/>
      <c r="CX1570" s="398"/>
      <c r="CY1570" s="398"/>
      <c r="CZ1570" s="398"/>
      <c r="DA1570" s="398"/>
      <c r="DB1570" s="398"/>
      <c r="DC1570" s="398"/>
      <c r="DD1570" s="398"/>
      <c r="DE1570" s="393"/>
      <c r="DF1570" s="393"/>
      <c r="DG1570" s="393"/>
      <c r="DH1570" s="393"/>
      <c r="DI1570" s="393"/>
      <c r="DJ1570" s="393"/>
      <c r="DK1570" s="897"/>
    </row>
    <row r="1571" spans="1:115" ht="15" x14ac:dyDescent="0.2">
      <c r="A1571" s="295">
        <v>1567</v>
      </c>
      <c r="B1571" s="390" t="s">
        <v>9014</v>
      </c>
      <c r="C1571" s="390"/>
      <c r="D1571" s="391" t="s">
        <v>9015</v>
      </c>
      <c r="E1571" s="705" t="s">
        <v>9016</v>
      </c>
      <c r="F1571" s="393" t="s">
        <v>1352</v>
      </c>
      <c r="G1571" s="393" t="s">
        <v>1673</v>
      </c>
      <c r="H1571" s="393" t="s">
        <v>42</v>
      </c>
      <c r="I1571" s="392"/>
      <c r="J1571" s="392"/>
      <c r="K1571" s="428" t="s">
        <v>370</v>
      </c>
      <c r="L1571" s="428" t="s">
        <v>2360</v>
      </c>
      <c r="M1571" s="392"/>
      <c r="N1571" s="475" t="s">
        <v>44</v>
      </c>
      <c r="O1571" s="393" t="s">
        <v>827</v>
      </c>
      <c r="P1571" s="393" t="s">
        <v>827</v>
      </c>
      <c r="Q1571" s="392" t="s">
        <v>836</v>
      </c>
      <c r="R1571" s="428" t="s">
        <v>9017</v>
      </c>
      <c r="S1571" s="428" t="s">
        <v>291</v>
      </c>
      <c r="T1571" s="394">
        <v>1</v>
      </c>
      <c r="U1571" s="395">
        <v>11.27</v>
      </c>
      <c r="V1571" s="395"/>
      <c r="W1571" s="453"/>
      <c r="X1571" s="394"/>
      <c r="Y1571" s="394">
        <v>7</v>
      </c>
      <c r="Z1571" s="394">
        <v>25</v>
      </c>
      <c r="AA1571" s="395">
        <v>0</v>
      </c>
      <c r="AB1571" s="452">
        <v>42870</v>
      </c>
      <c r="AC1571" s="398"/>
      <c r="AD1571" s="398">
        <v>40.9425205479452</v>
      </c>
      <c r="AE1571" s="475" t="s">
        <v>96</v>
      </c>
      <c r="AF1571" s="417"/>
      <c r="AG1571" s="417"/>
      <c r="AH1571" s="417"/>
      <c r="AI1571" s="394"/>
      <c r="AJ1571" s="453"/>
      <c r="AK1571" s="453"/>
      <c r="AL1571" s="393"/>
      <c r="AM1571" s="393"/>
      <c r="AN1571" s="417"/>
      <c r="AO1571" s="392"/>
      <c r="AP1571" s="392"/>
      <c r="AQ1571" s="392"/>
      <c r="AR1571" s="428" t="s">
        <v>5667</v>
      </c>
      <c r="AS1571" s="479">
        <v>41226</v>
      </c>
      <c r="AT1571" s="453"/>
      <c r="AU1571" s="453"/>
      <c r="AV1571" s="453"/>
      <c r="AW1571" s="453"/>
      <c r="AX1571" s="453"/>
      <c r="AY1571" s="453"/>
      <c r="AZ1571" s="452">
        <v>42870</v>
      </c>
      <c r="BA1571" s="393"/>
      <c r="BB1571" s="393"/>
      <c r="BC1571" s="393" t="b">
        <v>0</v>
      </c>
      <c r="BD1571" s="393"/>
      <c r="BE1571" s="392"/>
      <c r="BF1571" s="394">
        <v>10</v>
      </c>
      <c r="BG1571" s="394">
        <v>9</v>
      </c>
      <c r="BH1571" s="394">
        <v>5</v>
      </c>
      <c r="BI1571" s="394">
        <v>4</v>
      </c>
      <c r="BJ1571" s="394"/>
      <c r="BK1571" s="394"/>
      <c r="BL1571" s="444" t="s">
        <v>1451</v>
      </c>
      <c r="BM1571" s="392"/>
      <c r="BN1571" s="393"/>
      <c r="BO1571" s="393"/>
      <c r="BP1571" s="399"/>
      <c r="BQ1571" s="400"/>
      <c r="BR1571" s="401"/>
      <c r="BS1571" s="399">
        <v>6</v>
      </c>
      <c r="BT1571" s="394">
        <f>11528.08/BS1571</f>
        <v>1921.3466666666666</v>
      </c>
      <c r="BU1571" s="417">
        <v>0.97770999999999997</v>
      </c>
      <c r="BV1571" s="399"/>
      <c r="BW1571" s="475" t="s">
        <v>3117</v>
      </c>
      <c r="BX1571" s="428" t="s">
        <v>1520</v>
      </c>
      <c r="BY1571" s="475" t="s">
        <v>7224</v>
      </c>
      <c r="BZ1571" s="393"/>
      <c r="CA1571" s="441"/>
      <c r="CB1571" s="400"/>
      <c r="CC1571" s="398"/>
      <c r="CD1571" s="398"/>
      <c r="CE1571" s="398"/>
      <c r="CF1571" s="398"/>
      <c r="CG1571" s="398"/>
      <c r="CH1571" s="398"/>
      <c r="CI1571" s="398"/>
      <c r="CJ1571" s="398"/>
      <c r="CK1571" s="398"/>
      <c r="CL1571" s="398"/>
      <c r="CM1571" s="398">
        <v>11.613</v>
      </c>
      <c r="CN1571" s="398">
        <v>11.497</v>
      </c>
      <c r="CO1571" s="398">
        <v>11.382</v>
      </c>
      <c r="CP1571" s="398">
        <v>11.268000000000001</v>
      </c>
      <c r="CQ1571" s="398">
        <v>11.156000000000001</v>
      </c>
      <c r="CR1571" s="398">
        <v>11.044</v>
      </c>
      <c r="CS1571" s="398">
        <v>10.933999999999999</v>
      </c>
      <c r="CT1571" s="398"/>
      <c r="CU1571" s="398"/>
      <c r="CV1571" s="398"/>
      <c r="CW1571" s="398"/>
      <c r="CX1571" s="398"/>
      <c r="CY1571" s="398"/>
      <c r="CZ1571" s="398"/>
      <c r="DA1571" s="398"/>
      <c r="DB1571" s="398"/>
      <c r="DC1571" s="398"/>
      <c r="DD1571" s="398"/>
      <c r="DE1571" s="393"/>
      <c r="DF1571" s="393"/>
      <c r="DG1571" s="393"/>
      <c r="DH1571" s="393"/>
      <c r="DI1571" s="393"/>
      <c r="DJ1571" s="393"/>
      <c r="DK1571" s="897"/>
    </row>
    <row r="1572" spans="1:115" ht="15" x14ac:dyDescent="0.2">
      <c r="A1572" s="295">
        <v>1568</v>
      </c>
      <c r="B1572" s="390" t="s">
        <v>9260</v>
      </c>
      <c r="C1572" s="390"/>
      <c r="D1572" s="391" t="s">
        <v>9261</v>
      </c>
      <c r="E1572" s="705" t="s">
        <v>9262</v>
      </c>
      <c r="F1572" s="393" t="s">
        <v>1352</v>
      </c>
      <c r="G1572" s="393" t="s">
        <v>1673</v>
      </c>
      <c r="H1572" s="393" t="s">
        <v>42</v>
      </c>
      <c r="I1572" s="392"/>
      <c r="J1572" s="392"/>
      <c r="K1572" s="428" t="s">
        <v>2240</v>
      </c>
      <c r="L1572" s="428" t="s">
        <v>2360</v>
      </c>
      <c r="M1572" s="392"/>
      <c r="N1572" s="475" t="s">
        <v>44</v>
      </c>
      <c r="O1572" s="393" t="s">
        <v>827</v>
      </c>
      <c r="P1572" s="393" t="s">
        <v>827</v>
      </c>
      <c r="Q1572" s="392" t="s">
        <v>836</v>
      </c>
      <c r="R1572" s="392" t="s">
        <v>6225</v>
      </c>
      <c r="S1572" s="428" t="s">
        <v>291</v>
      </c>
      <c r="T1572" s="394"/>
      <c r="U1572" s="395">
        <v>13.381</v>
      </c>
      <c r="V1572" s="395"/>
      <c r="W1572" s="453"/>
      <c r="X1572" s="394"/>
      <c r="Y1572" s="394">
        <v>7</v>
      </c>
      <c r="Z1572" s="394">
        <v>25</v>
      </c>
      <c r="AA1572" s="395">
        <v>0</v>
      </c>
      <c r="AB1572" s="452">
        <v>43028</v>
      </c>
      <c r="AC1572" s="398"/>
      <c r="AD1572" s="398">
        <v>42.819200000000002</v>
      </c>
      <c r="AE1572" s="475"/>
      <c r="AF1572" s="417"/>
      <c r="AG1572" s="417"/>
      <c r="AH1572" s="417"/>
      <c r="AI1572" s="394"/>
      <c r="AJ1572" s="453"/>
      <c r="AK1572" s="453"/>
      <c r="AL1572" s="393"/>
      <c r="AM1572" s="393"/>
      <c r="AN1572" s="417"/>
      <c r="AO1572" s="392"/>
      <c r="AP1572" s="392"/>
      <c r="AQ1572" s="392"/>
      <c r="AR1572" s="428" t="s">
        <v>5667</v>
      </c>
      <c r="AS1572" s="479">
        <v>41226</v>
      </c>
      <c r="AT1572" s="453"/>
      <c r="AU1572" s="453"/>
      <c r="AV1572" s="453"/>
      <c r="AW1572" s="453"/>
      <c r="AX1572" s="453"/>
      <c r="AY1572" s="453"/>
      <c r="AZ1572" s="452">
        <v>43028</v>
      </c>
      <c r="BA1572" s="393"/>
      <c r="BB1572" s="393"/>
      <c r="BC1572" s="393" t="b">
        <v>0</v>
      </c>
      <c r="BD1572" s="393"/>
      <c r="BE1572" s="392"/>
      <c r="BF1572" s="394">
        <v>10</v>
      </c>
      <c r="BG1572" s="394">
        <v>9</v>
      </c>
      <c r="BH1572" s="394">
        <v>5</v>
      </c>
      <c r="BI1572" s="394">
        <v>4</v>
      </c>
      <c r="BJ1572" s="394"/>
      <c r="BK1572" s="394"/>
      <c r="BL1572" s="444" t="s">
        <v>1451</v>
      </c>
      <c r="BM1572" s="392"/>
      <c r="BN1572" s="393"/>
      <c r="BO1572" s="393"/>
      <c r="BP1572" s="399"/>
      <c r="BQ1572" s="400"/>
      <c r="BR1572" s="401"/>
      <c r="BS1572" s="399">
        <v>10</v>
      </c>
      <c r="BT1572" s="394">
        <v>14000</v>
      </c>
      <c r="BU1572" s="417">
        <v>0.97770999999999997</v>
      </c>
      <c r="BV1572" s="399"/>
      <c r="BW1572" s="475" t="s">
        <v>3117</v>
      </c>
      <c r="BX1572" s="428" t="s">
        <v>1520</v>
      </c>
      <c r="BY1572" s="475" t="s">
        <v>7224</v>
      </c>
      <c r="BZ1572" s="393"/>
      <c r="CA1572" s="441"/>
      <c r="CB1572" s="400"/>
      <c r="CC1572" s="398"/>
      <c r="CD1572" s="398"/>
      <c r="CE1572" s="398"/>
      <c r="CF1572" s="398"/>
      <c r="CG1572" s="398"/>
      <c r="CH1572" s="398"/>
      <c r="CI1572" s="398"/>
      <c r="CJ1572" s="398"/>
      <c r="CK1572" s="398"/>
      <c r="CL1572" s="398"/>
      <c r="CM1572" s="398">
        <v>13.789</v>
      </c>
      <c r="CN1572" s="398">
        <v>13.651</v>
      </c>
      <c r="CO1572" s="398">
        <v>13.513999999999999</v>
      </c>
      <c r="CP1572" s="398">
        <v>13.379</v>
      </c>
      <c r="CQ1572" s="398">
        <v>13.244999999999999</v>
      </c>
      <c r="CR1572" s="398">
        <v>13.113</v>
      </c>
      <c r="CS1572" s="398">
        <v>12.981999999999999</v>
      </c>
      <c r="CT1572" s="398"/>
      <c r="CU1572" s="398"/>
      <c r="CV1572" s="398"/>
      <c r="CW1572" s="398"/>
      <c r="CX1572" s="398"/>
      <c r="CY1572" s="398"/>
      <c r="CZ1572" s="398"/>
      <c r="DA1572" s="398"/>
      <c r="DB1572" s="398"/>
      <c r="DC1572" s="398"/>
      <c r="DD1572" s="398"/>
      <c r="DE1572" s="393"/>
      <c r="DF1572" s="393"/>
      <c r="DG1572" s="393"/>
      <c r="DH1572" s="393"/>
      <c r="DI1572" s="393"/>
      <c r="DJ1572" s="393"/>
      <c r="DK1572" s="897"/>
    </row>
    <row r="1573" spans="1:115" ht="63.75" x14ac:dyDescent="0.2">
      <c r="A1573" s="295">
        <v>1569</v>
      </c>
      <c r="B1573" s="390" t="s">
        <v>4282</v>
      </c>
      <c r="C1573" s="424" t="s">
        <v>7828</v>
      </c>
      <c r="D1573" s="391" t="s">
        <v>6105</v>
      </c>
      <c r="E1573" s="704" t="s">
        <v>4283</v>
      </c>
      <c r="F1573" s="393" t="s">
        <v>1352</v>
      </c>
      <c r="G1573" s="393" t="s">
        <v>1673</v>
      </c>
      <c r="H1573" s="393" t="s">
        <v>42</v>
      </c>
      <c r="I1573" s="392"/>
      <c r="J1573" s="392" t="s">
        <v>42</v>
      </c>
      <c r="K1573" s="392"/>
      <c r="L1573" s="392" t="s">
        <v>4284</v>
      </c>
      <c r="M1573" s="392" t="s">
        <v>4285</v>
      </c>
      <c r="N1573" s="393" t="s">
        <v>44</v>
      </c>
      <c r="O1573" s="393" t="s">
        <v>827</v>
      </c>
      <c r="P1573" s="393" t="s">
        <v>827</v>
      </c>
      <c r="Q1573" s="392" t="s">
        <v>836</v>
      </c>
      <c r="R1573" s="392"/>
      <c r="S1573" s="392" t="s">
        <v>291</v>
      </c>
      <c r="T1573" s="394">
        <v>1</v>
      </c>
      <c r="U1573" s="395">
        <v>7.9050000000000002</v>
      </c>
      <c r="V1573" s="395"/>
      <c r="W1573" s="452">
        <v>41212</v>
      </c>
      <c r="X1573" s="394">
        <v>28</v>
      </c>
      <c r="Y1573" s="394"/>
      <c r="Z1573" s="394"/>
      <c r="AA1573" s="395"/>
      <c r="AB1573" s="453"/>
      <c r="AC1573" s="398">
        <v>0</v>
      </c>
      <c r="AD1573" s="398">
        <v>63.304972602739731</v>
      </c>
      <c r="AE1573" s="393" t="s">
        <v>72</v>
      </c>
      <c r="AF1573" s="417"/>
      <c r="AG1573" s="417"/>
      <c r="AH1573" s="417">
        <v>0</v>
      </c>
      <c r="AI1573" s="394"/>
      <c r="AJ1573" s="453"/>
      <c r="AK1573" s="453"/>
      <c r="AL1573" s="393"/>
      <c r="AM1573" s="393"/>
      <c r="AN1573" s="417"/>
      <c r="AO1573" s="392"/>
      <c r="AP1573" s="392" t="s">
        <v>55</v>
      </c>
      <c r="AQ1573" s="392"/>
      <c r="AR1573" s="392" t="s">
        <v>55</v>
      </c>
      <c r="AS1573" s="479">
        <v>41227</v>
      </c>
      <c r="AT1573" s="453"/>
      <c r="AU1573" s="453"/>
      <c r="AV1573" s="453">
        <v>41628</v>
      </c>
      <c r="AW1573" s="453">
        <v>41708</v>
      </c>
      <c r="AX1573" s="453"/>
      <c r="AY1573" s="453">
        <v>41708</v>
      </c>
      <c r="AZ1573" s="453"/>
      <c r="BA1573" s="393"/>
      <c r="BB1573" s="393" t="s">
        <v>3116</v>
      </c>
      <c r="BC1573" s="393" t="b">
        <v>0</v>
      </c>
      <c r="BD1573" s="393" t="s">
        <v>3147</v>
      </c>
      <c r="BE1573" s="392"/>
      <c r="BF1573" s="394">
        <v>5</v>
      </c>
      <c r="BG1573" s="394">
        <v>9</v>
      </c>
      <c r="BH1573" s="394">
        <v>1</v>
      </c>
      <c r="BI1573" s="394">
        <v>11</v>
      </c>
      <c r="BJ1573" s="394"/>
      <c r="BK1573" s="394"/>
      <c r="BL1573" s="444"/>
      <c r="BM1573" s="392"/>
      <c r="BN1573" s="393"/>
      <c r="BO1573" s="393"/>
      <c r="BP1573" s="399"/>
      <c r="BQ1573" s="400"/>
      <c r="BR1573" s="401"/>
      <c r="BS1573" s="399">
        <v>5</v>
      </c>
      <c r="BT1573" s="394"/>
      <c r="BU1573" s="417"/>
      <c r="BV1573" s="399"/>
      <c r="BW1573" s="393"/>
      <c r="BX1573" s="392"/>
      <c r="BY1573" s="393" t="s">
        <v>7224</v>
      </c>
      <c r="BZ1573" s="393"/>
      <c r="CA1573" s="441"/>
      <c r="CB1573" s="400"/>
      <c r="CC1573" s="398"/>
      <c r="CD1573" s="398"/>
      <c r="CE1573" s="398"/>
      <c r="CF1573" s="398"/>
      <c r="CG1573" s="398"/>
      <c r="CH1573" s="398"/>
      <c r="CI1573" s="398"/>
      <c r="CJ1573" s="398"/>
      <c r="CK1573" s="398"/>
      <c r="CL1573" s="398"/>
      <c r="CM1573" s="398"/>
      <c r="CN1573" s="398"/>
      <c r="CO1573" s="398"/>
      <c r="CP1573" s="398"/>
      <c r="CQ1573" s="398"/>
      <c r="CR1573" s="398"/>
      <c r="CS1573" s="398"/>
      <c r="CT1573" s="398"/>
      <c r="CU1573" s="398"/>
      <c r="CV1573" s="398"/>
      <c r="CW1573" s="398"/>
      <c r="CX1573" s="398"/>
      <c r="CY1573" s="398"/>
      <c r="CZ1573" s="398"/>
      <c r="DA1573" s="398"/>
      <c r="DB1573" s="398"/>
      <c r="DC1573" s="398"/>
      <c r="DD1573" s="398"/>
      <c r="DE1573" s="393"/>
      <c r="DF1573" s="393"/>
      <c r="DG1573" s="393"/>
      <c r="DH1573" s="393"/>
      <c r="DI1573" s="393"/>
      <c r="DJ1573" s="393"/>
      <c r="DK1573" s="896" t="s">
        <v>9754</v>
      </c>
    </row>
    <row r="1574" spans="1:115" ht="25.5" x14ac:dyDescent="0.2">
      <c r="A1574" s="295">
        <v>1570</v>
      </c>
      <c r="B1574" s="390" t="s">
        <v>4286</v>
      </c>
      <c r="C1574" s="390"/>
      <c r="D1574" s="391" t="s">
        <v>6106</v>
      </c>
      <c r="E1574" s="704" t="s">
        <v>4287</v>
      </c>
      <c r="F1574" s="393" t="s">
        <v>1352</v>
      </c>
      <c r="G1574" s="393" t="s">
        <v>1673</v>
      </c>
      <c r="H1574" s="393" t="s">
        <v>42</v>
      </c>
      <c r="I1574" s="392"/>
      <c r="J1574" s="392"/>
      <c r="K1574" s="392" t="s">
        <v>4288</v>
      </c>
      <c r="L1574" s="392" t="s">
        <v>4284</v>
      </c>
      <c r="M1574" s="392"/>
      <c r="N1574" s="393" t="s">
        <v>44</v>
      </c>
      <c r="O1574" s="393" t="s">
        <v>827</v>
      </c>
      <c r="P1574" s="393" t="s">
        <v>827</v>
      </c>
      <c r="Q1574" s="392" t="s">
        <v>836</v>
      </c>
      <c r="R1574" s="392" t="s">
        <v>4289</v>
      </c>
      <c r="S1574" s="392" t="s">
        <v>291</v>
      </c>
      <c r="T1574" s="394">
        <v>1</v>
      </c>
      <c r="U1574" s="395">
        <v>7.9050000000000002</v>
      </c>
      <c r="V1574" s="395"/>
      <c r="W1574" s="453"/>
      <c r="X1574" s="394"/>
      <c r="Y1574" s="394">
        <v>7</v>
      </c>
      <c r="Z1574" s="394">
        <v>25</v>
      </c>
      <c r="AA1574" s="395">
        <v>-3.9E-2</v>
      </c>
      <c r="AB1574" s="452">
        <v>41273</v>
      </c>
      <c r="AC1574" s="398">
        <v>0</v>
      </c>
      <c r="AD1574" s="398">
        <v>63.304972602739731</v>
      </c>
      <c r="AE1574" s="393" t="s">
        <v>72</v>
      </c>
      <c r="AF1574" s="417"/>
      <c r="AG1574" s="417"/>
      <c r="AH1574" s="417"/>
      <c r="AI1574" s="394"/>
      <c r="AJ1574" s="453"/>
      <c r="AK1574" s="453"/>
      <c r="AL1574" s="393"/>
      <c r="AM1574" s="393"/>
      <c r="AN1574" s="417"/>
      <c r="AO1574" s="392"/>
      <c r="AP1574" s="392" t="s">
        <v>55</v>
      </c>
      <c r="AQ1574" s="392"/>
      <c r="AR1574" s="392" t="s">
        <v>55</v>
      </c>
      <c r="AS1574" s="479">
        <v>41227</v>
      </c>
      <c r="AT1574" s="453"/>
      <c r="AU1574" s="453"/>
      <c r="AV1574" s="453"/>
      <c r="AW1574" s="453"/>
      <c r="AX1574" s="453"/>
      <c r="AY1574" s="453"/>
      <c r="AZ1574" s="453">
        <v>41708</v>
      </c>
      <c r="BA1574" s="393"/>
      <c r="BB1574" s="393"/>
      <c r="BC1574" s="393" t="b">
        <v>0</v>
      </c>
      <c r="BD1574" s="393"/>
      <c r="BE1574" s="392"/>
      <c r="BF1574" s="394">
        <v>5</v>
      </c>
      <c r="BG1574" s="394">
        <v>9</v>
      </c>
      <c r="BH1574" s="394">
        <v>1</v>
      </c>
      <c r="BI1574" s="394">
        <v>11</v>
      </c>
      <c r="BJ1574" s="394"/>
      <c r="BK1574" s="394"/>
      <c r="BL1574" s="444" t="s">
        <v>6981</v>
      </c>
      <c r="BM1574" s="392"/>
      <c r="BN1574" s="393"/>
      <c r="BO1574" s="393"/>
      <c r="BP1574" s="399"/>
      <c r="BQ1574" s="400"/>
      <c r="BR1574" s="401"/>
      <c r="BS1574" s="399">
        <v>5</v>
      </c>
      <c r="BT1574" s="394">
        <v>8322</v>
      </c>
      <c r="BU1574" s="417">
        <v>0.95</v>
      </c>
      <c r="BV1574" s="399"/>
      <c r="BW1574" s="393" t="s">
        <v>3117</v>
      </c>
      <c r="BX1574" s="392" t="s">
        <v>1520</v>
      </c>
      <c r="BY1574" s="393" t="s">
        <v>7224</v>
      </c>
      <c r="BZ1574" s="393"/>
      <c r="CA1574" s="441"/>
      <c r="CB1574" s="400"/>
      <c r="CC1574" s="398"/>
      <c r="CD1574" s="398"/>
      <c r="CE1574" s="398"/>
      <c r="CF1574" s="398"/>
      <c r="CG1574" s="398"/>
      <c r="CH1574" s="398"/>
      <c r="CI1574" s="398">
        <v>7.9050000000000002</v>
      </c>
      <c r="CJ1574" s="398">
        <v>7.8659999999999997</v>
      </c>
      <c r="CK1574" s="398">
        <v>7.827</v>
      </c>
      <c r="CL1574" s="398">
        <v>7.7869999999999999</v>
      </c>
      <c r="CM1574" s="398">
        <v>7.7480000000000002</v>
      </c>
      <c r="CN1574" s="398">
        <v>7.71</v>
      </c>
      <c r="CO1574" s="398">
        <v>7.6710000000000003</v>
      </c>
      <c r="CP1574" s="398"/>
      <c r="CQ1574" s="398"/>
      <c r="CR1574" s="398"/>
      <c r="CS1574" s="398"/>
      <c r="CT1574" s="398"/>
      <c r="CU1574" s="398"/>
      <c r="CV1574" s="398"/>
      <c r="CW1574" s="398"/>
      <c r="CX1574" s="398"/>
      <c r="CY1574" s="398"/>
      <c r="CZ1574" s="398"/>
      <c r="DA1574" s="398"/>
      <c r="DB1574" s="398"/>
      <c r="DC1574" s="398"/>
      <c r="DD1574" s="398"/>
      <c r="DE1574" s="393"/>
      <c r="DF1574" s="393"/>
      <c r="DG1574" s="393"/>
      <c r="DH1574" s="393"/>
      <c r="DI1574" s="393"/>
      <c r="DJ1574" s="393"/>
      <c r="DK1574" s="897"/>
    </row>
    <row r="1575" spans="1:115" ht="51" x14ac:dyDescent="0.2">
      <c r="A1575" s="295">
        <v>1571</v>
      </c>
      <c r="B1575" s="390" t="s">
        <v>4290</v>
      </c>
      <c r="C1575" s="424" t="s">
        <v>7829</v>
      </c>
      <c r="D1575" s="391" t="s">
        <v>5460</v>
      </c>
      <c r="E1575" s="704" t="s">
        <v>4291</v>
      </c>
      <c r="F1575" s="393" t="s">
        <v>1352</v>
      </c>
      <c r="G1575" s="393" t="s">
        <v>1673</v>
      </c>
      <c r="H1575" s="393" t="s">
        <v>239</v>
      </c>
      <c r="I1575" s="392"/>
      <c r="J1575" s="392" t="s">
        <v>239</v>
      </c>
      <c r="K1575" s="392"/>
      <c r="L1575" s="392" t="s">
        <v>4292</v>
      </c>
      <c r="M1575" s="392" t="s">
        <v>4293</v>
      </c>
      <c r="N1575" s="393" t="s">
        <v>44</v>
      </c>
      <c r="O1575" s="393" t="s">
        <v>5030</v>
      </c>
      <c r="P1575" s="393" t="s">
        <v>5030</v>
      </c>
      <c r="Q1575" s="392" t="s">
        <v>1835</v>
      </c>
      <c r="R1575" s="392"/>
      <c r="S1575" s="392" t="s">
        <v>650</v>
      </c>
      <c r="T1575" s="394">
        <v>1</v>
      </c>
      <c r="U1575" s="395">
        <v>54.64</v>
      </c>
      <c r="V1575" s="395"/>
      <c r="W1575" s="452">
        <v>41228</v>
      </c>
      <c r="X1575" s="394">
        <v>28</v>
      </c>
      <c r="Y1575" s="394"/>
      <c r="Z1575" s="394"/>
      <c r="AA1575" s="395"/>
      <c r="AB1575" s="453"/>
      <c r="AC1575" s="398">
        <v>0</v>
      </c>
      <c r="AD1575" s="398">
        <v>546.4</v>
      </c>
      <c r="AE1575" s="393" t="s">
        <v>96</v>
      </c>
      <c r="AF1575" s="417"/>
      <c r="AG1575" s="417"/>
      <c r="AH1575" s="417">
        <v>0</v>
      </c>
      <c r="AI1575" s="394"/>
      <c r="AJ1575" s="453"/>
      <c r="AK1575" s="453"/>
      <c r="AL1575" s="393"/>
      <c r="AM1575" s="393"/>
      <c r="AN1575" s="417"/>
      <c r="AO1575" s="392"/>
      <c r="AP1575" s="392" t="s">
        <v>55</v>
      </c>
      <c r="AQ1575" s="392"/>
      <c r="AR1575" s="392" t="s">
        <v>55</v>
      </c>
      <c r="AS1575" s="479">
        <v>41228</v>
      </c>
      <c r="AT1575" s="453"/>
      <c r="AU1575" s="453"/>
      <c r="AV1575" s="452">
        <v>41235</v>
      </c>
      <c r="AW1575" s="452">
        <v>41273</v>
      </c>
      <c r="AX1575" s="452">
        <v>41473</v>
      </c>
      <c r="AY1575" s="453">
        <v>41274</v>
      </c>
      <c r="AZ1575" s="453"/>
      <c r="BA1575" s="393"/>
      <c r="BB1575" s="393" t="s">
        <v>3147</v>
      </c>
      <c r="BC1575" s="393" t="b">
        <v>1</v>
      </c>
      <c r="BD1575" s="393" t="s">
        <v>3116</v>
      </c>
      <c r="BE1575" s="392"/>
      <c r="BF1575" s="394">
        <v>1</v>
      </c>
      <c r="BG1575" s="394">
        <v>3</v>
      </c>
      <c r="BH1575" s="394">
        <v>5</v>
      </c>
      <c r="BI1575" s="394">
        <v>9</v>
      </c>
      <c r="BJ1575" s="394"/>
      <c r="BK1575" s="394"/>
      <c r="BL1575" s="444"/>
      <c r="BM1575" s="392"/>
      <c r="BN1575" s="393"/>
      <c r="BO1575" s="393"/>
      <c r="BP1575" s="399"/>
      <c r="BQ1575" s="400"/>
      <c r="BR1575" s="401"/>
      <c r="BS1575" s="399">
        <v>50</v>
      </c>
      <c r="BT1575" s="394"/>
      <c r="BU1575" s="417"/>
      <c r="BV1575" s="399"/>
      <c r="BW1575" s="393"/>
      <c r="BX1575" s="392"/>
      <c r="BY1575" s="393"/>
      <c r="BZ1575" s="393"/>
      <c r="CA1575" s="441"/>
      <c r="CB1575" s="400"/>
      <c r="CC1575" s="398"/>
      <c r="CD1575" s="398"/>
      <c r="CE1575" s="398"/>
      <c r="CF1575" s="398"/>
      <c r="CG1575" s="398"/>
      <c r="CH1575" s="398"/>
      <c r="CI1575" s="398"/>
      <c r="CJ1575" s="398"/>
      <c r="CK1575" s="398"/>
      <c r="CL1575" s="398"/>
      <c r="CM1575" s="398"/>
      <c r="CN1575" s="398"/>
      <c r="CO1575" s="398"/>
      <c r="CP1575" s="398"/>
      <c r="CQ1575" s="398"/>
      <c r="CR1575" s="398"/>
      <c r="CS1575" s="398"/>
      <c r="CT1575" s="398"/>
      <c r="CU1575" s="398"/>
      <c r="CV1575" s="398"/>
      <c r="CW1575" s="398"/>
      <c r="CX1575" s="398"/>
      <c r="CY1575" s="398"/>
      <c r="CZ1575" s="398"/>
      <c r="DA1575" s="398"/>
      <c r="DB1575" s="398"/>
      <c r="DC1575" s="398"/>
      <c r="DD1575" s="398"/>
      <c r="DE1575" s="393"/>
      <c r="DF1575" s="393"/>
      <c r="DG1575" s="393"/>
      <c r="DH1575" s="393"/>
      <c r="DI1575" s="393"/>
      <c r="DJ1575" s="393"/>
      <c r="DK1575" s="896" t="s">
        <v>9701</v>
      </c>
    </row>
    <row r="1576" spans="1:115" ht="25.5" x14ac:dyDescent="0.2">
      <c r="A1576" s="295">
        <v>1572</v>
      </c>
      <c r="B1576" s="390" t="s">
        <v>4294</v>
      </c>
      <c r="C1576" s="577"/>
      <c r="D1576" s="391" t="s">
        <v>5461</v>
      </c>
      <c r="E1576" s="843" t="s">
        <v>4295</v>
      </c>
      <c r="F1576" s="393" t="s">
        <v>1352</v>
      </c>
      <c r="G1576" s="393" t="s">
        <v>1673</v>
      </c>
      <c r="H1576" s="393" t="s">
        <v>239</v>
      </c>
      <c r="I1576" s="563"/>
      <c r="J1576" s="563"/>
      <c r="K1576" s="563" t="s">
        <v>4296</v>
      </c>
      <c r="L1576" s="563" t="s">
        <v>4292</v>
      </c>
      <c r="M1576" s="563"/>
      <c r="N1576" s="561" t="s">
        <v>44</v>
      </c>
      <c r="O1576" s="393" t="s">
        <v>1155</v>
      </c>
      <c r="P1576" s="393" t="s">
        <v>1155</v>
      </c>
      <c r="Q1576" s="392" t="s">
        <v>1155</v>
      </c>
      <c r="R1576" s="392" t="s">
        <v>4297</v>
      </c>
      <c r="S1576" s="563" t="s">
        <v>650</v>
      </c>
      <c r="T1576" s="394">
        <v>1</v>
      </c>
      <c r="U1576" s="565">
        <v>54.64</v>
      </c>
      <c r="V1576" s="565"/>
      <c r="W1576" s="566"/>
      <c r="X1576" s="564"/>
      <c r="Y1576" s="394">
        <v>10</v>
      </c>
      <c r="Z1576" s="564">
        <v>20</v>
      </c>
      <c r="AA1576" s="565">
        <v>0</v>
      </c>
      <c r="AB1576" s="567">
        <v>42005</v>
      </c>
      <c r="AC1576" s="568">
        <v>0</v>
      </c>
      <c r="AD1576" s="568">
        <v>546.4</v>
      </c>
      <c r="AE1576" s="561" t="s">
        <v>96</v>
      </c>
      <c r="AF1576" s="569"/>
      <c r="AG1576" s="569"/>
      <c r="AH1576" s="569"/>
      <c r="AI1576" s="564"/>
      <c r="AJ1576" s="566"/>
      <c r="AK1576" s="566"/>
      <c r="AL1576" s="561"/>
      <c r="AM1576" s="561"/>
      <c r="AN1576" s="569"/>
      <c r="AO1576" s="563"/>
      <c r="AP1576" s="563" t="s">
        <v>55</v>
      </c>
      <c r="AQ1576" s="563"/>
      <c r="AR1576" s="563" t="s">
        <v>55</v>
      </c>
      <c r="AS1576" s="578">
        <v>41228</v>
      </c>
      <c r="AT1576" s="566"/>
      <c r="AU1576" s="566"/>
      <c r="AV1576" s="566"/>
      <c r="AW1576" s="566"/>
      <c r="AX1576" s="566"/>
      <c r="AY1576" s="566"/>
      <c r="AZ1576" s="566">
        <v>41274</v>
      </c>
      <c r="BA1576" s="561"/>
      <c r="BB1576" s="561"/>
      <c r="BC1576" s="561" t="b">
        <v>0</v>
      </c>
      <c r="BD1576" s="561"/>
      <c r="BE1576" s="563"/>
      <c r="BF1576" s="394">
        <v>1</v>
      </c>
      <c r="BG1576" s="394">
        <v>3</v>
      </c>
      <c r="BH1576" s="394">
        <v>5</v>
      </c>
      <c r="BI1576" s="394">
        <v>9</v>
      </c>
      <c r="BJ1576" s="394"/>
      <c r="BK1576" s="394"/>
      <c r="BL1576" s="444" t="s">
        <v>6981</v>
      </c>
      <c r="BM1576" s="563"/>
      <c r="BN1576" s="561"/>
      <c r="BO1576" s="561"/>
      <c r="BP1576" s="571"/>
      <c r="BQ1576" s="572"/>
      <c r="BR1576" s="573"/>
      <c r="BS1576" s="571">
        <v>50</v>
      </c>
      <c r="BT1576" s="564">
        <v>136831</v>
      </c>
      <c r="BU1576" s="569">
        <v>0.39929999999999999</v>
      </c>
      <c r="BV1576" s="571"/>
      <c r="BW1576" s="561" t="s">
        <v>3117</v>
      </c>
      <c r="BX1576" s="563"/>
      <c r="BY1576" s="561"/>
      <c r="BZ1576" s="561"/>
      <c r="CA1576" s="574" t="s">
        <v>1662</v>
      </c>
      <c r="CB1576" s="572">
        <v>3</v>
      </c>
      <c r="CC1576" s="568"/>
      <c r="CD1576" s="568"/>
      <c r="CE1576" s="568"/>
      <c r="CF1576" s="568"/>
      <c r="CG1576" s="568"/>
      <c r="CH1576" s="568"/>
      <c r="CI1576" s="568"/>
      <c r="CJ1576" s="568"/>
      <c r="CK1576" s="568">
        <v>54.64</v>
      </c>
      <c r="CL1576" s="568">
        <v>54.64</v>
      </c>
      <c r="CM1576" s="568">
        <v>54.64</v>
      </c>
      <c r="CN1576" s="568">
        <v>54.64</v>
      </c>
      <c r="CO1576" s="568">
        <v>54.64</v>
      </c>
      <c r="CP1576" s="568">
        <v>54.64</v>
      </c>
      <c r="CQ1576" s="568">
        <v>54.64</v>
      </c>
      <c r="CR1576" s="568">
        <v>54.64</v>
      </c>
      <c r="CS1576" s="568">
        <v>54.64</v>
      </c>
      <c r="CT1576" s="568">
        <v>54.64</v>
      </c>
      <c r="CU1576" s="568"/>
      <c r="CV1576" s="568"/>
      <c r="CW1576" s="568"/>
      <c r="CX1576" s="568"/>
      <c r="CY1576" s="568"/>
      <c r="CZ1576" s="568"/>
      <c r="DA1576" s="568"/>
      <c r="DB1576" s="568"/>
      <c r="DC1576" s="568"/>
      <c r="DD1576" s="568"/>
      <c r="DE1576" s="561"/>
      <c r="DF1576" s="561"/>
      <c r="DG1576" s="561"/>
      <c r="DH1576" s="561"/>
      <c r="DI1576" s="561"/>
      <c r="DJ1576" s="561"/>
      <c r="DK1576" s="897"/>
    </row>
    <row r="1577" spans="1:115" ht="63.75" x14ac:dyDescent="0.2">
      <c r="A1577" s="295">
        <v>1573</v>
      </c>
      <c r="B1577" s="390" t="s">
        <v>4298</v>
      </c>
      <c r="C1577" s="839" t="s">
        <v>7830</v>
      </c>
      <c r="D1577" s="391"/>
      <c r="E1577" s="844" t="s">
        <v>4299</v>
      </c>
      <c r="F1577" s="390" t="s">
        <v>1352</v>
      </c>
      <c r="G1577" s="390" t="s">
        <v>1673</v>
      </c>
      <c r="H1577" s="390" t="s">
        <v>42</v>
      </c>
      <c r="I1577" s="816"/>
      <c r="J1577" s="816" t="s">
        <v>42</v>
      </c>
      <c r="K1577" s="816"/>
      <c r="L1577" s="816" t="s">
        <v>4300</v>
      </c>
      <c r="M1577" s="816" t="s">
        <v>4301</v>
      </c>
      <c r="N1577" s="577" t="s">
        <v>33</v>
      </c>
      <c r="O1577" s="390" t="s">
        <v>45</v>
      </c>
      <c r="P1577" s="390" t="s">
        <v>45</v>
      </c>
      <c r="Q1577" s="402" t="s">
        <v>1210</v>
      </c>
      <c r="R1577" s="402"/>
      <c r="S1577" s="816" t="s">
        <v>291</v>
      </c>
      <c r="T1577" s="851">
        <v>1</v>
      </c>
      <c r="U1577" s="852">
        <v>67.674999999999997</v>
      </c>
      <c r="V1577" s="852"/>
      <c r="W1577" s="856">
        <v>41244</v>
      </c>
      <c r="X1577" s="851">
        <v>28</v>
      </c>
      <c r="Y1577" s="851"/>
      <c r="Z1577" s="851"/>
      <c r="AA1577" s="852"/>
      <c r="AB1577" s="858"/>
      <c r="AC1577" s="862">
        <v>0</v>
      </c>
      <c r="AD1577" s="862">
        <v>676.75</v>
      </c>
      <c r="AE1577" s="577" t="s">
        <v>787</v>
      </c>
      <c r="AF1577" s="866"/>
      <c r="AG1577" s="866"/>
      <c r="AH1577" s="866">
        <v>0</v>
      </c>
      <c r="AI1577" s="851"/>
      <c r="AJ1577" s="858"/>
      <c r="AK1577" s="858"/>
      <c r="AL1577" s="577"/>
      <c r="AM1577" s="577"/>
      <c r="AN1577" s="866"/>
      <c r="AO1577" s="816"/>
      <c r="AP1577" s="816" t="s">
        <v>55</v>
      </c>
      <c r="AQ1577" s="816"/>
      <c r="AR1577" s="816" t="s">
        <v>55</v>
      </c>
      <c r="AS1577" s="728">
        <v>41233</v>
      </c>
      <c r="AT1577" s="858"/>
      <c r="AU1577" s="858"/>
      <c r="AV1577" s="858"/>
      <c r="AW1577" s="858"/>
      <c r="AX1577" s="858"/>
      <c r="AY1577" s="858"/>
      <c r="AZ1577" s="858"/>
      <c r="BA1577" s="577"/>
      <c r="BB1577" s="577" t="s">
        <v>3116</v>
      </c>
      <c r="BC1577" s="577" t="b">
        <v>0</v>
      </c>
      <c r="BD1577" s="577" t="s">
        <v>3147</v>
      </c>
      <c r="BE1577" s="816"/>
      <c r="BF1577" s="411">
        <v>5</v>
      </c>
      <c r="BG1577" s="411">
        <v>9</v>
      </c>
      <c r="BH1577" s="411">
        <v>8</v>
      </c>
      <c r="BI1577" s="411">
        <v>10</v>
      </c>
      <c r="BJ1577" s="411">
        <v>1</v>
      </c>
      <c r="BK1577" s="411">
        <v>11</v>
      </c>
      <c r="BL1577" s="445"/>
      <c r="BM1577" s="816"/>
      <c r="BN1577" s="577"/>
      <c r="BO1577" s="577"/>
      <c r="BP1577" s="875"/>
      <c r="BQ1577" s="880"/>
      <c r="BR1577" s="885"/>
      <c r="BS1577" s="875">
        <v>12</v>
      </c>
      <c r="BT1577" s="851"/>
      <c r="BU1577" s="866"/>
      <c r="BV1577" s="875"/>
      <c r="BW1577" s="577"/>
      <c r="BX1577" s="816"/>
      <c r="BY1577" s="577"/>
      <c r="BZ1577" s="577"/>
      <c r="CA1577" s="890"/>
      <c r="CB1577" s="880"/>
      <c r="CC1577" s="862"/>
      <c r="CD1577" s="862"/>
      <c r="CE1577" s="862"/>
      <c r="CF1577" s="862"/>
      <c r="CG1577" s="862"/>
      <c r="CH1577" s="862"/>
      <c r="CI1577" s="862"/>
      <c r="CJ1577" s="862"/>
      <c r="CK1577" s="862"/>
      <c r="CL1577" s="862"/>
      <c r="CM1577" s="862"/>
      <c r="CN1577" s="862"/>
      <c r="CO1577" s="862"/>
      <c r="CP1577" s="862"/>
      <c r="CQ1577" s="862"/>
      <c r="CR1577" s="862"/>
      <c r="CS1577" s="862"/>
      <c r="CT1577" s="862"/>
      <c r="CU1577" s="862"/>
      <c r="CV1577" s="862"/>
      <c r="CW1577" s="862"/>
      <c r="CX1577" s="862"/>
      <c r="CY1577" s="862"/>
      <c r="CZ1577" s="862"/>
      <c r="DA1577" s="862"/>
      <c r="DB1577" s="862"/>
      <c r="DC1577" s="862"/>
      <c r="DD1577" s="862"/>
      <c r="DE1577" s="577"/>
      <c r="DF1577" s="577"/>
      <c r="DG1577" s="577"/>
      <c r="DH1577" s="577"/>
      <c r="DI1577" s="577"/>
      <c r="DJ1577" s="577"/>
      <c r="DK1577" s="897"/>
    </row>
    <row r="1578" spans="1:115" ht="38.25" x14ac:dyDescent="0.2">
      <c r="A1578" s="295">
        <v>1574</v>
      </c>
      <c r="B1578" s="390" t="s">
        <v>4302</v>
      </c>
      <c r="C1578" s="577"/>
      <c r="D1578" s="391"/>
      <c r="E1578" s="844" t="s">
        <v>4303</v>
      </c>
      <c r="F1578" s="390" t="s">
        <v>1352</v>
      </c>
      <c r="G1578" s="390" t="s">
        <v>1673</v>
      </c>
      <c r="H1578" s="390" t="s">
        <v>42</v>
      </c>
      <c r="I1578" s="816"/>
      <c r="J1578" s="816"/>
      <c r="K1578" s="816" t="s">
        <v>242</v>
      </c>
      <c r="L1578" s="816" t="s">
        <v>4300</v>
      </c>
      <c r="M1578" s="816"/>
      <c r="N1578" s="577" t="s">
        <v>33</v>
      </c>
      <c r="O1578" s="390" t="s">
        <v>45</v>
      </c>
      <c r="P1578" s="390" t="s">
        <v>45</v>
      </c>
      <c r="Q1578" s="402" t="s">
        <v>1210</v>
      </c>
      <c r="R1578" s="402" t="s">
        <v>4304</v>
      </c>
      <c r="S1578" s="816" t="s">
        <v>291</v>
      </c>
      <c r="T1578" s="851">
        <v>1</v>
      </c>
      <c r="U1578" s="852">
        <v>67.674999999999997</v>
      </c>
      <c r="V1578" s="852"/>
      <c r="W1578" s="858"/>
      <c r="X1578" s="851"/>
      <c r="Y1578" s="851">
        <v>10</v>
      </c>
      <c r="Z1578" s="851">
        <v>20</v>
      </c>
      <c r="AA1578" s="852">
        <v>0</v>
      </c>
      <c r="AB1578" s="856">
        <v>41791</v>
      </c>
      <c r="AC1578" s="862">
        <v>0</v>
      </c>
      <c r="AD1578" s="862">
        <v>676.75</v>
      </c>
      <c r="AE1578" s="577" t="s">
        <v>787</v>
      </c>
      <c r="AF1578" s="866"/>
      <c r="AG1578" s="866"/>
      <c r="AH1578" s="866"/>
      <c r="AI1578" s="851"/>
      <c r="AJ1578" s="858"/>
      <c r="AK1578" s="858"/>
      <c r="AL1578" s="577"/>
      <c r="AM1578" s="577"/>
      <c r="AN1578" s="866"/>
      <c r="AO1578" s="816"/>
      <c r="AP1578" s="816" t="s">
        <v>55</v>
      </c>
      <c r="AQ1578" s="816"/>
      <c r="AR1578" s="816" t="s">
        <v>55</v>
      </c>
      <c r="AS1578" s="728">
        <v>41233</v>
      </c>
      <c r="AT1578" s="858"/>
      <c r="AU1578" s="858"/>
      <c r="AV1578" s="858"/>
      <c r="AW1578" s="858"/>
      <c r="AX1578" s="858"/>
      <c r="AY1578" s="858"/>
      <c r="AZ1578" s="858"/>
      <c r="BA1578" s="577"/>
      <c r="BB1578" s="577"/>
      <c r="BC1578" s="577" t="b">
        <v>0</v>
      </c>
      <c r="BD1578" s="577"/>
      <c r="BE1578" s="816"/>
      <c r="BF1578" s="411">
        <v>5</v>
      </c>
      <c r="BG1578" s="411">
        <v>9</v>
      </c>
      <c r="BH1578" s="411">
        <v>8</v>
      </c>
      <c r="BI1578" s="411">
        <v>10</v>
      </c>
      <c r="BJ1578" s="411">
        <v>1</v>
      </c>
      <c r="BK1578" s="411">
        <v>11</v>
      </c>
      <c r="BL1578" s="445" t="s">
        <v>6981</v>
      </c>
      <c r="BM1578" s="816"/>
      <c r="BN1578" s="577"/>
      <c r="BO1578" s="577"/>
      <c r="BP1578" s="875"/>
      <c r="BQ1578" s="880"/>
      <c r="BR1578" s="885"/>
      <c r="BS1578" s="875">
        <v>12</v>
      </c>
      <c r="BT1578" s="851">
        <v>74845</v>
      </c>
      <c r="BU1578" s="866">
        <v>0.92149999999999999</v>
      </c>
      <c r="BV1578" s="875"/>
      <c r="BW1578" s="577" t="s">
        <v>3117</v>
      </c>
      <c r="BX1578" s="816" t="s">
        <v>1447</v>
      </c>
      <c r="BY1578" s="577"/>
      <c r="BZ1578" s="577"/>
      <c r="CA1578" s="890" t="s">
        <v>1662</v>
      </c>
      <c r="CB1578" s="880">
        <v>3</v>
      </c>
      <c r="CC1578" s="862"/>
      <c r="CD1578" s="862"/>
      <c r="CE1578" s="862"/>
      <c r="CF1578" s="862"/>
      <c r="CG1578" s="862"/>
      <c r="CH1578" s="862"/>
      <c r="CI1578" s="862"/>
      <c r="CJ1578" s="862">
        <v>56.036999999999999</v>
      </c>
      <c r="CK1578" s="862">
        <v>68.968999999999994</v>
      </c>
      <c r="CL1578" s="862">
        <v>68.968999999999994</v>
      </c>
      <c r="CM1578" s="862">
        <v>68.968999999999994</v>
      </c>
      <c r="CN1578" s="862">
        <v>68.968999999999994</v>
      </c>
      <c r="CO1578" s="862">
        <v>68.968999999999994</v>
      </c>
      <c r="CP1578" s="862">
        <v>68.968999999999994</v>
      </c>
      <c r="CQ1578" s="862">
        <v>68.968999999999994</v>
      </c>
      <c r="CR1578" s="862">
        <v>68.968999999999994</v>
      </c>
      <c r="CS1578" s="862">
        <v>68.968999999999994</v>
      </c>
      <c r="CT1578" s="862"/>
      <c r="CU1578" s="862"/>
      <c r="CV1578" s="862"/>
      <c r="CW1578" s="862"/>
      <c r="CX1578" s="862"/>
      <c r="CY1578" s="862"/>
      <c r="CZ1578" s="862"/>
      <c r="DA1578" s="862"/>
      <c r="DB1578" s="862"/>
      <c r="DC1578" s="862"/>
      <c r="DD1578" s="862"/>
      <c r="DE1578" s="577"/>
      <c r="DF1578" s="577"/>
      <c r="DG1578" s="577"/>
      <c r="DH1578" s="577"/>
      <c r="DI1578" s="577"/>
      <c r="DJ1578" s="577"/>
      <c r="DK1578" s="897"/>
    </row>
    <row r="1579" spans="1:115" ht="38.25" x14ac:dyDescent="0.2">
      <c r="A1579" s="295">
        <v>1575</v>
      </c>
      <c r="B1579" s="390" t="s">
        <v>4305</v>
      </c>
      <c r="C1579" s="424" t="s">
        <v>7831</v>
      </c>
      <c r="D1579" s="391"/>
      <c r="E1579" s="707" t="s">
        <v>4306</v>
      </c>
      <c r="F1579" s="404" t="s">
        <v>1352</v>
      </c>
      <c r="G1579" s="404" t="s">
        <v>1673</v>
      </c>
      <c r="H1579" s="404" t="s">
        <v>42</v>
      </c>
      <c r="I1579" s="403"/>
      <c r="J1579" s="403" t="s">
        <v>42</v>
      </c>
      <c r="K1579" s="403"/>
      <c r="L1579" s="403" t="s">
        <v>2360</v>
      </c>
      <c r="M1579" s="403" t="s">
        <v>4307</v>
      </c>
      <c r="N1579" s="404" t="s">
        <v>3142</v>
      </c>
      <c r="O1579" s="404" t="s">
        <v>374</v>
      </c>
      <c r="P1579" s="404" t="s">
        <v>374</v>
      </c>
      <c r="Q1579" s="403" t="s">
        <v>1206</v>
      </c>
      <c r="R1579" s="403"/>
      <c r="S1579" s="403" t="s">
        <v>4308</v>
      </c>
      <c r="T1579" s="405">
        <v>1</v>
      </c>
      <c r="U1579" s="406">
        <v>14.996</v>
      </c>
      <c r="V1579" s="406"/>
      <c r="W1579" s="456">
        <v>41235</v>
      </c>
      <c r="X1579" s="405">
        <v>28</v>
      </c>
      <c r="Y1579" s="405"/>
      <c r="Z1579" s="405"/>
      <c r="AA1579" s="406"/>
      <c r="AB1579" s="455"/>
      <c r="AC1579" s="407">
        <v>0</v>
      </c>
      <c r="AD1579" s="407">
        <v>120.00908493150685</v>
      </c>
      <c r="AE1579" s="404" t="s">
        <v>96</v>
      </c>
      <c r="AF1579" s="418"/>
      <c r="AG1579" s="418"/>
      <c r="AH1579" s="418">
        <v>0</v>
      </c>
      <c r="AI1579" s="405"/>
      <c r="AJ1579" s="455"/>
      <c r="AK1579" s="455"/>
      <c r="AL1579" s="404"/>
      <c r="AM1579" s="404"/>
      <c r="AN1579" s="418"/>
      <c r="AO1579" s="403"/>
      <c r="AP1579" s="403" t="s">
        <v>55</v>
      </c>
      <c r="AQ1579" s="403"/>
      <c r="AR1579" s="403" t="s">
        <v>55</v>
      </c>
      <c r="AS1579" s="482">
        <v>41235</v>
      </c>
      <c r="AT1579" s="455"/>
      <c r="AU1579" s="455"/>
      <c r="AV1579" s="455"/>
      <c r="AW1579" s="455"/>
      <c r="AX1579" s="455"/>
      <c r="AY1579" s="455"/>
      <c r="AZ1579" s="455"/>
      <c r="BA1579" s="404"/>
      <c r="BB1579" s="404" t="s">
        <v>3116</v>
      </c>
      <c r="BC1579" s="404" t="b">
        <v>0</v>
      </c>
      <c r="BD1579" s="404" t="s">
        <v>3116</v>
      </c>
      <c r="BE1579" s="403"/>
      <c r="BF1579" s="405">
        <v>3</v>
      </c>
      <c r="BG1579" s="405">
        <v>9</v>
      </c>
      <c r="BH1579" s="405"/>
      <c r="BI1579" s="405"/>
      <c r="BJ1579" s="405"/>
      <c r="BK1579" s="405"/>
      <c r="BL1579" s="446"/>
      <c r="BM1579" s="403"/>
      <c r="BN1579" s="404"/>
      <c r="BO1579" s="404"/>
      <c r="BP1579" s="408"/>
      <c r="BQ1579" s="409"/>
      <c r="BR1579" s="410"/>
      <c r="BS1579" s="408">
        <v>0</v>
      </c>
      <c r="BT1579" s="405"/>
      <c r="BU1579" s="418"/>
      <c r="BV1579" s="408"/>
      <c r="BW1579" s="404"/>
      <c r="BX1579" s="403"/>
      <c r="BY1579" s="404"/>
      <c r="BZ1579" s="404"/>
      <c r="CA1579" s="443"/>
      <c r="CB1579" s="409"/>
      <c r="CC1579" s="407"/>
      <c r="CD1579" s="407"/>
      <c r="CE1579" s="407"/>
      <c r="CF1579" s="407"/>
      <c r="CG1579" s="407"/>
      <c r="CH1579" s="407"/>
      <c r="CI1579" s="407"/>
      <c r="CJ1579" s="407"/>
      <c r="CK1579" s="407"/>
      <c r="CL1579" s="407"/>
      <c r="CM1579" s="407"/>
      <c r="CN1579" s="407"/>
      <c r="CO1579" s="407"/>
      <c r="CP1579" s="407"/>
      <c r="CQ1579" s="407"/>
      <c r="CR1579" s="407"/>
      <c r="CS1579" s="407"/>
      <c r="CT1579" s="407"/>
      <c r="CU1579" s="407"/>
      <c r="CV1579" s="407"/>
      <c r="CW1579" s="407"/>
      <c r="CX1579" s="407"/>
      <c r="CY1579" s="407"/>
      <c r="CZ1579" s="407"/>
      <c r="DA1579" s="407"/>
      <c r="DB1579" s="407"/>
      <c r="DC1579" s="407"/>
      <c r="DD1579" s="407"/>
      <c r="DE1579" s="404"/>
      <c r="DF1579" s="404"/>
      <c r="DG1579" s="404"/>
      <c r="DH1579" s="404"/>
      <c r="DI1579" s="404"/>
      <c r="DJ1579" s="404"/>
      <c r="DK1579" s="897"/>
    </row>
    <row r="1580" spans="1:115" ht="25.5" x14ac:dyDescent="0.2">
      <c r="A1580" s="295">
        <v>1576</v>
      </c>
      <c r="B1580" s="390" t="s">
        <v>4309</v>
      </c>
      <c r="C1580" s="390"/>
      <c r="D1580" s="391"/>
      <c r="E1580" s="707" t="s">
        <v>4310</v>
      </c>
      <c r="F1580" s="404" t="s">
        <v>1352</v>
      </c>
      <c r="G1580" s="404" t="s">
        <v>1673</v>
      </c>
      <c r="H1580" s="404" t="s">
        <v>42</v>
      </c>
      <c r="I1580" s="403"/>
      <c r="J1580" s="403"/>
      <c r="K1580" s="403" t="s">
        <v>4288</v>
      </c>
      <c r="L1580" s="403" t="s">
        <v>2360</v>
      </c>
      <c r="M1580" s="403"/>
      <c r="N1580" s="404" t="s">
        <v>3142</v>
      </c>
      <c r="O1580" s="404" t="s">
        <v>374</v>
      </c>
      <c r="P1580" s="404" t="s">
        <v>374</v>
      </c>
      <c r="Q1580" s="403" t="s">
        <v>1206</v>
      </c>
      <c r="R1580" s="403" t="s">
        <v>4311</v>
      </c>
      <c r="S1580" s="403" t="s">
        <v>4308</v>
      </c>
      <c r="T1580" s="405">
        <v>1</v>
      </c>
      <c r="U1580" s="406">
        <v>14.996</v>
      </c>
      <c r="V1580" s="406"/>
      <c r="W1580" s="455"/>
      <c r="X1580" s="405"/>
      <c r="Y1580" s="405">
        <v>7</v>
      </c>
      <c r="Z1580" s="405"/>
      <c r="AA1580" s="406">
        <v>0</v>
      </c>
      <c r="AB1580" s="456">
        <v>41275</v>
      </c>
      <c r="AC1580" s="407">
        <v>0</v>
      </c>
      <c r="AD1580" s="407">
        <v>120.00908493150685</v>
      </c>
      <c r="AE1580" s="404" t="s">
        <v>96</v>
      </c>
      <c r="AF1580" s="418"/>
      <c r="AG1580" s="418"/>
      <c r="AH1580" s="418"/>
      <c r="AI1580" s="405"/>
      <c r="AJ1580" s="455"/>
      <c r="AK1580" s="455"/>
      <c r="AL1580" s="404"/>
      <c r="AM1580" s="404"/>
      <c r="AN1580" s="418"/>
      <c r="AO1580" s="403"/>
      <c r="AP1580" s="403" t="s">
        <v>55</v>
      </c>
      <c r="AQ1580" s="403"/>
      <c r="AR1580" s="403" t="s">
        <v>55</v>
      </c>
      <c r="AS1580" s="482">
        <v>41235</v>
      </c>
      <c r="AT1580" s="455"/>
      <c r="AU1580" s="455"/>
      <c r="AV1580" s="455"/>
      <c r="AW1580" s="455"/>
      <c r="AX1580" s="455"/>
      <c r="AY1580" s="455"/>
      <c r="AZ1580" s="455"/>
      <c r="BA1580" s="404"/>
      <c r="BB1580" s="404"/>
      <c r="BC1580" s="404" t="b">
        <v>0</v>
      </c>
      <c r="BD1580" s="404"/>
      <c r="BE1580" s="403"/>
      <c r="BF1580" s="405">
        <v>3</v>
      </c>
      <c r="BG1580" s="405">
        <v>9</v>
      </c>
      <c r="BH1580" s="405"/>
      <c r="BI1580" s="405"/>
      <c r="BJ1580" s="405"/>
      <c r="BK1580" s="405"/>
      <c r="BL1580" s="446" t="s">
        <v>6981</v>
      </c>
      <c r="BM1580" s="403"/>
      <c r="BN1580" s="404"/>
      <c r="BO1580" s="404"/>
      <c r="BP1580" s="408"/>
      <c r="BQ1580" s="409"/>
      <c r="BR1580" s="410"/>
      <c r="BS1580" s="408"/>
      <c r="BT1580" s="405"/>
      <c r="BU1580" s="418"/>
      <c r="BV1580" s="408"/>
      <c r="BW1580" s="404" t="s">
        <v>3117</v>
      </c>
      <c r="BX1580" s="403" t="s">
        <v>1520</v>
      </c>
      <c r="BY1580" s="404"/>
      <c r="BZ1580" s="404"/>
      <c r="CA1580" s="443"/>
      <c r="CB1580" s="409"/>
      <c r="CC1580" s="407"/>
      <c r="CD1580" s="407"/>
      <c r="CE1580" s="407"/>
      <c r="CF1580" s="407"/>
      <c r="CG1580" s="407"/>
      <c r="CH1580" s="407"/>
      <c r="CI1580" s="407">
        <v>14.996</v>
      </c>
      <c r="CJ1580" s="407">
        <v>14.996</v>
      </c>
      <c r="CK1580" s="407">
        <v>14.996</v>
      </c>
      <c r="CL1580" s="407">
        <v>14.996</v>
      </c>
      <c r="CM1580" s="407">
        <v>14.996</v>
      </c>
      <c r="CN1580" s="407">
        <v>14.996</v>
      </c>
      <c r="CO1580" s="407">
        <v>14.996</v>
      </c>
      <c r="CP1580" s="407"/>
      <c r="CQ1580" s="407"/>
      <c r="CR1580" s="407"/>
      <c r="CS1580" s="407"/>
      <c r="CT1580" s="407"/>
      <c r="CU1580" s="407"/>
      <c r="CV1580" s="407"/>
      <c r="CW1580" s="407"/>
      <c r="CX1580" s="407"/>
      <c r="CY1580" s="407"/>
      <c r="CZ1580" s="407"/>
      <c r="DA1580" s="407"/>
      <c r="DB1580" s="407"/>
      <c r="DC1580" s="407"/>
      <c r="DD1580" s="407"/>
      <c r="DE1580" s="404"/>
      <c r="DF1580" s="404"/>
      <c r="DG1580" s="404"/>
      <c r="DH1580" s="404"/>
      <c r="DI1580" s="404"/>
      <c r="DJ1580" s="404"/>
      <c r="DK1580" s="897"/>
    </row>
    <row r="1581" spans="1:115" ht="38.25" x14ac:dyDescent="0.2">
      <c r="A1581" s="295">
        <v>1577</v>
      </c>
      <c r="B1581" s="390" t="s">
        <v>4312</v>
      </c>
      <c r="C1581" s="424" t="s">
        <v>7832</v>
      </c>
      <c r="D1581" s="391"/>
      <c r="E1581" s="706" t="s">
        <v>4313</v>
      </c>
      <c r="F1581" s="390" t="s">
        <v>1352</v>
      </c>
      <c r="G1581" s="390" t="s">
        <v>1673</v>
      </c>
      <c r="H1581" s="390" t="s">
        <v>239</v>
      </c>
      <c r="I1581" s="402"/>
      <c r="J1581" s="402" t="s">
        <v>239</v>
      </c>
      <c r="K1581" s="402"/>
      <c r="L1581" s="402" t="s">
        <v>4292</v>
      </c>
      <c r="M1581" s="402" t="s">
        <v>4314</v>
      </c>
      <c r="N1581" s="390" t="s">
        <v>33</v>
      </c>
      <c r="O1581" s="390" t="s">
        <v>5030</v>
      </c>
      <c r="P1581" s="390" t="s">
        <v>5030</v>
      </c>
      <c r="Q1581" s="402" t="s">
        <v>1834</v>
      </c>
      <c r="R1581" s="402"/>
      <c r="S1581" s="402" t="s">
        <v>291</v>
      </c>
      <c r="T1581" s="411">
        <v>1</v>
      </c>
      <c r="U1581" s="412">
        <v>6.6660000000000004</v>
      </c>
      <c r="V1581" s="412"/>
      <c r="W1581" s="457">
        <v>41235</v>
      </c>
      <c r="X1581" s="411">
        <v>28</v>
      </c>
      <c r="Y1581" s="411"/>
      <c r="Z1581" s="411"/>
      <c r="AA1581" s="412"/>
      <c r="AB1581" s="454"/>
      <c r="AC1581" s="413">
        <v>0</v>
      </c>
      <c r="AD1581" s="413">
        <v>53.346263013698639</v>
      </c>
      <c r="AE1581" s="390" t="s">
        <v>96</v>
      </c>
      <c r="AF1581" s="419"/>
      <c r="AG1581" s="419"/>
      <c r="AH1581" s="419">
        <v>0</v>
      </c>
      <c r="AI1581" s="411"/>
      <c r="AJ1581" s="454"/>
      <c r="AK1581" s="454"/>
      <c r="AL1581" s="390"/>
      <c r="AM1581" s="390"/>
      <c r="AN1581" s="419"/>
      <c r="AO1581" s="402"/>
      <c r="AP1581" s="402" t="s">
        <v>55</v>
      </c>
      <c r="AQ1581" s="402"/>
      <c r="AR1581" s="402" t="s">
        <v>55</v>
      </c>
      <c r="AS1581" s="481">
        <v>41235</v>
      </c>
      <c r="AT1581" s="454"/>
      <c r="AU1581" s="454"/>
      <c r="AV1581" s="454"/>
      <c r="AW1581" s="454"/>
      <c r="AX1581" s="454"/>
      <c r="AY1581" s="454"/>
      <c r="AZ1581" s="454"/>
      <c r="BA1581" s="390"/>
      <c r="BB1581" s="390" t="s">
        <v>3147</v>
      </c>
      <c r="BC1581" s="390" t="b">
        <v>1</v>
      </c>
      <c r="BD1581" s="390" t="s">
        <v>3116</v>
      </c>
      <c r="BE1581" s="402"/>
      <c r="BF1581" s="411">
        <v>3</v>
      </c>
      <c r="BG1581" s="411">
        <v>5</v>
      </c>
      <c r="BH1581" s="411">
        <v>9</v>
      </c>
      <c r="BI1581" s="411"/>
      <c r="BJ1581" s="411"/>
      <c r="BK1581" s="411"/>
      <c r="BL1581" s="445"/>
      <c r="BM1581" s="402"/>
      <c r="BN1581" s="390"/>
      <c r="BO1581" s="390"/>
      <c r="BP1581" s="414"/>
      <c r="BQ1581" s="415"/>
      <c r="BR1581" s="416"/>
      <c r="BS1581" s="414">
        <v>10</v>
      </c>
      <c r="BT1581" s="411"/>
      <c r="BU1581" s="419"/>
      <c r="BV1581" s="414"/>
      <c r="BW1581" s="390"/>
      <c r="BX1581" s="402"/>
      <c r="BY1581" s="390"/>
      <c r="BZ1581" s="390"/>
      <c r="CA1581" s="442"/>
      <c r="CB1581" s="415"/>
      <c r="CC1581" s="413"/>
      <c r="CD1581" s="413"/>
      <c r="CE1581" s="413"/>
      <c r="CF1581" s="413"/>
      <c r="CG1581" s="413"/>
      <c r="CH1581" s="413"/>
      <c r="CI1581" s="413"/>
      <c r="CJ1581" s="413"/>
      <c r="CK1581" s="413"/>
      <c r="CL1581" s="413"/>
      <c r="CM1581" s="413"/>
      <c r="CN1581" s="413"/>
      <c r="CO1581" s="413"/>
      <c r="CP1581" s="413"/>
      <c r="CQ1581" s="413"/>
      <c r="CR1581" s="413"/>
      <c r="CS1581" s="413"/>
      <c r="CT1581" s="413"/>
      <c r="CU1581" s="413"/>
      <c r="CV1581" s="413"/>
      <c r="CW1581" s="413"/>
      <c r="CX1581" s="413"/>
      <c r="CY1581" s="413"/>
      <c r="CZ1581" s="413"/>
      <c r="DA1581" s="413"/>
      <c r="DB1581" s="413"/>
      <c r="DC1581" s="413"/>
      <c r="DD1581" s="413"/>
      <c r="DE1581" s="390"/>
      <c r="DF1581" s="390"/>
      <c r="DG1581" s="390"/>
      <c r="DH1581" s="390"/>
      <c r="DI1581" s="390"/>
      <c r="DJ1581" s="390"/>
      <c r="DK1581" s="897"/>
    </row>
    <row r="1582" spans="1:115" ht="25.5" x14ac:dyDescent="0.2">
      <c r="A1582" s="295">
        <v>1578</v>
      </c>
      <c r="B1582" s="390" t="s">
        <v>4315</v>
      </c>
      <c r="C1582" s="390"/>
      <c r="D1582" s="391"/>
      <c r="E1582" s="706" t="s">
        <v>4316</v>
      </c>
      <c r="F1582" s="390" t="s">
        <v>1352</v>
      </c>
      <c r="G1582" s="390" t="s">
        <v>1673</v>
      </c>
      <c r="H1582" s="390" t="s">
        <v>239</v>
      </c>
      <c r="I1582" s="402"/>
      <c r="J1582" s="402"/>
      <c r="K1582" s="402" t="s">
        <v>242</v>
      </c>
      <c r="L1582" s="402" t="s">
        <v>4292</v>
      </c>
      <c r="M1582" s="402"/>
      <c r="N1582" s="390" t="s">
        <v>33</v>
      </c>
      <c r="O1582" s="390" t="s">
        <v>827</v>
      </c>
      <c r="P1582" s="390" t="s">
        <v>827</v>
      </c>
      <c r="Q1582" s="402" t="s">
        <v>836</v>
      </c>
      <c r="R1582" s="402" t="s">
        <v>4317</v>
      </c>
      <c r="S1582" s="402" t="s">
        <v>291</v>
      </c>
      <c r="T1582" s="411">
        <v>1</v>
      </c>
      <c r="U1582" s="412">
        <v>6.6660000000000004</v>
      </c>
      <c r="V1582" s="412"/>
      <c r="W1582" s="454"/>
      <c r="X1582" s="411"/>
      <c r="Y1582" s="411">
        <v>7</v>
      </c>
      <c r="Z1582" s="411">
        <v>20</v>
      </c>
      <c r="AA1582" s="412">
        <v>-0.49</v>
      </c>
      <c r="AB1582" s="457">
        <v>41275</v>
      </c>
      <c r="AC1582" s="413">
        <v>0</v>
      </c>
      <c r="AD1582" s="413">
        <v>53.346263013698639</v>
      </c>
      <c r="AE1582" s="390" t="s">
        <v>96</v>
      </c>
      <c r="AF1582" s="419"/>
      <c r="AG1582" s="419"/>
      <c r="AH1582" s="419"/>
      <c r="AI1582" s="411"/>
      <c r="AJ1582" s="454"/>
      <c r="AK1582" s="454"/>
      <c r="AL1582" s="390"/>
      <c r="AM1582" s="390"/>
      <c r="AN1582" s="419"/>
      <c r="AO1582" s="402"/>
      <c r="AP1582" s="402" t="s">
        <v>55</v>
      </c>
      <c r="AQ1582" s="402"/>
      <c r="AR1582" s="402" t="s">
        <v>55</v>
      </c>
      <c r="AS1582" s="481">
        <v>41235</v>
      </c>
      <c r="AT1582" s="454"/>
      <c r="AU1582" s="454"/>
      <c r="AV1582" s="454"/>
      <c r="AW1582" s="454"/>
      <c r="AX1582" s="454"/>
      <c r="AY1582" s="454"/>
      <c r="AZ1582" s="454"/>
      <c r="BA1582" s="390"/>
      <c r="BB1582" s="390"/>
      <c r="BC1582" s="390" t="b">
        <v>0</v>
      </c>
      <c r="BD1582" s="390"/>
      <c r="BE1582" s="402"/>
      <c r="BF1582" s="411">
        <v>3</v>
      </c>
      <c r="BG1582" s="411">
        <v>5</v>
      </c>
      <c r="BH1582" s="411">
        <v>9</v>
      </c>
      <c r="BI1582" s="411"/>
      <c r="BJ1582" s="411"/>
      <c r="BK1582" s="411"/>
      <c r="BL1582" s="445" t="s">
        <v>1451</v>
      </c>
      <c r="BM1582" s="402" t="s">
        <v>4318</v>
      </c>
      <c r="BN1582" s="390" t="s">
        <v>3288</v>
      </c>
      <c r="BO1582" s="390"/>
      <c r="BP1582" s="414"/>
      <c r="BQ1582" s="415"/>
      <c r="BR1582" s="416"/>
      <c r="BS1582" s="414">
        <v>10</v>
      </c>
      <c r="BT1582" s="411">
        <v>15336</v>
      </c>
      <c r="BU1582" s="419">
        <v>0.43469999999999998</v>
      </c>
      <c r="BV1582" s="414"/>
      <c r="BW1582" s="390" t="s">
        <v>3117</v>
      </c>
      <c r="BX1582" s="402" t="s">
        <v>1520</v>
      </c>
      <c r="BY1582" s="390"/>
      <c r="BZ1582" s="390"/>
      <c r="CA1582" s="442"/>
      <c r="CB1582" s="415"/>
      <c r="CC1582" s="413"/>
      <c r="CD1582" s="413"/>
      <c r="CE1582" s="413"/>
      <c r="CF1582" s="413"/>
      <c r="CG1582" s="413"/>
      <c r="CH1582" s="413"/>
      <c r="CI1582" s="413"/>
      <c r="CJ1582" s="413">
        <v>6.89</v>
      </c>
      <c r="CK1582" s="413">
        <v>6.84</v>
      </c>
      <c r="CL1582" s="413">
        <v>6.79</v>
      </c>
      <c r="CM1582" s="413">
        <v>6.7409999999999997</v>
      </c>
      <c r="CN1582" s="413">
        <v>6.6909999999999998</v>
      </c>
      <c r="CO1582" s="413">
        <v>6.641</v>
      </c>
      <c r="CP1582" s="413">
        <v>6.5910000000000002</v>
      </c>
      <c r="CQ1582" s="413">
        <v>6.5419999999999998</v>
      </c>
      <c r="CR1582" s="413">
        <v>6.492</v>
      </c>
      <c r="CS1582" s="413">
        <v>6.4420000000000002</v>
      </c>
      <c r="CT1582" s="413"/>
      <c r="CU1582" s="413"/>
      <c r="CV1582" s="413"/>
      <c r="CW1582" s="413"/>
      <c r="CX1582" s="413"/>
      <c r="CY1582" s="413"/>
      <c r="CZ1582" s="413"/>
      <c r="DA1582" s="413"/>
      <c r="DB1582" s="413"/>
      <c r="DC1582" s="413"/>
      <c r="DD1582" s="413"/>
      <c r="DE1582" s="390"/>
      <c r="DF1582" s="390"/>
      <c r="DG1582" s="390"/>
      <c r="DH1582" s="390"/>
      <c r="DI1582" s="390"/>
      <c r="DJ1582" s="390"/>
      <c r="DK1582" s="897"/>
    </row>
    <row r="1583" spans="1:115" ht="51" x14ac:dyDescent="0.2">
      <c r="A1583" s="295">
        <v>1579</v>
      </c>
      <c r="B1583" s="390" t="s">
        <v>4319</v>
      </c>
      <c r="C1583" s="424" t="s">
        <v>7833</v>
      </c>
      <c r="D1583" s="391"/>
      <c r="E1583" s="710" t="s">
        <v>920</v>
      </c>
      <c r="F1583" s="390" t="s">
        <v>1352</v>
      </c>
      <c r="G1583" s="390" t="s">
        <v>1672</v>
      </c>
      <c r="H1583" s="390" t="s">
        <v>107</v>
      </c>
      <c r="I1583" s="402"/>
      <c r="J1583" s="402" t="s">
        <v>4320</v>
      </c>
      <c r="K1583" s="402"/>
      <c r="L1583" s="402" t="s">
        <v>4321</v>
      </c>
      <c r="M1583" s="402" t="s">
        <v>4322</v>
      </c>
      <c r="N1583" s="390" t="s">
        <v>33</v>
      </c>
      <c r="O1583" s="390" t="s">
        <v>827</v>
      </c>
      <c r="P1583" s="390" t="s">
        <v>827</v>
      </c>
      <c r="Q1583" s="402" t="s">
        <v>836</v>
      </c>
      <c r="R1583" s="402"/>
      <c r="S1583" s="448" t="s">
        <v>7902</v>
      </c>
      <c r="T1583" s="411">
        <v>1</v>
      </c>
      <c r="U1583" s="412">
        <v>1.3260000000000001</v>
      </c>
      <c r="V1583" s="412"/>
      <c r="W1583" s="457">
        <v>40787</v>
      </c>
      <c r="X1583" s="411">
        <v>28</v>
      </c>
      <c r="Y1583" s="411"/>
      <c r="Z1583" s="411"/>
      <c r="AA1583" s="412"/>
      <c r="AB1583" s="454"/>
      <c r="AC1583" s="413">
        <v>0.33150000000000002</v>
      </c>
      <c r="AD1583" s="413">
        <v>12.31908493150685</v>
      </c>
      <c r="AE1583" s="390" t="s">
        <v>111</v>
      </c>
      <c r="AF1583" s="419"/>
      <c r="AG1583" s="419"/>
      <c r="AH1583" s="419">
        <v>0</v>
      </c>
      <c r="AI1583" s="411"/>
      <c r="AJ1583" s="454"/>
      <c r="AK1583" s="454"/>
      <c r="AL1583" s="390"/>
      <c r="AM1583" s="390"/>
      <c r="AN1583" s="419"/>
      <c r="AO1583" s="402"/>
      <c r="AP1583" s="402" t="s">
        <v>55</v>
      </c>
      <c r="AQ1583" s="402"/>
      <c r="AR1583" s="402" t="s">
        <v>55</v>
      </c>
      <c r="AS1583" s="481">
        <v>41235</v>
      </c>
      <c r="AT1583" s="454"/>
      <c r="AU1583" s="454"/>
      <c r="AV1583" s="454"/>
      <c r="AW1583" s="454"/>
      <c r="AX1583" s="454"/>
      <c r="AY1583" s="454"/>
      <c r="AZ1583" s="454"/>
      <c r="BA1583" s="390"/>
      <c r="BB1583" s="390" t="s">
        <v>3147</v>
      </c>
      <c r="BC1583" s="390" t="b">
        <v>1</v>
      </c>
      <c r="BD1583" s="390" t="s">
        <v>3147</v>
      </c>
      <c r="BE1583" s="402"/>
      <c r="BF1583" s="411">
        <v>9</v>
      </c>
      <c r="BG1583" s="411">
        <v>5</v>
      </c>
      <c r="BH1583" s="411">
        <v>8</v>
      </c>
      <c r="BI1583" s="411">
        <v>1</v>
      </c>
      <c r="BJ1583" s="411"/>
      <c r="BK1583" s="411"/>
      <c r="BL1583" s="445"/>
      <c r="BM1583" s="402"/>
      <c r="BN1583" s="390"/>
      <c r="BO1583" s="390"/>
      <c r="BP1583" s="414"/>
      <c r="BQ1583" s="415"/>
      <c r="BR1583" s="416"/>
      <c r="BS1583" s="414">
        <v>1.4570000000000001</v>
      </c>
      <c r="BT1583" s="411"/>
      <c r="BU1583" s="419"/>
      <c r="BV1583" s="414"/>
      <c r="BW1583" s="390"/>
      <c r="BX1583" s="402"/>
      <c r="BY1583" s="390"/>
      <c r="BZ1583" s="390"/>
      <c r="CA1583" s="442"/>
      <c r="CB1583" s="415"/>
      <c r="CC1583" s="413"/>
      <c r="CD1583" s="413"/>
      <c r="CE1583" s="413"/>
      <c r="CF1583" s="413"/>
      <c r="CG1583" s="413"/>
      <c r="CH1583" s="413"/>
      <c r="CI1583" s="413"/>
      <c r="CJ1583" s="413"/>
      <c r="CK1583" s="413"/>
      <c r="CL1583" s="413"/>
      <c r="CM1583" s="413"/>
      <c r="CN1583" s="413"/>
      <c r="CO1583" s="413"/>
      <c r="CP1583" s="413"/>
      <c r="CQ1583" s="413"/>
      <c r="CR1583" s="413"/>
      <c r="CS1583" s="413"/>
      <c r="CT1583" s="413"/>
      <c r="CU1583" s="413"/>
      <c r="CV1583" s="413"/>
      <c r="CW1583" s="413"/>
      <c r="CX1583" s="413"/>
      <c r="CY1583" s="413"/>
      <c r="CZ1583" s="413"/>
      <c r="DA1583" s="413"/>
      <c r="DB1583" s="413"/>
      <c r="DC1583" s="413"/>
      <c r="DD1583" s="413"/>
      <c r="DE1583" s="390"/>
      <c r="DF1583" s="390"/>
      <c r="DG1583" s="390"/>
      <c r="DH1583" s="390"/>
      <c r="DI1583" s="390"/>
      <c r="DJ1583" s="390"/>
      <c r="DK1583" s="897"/>
    </row>
    <row r="1584" spans="1:115" ht="25.5" x14ac:dyDescent="0.2">
      <c r="A1584" s="295">
        <v>1580</v>
      </c>
      <c r="B1584" s="390" t="s">
        <v>4323</v>
      </c>
      <c r="C1584" s="390"/>
      <c r="D1584" s="391"/>
      <c r="E1584" s="706" t="s">
        <v>4324</v>
      </c>
      <c r="F1584" s="390" t="s">
        <v>1352</v>
      </c>
      <c r="G1584" s="390" t="s">
        <v>1672</v>
      </c>
      <c r="H1584" s="390" t="s">
        <v>107</v>
      </c>
      <c r="I1584" s="402"/>
      <c r="J1584" s="402"/>
      <c r="K1584" s="402" t="s">
        <v>4320</v>
      </c>
      <c r="L1584" s="402" t="s">
        <v>4321</v>
      </c>
      <c r="M1584" s="402"/>
      <c r="N1584" s="390" t="s">
        <v>33</v>
      </c>
      <c r="O1584" s="390" t="s">
        <v>827</v>
      </c>
      <c r="P1584" s="390" t="s">
        <v>827</v>
      </c>
      <c r="Q1584" s="402" t="s">
        <v>836</v>
      </c>
      <c r="R1584" s="402" t="s">
        <v>4325</v>
      </c>
      <c r="S1584" s="448" t="s">
        <v>7902</v>
      </c>
      <c r="T1584" s="411">
        <v>1</v>
      </c>
      <c r="U1584" s="412">
        <v>1.3260000000000001</v>
      </c>
      <c r="V1584" s="412"/>
      <c r="W1584" s="454"/>
      <c r="X1584" s="411"/>
      <c r="Y1584" s="411">
        <v>7</v>
      </c>
      <c r="Z1584" s="411">
        <v>20</v>
      </c>
      <c r="AA1584" s="412">
        <v>0</v>
      </c>
      <c r="AB1584" s="457">
        <v>40805</v>
      </c>
      <c r="AC1584" s="413">
        <v>0.33150000000000002</v>
      </c>
      <c r="AD1584" s="413">
        <v>12.31908493150685</v>
      </c>
      <c r="AE1584" s="390" t="s">
        <v>111</v>
      </c>
      <c r="AF1584" s="419"/>
      <c r="AG1584" s="419"/>
      <c r="AH1584" s="419"/>
      <c r="AI1584" s="411"/>
      <c r="AJ1584" s="454"/>
      <c r="AK1584" s="454"/>
      <c r="AL1584" s="390"/>
      <c r="AM1584" s="390"/>
      <c r="AN1584" s="419"/>
      <c r="AO1584" s="402"/>
      <c r="AP1584" s="402" t="s">
        <v>55</v>
      </c>
      <c r="AQ1584" s="402"/>
      <c r="AR1584" s="402" t="s">
        <v>55</v>
      </c>
      <c r="AS1584" s="481">
        <v>41235</v>
      </c>
      <c r="AT1584" s="454"/>
      <c r="AU1584" s="454"/>
      <c r="AV1584" s="454"/>
      <c r="AW1584" s="454"/>
      <c r="AX1584" s="454"/>
      <c r="AY1584" s="454"/>
      <c r="AZ1584" s="454"/>
      <c r="BA1584" s="390"/>
      <c r="BB1584" s="390"/>
      <c r="BC1584" s="390" t="b">
        <v>0</v>
      </c>
      <c r="BD1584" s="390"/>
      <c r="BE1584" s="402"/>
      <c r="BF1584" s="411">
        <v>9</v>
      </c>
      <c r="BG1584" s="411">
        <v>5</v>
      </c>
      <c r="BH1584" s="411">
        <v>8</v>
      </c>
      <c r="BI1584" s="411">
        <v>1</v>
      </c>
      <c r="BJ1584" s="411"/>
      <c r="BK1584" s="411"/>
      <c r="BL1584" s="445" t="s">
        <v>6981</v>
      </c>
      <c r="BM1584" s="402"/>
      <c r="BN1584" s="390"/>
      <c r="BO1584" s="390"/>
      <c r="BP1584" s="414"/>
      <c r="BQ1584" s="415"/>
      <c r="BR1584" s="416"/>
      <c r="BS1584" s="414">
        <v>1.4570000000000001</v>
      </c>
      <c r="BT1584" s="411"/>
      <c r="BU1584" s="419"/>
      <c r="BV1584" s="414"/>
      <c r="BW1584" s="390" t="s">
        <v>3117</v>
      </c>
      <c r="BX1584" s="402" t="s">
        <v>1520</v>
      </c>
      <c r="BY1584" s="390"/>
      <c r="BZ1584" s="390"/>
      <c r="CA1584" s="442"/>
      <c r="CB1584" s="415"/>
      <c r="CC1584" s="413"/>
      <c r="CD1584" s="413"/>
      <c r="CE1584" s="413"/>
      <c r="CF1584" s="413"/>
      <c r="CG1584" s="413"/>
      <c r="CH1584" s="413"/>
      <c r="CI1584" s="413">
        <v>1.3260000000000001</v>
      </c>
      <c r="CJ1584" s="413">
        <v>1.3260000000000001</v>
      </c>
      <c r="CK1584" s="413">
        <v>1.3260000000000001</v>
      </c>
      <c r="CL1584" s="413">
        <v>1.3260000000000001</v>
      </c>
      <c r="CM1584" s="413">
        <v>1.3260000000000001</v>
      </c>
      <c r="CN1584" s="413">
        <v>1.3260000000000001</v>
      </c>
      <c r="CO1584" s="413">
        <v>1.3260000000000001</v>
      </c>
      <c r="CP1584" s="413"/>
      <c r="CQ1584" s="413"/>
      <c r="CR1584" s="413"/>
      <c r="CS1584" s="413"/>
      <c r="CT1584" s="413"/>
      <c r="CU1584" s="413"/>
      <c r="CV1584" s="413"/>
      <c r="CW1584" s="413"/>
      <c r="CX1584" s="413"/>
      <c r="CY1584" s="413"/>
      <c r="CZ1584" s="413"/>
      <c r="DA1584" s="413"/>
      <c r="DB1584" s="413"/>
      <c r="DC1584" s="413"/>
      <c r="DD1584" s="413"/>
      <c r="DE1584" s="390"/>
      <c r="DF1584" s="390"/>
      <c r="DG1584" s="390"/>
      <c r="DH1584" s="390"/>
      <c r="DI1584" s="390"/>
      <c r="DJ1584" s="390"/>
      <c r="DK1584" s="897"/>
    </row>
    <row r="1585" spans="1:115" ht="51" x14ac:dyDescent="0.2">
      <c r="A1585" s="295">
        <v>1581</v>
      </c>
      <c r="B1585" s="390" t="s">
        <v>4326</v>
      </c>
      <c r="C1585" s="424" t="s">
        <v>7834</v>
      </c>
      <c r="D1585" s="391" t="s">
        <v>5245</v>
      </c>
      <c r="E1585" s="704" t="s">
        <v>593</v>
      </c>
      <c r="F1585" s="393" t="s">
        <v>1352</v>
      </c>
      <c r="G1585" s="393" t="s">
        <v>1671</v>
      </c>
      <c r="H1585" s="393" t="s">
        <v>117</v>
      </c>
      <c r="I1585" s="392"/>
      <c r="J1585" s="392" t="s">
        <v>2171</v>
      </c>
      <c r="K1585" s="392"/>
      <c r="L1585" s="392" t="s">
        <v>210</v>
      </c>
      <c r="M1585" s="392" t="s">
        <v>3319</v>
      </c>
      <c r="N1585" s="393" t="s">
        <v>44</v>
      </c>
      <c r="O1585" s="393" t="s">
        <v>69</v>
      </c>
      <c r="P1585" s="393" t="s">
        <v>69</v>
      </c>
      <c r="Q1585" s="392" t="s">
        <v>572</v>
      </c>
      <c r="R1585" s="392"/>
      <c r="S1585" s="392" t="s">
        <v>573</v>
      </c>
      <c r="T1585" s="394">
        <v>1</v>
      </c>
      <c r="U1585" s="395">
        <v>3.6629999999999998</v>
      </c>
      <c r="V1585" s="395"/>
      <c r="W1585" s="452">
        <v>40788</v>
      </c>
      <c r="X1585" s="394">
        <v>28</v>
      </c>
      <c r="Y1585" s="394"/>
      <c r="Z1585" s="394"/>
      <c r="AA1585" s="395"/>
      <c r="AB1585" s="453"/>
      <c r="AC1585" s="398">
        <v>0</v>
      </c>
      <c r="AD1585" s="398">
        <v>29.384284931506848</v>
      </c>
      <c r="AE1585" s="393" t="s">
        <v>47</v>
      </c>
      <c r="AF1585" s="417"/>
      <c r="AG1585" s="417"/>
      <c r="AH1585" s="417">
        <v>0</v>
      </c>
      <c r="AI1585" s="394"/>
      <c r="AJ1585" s="453"/>
      <c r="AK1585" s="453"/>
      <c r="AL1585" s="393"/>
      <c r="AM1585" s="393"/>
      <c r="AN1585" s="417"/>
      <c r="AO1585" s="392"/>
      <c r="AP1585" s="428" t="s">
        <v>8099</v>
      </c>
      <c r="AQ1585" s="392"/>
      <c r="AR1585" s="392" t="s">
        <v>55</v>
      </c>
      <c r="AS1585" s="479">
        <v>41236</v>
      </c>
      <c r="AT1585" s="453"/>
      <c r="AU1585" s="453"/>
      <c r="AV1585" s="452">
        <v>41000</v>
      </c>
      <c r="AW1585" s="452">
        <v>41268</v>
      </c>
      <c r="AX1585" s="453"/>
      <c r="AY1585" s="452">
        <v>41268</v>
      </c>
      <c r="AZ1585" s="453"/>
      <c r="BA1585" s="393"/>
      <c r="BB1585" s="393" t="s">
        <v>3147</v>
      </c>
      <c r="BC1585" s="393" t="b">
        <v>1</v>
      </c>
      <c r="BD1585" s="393" t="s">
        <v>3116</v>
      </c>
      <c r="BE1585" s="392"/>
      <c r="BF1585" s="394">
        <v>5</v>
      </c>
      <c r="BG1585" s="394">
        <v>9</v>
      </c>
      <c r="BH1585" s="394">
        <v>1</v>
      </c>
      <c r="BI1585" s="394">
        <v>6</v>
      </c>
      <c r="BJ1585" s="394"/>
      <c r="BK1585" s="394"/>
      <c r="BL1585" s="444"/>
      <c r="BM1585" s="392"/>
      <c r="BN1585" s="393"/>
      <c r="BO1585" s="393"/>
      <c r="BP1585" s="399"/>
      <c r="BQ1585" s="400"/>
      <c r="BR1585" s="401"/>
      <c r="BS1585" s="399">
        <v>0</v>
      </c>
      <c r="BT1585" s="394"/>
      <c r="BU1585" s="417"/>
      <c r="BV1585" s="399"/>
      <c r="BW1585" s="393"/>
      <c r="BX1585" s="392"/>
      <c r="BY1585" s="475" t="s">
        <v>7224</v>
      </c>
      <c r="BZ1585" s="393"/>
      <c r="CA1585" s="441"/>
      <c r="CB1585" s="400"/>
      <c r="CC1585" s="398"/>
      <c r="CD1585" s="398"/>
      <c r="CE1585" s="398"/>
      <c r="CF1585" s="398"/>
      <c r="CG1585" s="398"/>
      <c r="CH1585" s="398"/>
      <c r="CI1585" s="398"/>
      <c r="CJ1585" s="398"/>
      <c r="CK1585" s="398"/>
      <c r="CL1585" s="398"/>
      <c r="CM1585" s="398"/>
      <c r="CN1585" s="398"/>
      <c r="CO1585" s="398"/>
      <c r="CP1585" s="398"/>
      <c r="CQ1585" s="398"/>
      <c r="CR1585" s="398"/>
      <c r="CS1585" s="398"/>
      <c r="CT1585" s="398"/>
      <c r="CU1585" s="398"/>
      <c r="CV1585" s="398"/>
      <c r="CW1585" s="398"/>
      <c r="CX1585" s="398"/>
      <c r="CY1585" s="398"/>
      <c r="CZ1585" s="398"/>
      <c r="DA1585" s="398"/>
      <c r="DB1585" s="398"/>
      <c r="DC1585" s="398"/>
      <c r="DD1585" s="398"/>
      <c r="DE1585" s="393"/>
      <c r="DF1585" s="393"/>
      <c r="DG1585" s="393"/>
      <c r="DH1585" s="393"/>
      <c r="DI1585" s="393"/>
      <c r="DJ1585" s="393"/>
      <c r="DK1585" s="896" t="s">
        <v>9722</v>
      </c>
    </row>
    <row r="1586" spans="1:115" ht="25.5" x14ac:dyDescent="0.2">
      <c r="A1586" s="295">
        <v>1582</v>
      </c>
      <c r="B1586" s="390" t="s">
        <v>4327</v>
      </c>
      <c r="C1586" s="390"/>
      <c r="D1586" s="391" t="s">
        <v>4804</v>
      </c>
      <c r="E1586" s="704" t="s">
        <v>4328</v>
      </c>
      <c r="F1586" s="393" t="s">
        <v>1352</v>
      </c>
      <c r="G1586" s="393" t="s">
        <v>1671</v>
      </c>
      <c r="H1586" s="393" t="s">
        <v>117</v>
      </c>
      <c r="I1586" s="392"/>
      <c r="J1586" s="392"/>
      <c r="K1586" s="392" t="s">
        <v>2171</v>
      </c>
      <c r="L1586" s="392" t="s">
        <v>210</v>
      </c>
      <c r="M1586" s="392"/>
      <c r="N1586" s="393" t="s">
        <v>44</v>
      </c>
      <c r="O1586" s="393" t="s">
        <v>69</v>
      </c>
      <c r="P1586" s="393" t="s">
        <v>69</v>
      </c>
      <c r="Q1586" s="392" t="s">
        <v>572</v>
      </c>
      <c r="R1586" s="392" t="s">
        <v>4329</v>
      </c>
      <c r="S1586" s="392" t="s">
        <v>573</v>
      </c>
      <c r="T1586" s="394">
        <v>1</v>
      </c>
      <c r="U1586" s="395">
        <v>3.6629999999999998</v>
      </c>
      <c r="V1586" s="395"/>
      <c r="W1586" s="453"/>
      <c r="X1586" s="394"/>
      <c r="Y1586" s="394">
        <v>7</v>
      </c>
      <c r="Z1586" s="394">
        <v>15</v>
      </c>
      <c r="AA1586" s="395">
        <v>0</v>
      </c>
      <c r="AB1586" s="452">
        <v>41268</v>
      </c>
      <c r="AC1586" s="398">
        <v>0</v>
      </c>
      <c r="AD1586" s="398">
        <v>29.384284931506848</v>
      </c>
      <c r="AE1586" s="393" t="s">
        <v>47</v>
      </c>
      <c r="AF1586" s="417"/>
      <c r="AG1586" s="417"/>
      <c r="AH1586" s="417"/>
      <c r="AI1586" s="394"/>
      <c r="AJ1586" s="453"/>
      <c r="AK1586" s="453"/>
      <c r="AL1586" s="393"/>
      <c r="AM1586" s="393"/>
      <c r="AN1586" s="417"/>
      <c r="AO1586" s="392"/>
      <c r="AP1586" s="428" t="s">
        <v>8099</v>
      </c>
      <c r="AQ1586" s="392"/>
      <c r="AR1586" s="392" t="s">
        <v>55</v>
      </c>
      <c r="AS1586" s="479">
        <v>41236</v>
      </c>
      <c r="AT1586" s="453"/>
      <c r="AU1586" s="453"/>
      <c r="AV1586" s="453"/>
      <c r="AW1586" s="453"/>
      <c r="AX1586" s="453"/>
      <c r="AY1586" s="453"/>
      <c r="AZ1586" s="452">
        <v>41268</v>
      </c>
      <c r="BA1586" s="393"/>
      <c r="BB1586" s="393"/>
      <c r="BC1586" s="393" t="b">
        <v>0</v>
      </c>
      <c r="BD1586" s="393"/>
      <c r="BE1586" s="392"/>
      <c r="BF1586" s="394">
        <v>5</v>
      </c>
      <c r="BG1586" s="394">
        <v>9</v>
      </c>
      <c r="BH1586" s="394">
        <v>1</v>
      </c>
      <c r="BI1586" s="394">
        <v>6</v>
      </c>
      <c r="BJ1586" s="394"/>
      <c r="BK1586" s="394"/>
      <c r="BL1586" s="444" t="s">
        <v>6983</v>
      </c>
      <c r="BM1586" s="392"/>
      <c r="BN1586" s="393"/>
      <c r="BO1586" s="393"/>
      <c r="BP1586" s="399"/>
      <c r="BQ1586" s="400"/>
      <c r="BR1586" s="401"/>
      <c r="BS1586" s="399"/>
      <c r="BT1586" s="394"/>
      <c r="BU1586" s="417">
        <v>0.73380000000000001</v>
      </c>
      <c r="BV1586" s="399"/>
      <c r="BW1586" s="393" t="s">
        <v>3117</v>
      </c>
      <c r="BX1586" s="392" t="s">
        <v>1447</v>
      </c>
      <c r="BY1586" s="475" t="s">
        <v>7224</v>
      </c>
      <c r="BZ1586" s="393"/>
      <c r="CA1586" s="441" t="s">
        <v>1662</v>
      </c>
      <c r="CB1586" s="400">
        <v>3</v>
      </c>
      <c r="CC1586" s="398"/>
      <c r="CD1586" s="398"/>
      <c r="CE1586" s="398"/>
      <c r="CF1586" s="398"/>
      <c r="CG1586" s="398"/>
      <c r="CH1586" s="398"/>
      <c r="CI1586" s="398">
        <v>3.6629999999999998</v>
      </c>
      <c r="CJ1586" s="398">
        <v>3.6629999999999998</v>
      </c>
      <c r="CK1586" s="398">
        <v>3.6629999999999998</v>
      </c>
      <c r="CL1586" s="398">
        <v>3.6629999999999998</v>
      </c>
      <c r="CM1586" s="398">
        <v>3.6629999999999998</v>
      </c>
      <c r="CN1586" s="398">
        <v>3.6629999999999998</v>
      </c>
      <c r="CO1586" s="398">
        <v>3.6629999999999998</v>
      </c>
      <c r="CP1586" s="398"/>
      <c r="CQ1586" s="398"/>
      <c r="CR1586" s="398"/>
      <c r="CS1586" s="398"/>
      <c r="CT1586" s="398"/>
      <c r="CU1586" s="398"/>
      <c r="CV1586" s="398"/>
      <c r="CW1586" s="398"/>
      <c r="CX1586" s="398"/>
      <c r="CY1586" s="398"/>
      <c r="CZ1586" s="398"/>
      <c r="DA1586" s="398"/>
      <c r="DB1586" s="398"/>
      <c r="DC1586" s="398"/>
      <c r="DD1586" s="398"/>
      <c r="DE1586" s="393"/>
      <c r="DF1586" s="393"/>
      <c r="DG1586" s="393"/>
      <c r="DH1586" s="393"/>
      <c r="DI1586" s="393"/>
      <c r="DJ1586" s="393"/>
      <c r="DK1586" s="897"/>
    </row>
    <row r="1587" spans="1:115" ht="51" x14ac:dyDescent="0.2">
      <c r="A1587" s="295">
        <v>1583</v>
      </c>
      <c r="B1587" s="390" t="s">
        <v>4330</v>
      </c>
      <c r="C1587" s="424" t="s">
        <v>7835</v>
      </c>
      <c r="D1587" s="391"/>
      <c r="E1587" s="710" t="s">
        <v>604</v>
      </c>
      <c r="F1587" s="390" t="s">
        <v>1352</v>
      </c>
      <c r="G1587" s="390" t="s">
        <v>1671</v>
      </c>
      <c r="H1587" s="390" t="s">
        <v>117</v>
      </c>
      <c r="I1587" s="402"/>
      <c r="J1587" s="402" t="s">
        <v>2174</v>
      </c>
      <c r="K1587" s="402"/>
      <c r="L1587" s="402" t="s">
        <v>4331</v>
      </c>
      <c r="M1587" s="402" t="s">
        <v>4332</v>
      </c>
      <c r="N1587" s="390" t="s">
        <v>33</v>
      </c>
      <c r="O1587" s="390" t="s">
        <v>69</v>
      </c>
      <c r="P1587" s="390" t="s">
        <v>69</v>
      </c>
      <c r="Q1587" s="402" t="s">
        <v>572</v>
      </c>
      <c r="R1587" s="402"/>
      <c r="S1587" s="448" t="s">
        <v>8124</v>
      </c>
      <c r="T1587" s="411">
        <v>1</v>
      </c>
      <c r="U1587" s="412">
        <v>3.0230000000000001</v>
      </c>
      <c r="V1587" s="412"/>
      <c r="W1587" s="457">
        <v>41306</v>
      </c>
      <c r="X1587" s="411">
        <v>28</v>
      </c>
      <c r="Y1587" s="411"/>
      <c r="Z1587" s="411"/>
      <c r="AA1587" s="412"/>
      <c r="AB1587" s="454"/>
      <c r="AC1587" s="413">
        <v>0</v>
      </c>
      <c r="AD1587" s="413">
        <v>23.935534246575347</v>
      </c>
      <c r="AE1587" s="390" t="s">
        <v>47</v>
      </c>
      <c r="AF1587" s="419"/>
      <c r="AG1587" s="419"/>
      <c r="AH1587" s="419">
        <v>0</v>
      </c>
      <c r="AI1587" s="411"/>
      <c r="AJ1587" s="454"/>
      <c r="AK1587" s="454"/>
      <c r="AL1587" s="390"/>
      <c r="AM1587" s="390"/>
      <c r="AN1587" s="419"/>
      <c r="AO1587" s="402"/>
      <c r="AP1587" s="402" t="s">
        <v>55</v>
      </c>
      <c r="AQ1587" s="402"/>
      <c r="AR1587" s="402" t="s">
        <v>55</v>
      </c>
      <c r="AS1587" s="481">
        <v>41236</v>
      </c>
      <c r="AT1587" s="454"/>
      <c r="AU1587" s="454"/>
      <c r="AV1587" s="454"/>
      <c r="AW1587" s="454"/>
      <c r="AX1587" s="454"/>
      <c r="AY1587" s="454"/>
      <c r="AZ1587" s="454"/>
      <c r="BA1587" s="390"/>
      <c r="BB1587" s="390" t="s">
        <v>3147</v>
      </c>
      <c r="BC1587" s="390" t="b">
        <v>1</v>
      </c>
      <c r="BD1587" s="390" t="s">
        <v>3116</v>
      </c>
      <c r="BE1587" s="402"/>
      <c r="BF1587" s="411">
        <v>1</v>
      </c>
      <c r="BG1587" s="411">
        <v>6</v>
      </c>
      <c r="BH1587" s="411">
        <v>3</v>
      </c>
      <c r="BI1587" s="411">
        <v>8</v>
      </c>
      <c r="BJ1587" s="411">
        <v>5</v>
      </c>
      <c r="BK1587" s="411">
        <v>10</v>
      </c>
      <c r="BL1587" s="445"/>
      <c r="BM1587" s="402"/>
      <c r="BN1587" s="390"/>
      <c r="BO1587" s="390"/>
      <c r="BP1587" s="414"/>
      <c r="BQ1587" s="415"/>
      <c r="BR1587" s="416"/>
      <c r="BS1587" s="414">
        <v>0.1</v>
      </c>
      <c r="BT1587" s="411"/>
      <c r="BU1587" s="419"/>
      <c r="BV1587" s="414"/>
      <c r="BW1587" s="390"/>
      <c r="BX1587" s="402"/>
      <c r="BY1587" s="390"/>
      <c r="BZ1587" s="390"/>
      <c r="CA1587" s="442"/>
      <c r="CB1587" s="415"/>
      <c r="CC1587" s="413"/>
      <c r="CD1587" s="413"/>
      <c r="CE1587" s="413"/>
      <c r="CF1587" s="413"/>
      <c r="CG1587" s="413"/>
      <c r="CH1587" s="413"/>
      <c r="CI1587" s="413"/>
      <c r="CJ1587" s="413"/>
      <c r="CK1587" s="413"/>
      <c r="CL1587" s="413"/>
      <c r="CM1587" s="413"/>
      <c r="CN1587" s="413"/>
      <c r="CO1587" s="413"/>
      <c r="CP1587" s="413"/>
      <c r="CQ1587" s="413"/>
      <c r="CR1587" s="413"/>
      <c r="CS1587" s="413"/>
      <c r="CT1587" s="413"/>
      <c r="CU1587" s="413"/>
      <c r="CV1587" s="413"/>
      <c r="CW1587" s="413"/>
      <c r="CX1587" s="413"/>
      <c r="CY1587" s="413"/>
      <c r="CZ1587" s="413"/>
      <c r="DA1587" s="413"/>
      <c r="DB1587" s="413"/>
      <c r="DC1587" s="413"/>
      <c r="DD1587" s="413"/>
      <c r="DE1587" s="390"/>
      <c r="DF1587" s="390"/>
      <c r="DG1587" s="390"/>
      <c r="DH1587" s="390"/>
      <c r="DI1587" s="390"/>
      <c r="DJ1587" s="390"/>
      <c r="DK1587" s="897"/>
    </row>
    <row r="1588" spans="1:115" ht="25.5" x14ac:dyDescent="0.2">
      <c r="A1588" s="295">
        <v>1584</v>
      </c>
      <c r="B1588" s="390" t="s">
        <v>4333</v>
      </c>
      <c r="C1588" s="390"/>
      <c r="D1588" s="391"/>
      <c r="E1588" s="706" t="s">
        <v>4334</v>
      </c>
      <c r="F1588" s="390" t="s">
        <v>1352</v>
      </c>
      <c r="G1588" s="449" t="s">
        <v>1671</v>
      </c>
      <c r="H1588" s="390" t="s">
        <v>117</v>
      </c>
      <c r="I1588" s="402"/>
      <c r="J1588" s="402"/>
      <c r="K1588" s="402" t="s">
        <v>2174</v>
      </c>
      <c r="L1588" s="402" t="s">
        <v>4331</v>
      </c>
      <c r="M1588" s="402"/>
      <c r="N1588" s="390" t="s">
        <v>33</v>
      </c>
      <c r="O1588" s="390" t="s">
        <v>69</v>
      </c>
      <c r="P1588" s="390" t="s">
        <v>69</v>
      </c>
      <c r="Q1588" s="402" t="s">
        <v>572</v>
      </c>
      <c r="R1588" s="402" t="s">
        <v>4329</v>
      </c>
      <c r="S1588" s="448" t="s">
        <v>8124</v>
      </c>
      <c r="T1588" s="411">
        <v>1</v>
      </c>
      <c r="U1588" s="412">
        <v>3.0230000000000001</v>
      </c>
      <c r="V1588" s="412"/>
      <c r="W1588" s="454"/>
      <c r="X1588" s="411"/>
      <c r="Y1588" s="411">
        <v>7</v>
      </c>
      <c r="Z1588" s="411">
        <v>15</v>
      </c>
      <c r="AA1588" s="412">
        <v>0</v>
      </c>
      <c r="AB1588" s="457">
        <v>41306</v>
      </c>
      <c r="AC1588" s="413">
        <v>0</v>
      </c>
      <c r="AD1588" s="413">
        <v>23.935534246575347</v>
      </c>
      <c r="AE1588" s="390" t="s">
        <v>47</v>
      </c>
      <c r="AF1588" s="419"/>
      <c r="AG1588" s="419"/>
      <c r="AH1588" s="419"/>
      <c r="AI1588" s="411"/>
      <c r="AJ1588" s="454"/>
      <c r="AK1588" s="454"/>
      <c r="AL1588" s="390"/>
      <c r="AM1588" s="390"/>
      <c r="AN1588" s="419"/>
      <c r="AO1588" s="402"/>
      <c r="AP1588" s="402" t="s">
        <v>55</v>
      </c>
      <c r="AQ1588" s="402"/>
      <c r="AR1588" s="402" t="s">
        <v>55</v>
      </c>
      <c r="AS1588" s="481">
        <v>41236</v>
      </c>
      <c r="AT1588" s="454"/>
      <c r="AU1588" s="454"/>
      <c r="AV1588" s="454"/>
      <c r="AW1588" s="454"/>
      <c r="AX1588" s="454"/>
      <c r="AY1588" s="454"/>
      <c r="AZ1588" s="454"/>
      <c r="BA1588" s="390"/>
      <c r="BB1588" s="390"/>
      <c r="BC1588" s="390" t="b">
        <v>0</v>
      </c>
      <c r="BD1588" s="390"/>
      <c r="BE1588" s="402"/>
      <c r="BF1588" s="411">
        <v>1</v>
      </c>
      <c r="BG1588" s="411">
        <v>6</v>
      </c>
      <c r="BH1588" s="411">
        <v>3</v>
      </c>
      <c r="BI1588" s="411">
        <v>8</v>
      </c>
      <c r="BJ1588" s="411">
        <v>5</v>
      </c>
      <c r="BK1588" s="411">
        <v>10</v>
      </c>
      <c r="BL1588" s="445" t="s">
        <v>6983</v>
      </c>
      <c r="BM1588" s="402"/>
      <c r="BN1588" s="390"/>
      <c r="BO1588" s="390"/>
      <c r="BP1588" s="414"/>
      <c r="BQ1588" s="415"/>
      <c r="BR1588" s="416"/>
      <c r="BS1588" s="414">
        <v>0.1</v>
      </c>
      <c r="BT1588" s="411">
        <v>613</v>
      </c>
      <c r="BU1588" s="419">
        <v>0.76554999999999995</v>
      </c>
      <c r="BV1588" s="414"/>
      <c r="BW1588" s="390" t="s">
        <v>3117</v>
      </c>
      <c r="BX1588" s="402" t="s">
        <v>1447</v>
      </c>
      <c r="BY1588" s="390"/>
      <c r="BZ1588" s="390"/>
      <c r="CA1588" s="442" t="s">
        <v>1662</v>
      </c>
      <c r="CB1588" s="415">
        <v>3</v>
      </c>
      <c r="CC1588" s="413"/>
      <c r="CD1588" s="413"/>
      <c r="CE1588" s="413"/>
      <c r="CF1588" s="413"/>
      <c r="CG1588" s="413"/>
      <c r="CH1588" s="413"/>
      <c r="CI1588" s="413">
        <v>2.7709999999999999</v>
      </c>
      <c r="CJ1588" s="413">
        <v>3.0230000000000001</v>
      </c>
      <c r="CK1588" s="413">
        <v>3.0230000000000001</v>
      </c>
      <c r="CL1588" s="413">
        <v>3.0230000000000001</v>
      </c>
      <c r="CM1588" s="413">
        <v>3.0230000000000001</v>
      </c>
      <c r="CN1588" s="413">
        <v>3.0230000000000001</v>
      </c>
      <c r="CO1588" s="413">
        <v>3.0230000000000001</v>
      </c>
      <c r="CP1588" s="413">
        <v>0.252</v>
      </c>
      <c r="CQ1588" s="413"/>
      <c r="CR1588" s="413"/>
      <c r="CS1588" s="413"/>
      <c r="CT1588" s="413"/>
      <c r="CU1588" s="413"/>
      <c r="CV1588" s="413"/>
      <c r="CW1588" s="413"/>
      <c r="CX1588" s="413"/>
      <c r="CY1588" s="413"/>
      <c r="CZ1588" s="413"/>
      <c r="DA1588" s="413"/>
      <c r="DB1588" s="413"/>
      <c r="DC1588" s="413"/>
      <c r="DD1588" s="413"/>
      <c r="DE1588" s="390"/>
      <c r="DF1588" s="390"/>
      <c r="DG1588" s="390"/>
      <c r="DH1588" s="390"/>
      <c r="DI1588" s="390"/>
      <c r="DJ1588" s="390"/>
      <c r="DK1588" s="897"/>
    </row>
    <row r="1589" spans="1:115" ht="89.25" x14ac:dyDescent="0.2">
      <c r="A1589" s="295">
        <v>1585</v>
      </c>
      <c r="B1589" s="390" t="s">
        <v>4409</v>
      </c>
      <c r="C1589" s="424" t="s">
        <v>7836</v>
      </c>
      <c r="D1589" s="391" t="s">
        <v>6132</v>
      </c>
      <c r="E1589" s="704" t="s">
        <v>4410</v>
      </c>
      <c r="F1589" s="393" t="s">
        <v>1352</v>
      </c>
      <c r="G1589" s="393" t="s">
        <v>1673</v>
      </c>
      <c r="H1589" s="393" t="s">
        <v>67</v>
      </c>
      <c r="I1589" s="392"/>
      <c r="J1589" s="392" t="s">
        <v>67</v>
      </c>
      <c r="K1589" s="392"/>
      <c r="L1589" s="392" t="s">
        <v>4411</v>
      </c>
      <c r="M1589" s="392" t="s">
        <v>4412</v>
      </c>
      <c r="N1589" s="393" t="s">
        <v>44</v>
      </c>
      <c r="O1589" s="393" t="s">
        <v>93</v>
      </c>
      <c r="P1589" s="393" t="s">
        <v>93</v>
      </c>
      <c r="Q1589" s="392" t="s">
        <v>1249</v>
      </c>
      <c r="R1589" s="392"/>
      <c r="S1589" s="392" t="s">
        <v>102</v>
      </c>
      <c r="T1589" s="394">
        <v>1</v>
      </c>
      <c r="U1589" s="395">
        <v>0.90800000000000003</v>
      </c>
      <c r="V1589" s="395"/>
      <c r="W1589" s="452">
        <v>41244</v>
      </c>
      <c r="X1589" s="394">
        <v>28</v>
      </c>
      <c r="Y1589" s="394"/>
      <c r="Z1589" s="394"/>
      <c r="AA1589" s="395"/>
      <c r="AB1589" s="453"/>
      <c r="AC1589" s="398">
        <v>0</v>
      </c>
      <c r="AD1589" s="398">
        <v>9.08</v>
      </c>
      <c r="AE1589" s="393" t="s">
        <v>167</v>
      </c>
      <c r="AF1589" s="417"/>
      <c r="AG1589" s="417"/>
      <c r="AH1589" s="417">
        <v>0</v>
      </c>
      <c r="AI1589" s="394"/>
      <c r="AJ1589" s="453"/>
      <c r="AK1589" s="453"/>
      <c r="AL1589" s="393"/>
      <c r="AM1589" s="393"/>
      <c r="AN1589" s="417"/>
      <c r="AO1589" s="392"/>
      <c r="AP1589" s="392" t="s">
        <v>7040</v>
      </c>
      <c r="AQ1589" s="392"/>
      <c r="AR1589" s="392" t="s">
        <v>55</v>
      </c>
      <c r="AS1589" s="479">
        <v>41244</v>
      </c>
      <c r="AT1589" s="453"/>
      <c r="AU1589" s="453"/>
      <c r="AV1589" s="452">
        <v>41714</v>
      </c>
      <c r="AW1589" s="452">
        <v>41760</v>
      </c>
      <c r="AX1589" s="452">
        <v>41807</v>
      </c>
      <c r="AY1589" s="452">
        <v>41760</v>
      </c>
      <c r="AZ1589" s="453"/>
      <c r="BA1589" s="393"/>
      <c r="BB1589" s="393" t="s">
        <v>3116</v>
      </c>
      <c r="BC1589" s="393" t="b">
        <v>0</v>
      </c>
      <c r="BD1589" s="393" t="s">
        <v>3116</v>
      </c>
      <c r="BE1589" s="392"/>
      <c r="BF1589" s="394">
        <v>3</v>
      </c>
      <c r="BG1589" s="394">
        <v>4</v>
      </c>
      <c r="BH1589" s="394">
        <v>2</v>
      </c>
      <c r="BI1589" s="394"/>
      <c r="BJ1589" s="394"/>
      <c r="BK1589" s="394"/>
      <c r="BL1589" s="444"/>
      <c r="BM1589" s="392"/>
      <c r="BN1589" s="393"/>
      <c r="BO1589" s="393"/>
      <c r="BP1589" s="399"/>
      <c r="BQ1589" s="400"/>
      <c r="BR1589" s="401"/>
      <c r="BS1589" s="399">
        <v>0</v>
      </c>
      <c r="BT1589" s="394"/>
      <c r="BU1589" s="417"/>
      <c r="BV1589" s="399"/>
      <c r="BW1589" s="393"/>
      <c r="BX1589" s="392"/>
      <c r="BY1589" s="475" t="s">
        <v>8233</v>
      </c>
      <c r="BZ1589" s="393"/>
      <c r="CA1589" s="441"/>
      <c r="CB1589" s="400"/>
      <c r="CC1589" s="398"/>
      <c r="CD1589" s="398"/>
      <c r="CE1589" s="398"/>
      <c r="CF1589" s="398"/>
      <c r="CG1589" s="398"/>
      <c r="CH1589" s="398"/>
      <c r="CI1589" s="398"/>
      <c r="CJ1589" s="398"/>
      <c r="CK1589" s="398"/>
      <c r="CL1589" s="398"/>
      <c r="CM1589" s="398"/>
      <c r="CN1589" s="398"/>
      <c r="CO1589" s="398"/>
      <c r="CP1589" s="398"/>
      <c r="CQ1589" s="398"/>
      <c r="CR1589" s="398"/>
      <c r="CS1589" s="398"/>
      <c r="CT1589" s="398"/>
      <c r="CU1589" s="398"/>
      <c r="CV1589" s="398"/>
      <c r="CW1589" s="398"/>
      <c r="CX1589" s="398"/>
      <c r="CY1589" s="398"/>
      <c r="CZ1589" s="398"/>
      <c r="DA1589" s="398"/>
      <c r="DB1589" s="398"/>
      <c r="DC1589" s="398"/>
      <c r="DD1589" s="398"/>
      <c r="DE1589" s="393"/>
      <c r="DF1589" s="393"/>
      <c r="DG1589" s="393"/>
      <c r="DH1589" s="393"/>
      <c r="DI1589" s="393"/>
      <c r="DJ1589" s="393"/>
      <c r="DK1589" s="896" t="s">
        <v>9701</v>
      </c>
    </row>
    <row r="1590" spans="1:115" ht="38.25" x14ac:dyDescent="0.2">
      <c r="A1590" s="295">
        <v>1586</v>
      </c>
      <c r="B1590" s="390" t="s">
        <v>4413</v>
      </c>
      <c r="C1590" s="390"/>
      <c r="D1590" s="391" t="s">
        <v>6133</v>
      </c>
      <c r="E1590" s="704" t="s">
        <v>4414</v>
      </c>
      <c r="F1590" s="393" t="s">
        <v>1352</v>
      </c>
      <c r="G1590" s="393" t="s">
        <v>1673</v>
      </c>
      <c r="H1590" s="393" t="s">
        <v>67</v>
      </c>
      <c r="I1590" s="392"/>
      <c r="J1590" s="392"/>
      <c r="K1590" s="392" t="s">
        <v>4415</v>
      </c>
      <c r="L1590" s="392" t="s">
        <v>4411</v>
      </c>
      <c r="M1590" s="392"/>
      <c r="N1590" s="393" t="s">
        <v>44</v>
      </c>
      <c r="O1590" s="393" t="s">
        <v>93</v>
      </c>
      <c r="P1590" s="393" t="s">
        <v>93</v>
      </c>
      <c r="Q1590" s="392" t="s">
        <v>1249</v>
      </c>
      <c r="R1590" s="392" t="s">
        <v>4416</v>
      </c>
      <c r="S1590" s="392" t="s">
        <v>102</v>
      </c>
      <c r="T1590" s="394">
        <v>1</v>
      </c>
      <c r="U1590" s="395">
        <v>0.90800000000000003</v>
      </c>
      <c r="V1590" s="395"/>
      <c r="W1590" s="453"/>
      <c r="X1590" s="394"/>
      <c r="Y1590" s="394">
        <v>10</v>
      </c>
      <c r="Z1590" s="394">
        <v>15</v>
      </c>
      <c r="AA1590" s="395">
        <v>0</v>
      </c>
      <c r="AB1590" s="452">
        <v>41791</v>
      </c>
      <c r="AC1590" s="398">
        <v>0</v>
      </c>
      <c r="AD1590" s="398">
        <v>9.08</v>
      </c>
      <c r="AE1590" s="393" t="s">
        <v>167</v>
      </c>
      <c r="AF1590" s="417"/>
      <c r="AG1590" s="417"/>
      <c r="AH1590" s="417"/>
      <c r="AI1590" s="394"/>
      <c r="AJ1590" s="453"/>
      <c r="AK1590" s="453"/>
      <c r="AL1590" s="393"/>
      <c r="AM1590" s="393"/>
      <c r="AN1590" s="417"/>
      <c r="AO1590" s="392"/>
      <c r="AP1590" s="392" t="s">
        <v>7040</v>
      </c>
      <c r="AQ1590" s="392"/>
      <c r="AR1590" s="392" t="s">
        <v>55</v>
      </c>
      <c r="AS1590" s="479">
        <v>41244</v>
      </c>
      <c r="AT1590" s="453"/>
      <c r="AU1590" s="453"/>
      <c r="AV1590" s="453"/>
      <c r="AW1590" s="453"/>
      <c r="AX1590" s="453"/>
      <c r="AY1590" s="453"/>
      <c r="AZ1590" s="452">
        <v>41760</v>
      </c>
      <c r="BA1590" s="393"/>
      <c r="BB1590" s="393"/>
      <c r="BC1590" s="393" t="b">
        <v>0</v>
      </c>
      <c r="BD1590" s="393"/>
      <c r="BE1590" s="392"/>
      <c r="BF1590" s="394">
        <v>3</v>
      </c>
      <c r="BG1590" s="394">
        <v>4</v>
      </c>
      <c r="BH1590" s="394">
        <v>2</v>
      </c>
      <c r="BI1590" s="394"/>
      <c r="BJ1590" s="394"/>
      <c r="BK1590" s="394"/>
      <c r="BL1590" s="444" t="s">
        <v>6981</v>
      </c>
      <c r="BM1590" s="392"/>
      <c r="BN1590" s="393"/>
      <c r="BO1590" s="393"/>
      <c r="BP1590" s="399"/>
      <c r="BQ1590" s="400"/>
      <c r="BR1590" s="401"/>
      <c r="BS1590" s="399"/>
      <c r="BT1590" s="394"/>
      <c r="BU1590" s="417"/>
      <c r="BV1590" s="399">
        <v>15</v>
      </c>
      <c r="BW1590" s="393" t="s">
        <v>3117</v>
      </c>
      <c r="BX1590" s="392" t="s">
        <v>1520</v>
      </c>
      <c r="BY1590" s="475" t="s">
        <v>8233</v>
      </c>
      <c r="BZ1590" s="393"/>
      <c r="CA1590" s="441"/>
      <c r="CB1590" s="400"/>
      <c r="CC1590" s="398"/>
      <c r="CD1590" s="398"/>
      <c r="CE1590" s="398"/>
      <c r="CF1590" s="398"/>
      <c r="CG1590" s="398"/>
      <c r="CH1590" s="398"/>
      <c r="CI1590" s="398"/>
      <c r="CJ1590" s="398">
        <v>0.64100000000000001</v>
      </c>
      <c r="CK1590" s="398">
        <v>0.74099999999999999</v>
      </c>
      <c r="CL1590" s="398">
        <v>0.83899999999999997</v>
      </c>
      <c r="CM1590" s="398">
        <v>0.98799999999999999</v>
      </c>
      <c r="CN1590" s="398">
        <v>0.98799999999999999</v>
      </c>
      <c r="CO1590" s="398">
        <v>0.98799999999999999</v>
      </c>
      <c r="CP1590" s="398">
        <v>0.98799999999999999</v>
      </c>
      <c r="CQ1590" s="398">
        <v>0.98799999999999999</v>
      </c>
      <c r="CR1590" s="398">
        <v>0.98799999999999999</v>
      </c>
      <c r="CS1590" s="398">
        <v>0.98799999999999999</v>
      </c>
      <c r="CT1590" s="398"/>
      <c r="CU1590" s="398"/>
      <c r="CV1590" s="398"/>
      <c r="CW1590" s="398"/>
      <c r="CX1590" s="398"/>
      <c r="CY1590" s="398"/>
      <c r="CZ1590" s="398"/>
      <c r="DA1590" s="398"/>
      <c r="DB1590" s="398"/>
      <c r="DC1590" s="398"/>
      <c r="DD1590" s="398"/>
      <c r="DE1590" s="393"/>
      <c r="DF1590" s="393"/>
      <c r="DG1590" s="393"/>
      <c r="DH1590" s="393"/>
      <c r="DI1590" s="393"/>
      <c r="DJ1590" s="393"/>
      <c r="DK1590" s="897"/>
    </row>
    <row r="1591" spans="1:115" ht="63.75" x14ac:dyDescent="0.2">
      <c r="A1591" s="295">
        <v>1587</v>
      </c>
      <c r="B1591" s="390" t="s">
        <v>4498</v>
      </c>
      <c r="C1591" s="424" t="s">
        <v>7837</v>
      </c>
      <c r="D1591" s="391"/>
      <c r="E1591" s="706" t="s">
        <v>344</v>
      </c>
      <c r="F1591" s="390" t="s">
        <v>1352</v>
      </c>
      <c r="G1591" s="390" t="s">
        <v>1672</v>
      </c>
      <c r="H1591" s="390" t="s">
        <v>261</v>
      </c>
      <c r="I1591" s="402"/>
      <c r="J1591" s="402" t="s">
        <v>261</v>
      </c>
      <c r="K1591" s="402"/>
      <c r="L1591" s="402" t="s">
        <v>4173</v>
      </c>
      <c r="M1591" s="402" t="s">
        <v>3978</v>
      </c>
      <c r="N1591" s="390" t="s">
        <v>33</v>
      </c>
      <c r="O1591" s="390" t="s">
        <v>34</v>
      </c>
      <c r="P1591" s="390" t="s">
        <v>34</v>
      </c>
      <c r="Q1591" s="402" t="s">
        <v>338</v>
      </c>
      <c r="R1591" s="402"/>
      <c r="S1591" s="402" t="s">
        <v>256</v>
      </c>
      <c r="T1591" s="411">
        <v>1</v>
      </c>
      <c r="U1591" s="412">
        <v>1.8919999999999999</v>
      </c>
      <c r="V1591" s="412"/>
      <c r="W1591" s="457">
        <v>40351</v>
      </c>
      <c r="X1591" s="411">
        <v>28</v>
      </c>
      <c r="Y1591" s="411"/>
      <c r="Z1591" s="411"/>
      <c r="AA1591" s="412"/>
      <c r="AB1591" s="454"/>
      <c r="AC1591" s="413">
        <v>0</v>
      </c>
      <c r="AD1591" s="413">
        <v>18.919999999999998</v>
      </c>
      <c r="AE1591" s="390" t="s">
        <v>72</v>
      </c>
      <c r="AF1591" s="419"/>
      <c r="AG1591" s="419"/>
      <c r="AH1591" s="419">
        <v>0</v>
      </c>
      <c r="AI1591" s="411"/>
      <c r="AJ1591" s="454"/>
      <c r="AK1591" s="454"/>
      <c r="AL1591" s="390"/>
      <c r="AM1591" s="390"/>
      <c r="AN1591" s="419"/>
      <c r="AO1591" s="402"/>
      <c r="AP1591" s="402" t="s">
        <v>55</v>
      </c>
      <c r="AQ1591" s="402"/>
      <c r="AR1591" s="402" t="s">
        <v>55</v>
      </c>
      <c r="AS1591" s="481">
        <v>41284</v>
      </c>
      <c r="AT1591" s="454"/>
      <c r="AU1591" s="525" t="s">
        <v>343</v>
      </c>
      <c r="AV1591" s="454"/>
      <c r="AW1591" s="454"/>
      <c r="AX1591" s="454"/>
      <c r="AY1591" s="454"/>
      <c r="AZ1591" s="454"/>
      <c r="BA1591" s="390"/>
      <c r="BB1591" s="390" t="s">
        <v>3116</v>
      </c>
      <c r="BC1591" s="390" t="b">
        <v>0</v>
      </c>
      <c r="BD1591" s="390" t="s">
        <v>3147</v>
      </c>
      <c r="BE1591" s="402"/>
      <c r="BF1591" s="411">
        <v>4</v>
      </c>
      <c r="BG1591" s="411">
        <v>9</v>
      </c>
      <c r="BH1591" s="411">
        <v>12</v>
      </c>
      <c r="BI1591" s="411">
        <v>5</v>
      </c>
      <c r="BJ1591" s="411">
        <v>8</v>
      </c>
      <c r="BK1591" s="411"/>
      <c r="BL1591" s="445"/>
      <c r="BM1591" s="402"/>
      <c r="BN1591" s="390"/>
      <c r="BO1591" s="390"/>
      <c r="BP1591" s="414"/>
      <c r="BQ1591" s="415"/>
      <c r="BR1591" s="416"/>
      <c r="BS1591" s="414">
        <v>0</v>
      </c>
      <c r="BT1591" s="411"/>
      <c r="BU1591" s="419"/>
      <c r="BV1591" s="414"/>
      <c r="BW1591" s="390"/>
      <c r="BX1591" s="402"/>
      <c r="BY1591" s="390"/>
      <c r="BZ1591" s="390"/>
      <c r="CA1591" s="442"/>
      <c r="CB1591" s="415"/>
      <c r="CC1591" s="413"/>
      <c r="CD1591" s="413"/>
      <c r="CE1591" s="413"/>
      <c r="CF1591" s="413"/>
      <c r="CG1591" s="413"/>
      <c r="CH1591" s="413"/>
      <c r="CI1591" s="413"/>
      <c r="CJ1591" s="413"/>
      <c r="CK1591" s="413"/>
      <c r="CL1591" s="413"/>
      <c r="CM1591" s="413"/>
      <c r="CN1591" s="413"/>
      <c r="CO1591" s="413"/>
      <c r="CP1591" s="413"/>
      <c r="CQ1591" s="413"/>
      <c r="CR1591" s="413"/>
      <c r="CS1591" s="413"/>
      <c r="CT1591" s="413"/>
      <c r="CU1591" s="413"/>
      <c r="CV1591" s="413"/>
      <c r="CW1591" s="413"/>
      <c r="CX1591" s="413"/>
      <c r="CY1591" s="413"/>
      <c r="CZ1591" s="413"/>
      <c r="DA1591" s="413"/>
      <c r="DB1591" s="413"/>
      <c r="DC1591" s="413"/>
      <c r="DD1591" s="413"/>
      <c r="DE1591" s="390"/>
      <c r="DF1591" s="390"/>
      <c r="DG1591" s="390"/>
      <c r="DH1591" s="390"/>
      <c r="DI1591" s="390"/>
      <c r="DJ1591" s="390"/>
      <c r="DK1591" s="897"/>
    </row>
    <row r="1592" spans="1:115" ht="38.25" x14ac:dyDescent="0.2">
      <c r="A1592" s="295">
        <v>1588</v>
      </c>
      <c r="B1592" s="390" t="s">
        <v>4499</v>
      </c>
      <c r="C1592" s="390"/>
      <c r="D1592" s="391"/>
      <c r="E1592" s="706" t="s">
        <v>4500</v>
      </c>
      <c r="F1592" s="390" t="s">
        <v>1352</v>
      </c>
      <c r="G1592" s="390" t="s">
        <v>1672</v>
      </c>
      <c r="H1592" s="390" t="s">
        <v>261</v>
      </c>
      <c r="I1592" s="402"/>
      <c r="J1592" s="402"/>
      <c r="K1592" s="402" t="s">
        <v>261</v>
      </c>
      <c r="L1592" s="402" t="s">
        <v>4173</v>
      </c>
      <c r="M1592" s="402"/>
      <c r="N1592" s="390" t="s">
        <v>33</v>
      </c>
      <c r="O1592" s="390" t="s">
        <v>34</v>
      </c>
      <c r="P1592" s="390" t="s">
        <v>34</v>
      </c>
      <c r="Q1592" s="402" t="s">
        <v>338</v>
      </c>
      <c r="R1592" s="402" t="s">
        <v>4501</v>
      </c>
      <c r="S1592" s="402" t="s">
        <v>256</v>
      </c>
      <c r="T1592" s="411">
        <v>1</v>
      </c>
      <c r="U1592" s="412">
        <v>1.8919999999999999</v>
      </c>
      <c r="V1592" s="412"/>
      <c r="W1592" s="454"/>
      <c r="X1592" s="411"/>
      <c r="Y1592" s="411">
        <v>10</v>
      </c>
      <c r="Z1592" s="411">
        <v>30</v>
      </c>
      <c r="AA1592" s="412">
        <v>0</v>
      </c>
      <c r="AB1592" s="457">
        <v>41275</v>
      </c>
      <c r="AC1592" s="413">
        <v>0</v>
      </c>
      <c r="AD1592" s="413">
        <v>18.919999999999998</v>
      </c>
      <c r="AE1592" s="390" t="s">
        <v>72</v>
      </c>
      <c r="AF1592" s="419"/>
      <c r="AG1592" s="419"/>
      <c r="AH1592" s="419"/>
      <c r="AI1592" s="411"/>
      <c r="AJ1592" s="454"/>
      <c r="AK1592" s="454"/>
      <c r="AL1592" s="390"/>
      <c r="AM1592" s="390"/>
      <c r="AN1592" s="419"/>
      <c r="AO1592" s="402"/>
      <c r="AP1592" s="402" t="s">
        <v>55</v>
      </c>
      <c r="AQ1592" s="402"/>
      <c r="AR1592" s="402" t="s">
        <v>55</v>
      </c>
      <c r="AS1592" s="481">
        <v>41284</v>
      </c>
      <c r="AT1592" s="454"/>
      <c r="AU1592" s="525" t="s">
        <v>2635</v>
      </c>
      <c r="AV1592" s="454"/>
      <c r="AW1592" s="454"/>
      <c r="AX1592" s="454"/>
      <c r="AY1592" s="454"/>
      <c r="AZ1592" s="454"/>
      <c r="BA1592" s="390"/>
      <c r="BB1592" s="390"/>
      <c r="BC1592" s="390" t="b">
        <v>0</v>
      </c>
      <c r="BD1592" s="390"/>
      <c r="BE1592" s="402"/>
      <c r="BF1592" s="411">
        <v>4</v>
      </c>
      <c r="BG1592" s="411">
        <v>9</v>
      </c>
      <c r="BH1592" s="411">
        <v>12</v>
      </c>
      <c r="BI1592" s="411">
        <v>5</v>
      </c>
      <c r="BJ1592" s="411">
        <v>8</v>
      </c>
      <c r="BK1592" s="411"/>
      <c r="BL1592" s="445" t="s">
        <v>6981</v>
      </c>
      <c r="BM1592" s="402"/>
      <c r="BN1592" s="390"/>
      <c r="BO1592" s="390"/>
      <c r="BP1592" s="414"/>
      <c r="BQ1592" s="415"/>
      <c r="BR1592" s="416"/>
      <c r="BS1592" s="414"/>
      <c r="BT1592" s="411"/>
      <c r="BU1592" s="419">
        <v>0.48620000000000002</v>
      </c>
      <c r="BV1592" s="414">
        <v>3.8</v>
      </c>
      <c r="BW1592" s="390" t="s">
        <v>3117</v>
      </c>
      <c r="BX1592" s="402" t="s">
        <v>3185</v>
      </c>
      <c r="BY1592" s="390"/>
      <c r="BZ1592" s="390"/>
      <c r="CA1592" s="442"/>
      <c r="CB1592" s="415"/>
      <c r="CC1592" s="413"/>
      <c r="CD1592" s="413"/>
      <c r="CE1592" s="413"/>
      <c r="CF1592" s="413"/>
      <c r="CG1592" s="413"/>
      <c r="CH1592" s="413"/>
      <c r="CI1592" s="413">
        <v>1.8919999999999999</v>
      </c>
      <c r="CJ1592" s="413">
        <v>1.8919999999999999</v>
      </c>
      <c r="CK1592" s="413">
        <v>1.8919999999999999</v>
      </c>
      <c r="CL1592" s="413">
        <v>1.8919999999999999</v>
      </c>
      <c r="CM1592" s="413">
        <v>1.8919999999999999</v>
      </c>
      <c r="CN1592" s="413">
        <v>1.8919999999999999</v>
      </c>
      <c r="CO1592" s="413">
        <v>1.8919999999999999</v>
      </c>
      <c r="CP1592" s="413">
        <v>1.8919999999999999</v>
      </c>
      <c r="CQ1592" s="413">
        <v>1.8919999999999999</v>
      </c>
      <c r="CR1592" s="413">
        <v>1.8919999999999999</v>
      </c>
      <c r="CS1592" s="413"/>
      <c r="CT1592" s="413"/>
      <c r="CU1592" s="413"/>
      <c r="CV1592" s="413"/>
      <c r="CW1592" s="413"/>
      <c r="CX1592" s="413"/>
      <c r="CY1592" s="413"/>
      <c r="CZ1592" s="413"/>
      <c r="DA1592" s="413"/>
      <c r="DB1592" s="413"/>
      <c r="DC1592" s="413"/>
      <c r="DD1592" s="413"/>
      <c r="DE1592" s="390"/>
      <c r="DF1592" s="390"/>
      <c r="DG1592" s="390"/>
      <c r="DH1592" s="390"/>
      <c r="DI1592" s="390"/>
      <c r="DJ1592" s="390"/>
      <c r="DK1592" s="897"/>
    </row>
    <row r="1593" spans="1:115" ht="76.5" x14ac:dyDescent="0.2">
      <c r="A1593" s="295">
        <v>1589</v>
      </c>
      <c r="B1593" s="390" t="s">
        <v>4502</v>
      </c>
      <c r="C1593" s="424" t="s">
        <v>7838</v>
      </c>
      <c r="D1593" s="391"/>
      <c r="E1593" s="707" t="s">
        <v>4503</v>
      </c>
      <c r="F1593" s="404" t="s">
        <v>1375</v>
      </c>
      <c r="G1593" s="404" t="s">
        <v>1669</v>
      </c>
      <c r="H1593" s="404" t="s">
        <v>959</v>
      </c>
      <c r="I1593" s="403"/>
      <c r="J1593" s="403" t="s">
        <v>959</v>
      </c>
      <c r="K1593" s="403"/>
      <c r="L1593" s="403" t="s">
        <v>3056</v>
      </c>
      <c r="M1593" s="403" t="s">
        <v>4504</v>
      </c>
      <c r="N1593" s="404" t="s">
        <v>3142</v>
      </c>
      <c r="O1593" s="404" t="s">
        <v>827</v>
      </c>
      <c r="P1593" s="404" t="s">
        <v>827</v>
      </c>
      <c r="Q1593" s="403" t="s">
        <v>923</v>
      </c>
      <c r="R1593" s="403"/>
      <c r="S1593" s="403" t="s">
        <v>46</v>
      </c>
      <c r="T1593" s="405">
        <v>1</v>
      </c>
      <c r="U1593" s="406">
        <v>7.0000000000000001E-3</v>
      </c>
      <c r="V1593" s="406"/>
      <c r="W1593" s="456">
        <v>41244</v>
      </c>
      <c r="X1593" s="405">
        <v>28</v>
      </c>
      <c r="Y1593" s="405"/>
      <c r="Z1593" s="405"/>
      <c r="AA1593" s="406"/>
      <c r="AB1593" s="455"/>
      <c r="AC1593" s="407">
        <v>0</v>
      </c>
      <c r="AD1593" s="407">
        <v>7.0000000000000007E-2</v>
      </c>
      <c r="AE1593" s="404" t="s">
        <v>72</v>
      </c>
      <c r="AF1593" s="418"/>
      <c r="AG1593" s="418"/>
      <c r="AH1593" s="418">
        <v>0</v>
      </c>
      <c r="AI1593" s="405"/>
      <c r="AJ1593" s="455"/>
      <c r="AK1593" s="455"/>
      <c r="AL1593" s="404"/>
      <c r="AM1593" s="404"/>
      <c r="AN1593" s="418"/>
      <c r="AO1593" s="403"/>
      <c r="AP1593" s="403" t="s">
        <v>55</v>
      </c>
      <c r="AQ1593" s="403"/>
      <c r="AR1593" s="403" t="s">
        <v>55</v>
      </c>
      <c r="AS1593" s="482">
        <v>41291</v>
      </c>
      <c r="AT1593" s="455"/>
      <c r="AU1593" s="455"/>
      <c r="AV1593" s="455"/>
      <c r="AW1593" s="455"/>
      <c r="AX1593" s="455"/>
      <c r="AY1593" s="455"/>
      <c r="AZ1593" s="455"/>
      <c r="BA1593" s="404"/>
      <c r="BB1593" s="404" t="s">
        <v>3116</v>
      </c>
      <c r="BC1593" s="404" t="b">
        <v>0</v>
      </c>
      <c r="BD1593" s="404" t="s">
        <v>3116</v>
      </c>
      <c r="BE1593" s="403"/>
      <c r="BF1593" s="405">
        <v>9</v>
      </c>
      <c r="BG1593" s="405">
        <v>1</v>
      </c>
      <c r="BH1593" s="405">
        <v>5</v>
      </c>
      <c r="BI1593" s="405"/>
      <c r="BJ1593" s="405"/>
      <c r="BK1593" s="405"/>
      <c r="BL1593" s="446"/>
      <c r="BM1593" s="403"/>
      <c r="BN1593" s="404"/>
      <c r="BO1593" s="404"/>
      <c r="BP1593" s="408"/>
      <c r="BQ1593" s="409"/>
      <c r="BR1593" s="410"/>
      <c r="BS1593" s="408">
        <v>0</v>
      </c>
      <c r="BT1593" s="405"/>
      <c r="BU1593" s="418"/>
      <c r="BV1593" s="408"/>
      <c r="BW1593" s="404"/>
      <c r="BX1593" s="403"/>
      <c r="BY1593" s="404"/>
      <c r="BZ1593" s="404"/>
      <c r="CA1593" s="443"/>
      <c r="CB1593" s="409"/>
      <c r="CC1593" s="407"/>
      <c r="CD1593" s="407"/>
      <c r="CE1593" s="407"/>
      <c r="CF1593" s="407"/>
      <c r="CG1593" s="407"/>
      <c r="CH1593" s="407"/>
      <c r="CI1593" s="407"/>
      <c r="CJ1593" s="407"/>
      <c r="CK1593" s="407"/>
      <c r="CL1593" s="407"/>
      <c r="CM1593" s="407"/>
      <c r="CN1593" s="407"/>
      <c r="CO1593" s="407"/>
      <c r="CP1593" s="407"/>
      <c r="CQ1593" s="407"/>
      <c r="CR1593" s="407"/>
      <c r="CS1593" s="407"/>
      <c r="CT1593" s="407"/>
      <c r="CU1593" s="407"/>
      <c r="CV1593" s="407"/>
      <c r="CW1593" s="407"/>
      <c r="CX1593" s="407"/>
      <c r="CY1593" s="407"/>
      <c r="CZ1593" s="407"/>
      <c r="DA1593" s="407"/>
      <c r="DB1593" s="407"/>
      <c r="DC1593" s="407"/>
      <c r="DD1593" s="407"/>
      <c r="DE1593" s="404"/>
      <c r="DF1593" s="404"/>
      <c r="DG1593" s="404"/>
      <c r="DH1593" s="404"/>
      <c r="DI1593" s="404"/>
      <c r="DJ1593" s="404"/>
      <c r="DK1593" s="897"/>
    </row>
    <row r="1594" spans="1:115" ht="38.25" x14ac:dyDescent="0.2">
      <c r="A1594" s="295">
        <v>1590</v>
      </c>
      <c r="B1594" s="390" t="s">
        <v>4505</v>
      </c>
      <c r="C1594" s="390"/>
      <c r="D1594" s="391"/>
      <c r="E1594" s="707" t="s">
        <v>4506</v>
      </c>
      <c r="F1594" s="404" t="s">
        <v>1375</v>
      </c>
      <c r="G1594" s="404" t="s">
        <v>1669</v>
      </c>
      <c r="H1594" s="404" t="s">
        <v>959</v>
      </c>
      <c r="I1594" s="403"/>
      <c r="J1594" s="403"/>
      <c r="K1594" s="403" t="s">
        <v>4507</v>
      </c>
      <c r="L1594" s="403" t="s">
        <v>3056</v>
      </c>
      <c r="M1594" s="403"/>
      <c r="N1594" s="404" t="s">
        <v>3142</v>
      </c>
      <c r="O1594" s="404" t="s">
        <v>827</v>
      </c>
      <c r="P1594" s="404" t="s">
        <v>827</v>
      </c>
      <c r="Q1594" s="403" t="s">
        <v>923</v>
      </c>
      <c r="R1594" s="403" t="s">
        <v>4508</v>
      </c>
      <c r="S1594" s="403" t="s">
        <v>46</v>
      </c>
      <c r="T1594" s="405">
        <v>1</v>
      </c>
      <c r="U1594" s="406">
        <v>7.0000000000000001E-3</v>
      </c>
      <c r="V1594" s="406"/>
      <c r="W1594" s="455"/>
      <c r="X1594" s="405"/>
      <c r="Y1594" s="405">
        <v>10</v>
      </c>
      <c r="Z1594" s="405">
        <v>20</v>
      </c>
      <c r="AA1594" s="406">
        <v>0</v>
      </c>
      <c r="AB1594" s="456">
        <v>41395</v>
      </c>
      <c r="AC1594" s="407">
        <v>0</v>
      </c>
      <c r="AD1594" s="407">
        <v>7.0000000000000007E-2</v>
      </c>
      <c r="AE1594" s="404" t="s">
        <v>72</v>
      </c>
      <c r="AF1594" s="418"/>
      <c r="AG1594" s="418"/>
      <c r="AH1594" s="418"/>
      <c r="AI1594" s="405"/>
      <c r="AJ1594" s="455"/>
      <c r="AK1594" s="455"/>
      <c r="AL1594" s="404"/>
      <c r="AM1594" s="404"/>
      <c r="AN1594" s="418"/>
      <c r="AO1594" s="403"/>
      <c r="AP1594" s="403" t="s">
        <v>55</v>
      </c>
      <c r="AQ1594" s="403"/>
      <c r="AR1594" s="403" t="s">
        <v>55</v>
      </c>
      <c r="AS1594" s="482">
        <v>41291</v>
      </c>
      <c r="AT1594" s="455"/>
      <c r="AU1594" s="455"/>
      <c r="AV1594" s="455"/>
      <c r="AW1594" s="455"/>
      <c r="AX1594" s="455"/>
      <c r="AY1594" s="455"/>
      <c r="AZ1594" s="455"/>
      <c r="BA1594" s="404"/>
      <c r="BB1594" s="404"/>
      <c r="BC1594" s="404" t="b">
        <v>0</v>
      </c>
      <c r="BD1594" s="404"/>
      <c r="BE1594" s="403"/>
      <c r="BF1594" s="405">
        <v>9</v>
      </c>
      <c r="BG1594" s="405">
        <v>1</v>
      </c>
      <c r="BH1594" s="405">
        <v>5</v>
      </c>
      <c r="BI1594" s="405"/>
      <c r="BJ1594" s="405"/>
      <c r="BK1594" s="405"/>
      <c r="BL1594" s="446" t="s">
        <v>6981</v>
      </c>
      <c r="BM1594" s="403"/>
      <c r="BN1594" s="404"/>
      <c r="BO1594" s="404"/>
      <c r="BP1594" s="408"/>
      <c r="BQ1594" s="409"/>
      <c r="BR1594" s="410"/>
      <c r="BS1594" s="408"/>
      <c r="BT1594" s="405"/>
      <c r="BU1594" s="418"/>
      <c r="BV1594" s="408"/>
      <c r="BW1594" s="404" t="s">
        <v>3165</v>
      </c>
      <c r="BX1594" s="403" t="s">
        <v>3975</v>
      </c>
      <c r="BY1594" s="404" t="s">
        <v>7238</v>
      </c>
      <c r="BZ1594" s="404"/>
      <c r="CA1594" s="443"/>
      <c r="CB1594" s="409"/>
      <c r="CC1594" s="407"/>
      <c r="CD1594" s="407"/>
      <c r="CE1594" s="407"/>
      <c r="CF1594" s="407"/>
      <c r="CG1594" s="407"/>
      <c r="CH1594" s="407"/>
      <c r="CI1594" s="407">
        <v>5.0000000000000001E-3</v>
      </c>
      <c r="CJ1594" s="407">
        <v>7.0000000000000001E-3</v>
      </c>
      <c r="CK1594" s="407">
        <v>7.0000000000000001E-3</v>
      </c>
      <c r="CL1594" s="407">
        <v>7.0000000000000001E-3</v>
      </c>
      <c r="CM1594" s="407">
        <v>7.0000000000000001E-3</v>
      </c>
      <c r="CN1594" s="407">
        <v>7.0000000000000001E-3</v>
      </c>
      <c r="CO1594" s="407">
        <v>7.0000000000000001E-3</v>
      </c>
      <c r="CP1594" s="407">
        <v>7.0000000000000001E-3</v>
      </c>
      <c r="CQ1594" s="407">
        <v>7.0000000000000001E-3</v>
      </c>
      <c r="CR1594" s="407">
        <v>7.0000000000000001E-3</v>
      </c>
      <c r="CS1594" s="407">
        <v>2E-3</v>
      </c>
      <c r="CT1594" s="407"/>
      <c r="CU1594" s="407"/>
      <c r="CV1594" s="407"/>
      <c r="CW1594" s="407"/>
      <c r="CX1594" s="407"/>
      <c r="CY1594" s="407"/>
      <c r="CZ1594" s="407"/>
      <c r="DA1594" s="407"/>
      <c r="DB1594" s="407"/>
      <c r="DC1594" s="407"/>
      <c r="DD1594" s="407"/>
      <c r="DE1594" s="404"/>
      <c r="DF1594" s="404"/>
      <c r="DG1594" s="404"/>
      <c r="DH1594" s="404"/>
      <c r="DI1594" s="404"/>
      <c r="DJ1594" s="404"/>
      <c r="DK1594" s="897"/>
    </row>
    <row r="1595" spans="1:115" ht="63.75" x14ac:dyDescent="0.2">
      <c r="A1595" s="295">
        <v>1591</v>
      </c>
      <c r="B1595" s="390" t="s">
        <v>4534</v>
      </c>
      <c r="C1595" s="424" t="s">
        <v>7839</v>
      </c>
      <c r="D1595" s="391" t="s">
        <v>5649</v>
      </c>
      <c r="E1595" s="704" t="s">
        <v>4535</v>
      </c>
      <c r="F1595" s="393" t="s">
        <v>1375</v>
      </c>
      <c r="G1595" s="393" t="s">
        <v>998</v>
      </c>
      <c r="H1595" s="393" t="s">
        <v>504</v>
      </c>
      <c r="I1595" s="392"/>
      <c r="J1595" s="392" t="s">
        <v>504</v>
      </c>
      <c r="K1595" s="392"/>
      <c r="L1595" s="392" t="s">
        <v>4536</v>
      </c>
      <c r="M1595" s="392" t="s">
        <v>4537</v>
      </c>
      <c r="N1595" s="393" t="s">
        <v>44</v>
      </c>
      <c r="O1595" s="393" t="s">
        <v>51</v>
      </c>
      <c r="P1595" s="393" t="s">
        <v>51</v>
      </c>
      <c r="Q1595" s="392" t="s">
        <v>976</v>
      </c>
      <c r="R1595" s="392"/>
      <c r="S1595" s="392" t="s">
        <v>977</v>
      </c>
      <c r="T1595" s="394">
        <v>1</v>
      </c>
      <c r="U1595" s="395">
        <v>52.877000000000002</v>
      </c>
      <c r="V1595" s="395"/>
      <c r="W1595" s="452">
        <v>41306</v>
      </c>
      <c r="X1595" s="394">
        <v>28</v>
      </c>
      <c r="Y1595" s="394"/>
      <c r="Z1595" s="394"/>
      <c r="AA1595" s="395"/>
      <c r="AB1595" s="453"/>
      <c r="AC1595" s="398">
        <v>0</v>
      </c>
      <c r="AD1595" s="398">
        <v>401.28572602739729</v>
      </c>
      <c r="AE1595" s="393" t="s">
        <v>54</v>
      </c>
      <c r="AF1595" s="417"/>
      <c r="AG1595" s="417"/>
      <c r="AH1595" s="417">
        <v>0</v>
      </c>
      <c r="AI1595" s="394"/>
      <c r="AJ1595" s="453"/>
      <c r="AK1595" s="453"/>
      <c r="AL1595" s="393"/>
      <c r="AM1595" s="393"/>
      <c r="AN1595" s="417"/>
      <c r="AO1595" s="392"/>
      <c r="AP1595" s="392" t="s">
        <v>55</v>
      </c>
      <c r="AQ1595" s="392"/>
      <c r="AR1595" s="392" t="s">
        <v>55</v>
      </c>
      <c r="AS1595" s="479">
        <v>41306</v>
      </c>
      <c r="AT1595" s="453"/>
      <c r="AU1595" s="453"/>
      <c r="AV1595" s="452">
        <v>41453</v>
      </c>
      <c r="AW1595" s="452">
        <v>41487</v>
      </c>
      <c r="AX1595" s="452">
        <v>41571</v>
      </c>
      <c r="AY1595" s="452">
        <v>41487</v>
      </c>
      <c r="AZ1595" s="453"/>
      <c r="BA1595" s="393"/>
      <c r="BB1595" s="393" t="s">
        <v>3116</v>
      </c>
      <c r="BC1595" s="393" t="b">
        <v>1</v>
      </c>
      <c r="BD1595" s="393" t="s">
        <v>3116</v>
      </c>
      <c r="BE1595" s="392"/>
      <c r="BF1595" s="394">
        <v>4</v>
      </c>
      <c r="BG1595" s="394">
        <v>3</v>
      </c>
      <c r="BH1595" s="394">
        <v>8</v>
      </c>
      <c r="BI1595" s="394">
        <v>6</v>
      </c>
      <c r="BJ1595" s="394">
        <v>5</v>
      </c>
      <c r="BK1595" s="394">
        <v>7</v>
      </c>
      <c r="BL1595" s="444" t="s">
        <v>7030</v>
      </c>
      <c r="BM1595" s="392"/>
      <c r="BN1595" s="393"/>
      <c r="BO1595" s="393"/>
      <c r="BP1595" s="399"/>
      <c r="BQ1595" s="400"/>
      <c r="BR1595" s="401"/>
      <c r="BS1595" s="399">
        <v>0</v>
      </c>
      <c r="BT1595" s="394"/>
      <c r="BU1595" s="417"/>
      <c r="BV1595" s="399"/>
      <c r="BW1595" s="393"/>
      <c r="BX1595" s="392"/>
      <c r="BY1595" s="393"/>
      <c r="BZ1595" s="393" t="s">
        <v>3165</v>
      </c>
      <c r="CA1595" s="441"/>
      <c r="CB1595" s="400"/>
      <c r="CC1595" s="398"/>
      <c r="CD1595" s="398"/>
      <c r="CE1595" s="398"/>
      <c r="CF1595" s="398"/>
      <c r="CG1595" s="398"/>
      <c r="CH1595" s="398"/>
      <c r="CI1595" s="398"/>
      <c r="CJ1595" s="398"/>
      <c r="CK1595" s="398"/>
      <c r="CL1595" s="398"/>
      <c r="CM1595" s="398"/>
      <c r="CN1595" s="398"/>
      <c r="CO1595" s="398"/>
      <c r="CP1595" s="398"/>
      <c r="CQ1595" s="398"/>
      <c r="CR1595" s="398"/>
      <c r="CS1595" s="398"/>
      <c r="CT1595" s="398"/>
      <c r="CU1595" s="398"/>
      <c r="CV1595" s="398"/>
      <c r="CW1595" s="398"/>
      <c r="CX1595" s="398"/>
      <c r="CY1595" s="398"/>
      <c r="CZ1595" s="398"/>
      <c r="DA1595" s="398"/>
      <c r="DB1595" s="398"/>
      <c r="DC1595" s="398"/>
      <c r="DD1595" s="398"/>
      <c r="DE1595" s="393"/>
      <c r="DF1595" s="393"/>
      <c r="DG1595" s="393"/>
      <c r="DH1595" s="393"/>
      <c r="DI1595" s="393"/>
      <c r="DJ1595" s="393"/>
      <c r="DK1595" s="896" t="s">
        <v>9701</v>
      </c>
    </row>
    <row r="1596" spans="1:115" ht="15" x14ac:dyDescent="0.2">
      <c r="A1596" s="295">
        <v>1592</v>
      </c>
      <c r="B1596" s="390" t="s">
        <v>4538</v>
      </c>
      <c r="C1596" s="390"/>
      <c r="D1596" s="391" t="s">
        <v>5650</v>
      </c>
      <c r="E1596" s="704" t="s">
        <v>4539</v>
      </c>
      <c r="F1596" s="393" t="s">
        <v>1375</v>
      </c>
      <c r="G1596" s="393" t="s">
        <v>998</v>
      </c>
      <c r="H1596" s="393" t="s">
        <v>504</v>
      </c>
      <c r="I1596" s="392"/>
      <c r="J1596" s="392"/>
      <c r="K1596" s="392" t="s">
        <v>4540</v>
      </c>
      <c r="L1596" s="392" t="s">
        <v>4536</v>
      </c>
      <c r="M1596" s="392"/>
      <c r="N1596" s="393" t="s">
        <v>44</v>
      </c>
      <c r="O1596" s="393" t="s">
        <v>51</v>
      </c>
      <c r="P1596" s="393" t="s">
        <v>51</v>
      </c>
      <c r="Q1596" s="392" t="s">
        <v>976</v>
      </c>
      <c r="R1596" s="392" t="s">
        <v>4541</v>
      </c>
      <c r="S1596" s="392" t="s">
        <v>977</v>
      </c>
      <c r="T1596" s="394">
        <v>1</v>
      </c>
      <c r="U1596" s="395">
        <v>52.877000000000002</v>
      </c>
      <c r="V1596" s="395"/>
      <c r="W1596" s="453"/>
      <c r="X1596" s="394"/>
      <c r="Y1596" s="394">
        <v>7</v>
      </c>
      <c r="Z1596" s="394">
        <v>7</v>
      </c>
      <c r="AA1596" s="395">
        <v>0</v>
      </c>
      <c r="AB1596" s="452">
        <v>41426</v>
      </c>
      <c r="AC1596" s="398">
        <v>0</v>
      </c>
      <c r="AD1596" s="398">
        <v>401.28572602739729</v>
      </c>
      <c r="AE1596" s="393" t="s">
        <v>54</v>
      </c>
      <c r="AF1596" s="417"/>
      <c r="AG1596" s="417"/>
      <c r="AH1596" s="417"/>
      <c r="AI1596" s="394"/>
      <c r="AJ1596" s="453"/>
      <c r="AK1596" s="453"/>
      <c r="AL1596" s="393"/>
      <c r="AM1596" s="393"/>
      <c r="AN1596" s="417"/>
      <c r="AO1596" s="392"/>
      <c r="AP1596" s="392" t="s">
        <v>55</v>
      </c>
      <c r="AQ1596" s="392"/>
      <c r="AR1596" s="392" t="s">
        <v>55</v>
      </c>
      <c r="AS1596" s="479">
        <v>41306</v>
      </c>
      <c r="AT1596" s="453"/>
      <c r="AU1596" s="453"/>
      <c r="AV1596" s="453"/>
      <c r="AW1596" s="453"/>
      <c r="AX1596" s="453"/>
      <c r="AY1596" s="453"/>
      <c r="AZ1596" s="452">
        <v>41487</v>
      </c>
      <c r="BA1596" s="393"/>
      <c r="BB1596" s="393"/>
      <c r="BC1596" s="393" t="b">
        <v>0</v>
      </c>
      <c r="BD1596" s="393"/>
      <c r="BE1596" s="392"/>
      <c r="BF1596" s="394">
        <v>4</v>
      </c>
      <c r="BG1596" s="394">
        <v>3</v>
      </c>
      <c r="BH1596" s="394">
        <v>8</v>
      </c>
      <c r="BI1596" s="394">
        <v>6</v>
      </c>
      <c r="BJ1596" s="394">
        <v>5</v>
      </c>
      <c r="BK1596" s="394">
        <v>7</v>
      </c>
      <c r="BL1596" s="444" t="s">
        <v>7030</v>
      </c>
      <c r="BM1596" s="392"/>
      <c r="BN1596" s="393"/>
      <c r="BO1596" s="393"/>
      <c r="BP1596" s="399"/>
      <c r="BQ1596" s="400"/>
      <c r="BR1596" s="401"/>
      <c r="BS1596" s="399"/>
      <c r="BT1596" s="394"/>
      <c r="BU1596" s="417"/>
      <c r="BV1596" s="399"/>
      <c r="BW1596" s="393" t="s">
        <v>3117</v>
      </c>
      <c r="BX1596" s="392"/>
      <c r="BY1596" s="475" t="s">
        <v>7224</v>
      </c>
      <c r="BZ1596" s="475" t="s">
        <v>3165</v>
      </c>
      <c r="CA1596" s="441"/>
      <c r="CB1596" s="400"/>
      <c r="CC1596" s="398"/>
      <c r="CD1596" s="398"/>
      <c r="CE1596" s="398"/>
      <c r="CF1596" s="398"/>
      <c r="CG1596" s="398"/>
      <c r="CH1596" s="398"/>
      <c r="CI1596" s="398">
        <v>52.877000000000002</v>
      </c>
      <c r="CJ1596" s="398">
        <v>52.877000000000002</v>
      </c>
      <c r="CK1596" s="398">
        <v>52.877000000000002</v>
      </c>
      <c r="CL1596" s="398">
        <v>52.877000000000002</v>
      </c>
      <c r="CM1596" s="398">
        <v>52.877000000000002</v>
      </c>
      <c r="CN1596" s="398">
        <v>52.877000000000002</v>
      </c>
      <c r="CO1596" s="398">
        <v>52.877000000000002</v>
      </c>
      <c r="CP1596" s="398"/>
      <c r="CQ1596" s="398"/>
      <c r="CR1596" s="398"/>
      <c r="CS1596" s="398"/>
      <c r="CT1596" s="398"/>
      <c r="CU1596" s="398"/>
      <c r="CV1596" s="398"/>
      <c r="CW1596" s="398"/>
      <c r="CX1596" s="398"/>
      <c r="CY1596" s="398"/>
      <c r="CZ1596" s="398"/>
      <c r="DA1596" s="398"/>
      <c r="DB1596" s="398"/>
      <c r="DC1596" s="398"/>
      <c r="DD1596" s="398"/>
      <c r="DE1596" s="393"/>
      <c r="DF1596" s="393"/>
      <c r="DG1596" s="393"/>
      <c r="DH1596" s="393"/>
      <c r="DI1596" s="393"/>
      <c r="DJ1596" s="393"/>
      <c r="DK1596" s="897"/>
    </row>
    <row r="1597" spans="1:115" ht="89.25" x14ac:dyDescent="0.2">
      <c r="A1597" s="295">
        <v>1593</v>
      </c>
      <c r="B1597" s="390" t="s">
        <v>4542</v>
      </c>
      <c r="C1597" s="424" t="s">
        <v>7840</v>
      </c>
      <c r="D1597" s="391" t="s">
        <v>5651</v>
      </c>
      <c r="E1597" s="704" t="s">
        <v>4543</v>
      </c>
      <c r="F1597" s="393" t="s">
        <v>1352</v>
      </c>
      <c r="G1597" s="475" t="s">
        <v>1671</v>
      </c>
      <c r="H1597" s="393" t="s">
        <v>117</v>
      </c>
      <c r="I1597" s="392"/>
      <c r="J1597" s="392" t="s">
        <v>2471</v>
      </c>
      <c r="K1597" s="392"/>
      <c r="L1597" s="392" t="s">
        <v>4544</v>
      </c>
      <c r="M1597" s="392" t="s">
        <v>4545</v>
      </c>
      <c r="N1597" s="393" t="s">
        <v>44</v>
      </c>
      <c r="O1597" s="393" t="s">
        <v>289</v>
      </c>
      <c r="P1597" s="393" t="s">
        <v>289</v>
      </c>
      <c r="Q1597" s="392" t="s">
        <v>649</v>
      </c>
      <c r="R1597" s="392"/>
      <c r="S1597" s="392" t="s">
        <v>291</v>
      </c>
      <c r="T1597" s="394">
        <v>1</v>
      </c>
      <c r="U1597" s="395">
        <v>3.9769999999999999</v>
      </c>
      <c r="V1597" s="395"/>
      <c r="W1597" s="452">
        <v>41308</v>
      </c>
      <c r="X1597" s="394">
        <v>28</v>
      </c>
      <c r="Y1597" s="394"/>
      <c r="Z1597" s="394"/>
      <c r="AA1597" s="395"/>
      <c r="AB1597" s="453"/>
      <c r="AC1597" s="398">
        <v>0</v>
      </c>
      <c r="AD1597" s="398">
        <v>39.769999999999996</v>
      </c>
      <c r="AE1597" s="393" t="s">
        <v>96</v>
      </c>
      <c r="AF1597" s="417"/>
      <c r="AG1597" s="417"/>
      <c r="AH1597" s="417">
        <v>0</v>
      </c>
      <c r="AI1597" s="394"/>
      <c r="AJ1597" s="453"/>
      <c r="AK1597" s="453"/>
      <c r="AL1597" s="393"/>
      <c r="AM1597" s="393"/>
      <c r="AN1597" s="417"/>
      <c r="AO1597" s="392"/>
      <c r="AP1597" s="392" t="s">
        <v>55</v>
      </c>
      <c r="AQ1597" s="392"/>
      <c r="AR1597" s="392" t="s">
        <v>55</v>
      </c>
      <c r="AS1597" s="479">
        <v>41310</v>
      </c>
      <c r="AT1597" s="453"/>
      <c r="AU1597" s="453"/>
      <c r="AV1597" s="452">
        <v>41183</v>
      </c>
      <c r="AW1597" s="452">
        <v>41390</v>
      </c>
      <c r="AX1597" s="452">
        <v>41549</v>
      </c>
      <c r="AY1597" s="452">
        <v>41390</v>
      </c>
      <c r="AZ1597" s="453"/>
      <c r="BA1597" s="393"/>
      <c r="BB1597" s="393" t="s">
        <v>3147</v>
      </c>
      <c r="BC1597" s="393" t="b">
        <v>1</v>
      </c>
      <c r="BD1597" s="393" t="s">
        <v>3147</v>
      </c>
      <c r="BE1597" s="392"/>
      <c r="BF1597" s="394">
        <v>9</v>
      </c>
      <c r="BG1597" s="394">
        <v>4</v>
      </c>
      <c r="BH1597" s="394">
        <v>5</v>
      </c>
      <c r="BI1597" s="394"/>
      <c r="BJ1597" s="394"/>
      <c r="BK1597" s="394"/>
      <c r="BL1597" s="444" t="s">
        <v>7030</v>
      </c>
      <c r="BM1597" s="392"/>
      <c r="BN1597" s="393"/>
      <c r="BO1597" s="393"/>
      <c r="BP1597" s="399"/>
      <c r="BQ1597" s="400"/>
      <c r="BR1597" s="401"/>
      <c r="BS1597" s="399">
        <v>1.5</v>
      </c>
      <c r="BT1597" s="394"/>
      <c r="BU1597" s="417"/>
      <c r="BV1597" s="399"/>
      <c r="BW1597" s="393"/>
      <c r="BX1597" s="392"/>
      <c r="BY1597" s="393"/>
      <c r="BZ1597" s="393"/>
      <c r="CA1597" s="441"/>
      <c r="CB1597" s="400"/>
      <c r="CC1597" s="398"/>
      <c r="CD1597" s="398"/>
      <c r="CE1597" s="398"/>
      <c r="CF1597" s="398"/>
      <c r="CG1597" s="398"/>
      <c r="CH1597" s="398"/>
      <c r="CI1597" s="398"/>
      <c r="CJ1597" s="398"/>
      <c r="CK1597" s="398"/>
      <c r="CL1597" s="398"/>
      <c r="CM1597" s="398"/>
      <c r="CN1597" s="398"/>
      <c r="CO1597" s="398"/>
      <c r="CP1597" s="398"/>
      <c r="CQ1597" s="398"/>
      <c r="CR1597" s="398"/>
      <c r="CS1597" s="398"/>
      <c r="CT1597" s="398"/>
      <c r="CU1597" s="398"/>
      <c r="CV1597" s="398"/>
      <c r="CW1597" s="398"/>
      <c r="CX1597" s="398"/>
      <c r="CY1597" s="398"/>
      <c r="CZ1597" s="398"/>
      <c r="DA1597" s="398"/>
      <c r="DB1597" s="398"/>
      <c r="DC1597" s="398"/>
      <c r="DD1597" s="398"/>
      <c r="DE1597" s="393"/>
      <c r="DF1597" s="393"/>
      <c r="DG1597" s="393"/>
      <c r="DH1597" s="393"/>
      <c r="DI1597" s="393"/>
      <c r="DJ1597" s="393"/>
      <c r="DK1597" s="896" t="s">
        <v>9700</v>
      </c>
    </row>
    <row r="1598" spans="1:115" ht="38.25" x14ac:dyDescent="0.2">
      <c r="A1598" s="295">
        <v>1594</v>
      </c>
      <c r="B1598" s="390" t="s">
        <v>4546</v>
      </c>
      <c r="C1598" s="390"/>
      <c r="D1598" s="391" t="s">
        <v>5652</v>
      </c>
      <c r="E1598" s="704" t="s">
        <v>4547</v>
      </c>
      <c r="F1598" s="393" t="s">
        <v>1352</v>
      </c>
      <c r="G1598" s="475" t="s">
        <v>1671</v>
      </c>
      <c r="H1598" s="393" t="s">
        <v>117</v>
      </c>
      <c r="I1598" s="392"/>
      <c r="J1598" s="392"/>
      <c r="K1598" s="392" t="s">
        <v>2471</v>
      </c>
      <c r="L1598" s="392" t="s">
        <v>4544</v>
      </c>
      <c r="M1598" s="392"/>
      <c r="N1598" s="393" t="s">
        <v>44</v>
      </c>
      <c r="O1598" s="393" t="s">
        <v>289</v>
      </c>
      <c r="P1598" s="393" t="s">
        <v>289</v>
      </c>
      <c r="Q1598" s="392" t="s">
        <v>649</v>
      </c>
      <c r="R1598" s="392" t="s">
        <v>4548</v>
      </c>
      <c r="S1598" s="392" t="s">
        <v>291</v>
      </c>
      <c r="T1598" s="394">
        <v>1</v>
      </c>
      <c r="U1598" s="395">
        <v>3.9769999999999999</v>
      </c>
      <c r="V1598" s="395"/>
      <c r="W1598" s="453"/>
      <c r="X1598" s="394"/>
      <c r="Y1598" s="394">
        <v>10</v>
      </c>
      <c r="Z1598" s="394">
        <v>20</v>
      </c>
      <c r="AA1598" s="395">
        <v>0</v>
      </c>
      <c r="AB1598" s="452">
        <v>42005</v>
      </c>
      <c r="AC1598" s="398">
        <v>0</v>
      </c>
      <c r="AD1598" s="398">
        <v>39.769999999999996</v>
      </c>
      <c r="AE1598" s="393" t="s">
        <v>96</v>
      </c>
      <c r="AF1598" s="417"/>
      <c r="AG1598" s="417"/>
      <c r="AH1598" s="417"/>
      <c r="AI1598" s="394"/>
      <c r="AJ1598" s="453"/>
      <c r="AK1598" s="453"/>
      <c r="AL1598" s="393"/>
      <c r="AM1598" s="393"/>
      <c r="AN1598" s="417"/>
      <c r="AO1598" s="392"/>
      <c r="AP1598" s="392" t="s">
        <v>55</v>
      </c>
      <c r="AQ1598" s="392"/>
      <c r="AR1598" s="392" t="s">
        <v>55</v>
      </c>
      <c r="AS1598" s="479">
        <v>41310</v>
      </c>
      <c r="AT1598" s="453"/>
      <c r="AU1598" s="453"/>
      <c r="AV1598" s="453"/>
      <c r="AW1598" s="453"/>
      <c r="AX1598" s="453"/>
      <c r="AY1598" s="453"/>
      <c r="AZ1598" s="452">
        <v>41390</v>
      </c>
      <c r="BA1598" s="393"/>
      <c r="BB1598" s="393"/>
      <c r="BC1598" s="393" t="b">
        <v>0</v>
      </c>
      <c r="BD1598" s="393"/>
      <c r="BE1598" s="392"/>
      <c r="BF1598" s="394">
        <v>9</v>
      </c>
      <c r="BG1598" s="394">
        <v>4</v>
      </c>
      <c r="BH1598" s="394">
        <v>5</v>
      </c>
      <c r="BI1598" s="394"/>
      <c r="BJ1598" s="394"/>
      <c r="BK1598" s="394"/>
      <c r="BL1598" s="444" t="s">
        <v>7030</v>
      </c>
      <c r="BM1598" s="392"/>
      <c r="BN1598" s="393"/>
      <c r="BO1598" s="393"/>
      <c r="BP1598" s="399"/>
      <c r="BQ1598" s="400"/>
      <c r="BR1598" s="401"/>
      <c r="BS1598" s="399">
        <v>1.5</v>
      </c>
      <c r="BT1598" s="394">
        <v>6057</v>
      </c>
      <c r="BU1598" s="417">
        <v>0.65674999999999994</v>
      </c>
      <c r="BV1598" s="399"/>
      <c r="BW1598" s="393" t="s">
        <v>3117</v>
      </c>
      <c r="BX1598" s="392" t="s">
        <v>1520</v>
      </c>
      <c r="BY1598" s="393" t="s">
        <v>7238</v>
      </c>
      <c r="BZ1598" s="393"/>
      <c r="CA1598" s="441"/>
      <c r="CB1598" s="400"/>
      <c r="CC1598" s="398"/>
      <c r="CD1598" s="398"/>
      <c r="CE1598" s="398"/>
      <c r="CF1598" s="398"/>
      <c r="CG1598" s="398"/>
      <c r="CH1598" s="398"/>
      <c r="CI1598" s="398"/>
      <c r="CJ1598" s="398"/>
      <c r="CK1598" s="398">
        <v>3.9769999999999999</v>
      </c>
      <c r="CL1598" s="398">
        <v>3.9769999999999999</v>
      </c>
      <c r="CM1598" s="398">
        <v>3.9769999999999999</v>
      </c>
      <c r="CN1598" s="398">
        <v>3.9769999999999999</v>
      </c>
      <c r="CO1598" s="398">
        <v>3.9769999999999999</v>
      </c>
      <c r="CP1598" s="398">
        <v>3.9769999999999999</v>
      </c>
      <c r="CQ1598" s="398">
        <v>3.9769999999999999</v>
      </c>
      <c r="CR1598" s="398">
        <v>3.9769999999999999</v>
      </c>
      <c r="CS1598" s="398">
        <v>3.9769999999999999</v>
      </c>
      <c r="CT1598" s="398">
        <v>3.9769999999999999</v>
      </c>
      <c r="CU1598" s="398"/>
      <c r="CV1598" s="398"/>
      <c r="CW1598" s="398"/>
      <c r="CX1598" s="398"/>
      <c r="CY1598" s="398"/>
      <c r="CZ1598" s="398"/>
      <c r="DA1598" s="398"/>
      <c r="DB1598" s="398"/>
      <c r="DC1598" s="398"/>
      <c r="DD1598" s="398"/>
      <c r="DE1598" s="393"/>
      <c r="DF1598" s="393"/>
      <c r="DG1598" s="393"/>
      <c r="DH1598" s="393"/>
      <c r="DI1598" s="393"/>
      <c r="DJ1598" s="393"/>
      <c r="DK1598" s="897"/>
    </row>
    <row r="1599" spans="1:115" ht="25.5" x14ac:dyDescent="0.2">
      <c r="A1599" s="295">
        <v>1595</v>
      </c>
      <c r="B1599" s="390" t="s">
        <v>4549</v>
      </c>
      <c r="C1599" s="424" t="s">
        <v>7841</v>
      </c>
      <c r="D1599" s="391" t="s">
        <v>5653</v>
      </c>
      <c r="E1599" s="705" t="s">
        <v>4550</v>
      </c>
      <c r="F1599" s="393" t="s">
        <v>1352</v>
      </c>
      <c r="G1599" s="393" t="s">
        <v>1673</v>
      </c>
      <c r="H1599" s="393" t="s">
        <v>313</v>
      </c>
      <c r="I1599" s="392"/>
      <c r="J1599" s="392" t="s">
        <v>313</v>
      </c>
      <c r="K1599" s="392"/>
      <c r="L1599" s="392" t="s">
        <v>4551</v>
      </c>
      <c r="M1599" s="392" t="s">
        <v>4552</v>
      </c>
      <c r="N1599" s="393" t="s">
        <v>44</v>
      </c>
      <c r="O1599" s="393" t="s">
        <v>289</v>
      </c>
      <c r="P1599" s="393" t="s">
        <v>289</v>
      </c>
      <c r="Q1599" s="392" t="s">
        <v>721</v>
      </c>
      <c r="R1599" s="392"/>
      <c r="S1599" s="392" t="s">
        <v>291</v>
      </c>
      <c r="T1599" s="394">
        <v>8</v>
      </c>
      <c r="U1599" s="395">
        <v>46.609000000000002</v>
      </c>
      <c r="V1599" s="395"/>
      <c r="W1599" s="452">
        <v>41165</v>
      </c>
      <c r="X1599" s="394">
        <v>28</v>
      </c>
      <c r="Y1599" s="394"/>
      <c r="Z1599" s="394"/>
      <c r="AA1599" s="395"/>
      <c r="AB1599" s="453"/>
      <c r="AC1599" s="398">
        <v>0</v>
      </c>
      <c r="AD1599" s="398">
        <v>206.0086410958904</v>
      </c>
      <c r="AE1599" s="393" t="s">
        <v>1606</v>
      </c>
      <c r="AF1599" s="417"/>
      <c r="AG1599" s="417"/>
      <c r="AH1599" s="417">
        <v>6.76</v>
      </c>
      <c r="AI1599" s="394"/>
      <c r="AJ1599" s="453"/>
      <c r="AK1599" s="453"/>
      <c r="AL1599" s="393"/>
      <c r="AM1599" s="393"/>
      <c r="AN1599" s="417"/>
      <c r="AO1599" s="392"/>
      <c r="AP1599" s="392" t="s">
        <v>55</v>
      </c>
      <c r="AQ1599" s="392"/>
      <c r="AR1599" s="392" t="s">
        <v>55</v>
      </c>
      <c r="AS1599" s="479">
        <v>41310</v>
      </c>
      <c r="AT1599" s="453"/>
      <c r="AU1599" s="453"/>
      <c r="AV1599" s="452">
        <v>41491</v>
      </c>
      <c r="AW1599" s="452">
        <v>41492</v>
      </c>
      <c r="AX1599" s="452">
        <v>41572</v>
      </c>
      <c r="AY1599" s="452">
        <v>41492</v>
      </c>
      <c r="AZ1599" s="453"/>
      <c r="BA1599" s="393"/>
      <c r="BB1599" s="393" t="s">
        <v>3147</v>
      </c>
      <c r="BC1599" s="393" t="b">
        <v>1</v>
      </c>
      <c r="BD1599" s="393" t="s">
        <v>3147</v>
      </c>
      <c r="BE1599" s="392"/>
      <c r="BF1599" s="394">
        <v>5</v>
      </c>
      <c r="BG1599" s="394">
        <v>1</v>
      </c>
      <c r="BH1599" s="394">
        <v>8</v>
      </c>
      <c r="BI1599" s="394"/>
      <c r="BJ1599" s="394"/>
      <c r="BK1599" s="394"/>
      <c r="BL1599" s="444" t="s">
        <v>7030</v>
      </c>
      <c r="BM1599" s="392"/>
      <c r="BN1599" s="393"/>
      <c r="BO1599" s="393"/>
      <c r="BP1599" s="399"/>
      <c r="BQ1599" s="400"/>
      <c r="BR1599" s="401"/>
      <c r="BS1599" s="399">
        <v>15.65</v>
      </c>
      <c r="BT1599" s="394"/>
      <c r="BU1599" s="417"/>
      <c r="BV1599" s="399"/>
      <c r="BW1599" s="393"/>
      <c r="BX1599" s="392"/>
      <c r="BY1599" s="393"/>
      <c r="BZ1599" s="393"/>
      <c r="CA1599" s="441"/>
      <c r="CB1599" s="400"/>
      <c r="CC1599" s="398"/>
      <c r="CD1599" s="398"/>
      <c r="CE1599" s="398"/>
      <c r="CF1599" s="398"/>
      <c r="CG1599" s="398"/>
      <c r="CH1599" s="398"/>
      <c r="CI1599" s="398"/>
      <c r="CJ1599" s="398"/>
      <c r="CK1599" s="398"/>
      <c r="CL1599" s="398"/>
      <c r="CM1599" s="398"/>
      <c r="CN1599" s="398"/>
      <c r="CO1599" s="398"/>
      <c r="CP1599" s="398"/>
      <c r="CQ1599" s="398"/>
      <c r="CR1599" s="398"/>
      <c r="CS1599" s="398"/>
      <c r="CT1599" s="398"/>
      <c r="CU1599" s="398"/>
      <c r="CV1599" s="398"/>
      <c r="CW1599" s="398"/>
      <c r="CX1599" s="398"/>
      <c r="CY1599" s="398"/>
      <c r="CZ1599" s="398"/>
      <c r="DA1599" s="398"/>
      <c r="DB1599" s="398"/>
      <c r="DC1599" s="398"/>
      <c r="DD1599" s="398"/>
      <c r="DE1599" s="393"/>
      <c r="DF1599" s="393"/>
      <c r="DG1599" s="393"/>
      <c r="DH1599" s="393"/>
      <c r="DI1599" s="393"/>
      <c r="DJ1599" s="393"/>
      <c r="DK1599" s="896" t="s">
        <v>9716</v>
      </c>
    </row>
    <row r="1600" spans="1:115" ht="38.25" x14ac:dyDescent="0.2">
      <c r="A1600" s="295">
        <v>1596</v>
      </c>
      <c r="B1600" s="390" t="s">
        <v>4553</v>
      </c>
      <c r="C1600" s="390"/>
      <c r="D1600" s="391" t="s">
        <v>5654</v>
      </c>
      <c r="E1600" s="704" t="s">
        <v>4554</v>
      </c>
      <c r="F1600" s="393" t="s">
        <v>1352</v>
      </c>
      <c r="G1600" s="393" t="s">
        <v>1673</v>
      </c>
      <c r="H1600" s="393" t="s">
        <v>313</v>
      </c>
      <c r="I1600" s="392"/>
      <c r="J1600" s="392"/>
      <c r="K1600" s="392" t="s">
        <v>4555</v>
      </c>
      <c r="L1600" s="392" t="s">
        <v>4551</v>
      </c>
      <c r="M1600" s="392"/>
      <c r="N1600" s="393" t="s">
        <v>44</v>
      </c>
      <c r="O1600" s="393" t="s">
        <v>289</v>
      </c>
      <c r="P1600" s="393" t="s">
        <v>289</v>
      </c>
      <c r="Q1600" s="392" t="s">
        <v>721</v>
      </c>
      <c r="R1600" s="392" t="s">
        <v>4556</v>
      </c>
      <c r="S1600" s="392" t="s">
        <v>291</v>
      </c>
      <c r="T1600" s="394">
        <v>1</v>
      </c>
      <c r="U1600" s="395">
        <v>3.1789999999999998</v>
      </c>
      <c r="V1600" s="395"/>
      <c r="W1600" s="453"/>
      <c r="X1600" s="394"/>
      <c r="Y1600" s="394">
        <v>7</v>
      </c>
      <c r="Z1600" s="394">
        <v>20</v>
      </c>
      <c r="AA1600" s="395">
        <v>0</v>
      </c>
      <c r="AB1600" s="452">
        <v>41333</v>
      </c>
      <c r="AC1600" s="398">
        <v>0</v>
      </c>
      <c r="AD1600" s="398">
        <v>24.935553424657531</v>
      </c>
      <c r="AE1600" s="393" t="s">
        <v>1606</v>
      </c>
      <c r="AF1600" s="417"/>
      <c r="AG1600" s="417"/>
      <c r="AH1600" s="417"/>
      <c r="AI1600" s="394"/>
      <c r="AJ1600" s="453"/>
      <c r="AK1600" s="453"/>
      <c r="AL1600" s="393"/>
      <c r="AM1600" s="393"/>
      <c r="AN1600" s="417"/>
      <c r="AO1600" s="392"/>
      <c r="AP1600" s="392" t="s">
        <v>55</v>
      </c>
      <c r="AQ1600" s="392"/>
      <c r="AR1600" s="392" t="s">
        <v>55</v>
      </c>
      <c r="AS1600" s="479">
        <v>41310</v>
      </c>
      <c r="AT1600" s="453"/>
      <c r="AU1600" s="453"/>
      <c r="AV1600" s="453"/>
      <c r="AW1600" s="453"/>
      <c r="AX1600" s="453"/>
      <c r="AY1600" s="453"/>
      <c r="AZ1600" s="452">
        <v>41492</v>
      </c>
      <c r="BA1600" s="393"/>
      <c r="BB1600" s="393"/>
      <c r="BC1600" s="393" t="b">
        <v>0</v>
      </c>
      <c r="BD1600" s="393"/>
      <c r="BE1600" s="392"/>
      <c r="BF1600" s="394">
        <v>5</v>
      </c>
      <c r="BG1600" s="394">
        <v>1</v>
      </c>
      <c r="BH1600" s="394">
        <v>8</v>
      </c>
      <c r="BI1600" s="394"/>
      <c r="BJ1600" s="394"/>
      <c r="BK1600" s="394"/>
      <c r="BL1600" s="444" t="s">
        <v>7030</v>
      </c>
      <c r="BM1600" s="392"/>
      <c r="BN1600" s="393"/>
      <c r="BO1600" s="393"/>
      <c r="BP1600" s="399"/>
      <c r="BQ1600" s="400"/>
      <c r="BR1600" s="401"/>
      <c r="BS1600" s="399">
        <v>1.3</v>
      </c>
      <c r="BT1600" s="394">
        <v>4555</v>
      </c>
      <c r="BU1600" s="417"/>
      <c r="BV1600" s="399"/>
      <c r="BW1600" s="393" t="s">
        <v>3117</v>
      </c>
      <c r="BX1600" s="392" t="s">
        <v>1450</v>
      </c>
      <c r="BY1600" s="393"/>
      <c r="BZ1600" s="393"/>
      <c r="CA1600" s="441" t="s">
        <v>1662</v>
      </c>
      <c r="CB1600" s="400">
        <v>3</v>
      </c>
      <c r="CC1600" s="398"/>
      <c r="CD1600" s="398"/>
      <c r="CE1600" s="398"/>
      <c r="CF1600" s="398"/>
      <c r="CG1600" s="398"/>
      <c r="CH1600" s="398"/>
      <c r="CI1600" s="398"/>
      <c r="CJ1600" s="398">
        <v>3.4329999999999998</v>
      </c>
      <c r="CK1600" s="398">
        <v>3.4329999999999998</v>
      </c>
      <c r="CL1600" s="398">
        <v>3.4329999999999998</v>
      </c>
      <c r="CM1600" s="398">
        <v>3.4329999999999998</v>
      </c>
      <c r="CN1600" s="398">
        <v>3.4329999999999998</v>
      </c>
      <c r="CO1600" s="398">
        <v>3.4329999999999998</v>
      </c>
      <c r="CP1600" s="398">
        <v>3.4329999999999998</v>
      </c>
      <c r="CQ1600" s="398"/>
      <c r="CR1600" s="398"/>
      <c r="CS1600" s="398"/>
      <c r="CT1600" s="398"/>
      <c r="CU1600" s="398"/>
      <c r="CV1600" s="398"/>
      <c r="CW1600" s="398"/>
      <c r="CX1600" s="398"/>
      <c r="CY1600" s="398"/>
      <c r="CZ1600" s="398"/>
      <c r="DA1600" s="398"/>
      <c r="DB1600" s="398"/>
      <c r="DC1600" s="398"/>
      <c r="DD1600" s="398"/>
      <c r="DE1600" s="393"/>
      <c r="DF1600" s="393"/>
      <c r="DG1600" s="393"/>
      <c r="DH1600" s="393"/>
      <c r="DI1600" s="393"/>
      <c r="DJ1600" s="393"/>
      <c r="DK1600" s="897"/>
    </row>
    <row r="1601" spans="1:115" ht="25.5" x14ac:dyDescent="0.2">
      <c r="A1601" s="295">
        <v>1597</v>
      </c>
      <c r="B1601" s="390" t="s">
        <v>7211</v>
      </c>
      <c r="C1601" s="390"/>
      <c r="D1601" s="391" t="s">
        <v>7212</v>
      </c>
      <c r="E1601" s="704" t="s">
        <v>7213</v>
      </c>
      <c r="F1601" s="393" t="s">
        <v>1352</v>
      </c>
      <c r="G1601" s="393" t="s">
        <v>1673</v>
      </c>
      <c r="H1601" s="393" t="s">
        <v>313</v>
      </c>
      <c r="I1601" s="392"/>
      <c r="J1601" s="392"/>
      <c r="K1601" s="392"/>
      <c r="L1601" s="392" t="s">
        <v>4551</v>
      </c>
      <c r="M1601" s="392"/>
      <c r="N1601" s="393" t="s">
        <v>44</v>
      </c>
      <c r="O1601" s="393" t="s">
        <v>289</v>
      </c>
      <c r="P1601" s="393" t="s">
        <v>289</v>
      </c>
      <c r="Q1601" s="392" t="s">
        <v>721</v>
      </c>
      <c r="R1601" s="428" t="s">
        <v>9273</v>
      </c>
      <c r="S1601" s="392" t="s">
        <v>291</v>
      </c>
      <c r="T1601" s="394">
        <v>1</v>
      </c>
      <c r="U1601" s="395">
        <v>9.0579999999999998</v>
      </c>
      <c r="V1601" s="395"/>
      <c r="W1601" s="453"/>
      <c r="X1601" s="394"/>
      <c r="Y1601" s="394">
        <v>7</v>
      </c>
      <c r="Z1601" s="394">
        <v>20</v>
      </c>
      <c r="AA1601" s="395">
        <v>0</v>
      </c>
      <c r="AB1601" s="452">
        <v>42248</v>
      </c>
      <c r="AC1601" s="398">
        <v>0</v>
      </c>
      <c r="AD1601" s="398">
        <v>48.342421917808217</v>
      </c>
      <c r="AE1601" s="393" t="s">
        <v>1606</v>
      </c>
      <c r="AF1601" s="417"/>
      <c r="AG1601" s="417">
        <v>6.76</v>
      </c>
      <c r="AH1601" s="417">
        <v>6.76</v>
      </c>
      <c r="AI1601" s="394"/>
      <c r="AJ1601" s="453"/>
      <c r="AK1601" s="453"/>
      <c r="AL1601" s="393"/>
      <c r="AM1601" s="393"/>
      <c r="AN1601" s="417"/>
      <c r="AO1601" s="392"/>
      <c r="AP1601" s="392"/>
      <c r="AQ1601" s="392"/>
      <c r="AR1601" s="392" t="s">
        <v>55</v>
      </c>
      <c r="AS1601" s="479">
        <v>41310</v>
      </c>
      <c r="AT1601" s="453"/>
      <c r="AU1601" s="453"/>
      <c r="AV1601" s="453"/>
      <c r="AW1601" s="453"/>
      <c r="AX1601" s="453"/>
      <c r="AY1601" s="453"/>
      <c r="AZ1601" s="452">
        <v>42228</v>
      </c>
      <c r="BA1601" s="393"/>
      <c r="BB1601" s="393"/>
      <c r="BC1601" s="393" t="b">
        <v>0</v>
      </c>
      <c r="BD1601" s="393"/>
      <c r="BE1601" s="392"/>
      <c r="BF1601" s="394">
        <v>5</v>
      </c>
      <c r="BG1601" s="394">
        <v>1</v>
      </c>
      <c r="BH1601" s="394">
        <v>8</v>
      </c>
      <c r="BI1601" s="394"/>
      <c r="BJ1601" s="394"/>
      <c r="BK1601" s="394"/>
      <c r="BL1601" s="444" t="s">
        <v>7030</v>
      </c>
      <c r="BM1601" s="392"/>
      <c r="BN1601" s="393"/>
      <c r="BO1601" s="393"/>
      <c r="BP1601" s="399"/>
      <c r="BQ1601" s="400"/>
      <c r="BR1601" s="401"/>
      <c r="BS1601" s="399">
        <v>1.3</v>
      </c>
      <c r="BT1601" s="394">
        <v>4555</v>
      </c>
      <c r="BU1601" s="417"/>
      <c r="BV1601" s="399"/>
      <c r="BW1601" s="393" t="s">
        <v>3117</v>
      </c>
      <c r="BX1601" s="392" t="s">
        <v>1450</v>
      </c>
      <c r="BY1601" s="393"/>
      <c r="BZ1601" s="393"/>
      <c r="CA1601" s="441"/>
      <c r="CB1601" s="400"/>
      <c r="CC1601" s="398"/>
      <c r="CD1601" s="398"/>
      <c r="CE1601" s="398"/>
      <c r="CF1601" s="398"/>
      <c r="CG1601" s="398"/>
      <c r="CH1601" s="398"/>
      <c r="CI1601" s="398"/>
      <c r="CJ1601" s="398"/>
      <c r="CK1601" s="398">
        <v>9.0579999999999998</v>
      </c>
      <c r="CL1601" s="398">
        <v>9.0579999999999998</v>
      </c>
      <c r="CM1601" s="398">
        <v>9.0579999999999998</v>
      </c>
      <c r="CN1601" s="398">
        <v>9.0579999999999998</v>
      </c>
      <c r="CO1601" s="398">
        <v>9.0579999999999998</v>
      </c>
      <c r="CP1601" s="398">
        <v>9.0579999999999998</v>
      </c>
      <c r="CQ1601" s="398">
        <v>9.0579999999999998</v>
      </c>
      <c r="CR1601" s="398"/>
      <c r="CS1601" s="398"/>
      <c r="CT1601" s="398"/>
      <c r="CU1601" s="398"/>
      <c r="CV1601" s="398"/>
      <c r="CW1601" s="398"/>
      <c r="CX1601" s="398"/>
      <c r="CY1601" s="398"/>
      <c r="CZ1601" s="398"/>
      <c r="DA1601" s="398"/>
      <c r="DB1601" s="398"/>
      <c r="DC1601" s="398"/>
      <c r="DD1601" s="398"/>
      <c r="DE1601" s="393"/>
      <c r="DF1601" s="393"/>
      <c r="DG1601" s="393"/>
      <c r="DH1601" s="393"/>
      <c r="DI1601" s="393"/>
      <c r="DJ1601" s="393"/>
      <c r="DK1601" s="897"/>
    </row>
    <row r="1602" spans="1:115" ht="25.5" x14ac:dyDescent="0.2">
      <c r="A1602" s="295">
        <v>1598</v>
      </c>
      <c r="B1602" s="390" t="s">
        <v>7275</v>
      </c>
      <c r="C1602" s="390"/>
      <c r="D1602" s="391" t="s">
        <v>7276</v>
      </c>
      <c r="E1602" s="704" t="s">
        <v>7277</v>
      </c>
      <c r="F1602" s="393" t="s">
        <v>1352</v>
      </c>
      <c r="G1602" s="393" t="s">
        <v>1673</v>
      </c>
      <c r="H1602" s="393" t="s">
        <v>313</v>
      </c>
      <c r="I1602" s="392"/>
      <c r="J1602" s="392"/>
      <c r="K1602" s="392"/>
      <c r="L1602" s="392" t="s">
        <v>4551</v>
      </c>
      <c r="M1602" s="392"/>
      <c r="N1602" s="393" t="s">
        <v>44</v>
      </c>
      <c r="O1602" s="393" t="s">
        <v>289</v>
      </c>
      <c r="P1602" s="393" t="s">
        <v>289</v>
      </c>
      <c r="Q1602" s="392" t="s">
        <v>721</v>
      </c>
      <c r="R1602" s="428" t="s">
        <v>9272</v>
      </c>
      <c r="S1602" s="392" t="s">
        <v>291</v>
      </c>
      <c r="T1602" s="394">
        <v>1</v>
      </c>
      <c r="U1602" s="395">
        <v>5.1989999999999998</v>
      </c>
      <c r="V1602" s="395"/>
      <c r="W1602" s="453"/>
      <c r="X1602" s="394"/>
      <c r="Y1602" s="394">
        <v>7</v>
      </c>
      <c r="Z1602" s="394">
        <v>20</v>
      </c>
      <c r="AA1602" s="395">
        <v>0</v>
      </c>
      <c r="AB1602" s="452">
        <v>42401</v>
      </c>
      <c r="AC1602" s="398">
        <v>0</v>
      </c>
      <c r="AD1602" s="398">
        <v>25.56768493150685</v>
      </c>
      <c r="AE1602" s="393" t="s">
        <v>1606</v>
      </c>
      <c r="AF1602" s="417"/>
      <c r="AG1602" s="417"/>
      <c r="AH1602" s="417"/>
      <c r="AI1602" s="394"/>
      <c r="AJ1602" s="453"/>
      <c r="AK1602" s="453"/>
      <c r="AL1602" s="393"/>
      <c r="AM1602" s="393"/>
      <c r="AN1602" s="417"/>
      <c r="AO1602" s="392"/>
      <c r="AP1602" s="392"/>
      <c r="AQ1602" s="392"/>
      <c r="AR1602" s="392" t="s">
        <v>55</v>
      </c>
      <c r="AS1602" s="479">
        <v>41310</v>
      </c>
      <c r="AT1602" s="453"/>
      <c r="AU1602" s="453"/>
      <c r="AV1602" s="453"/>
      <c r="AW1602" s="453"/>
      <c r="AX1602" s="453"/>
      <c r="AY1602" s="453"/>
      <c r="AZ1602" s="452">
        <v>42290</v>
      </c>
      <c r="BA1602" s="393"/>
      <c r="BB1602" s="393"/>
      <c r="BC1602" s="393" t="b">
        <v>0</v>
      </c>
      <c r="BD1602" s="393"/>
      <c r="BE1602" s="392"/>
      <c r="BF1602" s="394">
        <v>5</v>
      </c>
      <c r="BG1602" s="394">
        <v>1</v>
      </c>
      <c r="BH1602" s="394">
        <v>8</v>
      </c>
      <c r="BI1602" s="394"/>
      <c r="BJ1602" s="394"/>
      <c r="BK1602" s="394"/>
      <c r="BL1602" s="444" t="s">
        <v>7030</v>
      </c>
      <c r="BM1602" s="392"/>
      <c r="BN1602" s="393"/>
      <c r="BO1602" s="393"/>
      <c r="BP1602" s="399"/>
      <c r="BQ1602" s="400"/>
      <c r="BR1602" s="401"/>
      <c r="BS1602" s="399">
        <v>2</v>
      </c>
      <c r="BT1602" s="394">
        <v>7154</v>
      </c>
      <c r="BU1602" s="417"/>
      <c r="BV1602" s="399"/>
      <c r="BW1602" s="393" t="s">
        <v>3117</v>
      </c>
      <c r="BX1602" s="392" t="s">
        <v>1450</v>
      </c>
      <c r="BY1602" s="393"/>
      <c r="BZ1602" s="393"/>
      <c r="CA1602" s="441"/>
      <c r="CB1602" s="400"/>
      <c r="CC1602" s="398"/>
      <c r="CD1602" s="398"/>
      <c r="CE1602" s="398"/>
      <c r="CF1602" s="398"/>
      <c r="CG1602" s="398"/>
      <c r="CH1602" s="398"/>
      <c r="CI1602" s="398"/>
      <c r="CJ1602" s="398"/>
      <c r="CK1602" s="398">
        <v>5.1989999999999998</v>
      </c>
      <c r="CL1602" s="398">
        <v>5.1989999999999998</v>
      </c>
      <c r="CM1602" s="398">
        <v>5.1989999999999998</v>
      </c>
      <c r="CN1602" s="398">
        <v>5.1989999999999998</v>
      </c>
      <c r="CO1602" s="398">
        <v>5.1989999999999998</v>
      </c>
      <c r="CP1602" s="398">
        <v>5.1989999999999998</v>
      </c>
      <c r="CQ1602" s="398">
        <v>5.1989999999999998</v>
      </c>
      <c r="CR1602" s="398"/>
      <c r="CS1602" s="398"/>
      <c r="CT1602" s="398"/>
      <c r="CU1602" s="398"/>
      <c r="CV1602" s="398"/>
      <c r="CW1602" s="398"/>
      <c r="CX1602" s="398"/>
      <c r="CY1602" s="398"/>
      <c r="CZ1602" s="398"/>
      <c r="DA1602" s="398"/>
      <c r="DB1602" s="398"/>
      <c r="DC1602" s="398"/>
      <c r="DD1602" s="398"/>
      <c r="DE1602" s="393"/>
      <c r="DF1602" s="393"/>
      <c r="DG1602" s="393"/>
      <c r="DH1602" s="393"/>
      <c r="DI1602" s="393"/>
      <c r="DJ1602" s="393"/>
      <c r="DK1602" s="897"/>
    </row>
    <row r="1603" spans="1:115" ht="25.5" x14ac:dyDescent="0.2">
      <c r="A1603" s="295">
        <v>1599</v>
      </c>
      <c r="B1603" s="390" t="s">
        <v>7278</v>
      </c>
      <c r="C1603" s="390"/>
      <c r="D1603" s="391" t="s">
        <v>7279</v>
      </c>
      <c r="E1603" s="704" t="s">
        <v>7280</v>
      </c>
      <c r="F1603" s="393" t="s">
        <v>1352</v>
      </c>
      <c r="G1603" s="393" t="s">
        <v>1673</v>
      </c>
      <c r="H1603" s="393" t="s">
        <v>313</v>
      </c>
      <c r="I1603" s="392"/>
      <c r="J1603" s="392"/>
      <c r="K1603" s="392"/>
      <c r="L1603" s="392" t="s">
        <v>4551</v>
      </c>
      <c r="M1603" s="392"/>
      <c r="N1603" s="393" t="s">
        <v>44</v>
      </c>
      <c r="O1603" s="393" t="s">
        <v>289</v>
      </c>
      <c r="P1603" s="393" t="s">
        <v>289</v>
      </c>
      <c r="Q1603" s="392" t="s">
        <v>721</v>
      </c>
      <c r="R1603" s="428" t="s">
        <v>9271</v>
      </c>
      <c r="S1603" s="392" t="s">
        <v>291</v>
      </c>
      <c r="T1603" s="394">
        <v>1</v>
      </c>
      <c r="U1603" s="395">
        <v>8.94</v>
      </c>
      <c r="V1603" s="395"/>
      <c r="W1603" s="453"/>
      <c r="X1603" s="394"/>
      <c r="Y1603" s="394">
        <v>7</v>
      </c>
      <c r="Z1603" s="394">
        <v>20</v>
      </c>
      <c r="AA1603" s="395">
        <v>0</v>
      </c>
      <c r="AB1603" s="452">
        <v>42614</v>
      </c>
      <c r="AC1603" s="398">
        <v>0</v>
      </c>
      <c r="AD1603" s="398">
        <v>38.748164383561644</v>
      </c>
      <c r="AE1603" s="393" t="s">
        <v>1606</v>
      </c>
      <c r="AF1603" s="417"/>
      <c r="AG1603" s="417"/>
      <c r="AH1603" s="417"/>
      <c r="AI1603" s="394"/>
      <c r="AJ1603" s="453"/>
      <c r="AK1603" s="453"/>
      <c r="AL1603" s="393"/>
      <c r="AM1603" s="393"/>
      <c r="AN1603" s="417"/>
      <c r="AO1603" s="392"/>
      <c r="AP1603" s="392"/>
      <c r="AQ1603" s="392"/>
      <c r="AR1603" s="392" t="s">
        <v>55</v>
      </c>
      <c r="AS1603" s="479">
        <v>41310</v>
      </c>
      <c r="AT1603" s="453"/>
      <c r="AU1603" s="453"/>
      <c r="AV1603" s="453"/>
      <c r="AW1603" s="453"/>
      <c r="AX1603" s="453"/>
      <c r="AY1603" s="453"/>
      <c r="AZ1603" s="452">
        <v>42290</v>
      </c>
      <c r="BA1603" s="393"/>
      <c r="BB1603" s="393"/>
      <c r="BC1603" s="393" t="b">
        <v>0</v>
      </c>
      <c r="BD1603" s="393"/>
      <c r="BE1603" s="392"/>
      <c r="BF1603" s="394">
        <v>5</v>
      </c>
      <c r="BG1603" s="394">
        <v>1</v>
      </c>
      <c r="BH1603" s="394">
        <v>8</v>
      </c>
      <c r="BI1603" s="394"/>
      <c r="BJ1603" s="394"/>
      <c r="BK1603" s="394"/>
      <c r="BL1603" s="444" t="s">
        <v>7030</v>
      </c>
      <c r="BM1603" s="392"/>
      <c r="BN1603" s="393"/>
      <c r="BO1603" s="393"/>
      <c r="BP1603" s="399"/>
      <c r="BQ1603" s="400"/>
      <c r="BR1603" s="401"/>
      <c r="BS1603" s="399">
        <v>3</v>
      </c>
      <c r="BT1603" s="394">
        <v>12300</v>
      </c>
      <c r="BU1603" s="417"/>
      <c r="BV1603" s="399"/>
      <c r="BW1603" s="393" t="s">
        <v>3117</v>
      </c>
      <c r="BX1603" s="392" t="s">
        <v>1450</v>
      </c>
      <c r="BY1603" s="393"/>
      <c r="BZ1603" s="393"/>
      <c r="CA1603" s="441"/>
      <c r="CB1603" s="400"/>
      <c r="CC1603" s="398"/>
      <c r="CD1603" s="398"/>
      <c r="CE1603" s="398"/>
      <c r="CF1603" s="398"/>
      <c r="CG1603" s="398"/>
      <c r="CH1603" s="398"/>
      <c r="CI1603" s="398"/>
      <c r="CJ1603" s="398"/>
      <c r="CK1603" s="398">
        <v>8.94</v>
      </c>
      <c r="CL1603" s="398">
        <v>8.94</v>
      </c>
      <c r="CM1603" s="398">
        <v>8.94</v>
      </c>
      <c r="CN1603" s="398">
        <v>8.94</v>
      </c>
      <c r="CO1603" s="398">
        <v>8.94</v>
      </c>
      <c r="CP1603" s="398">
        <v>8.94</v>
      </c>
      <c r="CQ1603" s="398">
        <v>8.94</v>
      </c>
      <c r="CR1603" s="398"/>
      <c r="CS1603" s="398"/>
      <c r="CT1603" s="398"/>
      <c r="CU1603" s="398"/>
      <c r="CV1603" s="398"/>
      <c r="CW1603" s="398"/>
      <c r="CX1603" s="398"/>
      <c r="CY1603" s="398"/>
      <c r="CZ1603" s="398"/>
      <c r="DA1603" s="398"/>
      <c r="DB1603" s="398"/>
      <c r="DC1603" s="398"/>
      <c r="DD1603" s="398"/>
      <c r="DE1603" s="393"/>
      <c r="DF1603" s="393"/>
      <c r="DG1603" s="393"/>
      <c r="DH1603" s="393"/>
      <c r="DI1603" s="393"/>
      <c r="DJ1603" s="393"/>
      <c r="DK1603" s="897"/>
    </row>
    <row r="1604" spans="1:115" ht="25.5" x14ac:dyDescent="0.2">
      <c r="A1604" s="295">
        <v>1600</v>
      </c>
      <c r="B1604" s="390" t="s">
        <v>7281</v>
      </c>
      <c r="C1604" s="390"/>
      <c r="D1604" s="391" t="s">
        <v>7282</v>
      </c>
      <c r="E1604" s="704" t="s">
        <v>7283</v>
      </c>
      <c r="F1604" s="393" t="s">
        <v>1352</v>
      </c>
      <c r="G1604" s="393" t="s">
        <v>1673</v>
      </c>
      <c r="H1604" s="393" t="s">
        <v>313</v>
      </c>
      <c r="I1604" s="392"/>
      <c r="J1604" s="392"/>
      <c r="K1604" s="392"/>
      <c r="L1604" s="392" t="s">
        <v>4551</v>
      </c>
      <c r="M1604" s="392"/>
      <c r="N1604" s="393" t="s">
        <v>44</v>
      </c>
      <c r="O1604" s="393" t="s">
        <v>289</v>
      </c>
      <c r="P1604" s="393" t="s">
        <v>289</v>
      </c>
      <c r="Q1604" s="392" t="s">
        <v>721</v>
      </c>
      <c r="R1604" s="428" t="s">
        <v>9270</v>
      </c>
      <c r="S1604" s="392" t="s">
        <v>291</v>
      </c>
      <c r="T1604" s="394">
        <v>1</v>
      </c>
      <c r="U1604" s="395">
        <v>11.038</v>
      </c>
      <c r="V1604" s="395"/>
      <c r="W1604" s="453"/>
      <c r="X1604" s="394"/>
      <c r="Y1604" s="394">
        <v>7</v>
      </c>
      <c r="Z1604" s="394">
        <v>20</v>
      </c>
      <c r="AA1604" s="395">
        <v>0</v>
      </c>
      <c r="AB1604" s="452">
        <v>42736</v>
      </c>
      <c r="AC1604" s="398">
        <v>0</v>
      </c>
      <c r="AD1604" s="398">
        <v>44.152000000000001</v>
      </c>
      <c r="AE1604" s="393" t="s">
        <v>1606</v>
      </c>
      <c r="AF1604" s="417"/>
      <c r="AG1604" s="417"/>
      <c r="AH1604" s="417"/>
      <c r="AI1604" s="394"/>
      <c r="AJ1604" s="453"/>
      <c r="AK1604" s="453"/>
      <c r="AL1604" s="393"/>
      <c r="AM1604" s="393"/>
      <c r="AN1604" s="417"/>
      <c r="AO1604" s="392"/>
      <c r="AP1604" s="392"/>
      <c r="AQ1604" s="392"/>
      <c r="AR1604" s="392" t="s">
        <v>55</v>
      </c>
      <c r="AS1604" s="479">
        <v>41310</v>
      </c>
      <c r="AT1604" s="453"/>
      <c r="AU1604" s="453"/>
      <c r="AV1604" s="453"/>
      <c r="AW1604" s="453"/>
      <c r="AX1604" s="453"/>
      <c r="AY1604" s="453"/>
      <c r="AZ1604" s="452">
        <v>42290</v>
      </c>
      <c r="BA1604" s="393"/>
      <c r="BB1604" s="393"/>
      <c r="BC1604" s="393" t="b">
        <v>0</v>
      </c>
      <c r="BD1604" s="393"/>
      <c r="BE1604" s="392"/>
      <c r="BF1604" s="394">
        <v>5</v>
      </c>
      <c r="BG1604" s="394">
        <v>1</v>
      </c>
      <c r="BH1604" s="394">
        <v>8</v>
      </c>
      <c r="BI1604" s="394"/>
      <c r="BJ1604" s="394"/>
      <c r="BK1604" s="394"/>
      <c r="BL1604" s="444" t="s">
        <v>7030</v>
      </c>
      <c r="BM1604" s="392"/>
      <c r="BN1604" s="393"/>
      <c r="BO1604" s="393"/>
      <c r="BP1604" s="399"/>
      <c r="BQ1604" s="400"/>
      <c r="BR1604" s="401"/>
      <c r="BS1604" s="399">
        <v>3.25</v>
      </c>
      <c r="BT1604" s="394">
        <v>15187</v>
      </c>
      <c r="BU1604" s="417"/>
      <c r="BV1604" s="399"/>
      <c r="BW1604" s="393" t="s">
        <v>3117</v>
      </c>
      <c r="BX1604" s="392" t="s">
        <v>1450</v>
      </c>
      <c r="BY1604" s="393"/>
      <c r="BZ1604" s="393"/>
      <c r="CA1604" s="441"/>
      <c r="CB1604" s="400"/>
      <c r="CC1604" s="398"/>
      <c r="CD1604" s="398"/>
      <c r="CE1604" s="398"/>
      <c r="CF1604" s="398"/>
      <c r="CG1604" s="398"/>
      <c r="CH1604" s="398"/>
      <c r="CI1604" s="398"/>
      <c r="CJ1604" s="398"/>
      <c r="CK1604" s="398"/>
      <c r="CL1604" s="398"/>
      <c r="CM1604" s="398">
        <v>11.038</v>
      </c>
      <c r="CN1604" s="398">
        <v>11.038</v>
      </c>
      <c r="CO1604" s="398">
        <v>11.038</v>
      </c>
      <c r="CP1604" s="398">
        <v>11.038</v>
      </c>
      <c r="CQ1604" s="398">
        <v>11.038</v>
      </c>
      <c r="CR1604" s="398">
        <v>11.038</v>
      </c>
      <c r="CS1604" s="398">
        <v>11.038</v>
      </c>
      <c r="CT1604" s="398"/>
      <c r="CU1604" s="398"/>
      <c r="CV1604" s="398"/>
      <c r="CW1604" s="398"/>
      <c r="CX1604" s="398"/>
      <c r="CY1604" s="398"/>
      <c r="CZ1604" s="398"/>
      <c r="DA1604" s="398"/>
      <c r="DB1604" s="398"/>
      <c r="DC1604" s="398"/>
      <c r="DD1604" s="398"/>
      <c r="DE1604" s="393"/>
      <c r="DF1604" s="393"/>
      <c r="DG1604" s="393"/>
      <c r="DH1604" s="393"/>
      <c r="DI1604" s="393"/>
      <c r="DJ1604" s="393"/>
      <c r="DK1604" s="897"/>
    </row>
    <row r="1605" spans="1:115" ht="25.5" x14ac:dyDescent="0.2">
      <c r="A1605" s="295">
        <v>1601</v>
      </c>
      <c r="B1605" s="390" t="s">
        <v>9263</v>
      </c>
      <c r="C1605" s="390"/>
      <c r="D1605" s="391" t="s">
        <v>9264</v>
      </c>
      <c r="E1605" s="705" t="s">
        <v>9269</v>
      </c>
      <c r="F1605" s="393" t="s">
        <v>1352</v>
      </c>
      <c r="G1605" s="393" t="s">
        <v>1673</v>
      </c>
      <c r="H1605" s="393" t="s">
        <v>313</v>
      </c>
      <c r="I1605" s="392"/>
      <c r="J1605" s="392"/>
      <c r="K1605" s="428" t="s">
        <v>9275</v>
      </c>
      <c r="L1605" s="392" t="s">
        <v>4551</v>
      </c>
      <c r="M1605" s="392"/>
      <c r="N1605" s="393" t="s">
        <v>44</v>
      </c>
      <c r="O1605" s="393" t="s">
        <v>289</v>
      </c>
      <c r="P1605" s="393" t="s">
        <v>289</v>
      </c>
      <c r="Q1605" s="392" t="s">
        <v>721</v>
      </c>
      <c r="R1605" s="428" t="s">
        <v>9274</v>
      </c>
      <c r="S1605" s="392" t="s">
        <v>291</v>
      </c>
      <c r="T1605" s="394">
        <v>1</v>
      </c>
      <c r="U1605" s="395">
        <v>2.5150000000000001</v>
      </c>
      <c r="V1605" s="395"/>
      <c r="W1605" s="453"/>
      <c r="X1605" s="394"/>
      <c r="Y1605" s="394">
        <v>7</v>
      </c>
      <c r="Z1605" s="394">
        <v>20</v>
      </c>
      <c r="AA1605" s="395">
        <v>0</v>
      </c>
      <c r="AB1605" s="452">
        <v>43040</v>
      </c>
      <c r="AC1605" s="398"/>
      <c r="AD1605" s="398">
        <v>7.9653150684931511</v>
      </c>
      <c r="AE1605" s="393" t="s">
        <v>1606</v>
      </c>
      <c r="AF1605" s="417"/>
      <c r="AG1605" s="417"/>
      <c r="AH1605" s="417"/>
      <c r="AI1605" s="394"/>
      <c r="AJ1605" s="453"/>
      <c r="AK1605" s="453"/>
      <c r="AL1605" s="393"/>
      <c r="AM1605" s="393"/>
      <c r="AN1605" s="417"/>
      <c r="AO1605" s="392"/>
      <c r="AP1605" s="392"/>
      <c r="AQ1605" s="392"/>
      <c r="AR1605" s="392" t="s">
        <v>55</v>
      </c>
      <c r="AS1605" s="479">
        <v>41310</v>
      </c>
      <c r="AT1605" s="453"/>
      <c r="AU1605" s="453"/>
      <c r="AV1605" s="453"/>
      <c r="AW1605" s="453"/>
      <c r="AX1605" s="453"/>
      <c r="AY1605" s="453"/>
      <c r="AZ1605" s="452">
        <v>43028</v>
      </c>
      <c r="BA1605" s="393"/>
      <c r="BB1605" s="393"/>
      <c r="BC1605" s="393" t="b">
        <v>0</v>
      </c>
      <c r="BD1605" s="393"/>
      <c r="BE1605" s="392"/>
      <c r="BF1605" s="394">
        <v>5</v>
      </c>
      <c r="BG1605" s="394">
        <v>1</v>
      </c>
      <c r="BH1605" s="394">
        <v>8</v>
      </c>
      <c r="BI1605" s="394"/>
      <c r="BJ1605" s="394"/>
      <c r="BK1605" s="394"/>
      <c r="BL1605" s="444" t="s">
        <v>7030</v>
      </c>
      <c r="BM1605" s="392"/>
      <c r="BN1605" s="393"/>
      <c r="BO1605" s="393"/>
      <c r="BP1605" s="399"/>
      <c r="BQ1605" s="400"/>
      <c r="BR1605" s="401"/>
      <c r="BS1605" s="399">
        <v>1.4</v>
      </c>
      <c r="BT1605" s="394">
        <v>3461</v>
      </c>
      <c r="BU1605" s="417">
        <v>0.72640000000000005</v>
      </c>
      <c r="BV1605" s="399"/>
      <c r="BW1605" s="393" t="s">
        <v>3117</v>
      </c>
      <c r="BX1605" s="392" t="s">
        <v>1450</v>
      </c>
      <c r="BY1605" s="393"/>
      <c r="BZ1605" s="393"/>
      <c r="CA1605" s="441"/>
      <c r="CB1605" s="400"/>
      <c r="CC1605" s="398"/>
      <c r="CD1605" s="398"/>
      <c r="CE1605" s="398"/>
      <c r="CF1605" s="398"/>
      <c r="CG1605" s="398"/>
      <c r="CH1605" s="398"/>
      <c r="CI1605" s="398"/>
      <c r="CJ1605" s="398"/>
      <c r="CK1605" s="398"/>
      <c r="CL1605" s="398"/>
      <c r="CM1605" s="398">
        <v>2.5150000000000001</v>
      </c>
      <c r="CN1605" s="398">
        <v>2.5150000000000001</v>
      </c>
      <c r="CO1605" s="398">
        <v>2.5150000000000001</v>
      </c>
      <c r="CP1605" s="398">
        <v>2.5150000000000001</v>
      </c>
      <c r="CQ1605" s="398">
        <v>2.5150000000000001</v>
      </c>
      <c r="CR1605" s="398">
        <v>2.5150000000000001</v>
      </c>
      <c r="CS1605" s="398">
        <v>2.5150000000000001</v>
      </c>
      <c r="CT1605" s="398"/>
      <c r="CU1605" s="398"/>
      <c r="CV1605" s="398"/>
      <c r="CW1605" s="398"/>
      <c r="CX1605" s="398"/>
      <c r="CY1605" s="398"/>
      <c r="CZ1605" s="398"/>
      <c r="DA1605" s="398"/>
      <c r="DB1605" s="398"/>
      <c r="DC1605" s="398"/>
      <c r="DD1605" s="398"/>
      <c r="DE1605" s="393"/>
      <c r="DF1605" s="393"/>
      <c r="DG1605" s="393"/>
      <c r="DH1605" s="393"/>
      <c r="DI1605" s="393"/>
      <c r="DJ1605" s="393"/>
      <c r="DK1605" s="897"/>
    </row>
    <row r="1606" spans="1:115" ht="25.5" x14ac:dyDescent="0.2">
      <c r="A1606" s="295">
        <v>1602</v>
      </c>
      <c r="B1606" s="390" t="s">
        <v>9265</v>
      </c>
      <c r="C1606" s="390"/>
      <c r="D1606" s="391" t="s">
        <v>9266</v>
      </c>
      <c r="E1606" s="705" t="s">
        <v>9276</v>
      </c>
      <c r="F1606" s="393" t="s">
        <v>1352</v>
      </c>
      <c r="G1606" s="393" t="s">
        <v>1673</v>
      </c>
      <c r="H1606" s="393" t="s">
        <v>313</v>
      </c>
      <c r="I1606" s="392"/>
      <c r="J1606" s="392"/>
      <c r="K1606" s="428" t="s">
        <v>9277</v>
      </c>
      <c r="L1606" s="392" t="s">
        <v>4551</v>
      </c>
      <c r="M1606" s="392"/>
      <c r="N1606" s="393" t="s">
        <v>44</v>
      </c>
      <c r="O1606" s="393" t="s">
        <v>289</v>
      </c>
      <c r="P1606" s="393" t="s">
        <v>289</v>
      </c>
      <c r="Q1606" s="392" t="s">
        <v>721</v>
      </c>
      <c r="R1606" s="428" t="s">
        <v>9278</v>
      </c>
      <c r="S1606" s="392" t="s">
        <v>291</v>
      </c>
      <c r="T1606" s="394">
        <v>1</v>
      </c>
      <c r="U1606" s="395">
        <v>3.2429999999999999</v>
      </c>
      <c r="V1606" s="395"/>
      <c r="W1606" s="453"/>
      <c r="X1606" s="394"/>
      <c r="Y1606" s="394">
        <v>7</v>
      </c>
      <c r="Z1606" s="394">
        <v>20</v>
      </c>
      <c r="AA1606" s="395">
        <v>0</v>
      </c>
      <c r="AB1606" s="452">
        <v>43040</v>
      </c>
      <c r="AC1606" s="398"/>
      <c r="AD1606" s="398">
        <v>10.270980821917808</v>
      </c>
      <c r="AE1606" s="393" t="s">
        <v>1606</v>
      </c>
      <c r="AF1606" s="417"/>
      <c r="AG1606" s="417"/>
      <c r="AH1606" s="417"/>
      <c r="AI1606" s="394"/>
      <c r="AJ1606" s="453"/>
      <c r="AK1606" s="453"/>
      <c r="AL1606" s="393"/>
      <c r="AM1606" s="393"/>
      <c r="AN1606" s="417"/>
      <c r="AO1606" s="392"/>
      <c r="AP1606" s="392"/>
      <c r="AQ1606" s="392"/>
      <c r="AR1606" s="392" t="s">
        <v>55</v>
      </c>
      <c r="AS1606" s="479">
        <v>41310</v>
      </c>
      <c r="AT1606" s="453"/>
      <c r="AU1606" s="453"/>
      <c r="AV1606" s="453"/>
      <c r="AW1606" s="453"/>
      <c r="AX1606" s="453"/>
      <c r="AY1606" s="453"/>
      <c r="AZ1606" s="452">
        <v>43028</v>
      </c>
      <c r="BA1606" s="393"/>
      <c r="BB1606" s="393"/>
      <c r="BC1606" s="393" t="b">
        <v>0</v>
      </c>
      <c r="BD1606" s="393"/>
      <c r="BE1606" s="392"/>
      <c r="BF1606" s="394">
        <v>5</v>
      </c>
      <c r="BG1606" s="394">
        <v>1</v>
      </c>
      <c r="BH1606" s="394">
        <v>8</v>
      </c>
      <c r="BI1606" s="394"/>
      <c r="BJ1606" s="394"/>
      <c r="BK1606" s="394"/>
      <c r="BL1606" s="444" t="s">
        <v>7030</v>
      </c>
      <c r="BM1606" s="392"/>
      <c r="BN1606" s="393"/>
      <c r="BO1606" s="393"/>
      <c r="BP1606" s="399"/>
      <c r="BQ1606" s="400"/>
      <c r="BR1606" s="401"/>
      <c r="BS1606" s="399">
        <v>1.5</v>
      </c>
      <c r="BT1606" s="394">
        <v>4450</v>
      </c>
      <c r="BU1606" s="417">
        <v>0.7268</v>
      </c>
      <c r="BV1606" s="399"/>
      <c r="BW1606" s="393" t="s">
        <v>3117</v>
      </c>
      <c r="BX1606" s="392" t="s">
        <v>1450</v>
      </c>
      <c r="BY1606" s="393"/>
      <c r="BZ1606" s="393"/>
      <c r="CA1606" s="441"/>
      <c r="CB1606" s="400"/>
      <c r="CC1606" s="398"/>
      <c r="CD1606" s="398"/>
      <c r="CE1606" s="398"/>
      <c r="CF1606" s="398"/>
      <c r="CG1606" s="398"/>
      <c r="CH1606" s="398"/>
      <c r="CI1606" s="398"/>
      <c r="CJ1606" s="398"/>
      <c r="CK1606" s="398"/>
      <c r="CL1606" s="398"/>
      <c r="CM1606" s="398">
        <v>3.234</v>
      </c>
      <c r="CN1606" s="398">
        <v>3.234</v>
      </c>
      <c r="CO1606" s="398">
        <v>3.234</v>
      </c>
      <c r="CP1606" s="398">
        <v>3.234</v>
      </c>
      <c r="CQ1606" s="398">
        <v>3.234</v>
      </c>
      <c r="CR1606" s="398">
        <v>3.234</v>
      </c>
      <c r="CS1606" s="398">
        <v>3.234</v>
      </c>
      <c r="CT1606" s="398"/>
      <c r="CU1606" s="398"/>
      <c r="CV1606" s="398"/>
      <c r="CW1606" s="398"/>
      <c r="CX1606" s="398"/>
      <c r="CY1606" s="398"/>
      <c r="CZ1606" s="398"/>
      <c r="DA1606" s="398"/>
      <c r="DB1606" s="398"/>
      <c r="DC1606" s="398"/>
      <c r="DD1606" s="398"/>
      <c r="DE1606" s="393"/>
      <c r="DF1606" s="393"/>
      <c r="DG1606" s="393"/>
      <c r="DH1606" s="393"/>
      <c r="DI1606" s="393"/>
      <c r="DJ1606" s="393"/>
      <c r="DK1606" s="897"/>
    </row>
    <row r="1607" spans="1:115" ht="25.5" x14ac:dyDescent="0.2">
      <c r="A1607" s="295">
        <v>1603</v>
      </c>
      <c r="B1607" s="390" t="s">
        <v>9267</v>
      </c>
      <c r="C1607" s="390"/>
      <c r="D1607" s="391" t="s">
        <v>9268</v>
      </c>
      <c r="E1607" s="705" t="s">
        <v>9279</v>
      </c>
      <c r="F1607" s="393" t="s">
        <v>1352</v>
      </c>
      <c r="G1607" s="393" t="s">
        <v>1673</v>
      </c>
      <c r="H1607" s="393" t="s">
        <v>313</v>
      </c>
      <c r="I1607" s="392"/>
      <c r="J1607" s="392"/>
      <c r="K1607" s="428" t="s">
        <v>9277</v>
      </c>
      <c r="L1607" s="392" t="s">
        <v>4551</v>
      </c>
      <c r="M1607" s="392"/>
      <c r="N1607" s="393" t="s">
        <v>44</v>
      </c>
      <c r="O1607" s="393" t="s">
        <v>289</v>
      </c>
      <c r="P1607" s="393" t="s">
        <v>289</v>
      </c>
      <c r="Q1607" s="392" t="s">
        <v>721</v>
      </c>
      <c r="R1607" s="428" t="s">
        <v>9280</v>
      </c>
      <c r="S1607" s="392" t="s">
        <v>291</v>
      </c>
      <c r="T1607" s="394">
        <v>1</v>
      </c>
      <c r="U1607" s="395">
        <v>3.4369999999999998</v>
      </c>
      <c r="V1607" s="395"/>
      <c r="W1607" s="453"/>
      <c r="X1607" s="394"/>
      <c r="Y1607" s="394">
        <v>7</v>
      </c>
      <c r="Z1607" s="394">
        <v>20</v>
      </c>
      <c r="AA1607" s="395">
        <v>0</v>
      </c>
      <c r="AB1607" s="452">
        <v>43556</v>
      </c>
      <c r="AC1607" s="398"/>
      <c r="AD1607" s="398">
        <v>6.0265205479452053</v>
      </c>
      <c r="AE1607" s="393" t="s">
        <v>1606</v>
      </c>
      <c r="AF1607" s="417"/>
      <c r="AG1607" s="417"/>
      <c r="AH1607" s="417"/>
      <c r="AI1607" s="394"/>
      <c r="AJ1607" s="453"/>
      <c r="AK1607" s="453"/>
      <c r="AL1607" s="393"/>
      <c r="AM1607" s="393"/>
      <c r="AN1607" s="417"/>
      <c r="AO1607" s="392"/>
      <c r="AP1607" s="392"/>
      <c r="AQ1607" s="392"/>
      <c r="AR1607" s="392" t="s">
        <v>55</v>
      </c>
      <c r="AS1607" s="479">
        <v>41310</v>
      </c>
      <c r="AT1607" s="453"/>
      <c r="AU1607" s="453"/>
      <c r="AV1607" s="453"/>
      <c r="AW1607" s="453"/>
      <c r="AX1607" s="453"/>
      <c r="AY1607" s="453"/>
      <c r="AZ1607" s="452">
        <v>43028</v>
      </c>
      <c r="BA1607" s="393"/>
      <c r="BB1607" s="393"/>
      <c r="BC1607" s="393" t="b">
        <v>0</v>
      </c>
      <c r="BD1607" s="393"/>
      <c r="BE1607" s="392"/>
      <c r="BF1607" s="394">
        <v>5</v>
      </c>
      <c r="BG1607" s="394">
        <v>1</v>
      </c>
      <c r="BH1607" s="394">
        <v>8</v>
      </c>
      <c r="BI1607" s="394"/>
      <c r="BJ1607" s="394"/>
      <c r="BK1607" s="394"/>
      <c r="BL1607" s="444" t="s">
        <v>7030</v>
      </c>
      <c r="BM1607" s="392"/>
      <c r="BN1607" s="393"/>
      <c r="BO1607" s="393"/>
      <c r="BP1607" s="399"/>
      <c r="BQ1607" s="400"/>
      <c r="BR1607" s="401"/>
      <c r="BS1607" s="399">
        <v>1.9</v>
      </c>
      <c r="BT1607" s="394">
        <v>4730</v>
      </c>
      <c r="BU1607" s="417">
        <v>0.7268</v>
      </c>
      <c r="BV1607" s="399"/>
      <c r="BW1607" s="393" t="s">
        <v>3117</v>
      </c>
      <c r="BX1607" s="392" t="s">
        <v>1450</v>
      </c>
      <c r="BY1607" s="393"/>
      <c r="BZ1607" s="393"/>
      <c r="CA1607" s="441"/>
      <c r="CB1607" s="400"/>
      <c r="CC1607" s="398"/>
      <c r="CD1607" s="398"/>
      <c r="CE1607" s="398"/>
      <c r="CF1607" s="398"/>
      <c r="CG1607" s="398"/>
      <c r="CH1607" s="398"/>
      <c r="CI1607" s="398"/>
      <c r="CJ1607" s="398"/>
      <c r="CK1607" s="398"/>
      <c r="CL1607" s="398"/>
      <c r="CM1607" s="398"/>
      <c r="CN1607" s="398"/>
      <c r="CO1607" s="398">
        <v>3.4369999999999998</v>
      </c>
      <c r="CP1607" s="398">
        <v>3.4369999999999998</v>
      </c>
      <c r="CQ1607" s="398">
        <v>3.4369999999999998</v>
      </c>
      <c r="CR1607" s="398">
        <v>3.4369999999999998</v>
      </c>
      <c r="CS1607" s="398">
        <v>3.4369999999999998</v>
      </c>
      <c r="CT1607" s="398">
        <v>3.4369999999999998</v>
      </c>
      <c r="CU1607" s="398">
        <v>3.4369999999999998</v>
      </c>
      <c r="CV1607" s="398"/>
      <c r="CW1607" s="398"/>
      <c r="CX1607" s="398"/>
      <c r="CY1607" s="398"/>
      <c r="CZ1607" s="398"/>
      <c r="DA1607" s="398"/>
      <c r="DB1607" s="398"/>
      <c r="DC1607" s="398"/>
      <c r="DD1607" s="398"/>
      <c r="DE1607" s="393"/>
      <c r="DF1607" s="393"/>
      <c r="DG1607" s="393"/>
      <c r="DH1607" s="393"/>
      <c r="DI1607" s="393"/>
      <c r="DJ1607" s="393"/>
      <c r="DK1607" s="897"/>
    </row>
    <row r="1608" spans="1:115" ht="38.25" x14ac:dyDescent="0.2">
      <c r="A1608" s="295">
        <v>1604</v>
      </c>
      <c r="B1608" s="390" t="s">
        <v>4557</v>
      </c>
      <c r="C1608" s="424" t="s">
        <v>7842</v>
      </c>
      <c r="D1608" s="391"/>
      <c r="E1608" s="707" t="s">
        <v>4558</v>
      </c>
      <c r="F1608" s="404" t="s">
        <v>1352</v>
      </c>
      <c r="G1608" s="404" t="s">
        <v>1673</v>
      </c>
      <c r="H1608" s="404" t="s">
        <v>228</v>
      </c>
      <c r="I1608" s="403"/>
      <c r="J1608" s="403" t="s">
        <v>228</v>
      </c>
      <c r="K1608" s="403"/>
      <c r="L1608" s="403" t="s">
        <v>4559</v>
      </c>
      <c r="M1608" s="403" t="s">
        <v>4560</v>
      </c>
      <c r="N1608" s="404" t="s">
        <v>3142</v>
      </c>
      <c r="O1608" s="404" t="s">
        <v>51</v>
      </c>
      <c r="P1608" s="404" t="s">
        <v>51</v>
      </c>
      <c r="Q1608" s="403" t="s">
        <v>976</v>
      </c>
      <c r="R1608" s="403"/>
      <c r="S1608" s="403" t="s">
        <v>977</v>
      </c>
      <c r="T1608" s="405">
        <v>1</v>
      </c>
      <c r="U1608" s="406">
        <v>1.8859999999999999</v>
      </c>
      <c r="V1608" s="406"/>
      <c r="W1608" s="456">
        <v>41309</v>
      </c>
      <c r="X1608" s="405">
        <v>28</v>
      </c>
      <c r="Y1608" s="405"/>
      <c r="Z1608" s="405"/>
      <c r="AA1608" s="406"/>
      <c r="AB1608" s="455"/>
      <c r="AC1608" s="407">
        <v>0</v>
      </c>
      <c r="AD1608" s="407">
        <v>18.86</v>
      </c>
      <c r="AE1608" s="404" t="s">
        <v>167</v>
      </c>
      <c r="AF1608" s="418"/>
      <c r="AG1608" s="418"/>
      <c r="AH1608" s="418">
        <v>0</v>
      </c>
      <c r="AI1608" s="405"/>
      <c r="AJ1608" s="455"/>
      <c r="AK1608" s="455"/>
      <c r="AL1608" s="404"/>
      <c r="AM1608" s="404"/>
      <c r="AN1608" s="418"/>
      <c r="AO1608" s="403"/>
      <c r="AP1608" s="403" t="s">
        <v>55</v>
      </c>
      <c r="AQ1608" s="403"/>
      <c r="AR1608" s="403" t="s">
        <v>55</v>
      </c>
      <c r="AS1608" s="482">
        <v>41310</v>
      </c>
      <c r="AT1608" s="455"/>
      <c r="AU1608" s="455"/>
      <c r="AV1608" s="455"/>
      <c r="AW1608" s="455"/>
      <c r="AX1608" s="455"/>
      <c r="AY1608" s="455"/>
      <c r="AZ1608" s="455"/>
      <c r="BA1608" s="404"/>
      <c r="BB1608" s="404" t="s">
        <v>3147</v>
      </c>
      <c r="BC1608" s="404" t="b">
        <v>0</v>
      </c>
      <c r="BD1608" s="404" t="s">
        <v>3147</v>
      </c>
      <c r="BE1608" s="403"/>
      <c r="BF1608" s="405">
        <v>4</v>
      </c>
      <c r="BG1608" s="405">
        <v>6</v>
      </c>
      <c r="BH1608" s="405"/>
      <c r="BI1608" s="405"/>
      <c r="BJ1608" s="405"/>
      <c r="BK1608" s="405"/>
      <c r="BL1608" s="446" t="s">
        <v>6983</v>
      </c>
      <c r="BM1608" s="403"/>
      <c r="BN1608" s="404"/>
      <c r="BO1608" s="404"/>
      <c r="BP1608" s="408"/>
      <c r="BQ1608" s="409"/>
      <c r="BR1608" s="410"/>
      <c r="BS1608" s="408">
        <v>0</v>
      </c>
      <c r="BT1608" s="405"/>
      <c r="BU1608" s="418"/>
      <c r="BV1608" s="408"/>
      <c r="BW1608" s="404"/>
      <c r="BX1608" s="403"/>
      <c r="BY1608" s="404"/>
      <c r="BZ1608" s="404"/>
      <c r="CA1608" s="443"/>
      <c r="CB1608" s="409"/>
      <c r="CC1608" s="407"/>
      <c r="CD1608" s="407"/>
      <c r="CE1608" s="407"/>
      <c r="CF1608" s="407"/>
      <c r="CG1608" s="407"/>
      <c r="CH1608" s="407"/>
      <c r="CI1608" s="407"/>
      <c r="CJ1608" s="407"/>
      <c r="CK1608" s="407"/>
      <c r="CL1608" s="407"/>
      <c r="CM1608" s="407"/>
      <c r="CN1608" s="407"/>
      <c r="CO1608" s="407"/>
      <c r="CP1608" s="407"/>
      <c r="CQ1608" s="407"/>
      <c r="CR1608" s="407"/>
      <c r="CS1608" s="407"/>
      <c r="CT1608" s="407"/>
      <c r="CU1608" s="407"/>
      <c r="CV1608" s="407"/>
      <c r="CW1608" s="407"/>
      <c r="CX1608" s="407"/>
      <c r="CY1608" s="407"/>
      <c r="CZ1608" s="407"/>
      <c r="DA1608" s="407"/>
      <c r="DB1608" s="407"/>
      <c r="DC1608" s="407"/>
      <c r="DD1608" s="407"/>
      <c r="DE1608" s="404"/>
      <c r="DF1608" s="404"/>
      <c r="DG1608" s="404"/>
      <c r="DH1608" s="404"/>
      <c r="DI1608" s="404"/>
      <c r="DJ1608" s="404"/>
      <c r="DK1608" s="897"/>
    </row>
    <row r="1609" spans="1:115" ht="25.5" x14ac:dyDescent="0.2">
      <c r="A1609" s="295">
        <v>1605</v>
      </c>
      <c r="B1609" s="390" t="s">
        <v>4561</v>
      </c>
      <c r="C1609" s="390"/>
      <c r="D1609" s="391"/>
      <c r="E1609" s="707" t="s">
        <v>4562</v>
      </c>
      <c r="F1609" s="404" t="s">
        <v>1352</v>
      </c>
      <c r="G1609" s="404" t="s">
        <v>1673</v>
      </c>
      <c r="H1609" s="404" t="s">
        <v>228</v>
      </c>
      <c r="I1609" s="403"/>
      <c r="J1609" s="403"/>
      <c r="K1609" s="403" t="s">
        <v>4563</v>
      </c>
      <c r="L1609" s="403" t="s">
        <v>4559</v>
      </c>
      <c r="M1609" s="403"/>
      <c r="N1609" s="404" t="s">
        <v>3142</v>
      </c>
      <c r="O1609" s="404" t="s">
        <v>51</v>
      </c>
      <c r="P1609" s="404" t="s">
        <v>51</v>
      </c>
      <c r="Q1609" s="403" t="s">
        <v>976</v>
      </c>
      <c r="R1609" s="403" t="s">
        <v>4564</v>
      </c>
      <c r="S1609" s="403" t="s">
        <v>977</v>
      </c>
      <c r="T1609" s="405">
        <v>1</v>
      </c>
      <c r="U1609" s="406">
        <v>1.8859999999999999</v>
      </c>
      <c r="V1609" s="406"/>
      <c r="W1609" s="455"/>
      <c r="X1609" s="405"/>
      <c r="Y1609" s="405">
        <v>10</v>
      </c>
      <c r="Z1609" s="405">
        <v>10</v>
      </c>
      <c r="AA1609" s="406">
        <v>0</v>
      </c>
      <c r="AB1609" s="456">
        <v>41640</v>
      </c>
      <c r="AC1609" s="407">
        <v>0</v>
      </c>
      <c r="AD1609" s="407">
        <v>18.86</v>
      </c>
      <c r="AE1609" s="404" t="s">
        <v>167</v>
      </c>
      <c r="AF1609" s="418"/>
      <c r="AG1609" s="418"/>
      <c r="AH1609" s="418"/>
      <c r="AI1609" s="405"/>
      <c r="AJ1609" s="455"/>
      <c r="AK1609" s="455"/>
      <c r="AL1609" s="404"/>
      <c r="AM1609" s="404"/>
      <c r="AN1609" s="418"/>
      <c r="AO1609" s="403"/>
      <c r="AP1609" s="403" t="s">
        <v>55</v>
      </c>
      <c r="AQ1609" s="403"/>
      <c r="AR1609" s="403" t="s">
        <v>55</v>
      </c>
      <c r="AS1609" s="482">
        <v>41310</v>
      </c>
      <c r="AT1609" s="455"/>
      <c r="AU1609" s="455"/>
      <c r="AV1609" s="455"/>
      <c r="AW1609" s="455"/>
      <c r="AX1609" s="455"/>
      <c r="AY1609" s="455"/>
      <c r="AZ1609" s="455"/>
      <c r="BA1609" s="404"/>
      <c r="BB1609" s="404"/>
      <c r="BC1609" s="404" t="b">
        <v>0</v>
      </c>
      <c r="BD1609" s="404"/>
      <c r="BE1609" s="403"/>
      <c r="BF1609" s="405">
        <v>4</v>
      </c>
      <c r="BG1609" s="405">
        <v>6</v>
      </c>
      <c r="BH1609" s="405"/>
      <c r="BI1609" s="405"/>
      <c r="BJ1609" s="405"/>
      <c r="BK1609" s="405"/>
      <c r="BL1609" s="446" t="s">
        <v>6983</v>
      </c>
      <c r="BM1609" s="403"/>
      <c r="BN1609" s="404"/>
      <c r="BO1609" s="404"/>
      <c r="BP1609" s="408"/>
      <c r="BQ1609" s="409"/>
      <c r="BR1609" s="410"/>
      <c r="BS1609" s="408"/>
      <c r="BT1609" s="405"/>
      <c r="BU1609" s="418"/>
      <c r="BV1609" s="408"/>
      <c r="BW1609" s="404" t="s">
        <v>3117</v>
      </c>
      <c r="BX1609" s="403"/>
      <c r="BY1609" s="404"/>
      <c r="BZ1609" s="404"/>
      <c r="CA1609" s="443"/>
      <c r="CB1609" s="409"/>
      <c r="CC1609" s="407"/>
      <c r="CD1609" s="407"/>
      <c r="CE1609" s="407"/>
      <c r="CF1609" s="407"/>
      <c r="CG1609" s="407"/>
      <c r="CH1609" s="407"/>
      <c r="CI1609" s="407"/>
      <c r="CJ1609" s="407">
        <v>1.139</v>
      </c>
      <c r="CK1609" s="407">
        <v>2.4009999999999998</v>
      </c>
      <c r="CL1609" s="407">
        <v>2.2799999999999998</v>
      </c>
      <c r="CM1609" s="407">
        <v>2.165</v>
      </c>
      <c r="CN1609" s="407">
        <v>2.056</v>
      </c>
      <c r="CO1609" s="407">
        <v>1.9530000000000001</v>
      </c>
      <c r="CP1609" s="407">
        <v>1.855</v>
      </c>
      <c r="CQ1609" s="407">
        <v>1.7609999999999999</v>
      </c>
      <c r="CR1609" s="407">
        <v>1.671</v>
      </c>
      <c r="CS1609" s="407">
        <v>1.587</v>
      </c>
      <c r="CT1609" s="407"/>
      <c r="CU1609" s="407"/>
      <c r="CV1609" s="407"/>
      <c r="CW1609" s="407"/>
      <c r="CX1609" s="407"/>
      <c r="CY1609" s="407"/>
      <c r="CZ1609" s="407"/>
      <c r="DA1609" s="407"/>
      <c r="DB1609" s="407"/>
      <c r="DC1609" s="407"/>
      <c r="DD1609" s="407"/>
      <c r="DE1609" s="404"/>
      <c r="DF1609" s="404"/>
      <c r="DG1609" s="404"/>
      <c r="DH1609" s="404"/>
      <c r="DI1609" s="404"/>
      <c r="DJ1609" s="404"/>
      <c r="DK1609" s="897"/>
    </row>
    <row r="1610" spans="1:115" ht="51" x14ac:dyDescent="0.2">
      <c r="A1610" s="295">
        <v>1606</v>
      </c>
      <c r="B1610" s="390" t="s">
        <v>4565</v>
      </c>
      <c r="C1610" s="424" t="s">
        <v>7843</v>
      </c>
      <c r="D1610" s="391"/>
      <c r="E1610" s="706" t="s">
        <v>4566</v>
      </c>
      <c r="F1610" s="390" t="s">
        <v>1352</v>
      </c>
      <c r="G1610" s="449" t="s">
        <v>1671</v>
      </c>
      <c r="H1610" s="390" t="s">
        <v>117</v>
      </c>
      <c r="I1610" s="402"/>
      <c r="J1610" s="402" t="s">
        <v>2471</v>
      </c>
      <c r="K1610" s="402"/>
      <c r="L1610" s="402" t="s">
        <v>4567</v>
      </c>
      <c r="M1610" s="402" t="s">
        <v>4568</v>
      </c>
      <c r="N1610" s="390" t="s">
        <v>33</v>
      </c>
      <c r="O1610" s="390" t="s">
        <v>93</v>
      </c>
      <c r="P1610" s="390" t="s">
        <v>93</v>
      </c>
      <c r="Q1610" s="402" t="s">
        <v>332</v>
      </c>
      <c r="R1610" s="402"/>
      <c r="S1610" s="402" t="s">
        <v>102</v>
      </c>
      <c r="T1610" s="411">
        <v>1</v>
      </c>
      <c r="U1610" s="412">
        <v>5.758</v>
      </c>
      <c r="V1610" s="412"/>
      <c r="W1610" s="457">
        <v>41341</v>
      </c>
      <c r="X1610" s="411">
        <v>28</v>
      </c>
      <c r="Y1610" s="411"/>
      <c r="Z1610" s="411"/>
      <c r="AA1610" s="412"/>
      <c r="AB1610" s="454"/>
      <c r="AC1610" s="413">
        <v>0</v>
      </c>
      <c r="AD1610" s="413">
        <v>57.58</v>
      </c>
      <c r="AE1610" s="390" t="s">
        <v>96</v>
      </c>
      <c r="AF1610" s="419"/>
      <c r="AG1610" s="419"/>
      <c r="AH1610" s="419">
        <v>0</v>
      </c>
      <c r="AI1610" s="411"/>
      <c r="AJ1610" s="454"/>
      <c r="AK1610" s="454"/>
      <c r="AL1610" s="390"/>
      <c r="AM1610" s="390"/>
      <c r="AN1610" s="419"/>
      <c r="AO1610" s="402"/>
      <c r="AP1610" s="402" t="s">
        <v>55</v>
      </c>
      <c r="AQ1610" s="402"/>
      <c r="AR1610" s="402" t="s">
        <v>55</v>
      </c>
      <c r="AS1610" s="481">
        <v>41313</v>
      </c>
      <c r="AT1610" s="454"/>
      <c r="AU1610" s="454"/>
      <c r="AV1610" s="454"/>
      <c r="AW1610" s="454"/>
      <c r="AX1610" s="454"/>
      <c r="AY1610" s="454"/>
      <c r="AZ1610" s="454"/>
      <c r="BA1610" s="390"/>
      <c r="BB1610" s="390" t="s">
        <v>3147</v>
      </c>
      <c r="BC1610" s="390" t="b">
        <v>1</v>
      </c>
      <c r="BD1610" s="390" t="s">
        <v>3147</v>
      </c>
      <c r="BE1610" s="402"/>
      <c r="BF1610" s="411">
        <v>1</v>
      </c>
      <c r="BG1610" s="411">
        <v>6</v>
      </c>
      <c r="BH1610" s="411">
        <v>5</v>
      </c>
      <c r="BI1610" s="411"/>
      <c r="BJ1610" s="411"/>
      <c r="BK1610" s="411"/>
      <c r="BL1610" s="445" t="s">
        <v>6986</v>
      </c>
      <c r="BM1610" s="402"/>
      <c r="BN1610" s="390"/>
      <c r="BO1610" s="390"/>
      <c r="BP1610" s="414"/>
      <c r="BQ1610" s="415"/>
      <c r="BR1610" s="416"/>
      <c r="BS1610" s="414">
        <v>0</v>
      </c>
      <c r="BT1610" s="411"/>
      <c r="BU1610" s="419"/>
      <c r="BV1610" s="414"/>
      <c r="BW1610" s="390"/>
      <c r="BX1610" s="402"/>
      <c r="BY1610" s="390"/>
      <c r="BZ1610" s="390"/>
      <c r="CA1610" s="442"/>
      <c r="CB1610" s="415"/>
      <c r="CC1610" s="413"/>
      <c r="CD1610" s="413"/>
      <c r="CE1610" s="413"/>
      <c r="CF1610" s="413"/>
      <c r="CG1610" s="413"/>
      <c r="CH1610" s="413"/>
      <c r="CI1610" s="413"/>
      <c r="CJ1610" s="413"/>
      <c r="CK1610" s="413"/>
      <c r="CL1610" s="413"/>
      <c r="CM1610" s="413"/>
      <c r="CN1610" s="413"/>
      <c r="CO1610" s="413"/>
      <c r="CP1610" s="413"/>
      <c r="CQ1610" s="413"/>
      <c r="CR1610" s="413"/>
      <c r="CS1610" s="413"/>
      <c r="CT1610" s="413"/>
      <c r="CU1610" s="413"/>
      <c r="CV1610" s="413"/>
      <c r="CW1610" s="413"/>
      <c r="CX1610" s="413"/>
      <c r="CY1610" s="413"/>
      <c r="CZ1610" s="413"/>
      <c r="DA1610" s="413"/>
      <c r="DB1610" s="413"/>
      <c r="DC1610" s="413"/>
      <c r="DD1610" s="413"/>
      <c r="DE1610" s="390"/>
      <c r="DF1610" s="390"/>
      <c r="DG1610" s="390"/>
      <c r="DH1610" s="390"/>
      <c r="DI1610" s="390"/>
      <c r="DJ1610" s="390"/>
      <c r="DK1610" s="897"/>
    </row>
    <row r="1611" spans="1:115" ht="25.5" x14ac:dyDescent="0.2">
      <c r="A1611" s="295">
        <v>1607</v>
      </c>
      <c r="B1611" s="390" t="s">
        <v>4569</v>
      </c>
      <c r="C1611" s="390"/>
      <c r="D1611" s="391"/>
      <c r="E1611" s="844" t="s">
        <v>4570</v>
      </c>
      <c r="F1611" s="390" t="s">
        <v>1352</v>
      </c>
      <c r="G1611" s="449" t="s">
        <v>1671</v>
      </c>
      <c r="H1611" s="390" t="s">
        <v>117</v>
      </c>
      <c r="I1611" s="816"/>
      <c r="J1611" s="816"/>
      <c r="K1611" s="816" t="s">
        <v>4571</v>
      </c>
      <c r="L1611" s="402" t="s">
        <v>4567</v>
      </c>
      <c r="M1611" s="402"/>
      <c r="N1611" s="390" t="s">
        <v>33</v>
      </c>
      <c r="O1611" s="390" t="s">
        <v>93</v>
      </c>
      <c r="P1611" s="390" t="s">
        <v>93</v>
      </c>
      <c r="Q1611" s="402" t="s">
        <v>332</v>
      </c>
      <c r="R1611" s="402" t="s">
        <v>4572</v>
      </c>
      <c r="S1611" s="402" t="s">
        <v>102</v>
      </c>
      <c r="T1611" s="411">
        <v>1</v>
      </c>
      <c r="U1611" s="852">
        <v>5.758</v>
      </c>
      <c r="V1611" s="852"/>
      <c r="W1611" s="858"/>
      <c r="X1611" s="851"/>
      <c r="Y1611" s="411">
        <v>10</v>
      </c>
      <c r="Z1611" s="411">
        <v>10</v>
      </c>
      <c r="AA1611" s="412">
        <v>0</v>
      </c>
      <c r="AB1611" s="856">
        <v>41426</v>
      </c>
      <c r="AC1611" s="862">
        <v>0</v>
      </c>
      <c r="AD1611" s="862">
        <v>57.58</v>
      </c>
      <c r="AE1611" s="390" t="s">
        <v>96</v>
      </c>
      <c r="AF1611" s="866"/>
      <c r="AG1611" s="866"/>
      <c r="AH1611" s="866"/>
      <c r="AI1611" s="851"/>
      <c r="AJ1611" s="858"/>
      <c r="AK1611" s="858"/>
      <c r="AL1611" s="577"/>
      <c r="AM1611" s="577"/>
      <c r="AN1611" s="866"/>
      <c r="AO1611" s="816"/>
      <c r="AP1611" s="816" t="s">
        <v>55</v>
      </c>
      <c r="AQ1611" s="816"/>
      <c r="AR1611" s="402" t="s">
        <v>55</v>
      </c>
      <c r="AS1611" s="481">
        <v>41313</v>
      </c>
      <c r="AT1611" s="858"/>
      <c r="AU1611" s="858"/>
      <c r="AV1611" s="858"/>
      <c r="AW1611" s="858"/>
      <c r="AX1611" s="858"/>
      <c r="AY1611" s="858"/>
      <c r="AZ1611" s="858"/>
      <c r="BA1611" s="577"/>
      <c r="BB1611" s="577"/>
      <c r="BC1611" s="390" t="b">
        <v>0</v>
      </c>
      <c r="BD1611" s="577"/>
      <c r="BE1611" s="816"/>
      <c r="BF1611" s="411">
        <v>1</v>
      </c>
      <c r="BG1611" s="411">
        <v>6</v>
      </c>
      <c r="BH1611" s="411">
        <v>5</v>
      </c>
      <c r="BI1611" s="411"/>
      <c r="BJ1611" s="411"/>
      <c r="BK1611" s="411"/>
      <c r="BL1611" s="445" t="s">
        <v>6986</v>
      </c>
      <c r="BM1611" s="816"/>
      <c r="BN1611" s="577"/>
      <c r="BO1611" s="577"/>
      <c r="BP1611" s="875"/>
      <c r="BQ1611" s="880"/>
      <c r="BR1611" s="885"/>
      <c r="BS1611" s="875"/>
      <c r="BT1611" s="851"/>
      <c r="BU1611" s="866"/>
      <c r="BV1611" s="875"/>
      <c r="BW1611" s="390" t="s">
        <v>3117</v>
      </c>
      <c r="BX1611" s="402"/>
      <c r="BY1611" s="577"/>
      <c r="BZ1611" s="577"/>
      <c r="CA1611" s="890"/>
      <c r="CB1611" s="880"/>
      <c r="CC1611" s="862"/>
      <c r="CD1611" s="862"/>
      <c r="CE1611" s="862"/>
      <c r="CF1611" s="862"/>
      <c r="CG1611" s="862"/>
      <c r="CH1611" s="862"/>
      <c r="CI1611" s="862">
        <v>3.0310000000000001</v>
      </c>
      <c r="CJ1611" s="862">
        <v>6.0609999999999999</v>
      </c>
      <c r="CK1611" s="862">
        <v>6.0609999999999999</v>
      </c>
      <c r="CL1611" s="862">
        <v>6.0609999999999999</v>
      </c>
      <c r="CM1611" s="862">
        <v>6.0609999999999999</v>
      </c>
      <c r="CN1611" s="862">
        <v>6.0609999999999999</v>
      </c>
      <c r="CO1611" s="862">
        <v>6.0609999999999999</v>
      </c>
      <c r="CP1611" s="862">
        <v>6.0609999999999999</v>
      </c>
      <c r="CQ1611" s="862">
        <v>6.0609999999999999</v>
      </c>
      <c r="CR1611" s="862">
        <v>6.0609999999999999</v>
      </c>
      <c r="CS1611" s="862"/>
      <c r="CT1611" s="862"/>
      <c r="CU1611" s="862"/>
      <c r="CV1611" s="862"/>
      <c r="CW1611" s="862"/>
      <c r="CX1611" s="862"/>
      <c r="CY1611" s="862"/>
      <c r="CZ1611" s="862"/>
      <c r="DA1611" s="862"/>
      <c r="DB1611" s="862"/>
      <c r="DC1611" s="862"/>
      <c r="DD1611" s="862"/>
      <c r="DE1611" s="577"/>
      <c r="DF1611" s="577"/>
      <c r="DG1611" s="577"/>
      <c r="DH1611" s="577"/>
      <c r="DI1611" s="577"/>
      <c r="DJ1611" s="577"/>
      <c r="DK1611" s="897"/>
    </row>
    <row r="1612" spans="1:115" ht="63.75" x14ac:dyDescent="0.2">
      <c r="A1612" s="295">
        <v>1608</v>
      </c>
      <c r="B1612" s="390" t="s">
        <v>4573</v>
      </c>
      <c r="C1612" s="424" t="s">
        <v>7844</v>
      </c>
      <c r="D1612" s="391"/>
      <c r="E1612" s="846" t="s">
        <v>2011</v>
      </c>
      <c r="F1612" s="404" t="s">
        <v>1375</v>
      </c>
      <c r="G1612" s="404" t="s">
        <v>998</v>
      </c>
      <c r="H1612" s="404" t="s">
        <v>504</v>
      </c>
      <c r="I1612" s="848" t="s">
        <v>1085</v>
      </c>
      <c r="J1612" s="848" t="s">
        <v>5543</v>
      </c>
      <c r="K1612" s="848"/>
      <c r="L1612" s="403" t="s">
        <v>4574</v>
      </c>
      <c r="M1612" s="403" t="s">
        <v>4575</v>
      </c>
      <c r="N1612" s="404" t="s">
        <v>2412</v>
      </c>
      <c r="O1612" s="404" t="s">
        <v>51</v>
      </c>
      <c r="P1612" s="404" t="s">
        <v>51</v>
      </c>
      <c r="Q1612" s="403" t="s">
        <v>976</v>
      </c>
      <c r="R1612" s="403"/>
      <c r="S1612" s="403" t="s">
        <v>166</v>
      </c>
      <c r="T1612" s="405"/>
      <c r="U1612" s="853"/>
      <c r="V1612" s="853"/>
      <c r="W1612" s="857">
        <v>41297</v>
      </c>
      <c r="X1612" s="849">
        <v>28</v>
      </c>
      <c r="Y1612" s="405"/>
      <c r="Z1612" s="405"/>
      <c r="AA1612" s="406"/>
      <c r="AB1612" s="859"/>
      <c r="AC1612" s="863"/>
      <c r="AD1612" s="863"/>
      <c r="AE1612" s="404" t="s">
        <v>37</v>
      </c>
      <c r="AF1612" s="867"/>
      <c r="AG1612" s="867"/>
      <c r="AH1612" s="867"/>
      <c r="AI1612" s="849"/>
      <c r="AJ1612" s="859"/>
      <c r="AK1612" s="859"/>
      <c r="AL1612" s="758"/>
      <c r="AM1612" s="758"/>
      <c r="AN1612" s="867"/>
      <c r="AO1612" s="848"/>
      <c r="AP1612" s="848" t="s">
        <v>55</v>
      </c>
      <c r="AQ1612" s="848"/>
      <c r="AR1612" s="403" t="s">
        <v>55</v>
      </c>
      <c r="AS1612" s="482">
        <v>41314</v>
      </c>
      <c r="AT1612" s="857">
        <v>41402</v>
      </c>
      <c r="AU1612" s="859"/>
      <c r="AV1612" s="859"/>
      <c r="AW1612" s="859"/>
      <c r="AX1612" s="859"/>
      <c r="AY1612" s="859"/>
      <c r="AZ1612" s="859"/>
      <c r="BA1612" s="758"/>
      <c r="BB1612" s="758" t="s">
        <v>3116</v>
      </c>
      <c r="BC1612" s="404" t="b">
        <v>0</v>
      </c>
      <c r="BD1612" s="758" t="s">
        <v>3116</v>
      </c>
      <c r="BE1612" s="848"/>
      <c r="BF1612" s="405">
        <v>4</v>
      </c>
      <c r="BG1612" s="405">
        <v>6</v>
      </c>
      <c r="BH1612" s="405">
        <v>8</v>
      </c>
      <c r="BI1612" s="405"/>
      <c r="BJ1612" s="405"/>
      <c r="BK1612" s="405"/>
      <c r="BL1612" s="446" t="s">
        <v>1451</v>
      </c>
      <c r="BM1612" s="848"/>
      <c r="BN1612" s="758"/>
      <c r="BO1612" s="758"/>
      <c r="BP1612" s="876"/>
      <c r="BQ1612" s="881"/>
      <c r="BR1612" s="886"/>
      <c r="BS1612" s="876"/>
      <c r="BT1612" s="849"/>
      <c r="BU1612" s="867"/>
      <c r="BV1612" s="876"/>
      <c r="BW1612" s="404"/>
      <c r="BX1612" s="403"/>
      <c r="BY1612" s="758"/>
      <c r="BZ1612" s="758"/>
      <c r="CA1612" s="891"/>
      <c r="CB1612" s="881"/>
      <c r="CC1612" s="863"/>
      <c r="CD1612" s="863"/>
      <c r="CE1612" s="863"/>
      <c r="CF1612" s="863"/>
      <c r="CG1612" s="863"/>
      <c r="CH1612" s="863"/>
      <c r="CI1612" s="863"/>
      <c r="CJ1612" s="863"/>
      <c r="CK1612" s="863"/>
      <c r="CL1612" s="863"/>
      <c r="CM1612" s="863"/>
      <c r="CN1612" s="863"/>
      <c r="CO1612" s="863"/>
      <c r="CP1612" s="863"/>
      <c r="CQ1612" s="863"/>
      <c r="CR1612" s="863"/>
      <c r="CS1612" s="863"/>
      <c r="CT1612" s="863"/>
      <c r="CU1612" s="863"/>
      <c r="CV1612" s="863"/>
      <c r="CW1612" s="863"/>
      <c r="CX1612" s="863"/>
      <c r="CY1612" s="863"/>
      <c r="CZ1612" s="863"/>
      <c r="DA1612" s="863"/>
      <c r="DB1612" s="863"/>
      <c r="DC1612" s="863"/>
      <c r="DD1612" s="863"/>
      <c r="DE1612" s="758"/>
      <c r="DF1612" s="758"/>
      <c r="DG1612" s="758"/>
      <c r="DH1612" s="758"/>
      <c r="DI1612" s="758"/>
      <c r="DJ1612" s="758"/>
      <c r="DK1612" s="897"/>
    </row>
    <row r="1613" spans="1:115" ht="25.5" x14ac:dyDescent="0.2">
      <c r="A1613" s="295">
        <v>1609</v>
      </c>
      <c r="B1613" s="390" t="s">
        <v>4576</v>
      </c>
      <c r="C1613" s="390"/>
      <c r="D1613" s="391"/>
      <c r="E1613" s="846" t="s">
        <v>4577</v>
      </c>
      <c r="F1613" s="404" t="s">
        <v>1375</v>
      </c>
      <c r="G1613" s="404" t="s">
        <v>998</v>
      </c>
      <c r="H1613" s="404" t="s">
        <v>504</v>
      </c>
      <c r="I1613" s="848"/>
      <c r="J1613" s="848"/>
      <c r="K1613" s="848" t="s">
        <v>504</v>
      </c>
      <c r="L1613" s="403" t="s">
        <v>4574</v>
      </c>
      <c r="M1613" s="403"/>
      <c r="N1613" s="404" t="s">
        <v>2412</v>
      </c>
      <c r="O1613" s="404" t="s">
        <v>51</v>
      </c>
      <c r="P1613" s="404" t="s">
        <v>51</v>
      </c>
      <c r="Q1613" s="403" t="s">
        <v>976</v>
      </c>
      <c r="R1613" s="403" t="s">
        <v>4578</v>
      </c>
      <c r="S1613" s="403" t="s">
        <v>166</v>
      </c>
      <c r="T1613" s="405">
        <v>1</v>
      </c>
      <c r="U1613" s="853">
        <v>84.265000000000001</v>
      </c>
      <c r="V1613" s="853"/>
      <c r="W1613" s="859"/>
      <c r="X1613" s="849"/>
      <c r="Y1613" s="405">
        <v>10</v>
      </c>
      <c r="Z1613" s="405">
        <v>10</v>
      </c>
      <c r="AA1613" s="406">
        <v>0</v>
      </c>
      <c r="AB1613" s="857">
        <v>41334</v>
      </c>
      <c r="AC1613" s="863">
        <v>0</v>
      </c>
      <c r="AD1613" s="863">
        <v>842.65</v>
      </c>
      <c r="AE1613" s="404" t="s">
        <v>37</v>
      </c>
      <c r="AF1613" s="867"/>
      <c r="AG1613" s="867"/>
      <c r="AH1613" s="867"/>
      <c r="AI1613" s="849"/>
      <c r="AJ1613" s="859"/>
      <c r="AK1613" s="859"/>
      <c r="AL1613" s="758"/>
      <c r="AM1613" s="758"/>
      <c r="AN1613" s="867"/>
      <c r="AO1613" s="848"/>
      <c r="AP1613" s="848" t="s">
        <v>55</v>
      </c>
      <c r="AQ1613" s="848"/>
      <c r="AR1613" s="403" t="s">
        <v>55</v>
      </c>
      <c r="AS1613" s="482">
        <v>41314</v>
      </c>
      <c r="AT1613" s="857">
        <v>41402</v>
      </c>
      <c r="AU1613" s="859"/>
      <c r="AV1613" s="859"/>
      <c r="AW1613" s="859"/>
      <c r="AX1613" s="859"/>
      <c r="AY1613" s="859"/>
      <c r="AZ1613" s="859"/>
      <c r="BA1613" s="758"/>
      <c r="BB1613" s="758"/>
      <c r="BC1613" s="404" t="b">
        <v>0</v>
      </c>
      <c r="BD1613" s="758"/>
      <c r="BE1613" s="848"/>
      <c r="BF1613" s="405">
        <v>4</v>
      </c>
      <c r="BG1613" s="405">
        <v>6</v>
      </c>
      <c r="BH1613" s="405">
        <v>8</v>
      </c>
      <c r="BI1613" s="405"/>
      <c r="BJ1613" s="405"/>
      <c r="BK1613" s="405"/>
      <c r="BL1613" s="446" t="s">
        <v>1451</v>
      </c>
      <c r="BM1613" s="848"/>
      <c r="BN1613" s="758"/>
      <c r="BO1613" s="758"/>
      <c r="BP1613" s="876"/>
      <c r="BQ1613" s="881"/>
      <c r="BR1613" s="886"/>
      <c r="BS1613" s="876"/>
      <c r="BT1613" s="849"/>
      <c r="BU1613" s="867"/>
      <c r="BV1613" s="876"/>
      <c r="BW1613" s="404" t="s">
        <v>3117</v>
      </c>
      <c r="BX1613" s="403"/>
      <c r="BY1613" s="758"/>
      <c r="BZ1613" s="758"/>
      <c r="CA1613" s="891"/>
      <c r="CB1613" s="881"/>
      <c r="CC1613" s="863"/>
      <c r="CD1613" s="863"/>
      <c r="CE1613" s="863"/>
      <c r="CF1613" s="863"/>
      <c r="CG1613" s="863"/>
      <c r="CH1613" s="863"/>
      <c r="CI1613" s="863">
        <v>21.818000000000001</v>
      </c>
      <c r="CJ1613" s="863">
        <v>49.378</v>
      </c>
      <c r="CK1613" s="863">
        <v>76.938000000000002</v>
      </c>
      <c r="CL1613" s="863">
        <v>99.215999999999994</v>
      </c>
      <c r="CM1613" s="863">
        <v>99.215999999999994</v>
      </c>
      <c r="CN1613" s="863">
        <v>99.215999999999994</v>
      </c>
      <c r="CO1613" s="863">
        <v>99.215999999999994</v>
      </c>
      <c r="CP1613" s="863">
        <v>99.215999999999994</v>
      </c>
      <c r="CQ1613" s="863">
        <v>99.215999999999994</v>
      </c>
      <c r="CR1613" s="863">
        <v>99.215999999999994</v>
      </c>
      <c r="CS1613" s="863"/>
      <c r="CT1613" s="863"/>
      <c r="CU1613" s="863"/>
      <c r="CV1613" s="863"/>
      <c r="CW1613" s="863"/>
      <c r="CX1613" s="863"/>
      <c r="CY1613" s="863"/>
      <c r="CZ1613" s="863"/>
      <c r="DA1613" s="863"/>
      <c r="DB1613" s="863"/>
      <c r="DC1613" s="863"/>
      <c r="DD1613" s="863"/>
      <c r="DE1613" s="758"/>
      <c r="DF1613" s="758"/>
      <c r="DG1613" s="758"/>
      <c r="DH1613" s="758"/>
      <c r="DI1613" s="758"/>
      <c r="DJ1613" s="758"/>
      <c r="DK1613" s="897"/>
    </row>
    <row r="1614" spans="1:115" ht="63.75" x14ac:dyDescent="0.2">
      <c r="A1614" s="295">
        <v>1610</v>
      </c>
      <c r="B1614" s="390" t="s">
        <v>4579</v>
      </c>
      <c r="C1614" s="424" t="s">
        <v>7845</v>
      </c>
      <c r="D1614" s="391"/>
      <c r="E1614" s="707" t="s">
        <v>4580</v>
      </c>
      <c r="F1614" s="404" t="s">
        <v>1352</v>
      </c>
      <c r="G1614" s="404" t="s">
        <v>1673</v>
      </c>
      <c r="H1614" s="404" t="s">
        <v>42</v>
      </c>
      <c r="I1614" s="403"/>
      <c r="J1614" s="403" t="s">
        <v>4581</v>
      </c>
      <c r="K1614" s="403"/>
      <c r="L1614" s="403" t="s">
        <v>4582</v>
      </c>
      <c r="M1614" s="403" t="s">
        <v>4583</v>
      </c>
      <c r="N1614" s="404" t="s">
        <v>3142</v>
      </c>
      <c r="O1614" s="404" t="s">
        <v>827</v>
      </c>
      <c r="P1614" s="404" t="s">
        <v>827</v>
      </c>
      <c r="Q1614" s="403" t="s">
        <v>836</v>
      </c>
      <c r="R1614" s="403"/>
      <c r="S1614" s="403" t="s">
        <v>291</v>
      </c>
      <c r="T1614" s="405">
        <v>1</v>
      </c>
      <c r="U1614" s="406">
        <v>21.815000000000001</v>
      </c>
      <c r="V1614" s="406"/>
      <c r="W1614" s="456">
        <v>41187</v>
      </c>
      <c r="X1614" s="405">
        <v>25</v>
      </c>
      <c r="Y1614" s="405"/>
      <c r="Z1614" s="405"/>
      <c r="AA1614" s="406"/>
      <c r="AB1614" s="455"/>
      <c r="AC1614" s="407">
        <v>0</v>
      </c>
      <c r="AD1614" s="407">
        <v>218.15</v>
      </c>
      <c r="AE1614" s="404" t="s">
        <v>4584</v>
      </c>
      <c r="AF1614" s="418"/>
      <c r="AG1614" s="418"/>
      <c r="AH1614" s="418">
        <v>0</v>
      </c>
      <c r="AI1614" s="405"/>
      <c r="AJ1614" s="455"/>
      <c r="AK1614" s="455"/>
      <c r="AL1614" s="404"/>
      <c r="AM1614" s="404"/>
      <c r="AN1614" s="418"/>
      <c r="AO1614" s="403"/>
      <c r="AP1614" s="403" t="s">
        <v>55</v>
      </c>
      <c r="AQ1614" s="403"/>
      <c r="AR1614" s="403" t="s">
        <v>55</v>
      </c>
      <c r="AS1614" s="482">
        <v>41319</v>
      </c>
      <c r="AT1614" s="455"/>
      <c r="AU1614" s="455"/>
      <c r="AV1614" s="455"/>
      <c r="AW1614" s="455"/>
      <c r="AX1614" s="455"/>
      <c r="AY1614" s="455"/>
      <c r="AZ1614" s="455"/>
      <c r="BA1614" s="404"/>
      <c r="BB1614" s="404" t="s">
        <v>3116</v>
      </c>
      <c r="BC1614" s="404" t="b">
        <v>0</v>
      </c>
      <c r="BD1614" s="404" t="s">
        <v>3116</v>
      </c>
      <c r="BE1614" s="403"/>
      <c r="BF1614" s="405">
        <v>5</v>
      </c>
      <c r="BG1614" s="405"/>
      <c r="BH1614" s="405"/>
      <c r="BI1614" s="405"/>
      <c r="BJ1614" s="405"/>
      <c r="BK1614" s="405"/>
      <c r="BL1614" s="446" t="s">
        <v>6981</v>
      </c>
      <c r="BM1614" s="403"/>
      <c r="BN1614" s="404"/>
      <c r="BO1614" s="404"/>
      <c r="BP1614" s="408"/>
      <c r="BQ1614" s="409"/>
      <c r="BR1614" s="410"/>
      <c r="BS1614" s="408">
        <v>0</v>
      </c>
      <c r="BT1614" s="405"/>
      <c r="BU1614" s="418"/>
      <c r="BV1614" s="408"/>
      <c r="BW1614" s="404"/>
      <c r="BX1614" s="403"/>
      <c r="BY1614" s="404"/>
      <c r="BZ1614" s="404"/>
      <c r="CA1614" s="443"/>
      <c r="CB1614" s="409"/>
      <c r="CC1614" s="407"/>
      <c r="CD1614" s="407"/>
      <c r="CE1614" s="407"/>
      <c r="CF1614" s="407"/>
      <c r="CG1614" s="407"/>
      <c r="CH1614" s="407"/>
      <c r="CI1614" s="407"/>
      <c r="CJ1614" s="407"/>
      <c r="CK1614" s="407"/>
      <c r="CL1614" s="407"/>
      <c r="CM1614" s="407"/>
      <c r="CN1614" s="407"/>
      <c r="CO1614" s="407"/>
      <c r="CP1614" s="407"/>
      <c r="CQ1614" s="407"/>
      <c r="CR1614" s="407"/>
      <c r="CS1614" s="407"/>
      <c r="CT1614" s="407"/>
      <c r="CU1614" s="407"/>
      <c r="CV1614" s="407"/>
      <c r="CW1614" s="407"/>
      <c r="CX1614" s="407"/>
      <c r="CY1614" s="407"/>
      <c r="CZ1614" s="407"/>
      <c r="DA1614" s="407"/>
      <c r="DB1614" s="407"/>
      <c r="DC1614" s="407"/>
      <c r="DD1614" s="407"/>
      <c r="DE1614" s="404"/>
      <c r="DF1614" s="404"/>
      <c r="DG1614" s="404"/>
      <c r="DH1614" s="404"/>
      <c r="DI1614" s="404"/>
      <c r="DJ1614" s="404"/>
      <c r="DK1614" s="897"/>
    </row>
    <row r="1615" spans="1:115" ht="25.5" x14ac:dyDescent="0.2">
      <c r="A1615" s="295">
        <v>1611</v>
      </c>
      <c r="B1615" s="390" t="s">
        <v>4585</v>
      </c>
      <c r="C1615" s="390"/>
      <c r="D1615" s="391"/>
      <c r="E1615" s="707" t="s">
        <v>4586</v>
      </c>
      <c r="F1615" s="404" t="s">
        <v>1352</v>
      </c>
      <c r="G1615" s="404" t="s">
        <v>1673</v>
      </c>
      <c r="H1615" s="404" t="s">
        <v>42</v>
      </c>
      <c r="I1615" s="403"/>
      <c r="J1615" s="403"/>
      <c r="K1615" s="403" t="s">
        <v>4587</v>
      </c>
      <c r="L1615" s="403" t="s">
        <v>4582</v>
      </c>
      <c r="M1615" s="403"/>
      <c r="N1615" s="404" t="s">
        <v>3142</v>
      </c>
      <c r="O1615" s="404" t="s">
        <v>827</v>
      </c>
      <c r="P1615" s="404" t="s">
        <v>827</v>
      </c>
      <c r="Q1615" s="403" t="s">
        <v>836</v>
      </c>
      <c r="R1615" s="403" t="s">
        <v>4588</v>
      </c>
      <c r="S1615" s="403" t="s">
        <v>291</v>
      </c>
      <c r="T1615" s="405">
        <v>1</v>
      </c>
      <c r="U1615" s="406">
        <v>21.815000000000001</v>
      </c>
      <c r="V1615" s="406"/>
      <c r="W1615" s="455"/>
      <c r="X1615" s="405"/>
      <c r="Y1615" s="405">
        <v>10</v>
      </c>
      <c r="Z1615" s="405">
        <v>25</v>
      </c>
      <c r="AA1615" s="406">
        <v>0</v>
      </c>
      <c r="AB1615" s="456">
        <v>41425</v>
      </c>
      <c r="AC1615" s="407">
        <v>0</v>
      </c>
      <c r="AD1615" s="407">
        <v>218.15</v>
      </c>
      <c r="AE1615" s="404" t="s">
        <v>4584</v>
      </c>
      <c r="AF1615" s="418"/>
      <c r="AG1615" s="418"/>
      <c r="AH1615" s="418"/>
      <c r="AI1615" s="405"/>
      <c r="AJ1615" s="455"/>
      <c r="AK1615" s="455"/>
      <c r="AL1615" s="404"/>
      <c r="AM1615" s="404"/>
      <c r="AN1615" s="418"/>
      <c r="AO1615" s="403"/>
      <c r="AP1615" s="403" t="s">
        <v>55</v>
      </c>
      <c r="AQ1615" s="403"/>
      <c r="AR1615" s="403" t="s">
        <v>55</v>
      </c>
      <c r="AS1615" s="482">
        <v>41319</v>
      </c>
      <c r="AT1615" s="455"/>
      <c r="AU1615" s="455"/>
      <c r="AV1615" s="455"/>
      <c r="AW1615" s="455"/>
      <c r="AX1615" s="455"/>
      <c r="AY1615" s="455"/>
      <c r="AZ1615" s="455"/>
      <c r="BA1615" s="404"/>
      <c r="BB1615" s="404"/>
      <c r="BC1615" s="404" t="b">
        <v>0</v>
      </c>
      <c r="BD1615" s="404"/>
      <c r="BE1615" s="403"/>
      <c r="BF1615" s="405">
        <v>5</v>
      </c>
      <c r="BG1615" s="405"/>
      <c r="BH1615" s="405"/>
      <c r="BI1615" s="405"/>
      <c r="BJ1615" s="405"/>
      <c r="BK1615" s="405"/>
      <c r="BL1615" s="446" t="s">
        <v>6981</v>
      </c>
      <c r="BM1615" s="403"/>
      <c r="BN1615" s="404"/>
      <c r="BO1615" s="404"/>
      <c r="BP1615" s="408"/>
      <c r="BQ1615" s="409"/>
      <c r="BR1615" s="410"/>
      <c r="BS1615" s="408"/>
      <c r="BT1615" s="405"/>
      <c r="BU1615" s="418"/>
      <c r="BV1615" s="408"/>
      <c r="BW1615" s="404" t="s">
        <v>3117</v>
      </c>
      <c r="BX1615" s="403"/>
      <c r="BY1615" s="404"/>
      <c r="BZ1615" s="404"/>
      <c r="CA1615" s="443"/>
      <c r="CB1615" s="409"/>
      <c r="CC1615" s="407"/>
      <c r="CD1615" s="407"/>
      <c r="CE1615" s="407"/>
      <c r="CF1615" s="407"/>
      <c r="CG1615" s="407"/>
      <c r="CH1615" s="407"/>
      <c r="CI1615" s="407">
        <v>21.815000000000001</v>
      </c>
      <c r="CJ1615" s="407">
        <v>21.815000000000001</v>
      </c>
      <c r="CK1615" s="407">
        <v>21.815000000000001</v>
      </c>
      <c r="CL1615" s="407">
        <v>21.815000000000001</v>
      </c>
      <c r="CM1615" s="407">
        <v>21.815000000000001</v>
      </c>
      <c r="CN1615" s="407">
        <v>21.815000000000001</v>
      </c>
      <c r="CO1615" s="407">
        <v>21.815000000000001</v>
      </c>
      <c r="CP1615" s="407">
        <v>21.815000000000001</v>
      </c>
      <c r="CQ1615" s="407">
        <v>21.815000000000001</v>
      </c>
      <c r="CR1615" s="407">
        <v>21.815000000000001</v>
      </c>
      <c r="CS1615" s="407"/>
      <c r="CT1615" s="407"/>
      <c r="CU1615" s="407"/>
      <c r="CV1615" s="407"/>
      <c r="CW1615" s="407"/>
      <c r="CX1615" s="407"/>
      <c r="CY1615" s="407"/>
      <c r="CZ1615" s="407"/>
      <c r="DA1615" s="407"/>
      <c r="DB1615" s="407"/>
      <c r="DC1615" s="407"/>
      <c r="DD1615" s="407"/>
      <c r="DE1615" s="404"/>
      <c r="DF1615" s="404"/>
      <c r="DG1615" s="404"/>
      <c r="DH1615" s="404"/>
      <c r="DI1615" s="404"/>
      <c r="DJ1615" s="404"/>
      <c r="DK1615" s="897"/>
    </row>
    <row r="1616" spans="1:115" ht="25.5" x14ac:dyDescent="0.2">
      <c r="A1616" s="295">
        <v>1612</v>
      </c>
      <c r="B1616" s="390" t="s">
        <v>4638</v>
      </c>
      <c r="C1616" s="424" t="s">
        <v>7846</v>
      </c>
      <c r="D1616" s="391" t="s">
        <v>6226</v>
      </c>
      <c r="E1616" s="704" t="s">
        <v>4642</v>
      </c>
      <c r="F1616" s="393" t="s">
        <v>1375</v>
      </c>
      <c r="G1616" s="393" t="s">
        <v>1670</v>
      </c>
      <c r="H1616" s="393" t="s">
        <v>1069</v>
      </c>
      <c r="I1616" s="392"/>
      <c r="J1616" s="392" t="s">
        <v>1069</v>
      </c>
      <c r="K1616" s="392"/>
      <c r="L1616" s="392" t="s">
        <v>4639</v>
      </c>
      <c r="M1616" s="392" t="s">
        <v>4640</v>
      </c>
      <c r="N1616" s="393" t="s">
        <v>44</v>
      </c>
      <c r="O1616" s="393" t="s">
        <v>51</v>
      </c>
      <c r="P1616" s="393" t="s">
        <v>51</v>
      </c>
      <c r="Q1616" s="392" t="s">
        <v>976</v>
      </c>
      <c r="R1616" s="392"/>
      <c r="S1616" s="392" t="s">
        <v>977</v>
      </c>
      <c r="T1616" s="394">
        <v>1</v>
      </c>
      <c r="U1616" s="395">
        <v>48.000999999999998</v>
      </c>
      <c r="V1616" s="395"/>
      <c r="W1616" s="452">
        <v>41365</v>
      </c>
      <c r="X1616" s="394">
        <v>28</v>
      </c>
      <c r="Y1616" s="394"/>
      <c r="Z1616" s="394"/>
      <c r="AA1616" s="395"/>
      <c r="AB1616" s="453"/>
      <c r="AC1616" s="398">
        <v>0</v>
      </c>
      <c r="AD1616" s="398">
        <v>372.3036465753425</v>
      </c>
      <c r="AE1616" s="393" t="s">
        <v>96</v>
      </c>
      <c r="AF1616" s="417"/>
      <c r="AG1616" s="417"/>
      <c r="AH1616" s="417">
        <v>0</v>
      </c>
      <c r="AI1616" s="394"/>
      <c r="AJ1616" s="453"/>
      <c r="AK1616" s="453"/>
      <c r="AL1616" s="393"/>
      <c r="AM1616" s="393"/>
      <c r="AN1616" s="417"/>
      <c r="AO1616" s="392"/>
      <c r="AP1616" s="392" t="s">
        <v>7118</v>
      </c>
      <c r="AQ1616" s="392"/>
      <c r="AR1616" s="392" t="s">
        <v>988</v>
      </c>
      <c r="AS1616" s="479">
        <v>41346</v>
      </c>
      <c r="AT1616" s="453"/>
      <c r="AU1616" s="453"/>
      <c r="AV1616" s="452">
        <v>41520</v>
      </c>
      <c r="AW1616" s="452">
        <v>41808</v>
      </c>
      <c r="AX1616" s="452">
        <v>41866</v>
      </c>
      <c r="AY1616" s="452">
        <v>41808</v>
      </c>
      <c r="AZ1616" s="453"/>
      <c r="BA1616" s="393"/>
      <c r="BB1616" s="393" t="s">
        <v>3116</v>
      </c>
      <c r="BC1616" s="393" t="b">
        <v>0</v>
      </c>
      <c r="BD1616" s="393" t="s">
        <v>3116</v>
      </c>
      <c r="BE1616" s="392"/>
      <c r="BF1616" s="394">
        <v>6</v>
      </c>
      <c r="BG1616" s="394">
        <v>9</v>
      </c>
      <c r="BH1616" s="394">
        <v>11</v>
      </c>
      <c r="BI1616" s="394">
        <v>12</v>
      </c>
      <c r="BJ1616" s="394">
        <v>5</v>
      </c>
      <c r="BK1616" s="394"/>
      <c r="BL1616" s="444" t="s">
        <v>6982</v>
      </c>
      <c r="BM1616" s="392"/>
      <c r="BN1616" s="393"/>
      <c r="BO1616" s="393"/>
      <c r="BP1616" s="399"/>
      <c r="BQ1616" s="400"/>
      <c r="BR1616" s="401"/>
      <c r="BS1616" s="399">
        <v>0</v>
      </c>
      <c r="BT1616" s="394"/>
      <c r="BU1616" s="417"/>
      <c r="BV1616" s="399"/>
      <c r="BW1616" s="393"/>
      <c r="BX1616" s="392"/>
      <c r="BY1616" s="393"/>
      <c r="BZ1616" s="475" t="s">
        <v>3165</v>
      </c>
      <c r="CA1616" s="441"/>
      <c r="CB1616" s="400"/>
      <c r="CC1616" s="398"/>
      <c r="CD1616" s="398"/>
      <c r="CE1616" s="398"/>
      <c r="CF1616" s="398"/>
      <c r="CG1616" s="398"/>
      <c r="CH1616" s="398"/>
      <c r="CI1616" s="398"/>
      <c r="CJ1616" s="398"/>
      <c r="CK1616" s="398"/>
      <c r="CL1616" s="398"/>
      <c r="CM1616" s="398"/>
      <c r="CN1616" s="398"/>
      <c r="CO1616" s="398"/>
      <c r="CP1616" s="398"/>
      <c r="CQ1616" s="398"/>
      <c r="CR1616" s="398"/>
      <c r="CS1616" s="398"/>
      <c r="CT1616" s="398"/>
      <c r="CU1616" s="398"/>
      <c r="CV1616" s="398"/>
      <c r="CW1616" s="398"/>
      <c r="CX1616" s="398"/>
      <c r="CY1616" s="398"/>
      <c r="CZ1616" s="398"/>
      <c r="DA1616" s="398"/>
      <c r="DB1616" s="398"/>
      <c r="DC1616" s="398"/>
      <c r="DD1616" s="398"/>
      <c r="DE1616" s="393"/>
      <c r="DF1616" s="393"/>
      <c r="DG1616" s="393"/>
      <c r="DH1616" s="393"/>
      <c r="DI1616" s="393"/>
      <c r="DJ1616" s="393"/>
      <c r="DK1616" s="896" t="s">
        <v>9701</v>
      </c>
    </row>
    <row r="1617" spans="1:115" ht="38.25" x14ac:dyDescent="0.2">
      <c r="A1617" s="295">
        <v>1613</v>
      </c>
      <c r="B1617" s="390" t="s">
        <v>4641</v>
      </c>
      <c r="C1617" s="390"/>
      <c r="D1617" s="391" t="s">
        <v>6227</v>
      </c>
      <c r="E1617" s="704" t="s">
        <v>4642</v>
      </c>
      <c r="F1617" s="393" t="s">
        <v>1375</v>
      </c>
      <c r="G1617" s="393" t="s">
        <v>1670</v>
      </c>
      <c r="H1617" s="393" t="s">
        <v>1069</v>
      </c>
      <c r="I1617" s="392"/>
      <c r="J1617" s="392"/>
      <c r="K1617" s="392" t="s">
        <v>4643</v>
      </c>
      <c r="L1617" s="392" t="s">
        <v>4639</v>
      </c>
      <c r="M1617" s="392"/>
      <c r="N1617" s="393" t="s">
        <v>44</v>
      </c>
      <c r="O1617" s="393" t="s">
        <v>51</v>
      </c>
      <c r="P1617" s="393" t="s">
        <v>51</v>
      </c>
      <c r="Q1617" s="392" t="s">
        <v>976</v>
      </c>
      <c r="R1617" s="392" t="s">
        <v>4644</v>
      </c>
      <c r="S1617" s="392" t="s">
        <v>977</v>
      </c>
      <c r="T1617" s="394">
        <v>1</v>
      </c>
      <c r="U1617" s="395">
        <v>48.000999999999998</v>
      </c>
      <c r="V1617" s="395"/>
      <c r="W1617" s="453"/>
      <c r="X1617" s="394"/>
      <c r="Y1617" s="394">
        <v>7</v>
      </c>
      <c r="Z1617" s="394">
        <v>3</v>
      </c>
      <c r="AA1617" s="395">
        <v>0</v>
      </c>
      <c r="AB1617" s="452">
        <v>41365</v>
      </c>
      <c r="AC1617" s="398">
        <v>0</v>
      </c>
      <c r="AD1617" s="398">
        <v>372.3036465753425</v>
      </c>
      <c r="AE1617" s="393" t="s">
        <v>96</v>
      </c>
      <c r="AF1617" s="417"/>
      <c r="AG1617" s="417"/>
      <c r="AH1617" s="417"/>
      <c r="AI1617" s="394"/>
      <c r="AJ1617" s="453"/>
      <c r="AK1617" s="453"/>
      <c r="AL1617" s="393"/>
      <c r="AM1617" s="393"/>
      <c r="AN1617" s="417"/>
      <c r="AO1617" s="392"/>
      <c r="AP1617" s="392" t="s">
        <v>7118</v>
      </c>
      <c r="AQ1617" s="392"/>
      <c r="AR1617" s="392" t="s">
        <v>988</v>
      </c>
      <c r="AS1617" s="479">
        <v>41346</v>
      </c>
      <c r="AT1617" s="453"/>
      <c r="AU1617" s="453"/>
      <c r="AV1617" s="453"/>
      <c r="AW1617" s="453"/>
      <c r="AX1617" s="453"/>
      <c r="AY1617" s="453"/>
      <c r="AZ1617" s="452">
        <v>41808</v>
      </c>
      <c r="BA1617" s="393"/>
      <c r="BB1617" s="393"/>
      <c r="BC1617" s="393" t="b">
        <v>0</v>
      </c>
      <c r="BD1617" s="393"/>
      <c r="BE1617" s="392"/>
      <c r="BF1617" s="394">
        <v>6</v>
      </c>
      <c r="BG1617" s="394">
        <v>9</v>
      </c>
      <c r="BH1617" s="394">
        <v>11</v>
      </c>
      <c r="BI1617" s="394">
        <v>12</v>
      </c>
      <c r="BJ1617" s="394">
        <v>5</v>
      </c>
      <c r="BK1617" s="394"/>
      <c r="BL1617" s="444" t="s">
        <v>6982</v>
      </c>
      <c r="BM1617" s="392" t="s">
        <v>4645</v>
      </c>
      <c r="BN1617" s="393" t="s">
        <v>1008</v>
      </c>
      <c r="BO1617" s="393"/>
      <c r="BP1617" s="399"/>
      <c r="BQ1617" s="400" t="s">
        <v>1008</v>
      </c>
      <c r="BR1617" s="401"/>
      <c r="BS1617" s="399"/>
      <c r="BT1617" s="394"/>
      <c r="BU1617" s="417"/>
      <c r="BV1617" s="399"/>
      <c r="BW1617" s="393" t="s">
        <v>3117</v>
      </c>
      <c r="BX1617" s="392"/>
      <c r="BY1617" s="393" t="s">
        <v>7227</v>
      </c>
      <c r="BZ1617" s="475" t="s">
        <v>3165</v>
      </c>
      <c r="CA1617" s="441"/>
      <c r="CB1617" s="400"/>
      <c r="CC1617" s="398"/>
      <c r="CD1617" s="398"/>
      <c r="CE1617" s="398"/>
      <c r="CF1617" s="398"/>
      <c r="CG1617" s="398"/>
      <c r="CH1617" s="398"/>
      <c r="CI1617" s="398">
        <v>34.716999999999999</v>
      </c>
      <c r="CJ1617" s="398">
        <v>46.289000000000001</v>
      </c>
      <c r="CK1617" s="398">
        <v>46.289000000000001</v>
      </c>
      <c r="CL1617" s="398">
        <v>46.289000000000001</v>
      </c>
      <c r="CM1617" s="398">
        <v>46.289000000000001</v>
      </c>
      <c r="CN1617" s="398">
        <v>46.289000000000001</v>
      </c>
      <c r="CO1617" s="398">
        <v>46.289000000000001</v>
      </c>
      <c r="CP1617" s="398">
        <v>11.571999999999999</v>
      </c>
      <c r="CQ1617" s="398"/>
      <c r="CR1617" s="398"/>
      <c r="CS1617" s="398"/>
      <c r="CT1617" s="398"/>
      <c r="CU1617" s="398"/>
      <c r="CV1617" s="398"/>
      <c r="CW1617" s="398"/>
      <c r="CX1617" s="398"/>
      <c r="CY1617" s="398"/>
      <c r="CZ1617" s="398"/>
      <c r="DA1617" s="398"/>
      <c r="DB1617" s="398"/>
      <c r="DC1617" s="398"/>
      <c r="DD1617" s="398"/>
      <c r="DE1617" s="393"/>
      <c r="DF1617" s="393"/>
      <c r="DG1617" s="393"/>
      <c r="DH1617" s="393"/>
      <c r="DI1617" s="393"/>
      <c r="DJ1617" s="393"/>
      <c r="DK1617" s="897"/>
    </row>
    <row r="1618" spans="1:115" ht="38.25" x14ac:dyDescent="0.2">
      <c r="A1618" s="295">
        <v>1614</v>
      </c>
      <c r="B1618" s="390" t="s">
        <v>4646</v>
      </c>
      <c r="C1618" s="424" t="s">
        <v>7847</v>
      </c>
      <c r="D1618" s="391" t="s">
        <v>7157</v>
      </c>
      <c r="E1618" s="704" t="s">
        <v>4647</v>
      </c>
      <c r="F1618" s="393" t="s">
        <v>1340</v>
      </c>
      <c r="G1618" s="393" t="s">
        <v>1675</v>
      </c>
      <c r="H1618" s="393" t="s">
        <v>2440</v>
      </c>
      <c r="I1618" s="392"/>
      <c r="J1618" s="392" t="s">
        <v>2440</v>
      </c>
      <c r="K1618" s="392"/>
      <c r="L1618" s="392" t="s">
        <v>1049</v>
      </c>
      <c r="M1618" s="392" t="s">
        <v>4648</v>
      </c>
      <c r="N1618" s="393" t="s">
        <v>44</v>
      </c>
      <c r="O1618" s="393" t="s">
        <v>51</v>
      </c>
      <c r="P1618" s="393" t="s">
        <v>51</v>
      </c>
      <c r="Q1618" s="392" t="s">
        <v>976</v>
      </c>
      <c r="R1618" s="392"/>
      <c r="S1618" s="392" t="s">
        <v>977</v>
      </c>
      <c r="T1618" s="394">
        <v>1</v>
      </c>
      <c r="U1618" s="395">
        <v>27.047999999999998</v>
      </c>
      <c r="V1618" s="395"/>
      <c r="W1618" s="452">
        <v>41346</v>
      </c>
      <c r="X1618" s="394">
        <v>28</v>
      </c>
      <c r="Y1618" s="394"/>
      <c r="Z1618" s="394"/>
      <c r="AA1618" s="395"/>
      <c r="AB1618" s="453"/>
      <c r="AC1618" s="398">
        <v>0</v>
      </c>
      <c r="AD1618" s="398">
        <v>153.54371506849316</v>
      </c>
      <c r="AE1618" s="393" t="s">
        <v>54</v>
      </c>
      <c r="AF1618" s="417"/>
      <c r="AG1618" s="417"/>
      <c r="AH1618" s="417">
        <v>0</v>
      </c>
      <c r="AI1618" s="394"/>
      <c r="AJ1618" s="453"/>
      <c r="AK1618" s="453"/>
      <c r="AL1618" s="393"/>
      <c r="AM1618" s="393"/>
      <c r="AN1618" s="417"/>
      <c r="AO1618" s="392"/>
      <c r="AP1618" s="428" t="s">
        <v>55</v>
      </c>
      <c r="AQ1618" s="392"/>
      <c r="AR1618" s="392" t="s">
        <v>55</v>
      </c>
      <c r="AS1618" s="479">
        <v>41352</v>
      </c>
      <c r="AT1618" s="453"/>
      <c r="AU1618" s="453"/>
      <c r="AV1618" s="452">
        <v>41960</v>
      </c>
      <c r="AW1618" s="452">
        <v>42118</v>
      </c>
      <c r="AX1618" s="453"/>
      <c r="AY1618" s="452">
        <v>42118</v>
      </c>
      <c r="AZ1618" s="453"/>
      <c r="BA1618" s="393"/>
      <c r="BB1618" s="393" t="s">
        <v>3116</v>
      </c>
      <c r="BC1618" s="393" t="b">
        <v>0</v>
      </c>
      <c r="BD1618" s="393" t="s">
        <v>3116</v>
      </c>
      <c r="BE1618" s="392"/>
      <c r="BF1618" s="394">
        <v>4</v>
      </c>
      <c r="BG1618" s="394">
        <v>6</v>
      </c>
      <c r="BH1618" s="394">
        <v>12</v>
      </c>
      <c r="BI1618" s="394">
        <v>9</v>
      </c>
      <c r="BJ1618" s="394"/>
      <c r="BK1618" s="394"/>
      <c r="BL1618" s="444" t="s">
        <v>6981</v>
      </c>
      <c r="BM1618" s="392"/>
      <c r="BN1618" s="393"/>
      <c r="BO1618" s="393"/>
      <c r="BP1618" s="399"/>
      <c r="BQ1618" s="400"/>
      <c r="BR1618" s="401"/>
      <c r="BS1618" s="399">
        <v>0</v>
      </c>
      <c r="BT1618" s="394"/>
      <c r="BU1618" s="417"/>
      <c r="BV1618" s="399"/>
      <c r="BW1618" s="393"/>
      <c r="BX1618" s="392"/>
      <c r="BY1618" s="393"/>
      <c r="BZ1618" s="393"/>
      <c r="CA1618" s="441"/>
      <c r="CB1618" s="400"/>
      <c r="CC1618" s="398"/>
      <c r="CD1618" s="398"/>
      <c r="CE1618" s="398"/>
      <c r="CF1618" s="398"/>
      <c r="CG1618" s="398"/>
      <c r="CH1618" s="398"/>
      <c r="CI1618" s="398"/>
      <c r="CJ1618" s="398"/>
      <c r="CK1618" s="398"/>
      <c r="CL1618" s="398"/>
      <c r="CM1618" s="398"/>
      <c r="CN1618" s="398"/>
      <c r="CO1618" s="398"/>
      <c r="CP1618" s="398"/>
      <c r="CQ1618" s="398"/>
      <c r="CR1618" s="398"/>
      <c r="CS1618" s="398"/>
      <c r="CT1618" s="398"/>
      <c r="CU1618" s="398"/>
      <c r="CV1618" s="398"/>
      <c r="CW1618" s="398"/>
      <c r="CX1618" s="398"/>
      <c r="CY1618" s="398"/>
      <c r="CZ1618" s="398"/>
      <c r="DA1618" s="398"/>
      <c r="DB1618" s="398"/>
      <c r="DC1618" s="398"/>
      <c r="DD1618" s="398"/>
      <c r="DE1618" s="393"/>
      <c r="DF1618" s="393"/>
      <c r="DG1618" s="393"/>
      <c r="DH1618" s="393"/>
      <c r="DI1618" s="393"/>
      <c r="DJ1618" s="393"/>
      <c r="DK1618" s="896" t="s">
        <v>9760</v>
      </c>
    </row>
    <row r="1619" spans="1:115" ht="25.5" x14ac:dyDescent="0.2">
      <c r="A1619" s="295">
        <v>1615</v>
      </c>
      <c r="B1619" s="390" t="s">
        <v>4649</v>
      </c>
      <c r="C1619" s="390"/>
      <c r="D1619" s="391" t="s">
        <v>7158</v>
      </c>
      <c r="E1619" s="704" t="s">
        <v>4650</v>
      </c>
      <c r="F1619" s="393" t="s">
        <v>1340</v>
      </c>
      <c r="G1619" s="393" t="s">
        <v>1675</v>
      </c>
      <c r="H1619" s="393" t="s">
        <v>2440</v>
      </c>
      <c r="I1619" s="392"/>
      <c r="J1619" s="392"/>
      <c r="K1619" s="392" t="s">
        <v>2440</v>
      </c>
      <c r="L1619" s="392" t="s">
        <v>1049</v>
      </c>
      <c r="M1619" s="392"/>
      <c r="N1619" s="393" t="s">
        <v>44</v>
      </c>
      <c r="O1619" s="393" t="s">
        <v>51</v>
      </c>
      <c r="P1619" s="393" t="s">
        <v>51</v>
      </c>
      <c r="Q1619" s="392" t="s">
        <v>976</v>
      </c>
      <c r="R1619" s="392" t="s">
        <v>4651</v>
      </c>
      <c r="S1619" s="392" t="s">
        <v>977</v>
      </c>
      <c r="T1619" s="394">
        <v>1</v>
      </c>
      <c r="U1619" s="395">
        <v>27.047999999999998</v>
      </c>
      <c r="V1619" s="395"/>
      <c r="W1619" s="453"/>
      <c r="X1619" s="394"/>
      <c r="Y1619" s="394">
        <v>7</v>
      </c>
      <c r="Z1619" s="394">
        <v>15</v>
      </c>
      <c r="AA1619" s="395">
        <v>0</v>
      </c>
      <c r="AB1619" s="452">
        <v>42124</v>
      </c>
      <c r="AC1619" s="398">
        <v>0</v>
      </c>
      <c r="AD1619" s="398">
        <v>153.54371506849316</v>
      </c>
      <c r="AE1619" s="393" t="s">
        <v>54</v>
      </c>
      <c r="AF1619" s="417"/>
      <c r="AG1619" s="417"/>
      <c r="AH1619" s="417"/>
      <c r="AI1619" s="394"/>
      <c r="AJ1619" s="453"/>
      <c r="AK1619" s="453"/>
      <c r="AL1619" s="393"/>
      <c r="AM1619" s="393"/>
      <c r="AN1619" s="417"/>
      <c r="AO1619" s="392"/>
      <c r="AP1619" s="428" t="s">
        <v>55</v>
      </c>
      <c r="AQ1619" s="392"/>
      <c r="AR1619" s="392" t="s">
        <v>55</v>
      </c>
      <c r="AS1619" s="479">
        <v>41352</v>
      </c>
      <c r="AT1619" s="453"/>
      <c r="AU1619" s="453"/>
      <c r="AV1619" s="453"/>
      <c r="AW1619" s="453"/>
      <c r="AX1619" s="453"/>
      <c r="AY1619" s="453"/>
      <c r="AZ1619" s="452">
        <v>42118</v>
      </c>
      <c r="BA1619" s="393"/>
      <c r="BB1619" s="393"/>
      <c r="BC1619" s="393" t="b">
        <v>0</v>
      </c>
      <c r="BD1619" s="393"/>
      <c r="BE1619" s="392"/>
      <c r="BF1619" s="394">
        <v>4</v>
      </c>
      <c r="BG1619" s="394">
        <v>6</v>
      </c>
      <c r="BH1619" s="394">
        <v>12</v>
      </c>
      <c r="BI1619" s="394">
        <v>9</v>
      </c>
      <c r="BJ1619" s="394"/>
      <c r="BK1619" s="394"/>
      <c r="BL1619" s="444" t="s">
        <v>6981</v>
      </c>
      <c r="BM1619" s="392"/>
      <c r="BN1619" s="393"/>
      <c r="BO1619" s="393"/>
      <c r="BP1619" s="399"/>
      <c r="BQ1619" s="400"/>
      <c r="BR1619" s="401"/>
      <c r="BS1619" s="399"/>
      <c r="BT1619" s="394"/>
      <c r="BU1619" s="417"/>
      <c r="BV1619" s="399"/>
      <c r="BW1619" s="393" t="s">
        <v>3117</v>
      </c>
      <c r="BX1619" s="392"/>
      <c r="BY1619" s="393" t="s">
        <v>7224</v>
      </c>
      <c r="BZ1619" s="393"/>
      <c r="CA1619" s="441"/>
      <c r="CB1619" s="400"/>
      <c r="CC1619" s="398"/>
      <c r="CD1619" s="398"/>
      <c r="CE1619" s="398"/>
      <c r="CF1619" s="398"/>
      <c r="CG1619" s="398"/>
      <c r="CH1619" s="398"/>
      <c r="CI1619" s="398">
        <v>13.395</v>
      </c>
      <c r="CJ1619" s="398">
        <v>26.789000000000001</v>
      </c>
      <c r="CK1619" s="398">
        <v>26.789000000000001</v>
      </c>
      <c r="CL1619" s="398">
        <v>26.789000000000001</v>
      </c>
      <c r="CM1619" s="398">
        <v>26.789000000000001</v>
      </c>
      <c r="CN1619" s="398">
        <v>26.789000000000001</v>
      </c>
      <c r="CO1619" s="398">
        <v>26.789000000000001</v>
      </c>
      <c r="CP1619" s="398">
        <v>13.395</v>
      </c>
      <c r="CQ1619" s="398"/>
      <c r="CR1619" s="398"/>
      <c r="CS1619" s="398"/>
      <c r="CT1619" s="398"/>
      <c r="CU1619" s="398"/>
      <c r="CV1619" s="398"/>
      <c r="CW1619" s="398"/>
      <c r="CX1619" s="398"/>
      <c r="CY1619" s="398"/>
      <c r="CZ1619" s="398"/>
      <c r="DA1619" s="398"/>
      <c r="DB1619" s="398"/>
      <c r="DC1619" s="398"/>
      <c r="DD1619" s="398"/>
      <c r="DE1619" s="393"/>
      <c r="DF1619" s="393"/>
      <c r="DG1619" s="393"/>
      <c r="DH1619" s="393"/>
      <c r="DI1619" s="393"/>
      <c r="DJ1619" s="393"/>
      <c r="DK1619" s="897"/>
    </row>
    <row r="1620" spans="1:115" ht="63.75" x14ac:dyDescent="0.2">
      <c r="A1620" s="295">
        <v>1616</v>
      </c>
      <c r="B1620" s="390" t="s">
        <v>4805</v>
      </c>
      <c r="C1620" s="424" t="s">
        <v>7848</v>
      </c>
      <c r="D1620" s="391" t="s">
        <v>6163</v>
      </c>
      <c r="E1620" s="704" t="s">
        <v>2011</v>
      </c>
      <c r="F1620" s="393" t="s">
        <v>1375</v>
      </c>
      <c r="G1620" s="393" t="s">
        <v>998</v>
      </c>
      <c r="H1620" s="393" t="s">
        <v>504</v>
      </c>
      <c r="I1620" s="392"/>
      <c r="J1620" s="392" t="s">
        <v>4806</v>
      </c>
      <c r="K1620" s="392"/>
      <c r="L1620" s="392" t="s">
        <v>4574</v>
      </c>
      <c r="M1620" s="392" t="s">
        <v>4807</v>
      </c>
      <c r="N1620" s="393" t="s">
        <v>44</v>
      </c>
      <c r="O1620" s="393" t="s">
        <v>51</v>
      </c>
      <c r="P1620" s="393" t="s">
        <v>51</v>
      </c>
      <c r="Q1620" s="392" t="s">
        <v>976</v>
      </c>
      <c r="R1620" s="392"/>
      <c r="S1620" s="392" t="s">
        <v>166</v>
      </c>
      <c r="T1620" s="394">
        <v>1</v>
      </c>
      <c r="U1620" s="395">
        <v>49.600999999999999</v>
      </c>
      <c r="V1620" s="395"/>
      <c r="W1620" s="452">
        <v>41390</v>
      </c>
      <c r="X1620" s="394">
        <v>28</v>
      </c>
      <c r="Y1620" s="394"/>
      <c r="Z1620" s="394"/>
      <c r="AA1620" s="395"/>
      <c r="AB1620" s="453"/>
      <c r="AC1620" s="398">
        <v>0</v>
      </c>
      <c r="AD1620" s="398">
        <v>496.01</v>
      </c>
      <c r="AE1620" s="393" t="s">
        <v>37</v>
      </c>
      <c r="AF1620" s="417"/>
      <c r="AG1620" s="417"/>
      <c r="AH1620" s="417">
        <v>0</v>
      </c>
      <c r="AI1620" s="394"/>
      <c r="AJ1620" s="453"/>
      <c r="AK1620" s="453"/>
      <c r="AL1620" s="393"/>
      <c r="AM1620" s="393"/>
      <c r="AN1620" s="417"/>
      <c r="AO1620" s="392"/>
      <c r="AP1620" s="428" t="s">
        <v>8103</v>
      </c>
      <c r="AQ1620" s="392"/>
      <c r="AR1620" s="392" t="s">
        <v>55</v>
      </c>
      <c r="AS1620" s="479">
        <v>41402</v>
      </c>
      <c r="AT1620" s="452">
        <v>41314</v>
      </c>
      <c r="AU1620" s="453" t="s">
        <v>4573</v>
      </c>
      <c r="AV1620" s="452">
        <v>41677</v>
      </c>
      <c r="AW1620" s="452">
        <v>41703</v>
      </c>
      <c r="AX1620" s="453"/>
      <c r="AY1620" s="452">
        <v>41745</v>
      </c>
      <c r="AZ1620" s="452"/>
      <c r="BA1620" s="393"/>
      <c r="BB1620" s="393" t="s">
        <v>3147</v>
      </c>
      <c r="BC1620" s="393" t="b">
        <v>0</v>
      </c>
      <c r="BD1620" s="393" t="s">
        <v>3147</v>
      </c>
      <c r="BE1620" s="392"/>
      <c r="BF1620" s="394">
        <v>1</v>
      </c>
      <c r="BG1620" s="394">
        <v>6</v>
      </c>
      <c r="BH1620" s="394">
        <v>4</v>
      </c>
      <c r="BI1620" s="394"/>
      <c r="BJ1620" s="394"/>
      <c r="BK1620" s="394"/>
      <c r="BL1620" s="444" t="s">
        <v>6982</v>
      </c>
      <c r="BM1620" s="392"/>
      <c r="BN1620" s="393"/>
      <c r="BO1620" s="393"/>
      <c r="BP1620" s="399"/>
      <c r="BQ1620" s="400"/>
      <c r="BR1620" s="401"/>
      <c r="BS1620" s="399">
        <v>0</v>
      </c>
      <c r="BT1620" s="394"/>
      <c r="BU1620" s="417"/>
      <c r="BV1620" s="399"/>
      <c r="BW1620" s="393"/>
      <c r="BX1620" s="392"/>
      <c r="BY1620" s="393"/>
      <c r="BZ1620" s="393"/>
      <c r="CA1620" s="441"/>
      <c r="CB1620" s="400"/>
      <c r="CC1620" s="398"/>
      <c r="CD1620" s="398"/>
      <c r="CE1620" s="398"/>
      <c r="CF1620" s="398"/>
      <c r="CG1620" s="398"/>
      <c r="CH1620" s="398"/>
      <c r="CI1620" s="398"/>
      <c r="CJ1620" s="398"/>
      <c r="CK1620" s="398"/>
      <c r="CL1620" s="398"/>
      <c r="CM1620" s="398"/>
      <c r="CN1620" s="398"/>
      <c r="CO1620" s="398"/>
      <c r="CP1620" s="398"/>
      <c r="CQ1620" s="398"/>
      <c r="CR1620" s="398"/>
      <c r="CS1620" s="398"/>
      <c r="CT1620" s="398"/>
      <c r="CU1620" s="398"/>
      <c r="CV1620" s="398"/>
      <c r="CW1620" s="398"/>
      <c r="CX1620" s="398"/>
      <c r="CY1620" s="398"/>
      <c r="CZ1620" s="398"/>
      <c r="DA1620" s="398"/>
      <c r="DB1620" s="398"/>
      <c r="DC1620" s="398"/>
      <c r="DD1620" s="398"/>
      <c r="DE1620" s="393"/>
      <c r="DF1620" s="393"/>
      <c r="DG1620" s="393"/>
      <c r="DH1620" s="393"/>
      <c r="DI1620" s="393"/>
      <c r="DJ1620" s="393"/>
      <c r="DK1620" s="896" t="s">
        <v>9697</v>
      </c>
    </row>
    <row r="1621" spans="1:115" ht="25.5" x14ac:dyDescent="0.2">
      <c r="A1621" s="295">
        <v>1617</v>
      </c>
      <c r="B1621" s="390" t="s">
        <v>5462</v>
      </c>
      <c r="C1621" s="390"/>
      <c r="D1621" s="391" t="s">
        <v>6164</v>
      </c>
      <c r="E1621" s="704" t="s">
        <v>4577</v>
      </c>
      <c r="F1621" s="393" t="s">
        <v>1375</v>
      </c>
      <c r="G1621" s="393" t="s">
        <v>998</v>
      </c>
      <c r="H1621" s="393" t="s">
        <v>504</v>
      </c>
      <c r="I1621" s="392"/>
      <c r="J1621" s="392"/>
      <c r="K1621" s="392" t="s">
        <v>4808</v>
      </c>
      <c r="L1621" s="392" t="s">
        <v>4574</v>
      </c>
      <c r="M1621" s="392"/>
      <c r="N1621" s="393" t="s">
        <v>44</v>
      </c>
      <c r="O1621" s="393" t="s">
        <v>51</v>
      </c>
      <c r="P1621" s="393" t="s">
        <v>51</v>
      </c>
      <c r="Q1621" s="392" t="s">
        <v>976</v>
      </c>
      <c r="R1621" s="392" t="s">
        <v>4809</v>
      </c>
      <c r="S1621" s="392" t="s">
        <v>166</v>
      </c>
      <c r="T1621" s="394">
        <v>1</v>
      </c>
      <c r="U1621" s="395">
        <v>49.600999999999999</v>
      </c>
      <c r="V1621" s="395"/>
      <c r="W1621" s="453"/>
      <c r="X1621" s="394"/>
      <c r="Y1621" s="394">
        <v>10</v>
      </c>
      <c r="Z1621" s="394">
        <v>10</v>
      </c>
      <c r="AA1621" s="395">
        <v>0</v>
      </c>
      <c r="AB1621" s="452">
        <v>41456</v>
      </c>
      <c r="AC1621" s="398">
        <v>0</v>
      </c>
      <c r="AD1621" s="398">
        <v>496.01</v>
      </c>
      <c r="AE1621" s="393" t="s">
        <v>37</v>
      </c>
      <c r="AF1621" s="417"/>
      <c r="AG1621" s="417"/>
      <c r="AH1621" s="417"/>
      <c r="AI1621" s="394"/>
      <c r="AJ1621" s="453"/>
      <c r="AK1621" s="453"/>
      <c r="AL1621" s="393"/>
      <c r="AM1621" s="393"/>
      <c r="AN1621" s="417"/>
      <c r="AO1621" s="392"/>
      <c r="AP1621" s="428" t="s">
        <v>8103</v>
      </c>
      <c r="AQ1621" s="392"/>
      <c r="AR1621" s="392" t="s">
        <v>55</v>
      </c>
      <c r="AS1621" s="479">
        <v>41402</v>
      </c>
      <c r="AT1621" s="452">
        <v>41314</v>
      </c>
      <c r="AU1621" s="453" t="s">
        <v>4810</v>
      </c>
      <c r="AV1621" s="453"/>
      <c r="AW1621" s="453"/>
      <c r="AX1621" s="453"/>
      <c r="AY1621" s="453"/>
      <c r="AZ1621" s="452">
        <v>41745</v>
      </c>
      <c r="BA1621" s="393"/>
      <c r="BB1621" s="393"/>
      <c r="BC1621" s="393" t="b">
        <v>0</v>
      </c>
      <c r="BD1621" s="393"/>
      <c r="BE1621" s="392"/>
      <c r="BF1621" s="394">
        <v>1</v>
      </c>
      <c r="BG1621" s="394">
        <v>6</v>
      </c>
      <c r="BH1621" s="394">
        <v>4</v>
      </c>
      <c r="BI1621" s="394"/>
      <c r="BJ1621" s="394"/>
      <c r="BK1621" s="394"/>
      <c r="BL1621" s="444" t="s">
        <v>6982</v>
      </c>
      <c r="BM1621" s="392"/>
      <c r="BN1621" s="393"/>
      <c r="BO1621" s="393"/>
      <c r="BP1621" s="399"/>
      <c r="BQ1621" s="400"/>
      <c r="BR1621" s="401"/>
      <c r="BS1621" s="399"/>
      <c r="BT1621" s="394"/>
      <c r="BU1621" s="417"/>
      <c r="BV1621" s="399"/>
      <c r="BW1621" s="393" t="s">
        <v>3117</v>
      </c>
      <c r="BX1621" s="392"/>
      <c r="BY1621" s="393" t="s">
        <v>7224</v>
      </c>
      <c r="BZ1621" s="393"/>
      <c r="CA1621" s="441"/>
      <c r="CB1621" s="400"/>
      <c r="CC1621" s="398"/>
      <c r="CD1621" s="398"/>
      <c r="CE1621" s="398"/>
      <c r="CF1621" s="398"/>
      <c r="CG1621" s="398"/>
      <c r="CH1621" s="398"/>
      <c r="CI1621" s="398">
        <v>21.818000000000001</v>
      </c>
      <c r="CJ1621" s="398">
        <v>49.378</v>
      </c>
      <c r="CK1621" s="398">
        <v>76.938000000000002</v>
      </c>
      <c r="CL1621" s="398">
        <v>99.215999999999994</v>
      </c>
      <c r="CM1621" s="398">
        <v>99.215999999999994</v>
      </c>
      <c r="CN1621" s="398">
        <v>99.215999999999994</v>
      </c>
      <c r="CO1621" s="398">
        <v>99.215999999999994</v>
      </c>
      <c r="CP1621" s="398">
        <v>99.215999999999994</v>
      </c>
      <c r="CQ1621" s="398">
        <v>99.215999999999994</v>
      </c>
      <c r="CR1621" s="398">
        <v>99.215999999999994</v>
      </c>
      <c r="CS1621" s="398"/>
      <c r="CT1621" s="398"/>
      <c r="CU1621" s="398"/>
      <c r="CV1621" s="398"/>
      <c r="CW1621" s="398"/>
      <c r="CX1621" s="398"/>
      <c r="CY1621" s="398"/>
      <c r="CZ1621" s="398"/>
      <c r="DA1621" s="398"/>
      <c r="DB1621" s="398"/>
      <c r="DC1621" s="398"/>
      <c r="DD1621" s="398"/>
      <c r="DE1621" s="393"/>
      <c r="DF1621" s="393"/>
      <c r="DG1621" s="393"/>
      <c r="DH1621" s="393"/>
      <c r="DI1621" s="393"/>
      <c r="DJ1621" s="393"/>
      <c r="DK1621" s="897"/>
    </row>
    <row r="1622" spans="1:115" ht="51" x14ac:dyDescent="0.2">
      <c r="A1622" s="295">
        <v>1618</v>
      </c>
      <c r="B1622" s="390" t="s">
        <v>4811</v>
      </c>
      <c r="C1622" s="424" t="s">
        <v>7849</v>
      </c>
      <c r="D1622" s="391" t="s">
        <v>6042</v>
      </c>
      <c r="E1622" s="704" t="s">
        <v>4812</v>
      </c>
      <c r="F1622" s="393" t="s">
        <v>1352</v>
      </c>
      <c r="G1622" s="393" t="s">
        <v>1673</v>
      </c>
      <c r="H1622" s="393" t="s">
        <v>228</v>
      </c>
      <c r="I1622" s="392"/>
      <c r="J1622" s="392" t="s">
        <v>4813</v>
      </c>
      <c r="K1622" s="392"/>
      <c r="L1622" s="392" t="s">
        <v>4814</v>
      </c>
      <c r="M1622" s="392" t="s">
        <v>4815</v>
      </c>
      <c r="N1622" s="393" t="s">
        <v>44</v>
      </c>
      <c r="O1622" s="393" t="s">
        <v>51</v>
      </c>
      <c r="P1622" s="393" t="s">
        <v>51</v>
      </c>
      <c r="Q1622" s="392" t="s">
        <v>976</v>
      </c>
      <c r="R1622" s="392"/>
      <c r="S1622" s="392" t="s">
        <v>977</v>
      </c>
      <c r="T1622" s="394">
        <v>3</v>
      </c>
      <c r="U1622" s="395">
        <v>125.20700000000001</v>
      </c>
      <c r="V1622" s="395"/>
      <c r="W1622" s="452">
        <v>41350</v>
      </c>
      <c r="X1622" s="394">
        <v>28</v>
      </c>
      <c r="Y1622" s="394"/>
      <c r="Z1622" s="394"/>
      <c r="AA1622" s="395"/>
      <c r="AB1622" s="453"/>
      <c r="AC1622" s="398">
        <v>0</v>
      </c>
      <c r="AD1622" s="398">
        <v>1252.0700000000002</v>
      </c>
      <c r="AE1622" s="393" t="s">
        <v>96</v>
      </c>
      <c r="AF1622" s="417"/>
      <c r="AG1622" s="417">
        <f>SUM(AG1623:AG1625)</f>
        <v>129.13199999999998</v>
      </c>
      <c r="AH1622" s="417">
        <v>129.13199999999998</v>
      </c>
      <c r="AI1622" s="394"/>
      <c r="AJ1622" s="453">
        <v>42390</v>
      </c>
      <c r="AK1622" s="453">
        <v>42826</v>
      </c>
      <c r="AL1622" s="393"/>
      <c r="AM1622" s="393"/>
      <c r="AN1622" s="417"/>
      <c r="AO1622" s="393" t="s">
        <v>96</v>
      </c>
      <c r="AP1622" s="392" t="s">
        <v>7118</v>
      </c>
      <c r="AQ1622" s="392"/>
      <c r="AR1622" s="392" t="s">
        <v>3031</v>
      </c>
      <c r="AS1622" s="479">
        <v>41416</v>
      </c>
      <c r="AT1622" s="453"/>
      <c r="AU1622" s="453"/>
      <c r="AV1622" s="452">
        <v>41542</v>
      </c>
      <c r="AW1622" s="452">
        <v>41627</v>
      </c>
      <c r="AX1622" s="452">
        <v>41703</v>
      </c>
      <c r="AY1622" s="452">
        <v>41597</v>
      </c>
      <c r="AZ1622" s="453"/>
      <c r="BA1622" s="393"/>
      <c r="BB1622" s="393" t="s">
        <v>3116</v>
      </c>
      <c r="BC1622" s="393" t="b">
        <v>0</v>
      </c>
      <c r="BD1622" s="393" t="s">
        <v>3116</v>
      </c>
      <c r="BE1622" s="392"/>
      <c r="BF1622" s="394">
        <v>1</v>
      </c>
      <c r="BG1622" s="394">
        <v>6</v>
      </c>
      <c r="BH1622" s="394">
        <v>4</v>
      </c>
      <c r="BI1622" s="394"/>
      <c r="BJ1622" s="394"/>
      <c r="BK1622" s="394"/>
      <c r="BL1622" s="444" t="s">
        <v>6983</v>
      </c>
      <c r="BM1622" s="392"/>
      <c r="BN1622" s="393"/>
      <c r="BO1622" s="393"/>
      <c r="BP1622" s="399"/>
      <c r="BQ1622" s="400"/>
      <c r="BR1622" s="401"/>
      <c r="BS1622" s="399">
        <v>0</v>
      </c>
      <c r="BT1622" s="394"/>
      <c r="BU1622" s="417"/>
      <c r="BV1622" s="399"/>
      <c r="BW1622" s="393"/>
      <c r="BX1622" s="392"/>
      <c r="BY1622" s="393"/>
      <c r="BZ1622" s="475" t="s">
        <v>3165</v>
      </c>
      <c r="CA1622" s="441"/>
      <c r="CB1622" s="400"/>
      <c r="CC1622" s="398"/>
      <c r="CD1622" s="398"/>
      <c r="CE1622" s="398"/>
      <c r="CF1622" s="398"/>
      <c r="CG1622" s="398"/>
      <c r="CH1622" s="398"/>
      <c r="CI1622" s="398"/>
      <c r="CJ1622" s="398"/>
      <c r="CK1622" s="398"/>
      <c r="CL1622" s="398"/>
      <c r="CM1622" s="398"/>
      <c r="CN1622" s="398"/>
      <c r="CO1622" s="398"/>
      <c r="CP1622" s="398"/>
      <c r="CQ1622" s="398"/>
      <c r="CR1622" s="398"/>
      <c r="CS1622" s="398"/>
      <c r="CT1622" s="398"/>
      <c r="CU1622" s="398"/>
      <c r="CV1622" s="398"/>
      <c r="CW1622" s="398"/>
      <c r="CX1622" s="398"/>
      <c r="CY1622" s="398"/>
      <c r="CZ1622" s="398"/>
      <c r="DA1622" s="398"/>
      <c r="DB1622" s="398"/>
      <c r="DC1622" s="398"/>
      <c r="DD1622" s="398"/>
      <c r="DE1622" s="393"/>
      <c r="DF1622" s="393"/>
      <c r="DG1622" s="393"/>
      <c r="DH1622" s="393"/>
      <c r="DI1622" s="393"/>
      <c r="DJ1622" s="393"/>
      <c r="DK1622" s="896" t="s">
        <v>9706</v>
      </c>
    </row>
    <row r="1623" spans="1:115" ht="51" x14ac:dyDescent="0.2">
      <c r="A1623" s="295">
        <v>1619</v>
      </c>
      <c r="B1623" s="390" t="s">
        <v>5463</v>
      </c>
      <c r="C1623" s="390"/>
      <c r="D1623" s="391" t="s">
        <v>6043</v>
      </c>
      <c r="E1623" s="704" t="s">
        <v>4816</v>
      </c>
      <c r="F1623" s="393" t="s">
        <v>1352</v>
      </c>
      <c r="G1623" s="393" t="s">
        <v>1673</v>
      </c>
      <c r="H1623" s="393" t="s">
        <v>228</v>
      </c>
      <c r="I1623" s="392"/>
      <c r="J1623" s="392"/>
      <c r="K1623" s="392" t="s">
        <v>4817</v>
      </c>
      <c r="L1623" s="392" t="s">
        <v>4814</v>
      </c>
      <c r="M1623" s="392"/>
      <c r="N1623" s="393" t="s">
        <v>44</v>
      </c>
      <c r="O1623" s="393" t="s">
        <v>51</v>
      </c>
      <c r="P1623" s="393" t="s">
        <v>51</v>
      </c>
      <c r="Q1623" s="392" t="s">
        <v>976</v>
      </c>
      <c r="R1623" s="392" t="s">
        <v>4818</v>
      </c>
      <c r="S1623" s="392" t="s">
        <v>977</v>
      </c>
      <c r="T1623" s="394">
        <v>1</v>
      </c>
      <c r="U1623" s="395">
        <v>41.587000000000003</v>
      </c>
      <c r="V1623" s="395"/>
      <c r="W1623" s="453"/>
      <c r="X1623" s="394"/>
      <c r="Y1623" s="394">
        <v>10</v>
      </c>
      <c r="Z1623" s="394">
        <v>10</v>
      </c>
      <c r="AA1623" s="395">
        <v>0</v>
      </c>
      <c r="AB1623" s="452">
        <v>41411</v>
      </c>
      <c r="AC1623" s="398">
        <v>0</v>
      </c>
      <c r="AD1623" s="398">
        <v>415.87</v>
      </c>
      <c r="AE1623" s="393" t="s">
        <v>96</v>
      </c>
      <c r="AF1623" s="417">
        <v>0</v>
      </c>
      <c r="AG1623" s="417">
        <f>40.543+34.425</f>
        <v>74.967999999999989</v>
      </c>
      <c r="AH1623" s="417">
        <v>74.967999999999989</v>
      </c>
      <c r="AI1623" s="394"/>
      <c r="AJ1623" s="453">
        <v>42390</v>
      </c>
      <c r="AK1623" s="453">
        <v>42826</v>
      </c>
      <c r="AL1623" s="393"/>
      <c r="AM1623" s="393"/>
      <c r="AN1623" s="417"/>
      <c r="AO1623" s="393" t="s">
        <v>96</v>
      </c>
      <c r="AP1623" s="428" t="s">
        <v>7118</v>
      </c>
      <c r="AQ1623" s="392"/>
      <c r="AR1623" s="392" t="s">
        <v>6073</v>
      </c>
      <c r="AS1623" s="479">
        <v>41416</v>
      </c>
      <c r="AT1623" s="453"/>
      <c r="AU1623" s="453"/>
      <c r="AV1623" s="453"/>
      <c r="AW1623" s="453"/>
      <c r="AX1623" s="453"/>
      <c r="AY1623" s="453"/>
      <c r="AZ1623" s="452">
        <v>41597</v>
      </c>
      <c r="BA1623" s="393"/>
      <c r="BB1623" s="393"/>
      <c r="BC1623" s="393" t="b">
        <v>0</v>
      </c>
      <c r="BD1623" s="393"/>
      <c r="BE1623" s="392"/>
      <c r="BF1623" s="394">
        <v>1</v>
      </c>
      <c r="BG1623" s="394">
        <v>6</v>
      </c>
      <c r="BH1623" s="394">
        <v>4</v>
      </c>
      <c r="BI1623" s="394"/>
      <c r="BJ1623" s="394"/>
      <c r="BK1623" s="394"/>
      <c r="BL1623" s="444" t="s">
        <v>6983</v>
      </c>
      <c r="BM1623" s="392"/>
      <c r="BN1623" s="393"/>
      <c r="BO1623" s="393"/>
      <c r="BP1623" s="399"/>
      <c r="BQ1623" s="400"/>
      <c r="BR1623" s="401"/>
      <c r="BS1623" s="399"/>
      <c r="BT1623" s="394"/>
      <c r="BU1623" s="417"/>
      <c r="BV1623" s="399"/>
      <c r="BW1623" s="393" t="s">
        <v>3117</v>
      </c>
      <c r="BX1623" s="392"/>
      <c r="BY1623" s="393" t="s">
        <v>7224</v>
      </c>
      <c r="BZ1623" s="475" t="s">
        <v>3165</v>
      </c>
      <c r="CA1623" s="441"/>
      <c r="CB1623" s="400"/>
      <c r="CC1623" s="398"/>
      <c r="CD1623" s="398"/>
      <c r="CE1623" s="398"/>
      <c r="CF1623" s="398"/>
      <c r="CG1623" s="398"/>
      <c r="CH1623" s="398"/>
      <c r="CI1623" s="398">
        <v>26.632999999999999</v>
      </c>
      <c r="CJ1623" s="398">
        <v>42.637</v>
      </c>
      <c r="CK1623" s="398">
        <v>42.637</v>
      </c>
      <c r="CL1623" s="398">
        <v>42.637</v>
      </c>
      <c r="CM1623" s="398">
        <v>42.637</v>
      </c>
      <c r="CN1623" s="398">
        <v>42.637</v>
      </c>
      <c r="CO1623" s="398">
        <v>42.637</v>
      </c>
      <c r="CP1623" s="398">
        <v>42.637</v>
      </c>
      <c r="CQ1623" s="398">
        <v>42.637</v>
      </c>
      <c r="CR1623" s="398">
        <v>15.887</v>
      </c>
      <c r="CS1623" s="398"/>
      <c r="CT1623" s="398"/>
      <c r="CU1623" s="398"/>
      <c r="CV1623" s="398"/>
      <c r="CW1623" s="398"/>
      <c r="CX1623" s="398"/>
      <c r="CY1623" s="398"/>
      <c r="CZ1623" s="398"/>
      <c r="DA1623" s="398"/>
      <c r="DB1623" s="398"/>
      <c r="DC1623" s="398"/>
      <c r="DD1623" s="398"/>
      <c r="DE1623" s="393"/>
      <c r="DF1623" s="393"/>
      <c r="DG1623" s="393"/>
      <c r="DH1623" s="393"/>
      <c r="DI1623" s="393"/>
      <c r="DJ1623" s="393"/>
      <c r="DK1623" s="897"/>
    </row>
    <row r="1624" spans="1:115" ht="51" x14ac:dyDescent="0.2">
      <c r="A1624" s="295">
        <v>1620</v>
      </c>
      <c r="B1624" s="390" t="s">
        <v>6759</v>
      </c>
      <c r="C1624" s="390"/>
      <c r="D1624" s="391" t="s">
        <v>6760</v>
      </c>
      <c r="E1624" s="704" t="s">
        <v>6761</v>
      </c>
      <c r="F1624" s="393" t="s">
        <v>1352</v>
      </c>
      <c r="G1624" s="393" t="s">
        <v>1673</v>
      </c>
      <c r="H1624" s="393" t="s">
        <v>228</v>
      </c>
      <c r="I1624" s="392"/>
      <c r="J1624" s="392"/>
      <c r="K1624" s="392" t="s">
        <v>6762</v>
      </c>
      <c r="L1624" s="392" t="s">
        <v>4814</v>
      </c>
      <c r="M1624" s="392"/>
      <c r="N1624" s="393" t="s">
        <v>44</v>
      </c>
      <c r="O1624" s="393" t="s">
        <v>51</v>
      </c>
      <c r="P1624" s="393" t="s">
        <v>51</v>
      </c>
      <c r="Q1624" s="392" t="s">
        <v>976</v>
      </c>
      <c r="R1624" s="392" t="s">
        <v>6763</v>
      </c>
      <c r="S1624" s="392" t="s">
        <v>977</v>
      </c>
      <c r="T1624" s="394">
        <v>1</v>
      </c>
      <c r="U1624" s="395">
        <v>41.81</v>
      </c>
      <c r="V1624" s="395"/>
      <c r="W1624" s="453"/>
      <c r="X1624" s="394"/>
      <c r="Y1624" s="394">
        <v>10</v>
      </c>
      <c r="Z1624" s="394">
        <v>10</v>
      </c>
      <c r="AA1624" s="395">
        <v>0</v>
      </c>
      <c r="AB1624" s="452">
        <v>41992</v>
      </c>
      <c r="AC1624" s="398"/>
      <c r="AD1624" s="398">
        <v>418.1</v>
      </c>
      <c r="AE1624" s="393" t="s">
        <v>96</v>
      </c>
      <c r="AF1624" s="417">
        <v>0</v>
      </c>
      <c r="AG1624" s="417">
        <f>6.445+33.994</f>
        <v>40.439</v>
      </c>
      <c r="AH1624" s="417">
        <v>40.439</v>
      </c>
      <c r="AI1624" s="394"/>
      <c r="AJ1624" s="453">
        <v>42390</v>
      </c>
      <c r="AK1624" s="453">
        <v>42826</v>
      </c>
      <c r="AL1624" s="393"/>
      <c r="AM1624" s="393"/>
      <c r="AN1624" s="417"/>
      <c r="AO1624" s="393" t="s">
        <v>96</v>
      </c>
      <c r="AP1624" s="392" t="s">
        <v>7118</v>
      </c>
      <c r="AQ1624" s="392"/>
      <c r="AR1624" s="392" t="s">
        <v>6073</v>
      </c>
      <c r="AS1624" s="479">
        <v>41416</v>
      </c>
      <c r="AT1624" s="453"/>
      <c r="AU1624" s="453"/>
      <c r="AV1624" s="453"/>
      <c r="AW1624" s="453"/>
      <c r="AX1624" s="453"/>
      <c r="AY1624" s="453"/>
      <c r="AZ1624" s="452">
        <v>41992</v>
      </c>
      <c r="BA1624" s="393"/>
      <c r="BB1624" s="393"/>
      <c r="BC1624" s="393" t="b">
        <v>0</v>
      </c>
      <c r="BD1624" s="393"/>
      <c r="BE1624" s="392"/>
      <c r="BF1624" s="394">
        <v>1</v>
      </c>
      <c r="BG1624" s="394">
        <v>6</v>
      </c>
      <c r="BH1624" s="394">
        <v>4</v>
      </c>
      <c r="BI1624" s="394"/>
      <c r="BJ1624" s="394"/>
      <c r="BK1624" s="394"/>
      <c r="BL1624" s="444" t="s">
        <v>6983</v>
      </c>
      <c r="BM1624" s="392"/>
      <c r="BN1624" s="393"/>
      <c r="BO1624" s="393"/>
      <c r="BP1624" s="399"/>
      <c r="BQ1624" s="400"/>
      <c r="BR1624" s="401"/>
      <c r="BS1624" s="399"/>
      <c r="BT1624" s="394"/>
      <c r="BU1624" s="417"/>
      <c r="BV1624" s="399"/>
      <c r="BW1624" s="393" t="s">
        <v>3117</v>
      </c>
      <c r="BX1624" s="392"/>
      <c r="BY1624" s="393" t="s">
        <v>7224</v>
      </c>
      <c r="BZ1624" s="475"/>
      <c r="CA1624" s="441"/>
      <c r="CB1624" s="400"/>
      <c r="CC1624" s="398"/>
      <c r="CD1624" s="398"/>
      <c r="CE1624" s="398"/>
      <c r="CF1624" s="398"/>
      <c r="CG1624" s="398"/>
      <c r="CH1624" s="398"/>
      <c r="CI1624" s="398"/>
      <c r="CJ1624" s="398"/>
      <c r="CK1624" s="398">
        <v>41.81</v>
      </c>
      <c r="CL1624" s="398">
        <v>41.81</v>
      </c>
      <c r="CM1624" s="398">
        <v>41.81</v>
      </c>
      <c r="CN1624" s="398">
        <v>41.81</v>
      </c>
      <c r="CO1624" s="398">
        <v>41.81</v>
      </c>
      <c r="CP1624" s="398">
        <v>41.81</v>
      </c>
      <c r="CQ1624" s="398">
        <v>41.81</v>
      </c>
      <c r="CR1624" s="398">
        <v>41.81</v>
      </c>
      <c r="CS1624" s="398">
        <v>41.81</v>
      </c>
      <c r="CT1624" s="398">
        <v>41.81</v>
      </c>
      <c r="CU1624" s="398"/>
      <c r="CV1624" s="398"/>
      <c r="CW1624" s="398"/>
      <c r="CX1624" s="398"/>
      <c r="CY1624" s="398"/>
      <c r="CZ1624" s="398"/>
      <c r="DA1624" s="398"/>
      <c r="DB1624" s="398"/>
      <c r="DC1624" s="398"/>
      <c r="DD1624" s="398"/>
      <c r="DE1624" s="393"/>
      <c r="DF1624" s="393"/>
      <c r="DG1624" s="393"/>
      <c r="DH1624" s="393"/>
      <c r="DI1624" s="393"/>
      <c r="DJ1624" s="393"/>
      <c r="DK1624" s="897"/>
    </row>
    <row r="1625" spans="1:115" ht="51" x14ac:dyDescent="0.2">
      <c r="A1625" s="295">
        <v>1621</v>
      </c>
      <c r="B1625" s="390" t="s">
        <v>6764</v>
      </c>
      <c r="C1625" s="390"/>
      <c r="D1625" s="391" t="s">
        <v>6765</v>
      </c>
      <c r="E1625" s="704" t="s">
        <v>6766</v>
      </c>
      <c r="F1625" s="393" t="s">
        <v>1352</v>
      </c>
      <c r="G1625" s="393" t="s">
        <v>1673</v>
      </c>
      <c r="H1625" s="393" t="s">
        <v>228</v>
      </c>
      <c r="I1625" s="392"/>
      <c r="J1625" s="392"/>
      <c r="K1625" s="392" t="s">
        <v>6762</v>
      </c>
      <c r="L1625" s="392" t="s">
        <v>4814</v>
      </c>
      <c r="M1625" s="392"/>
      <c r="N1625" s="393" t="s">
        <v>44</v>
      </c>
      <c r="O1625" s="393" t="s">
        <v>51</v>
      </c>
      <c r="P1625" s="393" t="s">
        <v>51</v>
      </c>
      <c r="Q1625" s="392" t="s">
        <v>976</v>
      </c>
      <c r="R1625" s="392" t="s">
        <v>6763</v>
      </c>
      <c r="S1625" s="392" t="s">
        <v>977</v>
      </c>
      <c r="T1625" s="394">
        <v>1</v>
      </c>
      <c r="U1625" s="395">
        <v>41.81</v>
      </c>
      <c r="V1625" s="395"/>
      <c r="W1625" s="453"/>
      <c r="X1625" s="394"/>
      <c r="Y1625" s="394">
        <v>10</v>
      </c>
      <c r="Z1625" s="394">
        <v>10</v>
      </c>
      <c r="AA1625" s="395">
        <v>0</v>
      </c>
      <c r="AB1625" s="452">
        <v>41992</v>
      </c>
      <c r="AC1625" s="398"/>
      <c r="AD1625" s="398">
        <v>418.1</v>
      </c>
      <c r="AE1625" s="393" t="s">
        <v>96</v>
      </c>
      <c r="AF1625" s="417">
        <v>0</v>
      </c>
      <c r="AG1625" s="417">
        <f>13.725</f>
        <v>13.725</v>
      </c>
      <c r="AH1625" s="417">
        <v>13.725</v>
      </c>
      <c r="AI1625" s="394"/>
      <c r="AJ1625" s="453">
        <v>43091</v>
      </c>
      <c r="AK1625" s="453">
        <v>42826</v>
      </c>
      <c r="AL1625" s="393"/>
      <c r="AM1625" s="393"/>
      <c r="AN1625" s="417"/>
      <c r="AO1625" s="393" t="s">
        <v>96</v>
      </c>
      <c r="AP1625" s="392" t="s">
        <v>7118</v>
      </c>
      <c r="AQ1625" s="392"/>
      <c r="AR1625" s="392" t="s">
        <v>6073</v>
      </c>
      <c r="AS1625" s="479">
        <v>41416</v>
      </c>
      <c r="AT1625" s="453"/>
      <c r="AU1625" s="453"/>
      <c r="AV1625" s="453"/>
      <c r="AW1625" s="453"/>
      <c r="AX1625" s="453"/>
      <c r="AY1625" s="453"/>
      <c r="AZ1625" s="452">
        <v>41992</v>
      </c>
      <c r="BA1625" s="393"/>
      <c r="BB1625" s="393"/>
      <c r="BC1625" s="393" t="b">
        <v>0</v>
      </c>
      <c r="BD1625" s="393"/>
      <c r="BE1625" s="392"/>
      <c r="BF1625" s="394">
        <v>1</v>
      </c>
      <c r="BG1625" s="394">
        <v>6</v>
      </c>
      <c r="BH1625" s="394">
        <v>4</v>
      </c>
      <c r="BI1625" s="394"/>
      <c r="BJ1625" s="394"/>
      <c r="BK1625" s="394"/>
      <c r="BL1625" s="444" t="s">
        <v>6983</v>
      </c>
      <c r="BM1625" s="392"/>
      <c r="BN1625" s="393"/>
      <c r="BO1625" s="393"/>
      <c r="BP1625" s="399"/>
      <c r="BQ1625" s="400"/>
      <c r="BR1625" s="401"/>
      <c r="BS1625" s="399"/>
      <c r="BT1625" s="394"/>
      <c r="BU1625" s="417"/>
      <c r="BV1625" s="399"/>
      <c r="BW1625" s="393" t="s">
        <v>3117</v>
      </c>
      <c r="BX1625" s="392"/>
      <c r="BY1625" s="393" t="s">
        <v>7224</v>
      </c>
      <c r="BZ1625" s="475"/>
      <c r="CA1625" s="441"/>
      <c r="CB1625" s="400"/>
      <c r="CC1625" s="398"/>
      <c r="CD1625" s="398"/>
      <c r="CE1625" s="398"/>
      <c r="CF1625" s="398"/>
      <c r="CG1625" s="398"/>
      <c r="CH1625" s="398"/>
      <c r="CI1625" s="398"/>
      <c r="CJ1625" s="398"/>
      <c r="CK1625" s="398">
        <v>41.81</v>
      </c>
      <c r="CL1625" s="398">
        <v>41.81</v>
      </c>
      <c r="CM1625" s="398">
        <v>41.81</v>
      </c>
      <c r="CN1625" s="398">
        <v>41.81</v>
      </c>
      <c r="CO1625" s="398">
        <v>41.81</v>
      </c>
      <c r="CP1625" s="398">
        <v>41.81</v>
      </c>
      <c r="CQ1625" s="398">
        <v>41.81</v>
      </c>
      <c r="CR1625" s="398">
        <v>41.81</v>
      </c>
      <c r="CS1625" s="398">
        <v>41.81</v>
      </c>
      <c r="CT1625" s="398">
        <v>41.81</v>
      </c>
      <c r="CU1625" s="398"/>
      <c r="CV1625" s="398"/>
      <c r="CW1625" s="398"/>
      <c r="CX1625" s="398"/>
      <c r="CY1625" s="398"/>
      <c r="CZ1625" s="398"/>
      <c r="DA1625" s="398"/>
      <c r="DB1625" s="398"/>
      <c r="DC1625" s="398"/>
      <c r="DD1625" s="398"/>
      <c r="DE1625" s="393"/>
      <c r="DF1625" s="393"/>
      <c r="DG1625" s="393"/>
      <c r="DH1625" s="393"/>
      <c r="DI1625" s="393"/>
      <c r="DJ1625" s="393"/>
      <c r="DK1625" s="897"/>
    </row>
    <row r="1626" spans="1:115" ht="63.75" x14ac:dyDescent="0.2">
      <c r="A1626" s="295">
        <v>1622</v>
      </c>
      <c r="B1626" s="390" t="s">
        <v>4819</v>
      </c>
      <c r="C1626" s="424" t="s">
        <v>7850</v>
      </c>
      <c r="D1626" s="391"/>
      <c r="E1626" s="707" t="s">
        <v>3041</v>
      </c>
      <c r="F1626" s="404" t="s">
        <v>1375</v>
      </c>
      <c r="G1626" s="404" t="s">
        <v>1361</v>
      </c>
      <c r="H1626" s="404" t="s">
        <v>137</v>
      </c>
      <c r="I1626" s="403"/>
      <c r="J1626" s="403" t="s">
        <v>137</v>
      </c>
      <c r="K1626" s="403"/>
      <c r="L1626" s="403" t="s">
        <v>1697</v>
      </c>
      <c r="M1626" s="403" t="s">
        <v>4820</v>
      </c>
      <c r="N1626" s="404" t="s">
        <v>3142</v>
      </c>
      <c r="O1626" s="404" t="s">
        <v>69</v>
      </c>
      <c r="P1626" s="404" t="s">
        <v>69</v>
      </c>
      <c r="Q1626" s="403" t="s">
        <v>1111</v>
      </c>
      <c r="R1626" s="403"/>
      <c r="S1626" s="486" t="s">
        <v>146</v>
      </c>
      <c r="T1626" s="405">
        <v>1</v>
      </c>
      <c r="U1626" s="406">
        <v>49.121000000000002</v>
      </c>
      <c r="V1626" s="406"/>
      <c r="W1626" s="456">
        <v>41456</v>
      </c>
      <c r="X1626" s="405">
        <v>28</v>
      </c>
      <c r="Y1626" s="405"/>
      <c r="Z1626" s="405"/>
      <c r="AA1626" s="406"/>
      <c r="AB1626" s="455"/>
      <c r="AC1626" s="407">
        <v>0</v>
      </c>
      <c r="AD1626" s="407">
        <v>343.98157808219179</v>
      </c>
      <c r="AE1626" s="404" t="s">
        <v>133</v>
      </c>
      <c r="AF1626" s="418"/>
      <c r="AG1626" s="418"/>
      <c r="AH1626" s="418">
        <v>0</v>
      </c>
      <c r="AI1626" s="405"/>
      <c r="AJ1626" s="455"/>
      <c r="AK1626" s="455"/>
      <c r="AL1626" s="404"/>
      <c r="AM1626" s="404"/>
      <c r="AN1626" s="418"/>
      <c r="AO1626" s="403"/>
      <c r="AP1626" s="403" t="s">
        <v>55</v>
      </c>
      <c r="AQ1626" s="403"/>
      <c r="AR1626" s="403" t="s">
        <v>55</v>
      </c>
      <c r="AS1626" s="482">
        <v>41422</v>
      </c>
      <c r="AT1626" s="455"/>
      <c r="AU1626" s="455" t="s">
        <v>3040</v>
      </c>
      <c r="AV1626" s="455"/>
      <c r="AW1626" s="455"/>
      <c r="AX1626" s="455"/>
      <c r="AY1626" s="455"/>
      <c r="AZ1626" s="455"/>
      <c r="BA1626" s="404"/>
      <c r="BB1626" s="404" t="s">
        <v>3147</v>
      </c>
      <c r="BC1626" s="404" t="b">
        <v>0</v>
      </c>
      <c r="BD1626" s="404" t="s">
        <v>3147</v>
      </c>
      <c r="BE1626" s="403"/>
      <c r="BF1626" s="405">
        <v>1</v>
      </c>
      <c r="BG1626" s="405">
        <v>5</v>
      </c>
      <c r="BH1626" s="405">
        <v>9</v>
      </c>
      <c r="BI1626" s="405"/>
      <c r="BJ1626" s="405"/>
      <c r="BK1626" s="405"/>
      <c r="BL1626" s="446" t="s">
        <v>6984</v>
      </c>
      <c r="BM1626" s="403"/>
      <c r="BN1626" s="404"/>
      <c r="BO1626" s="404"/>
      <c r="BP1626" s="408"/>
      <c r="BQ1626" s="409"/>
      <c r="BR1626" s="410"/>
      <c r="BS1626" s="408">
        <v>0</v>
      </c>
      <c r="BT1626" s="405"/>
      <c r="BU1626" s="418"/>
      <c r="BV1626" s="408"/>
      <c r="BW1626" s="404"/>
      <c r="BX1626" s="403"/>
      <c r="BY1626" s="404"/>
      <c r="BZ1626" s="404"/>
      <c r="CA1626" s="443"/>
      <c r="CB1626" s="409"/>
      <c r="CC1626" s="407"/>
      <c r="CD1626" s="407"/>
      <c r="CE1626" s="407"/>
      <c r="CF1626" s="407"/>
      <c r="CG1626" s="407"/>
      <c r="CH1626" s="407"/>
      <c r="CI1626" s="407"/>
      <c r="CJ1626" s="407"/>
      <c r="CK1626" s="407"/>
      <c r="CL1626" s="407"/>
      <c r="CM1626" s="407"/>
      <c r="CN1626" s="407"/>
      <c r="CO1626" s="407"/>
      <c r="CP1626" s="407"/>
      <c r="CQ1626" s="407"/>
      <c r="CR1626" s="407"/>
      <c r="CS1626" s="407"/>
      <c r="CT1626" s="407"/>
      <c r="CU1626" s="407"/>
      <c r="CV1626" s="407"/>
      <c r="CW1626" s="407"/>
      <c r="CX1626" s="407"/>
      <c r="CY1626" s="407"/>
      <c r="CZ1626" s="407"/>
      <c r="DA1626" s="407"/>
      <c r="DB1626" s="407"/>
      <c r="DC1626" s="407"/>
      <c r="DD1626" s="407"/>
      <c r="DE1626" s="404"/>
      <c r="DF1626" s="404"/>
      <c r="DG1626" s="404"/>
      <c r="DH1626" s="404"/>
      <c r="DI1626" s="404"/>
      <c r="DJ1626" s="404"/>
      <c r="DK1626" s="897"/>
    </row>
    <row r="1627" spans="1:115" ht="38.25" x14ac:dyDescent="0.2">
      <c r="A1627" s="295">
        <v>1623</v>
      </c>
      <c r="B1627" s="390" t="s">
        <v>5464</v>
      </c>
      <c r="C1627" s="390"/>
      <c r="D1627" s="391"/>
      <c r="E1627" s="707" t="s">
        <v>3043</v>
      </c>
      <c r="F1627" s="404" t="s">
        <v>1375</v>
      </c>
      <c r="G1627" s="404" t="s">
        <v>1361</v>
      </c>
      <c r="H1627" s="404" t="s">
        <v>137</v>
      </c>
      <c r="I1627" s="403"/>
      <c r="J1627" s="403"/>
      <c r="K1627" s="403" t="s">
        <v>4821</v>
      </c>
      <c r="L1627" s="403" t="s">
        <v>1697</v>
      </c>
      <c r="M1627" s="403"/>
      <c r="N1627" s="404" t="s">
        <v>3142</v>
      </c>
      <c r="O1627" s="404" t="s">
        <v>69</v>
      </c>
      <c r="P1627" s="404" t="s">
        <v>69</v>
      </c>
      <c r="Q1627" s="403" t="s">
        <v>1111</v>
      </c>
      <c r="R1627" s="403" t="s">
        <v>4822</v>
      </c>
      <c r="S1627" s="486" t="s">
        <v>146</v>
      </c>
      <c r="T1627" s="405">
        <v>1</v>
      </c>
      <c r="U1627" s="406">
        <v>49.121000000000002</v>
      </c>
      <c r="V1627" s="406"/>
      <c r="W1627" s="455"/>
      <c r="X1627" s="405"/>
      <c r="Y1627" s="405">
        <v>7</v>
      </c>
      <c r="Z1627" s="405">
        <v>21</v>
      </c>
      <c r="AA1627" s="406">
        <v>0</v>
      </c>
      <c r="AB1627" s="456">
        <v>41640</v>
      </c>
      <c r="AC1627" s="407">
        <v>0</v>
      </c>
      <c r="AD1627" s="407">
        <v>343.98157808219179</v>
      </c>
      <c r="AE1627" s="404" t="s">
        <v>133</v>
      </c>
      <c r="AF1627" s="418"/>
      <c r="AG1627" s="418"/>
      <c r="AH1627" s="418"/>
      <c r="AI1627" s="405"/>
      <c r="AJ1627" s="455"/>
      <c r="AK1627" s="455"/>
      <c r="AL1627" s="404"/>
      <c r="AM1627" s="404"/>
      <c r="AN1627" s="418"/>
      <c r="AO1627" s="403"/>
      <c r="AP1627" s="403" t="s">
        <v>55</v>
      </c>
      <c r="AQ1627" s="403"/>
      <c r="AR1627" s="403" t="s">
        <v>55</v>
      </c>
      <c r="AS1627" s="482">
        <v>41422</v>
      </c>
      <c r="AT1627" s="455"/>
      <c r="AU1627" s="455" t="s">
        <v>6141</v>
      </c>
      <c r="AV1627" s="455"/>
      <c r="AW1627" s="455"/>
      <c r="AX1627" s="455"/>
      <c r="AY1627" s="455"/>
      <c r="AZ1627" s="455"/>
      <c r="BA1627" s="404"/>
      <c r="BB1627" s="404"/>
      <c r="BC1627" s="404" t="b">
        <v>0</v>
      </c>
      <c r="BD1627" s="404"/>
      <c r="BE1627" s="403"/>
      <c r="BF1627" s="405">
        <v>1</v>
      </c>
      <c r="BG1627" s="405">
        <v>5</v>
      </c>
      <c r="BH1627" s="405">
        <v>9</v>
      </c>
      <c r="BI1627" s="405"/>
      <c r="BJ1627" s="405"/>
      <c r="BK1627" s="405"/>
      <c r="BL1627" s="446" t="s">
        <v>6984</v>
      </c>
      <c r="BM1627" s="403"/>
      <c r="BN1627" s="404"/>
      <c r="BO1627" s="404"/>
      <c r="BP1627" s="408"/>
      <c r="BQ1627" s="409"/>
      <c r="BR1627" s="410"/>
      <c r="BS1627" s="408"/>
      <c r="BT1627" s="405"/>
      <c r="BU1627" s="418"/>
      <c r="BV1627" s="408"/>
      <c r="BW1627" s="404" t="s">
        <v>3117</v>
      </c>
      <c r="BX1627" s="403" t="s">
        <v>1449</v>
      </c>
      <c r="BY1627" s="404"/>
      <c r="BZ1627" s="404"/>
      <c r="CA1627" s="443"/>
      <c r="CB1627" s="409"/>
      <c r="CC1627" s="407"/>
      <c r="CD1627" s="407"/>
      <c r="CE1627" s="407"/>
      <c r="CF1627" s="407"/>
      <c r="CG1627" s="407"/>
      <c r="CH1627" s="407"/>
      <c r="CI1627" s="407"/>
      <c r="CJ1627" s="407">
        <v>34.817999999999998</v>
      </c>
      <c r="CK1627" s="407">
        <v>34.817999999999998</v>
      </c>
      <c r="CL1627" s="407">
        <v>45.942999999999998</v>
      </c>
      <c r="CM1627" s="407">
        <v>57.067</v>
      </c>
      <c r="CN1627" s="407">
        <v>57.067</v>
      </c>
      <c r="CO1627" s="407">
        <v>57.067</v>
      </c>
      <c r="CP1627" s="407">
        <v>57.067</v>
      </c>
      <c r="CQ1627" s="407"/>
      <c r="CR1627" s="407"/>
      <c r="CS1627" s="407"/>
      <c r="CT1627" s="407"/>
      <c r="CU1627" s="407"/>
      <c r="CV1627" s="407"/>
      <c r="CW1627" s="407"/>
      <c r="CX1627" s="407"/>
      <c r="CY1627" s="407"/>
      <c r="CZ1627" s="407"/>
      <c r="DA1627" s="407"/>
      <c r="DB1627" s="407"/>
      <c r="DC1627" s="407"/>
      <c r="DD1627" s="407"/>
      <c r="DE1627" s="404"/>
      <c r="DF1627" s="404"/>
      <c r="DG1627" s="404"/>
      <c r="DH1627" s="404"/>
      <c r="DI1627" s="404"/>
      <c r="DJ1627" s="404"/>
      <c r="DK1627" s="897"/>
    </row>
    <row r="1628" spans="1:115" ht="89.25" x14ac:dyDescent="0.2">
      <c r="A1628" s="295">
        <v>1624</v>
      </c>
      <c r="B1628" s="390" t="s">
        <v>5246</v>
      </c>
      <c r="C1628" s="424" t="s">
        <v>7851</v>
      </c>
      <c r="D1628" s="391" t="s">
        <v>6544</v>
      </c>
      <c r="E1628" s="705" t="s">
        <v>5247</v>
      </c>
      <c r="F1628" s="393" t="s">
        <v>1375</v>
      </c>
      <c r="G1628" s="393" t="s">
        <v>1669</v>
      </c>
      <c r="H1628" s="393" t="s">
        <v>1390</v>
      </c>
      <c r="I1628" s="392"/>
      <c r="J1628" s="392" t="s">
        <v>1390</v>
      </c>
      <c r="K1628" s="392"/>
      <c r="L1628" s="392" t="s">
        <v>5248</v>
      </c>
      <c r="M1628" s="392" t="s">
        <v>5249</v>
      </c>
      <c r="N1628" s="393" t="s">
        <v>44</v>
      </c>
      <c r="O1628" s="393" t="s">
        <v>69</v>
      </c>
      <c r="P1628" s="393" t="s">
        <v>69</v>
      </c>
      <c r="Q1628" s="392" t="s">
        <v>172</v>
      </c>
      <c r="R1628" s="392"/>
      <c r="S1628" s="392" t="s">
        <v>166</v>
      </c>
      <c r="T1628" s="394">
        <v>1</v>
      </c>
      <c r="U1628" s="395">
        <v>55.89</v>
      </c>
      <c r="V1628" s="395"/>
      <c r="W1628" s="452">
        <v>41441</v>
      </c>
      <c r="X1628" s="394">
        <v>28</v>
      </c>
      <c r="Y1628" s="394"/>
      <c r="Z1628" s="394"/>
      <c r="AA1628" s="395"/>
      <c r="AB1628" s="453"/>
      <c r="AC1628" s="398">
        <v>0</v>
      </c>
      <c r="AD1628" s="398">
        <v>391.3831232876712</v>
      </c>
      <c r="AE1628" s="393" t="s">
        <v>4584</v>
      </c>
      <c r="AF1628" s="417"/>
      <c r="AG1628" s="417"/>
      <c r="AH1628" s="417">
        <v>0</v>
      </c>
      <c r="AI1628" s="394"/>
      <c r="AJ1628" s="453"/>
      <c r="AK1628" s="453"/>
      <c r="AL1628" s="393"/>
      <c r="AM1628" s="393"/>
      <c r="AN1628" s="417"/>
      <c r="AO1628" s="392"/>
      <c r="AP1628" s="392" t="s">
        <v>55</v>
      </c>
      <c r="AQ1628" s="392"/>
      <c r="AR1628" s="392" t="s">
        <v>55</v>
      </c>
      <c r="AS1628" s="479">
        <v>41441</v>
      </c>
      <c r="AT1628" s="453"/>
      <c r="AU1628" s="453"/>
      <c r="AV1628" s="452">
        <v>41640</v>
      </c>
      <c r="AW1628" s="452">
        <v>41863</v>
      </c>
      <c r="AX1628" s="452">
        <v>41915</v>
      </c>
      <c r="AY1628" s="452">
        <v>41863</v>
      </c>
      <c r="AZ1628" s="453"/>
      <c r="BA1628" s="393"/>
      <c r="BB1628" s="393" t="s">
        <v>3116</v>
      </c>
      <c r="BC1628" s="393" t="b">
        <v>0</v>
      </c>
      <c r="BD1628" s="393" t="s">
        <v>3147</v>
      </c>
      <c r="BE1628" s="392" t="s">
        <v>6053</v>
      </c>
      <c r="BF1628" s="394">
        <v>4</v>
      </c>
      <c r="BG1628" s="394">
        <v>12</v>
      </c>
      <c r="BH1628" s="394">
        <v>5</v>
      </c>
      <c r="BI1628" s="394">
        <v>6</v>
      </c>
      <c r="BJ1628" s="394"/>
      <c r="BK1628" s="394"/>
      <c r="BL1628" s="444" t="s">
        <v>1451</v>
      </c>
      <c r="BM1628" s="392"/>
      <c r="BN1628" s="393"/>
      <c r="BO1628" s="393"/>
      <c r="BP1628" s="399"/>
      <c r="BQ1628" s="400"/>
      <c r="BR1628" s="401"/>
      <c r="BS1628" s="399">
        <v>0</v>
      </c>
      <c r="BT1628" s="394"/>
      <c r="BU1628" s="417"/>
      <c r="BV1628" s="399"/>
      <c r="BW1628" s="393"/>
      <c r="BX1628" s="392"/>
      <c r="BY1628" s="393"/>
      <c r="BZ1628" s="393" t="s">
        <v>3165</v>
      </c>
      <c r="CA1628" s="441"/>
      <c r="CB1628" s="400"/>
      <c r="CC1628" s="398"/>
      <c r="CD1628" s="398"/>
      <c r="CE1628" s="398"/>
      <c r="CF1628" s="398"/>
      <c r="CG1628" s="398"/>
      <c r="CH1628" s="398"/>
      <c r="CI1628" s="398"/>
      <c r="CJ1628" s="398"/>
      <c r="CK1628" s="398"/>
      <c r="CL1628" s="398"/>
      <c r="CM1628" s="398"/>
      <c r="CN1628" s="398"/>
      <c r="CO1628" s="398"/>
      <c r="CP1628" s="398"/>
      <c r="CQ1628" s="398"/>
      <c r="CR1628" s="398"/>
      <c r="CS1628" s="398"/>
      <c r="CT1628" s="398"/>
      <c r="CU1628" s="398"/>
      <c r="CV1628" s="398"/>
      <c r="CW1628" s="398"/>
      <c r="CX1628" s="398"/>
      <c r="CY1628" s="398"/>
      <c r="CZ1628" s="398"/>
      <c r="DA1628" s="398"/>
      <c r="DB1628" s="398"/>
      <c r="DC1628" s="398"/>
      <c r="DD1628" s="398"/>
      <c r="DE1628" s="393"/>
      <c r="DF1628" s="393"/>
      <c r="DG1628" s="393"/>
      <c r="DH1628" s="393"/>
      <c r="DI1628" s="393"/>
      <c r="DJ1628" s="393"/>
      <c r="DK1628" s="896" t="s">
        <v>9744</v>
      </c>
    </row>
    <row r="1629" spans="1:115" ht="25.5" x14ac:dyDescent="0.2">
      <c r="A1629" s="295">
        <v>1625</v>
      </c>
      <c r="B1629" s="390" t="s">
        <v>5465</v>
      </c>
      <c r="C1629" s="390"/>
      <c r="D1629" s="391" t="s">
        <v>6545</v>
      </c>
      <c r="E1629" s="704" t="s">
        <v>5250</v>
      </c>
      <c r="F1629" s="393" t="s">
        <v>1375</v>
      </c>
      <c r="G1629" s="393" t="s">
        <v>1669</v>
      </c>
      <c r="H1629" s="393" t="s">
        <v>1390</v>
      </c>
      <c r="I1629" s="392"/>
      <c r="J1629" s="392"/>
      <c r="K1629" s="392" t="s">
        <v>5251</v>
      </c>
      <c r="L1629" s="392" t="s">
        <v>5248</v>
      </c>
      <c r="M1629" s="392"/>
      <c r="N1629" s="393" t="s">
        <v>44</v>
      </c>
      <c r="O1629" s="393" t="s">
        <v>69</v>
      </c>
      <c r="P1629" s="393" t="s">
        <v>69</v>
      </c>
      <c r="Q1629" s="392" t="s">
        <v>172</v>
      </c>
      <c r="R1629" s="392" t="s">
        <v>5252</v>
      </c>
      <c r="S1629" s="392" t="s">
        <v>166</v>
      </c>
      <c r="T1629" s="394">
        <v>1</v>
      </c>
      <c r="U1629" s="395">
        <v>55.89</v>
      </c>
      <c r="V1629" s="395"/>
      <c r="W1629" s="453"/>
      <c r="X1629" s="394"/>
      <c r="Y1629" s="394">
        <v>7</v>
      </c>
      <c r="Z1629" s="394">
        <v>21</v>
      </c>
      <c r="AA1629" s="395">
        <v>0</v>
      </c>
      <c r="AB1629" s="452">
        <v>41640</v>
      </c>
      <c r="AC1629" s="398">
        <v>0</v>
      </c>
      <c r="AD1629" s="398">
        <v>391.3831232876712</v>
      </c>
      <c r="AE1629" s="393" t="s">
        <v>4584</v>
      </c>
      <c r="AF1629" s="417"/>
      <c r="AG1629" s="417"/>
      <c r="AH1629" s="417"/>
      <c r="AI1629" s="394"/>
      <c r="AJ1629" s="453"/>
      <c r="AK1629" s="453"/>
      <c r="AL1629" s="393"/>
      <c r="AM1629" s="393"/>
      <c r="AN1629" s="417"/>
      <c r="AO1629" s="392"/>
      <c r="AP1629" s="392" t="s">
        <v>55</v>
      </c>
      <c r="AQ1629" s="392"/>
      <c r="AR1629" s="392" t="s">
        <v>55</v>
      </c>
      <c r="AS1629" s="479">
        <v>41441</v>
      </c>
      <c r="AT1629" s="453"/>
      <c r="AU1629" s="453"/>
      <c r="AV1629" s="453"/>
      <c r="AW1629" s="453"/>
      <c r="AX1629" s="453"/>
      <c r="AY1629" s="453"/>
      <c r="AZ1629" s="452">
        <v>41863</v>
      </c>
      <c r="BA1629" s="393"/>
      <c r="BB1629" s="393"/>
      <c r="BC1629" s="393" t="b">
        <v>0</v>
      </c>
      <c r="BD1629" s="393"/>
      <c r="BE1629" s="392" t="s">
        <v>6053</v>
      </c>
      <c r="BF1629" s="394">
        <v>4</v>
      </c>
      <c r="BG1629" s="394">
        <v>12</v>
      </c>
      <c r="BH1629" s="394">
        <v>5</v>
      </c>
      <c r="BI1629" s="394">
        <v>6</v>
      </c>
      <c r="BJ1629" s="394"/>
      <c r="BK1629" s="394"/>
      <c r="BL1629" s="444" t="s">
        <v>1451</v>
      </c>
      <c r="BM1629" s="392"/>
      <c r="BN1629" s="393"/>
      <c r="BO1629" s="393"/>
      <c r="BP1629" s="399"/>
      <c r="BQ1629" s="400"/>
      <c r="BR1629" s="401"/>
      <c r="BS1629" s="399"/>
      <c r="BT1629" s="394"/>
      <c r="BU1629" s="417"/>
      <c r="BV1629" s="399"/>
      <c r="BW1629" s="393" t="s">
        <v>3117</v>
      </c>
      <c r="BX1629" s="392"/>
      <c r="BY1629" s="393" t="s">
        <v>7227</v>
      </c>
      <c r="BZ1629" s="475" t="s">
        <v>3165</v>
      </c>
      <c r="CA1629" s="441"/>
      <c r="CB1629" s="400"/>
      <c r="CC1629" s="398"/>
      <c r="CD1629" s="398"/>
      <c r="CE1629" s="398"/>
      <c r="CF1629" s="398"/>
      <c r="CG1629" s="398"/>
      <c r="CH1629" s="398"/>
      <c r="CI1629" s="398"/>
      <c r="CJ1629" s="398">
        <v>36.509</v>
      </c>
      <c r="CK1629" s="398">
        <v>36.509</v>
      </c>
      <c r="CL1629" s="398">
        <v>36.509</v>
      </c>
      <c r="CM1629" s="398">
        <v>36.509</v>
      </c>
      <c r="CN1629" s="398">
        <v>36.509</v>
      </c>
      <c r="CO1629" s="398">
        <v>36.509</v>
      </c>
      <c r="CP1629" s="398">
        <v>36.509</v>
      </c>
      <c r="CQ1629" s="398"/>
      <c r="CR1629" s="398"/>
      <c r="CS1629" s="398"/>
      <c r="CT1629" s="398"/>
      <c r="CU1629" s="398"/>
      <c r="CV1629" s="398"/>
      <c r="CW1629" s="398"/>
      <c r="CX1629" s="398"/>
      <c r="CY1629" s="398"/>
      <c r="CZ1629" s="398"/>
      <c r="DA1629" s="398"/>
      <c r="DB1629" s="398"/>
      <c r="DC1629" s="398"/>
      <c r="DD1629" s="398"/>
      <c r="DE1629" s="393"/>
      <c r="DF1629" s="393"/>
      <c r="DG1629" s="393"/>
      <c r="DH1629" s="393"/>
      <c r="DI1629" s="393"/>
      <c r="DJ1629" s="393"/>
      <c r="DK1629" s="897"/>
    </row>
    <row r="1630" spans="1:115" ht="51" x14ac:dyDescent="0.2">
      <c r="A1630" s="295">
        <v>1626</v>
      </c>
      <c r="B1630" s="390" t="s">
        <v>5466</v>
      </c>
      <c r="C1630" s="424" t="s">
        <v>7852</v>
      </c>
      <c r="D1630" s="391" t="s">
        <v>7031</v>
      </c>
      <c r="E1630" s="704" t="s">
        <v>5467</v>
      </c>
      <c r="F1630" s="393" t="s">
        <v>1375</v>
      </c>
      <c r="G1630" s="393" t="s">
        <v>1670</v>
      </c>
      <c r="H1630" s="393" t="s">
        <v>523</v>
      </c>
      <c r="I1630" s="392" t="s">
        <v>1085</v>
      </c>
      <c r="J1630" s="392" t="s">
        <v>5544</v>
      </c>
      <c r="K1630" s="392"/>
      <c r="L1630" s="392" t="s">
        <v>5468</v>
      </c>
      <c r="M1630" s="392" t="s">
        <v>5469</v>
      </c>
      <c r="N1630" s="393" t="s">
        <v>44</v>
      </c>
      <c r="O1630" s="393" t="s">
        <v>51</v>
      </c>
      <c r="P1630" s="393" t="s">
        <v>51</v>
      </c>
      <c r="Q1630" s="392" t="s">
        <v>976</v>
      </c>
      <c r="R1630" s="392"/>
      <c r="S1630" s="392" t="s">
        <v>166</v>
      </c>
      <c r="T1630" s="394">
        <v>2</v>
      </c>
      <c r="U1630" s="395">
        <v>72.347999999999999</v>
      </c>
      <c r="V1630" s="395"/>
      <c r="W1630" s="452">
        <v>41474</v>
      </c>
      <c r="X1630" s="394">
        <v>28</v>
      </c>
      <c r="Y1630" s="394"/>
      <c r="Z1630" s="394"/>
      <c r="AA1630" s="395"/>
      <c r="AB1630" s="453"/>
      <c r="AC1630" s="398">
        <v>0</v>
      </c>
      <c r="AD1630" s="398">
        <v>370.17413972602742</v>
      </c>
      <c r="AE1630" s="393" t="s">
        <v>82</v>
      </c>
      <c r="AF1630" s="417"/>
      <c r="AG1630" s="417"/>
      <c r="AH1630" s="417">
        <v>0</v>
      </c>
      <c r="AI1630" s="394"/>
      <c r="AJ1630" s="453"/>
      <c r="AK1630" s="453"/>
      <c r="AL1630" s="393"/>
      <c r="AM1630" s="393"/>
      <c r="AN1630" s="417"/>
      <c r="AO1630" s="392"/>
      <c r="AP1630" s="428" t="s">
        <v>9195</v>
      </c>
      <c r="AQ1630" s="392"/>
      <c r="AR1630" s="392" t="s">
        <v>55</v>
      </c>
      <c r="AS1630" s="479">
        <v>41474</v>
      </c>
      <c r="AT1630" s="453"/>
      <c r="AU1630" s="453"/>
      <c r="AV1630" s="452">
        <v>42095</v>
      </c>
      <c r="AW1630" s="452">
        <v>42054</v>
      </c>
      <c r="AX1630" s="452">
        <v>42117</v>
      </c>
      <c r="AY1630" s="452">
        <v>42054</v>
      </c>
      <c r="AZ1630" s="453"/>
      <c r="BA1630" s="393"/>
      <c r="BB1630" s="393" t="s">
        <v>3116</v>
      </c>
      <c r="BC1630" s="393" t="b">
        <v>0</v>
      </c>
      <c r="BD1630" s="393" t="s">
        <v>3116</v>
      </c>
      <c r="BE1630" s="392"/>
      <c r="BF1630" s="394">
        <v>4</v>
      </c>
      <c r="BG1630" s="394">
        <v>6</v>
      </c>
      <c r="BH1630" s="394">
        <v>8</v>
      </c>
      <c r="BI1630" s="394">
        <v>9</v>
      </c>
      <c r="BJ1630" s="394"/>
      <c r="BK1630" s="394"/>
      <c r="BL1630" s="444" t="s">
        <v>1451</v>
      </c>
      <c r="BM1630" s="392"/>
      <c r="BN1630" s="393"/>
      <c r="BO1630" s="393"/>
      <c r="BP1630" s="399"/>
      <c r="BQ1630" s="400"/>
      <c r="BR1630" s="401"/>
      <c r="BS1630" s="399">
        <v>0</v>
      </c>
      <c r="BT1630" s="394"/>
      <c r="BU1630" s="417"/>
      <c r="BV1630" s="399"/>
      <c r="BW1630" s="393"/>
      <c r="BX1630" s="392"/>
      <c r="BY1630" s="475" t="s">
        <v>7224</v>
      </c>
      <c r="BZ1630" s="393" t="s">
        <v>3165</v>
      </c>
      <c r="CA1630" s="441"/>
      <c r="CB1630" s="400"/>
      <c r="CC1630" s="398"/>
      <c r="CD1630" s="398"/>
      <c r="CE1630" s="398"/>
      <c r="CF1630" s="398"/>
      <c r="CG1630" s="398"/>
      <c r="CH1630" s="398"/>
      <c r="CI1630" s="398"/>
      <c r="CJ1630" s="398"/>
      <c r="CK1630" s="398"/>
      <c r="CL1630" s="398"/>
      <c r="CM1630" s="398"/>
      <c r="CN1630" s="398"/>
      <c r="CO1630" s="398"/>
      <c r="CP1630" s="398"/>
      <c r="CQ1630" s="398"/>
      <c r="CR1630" s="398"/>
      <c r="CS1630" s="398"/>
      <c r="CT1630" s="398"/>
      <c r="CU1630" s="398"/>
      <c r="CV1630" s="398"/>
      <c r="CW1630" s="398"/>
      <c r="CX1630" s="398"/>
      <c r="CY1630" s="398"/>
      <c r="CZ1630" s="398"/>
      <c r="DA1630" s="398"/>
      <c r="DB1630" s="398"/>
      <c r="DC1630" s="398"/>
      <c r="DD1630" s="398"/>
      <c r="DE1630" s="393"/>
      <c r="DF1630" s="393"/>
      <c r="DG1630" s="393"/>
      <c r="DH1630" s="393"/>
      <c r="DI1630" s="393"/>
      <c r="DJ1630" s="393"/>
      <c r="DK1630" s="896" t="s">
        <v>9759</v>
      </c>
    </row>
    <row r="1631" spans="1:115" ht="25.5" x14ac:dyDescent="0.2">
      <c r="A1631" s="295">
        <v>1627</v>
      </c>
      <c r="B1631" s="390" t="s">
        <v>5470</v>
      </c>
      <c r="C1631" s="390"/>
      <c r="D1631" s="391" t="s">
        <v>7032</v>
      </c>
      <c r="E1631" s="704" t="s">
        <v>5471</v>
      </c>
      <c r="F1631" s="393" t="s">
        <v>1375</v>
      </c>
      <c r="G1631" s="393" t="s">
        <v>1670</v>
      </c>
      <c r="H1631" s="393" t="s">
        <v>523</v>
      </c>
      <c r="I1631" s="392"/>
      <c r="J1631" s="392"/>
      <c r="K1631" s="392" t="s">
        <v>523</v>
      </c>
      <c r="L1631" s="392" t="s">
        <v>5468</v>
      </c>
      <c r="M1631" s="392"/>
      <c r="N1631" s="393" t="s">
        <v>44</v>
      </c>
      <c r="O1631" s="393" t="s">
        <v>51</v>
      </c>
      <c r="P1631" s="393" t="s">
        <v>51</v>
      </c>
      <c r="Q1631" s="392" t="s">
        <v>976</v>
      </c>
      <c r="R1631" s="392" t="s">
        <v>5472</v>
      </c>
      <c r="S1631" s="392" t="s">
        <v>166</v>
      </c>
      <c r="T1631" s="394">
        <v>1</v>
      </c>
      <c r="U1631" s="395">
        <v>31.337</v>
      </c>
      <c r="V1631" s="395"/>
      <c r="W1631" s="453"/>
      <c r="X1631" s="394"/>
      <c r="Y1631" s="394">
        <v>7</v>
      </c>
      <c r="Z1631" s="394">
        <v>21</v>
      </c>
      <c r="AA1631" s="395">
        <v>5.4640000000000004</v>
      </c>
      <c r="AB1631" s="452">
        <v>42083</v>
      </c>
      <c r="AC1631" s="398">
        <v>0</v>
      </c>
      <c r="AD1631" s="398">
        <v>181.41118082191781</v>
      </c>
      <c r="AE1631" s="393" t="s">
        <v>82</v>
      </c>
      <c r="AF1631" s="417"/>
      <c r="AG1631" s="417"/>
      <c r="AH1631" s="417"/>
      <c r="AI1631" s="394"/>
      <c r="AJ1631" s="453"/>
      <c r="AK1631" s="453"/>
      <c r="AL1631" s="393"/>
      <c r="AM1631" s="393"/>
      <c r="AN1631" s="417"/>
      <c r="AO1631" s="392"/>
      <c r="AP1631" s="428" t="s">
        <v>9195</v>
      </c>
      <c r="AQ1631" s="392"/>
      <c r="AR1631" s="392" t="s">
        <v>55</v>
      </c>
      <c r="AS1631" s="479">
        <v>41474</v>
      </c>
      <c r="AT1631" s="453"/>
      <c r="AU1631" s="453"/>
      <c r="AV1631" s="453"/>
      <c r="AW1631" s="453"/>
      <c r="AX1631" s="453"/>
      <c r="AY1631" s="453"/>
      <c r="AZ1631" s="452">
        <v>42054</v>
      </c>
      <c r="BA1631" s="393"/>
      <c r="BB1631" s="393"/>
      <c r="BC1631" s="393" t="b">
        <v>0</v>
      </c>
      <c r="BD1631" s="393"/>
      <c r="BE1631" s="392"/>
      <c r="BF1631" s="394">
        <v>4</v>
      </c>
      <c r="BG1631" s="394">
        <v>6</v>
      </c>
      <c r="BH1631" s="394">
        <v>8</v>
      </c>
      <c r="BI1631" s="394">
        <v>9</v>
      </c>
      <c r="BJ1631" s="394"/>
      <c r="BK1631" s="394"/>
      <c r="BL1631" s="444" t="s">
        <v>1451</v>
      </c>
      <c r="BM1631" s="392"/>
      <c r="BN1631" s="393"/>
      <c r="BO1631" s="393"/>
      <c r="BP1631" s="399"/>
      <c r="BQ1631" s="400"/>
      <c r="BR1631" s="401"/>
      <c r="BS1631" s="399"/>
      <c r="BT1631" s="394"/>
      <c r="BU1631" s="417"/>
      <c r="BV1631" s="399"/>
      <c r="BW1631" s="393"/>
      <c r="BX1631" s="392"/>
      <c r="BY1631" s="475" t="s">
        <v>7224</v>
      </c>
      <c r="BZ1631" s="475" t="s">
        <v>3165</v>
      </c>
      <c r="CA1631" s="441"/>
      <c r="CB1631" s="400"/>
      <c r="CC1631" s="398"/>
      <c r="CD1631" s="398"/>
      <c r="CE1631" s="398"/>
      <c r="CF1631" s="398"/>
      <c r="CG1631" s="398"/>
      <c r="CH1631" s="398"/>
      <c r="CI1631" s="398"/>
      <c r="CJ1631" s="398">
        <v>3.6619999999999999</v>
      </c>
      <c r="CK1631" s="398">
        <v>54.334000000000003</v>
      </c>
      <c r="CL1631" s="398">
        <v>64.150000000000006</v>
      </c>
      <c r="CM1631" s="398">
        <v>64.150000000000006</v>
      </c>
      <c r="CN1631" s="398">
        <v>64.150000000000006</v>
      </c>
      <c r="CO1631" s="398">
        <v>64.150000000000006</v>
      </c>
      <c r="CP1631" s="398">
        <v>64.150000000000006</v>
      </c>
      <c r="CQ1631" s="398"/>
      <c r="CR1631" s="398"/>
      <c r="CS1631" s="398"/>
      <c r="CT1631" s="398"/>
      <c r="CU1631" s="398"/>
      <c r="CV1631" s="398"/>
      <c r="CW1631" s="398"/>
      <c r="CX1631" s="398"/>
      <c r="CY1631" s="398"/>
      <c r="CZ1631" s="398"/>
      <c r="DA1631" s="398"/>
      <c r="DB1631" s="398"/>
      <c r="DC1631" s="398"/>
      <c r="DD1631" s="398"/>
      <c r="DE1631" s="393"/>
      <c r="DF1631" s="393"/>
      <c r="DG1631" s="393"/>
      <c r="DH1631" s="393"/>
      <c r="DI1631" s="393"/>
      <c r="DJ1631" s="393"/>
      <c r="DK1631" s="897"/>
    </row>
    <row r="1632" spans="1:115" ht="25.5" x14ac:dyDescent="0.2">
      <c r="A1632" s="295">
        <v>1628</v>
      </c>
      <c r="B1632" s="449" t="s">
        <v>9118</v>
      </c>
      <c r="C1632" s="390"/>
      <c r="D1632" s="474" t="s">
        <v>9119</v>
      </c>
      <c r="E1632" s="705" t="s">
        <v>9120</v>
      </c>
      <c r="F1632" s="393" t="s">
        <v>1375</v>
      </c>
      <c r="G1632" s="393" t="s">
        <v>1670</v>
      </c>
      <c r="H1632" s="393" t="s">
        <v>523</v>
      </c>
      <c r="I1632" s="392"/>
      <c r="J1632" s="392"/>
      <c r="K1632" s="392" t="s">
        <v>523</v>
      </c>
      <c r="L1632" s="392" t="s">
        <v>5468</v>
      </c>
      <c r="M1632" s="392"/>
      <c r="N1632" s="393" t="s">
        <v>44</v>
      </c>
      <c r="O1632" s="393" t="s">
        <v>51</v>
      </c>
      <c r="P1632" s="393" t="s">
        <v>51</v>
      </c>
      <c r="Q1632" s="392" t="s">
        <v>976</v>
      </c>
      <c r="R1632" s="428" t="s">
        <v>9121</v>
      </c>
      <c r="S1632" s="392" t="s">
        <v>166</v>
      </c>
      <c r="T1632" s="394">
        <v>1</v>
      </c>
      <c r="U1632" s="395">
        <v>41.011000000000003</v>
      </c>
      <c r="V1632" s="395"/>
      <c r="W1632" s="453"/>
      <c r="X1632" s="394"/>
      <c r="Y1632" s="394">
        <v>7</v>
      </c>
      <c r="Z1632" s="394">
        <v>21</v>
      </c>
      <c r="AA1632" s="395">
        <v>5.4640000000000004</v>
      </c>
      <c r="AB1632" s="452">
        <v>42516</v>
      </c>
      <c r="AC1632" s="398">
        <v>0</v>
      </c>
      <c r="AD1632" s="398">
        <v>188.76295890410961</v>
      </c>
      <c r="AE1632" s="393" t="s">
        <v>82</v>
      </c>
      <c r="AF1632" s="417"/>
      <c r="AG1632" s="417"/>
      <c r="AH1632" s="417"/>
      <c r="AI1632" s="394"/>
      <c r="AJ1632" s="453"/>
      <c r="AK1632" s="453"/>
      <c r="AL1632" s="393"/>
      <c r="AM1632" s="393"/>
      <c r="AN1632" s="417"/>
      <c r="AO1632" s="392"/>
      <c r="AP1632" s="428" t="s">
        <v>9195</v>
      </c>
      <c r="AQ1632" s="392"/>
      <c r="AR1632" s="392" t="s">
        <v>55</v>
      </c>
      <c r="AS1632" s="479">
        <v>41474</v>
      </c>
      <c r="AT1632" s="453"/>
      <c r="AU1632" s="453"/>
      <c r="AV1632" s="453"/>
      <c r="AW1632" s="453"/>
      <c r="AX1632" s="453"/>
      <c r="AY1632" s="453"/>
      <c r="AZ1632" s="452">
        <v>42881</v>
      </c>
      <c r="BA1632" s="393"/>
      <c r="BB1632" s="393"/>
      <c r="BC1632" s="393" t="b">
        <v>0</v>
      </c>
      <c r="BD1632" s="393"/>
      <c r="BE1632" s="392"/>
      <c r="BF1632" s="394">
        <v>4</v>
      </c>
      <c r="BG1632" s="394">
        <v>6</v>
      </c>
      <c r="BH1632" s="394">
        <v>8</v>
      </c>
      <c r="BI1632" s="394">
        <v>9</v>
      </c>
      <c r="BJ1632" s="394"/>
      <c r="BK1632" s="394"/>
      <c r="BL1632" s="444" t="s">
        <v>1451</v>
      </c>
      <c r="BM1632" s="392"/>
      <c r="BN1632" s="393"/>
      <c r="BO1632" s="393"/>
      <c r="BP1632" s="399"/>
      <c r="BQ1632" s="400"/>
      <c r="BR1632" s="401"/>
      <c r="BS1632" s="399"/>
      <c r="BT1632" s="394"/>
      <c r="BU1632" s="417"/>
      <c r="BV1632" s="399"/>
      <c r="BW1632" s="393"/>
      <c r="BX1632" s="392"/>
      <c r="BY1632" s="475" t="s">
        <v>7224</v>
      </c>
      <c r="BZ1632" s="475" t="s">
        <v>3165</v>
      </c>
      <c r="CA1632" s="441"/>
      <c r="CB1632" s="400"/>
      <c r="CC1632" s="398"/>
      <c r="CD1632" s="398"/>
      <c r="CE1632" s="398"/>
      <c r="CF1632" s="398"/>
      <c r="CG1632" s="398"/>
      <c r="CH1632" s="398"/>
      <c r="CI1632" s="398"/>
      <c r="CJ1632" s="398"/>
      <c r="CK1632" s="398"/>
      <c r="CL1632" s="398">
        <v>16.881</v>
      </c>
      <c r="CM1632" s="398">
        <v>41.231000000000002</v>
      </c>
      <c r="CN1632" s="398">
        <v>45.793999999999997</v>
      </c>
      <c r="CO1632" s="398">
        <v>45.793999999999997</v>
      </c>
      <c r="CP1632" s="398">
        <v>45.793999999999997</v>
      </c>
      <c r="CQ1632" s="398">
        <v>45.793999999999997</v>
      </c>
      <c r="CR1632" s="398">
        <v>45.793999999999997</v>
      </c>
      <c r="CS1632" s="398"/>
      <c r="CT1632" s="398"/>
      <c r="CU1632" s="398"/>
      <c r="CV1632" s="398"/>
      <c r="CW1632" s="398"/>
      <c r="CX1632" s="398"/>
      <c r="CY1632" s="398"/>
      <c r="CZ1632" s="398"/>
      <c r="DA1632" s="398"/>
      <c r="DB1632" s="398"/>
      <c r="DC1632" s="398"/>
      <c r="DD1632" s="398"/>
      <c r="DE1632" s="393"/>
      <c r="DF1632" s="393"/>
      <c r="DG1632" s="393"/>
      <c r="DH1632" s="393"/>
      <c r="DI1632" s="393"/>
      <c r="DJ1632" s="393"/>
      <c r="DK1632" s="897"/>
    </row>
    <row r="1633" spans="1:115" ht="51" x14ac:dyDescent="0.2">
      <c r="A1633" s="295">
        <v>1629</v>
      </c>
      <c r="B1633" s="390" t="s">
        <v>5545</v>
      </c>
      <c r="C1633" s="424" t="s">
        <v>7853</v>
      </c>
      <c r="D1633" s="391" t="s">
        <v>6165</v>
      </c>
      <c r="E1633" s="704" t="s">
        <v>5546</v>
      </c>
      <c r="F1633" s="393" t="s">
        <v>1375</v>
      </c>
      <c r="G1633" s="393" t="s">
        <v>1670</v>
      </c>
      <c r="H1633" s="393" t="s">
        <v>1385</v>
      </c>
      <c r="I1633" s="392" t="s">
        <v>1699</v>
      </c>
      <c r="J1633" s="392" t="s">
        <v>5547</v>
      </c>
      <c r="K1633" s="392"/>
      <c r="L1633" s="392" t="s">
        <v>5548</v>
      </c>
      <c r="M1633" s="392" t="s">
        <v>5549</v>
      </c>
      <c r="N1633" s="393" t="s">
        <v>44</v>
      </c>
      <c r="O1633" s="393" t="s">
        <v>51</v>
      </c>
      <c r="P1633" s="393" t="s">
        <v>51</v>
      </c>
      <c r="Q1633" s="392" t="s">
        <v>976</v>
      </c>
      <c r="R1633" s="392"/>
      <c r="S1633" s="392" t="s">
        <v>977</v>
      </c>
      <c r="T1633" s="394">
        <v>1</v>
      </c>
      <c r="U1633" s="395">
        <v>32.881</v>
      </c>
      <c r="V1633" s="395"/>
      <c r="W1633" s="452">
        <v>41323</v>
      </c>
      <c r="X1633" s="394">
        <v>28</v>
      </c>
      <c r="Y1633" s="394"/>
      <c r="Z1633" s="394"/>
      <c r="AA1633" s="395"/>
      <c r="AB1633" s="453"/>
      <c r="AC1633" s="398">
        <v>0</v>
      </c>
      <c r="AD1633" s="398">
        <v>233.13980273972604</v>
      </c>
      <c r="AE1633" s="393" t="s">
        <v>54</v>
      </c>
      <c r="AF1633" s="417"/>
      <c r="AG1633" s="417"/>
      <c r="AH1633" s="417">
        <v>2.7469999999999999</v>
      </c>
      <c r="AI1633" s="394"/>
      <c r="AJ1633" s="453"/>
      <c r="AK1633" s="453"/>
      <c r="AL1633" s="393"/>
      <c r="AM1633" s="393"/>
      <c r="AN1633" s="417"/>
      <c r="AO1633" s="392"/>
      <c r="AP1633" s="428" t="s">
        <v>9195</v>
      </c>
      <c r="AQ1633" s="392"/>
      <c r="AR1633" s="392" t="s">
        <v>55</v>
      </c>
      <c r="AS1633" s="479">
        <v>41492</v>
      </c>
      <c r="AT1633" s="453"/>
      <c r="AU1633" s="453"/>
      <c r="AV1633" s="452">
        <v>41586</v>
      </c>
      <c r="AW1633" s="452">
        <v>41780</v>
      </c>
      <c r="AX1633" s="452">
        <v>41838</v>
      </c>
      <c r="AY1633" s="452">
        <v>41780</v>
      </c>
      <c r="AZ1633" s="453"/>
      <c r="BA1633" s="393"/>
      <c r="BB1633" s="393" t="s">
        <v>3147</v>
      </c>
      <c r="BC1633" s="393" t="b">
        <v>0</v>
      </c>
      <c r="BD1633" s="393" t="s">
        <v>3147</v>
      </c>
      <c r="BE1633" s="392" t="s">
        <v>6245</v>
      </c>
      <c r="BF1633" s="394">
        <v>4</v>
      </c>
      <c r="BG1633" s="394">
        <v>9</v>
      </c>
      <c r="BH1633" s="394">
        <v>6</v>
      </c>
      <c r="BI1633" s="394"/>
      <c r="BJ1633" s="394"/>
      <c r="BK1633" s="394"/>
      <c r="BL1633" s="444" t="s">
        <v>6983</v>
      </c>
      <c r="BM1633" s="392"/>
      <c r="BN1633" s="393"/>
      <c r="BO1633" s="393"/>
      <c r="BP1633" s="399"/>
      <c r="BQ1633" s="400"/>
      <c r="BR1633" s="401"/>
      <c r="BS1633" s="399">
        <v>0</v>
      </c>
      <c r="BT1633" s="394"/>
      <c r="BU1633" s="417"/>
      <c r="BV1633" s="399"/>
      <c r="BW1633" s="393"/>
      <c r="BX1633" s="392"/>
      <c r="BY1633" s="475" t="s">
        <v>7227</v>
      </c>
      <c r="BZ1633" s="393"/>
      <c r="CA1633" s="441"/>
      <c r="CB1633" s="400"/>
      <c r="CC1633" s="398"/>
      <c r="CD1633" s="398"/>
      <c r="CE1633" s="398"/>
      <c r="CF1633" s="398"/>
      <c r="CG1633" s="398"/>
      <c r="CH1633" s="398"/>
      <c r="CI1633" s="398"/>
      <c r="CJ1633" s="398"/>
      <c r="CK1633" s="398"/>
      <c r="CL1633" s="398"/>
      <c r="CM1633" s="398"/>
      <c r="CN1633" s="398"/>
      <c r="CO1633" s="398"/>
      <c r="CP1633" s="398"/>
      <c r="CQ1633" s="398"/>
      <c r="CR1633" s="398"/>
      <c r="CS1633" s="398"/>
      <c r="CT1633" s="398"/>
      <c r="CU1633" s="398"/>
      <c r="CV1633" s="398"/>
      <c r="CW1633" s="398"/>
      <c r="CX1633" s="398"/>
      <c r="CY1633" s="398"/>
      <c r="CZ1633" s="398"/>
      <c r="DA1633" s="398"/>
      <c r="DB1633" s="398"/>
      <c r="DC1633" s="398"/>
      <c r="DD1633" s="398"/>
      <c r="DE1633" s="393"/>
      <c r="DF1633" s="393"/>
      <c r="DG1633" s="393"/>
      <c r="DH1633" s="393"/>
      <c r="DI1633" s="393"/>
      <c r="DJ1633" s="393"/>
      <c r="DK1633" s="896" t="s">
        <v>9733</v>
      </c>
    </row>
    <row r="1634" spans="1:115" ht="25.5" x14ac:dyDescent="0.2">
      <c r="A1634" s="295">
        <v>1630</v>
      </c>
      <c r="B1634" s="390" t="s">
        <v>5550</v>
      </c>
      <c r="C1634" s="390"/>
      <c r="D1634" s="391" t="s">
        <v>6166</v>
      </c>
      <c r="E1634" s="704" t="s">
        <v>5551</v>
      </c>
      <c r="F1634" s="393" t="s">
        <v>1375</v>
      </c>
      <c r="G1634" s="393" t="s">
        <v>1670</v>
      </c>
      <c r="H1634" s="393" t="s">
        <v>1385</v>
      </c>
      <c r="I1634" s="392"/>
      <c r="J1634" s="392"/>
      <c r="K1634" s="392" t="s">
        <v>5552</v>
      </c>
      <c r="L1634" s="392" t="s">
        <v>5548</v>
      </c>
      <c r="M1634" s="392"/>
      <c r="N1634" s="393" t="s">
        <v>44</v>
      </c>
      <c r="O1634" s="393" t="s">
        <v>51</v>
      </c>
      <c r="P1634" s="393" t="s">
        <v>51</v>
      </c>
      <c r="Q1634" s="392" t="s">
        <v>976</v>
      </c>
      <c r="R1634" s="392" t="s">
        <v>5553</v>
      </c>
      <c r="S1634" s="392" t="s">
        <v>977</v>
      </c>
      <c r="T1634" s="394">
        <v>1</v>
      </c>
      <c r="U1634" s="395">
        <v>32.881</v>
      </c>
      <c r="V1634" s="395"/>
      <c r="W1634" s="453"/>
      <c r="X1634" s="394"/>
      <c r="Y1634" s="394">
        <v>7</v>
      </c>
      <c r="Z1634" s="394">
        <v>7</v>
      </c>
      <c r="AA1634" s="395">
        <v>0</v>
      </c>
      <c r="AB1634" s="452">
        <v>41608</v>
      </c>
      <c r="AC1634" s="398">
        <v>0</v>
      </c>
      <c r="AD1634" s="398">
        <v>233.13980273972604</v>
      </c>
      <c r="AE1634" s="393" t="s">
        <v>54</v>
      </c>
      <c r="AF1634" s="417"/>
      <c r="AG1634" s="417">
        <v>2.7469999999999999</v>
      </c>
      <c r="AH1634" s="417">
        <v>2.7469999999999999</v>
      </c>
      <c r="AI1634" s="394"/>
      <c r="AJ1634" s="453">
        <v>42726</v>
      </c>
      <c r="AK1634" s="453">
        <v>42369</v>
      </c>
      <c r="AL1634" s="393"/>
      <c r="AM1634" s="393"/>
      <c r="AN1634" s="417"/>
      <c r="AO1634" s="392"/>
      <c r="AP1634" s="428" t="s">
        <v>9195</v>
      </c>
      <c r="AQ1634" s="392"/>
      <c r="AR1634" s="392" t="s">
        <v>55</v>
      </c>
      <c r="AS1634" s="479">
        <v>41492</v>
      </c>
      <c r="AT1634" s="453"/>
      <c r="AU1634" s="453"/>
      <c r="AV1634" s="453"/>
      <c r="AW1634" s="453"/>
      <c r="AX1634" s="453"/>
      <c r="AY1634" s="453"/>
      <c r="AZ1634" s="452">
        <v>41780</v>
      </c>
      <c r="BA1634" s="393"/>
      <c r="BB1634" s="393"/>
      <c r="BC1634" s="393" t="b">
        <v>0</v>
      </c>
      <c r="BD1634" s="393"/>
      <c r="BE1634" s="392"/>
      <c r="BF1634" s="394">
        <v>4</v>
      </c>
      <c r="BG1634" s="394">
        <v>9</v>
      </c>
      <c r="BH1634" s="394">
        <v>6</v>
      </c>
      <c r="BI1634" s="394"/>
      <c r="BJ1634" s="394"/>
      <c r="BK1634" s="394"/>
      <c r="BL1634" s="444" t="s">
        <v>6983</v>
      </c>
      <c r="BM1634" s="392"/>
      <c r="BN1634" s="393"/>
      <c r="BO1634" s="393"/>
      <c r="BP1634" s="399"/>
      <c r="BQ1634" s="400"/>
      <c r="BR1634" s="401"/>
      <c r="BS1634" s="399"/>
      <c r="BT1634" s="394"/>
      <c r="BU1634" s="417"/>
      <c r="BV1634" s="399"/>
      <c r="BW1634" s="393" t="s">
        <v>3165</v>
      </c>
      <c r="BX1634" s="392" t="s">
        <v>4004</v>
      </c>
      <c r="BY1634" s="475" t="s">
        <v>7227</v>
      </c>
      <c r="BZ1634" s="393"/>
      <c r="CA1634" s="441"/>
      <c r="CB1634" s="400"/>
      <c r="CC1634" s="398"/>
      <c r="CD1634" s="398"/>
      <c r="CE1634" s="398"/>
      <c r="CF1634" s="398"/>
      <c r="CG1634" s="398"/>
      <c r="CH1634" s="398"/>
      <c r="CI1634" s="398"/>
      <c r="CJ1634" s="398">
        <v>24.263999999999999</v>
      </c>
      <c r="CK1634" s="398">
        <v>29.058</v>
      </c>
      <c r="CL1634" s="398">
        <v>29.058</v>
      </c>
      <c r="CM1634" s="398">
        <v>29.058</v>
      </c>
      <c r="CN1634" s="398">
        <v>29.058</v>
      </c>
      <c r="CO1634" s="398">
        <v>29.058</v>
      </c>
      <c r="CP1634" s="398">
        <v>29.058</v>
      </c>
      <c r="CQ1634" s="398"/>
      <c r="CR1634" s="398"/>
      <c r="CS1634" s="398"/>
      <c r="CT1634" s="398"/>
      <c r="CU1634" s="398"/>
      <c r="CV1634" s="398"/>
      <c r="CW1634" s="398"/>
      <c r="CX1634" s="398"/>
      <c r="CY1634" s="398"/>
      <c r="CZ1634" s="398"/>
      <c r="DA1634" s="398"/>
      <c r="DB1634" s="398"/>
      <c r="DC1634" s="398"/>
      <c r="DD1634" s="398"/>
      <c r="DE1634" s="393"/>
      <c r="DF1634" s="393"/>
      <c r="DG1634" s="393"/>
      <c r="DH1634" s="393"/>
      <c r="DI1634" s="393"/>
      <c r="DJ1634" s="393"/>
      <c r="DK1634" s="897"/>
    </row>
    <row r="1635" spans="1:115" ht="63.75" x14ac:dyDescent="0.2">
      <c r="A1635" s="295">
        <v>1631</v>
      </c>
      <c r="B1635" s="390" t="s">
        <v>5554</v>
      </c>
      <c r="C1635" s="424" t="s">
        <v>7854</v>
      </c>
      <c r="D1635" s="391" t="s">
        <v>6134</v>
      </c>
      <c r="E1635" s="705" t="s">
        <v>5555</v>
      </c>
      <c r="F1635" s="393" t="s">
        <v>1375</v>
      </c>
      <c r="G1635" s="393" t="s">
        <v>998</v>
      </c>
      <c r="H1635" s="393" t="s">
        <v>1059</v>
      </c>
      <c r="I1635" s="392" t="s">
        <v>245</v>
      </c>
      <c r="J1635" s="392" t="s">
        <v>4097</v>
      </c>
      <c r="K1635" s="392"/>
      <c r="L1635" s="392" t="s">
        <v>3031</v>
      </c>
      <c r="M1635" s="392" t="s">
        <v>5556</v>
      </c>
      <c r="N1635" s="393" t="s">
        <v>44</v>
      </c>
      <c r="O1635" s="393" t="s">
        <v>34</v>
      </c>
      <c r="P1635" s="393" t="s">
        <v>34</v>
      </c>
      <c r="Q1635" s="392" t="s">
        <v>1145</v>
      </c>
      <c r="R1635" s="392"/>
      <c r="S1635" s="392" t="s">
        <v>912</v>
      </c>
      <c r="T1635" s="394">
        <v>22</v>
      </c>
      <c r="U1635" s="395">
        <v>719.09200000000033</v>
      </c>
      <c r="V1635" s="395"/>
      <c r="W1635" s="452">
        <v>41503</v>
      </c>
      <c r="X1635" s="394">
        <v>28</v>
      </c>
      <c r="Y1635" s="394"/>
      <c r="Z1635" s="394"/>
      <c r="AA1635" s="395"/>
      <c r="AB1635" s="453"/>
      <c r="AC1635" s="398">
        <v>0</v>
      </c>
      <c r="AD1635" s="398">
        <v>2386.4331178082189</v>
      </c>
      <c r="AE1635" s="393" t="s">
        <v>787</v>
      </c>
      <c r="AF1635" s="417"/>
      <c r="AG1635" s="417"/>
      <c r="AH1635" s="417">
        <v>0</v>
      </c>
      <c r="AI1635" s="394"/>
      <c r="AJ1635" s="453"/>
      <c r="AK1635" s="453"/>
      <c r="AL1635" s="393"/>
      <c r="AM1635" s="393"/>
      <c r="AN1635" s="417"/>
      <c r="AO1635" s="392"/>
      <c r="AP1635" s="428" t="s">
        <v>8116</v>
      </c>
      <c r="AQ1635" s="392"/>
      <c r="AR1635" s="392" t="s">
        <v>55</v>
      </c>
      <c r="AS1635" s="479">
        <v>41503</v>
      </c>
      <c r="AT1635" s="453"/>
      <c r="AU1635" s="453"/>
      <c r="AV1635" s="452">
        <v>41162</v>
      </c>
      <c r="AW1635" s="452">
        <v>41759</v>
      </c>
      <c r="AX1635" s="453"/>
      <c r="AY1635" s="452">
        <v>41760</v>
      </c>
      <c r="AZ1635" s="453"/>
      <c r="BA1635" s="393"/>
      <c r="BB1635" s="393" t="s">
        <v>3147</v>
      </c>
      <c r="BC1635" s="393" t="b">
        <v>0</v>
      </c>
      <c r="BD1635" s="393" t="s">
        <v>3147</v>
      </c>
      <c r="BE1635" s="392"/>
      <c r="BF1635" s="394">
        <v>4</v>
      </c>
      <c r="BG1635" s="394">
        <v>1</v>
      </c>
      <c r="BH1635" s="394">
        <v>6</v>
      </c>
      <c r="BI1635" s="394">
        <v>9</v>
      </c>
      <c r="BJ1635" s="394">
        <v>10</v>
      </c>
      <c r="BK1635" s="394">
        <v>5</v>
      </c>
      <c r="BL1635" s="444" t="s">
        <v>6981</v>
      </c>
      <c r="BM1635" s="392"/>
      <c r="BN1635" s="393"/>
      <c r="BO1635" s="393"/>
      <c r="BP1635" s="399"/>
      <c r="BQ1635" s="400"/>
      <c r="BR1635" s="401"/>
      <c r="BS1635" s="399">
        <v>0</v>
      </c>
      <c r="BT1635" s="394"/>
      <c r="BU1635" s="417"/>
      <c r="BV1635" s="399"/>
      <c r="BW1635" s="393"/>
      <c r="BX1635" s="392"/>
      <c r="BY1635" s="475" t="s">
        <v>7227</v>
      </c>
      <c r="BZ1635" s="393" t="s">
        <v>3165</v>
      </c>
      <c r="CA1635" s="441"/>
      <c r="CB1635" s="400"/>
      <c r="CC1635" s="398"/>
      <c r="CD1635" s="398"/>
      <c r="CE1635" s="398"/>
      <c r="CF1635" s="398"/>
      <c r="CG1635" s="398"/>
      <c r="CH1635" s="398"/>
      <c r="CI1635" s="398"/>
      <c r="CJ1635" s="398"/>
      <c r="CK1635" s="398"/>
      <c r="CL1635" s="398"/>
      <c r="CM1635" s="398"/>
      <c r="CN1635" s="398"/>
      <c r="CO1635" s="398"/>
      <c r="CP1635" s="398"/>
      <c r="CQ1635" s="398"/>
      <c r="CR1635" s="398"/>
      <c r="CS1635" s="398"/>
      <c r="CT1635" s="398"/>
      <c r="CU1635" s="398"/>
      <c r="CV1635" s="398"/>
      <c r="CW1635" s="398"/>
      <c r="CX1635" s="398"/>
      <c r="CY1635" s="398"/>
      <c r="CZ1635" s="398"/>
      <c r="DA1635" s="398"/>
      <c r="DB1635" s="398"/>
      <c r="DC1635" s="398"/>
      <c r="DD1635" s="398"/>
      <c r="DE1635" s="393"/>
      <c r="DF1635" s="393"/>
      <c r="DG1635" s="393"/>
      <c r="DH1635" s="393"/>
      <c r="DI1635" s="393"/>
      <c r="DJ1635" s="393"/>
      <c r="DK1635" s="896" t="s">
        <v>9715</v>
      </c>
    </row>
    <row r="1636" spans="1:115" ht="25.5" x14ac:dyDescent="0.2">
      <c r="A1636" s="295">
        <v>1632</v>
      </c>
      <c r="B1636" s="390" t="s">
        <v>5557</v>
      </c>
      <c r="C1636" s="390"/>
      <c r="D1636" s="391" t="s">
        <v>6135</v>
      </c>
      <c r="E1636" s="704" t="s">
        <v>6136</v>
      </c>
      <c r="F1636" s="393" t="s">
        <v>1375</v>
      </c>
      <c r="G1636" s="393" t="s">
        <v>998</v>
      </c>
      <c r="H1636" s="393" t="s">
        <v>1059</v>
      </c>
      <c r="I1636" s="392"/>
      <c r="J1636" s="392" t="s">
        <v>1059</v>
      </c>
      <c r="K1636" s="392" t="s">
        <v>5558</v>
      </c>
      <c r="L1636" s="392" t="s">
        <v>3031</v>
      </c>
      <c r="M1636" s="392"/>
      <c r="N1636" s="393" t="s">
        <v>44</v>
      </c>
      <c r="O1636" s="393" t="s">
        <v>34</v>
      </c>
      <c r="P1636" s="393" t="s">
        <v>34</v>
      </c>
      <c r="Q1636" s="392" t="s">
        <v>1145</v>
      </c>
      <c r="R1636" s="392" t="s">
        <v>5559</v>
      </c>
      <c r="S1636" s="392" t="s">
        <v>912</v>
      </c>
      <c r="T1636" s="394">
        <v>1</v>
      </c>
      <c r="U1636" s="395">
        <v>13.582000000000001</v>
      </c>
      <c r="V1636" s="395"/>
      <c r="W1636" s="453"/>
      <c r="X1636" s="394"/>
      <c r="Y1636" s="394">
        <v>7</v>
      </c>
      <c r="Z1636" s="394">
        <v>21</v>
      </c>
      <c r="AA1636" s="395">
        <v>3.14</v>
      </c>
      <c r="AB1636" s="452">
        <v>41789</v>
      </c>
      <c r="AC1636" s="398">
        <v>0</v>
      </c>
      <c r="AD1636" s="398">
        <v>89.566778082191789</v>
      </c>
      <c r="AE1636" s="393" t="s">
        <v>787</v>
      </c>
      <c r="AF1636" s="417"/>
      <c r="AG1636" s="417"/>
      <c r="AH1636" s="417"/>
      <c r="AI1636" s="394"/>
      <c r="AJ1636" s="453"/>
      <c r="AK1636" s="453"/>
      <c r="AL1636" s="393"/>
      <c r="AM1636" s="393"/>
      <c r="AN1636" s="417"/>
      <c r="AO1636" s="392"/>
      <c r="AP1636" s="428" t="s">
        <v>8116</v>
      </c>
      <c r="AQ1636" s="392"/>
      <c r="AR1636" s="392" t="s">
        <v>55</v>
      </c>
      <c r="AS1636" s="479">
        <v>41503</v>
      </c>
      <c r="AT1636" s="453"/>
      <c r="AU1636" s="453"/>
      <c r="AV1636" s="453"/>
      <c r="AW1636" s="453"/>
      <c r="AX1636" s="453"/>
      <c r="AY1636" s="453"/>
      <c r="AZ1636" s="452">
        <v>41760</v>
      </c>
      <c r="BA1636" s="393"/>
      <c r="BB1636" s="393"/>
      <c r="BC1636" s="393" t="b">
        <v>0</v>
      </c>
      <c r="BD1636" s="393"/>
      <c r="BE1636" s="392"/>
      <c r="BF1636" s="394">
        <v>4</v>
      </c>
      <c r="BG1636" s="394">
        <v>1</v>
      </c>
      <c r="BH1636" s="394">
        <v>6</v>
      </c>
      <c r="BI1636" s="394">
        <v>9</v>
      </c>
      <c r="BJ1636" s="394">
        <v>10</v>
      </c>
      <c r="BK1636" s="394">
        <v>5</v>
      </c>
      <c r="BL1636" s="444" t="s">
        <v>6981</v>
      </c>
      <c r="BM1636" s="392"/>
      <c r="BN1636" s="393"/>
      <c r="BO1636" s="393"/>
      <c r="BP1636" s="399"/>
      <c r="BQ1636" s="400"/>
      <c r="BR1636" s="401"/>
      <c r="BS1636" s="399"/>
      <c r="BT1636" s="394"/>
      <c r="BU1636" s="417"/>
      <c r="BV1636" s="399"/>
      <c r="BW1636" s="393" t="s">
        <v>3117</v>
      </c>
      <c r="BX1636" s="392"/>
      <c r="BY1636" s="475" t="s">
        <v>7227</v>
      </c>
      <c r="BZ1636" s="393" t="s">
        <v>3165</v>
      </c>
      <c r="CA1636" s="441"/>
      <c r="CB1636" s="400"/>
      <c r="CC1636" s="398"/>
      <c r="CD1636" s="398"/>
      <c r="CE1636" s="398"/>
      <c r="CF1636" s="398"/>
      <c r="CG1636" s="398"/>
      <c r="CH1636" s="398"/>
      <c r="CI1636" s="398"/>
      <c r="CJ1636" s="398">
        <v>0.876</v>
      </c>
      <c r="CK1636" s="398">
        <v>4.3810000000000002</v>
      </c>
      <c r="CL1636" s="398">
        <v>10.715</v>
      </c>
      <c r="CM1636" s="398">
        <v>19.715</v>
      </c>
      <c r="CN1636" s="398">
        <v>19.715</v>
      </c>
      <c r="CO1636" s="398">
        <v>19.715</v>
      </c>
      <c r="CP1636" s="398">
        <v>19.715</v>
      </c>
      <c r="CQ1636" s="398"/>
      <c r="CR1636" s="398"/>
      <c r="CS1636" s="398"/>
      <c r="CT1636" s="398"/>
      <c r="CU1636" s="398"/>
      <c r="CV1636" s="398"/>
      <c r="CW1636" s="398"/>
      <c r="CX1636" s="398"/>
      <c r="CY1636" s="398"/>
      <c r="CZ1636" s="398"/>
      <c r="DA1636" s="398"/>
      <c r="DB1636" s="398"/>
      <c r="DC1636" s="398"/>
      <c r="DD1636" s="398"/>
      <c r="DE1636" s="393"/>
      <c r="DF1636" s="393"/>
      <c r="DG1636" s="393"/>
      <c r="DH1636" s="393"/>
      <c r="DI1636" s="393"/>
      <c r="DJ1636" s="393"/>
      <c r="DK1636" s="897"/>
    </row>
    <row r="1637" spans="1:115" ht="25.5" x14ac:dyDescent="0.2">
      <c r="A1637" s="295">
        <v>1633</v>
      </c>
      <c r="B1637" s="390" t="s">
        <v>6137</v>
      </c>
      <c r="C1637" s="390"/>
      <c r="D1637" s="391" t="s">
        <v>6138</v>
      </c>
      <c r="E1637" s="704" t="s">
        <v>6139</v>
      </c>
      <c r="F1637" s="393" t="s">
        <v>1375</v>
      </c>
      <c r="G1637" s="393" t="s">
        <v>998</v>
      </c>
      <c r="H1637" s="393" t="s">
        <v>245</v>
      </c>
      <c r="I1637" s="392"/>
      <c r="J1637" s="392" t="s">
        <v>245</v>
      </c>
      <c r="K1637" s="392" t="s">
        <v>6140</v>
      </c>
      <c r="L1637" s="392" t="s">
        <v>3031</v>
      </c>
      <c r="M1637" s="392"/>
      <c r="N1637" s="393" t="s">
        <v>44</v>
      </c>
      <c r="O1637" s="393" t="s">
        <v>34</v>
      </c>
      <c r="P1637" s="393" t="s">
        <v>34</v>
      </c>
      <c r="Q1637" s="392" t="s">
        <v>1145</v>
      </c>
      <c r="R1637" s="392" t="s">
        <v>5559</v>
      </c>
      <c r="S1637" s="392" t="s">
        <v>912</v>
      </c>
      <c r="T1637" s="394">
        <v>1</v>
      </c>
      <c r="U1637" s="395">
        <v>12.856</v>
      </c>
      <c r="V1637" s="395"/>
      <c r="W1637" s="453"/>
      <c r="X1637" s="394"/>
      <c r="Y1637" s="394">
        <v>7</v>
      </c>
      <c r="Z1637" s="394">
        <v>21</v>
      </c>
      <c r="AA1637" s="395">
        <v>1.95</v>
      </c>
      <c r="AB1637" s="452">
        <v>41789</v>
      </c>
      <c r="AC1637" s="398">
        <v>0</v>
      </c>
      <c r="AD1637" s="398">
        <v>84.779156164383565</v>
      </c>
      <c r="AE1637" s="393" t="s">
        <v>787</v>
      </c>
      <c r="AF1637" s="417"/>
      <c r="AG1637" s="417"/>
      <c r="AH1637" s="417"/>
      <c r="AI1637" s="394"/>
      <c r="AJ1637" s="453"/>
      <c r="AK1637" s="453"/>
      <c r="AL1637" s="393"/>
      <c r="AM1637" s="393"/>
      <c r="AN1637" s="417"/>
      <c r="AO1637" s="392"/>
      <c r="AP1637" s="428" t="s">
        <v>8116</v>
      </c>
      <c r="AQ1637" s="392"/>
      <c r="AR1637" s="392" t="s">
        <v>55</v>
      </c>
      <c r="AS1637" s="479">
        <v>41503</v>
      </c>
      <c r="AT1637" s="453"/>
      <c r="AU1637" s="453"/>
      <c r="AV1637" s="453"/>
      <c r="AW1637" s="453"/>
      <c r="AX1637" s="453"/>
      <c r="AY1637" s="453"/>
      <c r="AZ1637" s="452">
        <v>41760</v>
      </c>
      <c r="BA1637" s="393"/>
      <c r="BB1637" s="393"/>
      <c r="BC1637" s="393" t="b">
        <v>0</v>
      </c>
      <c r="BD1637" s="393"/>
      <c r="BE1637" s="392"/>
      <c r="BF1637" s="394">
        <v>4</v>
      </c>
      <c r="BG1637" s="394">
        <v>1</v>
      </c>
      <c r="BH1637" s="394">
        <v>6</v>
      </c>
      <c r="BI1637" s="394">
        <v>9</v>
      </c>
      <c r="BJ1637" s="394">
        <v>10</v>
      </c>
      <c r="BK1637" s="394">
        <v>5</v>
      </c>
      <c r="BL1637" s="444" t="s">
        <v>6981</v>
      </c>
      <c r="BM1637" s="392"/>
      <c r="BN1637" s="393"/>
      <c r="BO1637" s="393"/>
      <c r="BP1637" s="399"/>
      <c r="BQ1637" s="400"/>
      <c r="BR1637" s="401"/>
      <c r="BS1637" s="399"/>
      <c r="BT1637" s="394"/>
      <c r="BU1637" s="417"/>
      <c r="BV1637" s="399"/>
      <c r="BW1637" s="393" t="s">
        <v>3117</v>
      </c>
      <c r="BX1637" s="392"/>
      <c r="BY1637" s="475" t="s">
        <v>7227</v>
      </c>
      <c r="BZ1637" s="393" t="s">
        <v>3165</v>
      </c>
      <c r="CA1637" s="441"/>
      <c r="CB1637" s="400"/>
      <c r="CC1637" s="398"/>
      <c r="CD1637" s="398"/>
      <c r="CE1637" s="398"/>
      <c r="CF1637" s="398"/>
      <c r="CG1637" s="398"/>
      <c r="CH1637" s="398"/>
      <c r="CI1637" s="398"/>
      <c r="CJ1637" s="398">
        <v>3.6579999999999999</v>
      </c>
      <c r="CK1637" s="398">
        <v>9.5120000000000005</v>
      </c>
      <c r="CL1637" s="398">
        <v>15.365</v>
      </c>
      <c r="CM1637" s="398">
        <v>15.365</v>
      </c>
      <c r="CN1637" s="398">
        <v>15.365</v>
      </c>
      <c r="CO1637" s="398">
        <v>15.365</v>
      </c>
      <c r="CP1637" s="398">
        <v>15.365</v>
      </c>
      <c r="CQ1637" s="398"/>
      <c r="CR1637" s="398"/>
      <c r="CS1637" s="398"/>
      <c r="CT1637" s="398"/>
      <c r="CU1637" s="398"/>
      <c r="CV1637" s="398"/>
      <c r="CW1637" s="398"/>
      <c r="CX1637" s="398"/>
      <c r="CY1637" s="398"/>
      <c r="CZ1637" s="398"/>
      <c r="DA1637" s="398"/>
      <c r="DB1637" s="398"/>
      <c r="DC1637" s="398"/>
      <c r="DD1637" s="398"/>
      <c r="DE1637" s="393"/>
      <c r="DF1637" s="393"/>
      <c r="DG1637" s="393"/>
      <c r="DH1637" s="393"/>
      <c r="DI1637" s="393"/>
      <c r="DJ1637" s="393"/>
      <c r="DK1637" s="897"/>
    </row>
    <row r="1638" spans="1:115" ht="25.5" x14ac:dyDescent="0.2">
      <c r="A1638" s="295">
        <v>1634</v>
      </c>
      <c r="B1638" s="449" t="s">
        <v>9100</v>
      </c>
      <c r="C1638" s="390"/>
      <c r="D1638" s="474" t="s">
        <v>9102</v>
      </c>
      <c r="E1638" s="705" t="s">
        <v>9104</v>
      </c>
      <c r="F1638" s="393" t="s">
        <v>1375</v>
      </c>
      <c r="G1638" s="393" t="s">
        <v>998</v>
      </c>
      <c r="H1638" s="475" t="s">
        <v>1048</v>
      </c>
      <c r="I1638" s="392"/>
      <c r="J1638" s="428" t="s">
        <v>1048</v>
      </c>
      <c r="K1638" s="428" t="s">
        <v>1048</v>
      </c>
      <c r="L1638" s="392" t="s">
        <v>3031</v>
      </c>
      <c r="M1638" s="392"/>
      <c r="N1638" s="393" t="s">
        <v>44</v>
      </c>
      <c r="O1638" s="393" t="s">
        <v>34</v>
      </c>
      <c r="P1638" s="393" t="s">
        <v>34</v>
      </c>
      <c r="Q1638" s="392" t="s">
        <v>1145</v>
      </c>
      <c r="R1638" s="392" t="s">
        <v>5559</v>
      </c>
      <c r="S1638" s="392" t="s">
        <v>912</v>
      </c>
      <c r="T1638" s="394">
        <v>1</v>
      </c>
      <c r="U1638" s="395">
        <v>34.024000000000001</v>
      </c>
      <c r="V1638" s="395"/>
      <c r="W1638" s="453"/>
      <c r="X1638" s="394"/>
      <c r="Y1638" s="394">
        <v>7</v>
      </c>
      <c r="Z1638" s="394">
        <v>21</v>
      </c>
      <c r="AA1638" s="395">
        <v>7</v>
      </c>
      <c r="AB1638" s="452">
        <v>42824</v>
      </c>
      <c r="AC1638" s="398">
        <v>0</v>
      </c>
      <c r="AD1638" s="398">
        <v>127.89295342465753</v>
      </c>
      <c r="AE1638" s="393" t="s">
        <v>787</v>
      </c>
      <c r="AF1638" s="417"/>
      <c r="AG1638" s="417"/>
      <c r="AH1638" s="417"/>
      <c r="AI1638" s="394"/>
      <c r="AJ1638" s="453"/>
      <c r="AK1638" s="453"/>
      <c r="AL1638" s="393"/>
      <c r="AM1638" s="393"/>
      <c r="AN1638" s="417"/>
      <c r="AO1638" s="392"/>
      <c r="AP1638" s="428" t="s">
        <v>8116</v>
      </c>
      <c r="AQ1638" s="392"/>
      <c r="AR1638" s="392" t="s">
        <v>55</v>
      </c>
      <c r="AS1638" s="479">
        <v>41503</v>
      </c>
      <c r="AT1638" s="453"/>
      <c r="AU1638" s="453"/>
      <c r="AV1638" s="453"/>
      <c r="AW1638" s="453"/>
      <c r="AX1638" s="453"/>
      <c r="AY1638" s="453"/>
      <c r="AZ1638" s="452">
        <v>42863</v>
      </c>
      <c r="BA1638" s="393"/>
      <c r="BB1638" s="393"/>
      <c r="BC1638" s="393" t="b">
        <v>0</v>
      </c>
      <c r="BD1638" s="393"/>
      <c r="BE1638" s="392"/>
      <c r="BF1638" s="394">
        <v>4</v>
      </c>
      <c r="BG1638" s="394">
        <v>1</v>
      </c>
      <c r="BH1638" s="394">
        <v>6</v>
      </c>
      <c r="BI1638" s="394">
        <v>9</v>
      </c>
      <c r="BJ1638" s="394">
        <v>10</v>
      </c>
      <c r="BK1638" s="394">
        <v>5</v>
      </c>
      <c r="BL1638" s="444" t="s">
        <v>6981</v>
      </c>
      <c r="BM1638" s="392"/>
      <c r="BN1638" s="393"/>
      <c r="BO1638" s="393"/>
      <c r="BP1638" s="399"/>
      <c r="BQ1638" s="400"/>
      <c r="BR1638" s="401"/>
      <c r="BS1638" s="399"/>
      <c r="BT1638" s="394"/>
      <c r="BU1638" s="417"/>
      <c r="BV1638" s="399"/>
      <c r="BW1638" s="393" t="s">
        <v>3117</v>
      </c>
      <c r="BX1638" s="392"/>
      <c r="BY1638" s="475" t="s">
        <v>7227</v>
      </c>
      <c r="BZ1638" s="393" t="s">
        <v>3165</v>
      </c>
      <c r="CA1638" s="441"/>
      <c r="CB1638" s="400"/>
      <c r="CC1638" s="398"/>
      <c r="CD1638" s="398"/>
      <c r="CE1638" s="398"/>
      <c r="CF1638" s="398"/>
      <c r="CG1638" s="398"/>
      <c r="CH1638" s="398"/>
      <c r="CI1638" s="398"/>
      <c r="CJ1638" s="398"/>
      <c r="CK1638" s="398"/>
      <c r="CL1638" s="398"/>
      <c r="CM1638" s="398">
        <v>8.5060000000000002</v>
      </c>
      <c r="CN1638" s="398">
        <v>17.012</v>
      </c>
      <c r="CO1638" s="398">
        <v>25.518000000000001</v>
      </c>
      <c r="CP1638" s="398">
        <v>34.024999999999999</v>
      </c>
      <c r="CQ1638" s="398">
        <v>42.530999999999999</v>
      </c>
      <c r="CR1638" s="398">
        <v>51.036999999999999</v>
      </c>
      <c r="CS1638" s="398">
        <v>59.543999999999997</v>
      </c>
      <c r="CT1638" s="398"/>
      <c r="CU1638" s="398"/>
      <c r="CV1638" s="398"/>
      <c r="CW1638" s="398"/>
      <c r="CX1638" s="398"/>
      <c r="CY1638" s="398"/>
      <c r="CZ1638" s="398"/>
      <c r="DA1638" s="398"/>
      <c r="DB1638" s="398"/>
      <c r="DC1638" s="398"/>
      <c r="DD1638" s="398"/>
      <c r="DE1638" s="393"/>
      <c r="DF1638" s="393"/>
      <c r="DG1638" s="393"/>
      <c r="DH1638" s="393"/>
      <c r="DI1638" s="393"/>
      <c r="DJ1638" s="393"/>
      <c r="DK1638" s="897"/>
    </row>
    <row r="1639" spans="1:115" ht="25.5" x14ac:dyDescent="0.2">
      <c r="A1639" s="295">
        <v>1635</v>
      </c>
      <c r="B1639" s="449" t="s">
        <v>9101</v>
      </c>
      <c r="C1639" s="390"/>
      <c r="D1639" s="474" t="s">
        <v>9103</v>
      </c>
      <c r="E1639" s="705" t="s">
        <v>9105</v>
      </c>
      <c r="F1639" s="393" t="s">
        <v>1375</v>
      </c>
      <c r="G1639" s="393" t="s">
        <v>998</v>
      </c>
      <c r="H1639" s="475" t="s">
        <v>218</v>
      </c>
      <c r="I1639" s="392"/>
      <c r="J1639" s="428" t="s">
        <v>218</v>
      </c>
      <c r="K1639" s="428" t="s">
        <v>218</v>
      </c>
      <c r="L1639" s="392" t="s">
        <v>3031</v>
      </c>
      <c r="M1639" s="392"/>
      <c r="N1639" s="393" t="s">
        <v>44</v>
      </c>
      <c r="O1639" s="393" t="s">
        <v>34</v>
      </c>
      <c r="P1639" s="393" t="s">
        <v>34</v>
      </c>
      <c r="Q1639" s="392" t="s">
        <v>1145</v>
      </c>
      <c r="R1639" s="392" t="s">
        <v>5559</v>
      </c>
      <c r="S1639" s="392" t="s">
        <v>912</v>
      </c>
      <c r="T1639" s="394">
        <v>1</v>
      </c>
      <c r="U1639" s="395">
        <v>34.353999999999999</v>
      </c>
      <c r="V1639" s="395"/>
      <c r="W1639" s="453"/>
      <c r="X1639" s="394"/>
      <c r="Y1639" s="394">
        <v>7</v>
      </c>
      <c r="Z1639" s="394">
        <v>21</v>
      </c>
      <c r="AA1639" s="395">
        <v>1.95</v>
      </c>
      <c r="AB1639" s="452">
        <v>42901</v>
      </c>
      <c r="AC1639" s="398">
        <v>0</v>
      </c>
      <c r="AD1639" s="398">
        <v>121.8861095890411</v>
      </c>
      <c r="AE1639" s="393" t="s">
        <v>787</v>
      </c>
      <c r="AF1639" s="417"/>
      <c r="AG1639" s="417"/>
      <c r="AH1639" s="417"/>
      <c r="AI1639" s="394"/>
      <c r="AJ1639" s="453"/>
      <c r="AK1639" s="453"/>
      <c r="AL1639" s="393"/>
      <c r="AM1639" s="393"/>
      <c r="AN1639" s="417"/>
      <c r="AO1639" s="392"/>
      <c r="AP1639" s="428" t="s">
        <v>8116</v>
      </c>
      <c r="AQ1639" s="392"/>
      <c r="AR1639" s="392" t="s">
        <v>55</v>
      </c>
      <c r="AS1639" s="479">
        <v>41503</v>
      </c>
      <c r="AT1639" s="453"/>
      <c r="AU1639" s="453"/>
      <c r="AV1639" s="453"/>
      <c r="AW1639" s="453"/>
      <c r="AX1639" s="453"/>
      <c r="AY1639" s="453"/>
      <c r="AZ1639" s="452">
        <v>42918</v>
      </c>
      <c r="BA1639" s="393"/>
      <c r="BB1639" s="393"/>
      <c r="BC1639" s="393" t="b">
        <v>0</v>
      </c>
      <c r="BD1639" s="393"/>
      <c r="BE1639" s="392"/>
      <c r="BF1639" s="394">
        <v>4</v>
      </c>
      <c r="BG1639" s="394">
        <v>1</v>
      </c>
      <c r="BH1639" s="394">
        <v>6</v>
      </c>
      <c r="BI1639" s="394">
        <v>9</v>
      </c>
      <c r="BJ1639" s="394">
        <v>10</v>
      </c>
      <c r="BK1639" s="394">
        <v>5</v>
      </c>
      <c r="BL1639" s="444" t="s">
        <v>6981</v>
      </c>
      <c r="BM1639" s="392"/>
      <c r="BN1639" s="393"/>
      <c r="BO1639" s="393"/>
      <c r="BP1639" s="399"/>
      <c r="BQ1639" s="400"/>
      <c r="BR1639" s="401"/>
      <c r="BS1639" s="399"/>
      <c r="BT1639" s="394"/>
      <c r="BU1639" s="417"/>
      <c r="BV1639" s="399"/>
      <c r="BW1639" s="393" t="s">
        <v>3117</v>
      </c>
      <c r="BX1639" s="392"/>
      <c r="BY1639" s="475" t="s">
        <v>7227</v>
      </c>
      <c r="BZ1639" s="393" t="s">
        <v>3165</v>
      </c>
      <c r="CA1639" s="441"/>
      <c r="CB1639" s="400"/>
      <c r="CC1639" s="398"/>
      <c r="CD1639" s="398"/>
      <c r="CE1639" s="398"/>
      <c r="CF1639" s="398"/>
      <c r="CG1639" s="398"/>
      <c r="CH1639" s="398"/>
      <c r="CI1639" s="398"/>
      <c r="CJ1639" s="398"/>
      <c r="CK1639" s="398"/>
      <c r="CL1639" s="398"/>
      <c r="CM1639" s="398">
        <v>8.61</v>
      </c>
      <c r="CN1639" s="398">
        <v>17.221</v>
      </c>
      <c r="CO1639" s="398">
        <v>25.831</v>
      </c>
      <c r="CP1639" s="398">
        <v>34.442</v>
      </c>
      <c r="CQ1639" s="398">
        <v>43.052</v>
      </c>
      <c r="CR1639" s="398">
        <v>51.662999999999997</v>
      </c>
      <c r="CS1639" s="398">
        <v>59.658000000000001</v>
      </c>
      <c r="CT1639" s="398"/>
      <c r="CU1639" s="398"/>
      <c r="CV1639" s="398"/>
      <c r="CW1639" s="398"/>
      <c r="CX1639" s="398"/>
      <c r="CY1639" s="398"/>
      <c r="CZ1639" s="398"/>
      <c r="DA1639" s="398"/>
      <c r="DB1639" s="398"/>
      <c r="DC1639" s="398"/>
      <c r="DD1639" s="398"/>
      <c r="DE1639" s="393"/>
      <c r="DF1639" s="393"/>
      <c r="DG1639" s="393"/>
      <c r="DH1639" s="393"/>
      <c r="DI1639" s="393"/>
      <c r="DJ1639" s="393"/>
      <c r="DK1639" s="897"/>
    </row>
    <row r="1640" spans="1:115" ht="25.5" x14ac:dyDescent="0.2">
      <c r="A1640" s="295">
        <v>1636</v>
      </c>
      <c r="B1640" s="449" t="s">
        <v>9281</v>
      </c>
      <c r="C1640" s="390"/>
      <c r="D1640" s="474" t="s">
        <v>9282</v>
      </c>
      <c r="E1640" s="705" t="s">
        <v>9283</v>
      </c>
      <c r="F1640" s="393" t="s">
        <v>1375</v>
      </c>
      <c r="G1640" s="393" t="s">
        <v>998</v>
      </c>
      <c r="H1640" s="475" t="s">
        <v>1048</v>
      </c>
      <c r="I1640" s="392"/>
      <c r="J1640" s="428" t="s">
        <v>1048</v>
      </c>
      <c r="K1640" s="428" t="s">
        <v>1048</v>
      </c>
      <c r="L1640" s="392" t="s">
        <v>3031</v>
      </c>
      <c r="M1640" s="392"/>
      <c r="N1640" s="393" t="s">
        <v>44</v>
      </c>
      <c r="O1640" s="393" t="s">
        <v>34</v>
      </c>
      <c r="P1640" s="393" t="s">
        <v>34</v>
      </c>
      <c r="Q1640" s="392" t="s">
        <v>1145</v>
      </c>
      <c r="R1640" s="392" t="s">
        <v>5559</v>
      </c>
      <c r="S1640" s="392" t="s">
        <v>912</v>
      </c>
      <c r="T1640" s="394">
        <v>1</v>
      </c>
      <c r="U1640" s="395">
        <v>34.024000000000001</v>
      </c>
      <c r="V1640" s="395"/>
      <c r="W1640" s="453"/>
      <c r="X1640" s="394"/>
      <c r="Y1640" s="394">
        <v>7</v>
      </c>
      <c r="Z1640" s="394">
        <v>21</v>
      </c>
      <c r="AA1640" s="395"/>
      <c r="AB1640" s="452">
        <v>43012</v>
      </c>
      <c r="AC1640" s="398"/>
      <c r="AD1640" s="398">
        <v>110.36826301369862</v>
      </c>
      <c r="AE1640" s="393" t="s">
        <v>787</v>
      </c>
      <c r="AF1640" s="417"/>
      <c r="AG1640" s="417"/>
      <c r="AH1640" s="417"/>
      <c r="AI1640" s="394"/>
      <c r="AJ1640" s="453"/>
      <c r="AK1640" s="453"/>
      <c r="AL1640" s="393"/>
      <c r="AM1640" s="393"/>
      <c r="AN1640" s="417"/>
      <c r="AO1640" s="392"/>
      <c r="AP1640" s="428" t="s">
        <v>8116</v>
      </c>
      <c r="AQ1640" s="392"/>
      <c r="AR1640" s="392" t="s">
        <v>55</v>
      </c>
      <c r="AS1640" s="479">
        <v>41503</v>
      </c>
      <c r="AT1640" s="453"/>
      <c r="AU1640" s="453"/>
      <c r="AV1640" s="453"/>
      <c r="AW1640" s="453"/>
      <c r="AX1640" s="453"/>
      <c r="AY1640" s="453"/>
      <c r="AZ1640" s="452">
        <v>43012</v>
      </c>
      <c r="BA1640" s="393"/>
      <c r="BB1640" s="393"/>
      <c r="BC1640" s="393" t="b">
        <v>0</v>
      </c>
      <c r="BD1640" s="393"/>
      <c r="BE1640" s="392"/>
      <c r="BF1640" s="394">
        <v>4</v>
      </c>
      <c r="BG1640" s="394">
        <v>1</v>
      </c>
      <c r="BH1640" s="394">
        <v>6</v>
      </c>
      <c r="BI1640" s="394">
        <v>9</v>
      </c>
      <c r="BJ1640" s="394">
        <v>10</v>
      </c>
      <c r="BK1640" s="394">
        <v>5</v>
      </c>
      <c r="BL1640" s="444" t="s">
        <v>6981</v>
      </c>
      <c r="BM1640" s="392"/>
      <c r="BN1640" s="393"/>
      <c r="BO1640" s="393"/>
      <c r="BP1640" s="399"/>
      <c r="BQ1640" s="400"/>
      <c r="BR1640" s="401"/>
      <c r="BS1640" s="399"/>
      <c r="BT1640" s="394"/>
      <c r="BU1640" s="417"/>
      <c r="BV1640" s="399"/>
      <c r="BW1640" s="393" t="s">
        <v>3117</v>
      </c>
      <c r="BX1640" s="392"/>
      <c r="BY1640" s="475" t="s">
        <v>7227</v>
      </c>
      <c r="BZ1640" s="393" t="s">
        <v>3165</v>
      </c>
      <c r="CA1640" s="441"/>
      <c r="CB1640" s="400"/>
      <c r="CC1640" s="398"/>
      <c r="CD1640" s="398"/>
      <c r="CE1640" s="398"/>
      <c r="CF1640" s="398"/>
      <c r="CG1640" s="398"/>
      <c r="CH1640" s="398"/>
      <c r="CI1640" s="398"/>
      <c r="CJ1640" s="398"/>
      <c r="CK1640" s="398"/>
      <c r="CL1640" s="398"/>
      <c r="CM1640" s="398">
        <v>8.5060000000000002</v>
      </c>
      <c r="CN1640" s="398">
        <v>17.012</v>
      </c>
      <c r="CO1640" s="398">
        <v>25.518000000000001</v>
      </c>
      <c r="CP1640" s="398">
        <v>34.024999999999999</v>
      </c>
      <c r="CQ1640" s="398">
        <v>42.530999999999999</v>
      </c>
      <c r="CR1640" s="398">
        <v>51.036999999999999</v>
      </c>
      <c r="CS1640" s="398">
        <v>59.543999999999997</v>
      </c>
      <c r="CT1640" s="398"/>
      <c r="CU1640" s="398"/>
      <c r="CV1640" s="398"/>
      <c r="CW1640" s="398"/>
      <c r="CX1640" s="398"/>
      <c r="CY1640" s="398"/>
      <c r="CZ1640" s="398"/>
      <c r="DA1640" s="398"/>
      <c r="DB1640" s="398"/>
      <c r="DC1640" s="398"/>
      <c r="DD1640" s="398"/>
      <c r="DE1640" s="393"/>
      <c r="DF1640" s="393"/>
      <c r="DG1640" s="393"/>
      <c r="DH1640" s="393"/>
      <c r="DI1640" s="393"/>
      <c r="DJ1640" s="393"/>
      <c r="DK1640" s="897"/>
    </row>
    <row r="1641" spans="1:115" ht="25.5" x14ac:dyDescent="0.2">
      <c r="A1641" s="295">
        <v>1637</v>
      </c>
      <c r="B1641" s="449" t="s">
        <v>9284</v>
      </c>
      <c r="C1641" s="390"/>
      <c r="D1641" s="474" t="s">
        <v>9285</v>
      </c>
      <c r="E1641" s="705" t="s">
        <v>9286</v>
      </c>
      <c r="F1641" s="393" t="s">
        <v>1375</v>
      </c>
      <c r="G1641" s="393" t="s">
        <v>998</v>
      </c>
      <c r="H1641" s="475" t="s">
        <v>1048</v>
      </c>
      <c r="I1641" s="392"/>
      <c r="J1641" s="428" t="s">
        <v>1048</v>
      </c>
      <c r="K1641" s="428" t="s">
        <v>1048</v>
      </c>
      <c r="L1641" s="392" t="s">
        <v>3031</v>
      </c>
      <c r="M1641" s="392"/>
      <c r="N1641" s="393" t="s">
        <v>44</v>
      </c>
      <c r="O1641" s="393" t="s">
        <v>34</v>
      </c>
      <c r="P1641" s="393" t="s">
        <v>34</v>
      </c>
      <c r="Q1641" s="392" t="s">
        <v>1145</v>
      </c>
      <c r="R1641" s="392" t="s">
        <v>5559</v>
      </c>
      <c r="S1641" s="392" t="s">
        <v>912</v>
      </c>
      <c r="T1641" s="394">
        <v>1</v>
      </c>
      <c r="U1641" s="395">
        <v>34.024000000000001</v>
      </c>
      <c r="V1641" s="395"/>
      <c r="W1641" s="453"/>
      <c r="X1641" s="394"/>
      <c r="Y1641" s="394">
        <v>7</v>
      </c>
      <c r="Z1641" s="394">
        <v>21</v>
      </c>
      <c r="AA1641" s="395"/>
      <c r="AB1641" s="452">
        <v>43012</v>
      </c>
      <c r="AC1641" s="398"/>
      <c r="AD1641" s="398">
        <v>110.36826301369862</v>
      </c>
      <c r="AE1641" s="393" t="s">
        <v>787</v>
      </c>
      <c r="AF1641" s="417"/>
      <c r="AG1641" s="417"/>
      <c r="AH1641" s="417"/>
      <c r="AI1641" s="394"/>
      <c r="AJ1641" s="453"/>
      <c r="AK1641" s="453"/>
      <c r="AL1641" s="393"/>
      <c r="AM1641" s="393"/>
      <c r="AN1641" s="417"/>
      <c r="AO1641" s="392"/>
      <c r="AP1641" s="428" t="s">
        <v>8116</v>
      </c>
      <c r="AQ1641" s="392"/>
      <c r="AR1641" s="392" t="s">
        <v>55</v>
      </c>
      <c r="AS1641" s="479">
        <v>41503</v>
      </c>
      <c r="AT1641" s="453"/>
      <c r="AU1641" s="453"/>
      <c r="AV1641" s="453"/>
      <c r="AW1641" s="453"/>
      <c r="AX1641" s="453"/>
      <c r="AY1641" s="453"/>
      <c r="AZ1641" s="452">
        <v>43012</v>
      </c>
      <c r="BA1641" s="393"/>
      <c r="BB1641" s="393"/>
      <c r="BC1641" s="393" t="b">
        <v>0</v>
      </c>
      <c r="BD1641" s="393"/>
      <c r="BE1641" s="392"/>
      <c r="BF1641" s="394">
        <v>4</v>
      </c>
      <c r="BG1641" s="394">
        <v>1</v>
      </c>
      <c r="BH1641" s="394">
        <v>6</v>
      </c>
      <c r="BI1641" s="394">
        <v>9</v>
      </c>
      <c r="BJ1641" s="394">
        <v>10</v>
      </c>
      <c r="BK1641" s="394">
        <v>5</v>
      </c>
      <c r="BL1641" s="444" t="s">
        <v>6981</v>
      </c>
      <c r="BM1641" s="392"/>
      <c r="BN1641" s="393"/>
      <c r="BO1641" s="393"/>
      <c r="BP1641" s="399"/>
      <c r="BQ1641" s="400"/>
      <c r="BR1641" s="401"/>
      <c r="BS1641" s="399"/>
      <c r="BT1641" s="394"/>
      <c r="BU1641" s="417"/>
      <c r="BV1641" s="399"/>
      <c r="BW1641" s="393" t="s">
        <v>3117</v>
      </c>
      <c r="BX1641" s="392"/>
      <c r="BY1641" s="475" t="s">
        <v>7227</v>
      </c>
      <c r="BZ1641" s="393" t="s">
        <v>3165</v>
      </c>
      <c r="CA1641" s="441"/>
      <c r="CB1641" s="400"/>
      <c r="CC1641" s="398"/>
      <c r="CD1641" s="398"/>
      <c r="CE1641" s="398"/>
      <c r="CF1641" s="398"/>
      <c r="CG1641" s="398"/>
      <c r="CH1641" s="398"/>
      <c r="CI1641" s="398"/>
      <c r="CJ1641" s="398"/>
      <c r="CK1641" s="398"/>
      <c r="CL1641" s="398"/>
      <c r="CM1641" s="398">
        <v>8.5060000000000002</v>
      </c>
      <c r="CN1641" s="398">
        <v>17.012</v>
      </c>
      <c r="CO1641" s="398">
        <v>25.518000000000001</v>
      </c>
      <c r="CP1641" s="398">
        <v>34.024999999999999</v>
      </c>
      <c r="CQ1641" s="398">
        <v>42.530999999999999</v>
      </c>
      <c r="CR1641" s="398">
        <v>51.036999999999999</v>
      </c>
      <c r="CS1641" s="398">
        <v>59.543999999999997</v>
      </c>
      <c r="CT1641" s="398"/>
      <c r="CU1641" s="398"/>
      <c r="CV1641" s="398"/>
      <c r="CW1641" s="398"/>
      <c r="CX1641" s="398"/>
      <c r="CY1641" s="398"/>
      <c r="CZ1641" s="398"/>
      <c r="DA1641" s="398"/>
      <c r="DB1641" s="398"/>
      <c r="DC1641" s="398"/>
      <c r="DD1641" s="398"/>
      <c r="DE1641" s="393"/>
      <c r="DF1641" s="393"/>
      <c r="DG1641" s="393"/>
      <c r="DH1641" s="393"/>
      <c r="DI1641" s="393"/>
      <c r="DJ1641" s="393"/>
      <c r="DK1641" s="897"/>
    </row>
    <row r="1642" spans="1:115" ht="25.5" x14ac:dyDescent="0.2">
      <c r="A1642" s="295">
        <v>1638</v>
      </c>
      <c r="B1642" s="449" t="s">
        <v>9287</v>
      </c>
      <c r="C1642" s="390"/>
      <c r="D1642" s="474" t="s">
        <v>9288</v>
      </c>
      <c r="E1642" s="705" t="s">
        <v>9289</v>
      </c>
      <c r="F1642" s="393" t="s">
        <v>1375</v>
      </c>
      <c r="G1642" s="393" t="s">
        <v>998</v>
      </c>
      <c r="H1642" s="475" t="s">
        <v>1048</v>
      </c>
      <c r="I1642" s="392"/>
      <c r="J1642" s="428" t="s">
        <v>1048</v>
      </c>
      <c r="K1642" s="428" t="s">
        <v>1048</v>
      </c>
      <c r="L1642" s="392" t="s">
        <v>3031</v>
      </c>
      <c r="M1642" s="392"/>
      <c r="N1642" s="393" t="s">
        <v>44</v>
      </c>
      <c r="O1642" s="393" t="s">
        <v>34</v>
      </c>
      <c r="P1642" s="393" t="s">
        <v>34</v>
      </c>
      <c r="Q1642" s="392" t="s">
        <v>1145</v>
      </c>
      <c r="R1642" s="392" t="s">
        <v>5559</v>
      </c>
      <c r="S1642" s="392" t="s">
        <v>912</v>
      </c>
      <c r="T1642" s="394">
        <v>1</v>
      </c>
      <c r="U1642" s="395">
        <v>34.024000000000001</v>
      </c>
      <c r="V1642" s="395"/>
      <c r="W1642" s="453"/>
      <c r="X1642" s="394"/>
      <c r="Y1642" s="394">
        <v>7</v>
      </c>
      <c r="Z1642" s="394">
        <v>21</v>
      </c>
      <c r="AA1642" s="395"/>
      <c r="AB1642" s="452">
        <v>43012</v>
      </c>
      <c r="AC1642" s="398"/>
      <c r="AD1642" s="398">
        <v>110.36826301369862</v>
      </c>
      <c r="AE1642" s="393" t="s">
        <v>787</v>
      </c>
      <c r="AF1642" s="417"/>
      <c r="AG1642" s="417"/>
      <c r="AH1642" s="417"/>
      <c r="AI1642" s="394"/>
      <c r="AJ1642" s="453"/>
      <c r="AK1642" s="453"/>
      <c r="AL1642" s="393"/>
      <c r="AM1642" s="393"/>
      <c r="AN1642" s="417"/>
      <c r="AO1642" s="392"/>
      <c r="AP1642" s="428" t="s">
        <v>8116</v>
      </c>
      <c r="AQ1642" s="392"/>
      <c r="AR1642" s="392" t="s">
        <v>55</v>
      </c>
      <c r="AS1642" s="479">
        <v>41503</v>
      </c>
      <c r="AT1642" s="453"/>
      <c r="AU1642" s="453"/>
      <c r="AV1642" s="453"/>
      <c r="AW1642" s="453"/>
      <c r="AX1642" s="453"/>
      <c r="AY1642" s="453"/>
      <c r="AZ1642" s="452">
        <v>43012</v>
      </c>
      <c r="BA1642" s="393"/>
      <c r="BB1642" s="393"/>
      <c r="BC1642" s="393" t="b">
        <v>0</v>
      </c>
      <c r="BD1642" s="393"/>
      <c r="BE1642" s="392"/>
      <c r="BF1642" s="394">
        <v>4</v>
      </c>
      <c r="BG1642" s="394">
        <v>1</v>
      </c>
      <c r="BH1642" s="394">
        <v>6</v>
      </c>
      <c r="BI1642" s="394">
        <v>9</v>
      </c>
      <c r="BJ1642" s="394">
        <v>10</v>
      </c>
      <c r="BK1642" s="394">
        <v>5</v>
      </c>
      <c r="BL1642" s="444" t="s">
        <v>6981</v>
      </c>
      <c r="BM1642" s="392"/>
      <c r="BN1642" s="393"/>
      <c r="BO1642" s="393"/>
      <c r="BP1642" s="399"/>
      <c r="BQ1642" s="400"/>
      <c r="BR1642" s="401"/>
      <c r="BS1642" s="399"/>
      <c r="BT1642" s="394"/>
      <c r="BU1642" s="417"/>
      <c r="BV1642" s="399"/>
      <c r="BW1642" s="393" t="s">
        <v>3117</v>
      </c>
      <c r="BX1642" s="392"/>
      <c r="BY1642" s="475" t="s">
        <v>7227</v>
      </c>
      <c r="BZ1642" s="393" t="s">
        <v>3165</v>
      </c>
      <c r="CA1642" s="441"/>
      <c r="CB1642" s="400"/>
      <c r="CC1642" s="398"/>
      <c r="CD1642" s="398"/>
      <c r="CE1642" s="398"/>
      <c r="CF1642" s="398"/>
      <c r="CG1642" s="398"/>
      <c r="CH1642" s="398"/>
      <c r="CI1642" s="398"/>
      <c r="CJ1642" s="398"/>
      <c r="CK1642" s="398"/>
      <c r="CL1642" s="398"/>
      <c r="CM1642" s="398">
        <v>8.5060000000000002</v>
      </c>
      <c r="CN1642" s="398">
        <v>17.012</v>
      </c>
      <c r="CO1642" s="398">
        <v>25.518000000000001</v>
      </c>
      <c r="CP1642" s="398">
        <v>34.024999999999999</v>
      </c>
      <c r="CQ1642" s="398">
        <v>42.530999999999999</v>
      </c>
      <c r="CR1642" s="398">
        <v>51.036999999999999</v>
      </c>
      <c r="CS1642" s="398">
        <v>59.543999999999997</v>
      </c>
      <c r="CT1642" s="398"/>
      <c r="CU1642" s="398"/>
      <c r="CV1642" s="398"/>
      <c r="CW1642" s="398"/>
      <c r="CX1642" s="398"/>
      <c r="CY1642" s="398"/>
      <c r="CZ1642" s="398"/>
      <c r="DA1642" s="398"/>
      <c r="DB1642" s="398"/>
      <c r="DC1642" s="398"/>
      <c r="DD1642" s="398"/>
      <c r="DE1642" s="393"/>
      <c r="DF1642" s="393"/>
      <c r="DG1642" s="393"/>
      <c r="DH1642" s="393"/>
      <c r="DI1642" s="393"/>
      <c r="DJ1642" s="393"/>
      <c r="DK1642" s="897"/>
    </row>
    <row r="1643" spans="1:115" ht="25.5" x14ac:dyDescent="0.2">
      <c r="A1643" s="295">
        <v>1639</v>
      </c>
      <c r="B1643" s="449" t="s">
        <v>9290</v>
      </c>
      <c r="C1643" s="390"/>
      <c r="D1643" s="474" t="s">
        <v>9291</v>
      </c>
      <c r="E1643" s="705" t="s">
        <v>9292</v>
      </c>
      <c r="F1643" s="393" t="s">
        <v>1375</v>
      </c>
      <c r="G1643" s="393" t="s">
        <v>998</v>
      </c>
      <c r="H1643" s="475" t="s">
        <v>1048</v>
      </c>
      <c r="I1643" s="392"/>
      <c r="J1643" s="428" t="s">
        <v>1048</v>
      </c>
      <c r="K1643" s="428" t="s">
        <v>1048</v>
      </c>
      <c r="L1643" s="392" t="s">
        <v>3031</v>
      </c>
      <c r="M1643" s="392"/>
      <c r="N1643" s="393" t="s">
        <v>44</v>
      </c>
      <c r="O1643" s="393" t="s">
        <v>34</v>
      </c>
      <c r="P1643" s="393" t="s">
        <v>34</v>
      </c>
      <c r="Q1643" s="392" t="s">
        <v>1145</v>
      </c>
      <c r="R1643" s="392" t="s">
        <v>5559</v>
      </c>
      <c r="S1643" s="392" t="s">
        <v>912</v>
      </c>
      <c r="T1643" s="394">
        <v>1</v>
      </c>
      <c r="U1643" s="395">
        <v>34.024000000000001</v>
      </c>
      <c r="V1643" s="395"/>
      <c r="W1643" s="453"/>
      <c r="X1643" s="394"/>
      <c r="Y1643" s="394">
        <v>7</v>
      </c>
      <c r="Z1643" s="394">
        <v>21</v>
      </c>
      <c r="AA1643" s="395"/>
      <c r="AB1643" s="452">
        <v>43012</v>
      </c>
      <c r="AC1643" s="398"/>
      <c r="AD1643" s="398">
        <v>110.36826301369862</v>
      </c>
      <c r="AE1643" s="393" t="s">
        <v>787</v>
      </c>
      <c r="AF1643" s="417"/>
      <c r="AG1643" s="417"/>
      <c r="AH1643" s="417"/>
      <c r="AI1643" s="394"/>
      <c r="AJ1643" s="453"/>
      <c r="AK1643" s="453"/>
      <c r="AL1643" s="393"/>
      <c r="AM1643" s="393"/>
      <c r="AN1643" s="417"/>
      <c r="AO1643" s="392"/>
      <c r="AP1643" s="428" t="s">
        <v>8116</v>
      </c>
      <c r="AQ1643" s="392"/>
      <c r="AR1643" s="392" t="s">
        <v>55</v>
      </c>
      <c r="AS1643" s="479">
        <v>41503</v>
      </c>
      <c r="AT1643" s="453"/>
      <c r="AU1643" s="453"/>
      <c r="AV1643" s="453"/>
      <c r="AW1643" s="453"/>
      <c r="AX1643" s="453"/>
      <c r="AY1643" s="453"/>
      <c r="AZ1643" s="452">
        <v>43012</v>
      </c>
      <c r="BA1643" s="393"/>
      <c r="BB1643" s="393"/>
      <c r="BC1643" s="393" t="b">
        <v>0</v>
      </c>
      <c r="BD1643" s="393"/>
      <c r="BE1643" s="392"/>
      <c r="BF1643" s="394">
        <v>4</v>
      </c>
      <c r="BG1643" s="394">
        <v>1</v>
      </c>
      <c r="BH1643" s="394">
        <v>6</v>
      </c>
      <c r="BI1643" s="394">
        <v>9</v>
      </c>
      <c r="BJ1643" s="394">
        <v>10</v>
      </c>
      <c r="BK1643" s="394">
        <v>5</v>
      </c>
      <c r="BL1643" s="444" t="s">
        <v>6981</v>
      </c>
      <c r="BM1643" s="392"/>
      <c r="BN1643" s="393"/>
      <c r="BO1643" s="393"/>
      <c r="BP1643" s="399"/>
      <c r="BQ1643" s="400"/>
      <c r="BR1643" s="401"/>
      <c r="BS1643" s="399"/>
      <c r="BT1643" s="394"/>
      <c r="BU1643" s="417"/>
      <c r="BV1643" s="399"/>
      <c r="BW1643" s="393" t="s">
        <v>3117</v>
      </c>
      <c r="BX1643" s="392"/>
      <c r="BY1643" s="475" t="s">
        <v>7227</v>
      </c>
      <c r="BZ1643" s="393" t="s">
        <v>3165</v>
      </c>
      <c r="CA1643" s="441"/>
      <c r="CB1643" s="400"/>
      <c r="CC1643" s="398"/>
      <c r="CD1643" s="398"/>
      <c r="CE1643" s="398"/>
      <c r="CF1643" s="398"/>
      <c r="CG1643" s="398"/>
      <c r="CH1643" s="398"/>
      <c r="CI1643" s="398"/>
      <c r="CJ1643" s="398"/>
      <c r="CK1643" s="398"/>
      <c r="CL1643" s="398"/>
      <c r="CM1643" s="398">
        <v>8.5060000000000002</v>
      </c>
      <c r="CN1643" s="398">
        <v>17.012</v>
      </c>
      <c r="CO1643" s="398">
        <v>25.518000000000001</v>
      </c>
      <c r="CP1643" s="398">
        <v>34.024999999999999</v>
      </c>
      <c r="CQ1643" s="398">
        <v>42.530999999999999</v>
      </c>
      <c r="CR1643" s="398">
        <v>51.036999999999999</v>
      </c>
      <c r="CS1643" s="398">
        <v>59.543999999999997</v>
      </c>
      <c r="CT1643" s="398"/>
      <c r="CU1643" s="398"/>
      <c r="CV1643" s="398"/>
      <c r="CW1643" s="398"/>
      <c r="CX1643" s="398"/>
      <c r="CY1643" s="398"/>
      <c r="CZ1643" s="398"/>
      <c r="DA1643" s="398"/>
      <c r="DB1643" s="398"/>
      <c r="DC1643" s="398"/>
      <c r="DD1643" s="398"/>
      <c r="DE1643" s="393"/>
      <c r="DF1643" s="393"/>
      <c r="DG1643" s="393"/>
      <c r="DH1643" s="393"/>
      <c r="DI1643" s="393"/>
      <c r="DJ1643" s="393"/>
      <c r="DK1643" s="897"/>
    </row>
    <row r="1644" spans="1:115" ht="25.5" x14ac:dyDescent="0.2">
      <c r="A1644" s="295">
        <v>1640</v>
      </c>
      <c r="B1644" s="449" t="s">
        <v>9293</v>
      </c>
      <c r="C1644" s="390"/>
      <c r="D1644" s="474" t="s">
        <v>9294</v>
      </c>
      <c r="E1644" s="705" t="s">
        <v>9295</v>
      </c>
      <c r="F1644" s="393" t="s">
        <v>1375</v>
      </c>
      <c r="G1644" s="393" t="s">
        <v>998</v>
      </c>
      <c r="H1644" s="475" t="s">
        <v>1048</v>
      </c>
      <c r="I1644" s="392"/>
      <c r="J1644" s="428" t="s">
        <v>1048</v>
      </c>
      <c r="K1644" s="428" t="s">
        <v>1048</v>
      </c>
      <c r="L1644" s="392" t="s">
        <v>3031</v>
      </c>
      <c r="M1644" s="392"/>
      <c r="N1644" s="393" t="s">
        <v>44</v>
      </c>
      <c r="O1644" s="393" t="s">
        <v>34</v>
      </c>
      <c r="P1644" s="393" t="s">
        <v>34</v>
      </c>
      <c r="Q1644" s="392" t="s">
        <v>1145</v>
      </c>
      <c r="R1644" s="392" t="s">
        <v>5559</v>
      </c>
      <c r="S1644" s="392" t="s">
        <v>912</v>
      </c>
      <c r="T1644" s="394">
        <v>1</v>
      </c>
      <c r="U1644" s="395">
        <v>34.024000000000001</v>
      </c>
      <c r="V1644" s="395"/>
      <c r="W1644" s="453"/>
      <c r="X1644" s="394"/>
      <c r="Y1644" s="394">
        <v>7</v>
      </c>
      <c r="Z1644" s="394">
        <v>21</v>
      </c>
      <c r="AA1644" s="395"/>
      <c r="AB1644" s="452">
        <v>43012</v>
      </c>
      <c r="AC1644" s="398"/>
      <c r="AD1644" s="398">
        <v>110.36826301369862</v>
      </c>
      <c r="AE1644" s="393" t="s">
        <v>787</v>
      </c>
      <c r="AF1644" s="417"/>
      <c r="AG1644" s="417"/>
      <c r="AH1644" s="417"/>
      <c r="AI1644" s="394"/>
      <c r="AJ1644" s="453"/>
      <c r="AK1644" s="453"/>
      <c r="AL1644" s="393"/>
      <c r="AM1644" s="393"/>
      <c r="AN1644" s="417"/>
      <c r="AO1644" s="392"/>
      <c r="AP1644" s="428" t="s">
        <v>8116</v>
      </c>
      <c r="AQ1644" s="392"/>
      <c r="AR1644" s="392" t="s">
        <v>55</v>
      </c>
      <c r="AS1644" s="479">
        <v>41503</v>
      </c>
      <c r="AT1644" s="453"/>
      <c r="AU1644" s="453"/>
      <c r="AV1644" s="453"/>
      <c r="AW1644" s="453"/>
      <c r="AX1644" s="453"/>
      <c r="AY1644" s="453"/>
      <c r="AZ1644" s="452">
        <v>43012</v>
      </c>
      <c r="BA1644" s="393"/>
      <c r="BB1644" s="393"/>
      <c r="BC1644" s="393" t="b">
        <v>0</v>
      </c>
      <c r="BD1644" s="393"/>
      <c r="BE1644" s="392"/>
      <c r="BF1644" s="394">
        <v>4</v>
      </c>
      <c r="BG1644" s="394">
        <v>1</v>
      </c>
      <c r="BH1644" s="394">
        <v>6</v>
      </c>
      <c r="BI1644" s="394">
        <v>9</v>
      </c>
      <c r="BJ1644" s="394">
        <v>10</v>
      </c>
      <c r="BK1644" s="394">
        <v>5</v>
      </c>
      <c r="BL1644" s="444" t="s">
        <v>6981</v>
      </c>
      <c r="BM1644" s="392"/>
      <c r="BN1644" s="393"/>
      <c r="BO1644" s="393"/>
      <c r="BP1644" s="399"/>
      <c r="BQ1644" s="400"/>
      <c r="BR1644" s="401"/>
      <c r="BS1644" s="399"/>
      <c r="BT1644" s="394"/>
      <c r="BU1644" s="417"/>
      <c r="BV1644" s="399"/>
      <c r="BW1644" s="393" t="s">
        <v>3117</v>
      </c>
      <c r="BX1644" s="392"/>
      <c r="BY1644" s="475" t="s">
        <v>7227</v>
      </c>
      <c r="BZ1644" s="393" t="s">
        <v>3165</v>
      </c>
      <c r="CA1644" s="441"/>
      <c r="CB1644" s="400"/>
      <c r="CC1644" s="398"/>
      <c r="CD1644" s="398"/>
      <c r="CE1644" s="398"/>
      <c r="CF1644" s="398"/>
      <c r="CG1644" s="398"/>
      <c r="CH1644" s="398"/>
      <c r="CI1644" s="398"/>
      <c r="CJ1644" s="398"/>
      <c r="CK1644" s="398"/>
      <c r="CL1644" s="398"/>
      <c r="CM1644" s="398">
        <v>8.5060000000000002</v>
      </c>
      <c r="CN1644" s="398">
        <v>17.012</v>
      </c>
      <c r="CO1644" s="398">
        <v>25.518000000000001</v>
      </c>
      <c r="CP1644" s="398">
        <v>34.024999999999999</v>
      </c>
      <c r="CQ1644" s="398">
        <v>42.530999999999999</v>
      </c>
      <c r="CR1644" s="398">
        <v>51.036999999999999</v>
      </c>
      <c r="CS1644" s="398">
        <v>59.543999999999997</v>
      </c>
      <c r="CT1644" s="398"/>
      <c r="CU1644" s="398"/>
      <c r="CV1644" s="398"/>
      <c r="CW1644" s="398"/>
      <c r="CX1644" s="398"/>
      <c r="CY1644" s="398"/>
      <c r="CZ1644" s="398"/>
      <c r="DA1644" s="398"/>
      <c r="DB1644" s="398"/>
      <c r="DC1644" s="398"/>
      <c r="DD1644" s="398"/>
      <c r="DE1644" s="393"/>
      <c r="DF1644" s="393"/>
      <c r="DG1644" s="393"/>
      <c r="DH1644" s="393"/>
      <c r="DI1644" s="393"/>
      <c r="DJ1644" s="393"/>
      <c r="DK1644" s="897"/>
    </row>
    <row r="1645" spans="1:115" ht="25.5" x14ac:dyDescent="0.2">
      <c r="A1645" s="295">
        <v>1641</v>
      </c>
      <c r="B1645" s="449" t="s">
        <v>9296</v>
      </c>
      <c r="C1645" s="390"/>
      <c r="D1645" s="474" t="s">
        <v>9297</v>
      </c>
      <c r="E1645" s="705" t="s">
        <v>9298</v>
      </c>
      <c r="F1645" s="393" t="s">
        <v>1375</v>
      </c>
      <c r="G1645" s="393" t="s">
        <v>998</v>
      </c>
      <c r="H1645" s="475" t="s">
        <v>1048</v>
      </c>
      <c r="I1645" s="392"/>
      <c r="J1645" s="428" t="s">
        <v>1048</v>
      </c>
      <c r="K1645" s="428" t="s">
        <v>1048</v>
      </c>
      <c r="L1645" s="392" t="s">
        <v>3031</v>
      </c>
      <c r="M1645" s="392"/>
      <c r="N1645" s="393" t="s">
        <v>44</v>
      </c>
      <c r="O1645" s="393" t="s">
        <v>34</v>
      </c>
      <c r="P1645" s="393" t="s">
        <v>34</v>
      </c>
      <c r="Q1645" s="392" t="s">
        <v>1145</v>
      </c>
      <c r="R1645" s="392" t="s">
        <v>5559</v>
      </c>
      <c r="S1645" s="392" t="s">
        <v>912</v>
      </c>
      <c r="T1645" s="394">
        <v>1</v>
      </c>
      <c r="U1645" s="395">
        <v>34.024000000000001</v>
      </c>
      <c r="V1645" s="395"/>
      <c r="W1645" s="453"/>
      <c r="X1645" s="394"/>
      <c r="Y1645" s="394">
        <v>7</v>
      </c>
      <c r="Z1645" s="394">
        <v>21</v>
      </c>
      <c r="AA1645" s="395"/>
      <c r="AB1645" s="452">
        <v>43012</v>
      </c>
      <c r="AC1645" s="398"/>
      <c r="AD1645" s="398">
        <v>110.36826301369862</v>
      </c>
      <c r="AE1645" s="393" t="s">
        <v>787</v>
      </c>
      <c r="AF1645" s="417"/>
      <c r="AG1645" s="417"/>
      <c r="AH1645" s="417"/>
      <c r="AI1645" s="394"/>
      <c r="AJ1645" s="453"/>
      <c r="AK1645" s="453"/>
      <c r="AL1645" s="393"/>
      <c r="AM1645" s="393"/>
      <c r="AN1645" s="417"/>
      <c r="AO1645" s="392"/>
      <c r="AP1645" s="428" t="s">
        <v>8116</v>
      </c>
      <c r="AQ1645" s="392"/>
      <c r="AR1645" s="392" t="s">
        <v>55</v>
      </c>
      <c r="AS1645" s="479">
        <v>41503</v>
      </c>
      <c r="AT1645" s="453"/>
      <c r="AU1645" s="453"/>
      <c r="AV1645" s="453"/>
      <c r="AW1645" s="453"/>
      <c r="AX1645" s="453"/>
      <c r="AY1645" s="453"/>
      <c r="AZ1645" s="452">
        <v>43012</v>
      </c>
      <c r="BA1645" s="393"/>
      <c r="BB1645" s="393"/>
      <c r="BC1645" s="393" t="b">
        <v>0</v>
      </c>
      <c r="BD1645" s="393"/>
      <c r="BE1645" s="392"/>
      <c r="BF1645" s="394">
        <v>4</v>
      </c>
      <c r="BG1645" s="394">
        <v>1</v>
      </c>
      <c r="BH1645" s="394">
        <v>6</v>
      </c>
      <c r="BI1645" s="394">
        <v>9</v>
      </c>
      <c r="BJ1645" s="394">
        <v>10</v>
      </c>
      <c r="BK1645" s="394">
        <v>5</v>
      </c>
      <c r="BL1645" s="444" t="s">
        <v>6981</v>
      </c>
      <c r="BM1645" s="392"/>
      <c r="BN1645" s="393"/>
      <c r="BO1645" s="393"/>
      <c r="BP1645" s="399"/>
      <c r="BQ1645" s="400"/>
      <c r="BR1645" s="401"/>
      <c r="BS1645" s="399"/>
      <c r="BT1645" s="394"/>
      <c r="BU1645" s="417"/>
      <c r="BV1645" s="399"/>
      <c r="BW1645" s="393" t="s">
        <v>3117</v>
      </c>
      <c r="BX1645" s="392"/>
      <c r="BY1645" s="475" t="s">
        <v>7227</v>
      </c>
      <c r="BZ1645" s="393" t="s">
        <v>3165</v>
      </c>
      <c r="CA1645" s="441"/>
      <c r="CB1645" s="400"/>
      <c r="CC1645" s="398"/>
      <c r="CD1645" s="398"/>
      <c r="CE1645" s="398"/>
      <c r="CF1645" s="398"/>
      <c r="CG1645" s="398"/>
      <c r="CH1645" s="398"/>
      <c r="CI1645" s="398"/>
      <c r="CJ1645" s="398"/>
      <c r="CK1645" s="398"/>
      <c r="CL1645" s="398"/>
      <c r="CM1645" s="398">
        <v>8.5060000000000002</v>
      </c>
      <c r="CN1645" s="398">
        <v>17.012</v>
      </c>
      <c r="CO1645" s="398">
        <v>25.518000000000001</v>
      </c>
      <c r="CP1645" s="398">
        <v>34.024999999999999</v>
      </c>
      <c r="CQ1645" s="398">
        <v>42.530999999999999</v>
      </c>
      <c r="CR1645" s="398">
        <v>51.036999999999999</v>
      </c>
      <c r="CS1645" s="398">
        <v>59.543999999999997</v>
      </c>
      <c r="CT1645" s="398"/>
      <c r="CU1645" s="398"/>
      <c r="CV1645" s="398"/>
      <c r="CW1645" s="398"/>
      <c r="CX1645" s="398"/>
      <c r="CY1645" s="398"/>
      <c r="CZ1645" s="398"/>
      <c r="DA1645" s="398"/>
      <c r="DB1645" s="398"/>
      <c r="DC1645" s="398"/>
      <c r="DD1645" s="398"/>
      <c r="DE1645" s="393"/>
      <c r="DF1645" s="393"/>
      <c r="DG1645" s="393"/>
      <c r="DH1645" s="393"/>
      <c r="DI1645" s="393"/>
      <c r="DJ1645" s="393"/>
      <c r="DK1645" s="897"/>
    </row>
    <row r="1646" spans="1:115" ht="25.5" x14ac:dyDescent="0.2">
      <c r="A1646" s="295">
        <v>1642</v>
      </c>
      <c r="B1646" s="449" t="s">
        <v>9299</v>
      </c>
      <c r="C1646" s="390"/>
      <c r="D1646" s="474" t="s">
        <v>9300</v>
      </c>
      <c r="E1646" s="705" t="s">
        <v>9301</v>
      </c>
      <c r="F1646" s="393" t="s">
        <v>1375</v>
      </c>
      <c r="G1646" s="393" t="s">
        <v>998</v>
      </c>
      <c r="H1646" s="562" t="s">
        <v>1048</v>
      </c>
      <c r="I1646" s="563"/>
      <c r="J1646" s="428" t="s">
        <v>1048</v>
      </c>
      <c r="K1646" s="428" t="s">
        <v>1048</v>
      </c>
      <c r="L1646" s="392" t="s">
        <v>3031</v>
      </c>
      <c r="M1646" s="563"/>
      <c r="N1646" s="393" t="s">
        <v>44</v>
      </c>
      <c r="O1646" s="393" t="s">
        <v>34</v>
      </c>
      <c r="P1646" s="393" t="s">
        <v>34</v>
      </c>
      <c r="Q1646" s="392" t="s">
        <v>1145</v>
      </c>
      <c r="R1646" s="392" t="s">
        <v>5559</v>
      </c>
      <c r="S1646" s="392" t="s">
        <v>912</v>
      </c>
      <c r="T1646" s="394">
        <v>1</v>
      </c>
      <c r="U1646" s="395">
        <v>34.024000000000001</v>
      </c>
      <c r="V1646" s="565"/>
      <c r="W1646" s="566"/>
      <c r="X1646" s="564"/>
      <c r="Y1646" s="564">
        <v>7</v>
      </c>
      <c r="Z1646" s="564">
        <v>21</v>
      </c>
      <c r="AA1646" s="565"/>
      <c r="AB1646" s="567">
        <v>43012</v>
      </c>
      <c r="AC1646" s="568"/>
      <c r="AD1646" s="568">
        <v>110.36826301369862</v>
      </c>
      <c r="AE1646" s="393" t="s">
        <v>787</v>
      </c>
      <c r="AF1646" s="569"/>
      <c r="AG1646" s="569"/>
      <c r="AH1646" s="569"/>
      <c r="AI1646" s="564"/>
      <c r="AJ1646" s="566"/>
      <c r="AK1646" s="566"/>
      <c r="AL1646" s="561"/>
      <c r="AM1646" s="561"/>
      <c r="AN1646" s="569"/>
      <c r="AO1646" s="563"/>
      <c r="AP1646" s="428" t="s">
        <v>8116</v>
      </c>
      <c r="AQ1646" s="392"/>
      <c r="AR1646" s="392" t="s">
        <v>55</v>
      </c>
      <c r="AS1646" s="479">
        <v>41503</v>
      </c>
      <c r="AT1646" s="566"/>
      <c r="AU1646" s="566"/>
      <c r="AV1646" s="566"/>
      <c r="AW1646" s="566"/>
      <c r="AX1646" s="566"/>
      <c r="AY1646" s="566"/>
      <c r="AZ1646" s="567">
        <v>43012</v>
      </c>
      <c r="BA1646" s="561"/>
      <c r="BB1646" s="561"/>
      <c r="BC1646" s="393" t="b">
        <v>0</v>
      </c>
      <c r="BD1646" s="561"/>
      <c r="BE1646" s="563"/>
      <c r="BF1646" s="394">
        <v>4</v>
      </c>
      <c r="BG1646" s="394">
        <v>1</v>
      </c>
      <c r="BH1646" s="394">
        <v>6</v>
      </c>
      <c r="BI1646" s="394">
        <v>9</v>
      </c>
      <c r="BJ1646" s="394">
        <v>10</v>
      </c>
      <c r="BK1646" s="394">
        <v>5</v>
      </c>
      <c r="BL1646" s="444" t="s">
        <v>6981</v>
      </c>
      <c r="BM1646" s="563"/>
      <c r="BN1646" s="561"/>
      <c r="BO1646" s="561"/>
      <c r="BP1646" s="571"/>
      <c r="BQ1646" s="572"/>
      <c r="BR1646" s="573"/>
      <c r="BS1646" s="571"/>
      <c r="BT1646" s="564"/>
      <c r="BU1646" s="569"/>
      <c r="BV1646" s="571"/>
      <c r="BW1646" s="393" t="s">
        <v>3117</v>
      </c>
      <c r="BX1646" s="392"/>
      <c r="BY1646" s="475" t="s">
        <v>7227</v>
      </c>
      <c r="BZ1646" s="393" t="s">
        <v>3165</v>
      </c>
      <c r="CA1646" s="574"/>
      <c r="CB1646" s="572"/>
      <c r="CC1646" s="568"/>
      <c r="CD1646" s="568"/>
      <c r="CE1646" s="568"/>
      <c r="CF1646" s="568"/>
      <c r="CG1646" s="568"/>
      <c r="CH1646" s="568"/>
      <c r="CI1646" s="568"/>
      <c r="CJ1646" s="568"/>
      <c r="CK1646" s="568"/>
      <c r="CL1646" s="568"/>
      <c r="CM1646" s="398">
        <v>8.5060000000000002</v>
      </c>
      <c r="CN1646" s="398">
        <v>17.012</v>
      </c>
      <c r="CO1646" s="398">
        <v>25.518000000000001</v>
      </c>
      <c r="CP1646" s="398">
        <v>34.024999999999999</v>
      </c>
      <c r="CQ1646" s="398">
        <v>42.530999999999999</v>
      </c>
      <c r="CR1646" s="398">
        <v>51.036999999999999</v>
      </c>
      <c r="CS1646" s="398">
        <v>59.543999999999997</v>
      </c>
      <c r="CT1646" s="568"/>
      <c r="CU1646" s="568"/>
      <c r="CV1646" s="568"/>
      <c r="CW1646" s="568"/>
      <c r="CX1646" s="568"/>
      <c r="CY1646" s="568"/>
      <c r="CZ1646" s="568"/>
      <c r="DA1646" s="568"/>
      <c r="DB1646" s="568"/>
      <c r="DC1646" s="568"/>
      <c r="DD1646" s="568"/>
      <c r="DE1646" s="561"/>
      <c r="DF1646" s="561"/>
      <c r="DG1646" s="561"/>
      <c r="DH1646" s="561"/>
      <c r="DI1646" s="561"/>
      <c r="DJ1646" s="561"/>
      <c r="DK1646" s="897"/>
    </row>
    <row r="1647" spans="1:115" ht="25.5" x14ac:dyDescent="0.2">
      <c r="A1647" s="295">
        <v>1643</v>
      </c>
      <c r="B1647" s="449" t="s">
        <v>9302</v>
      </c>
      <c r="C1647" s="390"/>
      <c r="D1647" s="474" t="s">
        <v>9303</v>
      </c>
      <c r="E1647" s="705" t="s">
        <v>9304</v>
      </c>
      <c r="F1647" s="393" t="s">
        <v>1375</v>
      </c>
      <c r="G1647" s="393" t="s">
        <v>998</v>
      </c>
      <c r="H1647" s="562" t="s">
        <v>1048</v>
      </c>
      <c r="I1647" s="563"/>
      <c r="J1647" s="428" t="s">
        <v>1048</v>
      </c>
      <c r="K1647" s="428" t="s">
        <v>1048</v>
      </c>
      <c r="L1647" s="392" t="s">
        <v>3031</v>
      </c>
      <c r="M1647" s="563"/>
      <c r="N1647" s="393" t="s">
        <v>44</v>
      </c>
      <c r="O1647" s="393" t="s">
        <v>34</v>
      </c>
      <c r="P1647" s="393" t="s">
        <v>34</v>
      </c>
      <c r="Q1647" s="392" t="s">
        <v>1145</v>
      </c>
      <c r="R1647" s="392" t="s">
        <v>5559</v>
      </c>
      <c r="S1647" s="392" t="s">
        <v>912</v>
      </c>
      <c r="T1647" s="394">
        <v>1</v>
      </c>
      <c r="U1647" s="395">
        <v>34.024000000000001</v>
      </c>
      <c r="V1647" s="565"/>
      <c r="W1647" s="566"/>
      <c r="X1647" s="564"/>
      <c r="Y1647" s="564">
        <v>7</v>
      </c>
      <c r="Z1647" s="564">
        <v>21</v>
      </c>
      <c r="AA1647" s="565"/>
      <c r="AB1647" s="567">
        <v>43012</v>
      </c>
      <c r="AC1647" s="568"/>
      <c r="AD1647" s="568">
        <v>110.36826301369862</v>
      </c>
      <c r="AE1647" s="393" t="s">
        <v>787</v>
      </c>
      <c r="AF1647" s="569"/>
      <c r="AG1647" s="569"/>
      <c r="AH1647" s="569"/>
      <c r="AI1647" s="564"/>
      <c r="AJ1647" s="566"/>
      <c r="AK1647" s="566"/>
      <c r="AL1647" s="561"/>
      <c r="AM1647" s="561"/>
      <c r="AN1647" s="569"/>
      <c r="AO1647" s="563"/>
      <c r="AP1647" s="428" t="s">
        <v>8116</v>
      </c>
      <c r="AQ1647" s="392"/>
      <c r="AR1647" s="392" t="s">
        <v>55</v>
      </c>
      <c r="AS1647" s="479">
        <v>41503</v>
      </c>
      <c r="AT1647" s="566"/>
      <c r="AU1647" s="566"/>
      <c r="AV1647" s="566"/>
      <c r="AW1647" s="566"/>
      <c r="AX1647" s="566"/>
      <c r="AY1647" s="566"/>
      <c r="AZ1647" s="567">
        <v>43012</v>
      </c>
      <c r="BA1647" s="561"/>
      <c r="BB1647" s="561"/>
      <c r="BC1647" s="393" t="b">
        <v>0</v>
      </c>
      <c r="BD1647" s="561"/>
      <c r="BE1647" s="563"/>
      <c r="BF1647" s="394">
        <v>4</v>
      </c>
      <c r="BG1647" s="394">
        <v>1</v>
      </c>
      <c r="BH1647" s="394">
        <v>6</v>
      </c>
      <c r="BI1647" s="394">
        <v>9</v>
      </c>
      <c r="BJ1647" s="394">
        <v>10</v>
      </c>
      <c r="BK1647" s="394">
        <v>5</v>
      </c>
      <c r="BL1647" s="444" t="s">
        <v>6981</v>
      </c>
      <c r="BM1647" s="563"/>
      <c r="BN1647" s="561"/>
      <c r="BO1647" s="561"/>
      <c r="BP1647" s="571"/>
      <c r="BQ1647" s="572"/>
      <c r="BR1647" s="573"/>
      <c r="BS1647" s="571"/>
      <c r="BT1647" s="564"/>
      <c r="BU1647" s="569"/>
      <c r="BV1647" s="571"/>
      <c r="BW1647" s="393" t="s">
        <v>3117</v>
      </c>
      <c r="BX1647" s="392"/>
      <c r="BY1647" s="475" t="s">
        <v>7227</v>
      </c>
      <c r="BZ1647" s="393" t="s">
        <v>3165</v>
      </c>
      <c r="CA1647" s="574"/>
      <c r="CB1647" s="572"/>
      <c r="CC1647" s="568"/>
      <c r="CD1647" s="568"/>
      <c r="CE1647" s="568"/>
      <c r="CF1647" s="568"/>
      <c r="CG1647" s="568"/>
      <c r="CH1647" s="568"/>
      <c r="CI1647" s="568"/>
      <c r="CJ1647" s="568"/>
      <c r="CK1647" s="568"/>
      <c r="CL1647" s="568"/>
      <c r="CM1647" s="398">
        <v>8.5060000000000002</v>
      </c>
      <c r="CN1647" s="398">
        <v>17.012</v>
      </c>
      <c r="CO1647" s="398">
        <v>25.518000000000001</v>
      </c>
      <c r="CP1647" s="398">
        <v>34.024999999999999</v>
      </c>
      <c r="CQ1647" s="398">
        <v>42.530999999999999</v>
      </c>
      <c r="CR1647" s="398">
        <v>51.036999999999999</v>
      </c>
      <c r="CS1647" s="398">
        <v>59.543999999999997</v>
      </c>
      <c r="CT1647" s="568"/>
      <c r="CU1647" s="568"/>
      <c r="CV1647" s="568"/>
      <c r="CW1647" s="568"/>
      <c r="CX1647" s="568"/>
      <c r="CY1647" s="568"/>
      <c r="CZ1647" s="568"/>
      <c r="DA1647" s="568"/>
      <c r="DB1647" s="568"/>
      <c r="DC1647" s="568"/>
      <c r="DD1647" s="568"/>
      <c r="DE1647" s="561"/>
      <c r="DF1647" s="561"/>
      <c r="DG1647" s="561"/>
      <c r="DH1647" s="561"/>
      <c r="DI1647" s="561"/>
      <c r="DJ1647" s="561"/>
      <c r="DK1647" s="897"/>
    </row>
    <row r="1648" spans="1:115" ht="25.5" x14ac:dyDescent="0.2">
      <c r="A1648" s="295">
        <v>1644</v>
      </c>
      <c r="B1648" s="449" t="s">
        <v>9305</v>
      </c>
      <c r="C1648" s="390"/>
      <c r="D1648" s="474" t="s">
        <v>9306</v>
      </c>
      <c r="E1648" s="705" t="s">
        <v>9307</v>
      </c>
      <c r="F1648" s="393" t="s">
        <v>1375</v>
      </c>
      <c r="G1648" s="393" t="s">
        <v>998</v>
      </c>
      <c r="H1648" s="562" t="s">
        <v>1048</v>
      </c>
      <c r="I1648" s="563"/>
      <c r="J1648" s="428" t="s">
        <v>1048</v>
      </c>
      <c r="K1648" s="428" t="s">
        <v>1048</v>
      </c>
      <c r="L1648" s="392" t="s">
        <v>3031</v>
      </c>
      <c r="M1648" s="563"/>
      <c r="N1648" s="393" t="s">
        <v>44</v>
      </c>
      <c r="O1648" s="393" t="s">
        <v>34</v>
      </c>
      <c r="P1648" s="393" t="s">
        <v>34</v>
      </c>
      <c r="Q1648" s="392" t="s">
        <v>1145</v>
      </c>
      <c r="R1648" s="392" t="s">
        <v>5559</v>
      </c>
      <c r="S1648" s="392" t="s">
        <v>912</v>
      </c>
      <c r="T1648" s="394">
        <v>1</v>
      </c>
      <c r="U1648" s="395">
        <v>34.024000000000001</v>
      </c>
      <c r="V1648" s="565"/>
      <c r="W1648" s="566"/>
      <c r="X1648" s="564"/>
      <c r="Y1648" s="564">
        <v>7</v>
      </c>
      <c r="Z1648" s="564">
        <v>21</v>
      </c>
      <c r="AA1648" s="565"/>
      <c r="AB1648" s="567">
        <v>43012</v>
      </c>
      <c r="AC1648" s="568"/>
      <c r="AD1648" s="568">
        <v>110.36826301369862</v>
      </c>
      <c r="AE1648" s="393" t="s">
        <v>787</v>
      </c>
      <c r="AF1648" s="569"/>
      <c r="AG1648" s="569"/>
      <c r="AH1648" s="569"/>
      <c r="AI1648" s="564"/>
      <c r="AJ1648" s="566"/>
      <c r="AK1648" s="566"/>
      <c r="AL1648" s="561"/>
      <c r="AM1648" s="561"/>
      <c r="AN1648" s="569"/>
      <c r="AO1648" s="563"/>
      <c r="AP1648" s="428" t="s">
        <v>8116</v>
      </c>
      <c r="AQ1648" s="392"/>
      <c r="AR1648" s="392" t="s">
        <v>55</v>
      </c>
      <c r="AS1648" s="479">
        <v>41503</v>
      </c>
      <c r="AT1648" s="566"/>
      <c r="AU1648" s="566"/>
      <c r="AV1648" s="566"/>
      <c r="AW1648" s="566"/>
      <c r="AX1648" s="566"/>
      <c r="AY1648" s="566"/>
      <c r="AZ1648" s="567">
        <v>43012</v>
      </c>
      <c r="BA1648" s="561"/>
      <c r="BB1648" s="561"/>
      <c r="BC1648" s="393" t="b">
        <v>0</v>
      </c>
      <c r="BD1648" s="561"/>
      <c r="BE1648" s="563"/>
      <c r="BF1648" s="394">
        <v>4</v>
      </c>
      <c r="BG1648" s="394">
        <v>1</v>
      </c>
      <c r="BH1648" s="394">
        <v>6</v>
      </c>
      <c r="BI1648" s="394">
        <v>9</v>
      </c>
      <c r="BJ1648" s="394">
        <v>10</v>
      </c>
      <c r="BK1648" s="394">
        <v>5</v>
      </c>
      <c r="BL1648" s="444" t="s">
        <v>6981</v>
      </c>
      <c r="BM1648" s="563"/>
      <c r="BN1648" s="561"/>
      <c r="BO1648" s="561"/>
      <c r="BP1648" s="571"/>
      <c r="BQ1648" s="572"/>
      <c r="BR1648" s="573"/>
      <c r="BS1648" s="571"/>
      <c r="BT1648" s="564"/>
      <c r="BU1648" s="569"/>
      <c r="BV1648" s="571"/>
      <c r="BW1648" s="393" t="s">
        <v>3117</v>
      </c>
      <c r="BX1648" s="392"/>
      <c r="BY1648" s="475" t="s">
        <v>7227</v>
      </c>
      <c r="BZ1648" s="393" t="s">
        <v>3165</v>
      </c>
      <c r="CA1648" s="574"/>
      <c r="CB1648" s="572"/>
      <c r="CC1648" s="568"/>
      <c r="CD1648" s="568"/>
      <c r="CE1648" s="568"/>
      <c r="CF1648" s="568"/>
      <c r="CG1648" s="568"/>
      <c r="CH1648" s="568"/>
      <c r="CI1648" s="568"/>
      <c r="CJ1648" s="568"/>
      <c r="CK1648" s="568"/>
      <c r="CL1648" s="568"/>
      <c r="CM1648" s="398">
        <v>8.5060000000000002</v>
      </c>
      <c r="CN1648" s="398">
        <v>17.012</v>
      </c>
      <c r="CO1648" s="398">
        <v>25.518000000000001</v>
      </c>
      <c r="CP1648" s="398">
        <v>34.024999999999999</v>
      </c>
      <c r="CQ1648" s="398">
        <v>42.530999999999999</v>
      </c>
      <c r="CR1648" s="398">
        <v>51.036999999999999</v>
      </c>
      <c r="CS1648" s="398">
        <v>59.543999999999997</v>
      </c>
      <c r="CT1648" s="568"/>
      <c r="CU1648" s="568"/>
      <c r="CV1648" s="568"/>
      <c r="CW1648" s="568"/>
      <c r="CX1648" s="568"/>
      <c r="CY1648" s="568"/>
      <c r="CZ1648" s="568"/>
      <c r="DA1648" s="568"/>
      <c r="DB1648" s="568"/>
      <c r="DC1648" s="568"/>
      <c r="DD1648" s="568"/>
      <c r="DE1648" s="561"/>
      <c r="DF1648" s="561"/>
      <c r="DG1648" s="561"/>
      <c r="DH1648" s="561"/>
      <c r="DI1648" s="561"/>
      <c r="DJ1648" s="561"/>
      <c r="DK1648" s="897"/>
    </row>
    <row r="1649" spans="1:115" ht="25.5" x14ac:dyDescent="0.2">
      <c r="A1649" s="295">
        <v>1645</v>
      </c>
      <c r="B1649" s="449" t="s">
        <v>9344</v>
      </c>
      <c r="C1649" s="390"/>
      <c r="D1649" s="474" t="s">
        <v>9345</v>
      </c>
      <c r="E1649" s="705" t="s">
        <v>9362</v>
      </c>
      <c r="F1649" s="393" t="s">
        <v>1375</v>
      </c>
      <c r="G1649" s="393" t="s">
        <v>998</v>
      </c>
      <c r="H1649" s="561" t="s">
        <v>245</v>
      </c>
      <c r="I1649" s="563"/>
      <c r="J1649" s="392" t="s">
        <v>245</v>
      </c>
      <c r="K1649" s="392" t="s">
        <v>245</v>
      </c>
      <c r="L1649" s="392" t="s">
        <v>3031</v>
      </c>
      <c r="M1649" s="563"/>
      <c r="N1649" s="393" t="s">
        <v>44</v>
      </c>
      <c r="O1649" s="393" t="s">
        <v>34</v>
      </c>
      <c r="P1649" s="393" t="s">
        <v>34</v>
      </c>
      <c r="Q1649" s="428" t="s">
        <v>1145</v>
      </c>
      <c r="R1649" s="392" t="s">
        <v>5559</v>
      </c>
      <c r="S1649" s="392" t="s">
        <v>912</v>
      </c>
      <c r="T1649" s="394">
        <v>1</v>
      </c>
      <c r="U1649" s="395">
        <v>35.340000000000003</v>
      </c>
      <c r="V1649" s="565"/>
      <c r="W1649" s="566"/>
      <c r="X1649" s="564"/>
      <c r="Y1649" s="564">
        <v>7</v>
      </c>
      <c r="Z1649" s="564">
        <v>21</v>
      </c>
      <c r="AA1649" s="565"/>
      <c r="AB1649" s="567">
        <v>43084</v>
      </c>
      <c r="AC1649" s="568"/>
      <c r="AD1649" s="568">
        <v>107.66597260273973</v>
      </c>
      <c r="AE1649" s="393" t="s">
        <v>787</v>
      </c>
      <c r="AF1649" s="569"/>
      <c r="AG1649" s="569"/>
      <c r="AH1649" s="569"/>
      <c r="AI1649" s="564"/>
      <c r="AJ1649" s="566"/>
      <c r="AK1649" s="566"/>
      <c r="AL1649" s="561"/>
      <c r="AM1649" s="561"/>
      <c r="AN1649" s="569"/>
      <c r="AO1649" s="563"/>
      <c r="AP1649" s="428" t="s">
        <v>9371</v>
      </c>
      <c r="AQ1649" s="392"/>
      <c r="AR1649" s="392" t="s">
        <v>55</v>
      </c>
      <c r="AS1649" s="479">
        <v>41503</v>
      </c>
      <c r="AT1649" s="566"/>
      <c r="AU1649" s="566"/>
      <c r="AV1649" s="566"/>
      <c r="AW1649" s="566"/>
      <c r="AX1649" s="566"/>
      <c r="AY1649" s="566"/>
      <c r="AZ1649" s="567">
        <v>43060</v>
      </c>
      <c r="BA1649" s="561"/>
      <c r="BB1649" s="561"/>
      <c r="BC1649" s="393" t="b">
        <v>0</v>
      </c>
      <c r="BD1649" s="561"/>
      <c r="BE1649" s="563"/>
      <c r="BF1649" s="394">
        <v>4</v>
      </c>
      <c r="BG1649" s="394">
        <v>1</v>
      </c>
      <c r="BH1649" s="394">
        <v>6</v>
      </c>
      <c r="BI1649" s="394">
        <v>9</v>
      </c>
      <c r="BJ1649" s="394">
        <v>10</v>
      </c>
      <c r="BK1649" s="394">
        <v>5</v>
      </c>
      <c r="BL1649" s="444" t="s">
        <v>6981</v>
      </c>
      <c r="BM1649" s="563"/>
      <c r="BN1649" s="561"/>
      <c r="BO1649" s="561"/>
      <c r="BP1649" s="571"/>
      <c r="BQ1649" s="572"/>
      <c r="BR1649" s="573"/>
      <c r="BS1649" s="571"/>
      <c r="BT1649" s="564"/>
      <c r="BU1649" s="569"/>
      <c r="BV1649" s="571"/>
      <c r="BW1649" s="393" t="s">
        <v>3117</v>
      </c>
      <c r="BX1649" s="392"/>
      <c r="BY1649" s="475" t="s">
        <v>7227</v>
      </c>
      <c r="BZ1649" s="393" t="s">
        <v>3165</v>
      </c>
      <c r="CA1649" s="574"/>
      <c r="CB1649" s="572"/>
      <c r="CC1649" s="568"/>
      <c r="CD1649" s="568"/>
      <c r="CE1649" s="568"/>
      <c r="CF1649" s="568"/>
      <c r="CG1649" s="568"/>
      <c r="CH1649" s="568"/>
      <c r="CI1649" s="568"/>
      <c r="CJ1649" s="568"/>
      <c r="CK1649" s="568"/>
      <c r="CL1649" s="568"/>
      <c r="CM1649" s="398">
        <v>10.734</v>
      </c>
      <c r="CN1649" s="398">
        <v>20.395</v>
      </c>
      <c r="CO1649" s="398">
        <v>29.088999999999999</v>
      </c>
      <c r="CP1649" s="398">
        <v>36.914999999999999</v>
      </c>
      <c r="CQ1649" s="398">
        <v>43.957000000000001</v>
      </c>
      <c r="CR1649" s="398">
        <v>50.295999999999999</v>
      </c>
      <c r="CS1649" s="398">
        <v>56</v>
      </c>
      <c r="CT1649" s="568"/>
      <c r="CU1649" s="568"/>
      <c r="CV1649" s="568"/>
      <c r="CW1649" s="568"/>
      <c r="CX1649" s="568"/>
      <c r="CY1649" s="568"/>
      <c r="CZ1649" s="568"/>
      <c r="DA1649" s="568"/>
      <c r="DB1649" s="568"/>
      <c r="DC1649" s="568"/>
      <c r="DD1649" s="568"/>
      <c r="DE1649" s="561"/>
      <c r="DF1649" s="561"/>
      <c r="DG1649" s="561"/>
      <c r="DH1649" s="561"/>
      <c r="DI1649" s="561"/>
      <c r="DJ1649" s="561"/>
      <c r="DK1649" s="897"/>
    </row>
    <row r="1650" spans="1:115" ht="25.5" x14ac:dyDescent="0.2">
      <c r="A1650" s="295">
        <v>1646</v>
      </c>
      <c r="B1650" s="449" t="s">
        <v>9346</v>
      </c>
      <c r="C1650" s="390"/>
      <c r="D1650" s="474" t="s">
        <v>9347</v>
      </c>
      <c r="E1650" s="705" t="s">
        <v>9363</v>
      </c>
      <c r="F1650" s="475" t="s">
        <v>1375</v>
      </c>
      <c r="G1650" s="393" t="s">
        <v>998</v>
      </c>
      <c r="H1650" s="561" t="s">
        <v>245</v>
      </c>
      <c r="I1650" s="563"/>
      <c r="J1650" s="392" t="s">
        <v>245</v>
      </c>
      <c r="K1650" s="392" t="s">
        <v>245</v>
      </c>
      <c r="L1650" s="392" t="s">
        <v>3031</v>
      </c>
      <c r="M1650" s="563"/>
      <c r="N1650" s="393" t="s">
        <v>44</v>
      </c>
      <c r="O1650" s="393" t="s">
        <v>34</v>
      </c>
      <c r="P1650" s="393" t="s">
        <v>34</v>
      </c>
      <c r="Q1650" s="428" t="s">
        <v>1145</v>
      </c>
      <c r="R1650" s="392" t="s">
        <v>5559</v>
      </c>
      <c r="S1650" s="392" t="s">
        <v>912</v>
      </c>
      <c r="T1650" s="394">
        <v>1</v>
      </c>
      <c r="U1650" s="395">
        <v>35.340000000000003</v>
      </c>
      <c r="V1650" s="565"/>
      <c r="W1650" s="566"/>
      <c r="X1650" s="564"/>
      <c r="Y1650" s="564">
        <v>7</v>
      </c>
      <c r="Z1650" s="564">
        <v>21</v>
      </c>
      <c r="AA1650" s="565"/>
      <c r="AB1650" s="567">
        <v>43084</v>
      </c>
      <c r="AC1650" s="568"/>
      <c r="AD1650" s="568">
        <v>107.66597260273973</v>
      </c>
      <c r="AE1650" s="393" t="s">
        <v>787</v>
      </c>
      <c r="AF1650" s="569"/>
      <c r="AG1650" s="569"/>
      <c r="AH1650" s="569"/>
      <c r="AI1650" s="564"/>
      <c r="AJ1650" s="566"/>
      <c r="AK1650" s="566"/>
      <c r="AL1650" s="561"/>
      <c r="AM1650" s="561"/>
      <c r="AN1650" s="569"/>
      <c r="AO1650" s="563"/>
      <c r="AP1650" s="428" t="s">
        <v>9371</v>
      </c>
      <c r="AQ1650" s="392"/>
      <c r="AR1650" s="392" t="s">
        <v>55</v>
      </c>
      <c r="AS1650" s="479">
        <v>41503</v>
      </c>
      <c r="AT1650" s="566"/>
      <c r="AU1650" s="566"/>
      <c r="AV1650" s="566"/>
      <c r="AW1650" s="566"/>
      <c r="AX1650" s="566"/>
      <c r="AY1650" s="566"/>
      <c r="AZ1650" s="567">
        <v>43060</v>
      </c>
      <c r="BA1650" s="561"/>
      <c r="BB1650" s="561"/>
      <c r="BC1650" s="393" t="b">
        <v>0</v>
      </c>
      <c r="BD1650" s="561"/>
      <c r="BE1650" s="563"/>
      <c r="BF1650" s="394">
        <v>4</v>
      </c>
      <c r="BG1650" s="394">
        <v>1</v>
      </c>
      <c r="BH1650" s="394">
        <v>6</v>
      </c>
      <c r="BI1650" s="394">
        <v>9</v>
      </c>
      <c r="BJ1650" s="394">
        <v>10</v>
      </c>
      <c r="BK1650" s="394">
        <v>5</v>
      </c>
      <c r="BL1650" s="444" t="s">
        <v>6981</v>
      </c>
      <c r="BM1650" s="563"/>
      <c r="BN1650" s="561"/>
      <c r="BO1650" s="561"/>
      <c r="BP1650" s="571"/>
      <c r="BQ1650" s="572"/>
      <c r="BR1650" s="573"/>
      <c r="BS1650" s="571"/>
      <c r="BT1650" s="564"/>
      <c r="BU1650" s="569"/>
      <c r="BV1650" s="571"/>
      <c r="BW1650" s="393" t="s">
        <v>3117</v>
      </c>
      <c r="BX1650" s="392"/>
      <c r="BY1650" s="475" t="s">
        <v>7227</v>
      </c>
      <c r="BZ1650" s="393" t="s">
        <v>3165</v>
      </c>
      <c r="CA1650" s="574"/>
      <c r="CB1650" s="572"/>
      <c r="CC1650" s="568"/>
      <c r="CD1650" s="568"/>
      <c r="CE1650" s="568"/>
      <c r="CF1650" s="568"/>
      <c r="CG1650" s="568"/>
      <c r="CH1650" s="568"/>
      <c r="CI1650" s="568"/>
      <c r="CJ1650" s="568"/>
      <c r="CK1650" s="568"/>
      <c r="CL1650" s="568"/>
      <c r="CM1650" s="398">
        <v>10.734</v>
      </c>
      <c r="CN1650" s="398">
        <v>20.395</v>
      </c>
      <c r="CO1650" s="398">
        <v>29.088999999999999</v>
      </c>
      <c r="CP1650" s="398">
        <v>36.914999999999999</v>
      </c>
      <c r="CQ1650" s="398">
        <v>43.957000000000001</v>
      </c>
      <c r="CR1650" s="398">
        <v>50.295999999999999</v>
      </c>
      <c r="CS1650" s="398">
        <v>56</v>
      </c>
      <c r="CT1650" s="568"/>
      <c r="CU1650" s="568"/>
      <c r="CV1650" s="568"/>
      <c r="CW1650" s="568"/>
      <c r="CX1650" s="568"/>
      <c r="CY1650" s="568"/>
      <c r="CZ1650" s="568"/>
      <c r="DA1650" s="568"/>
      <c r="DB1650" s="568"/>
      <c r="DC1650" s="568"/>
      <c r="DD1650" s="568"/>
      <c r="DE1650" s="561"/>
      <c r="DF1650" s="561"/>
      <c r="DG1650" s="561"/>
      <c r="DH1650" s="561"/>
      <c r="DI1650" s="561"/>
      <c r="DJ1650" s="561"/>
      <c r="DK1650" s="897"/>
    </row>
    <row r="1651" spans="1:115" ht="25.5" x14ac:dyDescent="0.2">
      <c r="A1651" s="295">
        <v>1647</v>
      </c>
      <c r="B1651" s="449" t="s">
        <v>9348</v>
      </c>
      <c r="C1651" s="390"/>
      <c r="D1651" s="474" t="s">
        <v>9349</v>
      </c>
      <c r="E1651" s="705" t="s">
        <v>9364</v>
      </c>
      <c r="F1651" s="475" t="s">
        <v>1375</v>
      </c>
      <c r="G1651" s="393" t="s">
        <v>998</v>
      </c>
      <c r="H1651" s="561" t="s">
        <v>245</v>
      </c>
      <c r="I1651" s="563"/>
      <c r="J1651" s="392" t="s">
        <v>245</v>
      </c>
      <c r="K1651" s="392" t="s">
        <v>245</v>
      </c>
      <c r="L1651" s="392" t="s">
        <v>3031</v>
      </c>
      <c r="M1651" s="563"/>
      <c r="N1651" s="393" t="s">
        <v>44</v>
      </c>
      <c r="O1651" s="393" t="s">
        <v>34</v>
      </c>
      <c r="P1651" s="393" t="s">
        <v>34</v>
      </c>
      <c r="Q1651" s="428" t="s">
        <v>1145</v>
      </c>
      <c r="R1651" s="392" t="s">
        <v>5559</v>
      </c>
      <c r="S1651" s="392" t="s">
        <v>912</v>
      </c>
      <c r="T1651" s="394">
        <v>1</v>
      </c>
      <c r="U1651" s="395">
        <v>35.340000000000003</v>
      </c>
      <c r="V1651" s="565"/>
      <c r="W1651" s="566"/>
      <c r="X1651" s="564"/>
      <c r="Y1651" s="564">
        <v>7</v>
      </c>
      <c r="Z1651" s="564">
        <v>21</v>
      </c>
      <c r="AA1651" s="565"/>
      <c r="AB1651" s="567">
        <v>43084</v>
      </c>
      <c r="AC1651" s="568"/>
      <c r="AD1651" s="568">
        <v>107.66597260273973</v>
      </c>
      <c r="AE1651" s="393" t="s">
        <v>787</v>
      </c>
      <c r="AF1651" s="569"/>
      <c r="AG1651" s="569"/>
      <c r="AH1651" s="569"/>
      <c r="AI1651" s="564"/>
      <c r="AJ1651" s="566"/>
      <c r="AK1651" s="566"/>
      <c r="AL1651" s="561"/>
      <c r="AM1651" s="561"/>
      <c r="AN1651" s="569"/>
      <c r="AO1651" s="563"/>
      <c r="AP1651" s="428" t="s">
        <v>9371</v>
      </c>
      <c r="AQ1651" s="392"/>
      <c r="AR1651" s="392" t="s">
        <v>55</v>
      </c>
      <c r="AS1651" s="479">
        <v>41503</v>
      </c>
      <c r="AT1651" s="566"/>
      <c r="AU1651" s="566"/>
      <c r="AV1651" s="566"/>
      <c r="AW1651" s="566"/>
      <c r="AX1651" s="566"/>
      <c r="AY1651" s="566"/>
      <c r="AZ1651" s="567">
        <v>43060</v>
      </c>
      <c r="BA1651" s="561"/>
      <c r="BB1651" s="561"/>
      <c r="BC1651" s="393" t="b">
        <v>0</v>
      </c>
      <c r="BD1651" s="561"/>
      <c r="BE1651" s="563"/>
      <c r="BF1651" s="394">
        <v>4</v>
      </c>
      <c r="BG1651" s="394">
        <v>1</v>
      </c>
      <c r="BH1651" s="394">
        <v>6</v>
      </c>
      <c r="BI1651" s="394">
        <v>9</v>
      </c>
      <c r="BJ1651" s="394">
        <v>10</v>
      </c>
      <c r="BK1651" s="394">
        <v>5</v>
      </c>
      <c r="BL1651" s="444" t="s">
        <v>6981</v>
      </c>
      <c r="BM1651" s="563"/>
      <c r="BN1651" s="561"/>
      <c r="BO1651" s="561"/>
      <c r="BP1651" s="571"/>
      <c r="BQ1651" s="572"/>
      <c r="BR1651" s="573"/>
      <c r="BS1651" s="571"/>
      <c r="BT1651" s="564"/>
      <c r="BU1651" s="569"/>
      <c r="BV1651" s="571"/>
      <c r="BW1651" s="393" t="s">
        <v>3117</v>
      </c>
      <c r="BX1651" s="392"/>
      <c r="BY1651" s="475" t="s">
        <v>7227</v>
      </c>
      <c r="BZ1651" s="393" t="s">
        <v>3165</v>
      </c>
      <c r="CA1651" s="574"/>
      <c r="CB1651" s="572"/>
      <c r="CC1651" s="568"/>
      <c r="CD1651" s="568"/>
      <c r="CE1651" s="568"/>
      <c r="CF1651" s="568"/>
      <c r="CG1651" s="568"/>
      <c r="CH1651" s="568"/>
      <c r="CI1651" s="568"/>
      <c r="CJ1651" s="568"/>
      <c r="CK1651" s="568"/>
      <c r="CL1651" s="568"/>
      <c r="CM1651" s="398">
        <v>10.734</v>
      </c>
      <c r="CN1651" s="398">
        <v>20.395</v>
      </c>
      <c r="CO1651" s="398">
        <v>29.088999999999999</v>
      </c>
      <c r="CP1651" s="398">
        <v>36.914999999999999</v>
      </c>
      <c r="CQ1651" s="398">
        <v>43.957000000000001</v>
      </c>
      <c r="CR1651" s="398">
        <v>50.295999999999999</v>
      </c>
      <c r="CS1651" s="398">
        <v>56</v>
      </c>
      <c r="CT1651" s="568"/>
      <c r="CU1651" s="568"/>
      <c r="CV1651" s="568"/>
      <c r="CW1651" s="568"/>
      <c r="CX1651" s="568"/>
      <c r="CY1651" s="568"/>
      <c r="CZ1651" s="568"/>
      <c r="DA1651" s="568"/>
      <c r="DB1651" s="568"/>
      <c r="DC1651" s="568"/>
      <c r="DD1651" s="568"/>
      <c r="DE1651" s="561"/>
      <c r="DF1651" s="561"/>
      <c r="DG1651" s="561"/>
      <c r="DH1651" s="561"/>
      <c r="DI1651" s="561"/>
      <c r="DJ1651" s="561"/>
      <c r="DK1651" s="897"/>
    </row>
    <row r="1652" spans="1:115" ht="25.5" x14ac:dyDescent="0.2">
      <c r="A1652" s="295">
        <v>1648</v>
      </c>
      <c r="B1652" s="449" t="s">
        <v>9350</v>
      </c>
      <c r="C1652" s="390"/>
      <c r="D1652" s="474" t="s">
        <v>9351</v>
      </c>
      <c r="E1652" s="705" t="s">
        <v>9365</v>
      </c>
      <c r="F1652" s="475" t="s">
        <v>1375</v>
      </c>
      <c r="G1652" s="393" t="s">
        <v>998</v>
      </c>
      <c r="H1652" s="561" t="s">
        <v>245</v>
      </c>
      <c r="I1652" s="563"/>
      <c r="J1652" s="392" t="s">
        <v>245</v>
      </c>
      <c r="K1652" s="392" t="s">
        <v>245</v>
      </c>
      <c r="L1652" s="392" t="s">
        <v>3031</v>
      </c>
      <c r="M1652" s="563"/>
      <c r="N1652" s="393" t="s">
        <v>44</v>
      </c>
      <c r="O1652" s="393" t="s">
        <v>34</v>
      </c>
      <c r="P1652" s="393" t="s">
        <v>34</v>
      </c>
      <c r="Q1652" s="428" t="s">
        <v>1145</v>
      </c>
      <c r="R1652" s="392" t="s">
        <v>5559</v>
      </c>
      <c r="S1652" s="392" t="s">
        <v>912</v>
      </c>
      <c r="T1652" s="394">
        <v>1</v>
      </c>
      <c r="U1652" s="395">
        <v>35.340000000000003</v>
      </c>
      <c r="V1652" s="565"/>
      <c r="W1652" s="566"/>
      <c r="X1652" s="564"/>
      <c r="Y1652" s="564">
        <v>7</v>
      </c>
      <c r="Z1652" s="564">
        <v>21</v>
      </c>
      <c r="AA1652" s="565"/>
      <c r="AB1652" s="567">
        <v>43084</v>
      </c>
      <c r="AC1652" s="568"/>
      <c r="AD1652" s="568">
        <v>107.66597260273973</v>
      </c>
      <c r="AE1652" s="393" t="s">
        <v>787</v>
      </c>
      <c r="AF1652" s="569"/>
      <c r="AG1652" s="569"/>
      <c r="AH1652" s="569"/>
      <c r="AI1652" s="564"/>
      <c r="AJ1652" s="566"/>
      <c r="AK1652" s="566"/>
      <c r="AL1652" s="561"/>
      <c r="AM1652" s="561"/>
      <c r="AN1652" s="569"/>
      <c r="AO1652" s="563"/>
      <c r="AP1652" s="428" t="s">
        <v>9371</v>
      </c>
      <c r="AQ1652" s="392"/>
      <c r="AR1652" s="392" t="s">
        <v>55</v>
      </c>
      <c r="AS1652" s="479">
        <v>41503</v>
      </c>
      <c r="AT1652" s="566"/>
      <c r="AU1652" s="566"/>
      <c r="AV1652" s="566"/>
      <c r="AW1652" s="566"/>
      <c r="AX1652" s="566"/>
      <c r="AY1652" s="566"/>
      <c r="AZ1652" s="567">
        <v>43060</v>
      </c>
      <c r="BA1652" s="561"/>
      <c r="BB1652" s="561"/>
      <c r="BC1652" s="393" t="b">
        <v>0</v>
      </c>
      <c r="BD1652" s="561"/>
      <c r="BE1652" s="563"/>
      <c r="BF1652" s="394">
        <v>4</v>
      </c>
      <c r="BG1652" s="394">
        <v>1</v>
      </c>
      <c r="BH1652" s="394">
        <v>6</v>
      </c>
      <c r="BI1652" s="394">
        <v>9</v>
      </c>
      <c r="BJ1652" s="394">
        <v>10</v>
      </c>
      <c r="BK1652" s="394">
        <v>5</v>
      </c>
      <c r="BL1652" s="444" t="s">
        <v>6981</v>
      </c>
      <c r="BM1652" s="563"/>
      <c r="BN1652" s="561"/>
      <c r="BO1652" s="561"/>
      <c r="BP1652" s="571"/>
      <c r="BQ1652" s="572"/>
      <c r="BR1652" s="573"/>
      <c r="BS1652" s="571"/>
      <c r="BT1652" s="564"/>
      <c r="BU1652" s="569"/>
      <c r="BV1652" s="571"/>
      <c r="BW1652" s="393" t="s">
        <v>3117</v>
      </c>
      <c r="BX1652" s="392"/>
      <c r="BY1652" s="475" t="s">
        <v>7227</v>
      </c>
      <c r="BZ1652" s="393" t="s">
        <v>3165</v>
      </c>
      <c r="CA1652" s="574"/>
      <c r="CB1652" s="572"/>
      <c r="CC1652" s="568"/>
      <c r="CD1652" s="568"/>
      <c r="CE1652" s="568"/>
      <c r="CF1652" s="568"/>
      <c r="CG1652" s="568"/>
      <c r="CH1652" s="568"/>
      <c r="CI1652" s="568"/>
      <c r="CJ1652" s="568"/>
      <c r="CK1652" s="568"/>
      <c r="CL1652" s="568"/>
      <c r="CM1652" s="398">
        <v>10.734</v>
      </c>
      <c r="CN1652" s="398">
        <v>20.395</v>
      </c>
      <c r="CO1652" s="398">
        <v>29.088999999999999</v>
      </c>
      <c r="CP1652" s="398">
        <v>36.914999999999999</v>
      </c>
      <c r="CQ1652" s="398">
        <v>43.957000000000001</v>
      </c>
      <c r="CR1652" s="398">
        <v>50.295999999999999</v>
      </c>
      <c r="CS1652" s="398">
        <v>56</v>
      </c>
      <c r="CT1652" s="568"/>
      <c r="CU1652" s="568"/>
      <c r="CV1652" s="568"/>
      <c r="CW1652" s="568"/>
      <c r="CX1652" s="568"/>
      <c r="CY1652" s="568"/>
      <c r="CZ1652" s="568"/>
      <c r="DA1652" s="568"/>
      <c r="DB1652" s="568"/>
      <c r="DC1652" s="568"/>
      <c r="DD1652" s="568"/>
      <c r="DE1652" s="561"/>
      <c r="DF1652" s="561"/>
      <c r="DG1652" s="561"/>
      <c r="DH1652" s="561"/>
      <c r="DI1652" s="561"/>
      <c r="DJ1652" s="561"/>
      <c r="DK1652" s="897"/>
    </row>
    <row r="1653" spans="1:115" ht="25.5" x14ac:dyDescent="0.2">
      <c r="A1653" s="295">
        <v>1649</v>
      </c>
      <c r="B1653" s="449" t="s">
        <v>9352</v>
      </c>
      <c r="C1653" s="390"/>
      <c r="D1653" s="474" t="s">
        <v>9353</v>
      </c>
      <c r="E1653" s="705" t="s">
        <v>9366</v>
      </c>
      <c r="F1653" s="475" t="s">
        <v>1375</v>
      </c>
      <c r="G1653" s="393" t="s">
        <v>998</v>
      </c>
      <c r="H1653" s="561" t="s">
        <v>245</v>
      </c>
      <c r="I1653" s="563"/>
      <c r="J1653" s="392" t="s">
        <v>245</v>
      </c>
      <c r="K1653" s="392" t="s">
        <v>245</v>
      </c>
      <c r="L1653" s="392" t="s">
        <v>3031</v>
      </c>
      <c r="M1653" s="563"/>
      <c r="N1653" s="393" t="s">
        <v>44</v>
      </c>
      <c r="O1653" s="393" t="s">
        <v>34</v>
      </c>
      <c r="P1653" s="393" t="s">
        <v>34</v>
      </c>
      <c r="Q1653" s="428" t="s">
        <v>1145</v>
      </c>
      <c r="R1653" s="392" t="s">
        <v>5559</v>
      </c>
      <c r="S1653" s="392" t="s">
        <v>912</v>
      </c>
      <c r="T1653" s="394">
        <v>1</v>
      </c>
      <c r="U1653" s="395">
        <v>35.340000000000003</v>
      </c>
      <c r="V1653" s="565"/>
      <c r="W1653" s="566"/>
      <c r="X1653" s="564"/>
      <c r="Y1653" s="564">
        <v>7</v>
      </c>
      <c r="Z1653" s="564">
        <v>21</v>
      </c>
      <c r="AA1653" s="565"/>
      <c r="AB1653" s="567">
        <v>43084</v>
      </c>
      <c r="AC1653" s="568"/>
      <c r="AD1653" s="568">
        <v>107.66597260273973</v>
      </c>
      <c r="AE1653" s="393" t="s">
        <v>787</v>
      </c>
      <c r="AF1653" s="569"/>
      <c r="AG1653" s="569"/>
      <c r="AH1653" s="569"/>
      <c r="AI1653" s="564"/>
      <c r="AJ1653" s="566"/>
      <c r="AK1653" s="566"/>
      <c r="AL1653" s="561"/>
      <c r="AM1653" s="561"/>
      <c r="AN1653" s="569"/>
      <c r="AO1653" s="563"/>
      <c r="AP1653" s="428" t="s">
        <v>9371</v>
      </c>
      <c r="AQ1653" s="392"/>
      <c r="AR1653" s="392" t="s">
        <v>55</v>
      </c>
      <c r="AS1653" s="479">
        <v>41503</v>
      </c>
      <c r="AT1653" s="566"/>
      <c r="AU1653" s="566"/>
      <c r="AV1653" s="566"/>
      <c r="AW1653" s="566"/>
      <c r="AX1653" s="566"/>
      <c r="AY1653" s="566"/>
      <c r="AZ1653" s="567">
        <v>43060</v>
      </c>
      <c r="BA1653" s="561"/>
      <c r="BB1653" s="561"/>
      <c r="BC1653" s="393" t="b">
        <v>0</v>
      </c>
      <c r="BD1653" s="561"/>
      <c r="BE1653" s="563"/>
      <c r="BF1653" s="394">
        <v>4</v>
      </c>
      <c r="BG1653" s="394">
        <v>1</v>
      </c>
      <c r="BH1653" s="394">
        <v>6</v>
      </c>
      <c r="BI1653" s="394">
        <v>9</v>
      </c>
      <c r="BJ1653" s="394">
        <v>10</v>
      </c>
      <c r="BK1653" s="394">
        <v>5</v>
      </c>
      <c r="BL1653" s="444" t="s">
        <v>6981</v>
      </c>
      <c r="BM1653" s="563"/>
      <c r="BN1653" s="561"/>
      <c r="BO1653" s="561"/>
      <c r="BP1653" s="571"/>
      <c r="BQ1653" s="572"/>
      <c r="BR1653" s="573"/>
      <c r="BS1653" s="571"/>
      <c r="BT1653" s="564"/>
      <c r="BU1653" s="569"/>
      <c r="BV1653" s="571"/>
      <c r="BW1653" s="393" t="s">
        <v>3117</v>
      </c>
      <c r="BX1653" s="392"/>
      <c r="BY1653" s="475" t="s">
        <v>7227</v>
      </c>
      <c r="BZ1653" s="393" t="s">
        <v>3165</v>
      </c>
      <c r="CA1653" s="574"/>
      <c r="CB1653" s="572"/>
      <c r="CC1653" s="568"/>
      <c r="CD1653" s="568"/>
      <c r="CE1653" s="568"/>
      <c r="CF1653" s="568"/>
      <c r="CG1653" s="568"/>
      <c r="CH1653" s="568"/>
      <c r="CI1653" s="568"/>
      <c r="CJ1653" s="568"/>
      <c r="CK1653" s="568"/>
      <c r="CL1653" s="568"/>
      <c r="CM1653" s="398">
        <v>10.734</v>
      </c>
      <c r="CN1653" s="398">
        <v>20.395</v>
      </c>
      <c r="CO1653" s="398">
        <v>29.088999999999999</v>
      </c>
      <c r="CP1653" s="398">
        <v>36.914999999999999</v>
      </c>
      <c r="CQ1653" s="398">
        <v>43.957000000000001</v>
      </c>
      <c r="CR1653" s="398">
        <v>50.295999999999999</v>
      </c>
      <c r="CS1653" s="398">
        <v>56</v>
      </c>
      <c r="CT1653" s="568"/>
      <c r="CU1653" s="568"/>
      <c r="CV1653" s="568"/>
      <c r="CW1653" s="568"/>
      <c r="CX1653" s="568"/>
      <c r="CY1653" s="568"/>
      <c r="CZ1653" s="568"/>
      <c r="DA1653" s="568"/>
      <c r="DB1653" s="568"/>
      <c r="DC1653" s="568"/>
      <c r="DD1653" s="568"/>
      <c r="DE1653" s="561"/>
      <c r="DF1653" s="561"/>
      <c r="DG1653" s="561"/>
      <c r="DH1653" s="561"/>
      <c r="DI1653" s="561"/>
      <c r="DJ1653" s="561"/>
      <c r="DK1653" s="897"/>
    </row>
    <row r="1654" spans="1:115" ht="25.5" x14ac:dyDescent="0.2">
      <c r="A1654" s="295">
        <v>1650</v>
      </c>
      <c r="B1654" s="449" t="s">
        <v>9354</v>
      </c>
      <c r="C1654" s="390"/>
      <c r="D1654" s="474" t="s">
        <v>9355</v>
      </c>
      <c r="E1654" s="705" t="s">
        <v>9367</v>
      </c>
      <c r="F1654" s="475" t="s">
        <v>1375</v>
      </c>
      <c r="G1654" s="393" t="s">
        <v>998</v>
      </c>
      <c r="H1654" s="561" t="s">
        <v>245</v>
      </c>
      <c r="I1654" s="563"/>
      <c r="J1654" s="392" t="s">
        <v>245</v>
      </c>
      <c r="K1654" s="392" t="s">
        <v>245</v>
      </c>
      <c r="L1654" s="392" t="s">
        <v>3031</v>
      </c>
      <c r="M1654" s="563"/>
      <c r="N1654" s="393" t="s">
        <v>44</v>
      </c>
      <c r="O1654" s="393" t="s">
        <v>34</v>
      </c>
      <c r="P1654" s="393" t="s">
        <v>34</v>
      </c>
      <c r="Q1654" s="428" t="s">
        <v>1145</v>
      </c>
      <c r="R1654" s="392" t="s">
        <v>5559</v>
      </c>
      <c r="S1654" s="392" t="s">
        <v>912</v>
      </c>
      <c r="T1654" s="394">
        <v>1</v>
      </c>
      <c r="U1654" s="395">
        <v>35.340000000000003</v>
      </c>
      <c r="V1654" s="565"/>
      <c r="W1654" s="566"/>
      <c r="X1654" s="564"/>
      <c r="Y1654" s="564">
        <v>7</v>
      </c>
      <c r="Z1654" s="564">
        <v>21</v>
      </c>
      <c r="AA1654" s="565"/>
      <c r="AB1654" s="567">
        <v>43084</v>
      </c>
      <c r="AC1654" s="568"/>
      <c r="AD1654" s="568">
        <v>107.66597260273973</v>
      </c>
      <c r="AE1654" s="393" t="s">
        <v>787</v>
      </c>
      <c r="AF1654" s="569"/>
      <c r="AG1654" s="569"/>
      <c r="AH1654" s="569"/>
      <c r="AI1654" s="564"/>
      <c r="AJ1654" s="566"/>
      <c r="AK1654" s="566"/>
      <c r="AL1654" s="561"/>
      <c r="AM1654" s="561"/>
      <c r="AN1654" s="569"/>
      <c r="AO1654" s="563"/>
      <c r="AP1654" s="428" t="s">
        <v>9371</v>
      </c>
      <c r="AQ1654" s="392"/>
      <c r="AR1654" s="392" t="s">
        <v>55</v>
      </c>
      <c r="AS1654" s="479">
        <v>41503</v>
      </c>
      <c r="AT1654" s="566"/>
      <c r="AU1654" s="566"/>
      <c r="AV1654" s="566"/>
      <c r="AW1654" s="566"/>
      <c r="AX1654" s="566"/>
      <c r="AY1654" s="566"/>
      <c r="AZ1654" s="567">
        <v>43060</v>
      </c>
      <c r="BA1654" s="561"/>
      <c r="BB1654" s="561"/>
      <c r="BC1654" s="393" t="b">
        <v>0</v>
      </c>
      <c r="BD1654" s="561"/>
      <c r="BE1654" s="563"/>
      <c r="BF1654" s="394">
        <v>4</v>
      </c>
      <c r="BG1654" s="394">
        <v>1</v>
      </c>
      <c r="BH1654" s="394">
        <v>6</v>
      </c>
      <c r="BI1654" s="394">
        <v>9</v>
      </c>
      <c r="BJ1654" s="394">
        <v>10</v>
      </c>
      <c r="BK1654" s="394">
        <v>5</v>
      </c>
      <c r="BL1654" s="444" t="s">
        <v>6981</v>
      </c>
      <c r="BM1654" s="563"/>
      <c r="BN1654" s="561"/>
      <c r="BO1654" s="561"/>
      <c r="BP1654" s="571"/>
      <c r="BQ1654" s="572"/>
      <c r="BR1654" s="573"/>
      <c r="BS1654" s="571"/>
      <c r="BT1654" s="564"/>
      <c r="BU1654" s="569"/>
      <c r="BV1654" s="571"/>
      <c r="BW1654" s="393" t="s">
        <v>3117</v>
      </c>
      <c r="BX1654" s="392"/>
      <c r="BY1654" s="475" t="s">
        <v>7227</v>
      </c>
      <c r="BZ1654" s="393" t="s">
        <v>3165</v>
      </c>
      <c r="CA1654" s="574"/>
      <c r="CB1654" s="572"/>
      <c r="CC1654" s="568"/>
      <c r="CD1654" s="568"/>
      <c r="CE1654" s="568"/>
      <c r="CF1654" s="568"/>
      <c r="CG1654" s="568"/>
      <c r="CH1654" s="568"/>
      <c r="CI1654" s="568"/>
      <c r="CJ1654" s="568"/>
      <c r="CK1654" s="568"/>
      <c r="CL1654" s="568"/>
      <c r="CM1654" s="398">
        <v>10.734</v>
      </c>
      <c r="CN1654" s="398">
        <v>20.395</v>
      </c>
      <c r="CO1654" s="398">
        <v>29.088999999999999</v>
      </c>
      <c r="CP1654" s="398">
        <v>36.914999999999999</v>
      </c>
      <c r="CQ1654" s="398">
        <v>43.957000000000001</v>
      </c>
      <c r="CR1654" s="398">
        <v>50.295999999999999</v>
      </c>
      <c r="CS1654" s="398">
        <v>56</v>
      </c>
      <c r="CT1654" s="568"/>
      <c r="CU1654" s="568"/>
      <c r="CV1654" s="568"/>
      <c r="CW1654" s="568"/>
      <c r="CX1654" s="568"/>
      <c r="CY1654" s="568"/>
      <c r="CZ1654" s="568"/>
      <c r="DA1654" s="568"/>
      <c r="DB1654" s="568"/>
      <c r="DC1654" s="568"/>
      <c r="DD1654" s="568"/>
      <c r="DE1654" s="561"/>
      <c r="DF1654" s="561"/>
      <c r="DG1654" s="561"/>
      <c r="DH1654" s="561"/>
      <c r="DI1654" s="561"/>
      <c r="DJ1654" s="561"/>
      <c r="DK1654" s="897"/>
    </row>
    <row r="1655" spans="1:115" ht="25.5" x14ac:dyDescent="0.2">
      <c r="A1655" s="295">
        <v>1651</v>
      </c>
      <c r="B1655" s="449" t="s">
        <v>9356</v>
      </c>
      <c r="C1655" s="390"/>
      <c r="D1655" s="474" t="s">
        <v>9357</v>
      </c>
      <c r="E1655" s="709" t="s">
        <v>9369</v>
      </c>
      <c r="F1655" s="475" t="s">
        <v>1375</v>
      </c>
      <c r="G1655" s="393" t="s">
        <v>998</v>
      </c>
      <c r="H1655" s="393" t="s">
        <v>245</v>
      </c>
      <c r="I1655" s="392"/>
      <c r="J1655" s="392" t="s">
        <v>245</v>
      </c>
      <c r="K1655" s="392" t="s">
        <v>245</v>
      </c>
      <c r="L1655" s="392" t="s">
        <v>3031</v>
      </c>
      <c r="M1655" s="563"/>
      <c r="N1655" s="393" t="s">
        <v>44</v>
      </c>
      <c r="O1655" s="393" t="s">
        <v>34</v>
      </c>
      <c r="P1655" s="393" t="s">
        <v>34</v>
      </c>
      <c r="Q1655" s="428" t="s">
        <v>1145</v>
      </c>
      <c r="R1655" s="392" t="s">
        <v>5559</v>
      </c>
      <c r="S1655" s="392" t="s">
        <v>912</v>
      </c>
      <c r="T1655" s="394">
        <v>1</v>
      </c>
      <c r="U1655" s="565">
        <v>35.340000000000003</v>
      </c>
      <c r="V1655" s="565"/>
      <c r="W1655" s="566"/>
      <c r="X1655" s="564"/>
      <c r="Y1655" s="564">
        <v>7</v>
      </c>
      <c r="Z1655" s="564">
        <v>21</v>
      </c>
      <c r="AA1655" s="565"/>
      <c r="AB1655" s="567">
        <v>43084</v>
      </c>
      <c r="AC1655" s="568"/>
      <c r="AD1655" s="568">
        <v>107.66597260273973</v>
      </c>
      <c r="AE1655" s="393" t="s">
        <v>787</v>
      </c>
      <c r="AF1655" s="569"/>
      <c r="AG1655" s="569"/>
      <c r="AH1655" s="569"/>
      <c r="AI1655" s="564"/>
      <c r="AJ1655" s="566"/>
      <c r="AK1655" s="566"/>
      <c r="AL1655" s="561"/>
      <c r="AM1655" s="561"/>
      <c r="AN1655" s="569"/>
      <c r="AO1655" s="563"/>
      <c r="AP1655" s="428" t="s">
        <v>9371</v>
      </c>
      <c r="AQ1655" s="563"/>
      <c r="AR1655" s="392" t="s">
        <v>55</v>
      </c>
      <c r="AS1655" s="479">
        <v>41503</v>
      </c>
      <c r="AT1655" s="566"/>
      <c r="AU1655" s="566"/>
      <c r="AV1655" s="566"/>
      <c r="AW1655" s="566"/>
      <c r="AX1655" s="566"/>
      <c r="AY1655" s="566"/>
      <c r="AZ1655" s="567">
        <v>43060</v>
      </c>
      <c r="BA1655" s="561"/>
      <c r="BB1655" s="561"/>
      <c r="BC1655" s="393" t="b">
        <v>0</v>
      </c>
      <c r="BD1655" s="561"/>
      <c r="BE1655" s="563"/>
      <c r="BF1655" s="394">
        <v>4</v>
      </c>
      <c r="BG1655" s="394">
        <v>1</v>
      </c>
      <c r="BH1655" s="394">
        <v>6</v>
      </c>
      <c r="BI1655" s="394">
        <v>9</v>
      </c>
      <c r="BJ1655" s="394">
        <v>10</v>
      </c>
      <c r="BK1655" s="394">
        <v>5</v>
      </c>
      <c r="BL1655" s="444" t="s">
        <v>6981</v>
      </c>
      <c r="BM1655" s="563"/>
      <c r="BN1655" s="561"/>
      <c r="BO1655" s="561"/>
      <c r="BP1655" s="571"/>
      <c r="BQ1655" s="572"/>
      <c r="BR1655" s="573"/>
      <c r="BS1655" s="571"/>
      <c r="BT1655" s="564"/>
      <c r="BU1655" s="569"/>
      <c r="BV1655" s="571"/>
      <c r="BW1655" s="393" t="s">
        <v>3117</v>
      </c>
      <c r="BX1655" s="392"/>
      <c r="BY1655" s="475" t="s">
        <v>7227</v>
      </c>
      <c r="BZ1655" s="393" t="s">
        <v>3165</v>
      </c>
      <c r="CA1655" s="574"/>
      <c r="CB1655" s="572"/>
      <c r="CC1655" s="568"/>
      <c r="CD1655" s="568"/>
      <c r="CE1655" s="568"/>
      <c r="CF1655" s="568"/>
      <c r="CG1655" s="568"/>
      <c r="CH1655" s="568"/>
      <c r="CI1655" s="568"/>
      <c r="CJ1655" s="568"/>
      <c r="CK1655" s="568"/>
      <c r="CL1655" s="568"/>
      <c r="CM1655" s="568">
        <v>10.734</v>
      </c>
      <c r="CN1655" s="568">
        <v>20.395</v>
      </c>
      <c r="CO1655" s="568">
        <v>29.088999999999999</v>
      </c>
      <c r="CP1655" s="568">
        <v>36.914999999999999</v>
      </c>
      <c r="CQ1655" s="568">
        <v>43.957000000000001</v>
      </c>
      <c r="CR1655" s="568">
        <v>50.295999999999999</v>
      </c>
      <c r="CS1655" s="568">
        <v>56</v>
      </c>
      <c r="CT1655" s="568"/>
      <c r="CU1655" s="568"/>
      <c r="CV1655" s="568"/>
      <c r="CW1655" s="568"/>
      <c r="CX1655" s="568"/>
      <c r="CY1655" s="568"/>
      <c r="CZ1655" s="568"/>
      <c r="DA1655" s="568"/>
      <c r="DB1655" s="568"/>
      <c r="DC1655" s="568"/>
      <c r="DD1655" s="568"/>
      <c r="DE1655" s="561"/>
      <c r="DF1655" s="561"/>
      <c r="DG1655" s="561"/>
      <c r="DH1655" s="561"/>
      <c r="DI1655" s="561"/>
      <c r="DJ1655" s="561"/>
      <c r="DK1655" s="897"/>
    </row>
    <row r="1656" spans="1:115" ht="25.5" x14ac:dyDescent="0.2">
      <c r="A1656" s="295">
        <v>1652</v>
      </c>
      <c r="B1656" s="449" t="s">
        <v>9358</v>
      </c>
      <c r="C1656" s="390"/>
      <c r="D1656" s="474" t="s">
        <v>9359</v>
      </c>
      <c r="E1656" s="709" t="s">
        <v>9368</v>
      </c>
      <c r="F1656" s="475" t="s">
        <v>1375</v>
      </c>
      <c r="G1656" s="393" t="s">
        <v>998</v>
      </c>
      <c r="H1656" s="393" t="s">
        <v>245</v>
      </c>
      <c r="I1656" s="392"/>
      <c r="J1656" s="392" t="s">
        <v>245</v>
      </c>
      <c r="K1656" s="392" t="s">
        <v>245</v>
      </c>
      <c r="L1656" s="392" t="s">
        <v>3031</v>
      </c>
      <c r="M1656" s="563"/>
      <c r="N1656" s="393" t="s">
        <v>44</v>
      </c>
      <c r="O1656" s="393" t="s">
        <v>34</v>
      </c>
      <c r="P1656" s="393" t="s">
        <v>34</v>
      </c>
      <c r="Q1656" s="428" t="s">
        <v>1145</v>
      </c>
      <c r="R1656" s="392" t="s">
        <v>5559</v>
      </c>
      <c r="S1656" s="392" t="s">
        <v>912</v>
      </c>
      <c r="T1656" s="394">
        <v>1</v>
      </c>
      <c r="U1656" s="565">
        <v>35.340000000000003</v>
      </c>
      <c r="V1656" s="565"/>
      <c r="W1656" s="566"/>
      <c r="X1656" s="564"/>
      <c r="Y1656" s="564">
        <v>7</v>
      </c>
      <c r="Z1656" s="564">
        <v>21</v>
      </c>
      <c r="AA1656" s="565"/>
      <c r="AB1656" s="567">
        <v>43084</v>
      </c>
      <c r="AC1656" s="568"/>
      <c r="AD1656" s="568">
        <v>107.66597260273973</v>
      </c>
      <c r="AE1656" s="393" t="s">
        <v>787</v>
      </c>
      <c r="AF1656" s="569"/>
      <c r="AG1656" s="569"/>
      <c r="AH1656" s="569"/>
      <c r="AI1656" s="564"/>
      <c r="AJ1656" s="566"/>
      <c r="AK1656" s="566"/>
      <c r="AL1656" s="561"/>
      <c r="AM1656" s="561"/>
      <c r="AN1656" s="569"/>
      <c r="AO1656" s="563"/>
      <c r="AP1656" s="428" t="s">
        <v>9371</v>
      </c>
      <c r="AQ1656" s="563"/>
      <c r="AR1656" s="392" t="s">
        <v>55</v>
      </c>
      <c r="AS1656" s="479">
        <v>41503</v>
      </c>
      <c r="AT1656" s="566"/>
      <c r="AU1656" s="566"/>
      <c r="AV1656" s="566"/>
      <c r="AW1656" s="566"/>
      <c r="AX1656" s="566"/>
      <c r="AY1656" s="566"/>
      <c r="AZ1656" s="567">
        <v>43060</v>
      </c>
      <c r="BA1656" s="561"/>
      <c r="BB1656" s="561"/>
      <c r="BC1656" s="393" t="b">
        <v>0</v>
      </c>
      <c r="BD1656" s="561"/>
      <c r="BE1656" s="563"/>
      <c r="BF1656" s="394">
        <v>4</v>
      </c>
      <c r="BG1656" s="394">
        <v>1</v>
      </c>
      <c r="BH1656" s="394">
        <v>6</v>
      </c>
      <c r="BI1656" s="394">
        <v>9</v>
      </c>
      <c r="BJ1656" s="394">
        <v>10</v>
      </c>
      <c r="BK1656" s="394">
        <v>5</v>
      </c>
      <c r="BL1656" s="444" t="s">
        <v>6981</v>
      </c>
      <c r="BM1656" s="563"/>
      <c r="BN1656" s="561"/>
      <c r="BO1656" s="561"/>
      <c r="BP1656" s="571"/>
      <c r="BQ1656" s="572"/>
      <c r="BR1656" s="573"/>
      <c r="BS1656" s="571"/>
      <c r="BT1656" s="564"/>
      <c r="BU1656" s="569"/>
      <c r="BV1656" s="571"/>
      <c r="BW1656" s="393" t="s">
        <v>3117</v>
      </c>
      <c r="BX1656" s="392"/>
      <c r="BY1656" s="475" t="s">
        <v>7227</v>
      </c>
      <c r="BZ1656" s="393" t="s">
        <v>3165</v>
      </c>
      <c r="CA1656" s="574"/>
      <c r="CB1656" s="572"/>
      <c r="CC1656" s="568"/>
      <c r="CD1656" s="568"/>
      <c r="CE1656" s="568"/>
      <c r="CF1656" s="568"/>
      <c r="CG1656" s="568"/>
      <c r="CH1656" s="568"/>
      <c r="CI1656" s="568"/>
      <c r="CJ1656" s="568"/>
      <c r="CK1656" s="568"/>
      <c r="CL1656" s="568"/>
      <c r="CM1656" s="568">
        <v>10.734</v>
      </c>
      <c r="CN1656" s="568">
        <v>20.395</v>
      </c>
      <c r="CO1656" s="568">
        <v>29.088999999999999</v>
      </c>
      <c r="CP1656" s="568">
        <v>36.914999999999999</v>
      </c>
      <c r="CQ1656" s="568">
        <v>43.957000000000001</v>
      </c>
      <c r="CR1656" s="568">
        <v>50.295999999999999</v>
      </c>
      <c r="CS1656" s="568">
        <v>56</v>
      </c>
      <c r="CT1656" s="568"/>
      <c r="CU1656" s="568"/>
      <c r="CV1656" s="568"/>
      <c r="CW1656" s="568"/>
      <c r="CX1656" s="568"/>
      <c r="CY1656" s="568"/>
      <c r="CZ1656" s="568"/>
      <c r="DA1656" s="568"/>
      <c r="DB1656" s="568"/>
      <c r="DC1656" s="568"/>
      <c r="DD1656" s="568"/>
      <c r="DE1656" s="561"/>
      <c r="DF1656" s="561"/>
      <c r="DG1656" s="561"/>
      <c r="DH1656" s="561"/>
      <c r="DI1656" s="561"/>
      <c r="DJ1656" s="561"/>
      <c r="DK1656" s="897"/>
    </row>
    <row r="1657" spans="1:115" ht="25.5" x14ac:dyDescent="0.2">
      <c r="A1657" s="295">
        <v>1653</v>
      </c>
      <c r="B1657" s="449" t="s">
        <v>9360</v>
      </c>
      <c r="C1657" s="390"/>
      <c r="D1657" s="474" t="s">
        <v>9361</v>
      </c>
      <c r="E1657" s="709" t="s">
        <v>9370</v>
      </c>
      <c r="F1657" s="475" t="s">
        <v>1375</v>
      </c>
      <c r="G1657" s="393" t="s">
        <v>998</v>
      </c>
      <c r="H1657" s="393" t="s">
        <v>245</v>
      </c>
      <c r="I1657" s="392"/>
      <c r="J1657" s="392" t="s">
        <v>245</v>
      </c>
      <c r="K1657" s="392" t="s">
        <v>245</v>
      </c>
      <c r="L1657" s="392" t="s">
        <v>3031</v>
      </c>
      <c r="M1657" s="563"/>
      <c r="N1657" s="393" t="s">
        <v>44</v>
      </c>
      <c r="O1657" s="393" t="s">
        <v>34</v>
      </c>
      <c r="P1657" s="393" t="s">
        <v>34</v>
      </c>
      <c r="Q1657" s="428" t="s">
        <v>1145</v>
      </c>
      <c r="R1657" s="392" t="s">
        <v>5559</v>
      </c>
      <c r="S1657" s="392" t="s">
        <v>912</v>
      </c>
      <c r="T1657" s="394">
        <v>1</v>
      </c>
      <c r="U1657" s="565">
        <v>35.340000000000003</v>
      </c>
      <c r="V1657" s="565"/>
      <c r="W1657" s="566"/>
      <c r="X1657" s="564"/>
      <c r="Y1657" s="564">
        <v>7</v>
      </c>
      <c r="Z1657" s="564">
        <v>21</v>
      </c>
      <c r="AA1657" s="565"/>
      <c r="AB1657" s="567">
        <v>43084</v>
      </c>
      <c r="AC1657" s="568"/>
      <c r="AD1657" s="568">
        <v>107.66597260273973</v>
      </c>
      <c r="AE1657" s="393" t="s">
        <v>787</v>
      </c>
      <c r="AF1657" s="569"/>
      <c r="AG1657" s="569"/>
      <c r="AH1657" s="569"/>
      <c r="AI1657" s="564"/>
      <c r="AJ1657" s="566"/>
      <c r="AK1657" s="566"/>
      <c r="AL1657" s="561"/>
      <c r="AM1657" s="561"/>
      <c r="AN1657" s="569"/>
      <c r="AO1657" s="563"/>
      <c r="AP1657" s="428" t="s">
        <v>9371</v>
      </c>
      <c r="AQ1657" s="563"/>
      <c r="AR1657" s="392" t="s">
        <v>55</v>
      </c>
      <c r="AS1657" s="479">
        <v>41503</v>
      </c>
      <c r="AT1657" s="566"/>
      <c r="AU1657" s="566"/>
      <c r="AV1657" s="566"/>
      <c r="AW1657" s="566"/>
      <c r="AX1657" s="566"/>
      <c r="AY1657" s="566"/>
      <c r="AZ1657" s="567">
        <v>43060</v>
      </c>
      <c r="BA1657" s="561"/>
      <c r="BB1657" s="561"/>
      <c r="BC1657" s="393" t="b">
        <v>0</v>
      </c>
      <c r="BD1657" s="561"/>
      <c r="BE1657" s="563"/>
      <c r="BF1657" s="394">
        <v>4</v>
      </c>
      <c r="BG1657" s="394">
        <v>1</v>
      </c>
      <c r="BH1657" s="394">
        <v>6</v>
      </c>
      <c r="BI1657" s="394">
        <v>9</v>
      </c>
      <c r="BJ1657" s="394">
        <v>10</v>
      </c>
      <c r="BK1657" s="394">
        <v>5</v>
      </c>
      <c r="BL1657" s="444" t="s">
        <v>6981</v>
      </c>
      <c r="BM1657" s="563"/>
      <c r="BN1657" s="561"/>
      <c r="BO1657" s="561"/>
      <c r="BP1657" s="571"/>
      <c r="BQ1657" s="572"/>
      <c r="BR1657" s="573"/>
      <c r="BS1657" s="571"/>
      <c r="BT1657" s="564"/>
      <c r="BU1657" s="569"/>
      <c r="BV1657" s="571"/>
      <c r="BW1657" s="393" t="s">
        <v>3117</v>
      </c>
      <c r="BX1657" s="392"/>
      <c r="BY1657" s="475" t="s">
        <v>7227</v>
      </c>
      <c r="BZ1657" s="393" t="s">
        <v>3165</v>
      </c>
      <c r="CA1657" s="574"/>
      <c r="CB1657" s="572"/>
      <c r="CC1657" s="568"/>
      <c r="CD1657" s="568"/>
      <c r="CE1657" s="568"/>
      <c r="CF1657" s="568"/>
      <c r="CG1657" s="568"/>
      <c r="CH1657" s="568"/>
      <c r="CI1657" s="568"/>
      <c r="CJ1657" s="568"/>
      <c r="CK1657" s="568"/>
      <c r="CL1657" s="568"/>
      <c r="CM1657" s="568">
        <v>10.734</v>
      </c>
      <c r="CN1657" s="568">
        <v>20.395</v>
      </c>
      <c r="CO1657" s="568">
        <v>29.088999999999999</v>
      </c>
      <c r="CP1657" s="568">
        <v>36.914999999999999</v>
      </c>
      <c r="CQ1657" s="568">
        <v>43.957000000000001</v>
      </c>
      <c r="CR1657" s="568">
        <v>50.295999999999999</v>
      </c>
      <c r="CS1657" s="568">
        <v>56</v>
      </c>
      <c r="CT1657" s="568"/>
      <c r="CU1657" s="568"/>
      <c r="CV1657" s="568"/>
      <c r="CW1657" s="568"/>
      <c r="CX1657" s="568"/>
      <c r="CY1657" s="568"/>
      <c r="CZ1657" s="568"/>
      <c r="DA1657" s="568"/>
      <c r="DB1657" s="568"/>
      <c r="DC1657" s="568"/>
      <c r="DD1657" s="568"/>
      <c r="DE1657" s="561"/>
      <c r="DF1657" s="561"/>
      <c r="DG1657" s="561"/>
      <c r="DH1657" s="561"/>
      <c r="DI1657" s="561"/>
      <c r="DJ1657" s="561"/>
      <c r="DK1657" s="897"/>
    </row>
    <row r="1658" spans="1:115" ht="63.75" x14ac:dyDescent="0.2">
      <c r="A1658" s="295">
        <v>1654</v>
      </c>
      <c r="B1658" s="390" t="s">
        <v>5560</v>
      </c>
      <c r="C1658" s="424" t="s">
        <v>7855</v>
      </c>
      <c r="D1658" s="391"/>
      <c r="E1658" s="845" t="s">
        <v>7416</v>
      </c>
      <c r="F1658" s="404" t="s">
        <v>1352</v>
      </c>
      <c r="G1658" s="404" t="s">
        <v>1673</v>
      </c>
      <c r="H1658" s="404" t="s">
        <v>42</v>
      </c>
      <c r="I1658" s="403"/>
      <c r="J1658" s="403" t="s">
        <v>42</v>
      </c>
      <c r="K1658" s="403"/>
      <c r="L1658" s="403" t="s">
        <v>5561</v>
      </c>
      <c r="M1658" s="848" t="s">
        <v>5562</v>
      </c>
      <c r="N1658" s="404" t="s">
        <v>2412</v>
      </c>
      <c r="O1658" s="404" t="s">
        <v>93</v>
      </c>
      <c r="P1658" s="404" t="s">
        <v>34</v>
      </c>
      <c r="Q1658" s="403" t="s">
        <v>1266</v>
      </c>
      <c r="R1658" s="403"/>
      <c r="S1658" s="403" t="s">
        <v>102</v>
      </c>
      <c r="T1658" s="405"/>
      <c r="U1658" s="853"/>
      <c r="V1658" s="853"/>
      <c r="W1658" s="857">
        <v>41361</v>
      </c>
      <c r="X1658" s="849">
        <v>28</v>
      </c>
      <c r="Y1658" s="849"/>
      <c r="Z1658" s="849"/>
      <c r="AA1658" s="853"/>
      <c r="AB1658" s="859"/>
      <c r="AC1658" s="863"/>
      <c r="AD1658" s="863"/>
      <c r="AE1658" s="404" t="s">
        <v>5613</v>
      </c>
      <c r="AF1658" s="867"/>
      <c r="AG1658" s="867"/>
      <c r="AH1658" s="867"/>
      <c r="AI1658" s="849"/>
      <c r="AJ1658" s="859"/>
      <c r="AK1658" s="859"/>
      <c r="AL1658" s="758"/>
      <c r="AM1658" s="758"/>
      <c r="AN1658" s="867"/>
      <c r="AO1658" s="848"/>
      <c r="AP1658" s="403" t="s">
        <v>55</v>
      </c>
      <c r="AQ1658" s="848"/>
      <c r="AR1658" s="403" t="s">
        <v>55</v>
      </c>
      <c r="AS1658" s="482">
        <v>41513</v>
      </c>
      <c r="AT1658" s="857">
        <v>41620</v>
      </c>
      <c r="AU1658" s="859"/>
      <c r="AV1658" s="859"/>
      <c r="AW1658" s="859"/>
      <c r="AX1658" s="859"/>
      <c r="AY1658" s="859"/>
      <c r="AZ1658" s="859"/>
      <c r="BA1658" s="758"/>
      <c r="BB1658" s="758" t="s">
        <v>3147</v>
      </c>
      <c r="BC1658" s="404" t="b">
        <v>0</v>
      </c>
      <c r="BD1658" s="758" t="s">
        <v>3116</v>
      </c>
      <c r="BE1658" s="848"/>
      <c r="BF1658" s="405">
        <v>10</v>
      </c>
      <c r="BG1658" s="405">
        <v>1</v>
      </c>
      <c r="BH1658" s="405">
        <v>5</v>
      </c>
      <c r="BI1658" s="405">
        <v>8</v>
      </c>
      <c r="BJ1658" s="405">
        <v>6</v>
      </c>
      <c r="BK1658" s="405"/>
      <c r="BL1658" s="446" t="s">
        <v>6983</v>
      </c>
      <c r="BM1658" s="848"/>
      <c r="BN1658" s="758"/>
      <c r="BO1658" s="758"/>
      <c r="BP1658" s="876"/>
      <c r="BQ1658" s="881"/>
      <c r="BR1658" s="886"/>
      <c r="BS1658" s="876"/>
      <c r="BT1658" s="849"/>
      <c r="BU1658" s="867"/>
      <c r="BV1658" s="876"/>
      <c r="BW1658" s="404"/>
      <c r="BX1658" s="403"/>
      <c r="BY1658" s="404"/>
      <c r="BZ1658" s="404"/>
      <c r="CA1658" s="891"/>
      <c r="CB1658" s="881"/>
      <c r="CC1658" s="863"/>
      <c r="CD1658" s="863"/>
      <c r="CE1658" s="863"/>
      <c r="CF1658" s="863"/>
      <c r="CG1658" s="863"/>
      <c r="CH1658" s="863"/>
      <c r="CI1658" s="863"/>
      <c r="CJ1658" s="863"/>
      <c r="CK1658" s="863"/>
      <c r="CL1658" s="863"/>
      <c r="CM1658" s="863"/>
      <c r="CN1658" s="863"/>
      <c r="CO1658" s="863"/>
      <c r="CP1658" s="863"/>
      <c r="CQ1658" s="863"/>
      <c r="CR1658" s="863"/>
      <c r="CS1658" s="863"/>
      <c r="CT1658" s="863"/>
      <c r="CU1658" s="863"/>
      <c r="CV1658" s="863"/>
      <c r="CW1658" s="863"/>
      <c r="CX1658" s="863"/>
      <c r="CY1658" s="863"/>
      <c r="CZ1658" s="863"/>
      <c r="DA1658" s="863"/>
      <c r="DB1658" s="863"/>
      <c r="DC1658" s="863"/>
      <c r="DD1658" s="863"/>
      <c r="DE1658" s="758"/>
      <c r="DF1658" s="758"/>
      <c r="DG1658" s="758"/>
      <c r="DH1658" s="758"/>
      <c r="DI1658" s="758"/>
      <c r="DJ1658" s="758"/>
      <c r="DK1658" s="897"/>
    </row>
    <row r="1659" spans="1:115" ht="38.25" x14ac:dyDescent="0.2">
      <c r="A1659" s="295">
        <v>1655</v>
      </c>
      <c r="B1659" s="390" t="s">
        <v>5563</v>
      </c>
      <c r="C1659" s="390"/>
      <c r="D1659" s="391"/>
      <c r="E1659" s="845" t="s">
        <v>7415</v>
      </c>
      <c r="F1659" s="404" t="s">
        <v>1352</v>
      </c>
      <c r="G1659" s="404" t="s">
        <v>1673</v>
      </c>
      <c r="H1659" s="404" t="s">
        <v>42</v>
      </c>
      <c r="I1659" s="403"/>
      <c r="J1659" s="403" t="s">
        <v>42</v>
      </c>
      <c r="K1659" s="403" t="s">
        <v>2172</v>
      </c>
      <c r="L1659" s="403" t="s">
        <v>5561</v>
      </c>
      <c r="M1659" s="848"/>
      <c r="N1659" s="404" t="s">
        <v>2412</v>
      </c>
      <c r="O1659" s="404" t="s">
        <v>93</v>
      </c>
      <c r="P1659" s="404" t="s">
        <v>34</v>
      </c>
      <c r="Q1659" s="403" t="s">
        <v>1266</v>
      </c>
      <c r="R1659" s="403" t="s">
        <v>5564</v>
      </c>
      <c r="S1659" s="403" t="s">
        <v>102</v>
      </c>
      <c r="T1659" s="405">
        <v>1</v>
      </c>
      <c r="U1659" s="853">
        <v>0.11</v>
      </c>
      <c r="V1659" s="853"/>
      <c r="W1659" s="859"/>
      <c r="X1659" s="849"/>
      <c r="Y1659" s="849">
        <v>10</v>
      </c>
      <c r="Z1659" s="849">
        <v>30</v>
      </c>
      <c r="AA1659" s="853">
        <v>0</v>
      </c>
      <c r="AB1659" s="857">
        <v>41373</v>
      </c>
      <c r="AC1659" s="863">
        <v>0</v>
      </c>
      <c r="AD1659" s="863">
        <v>1.1000000000000001</v>
      </c>
      <c r="AE1659" s="404" t="s">
        <v>5613</v>
      </c>
      <c r="AF1659" s="867"/>
      <c r="AG1659" s="867"/>
      <c r="AH1659" s="867"/>
      <c r="AI1659" s="849"/>
      <c r="AJ1659" s="859"/>
      <c r="AK1659" s="859"/>
      <c r="AL1659" s="758"/>
      <c r="AM1659" s="758"/>
      <c r="AN1659" s="867"/>
      <c r="AO1659" s="848"/>
      <c r="AP1659" s="403" t="s">
        <v>55</v>
      </c>
      <c r="AQ1659" s="848"/>
      <c r="AR1659" s="403" t="s">
        <v>55</v>
      </c>
      <c r="AS1659" s="482">
        <v>41513</v>
      </c>
      <c r="AT1659" s="857">
        <v>41620</v>
      </c>
      <c r="AU1659" s="859"/>
      <c r="AV1659" s="859"/>
      <c r="AW1659" s="859"/>
      <c r="AX1659" s="859"/>
      <c r="AY1659" s="859"/>
      <c r="AZ1659" s="859"/>
      <c r="BA1659" s="758"/>
      <c r="BB1659" s="758"/>
      <c r="BC1659" s="404" t="b">
        <v>0</v>
      </c>
      <c r="BD1659" s="758"/>
      <c r="BE1659" s="848"/>
      <c r="BF1659" s="405">
        <v>10</v>
      </c>
      <c r="BG1659" s="405">
        <v>1</v>
      </c>
      <c r="BH1659" s="405">
        <v>5</v>
      </c>
      <c r="BI1659" s="405">
        <v>8</v>
      </c>
      <c r="BJ1659" s="405">
        <v>6</v>
      </c>
      <c r="BK1659" s="405"/>
      <c r="BL1659" s="446" t="s">
        <v>6983</v>
      </c>
      <c r="BM1659" s="848"/>
      <c r="BN1659" s="758"/>
      <c r="BO1659" s="758"/>
      <c r="BP1659" s="876"/>
      <c r="BQ1659" s="881"/>
      <c r="BR1659" s="886"/>
      <c r="BS1659" s="876"/>
      <c r="BT1659" s="849"/>
      <c r="BU1659" s="867"/>
      <c r="BV1659" s="876"/>
      <c r="BW1659" s="404" t="s">
        <v>3117</v>
      </c>
      <c r="BX1659" s="403"/>
      <c r="BY1659" s="404"/>
      <c r="BZ1659" s="404"/>
      <c r="CA1659" s="891"/>
      <c r="CB1659" s="881"/>
      <c r="CC1659" s="863"/>
      <c r="CD1659" s="863"/>
      <c r="CE1659" s="863"/>
      <c r="CF1659" s="863"/>
      <c r="CG1659" s="863"/>
      <c r="CH1659" s="863"/>
      <c r="CI1659" s="863">
        <v>0.11</v>
      </c>
      <c r="CJ1659" s="863">
        <v>0.11</v>
      </c>
      <c r="CK1659" s="863">
        <v>0.11</v>
      </c>
      <c r="CL1659" s="863">
        <v>0.11</v>
      </c>
      <c r="CM1659" s="863">
        <v>0.11</v>
      </c>
      <c r="CN1659" s="863">
        <v>0.11</v>
      </c>
      <c r="CO1659" s="863">
        <v>0.11</v>
      </c>
      <c r="CP1659" s="863">
        <v>0.11</v>
      </c>
      <c r="CQ1659" s="863">
        <v>0.11</v>
      </c>
      <c r="CR1659" s="863">
        <v>0.11</v>
      </c>
      <c r="CS1659" s="863"/>
      <c r="CT1659" s="863"/>
      <c r="CU1659" s="863"/>
      <c r="CV1659" s="863"/>
      <c r="CW1659" s="863"/>
      <c r="CX1659" s="863"/>
      <c r="CY1659" s="863"/>
      <c r="CZ1659" s="863"/>
      <c r="DA1659" s="863"/>
      <c r="DB1659" s="863"/>
      <c r="DC1659" s="863"/>
      <c r="DD1659" s="863"/>
      <c r="DE1659" s="758"/>
      <c r="DF1659" s="758"/>
      <c r="DG1659" s="758"/>
      <c r="DH1659" s="758"/>
      <c r="DI1659" s="758"/>
      <c r="DJ1659" s="758"/>
      <c r="DK1659" s="897"/>
    </row>
    <row r="1660" spans="1:115" ht="89.25" x14ac:dyDescent="0.2">
      <c r="A1660" s="295">
        <v>1656</v>
      </c>
      <c r="B1660" s="390" t="s">
        <v>5590</v>
      </c>
      <c r="C1660" s="424" t="s">
        <v>7856</v>
      </c>
      <c r="D1660" s="391"/>
      <c r="E1660" s="846" t="s">
        <v>5591</v>
      </c>
      <c r="F1660" s="404" t="s">
        <v>1751</v>
      </c>
      <c r="G1660" s="404" t="s">
        <v>1751</v>
      </c>
      <c r="H1660" s="404" t="s">
        <v>42</v>
      </c>
      <c r="I1660" s="403"/>
      <c r="J1660" s="403" t="s">
        <v>5592</v>
      </c>
      <c r="K1660" s="403"/>
      <c r="L1660" s="403" t="s">
        <v>5593</v>
      </c>
      <c r="M1660" s="848" t="s">
        <v>5594</v>
      </c>
      <c r="N1660" s="404" t="s">
        <v>3142</v>
      </c>
      <c r="O1660" s="404" t="s">
        <v>51</v>
      </c>
      <c r="P1660" s="404" t="s">
        <v>51</v>
      </c>
      <c r="Q1660" s="403" t="s">
        <v>1145</v>
      </c>
      <c r="R1660" s="403"/>
      <c r="S1660" s="403" t="s">
        <v>912</v>
      </c>
      <c r="T1660" s="405">
        <v>1</v>
      </c>
      <c r="U1660" s="853">
        <v>18.968</v>
      </c>
      <c r="V1660" s="853"/>
      <c r="W1660" s="857">
        <v>41176</v>
      </c>
      <c r="X1660" s="849">
        <v>28</v>
      </c>
      <c r="Y1660" s="849"/>
      <c r="Z1660" s="849"/>
      <c r="AA1660" s="853"/>
      <c r="AB1660" s="859"/>
      <c r="AC1660" s="863">
        <v>0</v>
      </c>
      <c r="AD1660" s="863">
        <v>189.68</v>
      </c>
      <c r="AE1660" s="404" t="s">
        <v>72</v>
      </c>
      <c r="AF1660" s="867"/>
      <c r="AG1660" s="867"/>
      <c r="AH1660" s="867">
        <v>0</v>
      </c>
      <c r="AI1660" s="849"/>
      <c r="AJ1660" s="859"/>
      <c r="AK1660" s="859"/>
      <c r="AL1660" s="758"/>
      <c r="AM1660" s="758"/>
      <c r="AN1660" s="867"/>
      <c r="AO1660" s="848"/>
      <c r="AP1660" s="403" t="s">
        <v>55</v>
      </c>
      <c r="AQ1660" s="848"/>
      <c r="AR1660" s="403" t="s">
        <v>55</v>
      </c>
      <c r="AS1660" s="482">
        <v>41522</v>
      </c>
      <c r="AT1660" s="859"/>
      <c r="AU1660" s="859"/>
      <c r="AV1660" s="859"/>
      <c r="AW1660" s="859"/>
      <c r="AX1660" s="859"/>
      <c r="AY1660" s="859"/>
      <c r="AZ1660" s="859"/>
      <c r="BA1660" s="758"/>
      <c r="BB1660" s="758" t="s">
        <v>3147</v>
      </c>
      <c r="BC1660" s="404" t="b">
        <v>0</v>
      </c>
      <c r="BD1660" s="758" t="s">
        <v>3147</v>
      </c>
      <c r="BE1660" s="848"/>
      <c r="BF1660" s="405">
        <v>3</v>
      </c>
      <c r="BG1660" s="405">
        <v>6</v>
      </c>
      <c r="BH1660" s="405">
        <v>4</v>
      </c>
      <c r="BI1660" s="405">
        <v>5</v>
      </c>
      <c r="BJ1660" s="405">
        <v>11</v>
      </c>
      <c r="BK1660" s="405"/>
      <c r="BL1660" s="446" t="s">
        <v>6982</v>
      </c>
      <c r="BM1660" s="848"/>
      <c r="BN1660" s="758"/>
      <c r="BO1660" s="758"/>
      <c r="BP1660" s="876"/>
      <c r="BQ1660" s="881"/>
      <c r="BR1660" s="886"/>
      <c r="BS1660" s="876">
        <v>0</v>
      </c>
      <c r="BT1660" s="849"/>
      <c r="BU1660" s="867"/>
      <c r="BV1660" s="876"/>
      <c r="BW1660" s="404"/>
      <c r="BX1660" s="403"/>
      <c r="BY1660" s="404"/>
      <c r="BZ1660" s="404"/>
      <c r="CA1660" s="891"/>
      <c r="CB1660" s="881"/>
      <c r="CC1660" s="863"/>
      <c r="CD1660" s="863"/>
      <c r="CE1660" s="863"/>
      <c r="CF1660" s="863"/>
      <c r="CG1660" s="863"/>
      <c r="CH1660" s="863"/>
      <c r="CI1660" s="863"/>
      <c r="CJ1660" s="863"/>
      <c r="CK1660" s="863"/>
      <c r="CL1660" s="863"/>
      <c r="CM1660" s="863"/>
      <c r="CN1660" s="863"/>
      <c r="CO1660" s="863"/>
      <c r="CP1660" s="863"/>
      <c r="CQ1660" s="863"/>
      <c r="CR1660" s="863"/>
      <c r="CS1660" s="863"/>
      <c r="CT1660" s="863"/>
      <c r="CU1660" s="863"/>
      <c r="CV1660" s="863"/>
      <c r="CW1660" s="863"/>
      <c r="CX1660" s="863"/>
      <c r="CY1660" s="863"/>
      <c r="CZ1660" s="863"/>
      <c r="DA1660" s="863"/>
      <c r="DB1660" s="863"/>
      <c r="DC1660" s="863"/>
      <c r="DD1660" s="863"/>
      <c r="DE1660" s="758"/>
      <c r="DF1660" s="758"/>
      <c r="DG1660" s="758"/>
      <c r="DH1660" s="758"/>
      <c r="DI1660" s="758"/>
      <c r="DJ1660" s="758"/>
      <c r="DK1660" s="897"/>
    </row>
    <row r="1661" spans="1:115" ht="63.75" x14ac:dyDescent="0.2">
      <c r="A1661" s="295">
        <v>1657</v>
      </c>
      <c r="B1661" s="390" t="s">
        <v>5595</v>
      </c>
      <c r="C1661" s="390"/>
      <c r="D1661" s="391"/>
      <c r="E1661" s="846" t="s">
        <v>5596</v>
      </c>
      <c r="F1661" s="404" t="s">
        <v>1375</v>
      </c>
      <c r="G1661" s="404" t="s">
        <v>1670</v>
      </c>
      <c r="H1661" s="404" t="s">
        <v>1008</v>
      </c>
      <c r="I1661" s="403"/>
      <c r="J1661" s="403"/>
      <c r="K1661" s="403" t="s">
        <v>5597</v>
      </c>
      <c r="L1661" s="403" t="s">
        <v>5593</v>
      </c>
      <c r="M1661" s="848"/>
      <c r="N1661" s="404" t="s">
        <v>3142</v>
      </c>
      <c r="O1661" s="404" t="s">
        <v>51</v>
      </c>
      <c r="P1661" s="404" t="s">
        <v>51</v>
      </c>
      <c r="Q1661" s="403" t="s">
        <v>1145</v>
      </c>
      <c r="R1661" s="403" t="s">
        <v>5598</v>
      </c>
      <c r="S1661" s="403" t="s">
        <v>912</v>
      </c>
      <c r="T1661" s="405">
        <v>1</v>
      </c>
      <c r="U1661" s="853">
        <v>18.968</v>
      </c>
      <c r="V1661" s="853"/>
      <c r="W1661" s="859"/>
      <c r="X1661" s="849"/>
      <c r="Y1661" s="849">
        <v>10</v>
      </c>
      <c r="Z1661" s="849">
        <v>20</v>
      </c>
      <c r="AA1661" s="853">
        <v>0</v>
      </c>
      <c r="AB1661" s="857">
        <v>41639</v>
      </c>
      <c r="AC1661" s="863">
        <v>0</v>
      </c>
      <c r="AD1661" s="863">
        <v>189.68</v>
      </c>
      <c r="AE1661" s="404" t="s">
        <v>72</v>
      </c>
      <c r="AF1661" s="867"/>
      <c r="AG1661" s="867"/>
      <c r="AH1661" s="867"/>
      <c r="AI1661" s="849"/>
      <c r="AJ1661" s="859"/>
      <c r="AK1661" s="859"/>
      <c r="AL1661" s="758"/>
      <c r="AM1661" s="758"/>
      <c r="AN1661" s="867"/>
      <c r="AO1661" s="848"/>
      <c r="AP1661" s="403" t="s">
        <v>55</v>
      </c>
      <c r="AQ1661" s="848"/>
      <c r="AR1661" s="403" t="s">
        <v>55</v>
      </c>
      <c r="AS1661" s="482">
        <v>41522</v>
      </c>
      <c r="AT1661" s="859"/>
      <c r="AU1661" s="859"/>
      <c r="AV1661" s="859"/>
      <c r="AW1661" s="859"/>
      <c r="AX1661" s="859"/>
      <c r="AY1661" s="859"/>
      <c r="AZ1661" s="859"/>
      <c r="BA1661" s="758"/>
      <c r="BB1661" s="758"/>
      <c r="BC1661" s="404" t="b">
        <v>0</v>
      </c>
      <c r="BD1661" s="758"/>
      <c r="BE1661" s="848"/>
      <c r="BF1661" s="405">
        <v>3</v>
      </c>
      <c r="BG1661" s="405">
        <v>6</v>
      </c>
      <c r="BH1661" s="405">
        <v>4</v>
      </c>
      <c r="BI1661" s="405">
        <v>5</v>
      </c>
      <c r="BJ1661" s="405">
        <v>11</v>
      </c>
      <c r="BK1661" s="405"/>
      <c r="BL1661" s="446" t="s">
        <v>6982</v>
      </c>
      <c r="BM1661" s="848"/>
      <c r="BN1661" s="758"/>
      <c r="BO1661" s="758"/>
      <c r="BP1661" s="876"/>
      <c r="BQ1661" s="881"/>
      <c r="BR1661" s="886"/>
      <c r="BS1661" s="876"/>
      <c r="BT1661" s="849"/>
      <c r="BU1661" s="867"/>
      <c r="BV1661" s="876"/>
      <c r="BW1661" s="404" t="s">
        <v>3117</v>
      </c>
      <c r="BX1661" s="403"/>
      <c r="BY1661" s="404"/>
      <c r="BZ1661" s="404"/>
      <c r="CA1661" s="891"/>
      <c r="CB1661" s="881"/>
      <c r="CC1661" s="863"/>
      <c r="CD1661" s="863"/>
      <c r="CE1661" s="863"/>
      <c r="CF1661" s="863"/>
      <c r="CG1661" s="863"/>
      <c r="CH1661" s="863"/>
      <c r="CI1661" s="863"/>
      <c r="CJ1661" s="863">
        <v>18.968</v>
      </c>
      <c r="CK1661" s="863">
        <v>18.968</v>
      </c>
      <c r="CL1661" s="863">
        <v>18.968</v>
      </c>
      <c r="CM1661" s="863">
        <v>18.968</v>
      </c>
      <c r="CN1661" s="863">
        <v>18.968</v>
      </c>
      <c r="CO1661" s="863">
        <v>18.968</v>
      </c>
      <c r="CP1661" s="863">
        <v>18.968</v>
      </c>
      <c r="CQ1661" s="863">
        <v>18.968</v>
      </c>
      <c r="CR1661" s="863">
        <v>18.968</v>
      </c>
      <c r="CS1661" s="863">
        <v>18.968</v>
      </c>
      <c r="CT1661" s="863"/>
      <c r="CU1661" s="863"/>
      <c r="CV1661" s="863"/>
      <c r="CW1661" s="863"/>
      <c r="CX1661" s="863"/>
      <c r="CY1661" s="863"/>
      <c r="CZ1661" s="863"/>
      <c r="DA1661" s="863"/>
      <c r="DB1661" s="863"/>
      <c r="DC1661" s="863"/>
      <c r="DD1661" s="863"/>
      <c r="DE1661" s="758"/>
      <c r="DF1661" s="758"/>
      <c r="DG1661" s="758"/>
      <c r="DH1661" s="758"/>
      <c r="DI1661" s="758"/>
      <c r="DJ1661" s="758"/>
      <c r="DK1661" s="897"/>
    </row>
    <row r="1662" spans="1:115" ht="63.75" x14ac:dyDescent="0.2">
      <c r="A1662" s="295">
        <v>1658</v>
      </c>
      <c r="B1662" s="390" t="s">
        <v>5599</v>
      </c>
      <c r="C1662" s="424" t="s">
        <v>7857</v>
      </c>
      <c r="D1662" s="391" t="s">
        <v>7135</v>
      </c>
      <c r="E1662" s="843" t="s">
        <v>5600</v>
      </c>
      <c r="F1662" s="393" t="s">
        <v>1375</v>
      </c>
      <c r="G1662" s="393" t="s">
        <v>998</v>
      </c>
      <c r="H1662" s="393" t="s">
        <v>1059</v>
      </c>
      <c r="I1662" s="392"/>
      <c r="J1662" s="392" t="s">
        <v>1059</v>
      </c>
      <c r="K1662" s="392"/>
      <c r="L1662" s="392" t="s">
        <v>7243</v>
      </c>
      <c r="M1662" s="563" t="s">
        <v>5601</v>
      </c>
      <c r="N1662" s="393" t="s">
        <v>44</v>
      </c>
      <c r="O1662" s="393" t="s">
        <v>5030</v>
      </c>
      <c r="P1662" s="393" t="s">
        <v>5030</v>
      </c>
      <c r="Q1662" s="392"/>
      <c r="R1662" s="392"/>
      <c r="S1662" s="392" t="s">
        <v>7244</v>
      </c>
      <c r="T1662" s="394">
        <v>6</v>
      </c>
      <c r="U1662" s="565">
        <v>68.923000000000002</v>
      </c>
      <c r="V1662" s="565"/>
      <c r="W1662" s="567">
        <v>41400</v>
      </c>
      <c r="X1662" s="564">
        <v>28</v>
      </c>
      <c r="Y1662" s="564"/>
      <c r="Z1662" s="564"/>
      <c r="AA1662" s="565"/>
      <c r="AB1662" s="566"/>
      <c r="AC1662" s="568">
        <v>0</v>
      </c>
      <c r="AD1662" s="568">
        <v>256.38907123287669</v>
      </c>
      <c r="AE1662" s="393" t="s">
        <v>96</v>
      </c>
      <c r="AF1662" s="569"/>
      <c r="AG1662" s="569"/>
      <c r="AH1662" s="569">
        <v>0</v>
      </c>
      <c r="AI1662" s="564"/>
      <c r="AJ1662" s="566"/>
      <c r="AK1662" s="566"/>
      <c r="AL1662" s="561"/>
      <c r="AM1662" s="561"/>
      <c r="AN1662" s="569"/>
      <c r="AO1662" s="563"/>
      <c r="AP1662" s="392" t="s">
        <v>55</v>
      </c>
      <c r="AQ1662" s="563"/>
      <c r="AR1662" s="392" t="s">
        <v>55</v>
      </c>
      <c r="AS1662" s="479">
        <v>41522</v>
      </c>
      <c r="AT1662" s="566"/>
      <c r="AU1662" s="566"/>
      <c r="AV1662" s="567">
        <v>41620</v>
      </c>
      <c r="AW1662" s="567">
        <v>42093</v>
      </c>
      <c r="AX1662" s="566"/>
      <c r="AY1662" s="567">
        <v>42093</v>
      </c>
      <c r="AZ1662" s="566"/>
      <c r="BA1662" s="561"/>
      <c r="BB1662" s="561" t="s">
        <v>3147</v>
      </c>
      <c r="BC1662" s="393" t="b">
        <v>1</v>
      </c>
      <c r="BD1662" s="561" t="s">
        <v>3147</v>
      </c>
      <c r="BE1662" s="563"/>
      <c r="BF1662" s="394">
        <v>10</v>
      </c>
      <c r="BG1662" s="394">
        <v>5</v>
      </c>
      <c r="BH1662" s="394">
        <v>9</v>
      </c>
      <c r="BI1662" s="394"/>
      <c r="BJ1662" s="394"/>
      <c r="BK1662" s="394"/>
      <c r="BL1662" s="444" t="s">
        <v>6981</v>
      </c>
      <c r="BM1662" s="563"/>
      <c r="BN1662" s="561"/>
      <c r="BO1662" s="561"/>
      <c r="BP1662" s="571"/>
      <c r="BQ1662" s="572"/>
      <c r="BR1662" s="573"/>
      <c r="BS1662" s="571">
        <v>17.033999999999999</v>
      </c>
      <c r="BT1662" s="564"/>
      <c r="BU1662" s="569"/>
      <c r="BV1662" s="571"/>
      <c r="BW1662" s="393"/>
      <c r="BX1662" s="392"/>
      <c r="BY1662" s="393"/>
      <c r="BZ1662" s="393"/>
      <c r="CA1662" s="574"/>
      <c r="CB1662" s="572"/>
      <c r="CC1662" s="568"/>
      <c r="CD1662" s="568"/>
      <c r="CE1662" s="568"/>
      <c r="CF1662" s="568"/>
      <c r="CG1662" s="568"/>
      <c r="CH1662" s="568"/>
      <c r="CI1662" s="568"/>
      <c r="CJ1662" s="568"/>
      <c r="CK1662" s="568"/>
      <c r="CL1662" s="568"/>
      <c r="CM1662" s="568"/>
      <c r="CN1662" s="568"/>
      <c r="CO1662" s="568"/>
      <c r="CP1662" s="568"/>
      <c r="CQ1662" s="568"/>
      <c r="CR1662" s="568"/>
      <c r="CS1662" s="568"/>
      <c r="CT1662" s="568"/>
      <c r="CU1662" s="568"/>
      <c r="CV1662" s="568"/>
      <c r="CW1662" s="568"/>
      <c r="CX1662" s="568"/>
      <c r="CY1662" s="568"/>
      <c r="CZ1662" s="568"/>
      <c r="DA1662" s="568"/>
      <c r="DB1662" s="568"/>
      <c r="DC1662" s="568"/>
      <c r="DD1662" s="568"/>
      <c r="DE1662" s="561"/>
      <c r="DF1662" s="561"/>
      <c r="DG1662" s="561"/>
      <c r="DH1662" s="561"/>
      <c r="DI1662" s="561"/>
      <c r="DJ1662" s="561"/>
      <c r="DK1662" s="896" t="s">
        <v>9711</v>
      </c>
    </row>
    <row r="1663" spans="1:115" ht="38.25" x14ac:dyDescent="0.2">
      <c r="A1663" s="295">
        <v>1659</v>
      </c>
      <c r="B1663" s="390" t="s">
        <v>5602</v>
      </c>
      <c r="C1663" s="390"/>
      <c r="D1663" s="391" t="s">
        <v>7159</v>
      </c>
      <c r="E1663" s="843" t="s">
        <v>5603</v>
      </c>
      <c r="F1663" s="393" t="s">
        <v>1375</v>
      </c>
      <c r="G1663" s="393" t="s">
        <v>998</v>
      </c>
      <c r="H1663" s="393" t="s">
        <v>1059</v>
      </c>
      <c r="I1663" s="392"/>
      <c r="J1663" s="392"/>
      <c r="K1663" s="392" t="s">
        <v>5604</v>
      </c>
      <c r="L1663" s="392" t="s">
        <v>7243</v>
      </c>
      <c r="M1663" s="563"/>
      <c r="N1663" s="393" t="s">
        <v>44</v>
      </c>
      <c r="O1663" s="393" t="s">
        <v>5030</v>
      </c>
      <c r="P1663" s="393" t="s">
        <v>289</v>
      </c>
      <c r="Q1663" s="392" t="s">
        <v>649</v>
      </c>
      <c r="R1663" s="392" t="s">
        <v>5605</v>
      </c>
      <c r="S1663" s="392" t="s">
        <v>7244</v>
      </c>
      <c r="T1663" s="394">
        <v>1</v>
      </c>
      <c r="U1663" s="565">
        <v>13.305999999999999</v>
      </c>
      <c r="V1663" s="565"/>
      <c r="W1663" s="566"/>
      <c r="X1663" s="564"/>
      <c r="Y1663" s="564">
        <v>7</v>
      </c>
      <c r="Z1663" s="564">
        <v>30</v>
      </c>
      <c r="AA1663" s="565">
        <v>0</v>
      </c>
      <c r="AB1663" s="567">
        <v>42370</v>
      </c>
      <c r="AC1663" s="568">
        <v>0</v>
      </c>
      <c r="AD1663" s="568">
        <v>66.566454794520538</v>
      </c>
      <c r="AE1663" s="393" t="s">
        <v>96</v>
      </c>
      <c r="AF1663" s="569"/>
      <c r="AG1663" s="569"/>
      <c r="AH1663" s="569"/>
      <c r="AI1663" s="564"/>
      <c r="AJ1663" s="566"/>
      <c r="AK1663" s="566"/>
      <c r="AL1663" s="561"/>
      <c r="AM1663" s="561"/>
      <c r="AN1663" s="569"/>
      <c r="AO1663" s="563"/>
      <c r="AP1663" s="392" t="s">
        <v>55</v>
      </c>
      <c r="AQ1663" s="563"/>
      <c r="AR1663" s="392" t="s">
        <v>55</v>
      </c>
      <c r="AS1663" s="479">
        <v>41522</v>
      </c>
      <c r="AT1663" s="566"/>
      <c r="AU1663" s="566"/>
      <c r="AV1663" s="566"/>
      <c r="AW1663" s="566"/>
      <c r="AX1663" s="566"/>
      <c r="AY1663" s="566"/>
      <c r="AZ1663" s="567">
        <v>42093</v>
      </c>
      <c r="BA1663" s="561"/>
      <c r="BB1663" s="561"/>
      <c r="BC1663" s="393" t="b">
        <v>0</v>
      </c>
      <c r="BD1663" s="561"/>
      <c r="BE1663" s="563"/>
      <c r="BF1663" s="394">
        <v>10</v>
      </c>
      <c r="BG1663" s="394">
        <v>5</v>
      </c>
      <c r="BH1663" s="394">
        <v>9</v>
      </c>
      <c r="BI1663" s="394"/>
      <c r="BJ1663" s="394"/>
      <c r="BK1663" s="394"/>
      <c r="BL1663" s="444" t="s">
        <v>6981</v>
      </c>
      <c r="BM1663" s="563"/>
      <c r="BN1663" s="561"/>
      <c r="BO1663" s="561"/>
      <c r="BP1663" s="571"/>
      <c r="BQ1663" s="572"/>
      <c r="BR1663" s="573"/>
      <c r="BS1663" s="571">
        <v>2.9</v>
      </c>
      <c r="BT1663" s="564">
        <v>18890</v>
      </c>
      <c r="BU1663" s="569"/>
      <c r="BV1663" s="571"/>
      <c r="BW1663" s="393" t="s">
        <v>3117</v>
      </c>
      <c r="BX1663" s="392"/>
      <c r="BY1663" s="393" t="s">
        <v>7224</v>
      </c>
      <c r="BZ1663" s="393"/>
      <c r="CA1663" s="574"/>
      <c r="CB1663" s="572"/>
      <c r="CC1663" s="568"/>
      <c r="CD1663" s="568"/>
      <c r="CE1663" s="568"/>
      <c r="CF1663" s="568"/>
      <c r="CG1663" s="568"/>
      <c r="CH1663" s="568"/>
      <c r="CI1663" s="568"/>
      <c r="CJ1663" s="568"/>
      <c r="CK1663" s="568">
        <v>13.305999999999999</v>
      </c>
      <c r="CL1663" s="568">
        <v>13.305999999999999</v>
      </c>
      <c r="CM1663" s="568">
        <v>13.305999999999999</v>
      </c>
      <c r="CN1663" s="568">
        <v>13.305999999999999</v>
      </c>
      <c r="CO1663" s="568">
        <v>13.305999999999999</v>
      </c>
      <c r="CP1663" s="568">
        <v>13.305999999999999</v>
      </c>
      <c r="CQ1663" s="568">
        <v>13.305999999999999</v>
      </c>
      <c r="CR1663" s="568"/>
      <c r="CS1663" s="568"/>
      <c r="CT1663" s="568"/>
      <c r="CU1663" s="568"/>
      <c r="CV1663" s="568"/>
      <c r="CW1663" s="568"/>
      <c r="CX1663" s="568"/>
      <c r="CY1663" s="568"/>
      <c r="CZ1663" s="568"/>
      <c r="DA1663" s="568"/>
      <c r="DB1663" s="568"/>
      <c r="DC1663" s="568"/>
      <c r="DD1663" s="568"/>
      <c r="DE1663" s="561"/>
      <c r="DF1663" s="561"/>
      <c r="DG1663" s="561"/>
      <c r="DH1663" s="561"/>
      <c r="DI1663" s="561"/>
      <c r="DJ1663" s="561"/>
      <c r="DK1663" s="897"/>
    </row>
    <row r="1664" spans="1:115" ht="38.25" x14ac:dyDescent="0.2">
      <c r="A1664" s="295">
        <v>1660</v>
      </c>
      <c r="B1664" s="390" t="s">
        <v>7239</v>
      </c>
      <c r="C1664" s="390"/>
      <c r="D1664" s="391" t="s">
        <v>7240</v>
      </c>
      <c r="E1664" s="704" t="s">
        <v>7241</v>
      </c>
      <c r="F1664" s="393" t="s">
        <v>1375</v>
      </c>
      <c r="G1664" s="393" t="s">
        <v>998</v>
      </c>
      <c r="H1664" s="393" t="s">
        <v>1059</v>
      </c>
      <c r="I1664" s="392"/>
      <c r="J1664" s="392"/>
      <c r="K1664" s="392" t="s">
        <v>7242</v>
      </c>
      <c r="L1664" s="392" t="s">
        <v>7243</v>
      </c>
      <c r="M1664" s="392"/>
      <c r="N1664" s="393" t="s">
        <v>44</v>
      </c>
      <c r="O1664" s="393" t="s">
        <v>5030</v>
      </c>
      <c r="P1664" s="393" t="s">
        <v>289</v>
      </c>
      <c r="Q1664" s="392" t="s">
        <v>649</v>
      </c>
      <c r="R1664" s="392" t="s">
        <v>5605</v>
      </c>
      <c r="S1664" s="392" t="s">
        <v>7244</v>
      </c>
      <c r="T1664" s="394">
        <v>1</v>
      </c>
      <c r="U1664" s="395">
        <v>12.58</v>
      </c>
      <c r="V1664" s="395"/>
      <c r="W1664" s="453"/>
      <c r="X1664" s="394"/>
      <c r="Y1664" s="394">
        <v>7</v>
      </c>
      <c r="Z1664" s="394">
        <v>30</v>
      </c>
      <c r="AA1664" s="395">
        <v>0</v>
      </c>
      <c r="AB1664" s="452">
        <v>43101</v>
      </c>
      <c r="AC1664" s="398">
        <v>0</v>
      </c>
      <c r="AD1664" s="398">
        <v>37.74</v>
      </c>
      <c r="AE1664" s="393" t="s">
        <v>96</v>
      </c>
      <c r="AF1664" s="417"/>
      <c r="AG1664" s="417"/>
      <c r="AH1664" s="417"/>
      <c r="AI1664" s="394"/>
      <c r="AJ1664" s="453"/>
      <c r="AK1664" s="453"/>
      <c r="AL1664" s="393"/>
      <c r="AM1664" s="393"/>
      <c r="AN1664" s="417"/>
      <c r="AO1664" s="392"/>
      <c r="AP1664" s="392"/>
      <c r="AQ1664" s="392"/>
      <c r="AR1664" s="392" t="s">
        <v>55</v>
      </c>
      <c r="AS1664" s="479">
        <v>41522</v>
      </c>
      <c r="AT1664" s="453"/>
      <c r="AU1664" s="453"/>
      <c r="AV1664" s="453"/>
      <c r="AW1664" s="453"/>
      <c r="AX1664" s="453"/>
      <c r="AY1664" s="453"/>
      <c r="AZ1664" s="452">
        <v>42262</v>
      </c>
      <c r="BA1664" s="393"/>
      <c r="BB1664" s="393"/>
      <c r="BC1664" s="393" t="b">
        <v>0</v>
      </c>
      <c r="BD1664" s="393"/>
      <c r="BE1664" s="392"/>
      <c r="BF1664" s="394">
        <v>10</v>
      </c>
      <c r="BG1664" s="394">
        <v>5</v>
      </c>
      <c r="BH1664" s="394">
        <v>9</v>
      </c>
      <c r="BI1664" s="394"/>
      <c r="BJ1664" s="394"/>
      <c r="BK1664" s="394"/>
      <c r="BL1664" s="444" t="s">
        <v>6981</v>
      </c>
      <c r="BM1664" s="392"/>
      <c r="BN1664" s="393"/>
      <c r="BO1664" s="393"/>
      <c r="BP1664" s="399"/>
      <c r="BQ1664" s="400"/>
      <c r="BR1664" s="401"/>
      <c r="BS1664" s="399">
        <v>2.9</v>
      </c>
      <c r="BT1664" s="394">
        <v>17860</v>
      </c>
      <c r="BU1664" s="417"/>
      <c r="BV1664" s="399"/>
      <c r="BW1664" s="393" t="s">
        <v>3117</v>
      </c>
      <c r="BX1664" s="392"/>
      <c r="BY1664" s="393" t="s">
        <v>7224</v>
      </c>
      <c r="BZ1664" s="393"/>
      <c r="CA1664" s="441"/>
      <c r="CB1664" s="400"/>
      <c r="CC1664" s="398"/>
      <c r="CD1664" s="398"/>
      <c r="CE1664" s="398"/>
      <c r="CF1664" s="398"/>
      <c r="CG1664" s="398"/>
      <c r="CH1664" s="398"/>
      <c r="CI1664" s="398"/>
      <c r="CJ1664" s="398"/>
      <c r="CK1664" s="398"/>
      <c r="CL1664" s="398"/>
      <c r="CM1664" s="398"/>
      <c r="CN1664" s="398"/>
      <c r="CO1664" s="398">
        <v>12.58</v>
      </c>
      <c r="CP1664" s="398">
        <v>12.58</v>
      </c>
      <c r="CQ1664" s="398">
        <v>12.58</v>
      </c>
      <c r="CR1664" s="398">
        <v>12.58</v>
      </c>
      <c r="CS1664" s="398">
        <v>12.58</v>
      </c>
      <c r="CT1664" s="398">
        <v>12.58</v>
      </c>
      <c r="CU1664" s="398"/>
      <c r="CV1664" s="398"/>
      <c r="CW1664" s="398"/>
      <c r="CX1664" s="398"/>
      <c r="CY1664" s="398"/>
      <c r="CZ1664" s="398"/>
      <c r="DA1664" s="398"/>
      <c r="DB1664" s="398"/>
      <c r="DC1664" s="398"/>
      <c r="DD1664" s="398"/>
      <c r="DE1664" s="393"/>
      <c r="DF1664" s="393"/>
      <c r="DG1664" s="393"/>
      <c r="DH1664" s="393"/>
      <c r="DI1664" s="393"/>
      <c r="DJ1664" s="393"/>
      <c r="DK1664" s="897"/>
    </row>
    <row r="1665" spans="1:115" ht="38.25" x14ac:dyDescent="0.2">
      <c r="A1665" s="295">
        <v>1661</v>
      </c>
      <c r="B1665" s="390" t="s">
        <v>7245</v>
      </c>
      <c r="C1665" s="390"/>
      <c r="D1665" s="391" t="s">
        <v>7246</v>
      </c>
      <c r="E1665" s="704" t="s">
        <v>7247</v>
      </c>
      <c r="F1665" s="393" t="s">
        <v>1375</v>
      </c>
      <c r="G1665" s="393" t="s">
        <v>998</v>
      </c>
      <c r="H1665" s="393" t="s">
        <v>1059</v>
      </c>
      <c r="I1665" s="392"/>
      <c r="J1665" s="392"/>
      <c r="K1665" s="392" t="s">
        <v>7248</v>
      </c>
      <c r="L1665" s="392" t="s">
        <v>7243</v>
      </c>
      <c r="M1665" s="392"/>
      <c r="N1665" s="393" t="s">
        <v>44</v>
      </c>
      <c r="O1665" s="393" t="s">
        <v>5030</v>
      </c>
      <c r="P1665" s="393" t="s">
        <v>289</v>
      </c>
      <c r="Q1665" s="392" t="s">
        <v>649</v>
      </c>
      <c r="R1665" s="392" t="s">
        <v>7249</v>
      </c>
      <c r="S1665" s="392" t="s">
        <v>7244</v>
      </c>
      <c r="T1665" s="394">
        <v>1</v>
      </c>
      <c r="U1665" s="395">
        <v>13.101000000000001</v>
      </c>
      <c r="V1665" s="395"/>
      <c r="W1665" s="453"/>
      <c r="X1665" s="394"/>
      <c r="Y1665" s="394">
        <v>7</v>
      </c>
      <c r="Z1665" s="394">
        <v>30</v>
      </c>
      <c r="AA1665" s="395">
        <v>0</v>
      </c>
      <c r="AB1665" s="452">
        <v>42461</v>
      </c>
      <c r="AC1665" s="398">
        <v>0</v>
      </c>
      <c r="AD1665" s="398">
        <v>62.274616438356169</v>
      </c>
      <c r="AE1665" s="393" t="s">
        <v>96</v>
      </c>
      <c r="AF1665" s="417"/>
      <c r="AG1665" s="417"/>
      <c r="AH1665" s="417"/>
      <c r="AI1665" s="394"/>
      <c r="AJ1665" s="453"/>
      <c r="AK1665" s="453"/>
      <c r="AL1665" s="393"/>
      <c r="AM1665" s="393"/>
      <c r="AN1665" s="417"/>
      <c r="AO1665" s="392"/>
      <c r="AP1665" s="392"/>
      <c r="AQ1665" s="392"/>
      <c r="AR1665" s="392" t="s">
        <v>55</v>
      </c>
      <c r="AS1665" s="479">
        <v>41522</v>
      </c>
      <c r="AT1665" s="453"/>
      <c r="AU1665" s="453"/>
      <c r="AV1665" s="453"/>
      <c r="AW1665" s="453"/>
      <c r="AX1665" s="453"/>
      <c r="AY1665" s="453"/>
      <c r="AZ1665" s="452">
        <v>42262</v>
      </c>
      <c r="BA1665" s="393"/>
      <c r="BB1665" s="393"/>
      <c r="BC1665" s="393" t="b">
        <v>0</v>
      </c>
      <c r="BD1665" s="393"/>
      <c r="BE1665" s="392"/>
      <c r="BF1665" s="394">
        <v>10</v>
      </c>
      <c r="BG1665" s="394">
        <v>5</v>
      </c>
      <c r="BH1665" s="394">
        <v>9</v>
      </c>
      <c r="BI1665" s="394"/>
      <c r="BJ1665" s="394"/>
      <c r="BK1665" s="394"/>
      <c r="BL1665" s="444" t="s">
        <v>6981</v>
      </c>
      <c r="BM1665" s="392"/>
      <c r="BN1665" s="393"/>
      <c r="BO1665" s="393"/>
      <c r="BP1665" s="399"/>
      <c r="BQ1665" s="400"/>
      <c r="BR1665" s="401"/>
      <c r="BS1665" s="399">
        <v>4.234</v>
      </c>
      <c r="BT1665" s="394">
        <v>18000</v>
      </c>
      <c r="BU1665" s="417">
        <v>0.70440000000000003</v>
      </c>
      <c r="BV1665" s="399"/>
      <c r="BW1665" s="393" t="s">
        <v>3117</v>
      </c>
      <c r="BX1665" s="392"/>
      <c r="BY1665" s="393" t="s">
        <v>7224</v>
      </c>
      <c r="BZ1665" s="393"/>
      <c r="CA1665" s="441"/>
      <c r="CB1665" s="400"/>
      <c r="CC1665" s="398"/>
      <c r="CD1665" s="398"/>
      <c r="CE1665" s="398"/>
      <c r="CF1665" s="398"/>
      <c r="CG1665" s="398"/>
      <c r="CH1665" s="398"/>
      <c r="CI1665" s="398"/>
      <c r="CJ1665" s="398"/>
      <c r="CK1665" s="398"/>
      <c r="CL1665" s="398"/>
      <c r="CM1665" s="398"/>
      <c r="CN1665" s="398"/>
      <c r="CO1665" s="398">
        <v>9.907</v>
      </c>
      <c r="CP1665" s="398">
        <v>13.101000000000001</v>
      </c>
      <c r="CQ1665" s="398">
        <v>13.101000000000001</v>
      </c>
      <c r="CR1665" s="398">
        <v>13.101000000000001</v>
      </c>
      <c r="CS1665" s="398">
        <v>3.194</v>
      </c>
      <c r="CT1665" s="398"/>
      <c r="CU1665" s="398"/>
      <c r="CV1665" s="398"/>
      <c r="CW1665" s="398"/>
      <c r="CX1665" s="398"/>
      <c r="CY1665" s="398"/>
      <c r="CZ1665" s="398"/>
      <c r="DA1665" s="398"/>
      <c r="DB1665" s="398"/>
      <c r="DC1665" s="398"/>
      <c r="DD1665" s="398"/>
      <c r="DE1665" s="393"/>
      <c r="DF1665" s="393"/>
      <c r="DG1665" s="393"/>
      <c r="DH1665" s="393"/>
      <c r="DI1665" s="393"/>
      <c r="DJ1665" s="393"/>
      <c r="DK1665" s="897"/>
    </row>
    <row r="1666" spans="1:115" ht="38.25" x14ac:dyDescent="0.2">
      <c r="A1666" s="295">
        <v>1662</v>
      </c>
      <c r="B1666" s="390" t="s">
        <v>7250</v>
      </c>
      <c r="C1666" s="390"/>
      <c r="D1666" s="391" t="s">
        <v>7251</v>
      </c>
      <c r="E1666" s="704" t="s">
        <v>7252</v>
      </c>
      <c r="F1666" s="393" t="s">
        <v>1375</v>
      </c>
      <c r="G1666" s="393" t="s">
        <v>998</v>
      </c>
      <c r="H1666" s="393" t="s">
        <v>1059</v>
      </c>
      <c r="I1666" s="392"/>
      <c r="J1666" s="392"/>
      <c r="K1666" s="392" t="s">
        <v>7253</v>
      </c>
      <c r="L1666" s="392" t="s">
        <v>7243</v>
      </c>
      <c r="M1666" s="392"/>
      <c r="N1666" s="393" t="s">
        <v>44</v>
      </c>
      <c r="O1666" s="393" t="s">
        <v>5030</v>
      </c>
      <c r="P1666" s="393" t="s">
        <v>289</v>
      </c>
      <c r="Q1666" s="392" t="s">
        <v>649</v>
      </c>
      <c r="R1666" s="392" t="s">
        <v>7254</v>
      </c>
      <c r="S1666" s="392" t="s">
        <v>7244</v>
      </c>
      <c r="T1666" s="394">
        <v>1</v>
      </c>
      <c r="U1666" s="395">
        <v>12.186</v>
      </c>
      <c r="V1666" s="395"/>
      <c r="W1666" s="453"/>
      <c r="X1666" s="394"/>
      <c r="Y1666" s="394">
        <v>7</v>
      </c>
      <c r="Z1666" s="394">
        <v>30</v>
      </c>
      <c r="AA1666" s="395">
        <v>0</v>
      </c>
      <c r="AB1666" s="452">
        <v>43101</v>
      </c>
      <c r="AC1666" s="398">
        <v>0</v>
      </c>
      <c r="AD1666" s="398">
        <v>36.558</v>
      </c>
      <c r="AE1666" s="393" t="s">
        <v>96</v>
      </c>
      <c r="AF1666" s="417"/>
      <c r="AG1666" s="417"/>
      <c r="AH1666" s="417"/>
      <c r="AI1666" s="394"/>
      <c r="AJ1666" s="453"/>
      <c r="AK1666" s="453"/>
      <c r="AL1666" s="393"/>
      <c r="AM1666" s="393"/>
      <c r="AN1666" s="417"/>
      <c r="AO1666" s="392"/>
      <c r="AP1666" s="392"/>
      <c r="AQ1666" s="392"/>
      <c r="AR1666" s="392" t="s">
        <v>55</v>
      </c>
      <c r="AS1666" s="479">
        <v>41522</v>
      </c>
      <c r="AT1666" s="453"/>
      <c r="AU1666" s="453"/>
      <c r="AV1666" s="453"/>
      <c r="AW1666" s="453"/>
      <c r="AX1666" s="453"/>
      <c r="AY1666" s="453"/>
      <c r="AZ1666" s="452">
        <v>42262</v>
      </c>
      <c r="BA1666" s="393"/>
      <c r="BB1666" s="393"/>
      <c r="BC1666" s="393" t="b">
        <v>0</v>
      </c>
      <c r="BD1666" s="393"/>
      <c r="BE1666" s="392"/>
      <c r="BF1666" s="394">
        <v>10</v>
      </c>
      <c r="BG1666" s="394">
        <v>5</v>
      </c>
      <c r="BH1666" s="394">
        <v>9</v>
      </c>
      <c r="BI1666" s="394"/>
      <c r="BJ1666" s="394"/>
      <c r="BK1666" s="394"/>
      <c r="BL1666" s="444" t="s">
        <v>6981</v>
      </c>
      <c r="BM1666" s="392"/>
      <c r="BN1666" s="393"/>
      <c r="BO1666" s="393"/>
      <c r="BP1666" s="399"/>
      <c r="BQ1666" s="400"/>
      <c r="BR1666" s="401"/>
      <c r="BS1666" s="399">
        <v>2.4</v>
      </c>
      <c r="BT1666" s="394">
        <v>17300</v>
      </c>
      <c r="BU1666" s="417">
        <v>0.70440000000000003</v>
      </c>
      <c r="BV1666" s="399"/>
      <c r="BW1666" s="393" t="s">
        <v>3117</v>
      </c>
      <c r="BX1666" s="392"/>
      <c r="BY1666" s="393" t="s">
        <v>7224</v>
      </c>
      <c r="BZ1666" s="393"/>
      <c r="CA1666" s="441"/>
      <c r="CB1666" s="400"/>
      <c r="CC1666" s="398"/>
      <c r="CD1666" s="398"/>
      <c r="CE1666" s="398"/>
      <c r="CF1666" s="398"/>
      <c r="CG1666" s="398"/>
      <c r="CH1666" s="398"/>
      <c r="CI1666" s="398"/>
      <c r="CJ1666" s="398"/>
      <c r="CK1666" s="398"/>
      <c r="CL1666" s="398"/>
      <c r="CM1666" s="398"/>
      <c r="CN1666" s="398">
        <v>12.186</v>
      </c>
      <c r="CO1666" s="398">
        <v>12.186</v>
      </c>
      <c r="CP1666" s="398">
        <v>12.186</v>
      </c>
      <c r="CQ1666" s="398">
        <v>12.186</v>
      </c>
      <c r="CR1666" s="398">
        <v>12.186</v>
      </c>
      <c r="CS1666" s="398">
        <v>12.186</v>
      </c>
      <c r="CT1666" s="398">
        <v>12.186</v>
      </c>
      <c r="CU1666" s="398"/>
      <c r="CV1666" s="398"/>
      <c r="CW1666" s="398"/>
      <c r="CX1666" s="398"/>
      <c r="CY1666" s="398"/>
      <c r="CZ1666" s="398"/>
      <c r="DA1666" s="398"/>
      <c r="DB1666" s="398"/>
      <c r="DC1666" s="398"/>
      <c r="DD1666" s="398"/>
      <c r="DE1666" s="393"/>
      <c r="DF1666" s="393"/>
      <c r="DG1666" s="393"/>
      <c r="DH1666" s="393"/>
      <c r="DI1666" s="393"/>
      <c r="DJ1666" s="393"/>
      <c r="DK1666" s="897"/>
    </row>
    <row r="1667" spans="1:115" ht="38.25" x14ac:dyDescent="0.2">
      <c r="A1667" s="295">
        <v>1663</v>
      </c>
      <c r="B1667" s="390" t="s">
        <v>7255</v>
      </c>
      <c r="C1667" s="390"/>
      <c r="D1667" s="391" t="s">
        <v>7256</v>
      </c>
      <c r="E1667" s="704" t="s">
        <v>7257</v>
      </c>
      <c r="F1667" s="393" t="s">
        <v>1375</v>
      </c>
      <c r="G1667" s="393" t="s">
        <v>998</v>
      </c>
      <c r="H1667" s="393" t="s">
        <v>1059</v>
      </c>
      <c r="I1667" s="392"/>
      <c r="J1667" s="392"/>
      <c r="K1667" s="392" t="s">
        <v>7242</v>
      </c>
      <c r="L1667" s="392" t="s">
        <v>7243</v>
      </c>
      <c r="M1667" s="392"/>
      <c r="N1667" s="393" t="s">
        <v>44</v>
      </c>
      <c r="O1667" s="393" t="s">
        <v>5030</v>
      </c>
      <c r="P1667" s="393" t="s">
        <v>289</v>
      </c>
      <c r="Q1667" s="392" t="s">
        <v>649</v>
      </c>
      <c r="R1667" s="392" t="s">
        <v>7258</v>
      </c>
      <c r="S1667" s="392" t="s">
        <v>7244</v>
      </c>
      <c r="T1667" s="394">
        <v>1</v>
      </c>
      <c r="U1667" s="395">
        <v>9.7200000000000006</v>
      </c>
      <c r="V1667" s="395"/>
      <c r="W1667" s="453"/>
      <c r="X1667" s="394"/>
      <c r="Y1667" s="394">
        <v>7</v>
      </c>
      <c r="Z1667" s="394">
        <v>30</v>
      </c>
      <c r="AA1667" s="395">
        <v>0</v>
      </c>
      <c r="AB1667" s="452">
        <v>43101</v>
      </c>
      <c r="AC1667" s="398">
        <v>0</v>
      </c>
      <c r="AD1667" s="398">
        <v>29.160000000000004</v>
      </c>
      <c r="AE1667" s="393" t="s">
        <v>96</v>
      </c>
      <c r="AF1667" s="417"/>
      <c r="AG1667" s="417"/>
      <c r="AH1667" s="417"/>
      <c r="AI1667" s="394"/>
      <c r="AJ1667" s="453"/>
      <c r="AK1667" s="453"/>
      <c r="AL1667" s="393"/>
      <c r="AM1667" s="393"/>
      <c r="AN1667" s="417"/>
      <c r="AO1667" s="392"/>
      <c r="AP1667" s="392"/>
      <c r="AQ1667" s="392"/>
      <c r="AR1667" s="392" t="s">
        <v>55</v>
      </c>
      <c r="AS1667" s="479">
        <v>41522</v>
      </c>
      <c r="AT1667" s="453"/>
      <c r="AU1667" s="453"/>
      <c r="AV1667" s="453"/>
      <c r="AW1667" s="453"/>
      <c r="AX1667" s="453"/>
      <c r="AY1667" s="453"/>
      <c r="AZ1667" s="452">
        <v>42262</v>
      </c>
      <c r="BA1667" s="393"/>
      <c r="BB1667" s="393"/>
      <c r="BC1667" s="393" t="b">
        <v>0</v>
      </c>
      <c r="BD1667" s="393"/>
      <c r="BE1667" s="392"/>
      <c r="BF1667" s="394">
        <v>10</v>
      </c>
      <c r="BG1667" s="394">
        <v>5</v>
      </c>
      <c r="BH1667" s="394">
        <v>9</v>
      </c>
      <c r="BI1667" s="394"/>
      <c r="BJ1667" s="394"/>
      <c r="BK1667" s="394"/>
      <c r="BL1667" s="444" t="s">
        <v>6981</v>
      </c>
      <c r="BM1667" s="392"/>
      <c r="BN1667" s="393"/>
      <c r="BO1667" s="393"/>
      <c r="BP1667" s="399"/>
      <c r="BQ1667" s="400"/>
      <c r="BR1667" s="401"/>
      <c r="BS1667" s="399">
        <v>2</v>
      </c>
      <c r="BT1667" s="394">
        <v>13800</v>
      </c>
      <c r="BU1667" s="417">
        <v>0.70440000000000003</v>
      </c>
      <c r="BV1667" s="399"/>
      <c r="BW1667" s="393" t="s">
        <v>3117</v>
      </c>
      <c r="BX1667" s="392"/>
      <c r="BY1667" s="393" t="s">
        <v>7224</v>
      </c>
      <c r="BZ1667" s="393"/>
      <c r="CA1667" s="441"/>
      <c r="CB1667" s="400"/>
      <c r="CC1667" s="398"/>
      <c r="CD1667" s="398"/>
      <c r="CE1667" s="398"/>
      <c r="CF1667" s="398"/>
      <c r="CG1667" s="398"/>
      <c r="CH1667" s="398"/>
      <c r="CI1667" s="398"/>
      <c r="CJ1667" s="398"/>
      <c r="CK1667" s="398"/>
      <c r="CL1667" s="398"/>
      <c r="CM1667" s="398"/>
      <c r="CN1667" s="398">
        <v>9.7200000000000006</v>
      </c>
      <c r="CO1667" s="398">
        <v>9.7200000000000006</v>
      </c>
      <c r="CP1667" s="398">
        <v>9.7200000000000006</v>
      </c>
      <c r="CQ1667" s="398">
        <v>9.7200000000000006</v>
      </c>
      <c r="CR1667" s="398">
        <v>9.7200000000000006</v>
      </c>
      <c r="CS1667" s="398">
        <v>9.7200000000000006</v>
      </c>
      <c r="CT1667" s="398">
        <v>9.7200000000000006</v>
      </c>
      <c r="CU1667" s="398"/>
      <c r="CV1667" s="398"/>
      <c r="CW1667" s="398"/>
      <c r="CX1667" s="398"/>
      <c r="CY1667" s="398"/>
      <c r="CZ1667" s="398"/>
      <c r="DA1667" s="398"/>
      <c r="DB1667" s="398"/>
      <c r="DC1667" s="398"/>
      <c r="DD1667" s="398"/>
      <c r="DE1667" s="393"/>
      <c r="DF1667" s="393"/>
      <c r="DG1667" s="393"/>
      <c r="DH1667" s="393"/>
      <c r="DI1667" s="393"/>
      <c r="DJ1667" s="393"/>
      <c r="DK1667" s="897"/>
    </row>
    <row r="1668" spans="1:115" ht="38.25" x14ac:dyDescent="0.2">
      <c r="A1668" s="295">
        <v>1664</v>
      </c>
      <c r="B1668" s="390" t="s">
        <v>7259</v>
      </c>
      <c r="C1668" s="390"/>
      <c r="D1668" s="391" t="s">
        <v>7260</v>
      </c>
      <c r="E1668" s="704" t="s">
        <v>7261</v>
      </c>
      <c r="F1668" s="393" t="s">
        <v>1375</v>
      </c>
      <c r="G1668" s="393" t="s">
        <v>998</v>
      </c>
      <c r="H1668" s="393" t="s">
        <v>1059</v>
      </c>
      <c r="I1668" s="392"/>
      <c r="J1668" s="392"/>
      <c r="K1668" s="392" t="s">
        <v>7242</v>
      </c>
      <c r="L1668" s="392" t="s">
        <v>7243</v>
      </c>
      <c r="M1668" s="392"/>
      <c r="N1668" s="393" t="s">
        <v>44</v>
      </c>
      <c r="O1668" s="393" t="s">
        <v>5030</v>
      </c>
      <c r="P1668" s="393" t="s">
        <v>289</v>
      </c>
      <c r="Q1668" s="392" t="s">
        <v>649</v>
      </c>
      <c r="R1668" s="392" t="s">
        <v>7262</v>
      </c>
      <c r="S1668" s="392" t="s">
        <v>7244</v>
      </c>
      <c r="T1668" s="394">
        <v>1</v>
      </c>
      <c r="U1668" s="395">
        <v>8.0299999999999994</v>
      </c>
      <c r="V1668" s="395"/>
      <c r="W1668" s="453"/>
      <c r="X1668" s="394"/>
      <c r="Y1668" s="394">
        <v>7</v>
      </c>
      <c r="Z1668" s="394">
        <v>30</v>
      </c>
      <c r="AA1668" s="395">
        <v>0</v>
      </c>
      <c r="AB1668" s="452">
        <v>43101</v>
      </c>
      <c r="AC1668" s="398">
        <v>0</v>
      </c>
      <c r="AD1668" s="398">
        <v>24.089999999999996</v>
      </c>
      <c r="AE1668" s="393" t="s">
        <v>96</v>
      </c>
      <c r="AF1668" s="417"/>
      <c r="AG1668" s="417"/>
      <c r="AH1668" s="417"/>
      <c r="AI1668" s="394"/>
      <c r="AJ1668" s="453"/>
      <c r="AK1668" s="453"/>
      <c r="AL1668" s="393"/>
      <c r="AM1668" s="393"/>
      <c r="AN1668" s="417"/>
      <c r="AO1668" s="392"/>
      <c r="AP1668" s="392"/>
      <c r="AQ1668" s="392"/>
      <c r="AR1668" s="392" t="s">
        <v>55</v>
      </c>
      <c r="AS1668" s="479">
        <v>41522</v>
      </c>
      <c r="AT1668" s="453"/>
      <c r="AU1668" s="453"/>
      <c r="AV1668" s="453"/>
      <c r="AW1668" s="453"/>
      <c r="AX1668" s="453"/>
      <c r="AY1668" s="453"/>
      <c r="AZ1668" s="452">
        <v>42262</v>
      </c>
      <c r="BA1668" s="393"/>
      <c r="BB1668" s="393"/>
      <c r="BC1668" s="393" t="b">
        <v>0</v>
      </c>
      <c r="BD1668" s="393"/>
      <c r="BE1668" s="392"/>
      <c r="BF1668" s="394">
        <v>10</v>
      </c>
      <c r="BG1668" s="394">
        <v>5</v>
      </c>
      <c r="BH1668" s="394">
        <v>9</v>
      </c>
      <c r="BI1668" s="394"/>
      <c r="BJ1668" s="394"/>
      <c r="BK1668" s="394"/>
      <c r="BL1668" s="444" t="s">
        <v>6981</v>
      </c>
      <c r="BM1668" s="392"/>
      <c r="BN1668" s="393"/>
      <c r="BO1668" s="393"/>
      <c r="BP1668" s="399"/>
      <c r="BQ1668" s="400"/>
      <c r="BR1668" s="401"/>
      <c r="BS1668" s="399">
        <v>2.6</v>
      </c>
      <c r="BT1668" s="394">
        <v>11400</v>
      </c>
      <c r="BU1668" s="417">
        <v>0.70440000000000003</v>
      </c>
      <c r="BV1668" s="399"/>
      <c r="BW1668" s="393" t="s">
        <v>3117</v>
      </c>
      <c r="BX1668" s="392"/>
      <c r="BY1668" s="393" t="s">
        <v>7224</v>
      </c>
      <c r="BZ1668" s="393"/>
      <c r="CA1668" s="441"/>
      <c r="CB1668" s="400"/>
      <c r="CC1668" s="398"/>
      <c r="CD1668" s="398"/>
      <c r="CE1668" s="398"/>
      <c r="CF1668" s="398"/>
      <c r="CG1668" s="398"/>
      <c r="CH1668" s="398"/>
      <c r="CI1668" s="398"/>
      <c r="CJ1668" s="398"/>
      <c r="CK1668" s="398"/>
      <c r="CL1668" s="398"/>
      <c r="CM1668" s="398"/>
      <c r="CN1668" s="398">
        <v>8.0299999999999994</v>
      </c>
      <c r="CO1668" s="398">
        <v>8.0299999999999994</v>
      </c>
      <c r="CP1668" s="398">
        <v>8.0299999999999994</v>
      </c>
      <c r="CQ1668" s="398">
        <v>8.0299999999999994</v>
      </c>
      <c r="CR1668" s="398">
        <v>8.0299999999999994</v>
      </c>
      <c r="CS1668" s="398">
        <v>8.0299999999999994</v>
      </c>
      <c r="CT1668" s="398">
        <v>8.0299999999999994</v>
      </c>
      <c r="CU1668" s="398"/>
      <c r="CV1668" s="398"/>
      <c r="CW1668" s="398"/>
      <c r="CX1668" s="398"/>
      <c r="CY1668" s="398"/>
      <c r="CZ1668" s="398"/>
      <c r="DA1668" s="398"/>
      <c r="DB1668" s="398"/>
      <c r="DC1668" s="398"/>
      <c r="DD1668" s="398"/>
      <c r="DE1668" s="393"/>
      <c r="DF1668" s="393"/>
      <c r="DG1668" s="393"/>
      <c r="DH1668" s="393"/>
      <c r="DI1668" s="393"/>
      <c r="DJ1668" s="393"/>
      <c r="DK1668" s="897"/>
    </row>
    <row r="1669" spans="1:115" ht="38.25" x14ac:dyDescent="0.2">
      <c r="A1669" s="295">
        <v>1665</v>
      </c>
      <c r="B1669" s="390" t="s">
        <v>5606</v>
      </c>
      <c r="C1669" s="424" t="s">
        <v>7858</v>
      </c>
      <c r="D1669" s="391" t="s">
        <v>6645</v>
      </c>
      <c r="E1669" s="704" t="s">
        <v>6646</v>
      </c>
      <c r="F1669" s="393" t="s">
        <v>1375</v>
      </c>
      <c r="G1669" s="393" t="s">
        <v>998</v>
      </c>
      <c r="H1669" s="393" t="s">
        <v>1381</v>
      </c>
      <c r="I1669" s="392"/>
      <c r="J1669" s="392" t="s">
        <v>1381</v>
      </c>
      <c r="K1669" s="392"/>
      <c r="L1669" s="392" t="s">
        <v>5607</v>
      </c>
      <c r="M1669" s="392" t="s">
        <v>5608</v>
      </c>
      <c r="N1669" s="393" t="s">
        <v>44</v>
      </c>
      <c r="O1669" s="393" t="s">
        <v>51</v>
      </c>
      <c r="P1669" s="393" t="s">
        <v>51</v>
      </c>
      <c r="Q1669" s="392" t="s">
        <v>976</v>
      </c>
      <c r="R1669" s="392"/>
      <c r="S1669" s="392" t="s">
        <v>977</v>
      </c>
      <c r="T1669" s="394">
        <v>1</v>
      </c>
      <c r="U1669" s="395">
        <v>43.097000000000001</v>
      </c>
      <c r="V1669" s="395"/>
      <c r="W1669" s="453"/>
      <c r="X1669" s="394">
        <v>28</v>
      </c>
      <c r="Y1669" s="394"/>
      <c r="Z1669" s="394"/>
      <c r="AA1669" s="395"/>
      <c r="AB1669" s="453"/>
      <c r="AC1669" s="398">
        <v>0</v>
      </c>
      <c r="AD1669" s="398">
        <v>308.99958630136985</v>
      </c>
      <c r="AE1669" s="393" t="s">
        <v>96</v>
      </c>
      <c r="AF1669" s="417"/>
      <c r="AG1669" s="417"/>
      <c r="AH1669" s="417">
        <v>0</v>
      </c>
      <c r="AI1669" s="394"/>
      <c r="AJ1669" s="453"/>
      <c r="AK1669" s="453"/>
      <c r="AL1669" s="393"/>
      <c r="AM1669" s="393"/>
      <c r="AN1669" s="417"/>
      <c r="AO1669" s="392"/>
      <c r="AP1669" s="392" t="s">
        <v>55</v>
      </c>
      <c r="AQ1669" s="392"/>
      <c r="AR1669" s="392" t="s">
        <v>55</v>
      </c>
      <c r="AS1669" s="479">
        <v>41535</v>
      </c>
      <c r="AT1669" s="453"/>
      <c r="AU1669" s="453"/>
      <c r="AV1669" s="452">
        <v>41219</v>
      </c>
      <c r="AW1669" s="452">
        <v>41925</v>
      </c>
      <c r="AX1669" s="452">
        <v>41971</v>
      </c>
      <c r="AY1669" s="452">
        <v>41925</v>
      </c>
      <c r="AZ1669" s="453"/>
      <c r="BA1669" s="393"/>
      <c r="BB1669" s="393" t="s">
        <v>3116</v>
      </c>
      <c r="BC1669" s="393" t="b">
        <v>0</v>
      </c>
      <c r="BD1669" s="393" t="s">
        <v>3116</v>
      </c>
      <c r="BE1669" s="392"/>
      <c r="BF1669" s="394">
        <v>4</v>
      </c>
      <c r="BG1669" s="394">
        <v>1</v>
      </c>
      <c r="BH1669" s="394">
        <v>6</v>
      </c>
      <c r="BI1669" s="394"/>
      <c r="BJ1669" s="394"/>
      <c r="BK1669" s="394"/>
      <c r="BL1669" s="444" t="s">
        <v>6981</v>
      </c>
      <c r="BM1669" s="392"/>
      <c r="BN1669" s="393"/>
      <c r="BO1669" s="393"/>
      <c r="BP1669" s="399"/>
      <c r="BQ1669" s="400"/>
      <c r="BR1669" s="401"/>
      <c r="BS1669" s="399">
        <v>0</v>
      </c>
      <c r="BT1669" s="394"/>
      <c r="BU1669" s="417"/>
      <c r="BV1669" s="399"/>
      <c r="BW1669" s="393"/>
      <c r="BX1669" s="392"/>
      <c r="BY1669" s="393"/>
      <c r="BZ1669" s="393"/>
      <c r="CA1669" s="441"/>
      <c r="CB1669" s="400"/>
      <c r="CC1669" s="398"/>
      <c r="CD1669" s="398"/>
      <c r="CE1669" s="398"/>
      <c r="CF1669" s="398"/>
      <c r="CG1669" s="398"/>
      <c r="CH1669" s="398"/>
      <c r="CI1669" s="398"/>
      <c r="CJ1669" s="398"/>
      <c r="CK1669" s="398"/>
      <c r="CL1669" s="398"/>
      <c r="CM1669" s="398"/>
      <c r="CN1669" s="398"/>
      <c r="CO1669" s="398"/>
      <c r="CP1669" s="398"/>
      <c r="CQ1669" s="398"/>
      <c r="CR1669" s="398"/>
      <c r="CS1669" s="398"/>
      <c r="CT1669" s="398"/>
      <c r="CU1669" s="398"/>
      <c r="CV1669" s="398"/>
      <c r="CW1669" s="398"/>
      <c r="CX1669" s="398"/>
      <c r="CY1669" s="398"/>
      <c r="CZ1669" s="398"/>
      <c r="DA1669" s="398"/>
      <c r="DB1669" s="398"/>
      <c r="DC1669" s="398"/>
      <c r="DD1669" s="398"/>
      <c r="DE1669" s="393"/>
      <c r="DF1669" s="393"/>
      <c r="DG1669" s="393"/>
      <c r="DH1669" s="393"/>
      <c r="DI1669" s="393"/>
      <c r="DJ1669" s="393"/>
      <c r="DK1669" s="896" t="s">
        <v>9734</v>
      </c>
    </row>
    <row r="1670" spans="1:115" ht="51" x14ac:dyDescent="0.2">
      <c r="A1670" s="295">
        <v>1666</v>
      </c>
      <c r="B1670" s="390" t="s">
        <v>5609</v>
      </c>
      <c r="C1670" s="390"/>
      <c r="D1670" s="391" t="s">
        <v>6647</v>
      </c>
      <c r="E1670" s="704" t="s">
        <v>5610</v>
      </c>
      <c r="F1670" s="393" t="s">
        <v>1375</v>
      </c>
      <c r="G1670" s="393" t="s">
        <v>998</v>
      </c>
      <c r="H1670" s="393" t="s">
        <v>1381</v>
      </c>
      <c r="I1670" s="392"/>
      <c r="J1670" s="392"/>
      <c r="K1670" s="392" t="s">
        <v>5611</v>
      </c>
      <c r="L1670" s="392" t="s">
        <v>5607</v>
      </c>
      <c r="M1670" s="392"/>
      <c r="N1670" s="393" t="s">
        <v>44</v>
      </c>
      <c r="O1670" s="393" t="s">
        <v>51</v>
      </c>
      <c r="P1670" s="393" t="s">
        <v>51</v>
      </c>
      <c r="Q1670" s="392" t="s">
        <v>976</v>
      </c>
      <c r="R1670" s="392" t="s">
        <v>5612</v>
      </c>
      <c r="S1670" s="392" t="s">
        <v>977</v>
      </c>
      <c r="T1670" s="394">
        <v>1</v>
      </c>
      <c r="U1670" s="395">
        <v>43.097000000000001</v>
      </c>
      <c r="V1670" s="395"/>
      <c r="W1670" s="453"/>
      <c r="X1670" s="394"/>
      <c r="Y1670" s="394">
        <v>7</v>
      </c>
      <c r="Z1670" s="394">
        <v>7</v>
      </c>
      <c r="AA1670" s="395">
        <v>0</v>
      </c>
      <c r="AB1670" s="452">
        <v>41579</v>
      </c>
      <c r="AC1670" s="398">
        <v>0</v>
      </c>
      <c r="AD1670" s="398">
        <v>308.99958630136985</v>
      </c>
      <c r="AE1670" s="393" t="s">
        <v>96</v>
      </c>
      <c r="AF1670" s="417"/>
      <c r="AG1670" s="417"/>
      <c r="AH1670" s="417"/>
      <c r="AI1670" s="394"/>
      <c r="AJ1670" s="453"/>
      <c r="AK1670" s="453"/>
      <c r="AL1670" s="393"/>
      <c r="AM1670" s="393"/>
      <c r="AN1670" s="417"/>
      <c r="AO1670" s="392"/>
      <c r="AP1670" s="392" t="s">
        <v>55</v>
      </c>
      <c r="AQ1670" s="392"/>
      <c r="AR1670" s="392" t="s">
        <v>55</v>
      </c>
      <c r="AS1670" s="479">
        <v>41535</v>
      </c>
      <c r="AT1670" s="453"/>
      <c r="AU1670" s="453"/>
      <c r="AV1670" s="453"/>
      <c r="AW1670" s="453"/>
      <c r="AX1670" s="453"/>
      <c r="AY1670" s="453"/>
      <c r="AZ1670" s="452">
        <v>41925</v>
      </c>
      <c r="BA1670" s="393"/>
      <c r="BB1670" s="393"/>
      <c r="BC1670" s="393" t="b">
        <v>0</v>
      </c>
      <c r="BD1670" s="393"/>
      <c r="BE1670" s="392"/>
      <c r="BF1670" s="394">
        <v>4</v>
      </c>
      <c r="BG1670" s="394">
        <v>1</v>
      </c>
      <c r="BH1670" s="394">
        <v>6</v>
      </c>
      <c r="BI1670" s="394"/>
      <c r="BJ1670" s="394"/>
      <c r="BK1670" s="394"/>
      <c r="BL1670" s="444" t="s">
        <v>6981</v>
      </c>
      <c r="BM1670" s="392"/>
      <c r="BN1670" s="393"/>
      <c r="BO1670" s="393"/>
      <c r="BP1670" s="399"/>
      <c r="BQ1670" s="400"/>
      <c r="BR1670" s="401"/>
      <c r="BS1670" s="399"/>
      <c r="BT1670" s="394"/>
      <c r="BU1670" s="417"/>
      <c r="BV1670" s="399"/>
      <c r="BW1670" s="393" t="s">
        <v>3117</v>
      </c>
      <c r="BX1670" s="392"/>
      <c r="BY1670" s="393"/>
      <c r="BZ1670" s="393"/>
      <c r="CA1670" s="441"/>
      <c r="CB1670" s="400"/>
      <c r="CC1670" s="398"/>
      <c r="CD1670" s="398"/>
      <c r="CE1670" s="398"/>
      <c r="CF1670" s="398"/>
      <c r="CG1670" s="398"/>
      <c r="CH1670" s="398"/>
      <c r="CI1670" s="398"/>
      <c r="CJ1670" s="398">
        <v>48.168999999999997</v>
      </c>
      <c r="CK1670" s="398">
        <v>48.168999999999997</v>
      </c>
      <c r="CL1670" s="398">
        <v>48.168999999999997</v>
      </c>
      <c r="CM1670" s="398">
        <v>48.168999999999997</v>
      </c>
      <c r="CN1670" s="398">
        <v>48.168999999999997</v>
      </c>
      <c r="CO1670" s="398">
        <v>48.168999999999997</v>
      </c>
      <c r="CP1670" s="398">
        <v>48.168999999999997</v>
      </c>
      <c r="CQ1670" s="398"/>
      <c r="CR1670" s="398"/>
      <c r="CS1670" s="398"/>
      <c r="CT1670" s="398"/>
      <c r="CU1670" s="398"/>
      <c r="CV1670" s="398"/>
      <c r="CW1670" s="398"/>
      <c r="CX1670" s="398"/>
      <c r="CY1670" s="398"/>
      <c r="CZ1670" s="398"/>
      <c r="DA1670" s="398"/>
      <c r="DB1670" s="398"/>
      <c r="DC1670" s="398"/>
      <c r="DD1670" s="398"/>
      <c r="DE1670" s="393"/>
      <c r="DF1670" s="393"/>
      <c r="DG1670" s="393"/>
      <c r="DH1670" s="393"/>
      <c r="DI1670" s="393"/>
      <c r="DJ1670" s="393"/>
      <c r="DK1670" s="897"/>
    </row>
    <row r="1671" spans="1:115" ht="38.25" x14ac:dyDescent="0.2">
      <c r="A1671" s="295">
        <v>1667</v>
      </c>
      <c r="B1671" s="390" t="s">
        <v>5655</v>
      </c>
      <c r="C1671" s="424" t="s">
        <v>7859</v>
      </c>
      <c r="D1671" s="435">
        <v>10008</v>
      </c>
      <c r="E1671" s="704" t="s">
        <v>5669</v>
      </c>
      <c r="F1671" s="393" t="s">
        <v>1352</v>
      </c>
      <c r="G1671" s="393" t="s">
        <v>1671</v>
      </c>
      <c r="H1671" s="393" t="s">
        <v>1357</v>
      </c>
      <c r="I1671" s="392" t="s">
        <v>1357</v>
      </c>
      <c r="J1671" s="392" t="s">
        <v>1357</v>
      </c>
      <c r="K1671" s="392"/>
      <c r="L1671" s="392" t="s">
        <v>5667</v>
      </c>
      <c r="M1671" s="392" t="s">
        <v>5670</v>
      </c>
      <c r="N1671" s="393" t="s">
        <v>44</v>
      </c>
      <c r="O1671" s="393" t="s">
        <v>51</v>
      </c>
      <c r="P1671" s="393" t="s">
        <v>51</v>
      </c>
      <c r="Q1671" s="392" t="s">
        <v>976</v>
      </c>
      <c r="R1671" s="392"/>
      <c r="S1671" s="392" t="s">
        <v>977</v>
      </c>
      <c r="T1671" s="394">
        <v>1</v>
      </c>
      <c r="U1671" s="395">
        <v>34.149000000000001</v>
      </c>
      <c r="V1671" s="395"/>
      <c r="W1671" s="452">
        <v>41548</v>
      </c>
      <c r="X1671" s="394">
        <v>28</v>
      </c>
      <c r="Y1671" s="394"/>
      <c r="Z1671" s="394"/>
      <c r="AA1671" s="395"/>
      <c r="AB1671" s="453"/>
      <c r="AC1671" s="398">
        <v>0</v>
      </c>
      <c r="AD1671" s="398">
        <v>341.49</v>
      </c>
      <c r="AE1671" s="393" t="s">
        <v>5613</v>
      </c>
      <c r="AF1671" s="417"/>
      <c r="AG1671" s="417"/>
      <c r="AH1671" s="417">
        <v>0</v>
      </c>
      <c r="AI1671" s="394"/>
      <c r="AJ1671" s="453"/>
      <c r="AK1671" s="453"/>
      <c r="AL1671" s="393"/>
      <c r="AM1671" s="393"/>
      <c r="AN1671" s="417"/>
      <c r="AO1671" s="392"/>
      <c r="AP1671" s="392" t="s">
        <v>55</v>
      </c>
      <c r="AQ1671" s="392"/>
      <c r="AR1671" s="392" t="s">
        <v>55</v>
      </c>
      <c r="AS1671" s="479">
        <v>41548</v>
      </c>
      <c r="AT1671" s="453"/>
      <c r="AU1671" s="453"/>
      <c r="AV1671" s="453">
        <v>42276</v>
      </c>
      <c r="AW1671" s="453">
        <v>42767</v>
      </c>
      <c r="AX1671" s="453">
        <v>42858</v>
      </c>
      <c r="AY1671" s="453">
        <v>42809</v>
      </c>
      <c r="AZ1671" s="453"/>
      <c r="BA1671" s="393"/>
      <c r="BB1671" s="393" t="s">
        <v>3116</v>
      </c>
      <c r="BC1671" s="393" t="b">
        <v>0</v>
      </c>
      <c r="BD1671" s="393" t="s">
        <v>3116</v>
      </c>
      <c r="BE1671" s="392"/>
      <c r="BF1671" s="394">
        <v>4</v>
      </c>
      <c r="BG1671" s="394">
        <v>5</v>
      </c>
      <c r="BH1671" s="394">
        <v>8</v>
      </c>
      <c r="BI1671" s="394">
        <v>9</v>
      </c>
      <c r="BJ1671" s="394">
        <v>1</v>
      </c>
      <c r="BK1671" s="394"/>
      <c r="BL1671" s="444" t="s">
        <v>6981</v>
      </c>
      <c r="BM1671" s="392"/>
      <c r="BN1671" s="393"/>
      <c r="BO1671" s="393"/>
      <c r="BP1671" s="399"/>
      <c r="BQ1671" s="400"/>
      <c r="BR1671" s="401"/>
      <c r="BS1671" s="399">
        <v>0</v>
      </c>
      <c r="BT1671" s="394"/>
      <c r="BU1671" s="417"/>
      <c r="BV1671" s="399"/>
      <c r="BW1671" s="393"/>
      <c r="BX1671" s="392"/>
      <c r="BY1671" s="393"/>
      <c r="BZ1671" s="393" t="s">
        <v>3165</v>
      </c>
      <c r="CA1671" s="441"/>
      <c r="CB1671" s="400"/>
      <c r="CC1671" s="398"/>
      <c r="CD1671" s="398"/>
      <c r="CE1671" s="398"/>
      <c r="CF1671" s="398"/>
      <c r="CG1671" s="398"/>
      <c r="CH1671" s="398"/>
      <c r="CI1671" s="398"/>
      <c r="CJ1671" s="398"/>
      <c r="CK1671" s="398"/>
      <c r="CL1671" s="398"/>
      <c r="CM1671" s="398"/>
      <c r="CN1671" s="398"/>
      <c r="CO1671" s="398"/>
      <c r="CP1671" s="398"/>
      <c r="CQ1671" s="398"/>
      <c r="CR1671" s="398"/>
      <c r="CS1671" s="398"/>
      <c r="CT1671" s="398"/>
      <c r="CU1671" s="398"/>
      <c r="CV1671" s="398"/>
      <c r="CW1671" s="398"/>
      <c r="CX1671" s="398"/>
      <c r="CY1671" s="398"/>
      <c r="CZ1671" s="398"/>
      <c r="DA1671" s="398"/>
      <c r="DB1671" s="398"/>
      <c r="DC1671" s="398"/>
      <c r="DD1671" s="398"/>
      <c r="DE1671" s="393"/>
      <c r="DF1671" s="393"/>
      <c r="DG1671" s="393"/>
      <c r="DH1671" s="393"/>
      <c r="DI1671" s="393"/>
      <c r="DJ1671" s="393"/>
      <c r="DK1671" s="896" t="s">
        <v>9723</v>
      </c>
    </row>
    <row r="1672" spans="1:115" ht="25.5" x14ac:dyDescent="0.2">
      <c r="A1672" s="295">
        <v>1668</v>
      </c>
      <c r="B1672" s="390" t="s">
        <v>5660</v>
      </c>
      <c r="C1672" s="390"/>
      <c r="D1672" s="436" t="s">
        <v>9013</v>
      </c>
      <c r="E1672" s="704" t="s">
        <v>5665</v>
      </c>
      <c r="F1672" s="393" t="s">
        <v>1352</v>
      </c>
      <c r="G1672" s="393" t="s">
        <v>1671</v>
      </c>
      <c r="H1672" s="393" t="s">
        <v>1357</v>
      </c>
      <c r="I1672" s="392"/>
      <c r="J1672" s="392"/>
      <c r="K1672" s="392" t="s">
        <v>5666</v>
      </c>
      <c r="L1672" s="392" t="s">
        <v>5667</v>
      </c>
      <c r="M1672" s="392"/>
      <c r="N1672" s="393" t="s">
        <v>44</v>
      </c>
      <c r="O1672" s="393" t="s">
        <v>51</v>
      </c>
      <c r="P1672" s="393" t="s">
        <v>51</v>
      </c>
      <c r="Q1672" s="392" t="s">
        <v>976</v>
      </c>
      <c r="R1672" s="392" t="s">
        <v>5668</v>
      </c>
      <c r="S1672" s="392" t="s">
        <v>977</v>
      </c>
      <c r="T1672" s="394">
        <v>1</v>
      </c>
      <c r="U1672" s="395">
        <v>34.149000000000001</v>
      </c>
      <c r="V1672" s="395"/>
      <c r="W1672" s="453"/>
      <c r="X1672" s="394"/>
      <c r="Y1672" s="394">
        <v>10</v>
      </c>
      <c r="Z1672" s="394">
        <v>10</v>
      </c>
      <c r="AA1672" s="395">
        <v>0</v>
      </c>
      <c r="AB1672" s="452">
        <v>42809</v>
      </c>
      <c r="AC1672" s="398">
        <v>0</v>
      </c>
      <c r="AD1672" s="398">
        <v>341.49</v>
      </c>
      <c r="AE1672" s="393" t="s">
        <v>5613</v>
      </c>
      <c r="AF1672" s="417"/>
      <c r="AG1672" s="417"/>
      <c r="AH1672" s="417"/>
      <c r="AI1672" s="394"/>
      <c r="AJ1672" s="453"/>
      <c r="AK1672" s="453"/>
      <c r="AL1672" s="393"/>
      <c r="AM1672" s="393"/>
      <c r="AN1672" s="417"/>
      <c r="AO1672" s="392"/>
      <c r="AP1672" s="392" t="s">
        <v>55</v>
      </c>
      <c r="AQ1672" s="392"/>
      <c r="AR1672" s="392" t="s">
        <v>55</v>
      </c>
      <c r="AS1672" s="479">
        <v>41548</v>
      </c>
      <c r="AT1672" s="453"/>
      <c r="AU1672" s="453"/>
      <c r="AV1672" s="453"/>
      <c r="AW1672" s="453"/>
      <c r="AX1672" s="453"/>
      <c r="AY1672" s="453"/>
      <c r="AZ1672" s="453">
        <v>42809</v>
      </c>
      <c r="BA1672" s="393"/>
      <c r="BB1672" s="393"/>
      <c r="BC1672" s="393" t="b">
        <v>0</v>
      </c>
      <c r="BD1672" s="393"/>
      <c r="BE1672" s="392"/>
      <c r="BF1672" s="394">
        <v>4</v>
      </c>
      <c r="BG1672" s="394">
        <v>5</v>
      </c>
      <c r="BH1672" s="394">
        <v>8</v>
      </c>
      <c r="BI1672" s="394">
        <v>9</v>
      </c>
      <c r="BJ1672" s="394">
        <v>1</v>
      </c>
      <c r="BK1672" s="394"/>
      <c r="BL1672" s="444" t="s">
        <v>6981</v>
      </c>
      <c r="BM1672" s="392"/>
      <c r="BN1672" s="393"/>
      <c r="BO1672" s="393"/>
      <c r="BP1672" s="399"/>
      <c r="BQ1672" s="400"/>
      <c r="BR1672" s="401"/>
      <c r="BS1672" s="399"/>
      <c r="BT1672" s="394"/>
      <c r="BU1672" s="417"/>
      <c r="BV1672" s="399"/>
      <c r="BW1672" s="393" t="s">
        <v>3117</v>
      </c>
      <c r="BX1672" s="392"/>
      <c r="BY1672" s="393" t="s">
        <v>7227</v>
      </c>
      <c r="BZ1672" s="393" t="s">
        <v>3165</v>
      </c>
      <c r="CA1672" s="441"/>
      <c r="CB1672" s="400"/>
      <c r="CC1672" s="398"/>
      <c r="CD1672" s="398"/>
      <c r="CE1672" s="398"/>
      <c r="CF1672" s="398"/>
      <c r="CG1672" s="398"/>
      <c r="CH1672" s="398"/>
      <c r="CI1672" s="398"/>
      <c r="CJ1672" s="398"/>
      <c r="CK1672" s="398"/>
      <c r="CL1672" s="398"/>
      <c r="CM1672" s="398">
        <v>34.149000000000001</v>
      </c>
      <c r="CN1672" s="398">
        <v>34.149000000000001</v>
      </c>
      <c r="CO1672" s="398">
        <v>34.149000000000001</v>
      </c>
      <c r="CP1672" s="398">
        <v>34.149000000000001</v>
      </c>
      <c r="CQ1672" s="398">
        <v>34.149000000000001</v>
      </c>
      <c r="CR1672" s="398">
        <v>34.149000000000001</v>
      </c>
      <c r="CS1672" s="398">
        <v>34.149000000000001</v>
      </c>
      <c r="CT1672" s="398">
        <v>34.149000000000001</v>
      </c>
      <c r="CU1672" s="398">
        <v>34.149000000000001</v>
      </c>
      <c r="CV1672" s="398">
        <v>34.149000000000001</v>
      </c>
      <c r="CW1672" s="398"/>
      <c r="CX1672" s="398"/>
      <c r="CY1672" s="398"/>
      <c r="CZ1672" s="398"/>
      <c r="DA1672" s="398"/>
      <c r="DB1672" s="398"/>
      <c r="DC1672" s="398"/>
      <c r="DD1672" s="398"/>
      <c r="DE1672" s="393"/>
      <c r="DF1672" s="393"/>
      <c r="DG1672" s="393"/>
      <c r="DH1672" s="393"/>
      <c r="DI1672" s="393"/>
      <c r="DJ1672" s="393"/>
      <c r="DK1672" s="897"/>
    </row>
    <row r="1673" spans="1:115" ht="51" x14ac:dyDescent="0.2">
      <c r="A1673" s="295">
        <v>1669</v>
      </c>
      <c r="B1673" s="390" t="s">
        <v>5671</v>
      </c>
      <c r="C1673" s="424" t="s">
        <v>7860</v>
      </c>
      <c r="D1673" s="531">
        <v>10093</v>
      </c>
      <c r="E1673" s="704" t="s">
        <v>5656</v>
      </c>
      <c r="F1673" s="393" t="s">
        <v>1375</v>
      </c>
      <c r="G1673" s="393" t="s">
        <v>1670</v>
      </c>
      <c r="H1673" s="393" t="s">
        <v>1048</v>
      </c>
      <c r="I1673" s="392"/>
      <c r="J1673" s="392" t="s">
        <v>1048</v>
      </c>
      <c r="K1673" s="392"/>
      <c r="L1673" s="392" t="s">
        <v>5657</v>
      </c>
      <c r="M1673" s="392" t="s">
        <v>5658</v>
      </c>
      <c r="N1673" s="393" t="s">
        <v>44</v>
      </c>
      <c r="O1673" s="393" t="s">
        <v>820</v>
      </c>
      <c r="P1673" s="393" t="s">
        <v>820</v>
      </c>
      <c r="Q1673" s="392" t="s">
        <v>1323</v>
      </c>
      <c r="R1673" s="392"/>
      <c r="S1673" s="392" t="s">
        <v>5659</v>
      </c>
      <c r="T1673" s="394">
        <v>1</v>
      </c>
      <c r="U1673" s="395">
        <v>24.059000000000001</v>
      </c>
      <c r="V1673" s="395"/>
      <c r="W1673" s="452">
        <v>41576</v>
      </c>
      <c r="X1673" s="394">
        <v>28</v>
      </c>
      <c r="Y1673" s="394"/>
      <c r="Z1673" s="394"/>
      <c r="AA1673" s="395"/>
      <c r="AB1673" s="453"/>
      <c r="AC1673" s="398">
        <v>0</v>
      </c>
      <c r="AD1673" s="398">
        <v>115.28545479452055</v>
      </c>
      <c r="AE1673" s="393" t="s">
        <v>309</v>
      </c>
      <c r="AF1673" s="417"/>
      <c r="AG1673" s="417"/>
      <c r="AH1673" s="417">
        <v>0</v>
      </c>
      <c r="AI1673" s="394"/>
      <c r="AJ1673" s="453"/>
      <c r="AK1673" s="453"/>
      <c r="AL1673" s="393"/>
      <c r="AM1673" s="393"/>
      <c r="AN1673" s="417"/>
      <c r="AO1673" s="392"/>
      <c r="AP1673" s="392" t="s">
        <v>55</v>
      </c>
      <c r="AQ1673" s="392"/>
      <c r="AR1673" s="392" t="s">
        <v>55</v>
      </c>
      <c r="AS1673" s="479">
        <v>41576</v>
      </c>
      <c r="AT1673" s="453"/>
      <c r="AU1673" s="453"/>
      <c r="AV1673" s="453">
        <v>41818</v>
      </c>
      <c r="AW1673" s="453">
        <v>42611</v>
      </c>
      <c r="AX1673" s="453">
        <v>42664</v>
      </c>
      <c r="AY1673" s="453">
        <v>42308</v>
      </c>
      <c r="AZ1673" s="453"/>
      <c r="BA1673" s="393"/>
      <c r="BB1673" s="393" t="s">
        <v>3147</v>
      </c>
      <c r="BC1673" s="393" t="b">
        <v>1</v>
      </c>
      <c r="BD1673" s="393" t="s">
        <v>3147</v>
      </c>
      <c r="BE1673" s="392"/>
      <c r="BF1673" s="394">
        <v>1</v>
      </c>
      <c r="BG1673" s="394">
        <v>9</v>
      </c>
      <c r="BH1673" s="394">
        <v>5</v>
      </c>
      <c r="BI1673" s="394">
        <v>6</v>
      </c>
      <c r="BJ1673" s="394"/>
      <c r="BK1673" s="394"/>
      <c r="BL1673" s="444" t="s">
        <v>1451</v>
      </c>
      <c r="BM1673" s="392"/>
      <c r="BN1673" s="393"/>
      <c r="BO1673" s="393"/>
      <c r="BP1673" s="399"/>
      <c r="BQ1673" s="400"/>
      <c r="BR1673" s="401"/>
      <c r="BS1673" s="399">
        <v>0</v>
      </c>
      <c r="BT1673" s="394"/>
      <c r="BU1673" s="417"/>
      <c r="BV1673" s="399"/>
      <c r="BW1673" s="393"/>
      <c r="BX1673" s="392" t="s">
        <v>3172</v>
      </c>
      <c r="BY1673" s="393" t="s">
        <v>7225</v>
      </c>
      <c r="BZ1673" s="393" t="s">
        <v>3165</v>
      </c>
      <c r="CA1673" s="441"/>
      <c r="CB1673" s="400"/>
      <c r="CC1673" s="398"/>
      <c r="CD1673" s="398"/>
      <c r="CE1673" s="398"/>
      <c r="CF1673" s="398"/>
      <c r="CG1673" s="398"/>
      <c r="CH1673" s="398"/>
      <c r="CI1673" s="398"/>
      <c r="CJ1673" s="398"/>
      <c r="CK1673" s="398"/>
      <c r="CL1673" s="398"/>
      <c r="CM1673" s="398"/>
      <c r="CN1673" s="398"/>
      <c r="CO1673" s="398"/>
      <c r="CP1673" s="398"/>
      <c r="CQ1673" s="398"/>
      <c r="CR1673" s="398"/>
      <c r="CS1673" s="398"/>
      <c r="CT1673" s="398"/>
      <c r="CU1673" s="398"/>
      <c r="CV1673" s="398"/>
      <c r="CW1673" s="398"/>
      <c r="CX1673" s="398"/>
      <c r="CY1673" s="398"/>
      <c r="CZ1673" s="398"/>
      <c r="DA1673" s="398"/>
      <c r="DB1673" s="398"/>
      <c r="DC1673" s="398"/>
      <c r="DD1673" s="398"/>
      <c r="DE1673" s="393"/>
      <c r="DF1673" s="393"/>
      <c r="DG1673" s="393"/>
      <c r="DH1673" s="393"/>
      <c r="DI1673" s="393"/>
      <c r="DJ1673" s="393"/>
      <c r="DK1673" s="896" t="s">
        <v>9758</v>
      </c>
    </row>
    <row r="1674" spans="1:115" ht="51" x14ac:dyDescent="0.2">
      <c r="A1674" s="295">
        <v>1670</v>
      </c>
      <c r="B1674" s="390" t="s">
        <v>5672</v>
      </c>
      <c r="C1674" s="390"/>
      <c r="D1674" s="474" t="s">
        <v>8360</v>
      </c>
      <c r="E1674" s="704" t="s">
        <v>5661</v>
      </c>
      <c r="F1674" s="393" t="s">
        <v>1375</v>
      </c>
      <c r="G1674" s="393" t="s">
        <v>1670</v>
      </c>
      <c r="H1674" s="393" t="s">
        <v>1048</v>
      </c>
      <c r="I1674" s="392"/>
      <c r="J1674" s="392"/>
      <c r="K1674" s="392" t="s">
        <v>2088</v>
      </c>
      <c r="L1674" s="392" t="s">
        <v>5657</v>
      </c>
      <c r="M1674" s="392"/>
      <c r="N1674" s="393" t="s">
        <v>44</v>
      </c>
      <c r="O1674" s="393" t="s">
        <v>820</v>
      </c>
      <c r="P1674" s="393" t="s">
        <v>820</v>
      </c>
      <c r="Q1674" s="392" t="s">
        <v>1323</v>
      </c>
      <c r="R1674" s="392" t="s">
        <v>5662</v>
      </c>
      <c r="S1674" s="392" t="s">
        <v>5659</v>
      </c>
      <c r="T1674" s="394">
        <v>1</v>
      </c>
      <c r="U1674" s="395">
        <v>24.059000000000001</v>
      </c>
      <c r="V1674" s="395"/>
      <c r="W1674" s="453"/>
      <c r="X1674" s="394"/>
      <c r="Y1674" s="394">
        <v>7</v>
      </c>
      <c r="Z1674" s="394">
        <v>25</v>
      </c>
      <c r="AA1674" s="395">
        <v>-0.35499999999999998</v>
      </c>
      <c r="AB1674" s="452">
        <v>42447</v>
      </c>
      <c r="AC1674" s="398">
        <v>0</v>
      </c>
      <c r="AD1674" s="398">
        <v>115.28545479452055</v>
      </c>
      <c r="AE1674" s="393" t="s">
        <v>309</v>
      </c>
      <c r="AF1674" s="417"/>
      <c r="AG1674" s="417"/>
      <c r="AH1674" s="417"/>
      <c r="AI1674" s="394"/>
      <c r="AJ1674" s="453"/>
      <c r="AK1674" s="453"/>
      <c r="AL1674" s="393"/>
      <c r="AM1674" s="393"/>
      <c r="AN1674" s="417"/>
      <c r="AO1674" s="392"/>
      <c r="AP1674" s="392" t="s">
        <v>55</v>
      </c>
      <c r="AQ1674" s="392"/>
      <c r="AR1674" s="392" t="s">
        <v>55</v>
      </c>
      <c r="AS1674" s="479">
        <v>41576</v>
      </c>
      <c r="AT1674" s="453"/>
      <c r="AU1674" s="453"/>
      <c r="AV1674" s="453"/>
      <c r="AW1674" s="453"/>
      <c r="AX1674" s="453"/>
      <c r="AY1674" s="453"/>
      <c r="AZ1674" s="453">
        <v>42308</v>
      </c>
      <c r="BA1674" s="393"/>
      <c r="BB1674" s="393"/>
      <c r="BC1674" s="393" t="b">
        <v>0</v>
      </c>
      <c r="BD1674" s="393"/>
      <c r="BE1674" s="392"/>
      <c r="BF1674" s="394">
        <v>1</v>
      </c>
      <c r="BG1674" s="394">
        <v>9</v>
      </c>
      <c r="BH1674" s="394">
        <v>5</v>
      </c>
      <c r="BI1674" s="394">
        <v>6</v>
      </c>
      <c r="BJ1674" s="394"/>
      <c r="BK1674" s="394"/>
      <c r="BL1674" s="444" t="s">
        <v>1451</v>
      </c>
      <c r="BM1674" s="392"/>
      <c r="BN1674" s="393"/>
      <c r="BO1674" s="393"/>
      <c r="BP1674" s="399"/>
      <c r="BQ1674" s="400"/>
      <c r="BR1674" s="401"/>
      <c r="BS1674" s="399"/>
      <c r="BT1674" s="394"/>
      <c r="BU1674" s="417"/>
      <c r="BV1674" s="399"/>
      <c r="BW1674" s="393" t="s">
        <v>3117</v>
      </c>
      <c r="BX1674" s="392"/>
      <c r="BY1674" s="393"/>
      <c r="BZ1674" s="393" t="s">
        <v>3165</v>
      </c>
      <c r="CA1674" s="441"/>
      <c r="CB1674" s="400"/>
      <c r="CC1674" s="398"/>
      <c r="CD1674" s="398"/>
      <c r="CE1674" s="398"/>
      <c r="CF1674" s="398"/>
      <c r="CG1674" s="398"/>
      <c r="CH1674" s="398"/>
      <c r="CI1674" s="398"/>
      <c r="CJ1674" s="398"/>
      <c r="CK1674" s="398"/>
      <c r="CL1674" s="398"/>
      <c r="CM1674" s="398"/>
      <c r="CN1674" s="398">
        <v>25.077059999999999</v>
      </c>
      <c r="CO1674" s="398">
        <v>24.732040000000001</v>
      </c>
      <c r="CP1674" s="398">
        <v>24.390470000000001</v>
      </c>
      <c r="CQ1674" s="398">
        <v>24.052309999999999</v>
      </c>
      <c r="CR1674" s="398">
        <v>23.71754</v>
      </c>
      <c r="CS1674" s="398">
        <v>23.386109999999999</v>
      </c>
      <c r="CT1674" s="398">
        <v>23.058</v>
      </c>
      <c r="CU1674" s="398"/>
      <c r="CV1674" s="398"/>
      <c r="CW1674" s="398"/>
      <c r="CX1674" s="398"/>
      <c r="CY1674" s="398"/>
      <c r="CZ1674" s="398"/>
      <c r="DA1674" s="398"/>
      <c r="DB1674" s="398"/>
      <c r="DC1674" s="398"/>
      <c r="DD1674" s="398"/>
      <c r="DE1674" s="393"/>
      <c r="DF1674" s="393"/>
      <c r="DG1674" s="393"/>
      <c r="DH1674" s="393"/>
      <c r="DI1674" s="393"/>
      <c r="DJ1674" s="393"/>
      <c r="DK1674" s="897"/>
    </row>
    <row r="1675" spans="1:115" ht="63.75" x14ac:dyDescent="0.2">
      <c r="A1675" s="295">
        <v>1671</v>
      </c>
      <c r="B1675" s="390" t="s">
        <v>5739</v>
      </c>
      <c r="C1675" s="424" t="s">
        <v>7861</v>
      </c>
      <c r="D1675" s="391" t="s">
        <v>6546</v>
      </c>
      <c r="E1675" s="705" t="s">
        <v>5740</v>
      </c>
      <c r="F1675" s="393" t="s">
        <v>1352</v>
      </c>
      <c r="G1675" s="393" t="s">
        <v>1673</v>
      </c>
      <c r="H1675" s="393" t="s">
        <v>5673</v>
      </c>
      <c r="I1675" s="392"/>
      <c r="J1675" s="392" t="s">
        <v>5673</v>
      </c>
      <c r="K1675" s="392"/>
      <c r="L1675" s="392" t="s">
        <v>5741</v>
      </c>
      <c r="M1675" s="392" t="s">
        <v>5742</v>
      </c>
      <c r="N1675" s="393" t="s">
        <v>44</v>
      </c>
      <c r="O1675" s="393" t="s">
        <v>51</v>
      </c>
      <c r="P1675" s="393" t="s">
        <v>51</v>
      </c>
      <c r="Q1675" s="392" t="s">
        <v>976</v>
      </c>
      <c r="R1675" s="392"/>
      <c r="S1675" s="428" t="s">
        <v>977</v>
      </c>
      <c r="T1675" s="394">
        <v>1</v>
      </c>
      <c r="U1675" s="395">
        <v>11.198</v>
      </c>
      <c r="V1675" s="395"/>
      <c r="W1675" s="452">
        <v>41580</v>
      </c>
      <c r="X1675" s="394"/>
      <c r="Y1675" s="394"/>
      <c r="Z1675" s="394"/>
      <c r="AA1675" s="395"/>
      <c r="AB1675" s="453"/>
      <c r="AC1675" s="398">
        <v>0</v>
      </c>
      <c r="AD1675" s="398">
        <v>80.25744657534247</v>
      </c>
      <c r="AE1675" s="393" t="s">
        <v>167</v>
      </c>
      <c r="AF1675" s="417"/>
      <c r="AG1675" s="417"/>
      <c r="AH1675" s="417">
        <v>0</v>
      </c>
      <c r="AI1675" s="394"/>
      <c r="AJ1675" s="453"/>
      <c r="AK1675" s="453"/>
      <c r="AL1675" s="393"/>
      <c r="AM1675" s="393"/>
      <c r="AN1675" s="417"/>
      <c r="AO1675" s="392"/>
      <c r="AP1675" s="392" t="s">
        <v>55</v>
      </c>
      <c r="AQ1675" s="392"/>
      <c r="AR1675" s="392" t="s">
        <v>55</v>
      </c>
      <c r="AS1675" s="479">
        <v>41594</v>
      </c>
      <c r="AT1675" s="453"/>
      <c r="AU1675" s="453"/>
      <c r="AV1675" s="452">
        <v>41653</v>
      </c>
      <c r="AW1675" s="452">
        <v>41887</v>
      </c>
      <c r="AX1675" s="452">
        <v>41936</v>
      </c>
      <c r="AY1675" s="452">
        <v>41887</v>
      </c>
      <c r="AZ1675" s="453"/>
      <c r="BA1675" s="393"/>
      <c r="BB1675" s="393" t="s">
        <v>3116</v>
      </c>
      <c r="BC1675" s="393" t="b">
        <v>0</v>
      </c>
      <c r="BD1675" s="393" t="s">
        <v>3116</v>
      </c>
      <c r="BE1675" s="392"/>
      <c r="BF1675" s="394">
        <v>9</v>
      </c>
      <c r="BG1675" s="394">
        <v>5</v>
      </c>
      <c r="BH1675" s="394">
        <v>2</v>
      </c>
      <c r="BI1675" s="394">
        <v>6</v>
      </c>
      <c r="BJ1675" s="394"/>
      <c r="BK1675" s="394"/>
      <c r="BL1675" s="444" t="s">
        <v>6981</v>
      </c>
      <c r="BM1675" s="392"/>
      <c r="BN1675" s="393"/>
      <c r="BO1675" s="393"/>
      <c r="BP1675" s="399"/>
      <c r="BQ1675" s="400"/>
      <c r="BR1675" s="401"/>
      <c r="BS1675" s="399">
        <v>0</v>
      </c>
      <c r="BT1675" s="394"/>
      <c r="BU1675" s="417"/>
      <c r="BV1675" s="399"/>
      <c r="BW1675" s="393"/>
      <c r="BX1675" s="392"/>
      <c r="BY1675" s="393"/>
      <c r="BZ1675" s="393"/>
      <c r="CA1675" s="441"/>
      <c r="CB1675" s="400"/>
      <c r="CC1675" s="398"/>
      <c r="CD1675" s="398"/>
      <c r="CE1675" s="398"/>
      <c r="CF1675" s="398"/>
      <c r="CG1675" s="398"/>
      <c r="CH1675" s="398"/>
      <c r="CI1675" s="398"/>
      <c r="CJ1675" s="398"/>
      <c r="CK1675" s="398"/>
      <c r="CL1675" s="398"/>
      <c r="CM1675" s="398"/>
      <c r="CN1675" s="398"/>
      <c r="CO1675" s="398"/>
      <c r="CP1675" s="398"/>
      <c r="CQ1675" s="398"/>
      <c r="CR1675" s="398"/>
      <c r="CS1675" s="398"/>
      <c r="CT1675" s="398"/>
      <c r="CU1675" s="398"/>
      <c r="CV1675" s="398"/>
      <c r="CW1675" s="398"/>
      <c r="CX1675" s="398"/>
      <c r="CY1675" s="398"/>
      <c r="CZ1675" s="398"/>
      <c r="DA1675" s="398"/>
      <c r="DB1675" s="398"/>
      <c r="DC1675" s="398"/>
      <c r="DD1675" s="398"/>
      <c r="DE1675" s="393"/>
      <c r="DF1675" s="393"/>
      <c r="DG1675" s="393"/>
      <c r="DH1675" s="393"/>
      <c r="DI1675" s="393"/>
      <c r="DJ1675" s="393"/>
      <c r="DK1675" s="896" t="s">
        <v>9747</v>
      </c>
    </row>
    <row r="1676" spans="1:115" ht="25.5" x14ac:dyDescent="0.2">
      <c r="A1676" s="295">
        <v>1672</v>
      </c>
      <c r="B1676" s="390" t="s">
        <v>5743</v>
      </c>
      <c r="C1676" s="390"/>
      <c r="D1676" s="391" t="s">
        <v>6547</v>
      </c>
      <c r="E1676" s="704" t="s">
        <v>5744</v>
      </c>
      <c r="F1676" s="393" t="s">
        <v>1352</v>
      </c>
      <c r="G1676" s="393" t="s">
        <v>1673</v>
      </c>
      <c r="H1676" s="393" t="s">
        <v>5673</v>
      </c>
      <c r="I1676" s="392"/>
      <c r="J1676" s="392"/>
      <c r="K1676" s="392" t="s">
        <v>5627</v>
      </c>
      <c r="L1676" s="392" t="s">
        <v>5741</v>
      </c>
      <c r="M1676" s="392"/>
      <c r="N1676" s="393" t="s">
        <v>44</v>
      </c>
      <c r="O1676" s="393" t="s">
        <v>51</v>
      </c>
      <c r="P1676" s="393" t="s">
        <v>51</v>
      </c>
      <c r="Q1676" s="392" t="s">
        <v>976</v>
      </c>
      <c r="R1676" s="392" t="s">
        <v>5745</v>
      </c>
      <c r="S1676" s="428" t="s">
        <v>977</v>
      </c>
      <c r="T1676" s="394">
        <v>1</v>
      </c>
      <c r="U1676" s="395">
        <v>11.198</v>
      </c>
      <c r="V1676" s="395"/>
      <c r="W1676" s="453"/>
      <c r="X1676" s="394"/>
      <c r="Y1676" s="394">
        <v>7</v>
      </c>
      <c r="Z1676" s="394"/>
      <c r="AA1676" s="395">
        <v>0</v>
      </c>
      <c r="AB1676" s="452">
        <v>41580</v>
      </c>
      <c r="AC1676" s="398">
        <v>0</v>
      </c>
      <c r="AD1676" s="398">
        <v>80.25744657534247</v>
      </c>
      <c r="AE1676" s="393" t="s">
        <v>167</v>
      </c>
      <c r="AF1676" s="417"/>
      <c r="AG1676" s="417"/>
      <c r="AH1676" s="417"/>
      <c r="AI1676" s="394"/>
      <c r="AJ1676" s="453"/>
      <c r="AK1676" s="453"/>
      <c r="AL1676" s="393"/>
      <c r="AM1676" s="393"/>
      <c r="AN1676" s="417"/>
      <c r="AO1676" s="392"/>
      <c r="AP1676" s="392" t="s">
        <v>55</v>
      </c>
      <c r="AQ1676" s="392"/>
      <c r="AR1676" s="392" t="s">
        <v>55</v>
      </c>
      <c r="AS1676" s="479">
        <v>41594</v>
      </c>
      <c r="AT1676" s="453"/>
      <c r="AU1676" s="453"/>
      <c r="AV1676" s="453"/>
      <c r="AW1676" s="453"/>
      <c r="AX1676" s="453"/>
      <c r="AY1676" s="453"/>
      <c r="AZ1676" s="452">
        <v>41887</v>
      </c>
      <c r="BA1676" s="393"/>
      <c r="BB1676" s="393"/>
      <c r="BC1676" s="393" t="b">
        <v>0</v>
      </c>
      <c r="BD1676" s="393"/>
      <c r="BE1676" s="392"/>
      <c r="BF1676" s="394">
        <v>9</v>
      </c>
      <c r="BG1676" s="394">
        <v>5</v>
      </c>
      <c r="BH1676" s="394">
        <v>2</v>
      </c>
      <c r="BI1676" s="394">
        <v>6</v>
      </c>
      <c r="BJ1676" s="394"/>
      <c r="BK1676" s="394"/>
      <c r="BL1676" s="444" t="s">
        <v>6981</v>
      </c>
      <c r="BM1676" s="392"/>
      <c r="BN1676" s="393"/>
      <c r="BO1676" s="393"/>
      <c r="BP1676" s="399"/>
      <c r="BQ1676" s="400"/>
      <c r="BR1676" s="401"/>
      <c r="BS1676" s="399"/>
      <c r="BT1676" s="394"/>
      <c r="BU1676" s="417"/>
      <c r="BV1676" s="399"/>
      <c r="BW1676" s="393" t="s">
        <v>3117</v>
      </c>
      <c r="BX1676" s="392"/>
      <c r="BY1676" s="393" t="s">
        <v>7224</v>
      </c>
      <c r="BZ1676" s="393"/>
      <c r="CA1676" s="441"/>
      <c r="CB1676" s="400"/>
      <c r="CC1676" s="398"/>
      <c r="CD1676" s="398"/>
      <c r="CE1676" s="398"/>
      <c r="CF1676" s="398"/>
      <c r="CG1676" s="398"/>
      <c r="CH1676" s="398"/>
      <c r="CI1676" s="398">
        <v>9.5239999999999991</v>
      </c>
      <c r="CJ1676" s="398">
        <v>9.5239999999999991</v>
      </c>
      <c r="CK1676" s="398">
        <v>9.5239999999999991</v>
      </c>
      <c r="CL1676" s="398">
        <v>9.5239999999999991</v>
      </c>
      <c r="CM1676" s="398">
        <v>9.5239999999999991</v>
      </c>
      <c r="CN1676" s="398">
        <v>9.5239999999999991</v>
      </c>
      <c r="CO1676" s="398">
        <v>9.5239999999999991</v>
      </c>
      <c r="CP1676" s="398">
        <v>9.5239999999999991</v>
      </c>
      <c r="CQ1676" s="398"/>
      <c r="CR1676" s="398"/>
      <c r="CS1676" s="398"/>
      <c r="CT1676" s="398"/>
      <c r="CU1676" s="398"/>
      <c r="CV1676" s="398"/>
      <c r="CW1676" s="398"/>
      <c r="CX1676" s="398"/>
      <c r="CY1676" s="398"/>
      <c r="CZ1676" s="398"/>
      <c r="DA1676" s="398"/>
      <c r="DB1676" s="398"/>
      <c r="DC1676" s="398"/>
      <c r="DD1676" s="398"/>
      <c r="DE1676" s="393"/>
      <c r="DF1676" s="393"/>
      <c r="DG1676" s="393"/>
      <c r="DH1676" s="393"/>
      <c r="DI1676" s="393"/>
      <c r="DJ1676" s="393"/>
      <c r="DK1676" s="897"/>
    </row>
    <row r="1677" spans="1:115" ht="63.75" x14ac:dyDescent="0.2">
      <c r="A1677" s="295">
        <v>1673</v>
      </c>
      <c r="B1677" s="390" t="s">
        <v>5746</v>
      </c>
      <c r="C1677" s="424" t="s">
        <v>7862</v>
      </c>
      <c r="D1677" s="391"/>
      <c r="E1677" s="708" t="s">
        <v>5747</v>
      </c>
      <c r="F1677" s="404" t="s">
        <v>1375</v>
      </c>
      <c r="G1677" s="404" t="s">
        <v>1670</v>
      </c>
      <c r="H1677" s="404" t="s">
        <v>1702</v>
      </c>
      <c r="I1677" s="403" t="s">
        <v>5748</v>
      </c>
      <c r="J1677" s="403"/>
      <c r="K1677" s="403"/>
      <c r="L1677" s="403" t="s">
        <v>4814</v>
      </c>
      <c r="M1677" s="403" t="s">
        <v>5749</v>
      </c>
      <c r="N1677" s="404" t="s">
        <v>2412</v>
      </c>
      <c r="O1677" s="404" t="s">
        <v>51</v>
      </c>
      <c r="P1677" s="404" t="s">
        <v>51</v>
      </c>
      <c r="Q1677" s="403" t="s">
        <v>70</v>
      </c>
      <c r="R1677" s="403"/>
      <c r="S1677" s="486" t="s">
        <v>166</v>
      </c>
      <c r="T1677" s="405"/>
      <c r="U1677" s="406"/>
      <c r="V1677" s="406"/>
      <c r="W1677" s="456">
        <v>41515</v>
      </c>
      <c r="X1677" s="405">
        <v>28</v>
      </c>
      <c r="Y1677" s="405"/>
      <c r="Z1677" s="405"/>
      <c r="AA1677" s="406"/>
      <c r="AB1677" s="455"/>
      <c r="AC1677" s="407"/>
      <c r="AD1677" s="407"/>
      <c r="AE1677" s="404" t="s">
        <v>133</v>
      </c>
      <c r="AF1677" s="418"/>
      <c r="AG1677" s="418"/>
      <c r="AH1677" s="418"/>
      <c r="AI1677" s="405"/>
      <c r="AJ1677" s="455"/>
      <c r="AK1677" s="455"/>
      <c r="AL1677" s="404"/>
      <c r="AM1677" s="404"/>
      <c r="AN1677" s="418"/>
      <c r="AO1677" s="403"/>
      <c r="AP1677" s="403" t="s">
        <v>55</v>
      </c>
      <c r="AQ1677" s="403"/>
      <c r="AR1677" s="403" t="s">
        <v>55</v>
      </c>
      <c r="AS1677" s="482">
        <v>41593</v>
      </c>
      <c r="AT1677" s="456">
        <v>41626</v>
      </c>
      <c r="AU1677" s="455"/>
      <c r="AV1677" s="455"/>
      <c r="AW1677" s="455"/>
      <c r="AX1677" s="455"/>
      <c r="AY1677" s="455"/>
      <c r="AZ1677" s="455"/>
      <c r="BA1677" s="404"/>
      <c r="BB1677" s="404" t="s">
        <v>3116</v>
      </c>
      <c r="BC1677" s="404" t="b">
        <v>0</v>
      </c>
      <c r="BD1677" s="404" t="s">
        <v>3147</v>
      </c>
      <c r="BE1677" s="403"/>
      <c r="BF1677" s="405">
        <v>2</v>
      </c>
      <c r="BG1677" s="405">
        <v>1</v>
      </c>
      <c r="BH1677" s="405">
        <v>5</v>
      </c>
      <c r="BI1677" s="405">
        <v>8</v>
      </c>
      <c r="BJ1677" s="405">
        <v>6</v>
      </c>
      <c r="BK1677" s="405"/>
      <c r="BL1677" s="446" t="s">
        <v>6981</v>
      </c>
      <c r="BM1677" s="403"/>
      <c r="BN1677" s="404"/>
      <c r="BO1677" s="404"/>
      <c r="BP1677" s="408"/>
      <c r="BQ1677" s="409"/>
      <c r="BR1677" s="410"/>
      <c r="BS1677" s="408"/>
      <c r="BT1677" s="405"/>
      <c r="BU1677" s="418"/>
      <c r="BV1677" s="408"/>
      <c r="BW1677" s="404"/>
      <c r="BX1677" s="403"/>
      <c r="BY1677" s="404" t="s">
        <v>7227</v>
      </c>
      <c r="BZ1677" s="404"/>
      <c r="CA1677" s="443"/>
      <c r="CB1677" s="409"/>
      <c r="CC1677" s="407"/>
      <c r="CD1677" s="407"/>
      <c r="CE1677" s="407"/>
      <c r="CF1677" s="407"/>
      <c r="CG1677" s="407"/>
      <c r="CH1677" s="407"/>
      <c r="CI1677" s="407"/>
      <c r="CJ1677" s="407"/>
      <c r="CK1677" s="407"/>
      <c r="CL1677" s="407"/>
      <c r="CM1677" s="407"/>
      <c r="CN1677" s="407"/>
      <c r="CO1677" s="407"/>
      <c r="CP1677" s="407"/>
      <c r="CQ1677" s="407"/>
      <c r="CR1677" s="407"/>
      <c r="CS1677" s="407"/>
      <c r="CT1677" s="407"/>
      <c r="CU1677" s="407"/>
      <c r="CV1677" s="407"/>
      <c r="CW1677" s="407"/>
      <c r="CX1677" s="407"/>
      <c r="CY1677" s="407"/>
      <c r="CZ1677" s="407"/>
      <c r="DA1677" s="407"/>
      <c r="DB1677" s="407"/>
      <c r="DC1677" s="407"/>
      <c r="DD1677" s="407"/>
      <c r="DE1677" s="404"/>
      <c r="DF1677" s="404"/>
      <c r="DG1677" s="404"/>
      <c r="DH1677" s="404"/>
      <c r="DI1677" s="404"/>
      <c r="DJ1677" s="404"/>
      <c r="DK1677" s="897"/>
    </row>
    <row r="1678" spans="1:115" ht="25.5" x14ac:dyDescent="0.2">
      <c r="A1678" s="295">
        <v>1674</v>
      </c>
      <c r="B1678" s="390" t="s">
        <v>5750</v>
      </c>
      <c r="C1678" s="390"/>
      <c r="D1678" s="391"/>
      <c r="E1678" s="707" t="s">
        <v>5751</v>
      </c>
      <c r="F1678" s="404" t="s">
        <v>1375</v>
      </c>
      <c r="G1678" s="404" t="s">
        <v>1670</v>
      </c>
      <c r="H1678" s="404" t="s">
        <v>1702</v>
      </c>
      <c r="I1678" s="403" t="s">
        <v>5748</v>
      </c>
      <c r="J1678" s="403" t="s">
        <v>1702</v>
      </c>
      <c r="K1678" s="403" t="s">
        <v>5627</v>
      </c>
      <c r="L1678" s="403" t="s">
        <v>4814</v>
      </c>
      <c r="M1678" s="403"/>
      <c r="N1678" s="404" t="s">
        <v>2412</v>
      </c>
      <c r="O1678" s="404" t="s">
        <v>51</v>
      </c>
      <c r="P1678" s="404" t="s">
        <v>51</v>
      </c>
      <c r="Q1678" s="403" t="s">
        <v>70</v>
      </c>
      <c r="R1678" s="403" t="s">
        <v>5752</v>
      </c>
      <c r="S1678" s="486" t="s">
        <v>166</v>
      </c>
      <c r="T1678" s="405">
        <v>1</v>
      </c>
      <c r="U1678" s="406">
        <v>22.562000000000001</v>
      </c>
      <c r="V1678" s="406"/>
      <c r="W1678" s="455"/>
      <c r="X1678" s="405"/>
      <c r="Y1678" s="405">
        <v>7</v>
      </c>
      <c r="Z1678" s="405"/>
      <c r="AA1678" s="406">
        <v>4.0709999999999997</v>
      </c>
      <c r="AB1678" s="456">
        <v>41515</v>
      </c>
      <c r="AC1678" s="407">
        <v>0</v>
      </c>
      <c r="AD1678" s="407">
        <v>165.72252602739727</v>
      </c>
      <c r="AE1678" s="404" t="s">
        <v>133</v>
      </c>
      <c r="AF1678" s="418"/>
      <c r="AG1678" s="418"/>
      <c r="AH1678" s="418"/>
      <c r="AI1678" s="405"/>
      <c r="AJ1678" s="455"/>
      <c r="AK1678" s="455"/>
      <c r="AL1678" s="404"/>
      <c r="AM1678" s="404"/>
      <c r="AN1678" s="418"/>
      <c r="AO1678" s="403"/>
      <c r="AP1678" s="403" t="s">
        <v>55</v>
      </c>
      <c r="AQ1678" s="403"/>
      <c r="AR1678" s="403" t="s">
        <v>55</v>
      </c>
      <c r="AS1678" s="482">
        <v>41593</v>
      </c>
      <c r="AT1678" s="456">
        <v>41626</v>
      </c>
      <c r="AU1678" s="455"/>
      <c r="AV1678" s="455"/>
      <c r="AW1678" s="455"/>
      <c r="AX1678" s="455"/>
      <c r="AY1678" s="455"/>
      <c r="AZ1678" s="455"/>
      <c r="BA1678" s="404"/>
      <c r="BB1678" s="404"/>
      <c r="BC1678" s="404" t="b">
        <v>0</v>
      </c>
      <c r="BD1678" s="404"/>
      <c r="BE1678" s="403"/>
      <c r="BF1678" s="405">
        <v>2</v>
      </c>
      <c r="BG1678" s="405">
        <v>1</v>
      </c>
      <c r="BH1678" s="405">
        <v>5</v>
      </c>
      <c r="BI1678" s="405">
        <v>8</v>
      </c>
      <c r="BJ1678" s="405">
        <v>6</v>
      </c>
      <c r="BK1678" s="405"/>
      <c r="BL1678" s="446" t="s">
        <v>6981</v>
      </c>
      <c r="BM1678" s="403"/>
      <c r="BN1678" s="404"/>
      <c r="BO1678" s="404"/>
      <c r="BP1678" s="408"/>
      <c r="BQ1678" s="409"/>
      <c r="BR1678" s="410"/>
      <c r="BS1678" s="408"/>
      <c r="BT1678" s="405"/>
      <c r="BU1678" s="418"/>
      <c r="BV1678" s="408"/>
      <c r="BW1678" s="404" t="s">
        <v>3165</v>
      </c>
      <c r="BX1678" s="403"/>
      <c r="BY1678" s="404" t="s">
        <v>7227</v>
      </c>
      <c r="BZ1678" s="404"/>
      <c r="CA1678" s="443"/>
      <c r="CB1678" s="409"/>
      <c r="CC1678" s="407"/>
      <c r="CD1678" s="407"/>
      <c r="CE1678" s="407"/>
      <c r="CF1678" s="407"/>
      <c r="CG1678" s="407"/>
      <c r="CH1678" s="407"/>
      <c r="CI1678" s="407"/>
      <c r="CJ1678" s="407">
        <v>4.07</v>
      </c>
      <c r="CK1678" s="407">
        <v>13.025</v>
      </c>
      <c r="CL1678" s="407">
        <v>23.608000000000001</v>
      </c>
      <c r="CM1678" s="407">
        <v>29.306999999999999</v>
      </c>
      <c r="CN1678" s="407">
        <v>29.306999999999999</v>
      </c>
      <c r="CO1678" s="407">
        <v>29.306999999999999</v>
      </c>
      <c r="CP1678" s="407">
        <v>29.306999999999999</v>
      </c>
      <c r="CQ1678" s="407"/>
      <c r="CR1678" s="407"/>
      <c r="CS1678" s="407"/>
      <c r="CT1678" s="407"/>
      <c r="CU1678" s="407"/>
      <c r="CV1678" s="407"/>
      <c r="CW1678" s="407"/>
      <c r="CX1678" s="407"/>
      <c r="CY1678" s="407"/>
      <c r="CZ1678" s="407"/>
      <c r="DA1678" s="407"/>
      <c r="DB1678" s="407"/>
      <c r="DC1678" s="407"/>
      <c r="DD1678" s="407"/>
      <c r="DE1678" s="404"/>
      <c r="DF1678" s="404"/>
      <c r="DG1678" s="404"/>
      <c r="DH1678" s="404"/>
      <c r="DI1678" s="404"/>
      <c r="DJ1678" s="404"/>
      <c r="DK1678" s="897"/>
    </row>
    <row r="1679" spans="1:115" ht="63.75" x14ac:dyDescent="0.2">
      <c r="A1679" s="295">
        <v>1675</v>
      </c>
      <c r="B1679" s="390" t="s">
        <v>5768</v>
      </c>
      <c r="C1679" s="424" t="s">
        <v>7863</v>
      </c>
      <c r="D1679" s="391" t="s">
        <v>6931</v>
      </c>
      <c r="E1679" s="705" t="s">
        <v>7415</v>
      </c>
      <c r="F1679" s="393" t="s">
        <v>1352</v>
      </c>
      <c r="G1679" s="393" t="s">
        <v>1673</v>
      </c>
      <c r="H1679" s="393" t="s">
        <v>42</v>
      </c>
      <c r="I1679" s="392"/>
      <c r="J1679" s="392" t="s">
        <v>42</v>
      </c>
      <c r="K1679" s="392"/>
      <c r="L1679" s="392" t="s">
        <v>5561</v>
      </c>
      <c r="M1679" s="392" t="s">
        <v>5769</v>
      </c>
      <c r="N1679" s="393" t="s">
        <v>44</v>
      </c>
      <c r="O1679" s="393" t="s">
        <v>93</v>
      </c>
      <c r="P1679" s="393" t="s">
        <v>93</v>
      </c>
      <c r="Q1679" s="392" t="s">
        <v>1982</v>
      </c>
      <c r="R1679" s="392"/>
      <c r="S1679" s="392" t="s">
        <v>102</v>
      </c>
      <c r="T1679" s="394">
        <v>1</v>
      </c>
      <c r="U1679" s="395">
        <v>0.56000000000000005</v>
      </c>
      <c r="V1679" s="395"/>
      <c r="W1679" s="452">
        <v>41361</v>
      </c>
      <c r="X1679" s="394">
        <v>28</v>
      </c>
      <c r="Y1679" s="394"/>
      <c r="Z1679" s="394"/>
      <c r="AA1679" s="395"/>
      <c r="AB1679" s="453"/>
      <c r="AC1679" s="398">
        <v>0</v>
      </c>
      <c r="AD1679" s="398">
        <v>5.6000000000000005</v>
      </c>
      <c r="AE1679" s="393" t="s">
        <v>5613</v>
      </c>
      <c r="AF1679" s="417"/>
      <c r="AG1679" s="417"/>
      <c r="AH1679" s="417">
        <v>0</v>
      </c>
      <c r="AI1679" s="394"/>
      <c r="AJ1679" s="453"/>
      <c r="AK1679" s="453"/>
      <c r="AL1679" s="393"/>
      <c r="AM1679" s="393"/>
      <c r="AN1679" s="417"/>
      <c r="AO1679" s="392"/>
      <c r="AP1679" s="392" t="s">
        <v>55</v>
      </c>
      <c r="AQ1679" s="392"/>
      <c r="AR1679" s="392" t="s">
        <v>55</v>
      </c>
      <c r="AS1679" s="479">
        <v>41611</v>
      </c>
      <c r="AT1679" s="453"/>
      <c r="AU1679" s="453" t="s">
        <v>5560</v>
      </c>
      <c r="AV1679" s="452">
        <v>41754</v>
      </c>
      <c r="AW1679" s="452">
        <v>41995</v>
      </c>
      <c r="AX1679" s="452">
        <v>42055</v>
      </c>
      <c r="AY1679" s="452">
        <v>41995</v>
      </c>
      <c r="AZ1679" s="453"/>
      <c r="BA1679" s="393"/>
      <c r="BB1679" s="393" t="s">
        <v>3147</v>
      </c>
      <c r="BC1679" s="393" t="b">
        <v>0</v>
      </c>
      <c r="BD1679" s="393" t="s">
        <v>3116</v>
      </c>
      <c r="BE1679" s="392"/>
      <c r="BF1679" s="394">
        <v>1</v>
      </c>
      <c r="BG1679" s="394">
        <v>5</v>
      </c>
      <c r="BH1679" s="394">
        <v>7</v>
      </c>
      <c r="BI1679" s="394">
        <v>8</v>
      </c>
      <c r="BJ1679" s="394">
        <v>11</v>
      </c>
      <c r="BK1679" s="394"/>
      <c r="BL1679" s="444" t="s">
        <v>6981</v>
      </c>
      <c r="BM1679" s="392"/>
      <c r="BN1679" s="393"/>
      <c r="BO1679" s="393"/>
      <c r="BP1679" s="399"/>
      <c r="BQ1679" s="400"/>
      <c r="BR1679" s="401"/>
      <c r="BS1679" s="399">
        <v>0</v>
      </c>
      <c r="BT1679" s="394"/>
      <c r="BU1679" s="417"/>
      <c r="BV1679" s="399"/>
      <c r="BW1679" s="393"/>
      <c r="BX1679" s="392"/>
      <c r="BY1679" s="393" t="s">
        <v>7227</v>
      </c>
      <c r="BZ1679" s="393"/>
      <c r="CA1679" s="441"/>
      <c r="CB1679" s="400"/>
      <c r="CC1679" s="398"/>
      <c r="CD1679" s="398"/>
      <c r="CE1679" s="398"/>
      <c r="CF1679" s="398"/>
      <c r="CG1679" s="398"/>
      <c r="CH1679" s="398"/>
      <c r="CI1679" s="398"/>
      <c r="CJ1679" s="398"/>
      <c r="CK1679" s="398"/>
      <c r="CL1679" s="398"/>
      <c r="CM1679" s="398"/>
      <c r="CN1679" s="398"/>
      <c r="CO1679" s="398"/>
      <c r="CP1679" s="398"/>
      <c r="CQ1679" s="398"/>
      <c r="CR1679" s="398"/>
      <c r="CS1679" s="398"/>
      <c r="CT1679" s="398"/>
      <c r="CU1679" s="398"/>
      <c r="CV1679" s="398"/>
      <c r="CW1679" s="398"/>
      <c r="CX1679" s="398"/>
      <c r="CY1679" s="398"/>
      <c r="CZ1679" s="398"/>
      <c r="DA1679" s="398"/>
      <c r="DB1679" s="398"/>
      <c r="DC1679" s="398"/>
      <c r="DD1679" s="398"/>
      <c r="DE1679" s="393"/>
      <c r="DF1679" s="393"/>
      <c r="DG1679" s="393"/>
      <c r="DH1679" s="393"/>
      <c r="DI1679" s="393"/>
      <c r="DJ1679" s="393"/>
      <c r="DK1679" s="896" t="s">
        <v>9756</v>
      </c>
    </row>
    <row r="1680" spans="1:115" ht="76.5" x14ac:dyDescent="0.2">
      <c r="A1680" s="295">
        <v>1676</v>
      </c>
      <c r="B1680" s="390" t="s">
        <v>5770</v>
      </c>
      <c r="C1680" s="390"/>
      <c r="D1680" s="391" t="s">
        <v>6932</v>
      </c>
      <c r="E1680" s="704" t="s">
        <v>5771</v>
      </c>
      <c r="F1680" s="393" t="s">
        <v>1352</v>
      </c>
      <c r="G1680" s="393" t="s">
        <v>1673</v>
      </c>
      <c r="H1680" s="393" t="s">
        <v>42</v>
      </c>
      <c r="I1680" s="392"/>
      <c r="J1680" s="392"/>
      <c r="K1680" s="392" t="s">
        <v>2172</v>
      </c>
      <c r="L1680" s="392" t="s">
        <v>5561</v>
      </c>
      <c r="M1680" s="392"/>
      <c r="N1680" s="393" t="s">
        <v>44</v>
      </c>
      <c r="O1680" s="393" t="s">
        <v>93</v>
      </c>
      <c r="P1680" s="393" t="s">
        <v>93</v>
      </c>
      <c r="Q1680" s="392" t="s">
        <v>1982</v>
      </c>
      <c r="R1680" s="392" t="s">
        <v>5772</v>
      </c>
      <c r="S1680" s="392" t="s">
        <v>102</v>
      </c>
      <c r="T1680" s="394">
        <v>1</v>
      </c>
      <c r="U1680" s="395">
        <v>0.56000000000000005</v>
      </c>
      <c r="V1680" s="395"/>
      <c r="W1680" s="453"/>
      <c r="X1680" s="394"/>
      <c r="Y1680" s="394">
        <v>10</v>
      </c>
      <c r="Z1680" s="394">
        <v>30</v>
      </c>
      <c r="AA1680" s="395">
        <v>0</v>
      </c>
      <c r="AB1680" s="452">
        <v>41730</v>
      </c>
      <c r="AC1680" s="398">
        <v>0</v>
      </c>
      <c r="AD1680" s="398">
        <v>5.6000000000000005</v>
      </c>
      <c r="AE1680" s="393" t="s">
        <v>5613</v>
      </c>
      <c r="AF1680" s="417"/>
      <c r="AG1680" s="417"/>
      <c r="AH1680" s="417"/>
      <c r="AI1680" s="394"/>
      <c r="AJ1680" s="453"/>
      <c r="AK1680" s="453"/>
      <c r="AL1680" s="393"/>
      <c r="AM1680" s="393"/>
      <c r="AN1680" s="417"/>
      <c r="AO1680" s="392"/>
      <c r="AP1680" s="392" t="s">
        <v>55</v>
      </c>
      <c r="AQ1680" s="392"/>
      <c r="AR1680" s="392" t="s">
        <v>55</v>
      </c>
      <c r="AS1680" s="479">
        <v>41611</v>
      </c>
      <c r="AT1680" s="453"/>
      <c r="AU1680" s="453" t="s">
        <v>5773</v>
      </c>
      <c r="AV1680" s="453"/>
      <c r="AW1680" s="453"/>
      <c r="AX1680" s="453"/>
      <c r="AY1680" s="453"/>
      <c r="AZ1680" s="452">
        <v>41995</v>
      </c>
      <c r="BA1680" s="393"/>
      <c r="BB1680" s="393"/>
      <c r="BC1680" s="393" t="b">
        <v>0</v>
      </c>
      <c r="BD1680" s="393"/>
      <c r="BE1680" s="392"/>
      <c r="BF1680" s="394">
        <v>1</v>
      </c>
      <c r="BG1680" s="394">
        <v>5</v>
      </c>
      <c r="BH1680" s="394">
        <v>7</v>
      </c>
      <c r="BI1680" s="394">
        <v>8</v>
      </c>
      <c r="BJ1680" s="394">
        <v>11</v>
      </c>
      <c r="BK1680" s="394"/>
      <c r="BL1680" s="444" t="s">
        <v>6981</v>
      </c>
      <c r="BM1680" s="392"/>
      <c r="BN1680" s="393"/>
      <c r="BO1680" s="393"/>
      <c r="BP1680" s="399"/>
      <c r="BQ1680" s="400"/>
      <c r="BR1680" s="401"/>
      <c r="BS1680" s="399"/>
      <c r="BT1680" s="394"/>
      <c r="BU1680" s="417"/>
      <c r="BV1680" s="399"/>
      <c r="BW1680" s="393" t="s">
        <v>3117</v>
      </c>
      <c r="BX1680" s="392"/>
      <c r="BY1680" s="393" t="s">
        <v>7227</v>
      </c>
      <c r="BZ1680" s="393"/>
      <c r="CA1680" s="441"/>
      <c r="CB1680" s="400"/>
      <c r="CC1680" s="398"/>
      <c r="CD1680" s="398"/>
      <c r="CE1680" s="398"/>
      <c r="CF1680" s="398"/>
      <c r="CG1680" s="398"/>
      <c r="CH1680" s="398"/>
      <c r="CI1680" s="398"/>
      <c r="CJ1680" s="398">
        <v>0.59</v>
      </c>
      <c r="CK1680" s="398">
        <v>0.59</v>
      </c>
      <c r="CL1680" s="398">
        <v>0.59</v>
      </c>
      <c r="CM1680" s="398">
        <v>0.59</v>
      </c>
      <c r="CN1680" s="398">
        <v>0.59</v>
      </c>
      <c r="CO1680" s="398">
        <v>0.59</v>
      </c>
      <c r="CP1680" s="398">
        <v>0.59</v>
      </c>
      <c r="CQ1680" s="398">
        <v>0.59</v>
      </c>
      <c r="CR1680" s="398">
        <v>0.59</v>
      </c>
      <c r="CS1680" s="398">
        <v>0.59</v>
      </c>
      <c r="CT1680" s="398"/>
      <c r="CU1680" s="398"/>
      <c r="CV1680" s="398"/>
      <c r="CW1680" s="398"/>
      <c r="CX1680" s="398"/>
      <c r="CY1680" s="398"/>
      <c r="CZ1680" s="398"/>
      <c r="DA1680" s="398"/>
      <c r="DB1680" s="398"/>
      <c r="DC1680" s="398"/>
      <c r="DD1680" s="398"/>
      <c r="DE1680" s="393"/>
      <c r="DF1680" s="393"/>
      <c r="DG1680" s="393"/>
      <c r="DH1680" s="393"/>
      <c r="DI1680" s="393"/>
      <c r="DJ1680" s="393"/>
      <c r="DK1680" s="897"/>
    </row>
    <row r="1681" spans="1:115" ht="38.25" x14ac:dyDescent="0.2">
      <c r="A1681" s="295">
        <v>1677</v>
      </c>
      <c r="B1681" s="390" t="s">
        <v>5774</v>
      </c>
      <c r="C1681" s="424" t="s">
        <v>7864</v>
      </c>
      <c r="D1681" s="435">
        <v>10337</v>
      </c>
      <c r="E1681" s="704" t="s">
        <v>5775</v>
      </c>
      <c r="F1681" s="393" t="s">
        <v>1340</v>
      </c>
      <c r="G1681" s="393" t="s">
        <v>1677</v>
      </c>
      <c r="H1681" s="393" t="s">
        <v>151</v>
      </c>
      <c r="I1681" s="392"/>
      <c r="J1681" s="392" t="s">
        <v>151</v>
      </c>
      <c r="K1681" s="392"/>
      <c r="L1681" s="392" t="s">
        <v>5776</v>
      </c>
      <c r="M1681" s="392" t="s">
        <v>5777</v>
      </c>
      <c r="N1681" s="393" t="s">
        <v>44</v>
      </c>
      <c r="O1681" s="393" t="s">
        <v>1155</v>
      </c>
      <c r="P1681" s="393" t="s">
        <v>1155</v>
      </c>
      <c r="Q1681" s="392" t="s">
        <v>1155</v>
      </c>
      <c r="R1681" s="392"/>
      <c r="S1681" s="392" t="s">
        <v>650</v>
      </c>
      <c r="T1681" s="394">
        <v>1</v>
      </c>
      <c r="U1681" s="395">
        <v>46.393000000000001</v>
      </c>
      <c r="V1681" s="395"/>
      <c r="W1681" s="452">
        <v>40837</v>
      </c>
      <c r="X1681" s="394">
        <v>28</v>
      </c>
      <c r="Y1681" s="394"/>
      <c r="Z1681" s="394"/>
      <c r="AA1681" s="395"/>
      <c r="AB1681" s="453"/>
      <c r="AC1681" s="398">
        <v>0</v>
      </c>
      <c r="AD1681" s="398">
        <v>181.75887671232877</v>
      </c>
      <c r="AE1681" s="393" t="s">
        <v>434</v>
      </c>
      <c r="AF1681" s="417"/>
      <c r="AG1681" s="417"/>
      <c r="AH1681" s="417">
        <v>0</v>
      </c>
      <c r="AI1681" s="394"/>
      <c r="AJ1681" s="453"/>
      <c r="AK1681" s="453"/>
      <c r="AL1681" s="393"/>
      <c r="AM1681" s="393"/>
      <c r="AN1681" s="417"/>
      <c r="AO1681" s="392"/>
      <c r="AP1681" s="392" t="s">
        <v>55</v>
      </c>
      <c r="AQ1681" s="392"/>
      <c r="AR1681" s="392" t="s">
        <v>55</v>
      </c>
      <c r="AS1681" s="452">
        <v>42766</v>
      </c>
      <c r="AT1681" s="453"/>
      <c r="AU1681" s="453"/>
      <c r="AV1681" s="453">
        <v>42641</v>
      </c>
      <c r="AW1681" s="453">
        <v>42725</v>
      </c>
      <c r="AX1681" s="453"/>
      <c r="AY1681" s="453">
        <v>42766</v>
      </c>
      <c r="AZ1681" s="453"/>
      <c r="BA1681" s="393"/>
      <c r="BB1681" s="393" t="s">
        <v>3147</v>
      </c>
      <c r="BC1681" s="393" t="b">
        <v>0</v>
      </c>
      <c r="BD1681" s="393" t="s">
        <v>3116</v>
      </c>
      <c r="BE1681" s="392"/>
      <c r="BF1681" s="394">
        <v>10</v>
      </c>
      <c r="BG1681" s="394">
        <v>5</v>
      </c>
      <c r="BH1681" s="394">
        <v>9</v>
      </c>
      <c r="BI1681" s="394"/>
      <c r="BJ1681" s="394"/>
      <c r="BK1681" s="394"/>
      <c r="BL1681" s="444" t="s">
        <v>6981</v>
      </c>
      <c r="BM1681" s="392"/>
      <c r="BN1681" s="393"/>
      <c r="BO1681" s="393"/>
      <c r="BP1681" s="399"/>
      <c r="BQ1681" s="400"/>
      <c r="BR1681" s="401"/>
      <c r="BS1681" s="399">
        <v>29.7</v>
      </c>
      <c r="BT1681" s="394"/>
      <c r="BU1681" s="417"/>
      <c r="BV1681" s="399"/>
      <c r="BW1681" s="393"/>
      <c r="BX1681" s="392"/>
      <c r="BY1681" s="393"/>
      <c r="BZ1681" s="393"/>
      <c r="CA1681" s="441"/>
      <c r="CB1681" s="400"/>
      <c r="CC1681" s="398"/>
      <c r="CD1681" s="398"/>
      <c r="CE1681" s="398"/>
      <c r="CF1681" s="398"/>
      <c r="CG1681" s="398"/>
      <c r="CH1681" s="398"/>
      <c r="CI1681" s="398"/>
      <c r="CJ1681" s="398"/>
      <c r="CK1681" s="398"/>
      <c r="CL1681" s="398"/>
      <c r="CM1681" s="398"/>
      <c r="CN1681" s="398"/>
      <c r="CO1681" s="398"/>
      <c r="CP1681" s="398"/>
      <c r="CQ1681" s="398"/>
      <c r="CR1681" s="398"/>
      <c r="CS1681" s="398"/>
      <c r="CT1681" s="398"/>
      <c r="CU1681" s="398"/>
      <c r="CV1681" s="398"/>
      <c r="CW1681" s="398"/>
      <c r="CX1681" s="398"/>
      <c r="CY1681" s="398"/>
      <c r="CZ1681" s="398"/>
      <c r="DA1681" s="398"/>
      <c r="DB1681" s="398"/>
      <c r="DC1681" s="398"/>
      <c r="DD1681" s="398"/>
      <c r="DE1681" s="393"/>
      <c r="DF1681" s="393"/>
      <c r="DG1681" s="393"/>
      <c r="DH1681" s="393"/>
      <c r="DI1681" s="393"/>
      <c r="DJ1681" s="393"/>
      <c r="DK1681" s="896" t="s">
        <v>9733</v>
      </c>
    </row>
    <row r="1682" spans="1:115" ht="25.5" x14ac:dyDescent="0.2">
      <c r="A1682" s="295">
        <v>1678</v>
      </c>
      <c r="B1682" s="390" t="s">
        <v>5778</v>
      </c>
      <c r="C1682" s="390"/>
      <c r="D1682" s="436" t="s">
        <v>8981</v>
      </c>
      <c r="E1682" s="704" t="s">
        <v>5779</v>
      </c>
      <c r="F1682" s="393" t="s">
        <v>1340</v>
      </c>
      <c r="G1682" s="393" t="s">
        <v>1677</v>
      </c>
      <c r="H1682" s="393" t="s">
        <v>151</v>
      </c>
      <c r="I1682" s="392"/>
      <c r="J1682" s="392"/>
      <c r="K1682" s="392" t="s">
        <v>5780</v>
      </c>
      <c r="L1682" s="392" t="s">
        <v>5776</v>
      </c>
      <c r="M1682" s="392"/>
      <c r="N1682" s="393" t="s">
        <v>44</v>
      </c>
      <c r="O1682" s="393" t="s">
        <v>1155</v>
      </c>
      <c r="P1682" s="393" t="s">
        <v>1155</v>
      </c>
      <c r="Q1682" s="392" t="s">
        <v>1155</v>
      </c>
      <c r="R1682" s="392" t="s">
        <v>5781</v>
      </c>
      <c r="S1682" s="392" t="s">
        <v>650</v>
      </c>
      <c r="T1682" s="394">
        <v>1</v>
      </c>
      <c r="U1682" s="395">
        <v>46.393000000000001</v>
      </c>
      <c r="V1682" s="395"/>
      <c r="W1682" s="453"/>
      <c r="X1682" s="394"/>
      <c r="Y1682" s="394">
        <v>7</v>
      </c>
      <c r="Z1682" s="394">
        <v>20</v>
      </c>
      <c r="AA1682" s="395">
        <v>0</v>
      </c>
      <c r="AB1682" s="452">
        <v>42766</v>
      </c>
      <c r="AC1682" s="398">
        <v>0</v>
      </c>
      <c r="AD1682" s="398">
        <v>181.75887671232877</v>
      </c>
      <c r="AE1682" s="393" t="s">
        <v>434</v>
      </c>
      <c r="AF1682" s="417"/>
      <c r="AG1682" s="417"/>
      <c r="AH1682" s="417"/>
      <c r="AI1682" s="394"/>
      <c r="AJ1682" s="453"/>
      <c r="AK1682" s="453"/>
      <c r="AL1682" s="393"/>
      <c r="AM1682" s="393"/>
      <c r="AN1682" s="417"/>
      <c r="AO1682" s="392"/>
      <c r="AP1682" s="392" t="s">
        <v>55</v>
      </c>
      <c r="AQ1682" s="392"/>
      <c r="AR1682" s="392" t="s">
        <v>55</v>
      </c>
      <c r="AS1682" s="452">
        <v>42766</v>
      </c>
      <c r="AT1682" s="453"/>
      <c r="AU1682" s="453"/>
      <c r="AV1682" s="453"/>
      <c r="AW1682" s="453"/>
      <c r="AX1682" s="453"/>
      <c r="AY1682" s="453"/>
      <c r="AZ1682" s="453">
        <v>42766</v>
      </c>
      <c r="BA1682" s="393"/>
      <c r="BB1682" s="393"/>
      <c r="BC1682" s="393" t="b">
        <v>0</v>
      </c>
      <c r="BD1682" s="393"/>
      <c r="BE1682" s="392"/>
      <c r="BF1682" s="394">
        <v>10</v>
      </c>
      <c r="BG1682" s="394">
        <v>5</v>
      </c>
      <c r="BH1682" s="394">
        <v>9</v>
      </c>
      <c r="BI1682" s="394"/>
      <c r="BJ1682" s="394"/>
      <c r="BK1682" s="394"/>
      <c r="BL1682" s="444" t="s">
        <v>6981</v>
      </c>
      <c r="BM1682" s="392"/>
      <c r="BN1682" s="393"/>
      <c r="BO1682" s="393"/>
      <c r="BP1682" s="399"/>
      <c r="BQ1682" s="400"/>
      <c r="BR1682" s="401"/>
      <c r="BS1682" s="399">
        <v>29.7</v>
      </c>
      <c r="BT1682" s="394">
        <v>105800</v>
      </c>
      <c r="BU1682" s="417"/>
      <c r="BV1682" s="399"/>
      <c r="BW1682" s="393" t="s">
        <v>3117</v>
      </c>
      <c r="BX1682" s="392" t="s">
        <v>4364</v>
      </c>
      <c r="BY1682" s="393"/>
      <c r="BZ1682" s="393"/>
      <c r="CA1682" s="441"/>
      <c r="CB1682" s="400"/>
      <c r="CC1682" s="398"/>
      <c r="CD1682" s="398"/>
      <c r="CE1682" s="398"/>
      <c r="CF1682" s="398"/>
      <c r="CG1682" s="398"/>
      <c r="CH1682" s="398"/>
      <c r="CI1682" s="398"/>
      <c r="CJ1682" s="398"/>
      <c r="CK1682" s="398"/>
      <c r="CL1682" s="398"/>
      <c r="CM1682" s="398">
        <v>46.393000000000001</v>
      </c>
      <c r="CN1682" s="398">
        <v>46.393000000000001</v>
      </c>
      <c r="CO1682" s="398">
        <v>46.393000000000001</v>
      </c>
      <c r="CP1682" s="398">
        <v>46.393000000000001</v>
      </c>
      <c r="CQ1682" s="398">
        <v>46.393000000000001</v>
      </c>
      <c r="CR1682" s="398">
        <v>46.393000000000001</v>
      </c>
      <c r="CS1682" s="398">
        <v>46.393000000000001</v>
      </c>
      <c r="CT1682" s="398"/>
      <c r="CU1682" s="398"/>
      <c r="CV1682" s="398"/>
      <c r="CW1682" s="398"/>
      <c r="CX1682" s="398"/>
      <c r="CY1682" s="398"/>
      <c r="CZ1682" s="398"/>
      <c r="DA1682" s="398"/>
      <c r="DB1682" s="398"/>
      <c r="DC1682" s="398"/>
      <c r="DD1682" s="398"/>
      <c r="DE1682" s="393"/>
      <c r="DF1682" s="393"/>
      <c r="DG1682" s="393"/>
      <c r="DH1682" s="393"/>
      <c r="DI1682" s="393"/>
      <c r="DJ1682" s="393"/>
      <c r="DK1682" s="897"/>
    </row>
    <row r="1683" spans="1:115" ht="63.75" x14ac:dyDescent="0.2">
      <c r="A1683" s="295">
        <v>1679</v>
      </c>
      <c r="B1683" s="390" t="s">
        <v>5782</v>
      </c>
      <c r="C1683" s="424" t="s">
        <v>7865</v>
      </c>
      <c r="D1683" s="391" t="s">
        <v>6228</v>
      </c>
      <c r="E1683" s="704" t="s">
        <v>5747</v>
      </c>
      <c r="F1683" s="393" t="s">
        <v>1375</v>
      </c>
      <c r="G1683" s="393" t="s">
        <v>1670</v>
      </c>
      <c r="H1683" s="393" t="s">
        <v>1702</v>
      </c>
      <c r="I1683" s="392" t="s">
        <v>5783</v>
      </c>
      <c r="J1683" s="392"/>
      <c r="K1683" s="392"/>
      <c r="L1683" s="392" t="s">
        <v>4814</v>
      </c>
      <c r="M1683" s="392" t="s">
        <v>5749</v>
      </c>
      <c r="N1683" s="393" t="s">
        <v>44</v>
      </c>
      <c r="O1683" s="393" t="s">
        <v>51</v>
      </c>
      <c r="P1683" s="393" t="s">
        <v>51</v>
      </c>
      <c r="Q1683" s="392" t="s">
        <v>70</v>
      </c>
      <c r="R1683" s="392"/>
      <c r="S1683" s="392" t="s">
        <v>166</v>
      </c>
      <c r="T1683" s="394">
        <v>1</v>
      </c>
      <c r="U1683" s="395">
        <v>22.561</v>
      </c>
      <c r="V1683" s="395"/>
      <c r="W1683" s="452">
        <v>41515</v>
      </c>
      <c r="X1683" s="394">
        <v>28</v>
      </c>
      <c r="Y1683" s="394"/>
      <c r="Z1683" s="394"/>
      <c r="AA1683" s="395"/>
      <c r="AB1683" s="453"/>
      <c r="AC1683" s="398">
        <v>0</v>
      </c>
      <c r="AD1683" s="398">
        <v>165.71518082191781</v>
      </c>
      <c r="AE1683" s="393" t="s">
        <v>133</v>
      </c>
      <c r="AF1683" s="417"/>
      <c r="AG1683" s="417">
        <f>AG1684</f>
        <v>24.472000000000001</v>
      </c>
      <c r="AH1683" s="417">
        <v>24.472000000000001</v>
      </c>
      <c r="AI1683" s="394">
        <v>1</v>
      </c>
      <c r="AJ1683" s="453"/>
      <c r="AK1683" s="453"/>
      <c r="AL1683" s="393"/>
      <c r="AM1683" s="393"/>
      <c r="AN1683" s="417"/>
      <c r="AO1683" s="392"/>
      <c r="AP1683" s="392" t="s">
        <v>55</v>
      </c>
      <c r="AQ1683" s="392"/>
      <c r="AR1683" s="392" t="s">
        <v>55</v>
      </c>
      <c r="AS1683" s="479">
        <v>41626</v>
      </c>
      <c r="AT1683" s="453"/>
      <c r="AU1683" s="453" t="s">
        <v>5746</v>
      </c>
      <c r="AV1683" s="452">
        <v>41654</v>
      </c>
      <c r="AW1683" s="452">
        <v>41814</v>
      </c>
      <c r="AX1683" s="452">
        <v>41859</v>
      </c>
      <c r="AY1683" s="452">
        <v>41814</v>
      </c>
      <c r="AZ1683" s="453"/>
      <c r="BA1683" s="393"/>
      <c r="BB1683" s="393" t="s">
        <v>3116</v>
      </c>
      <c r="BC1683" s="393" t="b">
        <v>0</v>
      </c>
      <c r="BD1683" s="393" t="s">
        <v>3147</v>
      </c>
      <c r="BE1683" s="392"/>
      <c r="BF1683" s="394">
        <v>2</v>
      </c>
      <c r="BG1683" s="394">
        <v>1</v>
      </c>
      <c r="BH1683" s="394">
        <v>5</v>
      </c>
      <c r="BI1683" s="394">
        <v>8</v>
      </c>
      <c r="BJ1683" s="394">
        <v>6</v>
      </c>
      <c r="BK1683" s="394"/>
      <c r="BL1683" s="444" t="s">
        <v>6981</v>
      </c>
      <c r="BM1683" s="392"/>
      <c r="BN1683" s="393"/>
      <c r="BO1683" s="393"/>
      <c r="BP1683" s="399"/>
      <c r="BQ1683" s="400"/>
      <c r="BR1683" s="401"/>
      <c r="BS1683" s="399">
        <v>0</v>
      </c>
      <c r="BT1683" s="394"/>
      <c r="BU1683" s="417"/>
      <c r="BV1683" s="399"/>
      <c r="BW1683" s="393"/>
      <c r="BX1683" s="392"/>
      <c r="BY1683" s="393" t="s">
        <v>7227</v>
      </c>
      <c r="BZ1683" s="393"/>
      <c r="CA1683" s="441"/>
      <c r="CB1683" s="400"/>
      <c r="CC1683" s="398"/>
      <c r="CD1683" s="398"/>
      <c r="CE1683" s="398"/>
      <c r="CF1683" s="398"/>
      <c r="CG1683" s="398"/>
      <c r="CH1683" s="398"/>
      <c r="CI1683" s="398"/>
      <c r="CJ1683" s="398"/>
      <c r="CK1683" s="398"/>
      <c r="CL1683" s="398"/>
      <c r="CM1683" s="398"/>
      <c r="CN1683" s="398"/>
      <c r="CO1683" s="398"/>
      <c r="CP1683" s="398"/>
      <c r="CQ1683" s="398"/>
      <c r="CR1683" s="398"/>
      <c r="CS1683" s="398"/>
      <c r="CT1683" s="398"/>
      <c r="CU1683" s="398"/>
      <c r="CV1683" s="398"/>
      <c r="CW1683" s="398"/>
      <c r="CX1683" s="398"/>
      <c r="CY1683" s="398"/>
      <c r="CZ1683" s="398"/>
      <c r="DA1683" s="398"/>
      <c r="DB1683" s="398"/>
      <c r="DC1683" s="398"/>
      <c r="DD1683" s="398"/>
      <c r="DE1683" s="393"/>
      <c r="DF1683" s="393"/>
      <c r="DG1683" s="393"/>
      <c r="DH1683" s="393"/>
      <c r="DI1683" s="393"/>
      <c r="DJ1683" s="393"/>
      <c r="DK1683" s="896" t="s">
        <v>9728</v>
      </c>
    </row>
    <row r="1684" spans="1:115" ht="25.5" x14ac:dyDescent="0.2">
      <c r="A1684" s="295">
        <v>1680</v>
      </c>
      <c r="B1684" s="390" t="s">
        <v>5784</v>
      </c>
      <c r="C1684" s="390"/>
      <c r="D1684" s="391" t="s">
        <v>6229</v>
      </c>
      <c r="E1684" s="704" t="s">
        <v>5751</v>
      </c>
      <c r="F1684" s="393" t="s">
        <v>1375</v>
      </c>
      <c r="G1684" s="393" t="s">
        <v>1670</v>
      </c>
      <c r="H1684" s="393" t="s">
        <v>1702</v>
      </c>
      <c r="I1684" s="392" t="s">
        <v>5783</v>
      </c>
      <c r="J1684" s="392" t="s">
        <v>1702</v>
      </c>
      <c r="K1684" s="392" t="s">
        <v>5627</v>
      </c>
      <c r="L1684" s="392" t="s">
        <v>4814</v>
      </c>
      <c r="M1684" s="392"/>
      <c r="N1684" s="393" t="s">
        <v>44</v>
      </c>
      <c r="O1684" s="393" t="s">
        <v>51</v>
      </c>
      <c r="P1684" s="393" t="s">
        <v>51</v>
      </c>
      <c r="Q1684" s="392" t="s">
        <v>70</v>
      </c>
      <c r="R1684" s="392" t="s">
        <v>5752</v>
      </c>
      <c r="S1684" s="392" t="s">
        <v>166</v>
      </c>
      <c r="T1684" s="394">
        <v>1</v>
      </c>
      <c r="U1684" s="395">
        <v>22.561</v>
      </c>
      <c r="V1684" s="395"/>
      <c r="W1684" s="453"/>
      <c r="X1684" s="394"/>
      <c r="Y1684" s="394">
        <v>7</v>
      </c>
      <c r="Z1684" s="394"/>
      <c r="AA1684" s="395">
        <v>4.0709999999999997</v>
      </c>
      <c r="AB1684" s="452">
        <v>41515</v>
      </c>
      <c r="AC1684" s="398">
        <v>0</v>
      </c>
      <c r="AD1684" s="398">
        <v>165.71518082191781</v>
      </c>
      <c r="AE1684" s="393" t="s">
        <v>133</v>
      </c>
      <c r="AF1684" s="417"/>
      <c r="AG1684" s="417">
        <v>24.472000000000001</v>
      </c>
      <c r="AH1684" s="417">
        <v>24.472000000000001</v>
      </c>
      <c r="AI1684" s="394">
        <v>1</v>
      </c>
      <c r="AJ1684" s="453">
        <v>43158</v>
      </c>
      <c r="AK1684" s="453">
        <v>42735</v>
      </c>
      <c r="AL1684" s="393"/>
      <c r="AM1684" s="393"/>
      <c r="AN1684" s="417"/>
      <c r="AO1684" s="392"/>
      <c r="AP1684" s="392" t="s">
        <v>55</v>
      </c>
      <c r="AQ1684" s="392"/>
      <c r="AR1684" s="392" t="s">
        <v>55</v>
      </c>
      <c r="AS1684" s="479">
        <v>41626</v>
      </c>
      <c r="AT1684" s="453"/>
      <c r="AU1684" s="453" t="s">
        <v>5785</v>
      </c>
      <c r="AV1684" s="453"/>
      <c r="AW1684" s="453"/>
      <c r="AX1684" s="453"/>
      <c r="AY1684" s="453"/>
      <c r="AZ1684" s="452">
        <v>41814</v>
      </c>
      <c r="BA1684" s="393"/>
      <c r="BB1684" s="393"/>
      <c r="BC1684" s="393" t="b">
        <v>0</v>
      </c>
      <c r="BD1684" s="393"/>
      <c r="BE1684" s="392"/>
      <c r="BF1684" s="394">
        <v>2</v>
      </c>
      <c r="BG1684" s="394">
        <v>1</v>
      </c>
      <c r="BH1684" s="394">
        <v>5</v>
      </c>
      <c r="BI1684" s="394">
        <v>8</v>
      </c>
      <c r="BJ1684" s="394">
        <v>6</v>
      </c>
      <c r="BK1684" s="394"/>
      <c r="BL1684" s="444" t="s">
        <v>6981</v>
      </c>
      <c r="BM1684" s="392"/>
      <c r="BN1684" s="393"/>
      <c r="BO1684" s="393"/>
      <c r="BP1684" s="399"/>
      <c r="BQ1684" s="400"/>
      <c r="BR1684" s="401"/>
      <c r="BS1684" s="399"/>
      <c r="BT1684" s="394"/>
      <c r="BU1684" s="417"/>
      <c r="BV1684" s="399"/>
      <c r="BW1684" s="393" t="s">
        <v>3117</v>
      </c>
      <c r="BX1684" s="392"/>
      <c r="BY1684" s="393" t="s">
        <v>7227</v>
      </c>
      <c r="BZ1684" s="393"/>
      <c r="CA1684" s="441"/>
      <c r="CB1684" s="400"/>
      <c r="CC1684" s="398"/>
      <c r="CD1684" s="398"/>
      <c r="CE1684" s="398"/>
      <c r="CF1684" s="398"/>
      <c r="CG1684" s="398"/>
      <c r="CH1684" s="398"/>
      <c r="CI1684" s="398"/>
      <c r="CJ1684" s="398">
        <v>4.07</v>
      </c>
      <c r="CK1684" s="398">
        <v>13.025</v>
      </c>
      <c r="CL1684" s="398">
        <v>23.608000000000001</v>
      </c>
      <c r="CM1684" s="398">
        <v>29.306999999999999</v>
      </c>
      <c r="CN1684" s="398">
        <v>29.306999999999999</v>
      </c>
      <c r="CO1684" s="398">
        <v>29.306999999999999</v>
      </c>
      <c r="CP1684" s="398">
        <v>29.306999999999999</v>
      </c>
      <c r="CQ1684" s="398"/>
      <c r="CR1684" s="398"/>
      <c r="CS1684" s="398"/>
      <c r="CT1684" s="398"/>
      <c r="CU1684" s="398"/>
      <c r="CV1684" s="398"/>
      <c r="CW1684" s="398"/>
      <c r="CX1684" s="398"/>
      <c r="CY1684" s="398"/>
      <c r="CZ1684" s="398"/>
      <c r="DA1684" s="398"/>
      <c r="DB1684" s="398"/>
      <c r="DC1684" s="398"/>
      <c r="DD1684" s="398"/>
      <c r="DE1684" s="393"/>
      <c r="DF1684" s="393"/>
      <c r="DG1684" s="393"/>
      <c r="DH1684" s="393"/>
      <c r="DI1684" s="393"/>
      <c r="DJ1684" s="393"/>
      <c r="DK1684" s="897"/>
    </row>
    <row r="1685" spans="1:115" ht="63.75" x14ac:dyDescent="0.2">
      <c r="A1685" s="295">
        <v>1681</v>
      </c>
      <c r="B1685" s="390" t="s">
        <v>5795</v>
      </c>
      <c r="C1685" s="424" t="s">
        <v>7866</v>
      </c>
      <c r="D1685" s="391" t="s">
        <v>7136</v>
      </c>
      <c r="E1685" s="704" t="s">
        <v>5796</v>
      </c>
      <c r="F1685" s="393" t="s">
        <v>1375</v>
      </c>
      <c r="G1685" s="393" t="s">
        <v>998</v>
      </c>
      <c r="H1685" s="393" t="s">
        <v>245</v>
      </c>
      <c r="I1685" s="392"/>
      <c r="J1685" s="392" t="s">
        <v>245</v>
      </c>
      <c r="K1685" s="392"/>
      <c r="L1685" s="392" t="s">
        <v>5797</v>
      </c>
      <c r="M1685" s="392" t="s">
        <v>5798</v>
      </c>
      <c r="N1685" s="393" t="s">
        <v>44</v>
      </c>
      <c r="O1685" s="475" t="s">
        <v>34</v>
      </c>
      <c r="P1685" s="393" t="s">
        <v>51</v>
      </c>
      <c r="Q1685" s="392" t="s">
        <v>1145</v>
      </c>
      <c r="R1685" s="392"/>
      <c r="S1685" s="392" t="s">
        <v>912</v>
      </c>
      <c r="T1685" s="394">
        <v>1</v>
      </c>
      <c r="U1685" s="395">
        <v>36.340000000000003</v>
      </c>
      <c r="V1685" s="395"/>
      <c r="W1685" s="452">
        <v>41443</v>
      </c>
      <c r="X1685" s="394">
        <v>28</v>
      </c>
      <c r="Y1685" s="394"/>
      <c r="Z1685" s="394"/>
      <c r="AA1685" s="395"/>
      <c r="AB1685" s="453"/>
      <c r="AC1685" s="398">
        <v>0</v>
      </c>
      <c r="AD1685" s="398">
        <v>254.47956164383564</v>
      </c>
      <c r="AE1685" s="393" t="s">
        <v>72</v>
      </c>
      <c r="AF1685" s="417"/>
      <c r="AG1685" s="417"/>
      <c r="AH1685" s="417">
        <v>0</v>
      </c>
      <c r="AI1685" s="394"/>
      <c r="AJ1685" s="453"/>
      <c r="AK1685" s="453"/>
      <c r="AL1685" s="393"/>
      <c r="AM1685" s="393"/>
      <c r="AN1685" s="417"/>
      <c r="AO1685" s="392"/>
      <c r="AP1685" s="392" t="s">
        <v>55</v>
      </c>
      <c r="AQ1685" s="392"/>
      <c r="AR1685" s="392" t="s">
        <v>55</v>
      </c>
      <c r="AS1685" s="479">
        <v>41646</v>
      </c>
      <c r="AT1685" s="453"/>
      <c r="AU1685" s="453"/>
      <c r="AV1685" s="452">
        <v>41932</v>
      </c>
      <c r="AW1685" s="452">
        <v>42088</v>
      </c>
      <c r="AX1685" s="452">
        <v>42138</v>
      </c>
      <c r="AY1685" s="453">
        <v>41992</v>
      </c>
      <c r="AZ1685" s="453"/>
      <c r="BA1685" s="393"/>
      <c r="BB1685" s="393" t="s">
        <v>3147</v>
      </c>
      <c r="BC1685" s="393" t="b">
        <v>0</v>
      </c>
      <c r="BD1685" s="393" t="s">
        <v>3147</v>
      </c>
      <c r="BE1685" s="392"/>
      <c r="BF1685" s="394">
        <v>4</v>
      </c>
      <c r="BG1685" s="394">
        <v>6</v>
      </c>
      <c r="BH1685" s="394">
        <v>1</v>
      </c>
      <c r="BI1685" s="394">
        <v>9</v>
      </c>
      <c r="BJ1685" s="394">
        <v>5</v>
      </c>
      <c r="BK1685" s="394"/>
      <c r="BL1685" s="444" t="s">
        <v>6982</v>
      </c>
      <c r="BM1685" s="392"/>
      <c r="BN1685" s="393"/>
      <c r="BO1685" s="393"/>
      <c r="BP1685" s="399"/>
      <c r="BQ1685" s="400"/>
      <c r="BR1685" s="401"/>
      <c r="BS1685" s="399">
        <v>0</v>
      </c>
      <c r="BT1685" s="394"/>
      <c r="BU1685" s="417"/>
      <c r="BV1685" s="399"/>
      <c r="BW1685" s="393"/>
      <c r="BX1685" s="392"/>
      <c r="BY1685" s="393"/>
      <c r="BZ1685" s="393"/>
      <c r="CA1685" s="441"/>
      <c r="CB1685" s="400"/>
      <c r="CC1685" s="398"/>
      <c r="CD1685" s="398"/>
      <c r="CE1685" s="398"/>
      <c r="CF1685" s="398"/>
      <c r="CG1685" s="398"/>
      <c r="CH1685" s="398"/>
      <c r="CI1685" s="398"/>
      <c r="CJ1685" s="398"/>
      <c r="CK1685" s="398"/>
      <c r="CL1685" s="398"/>
      <c r="CM1685" s="398"/>
      <c r="CN1685" s="398"/>
      <c r="CO1685" s="398"/>
      <c r="CP1685" s="398"/>
      <c r="CQ1685" s="398"/>
      <c r="CR1685" s="398"/>
      <c r="CS1685" s="398"/>
      <c r="CT1685" s="398"/>
      <c r="CU1685" s="398"/>
      <c r="CV1685" s="398"/>
      <c r="CW1685" s="398"/>
      <c r="CX1685" s="398"/>
      <c r="CY1685" s="398"/>
      <c r="CZ1685" s="398"/>
      <c r="DA1685" s="398"/>
      <c r="DB1685" s="398"/>
      <c r="DC1685" s="398"/>
      <c r="DD1685" s="398"/>
      <c r="DE1685" s="393"/>
      <c r="DF1685" s="393"/>
      <c r="DG1685" s="393"/>
      <c r="DH1685" s="393"/>
      <c r="DI1685" s="393"/>
      <c r="DJ1685" s="393"/>
      <c r="DK1685" s="896" t="s">
        <v>9737</v>
      </c>
    </row>
    <row r="1686" spans="1:115" ht="25.5" x14ac:dyDescent="0.2">
      <c r="A1686" s="295">
        <v>1682</v>
      </c>
      <c r="B1686" s="390" t="s">
        <v>5799</v>
      </c>
      <c r="C1686" s="390"/>
      <c r="D1686" s="391" t="s">
        <v>7137</v>
      </c>
      <c r="E1686" s="704" t="s">
        <v>5800</v>
      </c>
      <c r="F1686" s="393" t="s">
        <v>1375</v>
      </c>
      <c r="G1686" s="393" t="s">
        <v>998</v>
      </c>
      <c r="H1686" s="393" t="s">
        <v>245</v>
      </c>
      <c r="I1686" s="392"/>
      <c r="J1686" s="392"/>
      <c r="K1686" s="392" t="s">
        <v>5627</v>
      </c>
      <c r="L1686" s="392" t="s">
        <v>5797</v>
      </c>
      <c r="M1686" s="392"/>
      <c r="N1686" s="393" t="s">
        <v>44</v>
      </c>
      <c r="O1686" s="475" t="s">
        <v>34</v>
      </c>
      <c r="P1686" s="393" t="s">
        <v>51</v>
      </c>
      <c r="Q1686" s="392" t="s">
        <v>1145</v>
      </c>
      <c r="R1686" s="392" t="s">
        <v>5801</v>
      </c>
      <c r="S1686" s="392" t="s">
        <v>912</v>
      </c>
      <c r="T1686" s="394">
        <v>1</v>
      </c>
      <c r="U1686" s="395">
        <v>36.340000000000003</v>
      </c>
      <c r="V1686" s="395"/>
      <c r="W1686" s="453"/>
      <c r="X1686" s="394"/>
      <c r="Y1686" s="394">
        <v>7</v>
      </c>
      <c r="Z1686" s="394">
        <v>30</v>
      </c>
      <c r="AA1686" s="395">
        <v>8.7710000000000008</v>
      </c>
      <c r="AB1686" s="452">
        <v>41640</v>
      </c>
      <c r="AC1686" s="398">
        <v>0</v>
      </c>
      <c r="AD1686" s="398">
        <v>254.47956164383564</v>
      </c>
      <c r="AE1686" s="393" t="s">
        <v>72</v>
      </c>
      <c r="AF1686" s="417"/>
      <c r="AG1686" s="417"/>
      <c r="AH1686" s="417"/>
      <c r="AI1686" s="394"/>
      <c r="AJ1686" s="453"/>
      <c r="AK1686" s="453"/>
      <c r="AL1686" s="393"/>
      <c r="AM1686" s="393"/>
      <c r="AN1686" s="417"/>
      <c r="AO1686" s="392"/>
      <c r="AP1686" s="392" t="s">
        <v>55</v>
      </c>
      <c r="AQ1686" s="392"/>
      <c r="AR1686" s="392" t="s">
        <v>55</v>
      </c>
      <c r="AS1686" s="479">
        <v>41646</v>
      </c>
      <c r="AT1686" s="453"/>
      <c r="AU1686" s="453"/>
      <c r="AV1686" s="453"/>
      <c r="AW1686" s="453"/>
      <c r="AX1686" s="453"/>
      <c r="AY1686" s="453"/>
      <c r="AZ1686" s="453">
        <v>41992</v>
      </c>
      <c r="BA1686" s="393"/>
      <c r="BB1686" s="393"/>
      <c r="BC1686" s="393" t="b">
        <v>0</v>
      </c>
      <c r="BD1686" s="393"/>
      <c r="BE1686" s="392"/>
      <c r="BF1686" s="394">
        <v>4</v>
      </c>
      <c r="BG1686" s="394">
        <v>6</v>
      </c>
      <c r="BH1686" s="394">
        <v>1</v>
      </c>
      <c r="BI1686" s="394">
        <v>9</v>
      </c>
      <c r="BJ1686" s="394">
        <v>5</v>
      </c>
      <c r="BK1686" s="394"/>
      <c r="BL1686" s="444" t="s">
        <v>6982</v>
      </c>
      <c r="BM1686" s="392"/>
      <c r="BN1686" s="393"/>
      <c r="BO1686" s="393"/>
      <c r="BP1686" s="399"/>
      <c r="BQ1686" s="400"/>
      <c r="BR1686" s="401"/>
      <c r="BS1686" s="399"/>
      <c r="BT1686" s="394"/>
      <c r="BU1686" s="417"/>
      <c r="BV1686" s="399"/>
      <c r="BW1686" s="393" t="s">
        <v>3165</v>
      </c>
      <c r="BX1686" s="392"/>
      <c r="BY1686" s="393"/>
      <c r="BZ1686" s="393"/>
      <c r="CA1686" s="441"/>
      <c r="CB1686" s="400"/>
      <c r="CC1686" s="398"/>
      <c r="CD1686" s="398"/>
      <c r="CE1686" s="398"/>
      <c r="CF1686" s="398"/>
      <c r="CG1686" s="398"/>
      <c r="CH1686" s="398"/>
      <c r="CI1686" s="398"/>
      <c r="CJ1686" s="398">
        <v>10.451000000000001</v>
      </c>
      <c r="CK1686" s="398">
        <v>20.901</v>
      </c>
      <c r="CL1686" s="398">
        <v>31.352</v>
      </c>
      <c r="CM1686" s="398">
        <v>41.802999999999997</v>
      </c>
      <c r="CN1686" s="398">
        <v>52.253</v>
      </c>
      <c r="CO1686" s="398">
        <v>59.569000000000003</v>
      </c>
      <c r="CP1686" s="398">
        <v>59.569000000000003</v>
      </c>
      <c r="CQ1686" s="398"/>
      <c r="CR1686" s="398"/>
      <c r="CS1686" s="398"/>
      <c r="CT1686" s="398"/>
      <c r="CU1686" s="398"/>
      <c r="CV1686" s="398"/>
      <c r="CW1686" s="398"/>
      <c r="CX1686" s="398"/>
      <c r="CY1686" s="398"/>
      <c r="CZ1686" s="398"/>
      <c r="DA1686" s="398"/>
      <c r="DB1686" s="398"/>
      <c r="DC1686" s="398"/>
      <c r="DD1686" s="398"/>
      <c r="DE1686" s="393"/>
      <c r="DF1686" s="393"/>
      <c r="DG1686" s="393"/>
      <c r="DH1686" s="393"/>
      <c r="DI1686" s="393"/>
      <c r="DJ1686" s="393"/>
      <c r="DK1686" s="897"/>
    </row>
    <row r="1687" spans="1:115" ht="89.25" x14ac:dyDescent="0.2">
      <c r="A1687" s="295">
        <v>1683</v>
      </c>
      <c r="B1687" s="390" t="s">
        <v>5810</v>
      </c>
      <c r="C1687" s="424" t="s">
        <v>7867</v>
      </c>
      <c r="D1687" s="391"/>
      <c r="E1687" s="708" t="s">
        <v>7413</v>
      </c>
      <c r="F1687" s="404" t="s">
        <v>1352</v>
      </c>
      <c r="G1687" s="404" t="s">
        <v>1673</v>
      </c>
      <c r="H1687" s="404" t="s">
        <v>228</v>
      </c>
      <c r="I1687" s="403"/>
      <c r="J1687" s="403" t="s">
        <v>228</v>
      </c>
      <c r="K1687" s="403"/>
      <c r="L1687" s="403" t="s">
        <v>5811</v>
      </c>
      <c r="M1687" s="403" t="s">
        <v>5812</v>
      </c>
      <c r="N1687" s="459" t="s">
        <v>3142</v>
      </c>
      <c r="O1687" s="404" t="s">
        <v>51</v>
      </c>
      <c r="P1687" s="404" t="s">
        <v>51</v>
      </c>
      <c r="Q1687" s="403" t="s">
        <v>976</v>
      </c>
      <c r="R1687" s="403"/>
      <c r="S1687" s="403" t="s">
        <v>977</v>
      </c>
      <c r="T1687" s="405">
        <v>1</v>
      </c>
      <c r="U1687" s="406">
        <v>43.2</v>
      </c>
      <c r="V1687" s="406"/>
      <c r="W1687" s="456">
        <v>41628</v>
      </c>
      <c r="X1687" s="405">
        <v>28</v>
      </c>
      <c r="Y1687" s="405"/>
      <c r="Z1687" s="405"/>
      <c r="AA1687" s="406"/>
      <c r="AB1687" s="455"/>
      <c r="AC1687" s="407">
        <v>0</v>
      </c>
      <c r="AD1687" s="407">
        <v>284.64657534246578</v>
      </c>
      <c r="AE1687" s="404" t="s">
        <v>167</v>
      </c>
      <c r="AF1687" s="418"/>
      <c r="AG1687" s="418"/>
      <c r="AH1687" s="418">
        <v>0</v>
      </c>
      <c r="AI1687" s="405"/>
      <c r="AJ1687" s="455"/>
      <c r="AK1687" s="455"/>
      <c r="AL1687" s="404"/>
      <c r="AM1687" s="404"/>
      <c r="AN1687" s="418"/>
      <c r="AO1687" s="403"/>
      <c r="AP1687" s="403" t="s">
        <v>55</v>
      </c>
      <c r="AQ1687" s="403"/>
      <c r="AR1687" s="403" t="s">
        <v>55</v>
      </c>
      <c r="AS1687" s="482">
        <v>41655</v>
      </c>
      <c r="AT1687" s="455"/>
      <c r="AU1687" s="455"/>
      <c r="AV1687" s="455"/>
      <c r="AW1687" s="455"/>
      <c r="AX1687" s="455"/>
      <c r="AY1687" s="455"/>
      <c r="AZ1687" s="455"/>
      <c r="BA1687" s="404"/>
      <c r="BB1687" s="404" t="s">
        <v>3116</v>
      </c>
      <c r="BC1687" s="404" t="b">
        <v>0</v>
      </c>
      <c r="BD1687" s="404" t="s">
        <v>3116</v>
      </c>
      <c r="BE1687" s="403"/>
      <c r="BF1687" s="405">
        <v>4</v>
      </c>
      <c r="BG1687" s="405">
        <v>8</v>
      </c>
      <c r="BH1687" s="405">
        <v>1</v>
      </c>
      <c r="BI1687" s="405">
        <v>5</v>
      </c>
      <c r="BJ1687" s="405">
        <v>12</v>
      </c>
      <c r="BK1687" s="405"/>
      <c r="BL1687" s="446" t="s">
        <v>6981</v>
      </c>
      <c r="BM1687" s="403"/>
      <c r="BN1687" s="404"/>
      <c r="BO1687" s="404"/>
      <c r="BP1687" s="408"/>
      <c r="BQ1687" s="409"/>
      <c r="BR1687" s="410"/>
      <c r="BS1687" s="408">
        <v>0</v>
      </c>
      <c r="BT1687" s="405"/>
      <c r="BU1687" s="418"/>
      <c r="BV1687" s="408"/>
      <c r="BW1687" s="404"/>
      <c r="BX1687" s="403"/>
      <c r="BY1687" s="404"/>
      <c r="BZ1687" s="404"/>
      <c r="CA1687" s="443"/>
      <c r="CB1687" s="409"/>
      <c r="CC1687" s="407"/>
      <c r="CD1687" s="407"/>
      <c r="CE1687" s="407"/>
      <c r="CF1687" s="407"/>
      <c r="CG1687" s="407"/>
      <c r="CH1687" s="407"/>
      <c r="CI1687" s="407"/>
      <c r="CJ1687" s="407"/>
      <c r="CK1687" s="407"/>
      <c r="CL1687" s="407"/>
      <c r="CM1687" s="407"/>
      <c r="CN1687" s="407"/>
      <c r="CO1687" s="407"/>
      <c r="CP1687" s="407"/>
      <c r="CQ1687" s="407"/>
      <c r="CR1687" s="407"/>
      <c r="CS1687" s="407"/>
      <c r="CT1687" s="407"/>
      <c r="CU1687" s="407"/>
      <c r="CV1687" s="407"/>
      <c r="CW1687" s="407"/>
      <c r="CX1687" s="407"/>
      <c r="CY1687" s="407"/>
      <c r="CZ1687" s="407"/>
      <c r="DA1687" s="407"/>
      <c r="DB1687" s="407"/>
      <c r="DC1687" s="407"/>
      <c r="DD1687" s="407"/>
      <c r="DE1687" s="404"/>
      <c r="DF1687" s="404"/>
      <c r="DG1687" s="404"/>
      <c r="DH1687" s="404"/>
      <c r="DI1687" s="404"/>
      <c r="DJ1687" s="404"/>
      <c r="DK1687" s="897"/>
    </row>
    <row r="1688" spans="1:115" ht="38.25" x14ac:dyDescent="0.2">
      <c r="A1688" s="295">
        <v>1684</v>
      </c>
      <c r="B1688" s="390" t="s">
        <v>5813</v>
      </c>
      <c r="C1688" s="390"/>
      <c r="D1688" s="391"/>
      <c r="E1688" s="708" t="s">
        <v>7906</v>
      </c>
      <c r="F1688" s="404" t="s">
        <v>1352</v>
      </c>
      <c r="G1688" s="404" t="s">
        <v>1673</v>
      </c>
      <c r="H1688" s="404" t="s">
        <v>228</v>
      </c>
      <c r="I1688" s="403"/>
      <c r="J1688" s="403"/>
      <c r="K1688" s="403" t="s">
        <v>5814</v>
      </c>
      <c r="L1688" s="403" t="s">
        <v>5811</v>
      </c>
      <c r="M1688" s="403"/>
      <c r="N1688" s="459" t="s">
        <v>3142</v>
      </c>
      <c r="O1688" s="404" t="s">
        <v>51</v>
      </c>
      <c r="P1688" s="404" t="s">
        <v>51</v>
      </c>
      <c r="Q1688" s="403" t="s">
        <v>976</v>
      </c>
      <c r="R1688" s="403" t="s">
        <v>5815</v>
      </c>
      <c r="S1688" s="403" t="s">
        <v>977</v>
      </c>
      <c r="T1688" s="405">
        <v>1</v>
      </c>
      <c r="U1688" s="406">
        <v>43.2</v>
      </c>
      <c r="V1688" s="406"/>
      <c r="W1688" s="455"/>
      <c r="X1688" s="405"/>
      <c r="Y1688" s="405">
        <v>7</v>
      </c>
      <c r="Z1688" s="405">
        <v>21</v>
      </c>
      <c r="AA1688" s="406">
        <v>0</v>
      </c>
      <c r="AB1688" s="456">
        <v>41791</v>
      </c>
      <c r="AC1688" s="407">
        <v>0</v>
      </c>
      <c r="AD1688" s="407">
        <v>284.64657534246578</v>
      </c>
      <c r="AE1688" s="404" t="s">
        <v>167</v>
      </c>
      <c r="AF1688" s="418"/>
      <c r="AG1688" s="418"/>
      <c r="AH1688" s="418"/>
      <c r="AI1688" s="405"/>
      <c r="AJ1688" s="455"/>
      <c r="AK1688" s="455"/>
      <c r="AL1688" s="404"/>
      <c r="AM1688" s="404"/>
      <c r="AN1688" s="418"/>
      <c r="AO1688" s="403"/>
      <c r="AP1688" s="403" t="s">
        <v>55</v>
      </c>
      <c r="AQ1688" s="403"/>
      <c r="AR1688" s="403" t="s">
        <v>55</v>
      </c>
      <c r="AS1688" s="482">
        <v>41655</v>
      </c>
      <c r="AT1688" s="455"/>
      <c r="AU1688" s="455"/>
      <c r="AV1688" s="455"/>
      <c r="AW1688" s="455"/>
      <c r="AX1688" s="455"/>
      <c r="AY1688" s="455"/>
      <c r="AZ1688" s="455"/>
      <c r="BA1688" s="404"/>
      <c r="BB1688" s="404"/>
      <c r="BC1688" s="404" t="b">
        <v>0</v>
      </c>
      <c r="BD1688" s="404"/>
      <c r="BE1688" s="403"/>
      <c r="BF1688" s="405">
        <v>4</v>
      </c>
      <c r="BG1688" s="405">
        <v>8</v>
      </c>
      <c r="BH1688" s="405">
        <v>1</v>
      </c>
      <c r="BI1688" s="405">
        <v>5</v>
      </c>
      <c r="BJ1688" s="405">
        <v>12</v>
      </c>
      <c r="BK1688" s="405"/>
      <c r="BL1688" s="446" t="s">
        <v>6981</v>
      </c>
      <c r="BM1688" s="403"/>
      <c r="BN1688" s="404"/>
      <c r="BO1688" s="404"/>
      <c r="BP1688" s="408"/>
      <c r="BQ1688" s="409"/>
      <c r="BR1688" s="410"/>
      <c r="BS1688" s="408"/>
      <c r="BT1688" s="405"/>
      <c r="BU1688" s="418"/>
      <c r="BV1688" s="408"/>
      <c r="BW1688" s="404" t="s">
        <v>3117</v>
      </c>
      <c r="BX1688" s="403"/>
      <c r="BY1688" s="404"/>
      <c r="BZ1688" s="404"/>
      <c r="CA1688" s="443"/>
      <c r="CB1688" s="409"/>
      <c r="CC1688" s="407"/>
      <c r="CD1688" s="407"/>
      <c r="CE1688" s="407"/>
      <c r="CF1688" s="407"/>
      <c r="CG1688" s="407"/>
      <c r="CH1688" s="407"/>
      <c r="CI1688" s="407"/>
      <c r="CJ1688" s="407">
        <v>21.6</v>
      </c>
      <c r="CK1688" s="407">
        <v>43.2</v>
      </c>
      <c r="CL1688" s="407">
        <v>43.2</v>
      </c>
      <c r="CM1688" s="407">
        <v>43.2</v>
      </c>
      <c r="CN1688" s="407">
        <v>43.2</v>
      </c>
      <c r="CO1688" s="407">
        <v>43.2</v>
      </c>
      <c r="CP1688" s="407">
        <v>43.2</v>
      </c>
      <c r="CQ1688" s="407">
        <v>21.6</v>
      </c>
      <c r="CR1688" s="407"/>
      <c r="CS1688" s="407"/>
      <c r="CT1688" s="407"/>
      <c r="CU1688" s="407"/>
      <c r="CV1688" s="407"/>
      <c r="CW1688" s="407"/>
      <c r="CX1688" s="407"/>
      <c r="CY1688" s="407"/>
      <c r="CZ1688" s="407"/>
      <c r="DA1688" s="407"/>
      <c r="DB1688" s="407"/>
      <c r="DC1688" s="407"/>
      <c r="DD1688" s="407"/>
      <c r="DE1688" s="404"/>
      <c r="DF1688" s="404"/>
      <c r="DG1688" s="404"/>
      <c r="DH1688" s="404"/>
      <c r="DI1688" s="404"/>
      <c r="DJ1688" s="404"/>
      <c r="DK1688" s="897"/>
    </row>
    <row r="1689" spans="1:115" ht="76.5" x14ac:dyDescent="0.2">
      <c r="A1689" s="295">
        <v>1685</v>
      </c>
      <c r="B1689" s="390" t="s">
        <v>5816</v>
      </c>
      <c r="C1689" s="424" t="s">
        <v>7868</v>
      </c>
      <c r="D1689" s="391" t="s">
        <v>6767</v>
      </c>
      <c r="E1689" s="704" t="s">
        <v>5817</v>
      </c>
      <c r="F1689" s="393" t="s">
        <v>1375</v>
      </c>
      <c r="G1689" s="393" t="s">
        <v>998</v>
      </c>
      <c r="H1689" s="393" t="s">
        <v>1387</v>
      </c>
      <c r="I1689" s="392"/>
      <c r="J1689" s="392" t="s">
        <v>1387</v>
      </c>
      <c r="K1689" s="392"/>
      <c r="L1689" s="392" t="s">
        <v>5818</v>
      </c>
      <c r="M1689" s="392" t="s">
        <v>5819</v>
      </c>
      <c r="N1689" s="393" t="s">
        <v>44</v>
      </c>
      <c r="O1689" s="393" t="s">
        <v>51</v>
      </c>
      <c r="P1689" s="393" t="s">
        <v>51</v>
      </c>
      <c r="Q1689" s="392" t="s">
        <v>976</v>
      </c>
      <c r="R1689" s="392"/>
      <c r="S1689" s="392" t="s">
        <v>977</v>
      </c>
      <c r="T1689" s="394">
        <v>3</v>
      </c>
      <c r="U1689" s="395">
        <v>93.35</v>
      </c>
      <c r="V1689" s="395"/>
      <c r="W1689" s="452">
        <v>41659</v>
      </c>
      <c r="X1689" s="394">
        <v>28</v>
      </c>
      <c r="Y1689" s="394"/>
      <c r="Z1689" s="394"/>
      <c r="AA1689" s="395"/>
      <c r="AB1689" s="453"/>
      <c r="AC1689" s="398">
        <v>0</v>
      </c>
      <c r="AD1689" s="398">
        <v>464.36697534246571</v>
      </c>
      <c r="AE1689" s="393" t="s">
        <v>54</v>
      </c>
      <c r="AF1689" s="417"/>
      <c r="AG1689" s="417"/>
      <c r="AH1689" s="417">
        <v>0</v>
      </c>
      <c r="AI1689" s="394"/>
      <c r="AJ1689" s="453"/>
      <c r="AK1689" s="453"/>
      <c r="AL1689" s="393"/>
      <c r="AM1689" s="393"/>
      <c r="AN1689" s="417"/>
      <c r="AO1689" s="392"/>
      <c r="AP1689" s="428" t="s">
        <v>8201</v>
      </c>
      <c r="AQ1689" s="392"/>
      <c r="AR1689" s="392" t="s">
        <v>55</v>
      </c>
      <c r="AS1689" s="479">
        <v>41661</v>
      </c>
      <c r="AT1689" s="453"/>
      <c r="AU1689" s="453"/>
      <c r="AV1689" s="452">
        <v>41684</v>
      </c>
      <c r="AW1689" s="452">
        <v>41929</v>
      </c>
      <c r="AX1689" s="453"/>
      <c r="AY1689" s="452">
        <v>41929</v>
      </c>
      <c r="AZ1689" s="453"/>
      <c r="BA1689" s="393"/>
      <c r="BB1689" s="393" t="s">
        <v>3116</v>
      </c>
      <c r="BC1689" s="393" t="b">
        <v>0</v>
      </c>
      <c r="BD1689" s="393" t="s">
        <v>3147</v>
      </c>
      <c r="BE1689" s="392"/>
      <c r="BF1689" s="394">
        <v>1</v>
      </c>
      <c r="BG1689" s="394">
        <v>9</v>
      </c>
      <c r="BH1689" s="394">
        <v>4</v>
      </c>
      <c r="BI1689" s="394">
        <v>5</v>
      </c>
      <c r="BJ1689" s="394">
        <v>6</v>
      </c>
      <c r="BK1689" s="394">
        <v>8</v>
      </c>
      <c r="BL1689" s="444" t="s">
        <v>6981</v>
      </c>
      <c r="BM1689" s="392"/>
      <c r="BN1689" s="393"/>
      <c r="BO1689" s="393"/>
      <c r="BP1689" s="399"/>
      <c r="BQ1689" s="400"/>
      <c r="BR1689" s="401"/>
      <c r="BS1689" s="399">
        <v>0</v>
      </c>
      <c r="BT1689" s="394"/>
      <c r="BU1689" s="417"/>
      <c r="BV1689" s="399"/>
      <c r="BW1689" s="393"/>
      <c r="BX1689" s="392"/>
      <c r="BY1689" s="393" t="s">
        <v>7227</v>
      </c>
      <c r="BZ1689" s="475" t="s">
        <v>3165</v>
      </c>
      <c r="CA1689" s="441"/>
      <c r="CB1689" s="400"/>
      <c r="CC1689" s="398"/>
      <c r="CD1689" s="398"/>
      <c r="CE1689" s="398"/>
      <c r="CF1689" s="398"/>
      <c r="CG1689" s="398"/>
      <c r="CH1689" s="398"/>
      <c r="CI1689" s="398"/>
      <c r="CJ1689" s="398"/>
      <c r="CK1689" s="398"/>
      <c r="CL1689" s="398"/>
      <c r="CM1689" s="398"/>
      <c r="CN1689" s="398"/>
      <c r="CO1689" s="398"/>
      <c r="CP1689" s="398"/>
      <c r="CQ1689" s="398"/>
      <c r="CR1689" s="398"/>
      <c r="CS1689" s="398"/>
      <c r="CT1689" s="398"/>
      <c r="CU1689" s="398"/>
      <c r="CV1689" s="398"/>
      <c r="CW1689" s="398"/>
      <c r="CX1689" s="398"/>
      <c r="CY1689" s="398"/>
      <c r="CZ1689" s="398"/>
      <c r="DA1689" s="398"/>
      <c r="DB1689" s="398"/>
      <c r="DC1689" s="398"/>
      <c r="DD1689" s="398"/>
      <c r="DE1689" s="393"/>
      <c r="DF1689" s="393"/>
      <c r="DG1689" s="393"/>
      <c r="DH1689" s="393"/>
      <c r="DI1689" s="393"/>
      <c r="DJ1689" s="393"/>
      <c r="DK1689" s="896" t="s">
        <v>9698</v>
      </c>
    </row>
    <row r="1690" spans="1:115" ht="38.25" x14ac:dyDescent="0.2">
      <c r="A1690" s="295">
        <v>1686</v>
      </c>
      <c r="B1690" s="390" t="s">
        <v>5820</v>
      </c>
      <c r="C1690" s="390"/>
      <c r="D1690" s="391" t="s">
        <v>6768</v>
      </c>
      <c r="E1690" s="705" t="s">
        <v>8180</v>
      </c>
      <c r="F1690" s="393" t="s">
        <v>1375</v>
      </c>
      <c r="G1690" s="393" t="s">
        <v>998</v>
      </c>
      <c r="H1690" s="393" t="s">
        <v>1387</v>
      </c>
      <c r="I1690" s="392"/>
      <c r="J1690" s="392"/>
      <c r="K1690" s="392" t="s">
        <v>5821</v>
      </c>
      <c r="L1690" s="392" t="s">
        <v>5818</v>
      </c>
      <c r="M1690" s="392"/>
      <c r="N1690" s="393" t="s">
        <v>44</v>
      </c>
      <c r="O1690" s="393" t="s">
        <v>51</v>
      </c>
      <c r="P1690" s="393" t="s">
        <v>51</v>
      </c>
      <c r="Q1690" s="392" t="s">
        <v>976</v>
      </c>
      <c r="R1690" s="428" t="s">
        <v>8182</v>
      </c>
      <c r="S1690" s="392" t="s">
        <v>977</v>
      </c>
      <c r="T1690" s="394">
        <v>1</v>
      </c>
      <c r="U1690" s="395">
        <v>28.404</v>
      </c>
      <c r="V1690" s="395"/>
      <c r="W1690" s="453"/>
      <c r="X1690" s="394"/>
      <c r="Y1690" s="394">
        <v>7</v>
      </c>
      <c r="Z1690" s="394">
        <v>21</v>
      </c>
      <c r="AA1690" s="395">
        <v>1.2849999999999999</v>
      </c>
      <c r="AB1690" s="452">
        <v>41944</v>
      </c>
      <c r="AC1690" s="398">
        <v>0</v>
      </c>
      <c r="AD1690" s="398">
        <v>175.24878904109588</v>
      </c>
      <c r="AE1690" s="393" t="s">
        <v>54</v>
      </c>
      <c r="AF1690" s="417"/>
      <c r="AG1690" s="417"/>
      <c r="AH1690" s="417"/>
      <c r="AI1690" s="394"/>
      <c r="AJ1690" s="453"/>
      <c r="AK1690" s="453"/>
      <c r="AL1690" s="393"/>
      <c r="AM1690" s="393"/>
      <c r="AN1690" s="417"/>
      <c r="AO1690" s="392"/>
      <c r="AP1690" s="428" t="s">
        <v>8201</v>
      </c>
      <c r="AQ1690" s="392"/>
      <c r="AR1690" s="392" t="s">
        <v>55</v>
      </c>
      <c r="AS1690" s="479">
        <v>41661</v>
      </c>
      <c r="AT1690" s="453"/>
      <c r="AU1690" s="453"/>
      <c r="AV1690" s="453"/>
      <c r="AW1690" s="453"/>
      <c r="AX1690" s="453"/>
      <c r="AY1690" s="453"/>
      <c r="AZ1690" s="452">
        <v>41929</v>
      </c>
      <c r="BA1690" s="393"/>
      <c r="BB1690" s="393"/>
      <c r="BC1690" s="393" t="b">
        <v>0</v>
      </c>
      <c r="BD1690" s="393"/>
      <c r="BE1690" s="392"/>
      <c r="BF1690" s="394">
        <v>1</v>
      </c>
      <c r="BG1690" s="394">
        <v>9</v>
      </c>
      <c r="BH1690" s="394">
        <v>4</v>
      </c>
      <c r="BI1690" s="394">
        <v>5</v>
      </c>
      <c r="BJ1690" s="394">
        <v>6</v>
      </c>
      <c r="BK1690" s="394">
        <v>8</v>
      </c>
      <c r="BL1690" s="444" t="s">
        <v>6981</v>
      </c>
      <c r="BM1690" s="392"/>
      <c r="BN1690" s="393"/>
      <c r="BO1690" s="393"/>
      <c r="BP1690" s="399"/>
      <c r="BQ1690" s="400"/>
      <c r="BR1690" s="401"/>
      <c r="BS1690" s="399"/>
      <c r="BT1690" s="394"/>
      <c r="BU1690" s="417"/>
      <c r="BV1690" s="399"/>
      <c r="BW1690" s="393" t="s">
        <v>3117</v>
      </c>
      <c r="BX1690" s="392"/>
      <c r="BY1690" s="393" t="s">
        <v>7227</v>
      </c>
      <c r="BZ1690" s="475" t="s">
        <v>3165</v>
      </c>
      <c r="CA1690" s="441"/>
      <c r="CB1690" s="400"/>
      <c r="CC1690" s="398"/>
      <c r="CD1690" s="398"/>
      <c r="CE1690" s="398"/>
      <c r="CF1690" s="398"/>
      <c r="CG1690" s="398"/>
      <c r="CH1690" s="398"/>
      <c r="CI1690" s="398"/>
      <c r="CJ1690" s="398">
        <v>0.189</v>
      </c>
      <c r="CK1690" s="398">
        <v>15.16</v>
      </c>
      <c r="CL1690" s="398">
        <v>31.79</v>
      </c>
      <c r="CM1690" s="398">
        <v>32.228000000000002</v>
      </c>
      <c r="CN1690" s="398">
        <v>32.228000000000002</v>
      </c>
      <c r="CO1690" s="398">
        <v>32.228000000000002</v>
      </c>
      <c r="CP1690" s="398">
        <v>32.228000000000002</v>
      </c>
      <c r="CQ1690" s="398">
        <v>26.856999999999999</v>
      </c>
      <c r="CR1690" s="398"/>
      <c r="CS1690" s="398"/>
      <c r="CT1690" s="398"/>
      <c r="CU1690" s="398"/>
      <c r="CV1690" s="398"/>
      <c r="CW1690" s="398"/>
      <c r="CX1690" s="398"/>
      <c r="CY1690" s="398"/>
      <c r="CZ1690" s="398"/>
      <c r="DA1690" s="398"/>
      <c r="DB1690" s="398"/>
      <c r="DC1690" s="398"/>
      <c r="DD1690" s="398"/>
      <c r="DE1690" s="393"/>
      <c r="DF1690" s="393"/>
      <c r="DG1690" s="393"/>
      <c r="DH1690" s="393"/>
      <c r="DI1690" s="393"/>
      <c r="DJ1690" s="393"/>
      <c r="DK1690" s="897"/>
    </row>
    <row r="1691" spans="1:115" ht="38.25" x14ac:dyDescent="0.2">
      <c r="A1691" s="295">
        <v>1687</v>
      </c>
      <c r="B1691" s="390" t="s">
        <v>8178</v>
      </c>
      <c r="C1691" s="390"/>
      <c r="D1691" s="391" t="s">
        <v>8179</v>
      </c>
      <c r="E1691" s="705" t="s">
        <v>8181</v>
      </c>
      <c r="F1691" s="393" t="s">
        <v>1375</v>
      </c>
      <c r="G1691" s="393" t="s">
        <v>998</v>
      </c>
      <c r="H1691" s="393" t="s">
        <v>1387</v>
      </c>
      <c r="I1691" s="392"/>
      <c r="J1691" s="392"/>
      <c r="K1691" s="392" t="s">
        <v>5821</v>
      </c>
      <c r="L1691" s="428" t="s">
        <v>5818</v>
      </c>
      <c r="M1691" s="392"/>
      <c r="N1691" s="475" t="s">
        <v>44</v>
      </c>
      <c r="O1691" s="475" t="s">
        <v>51</v>
      </c>
      <c r="P1691" s="475" t="s">
        <v>51</v>
      </c>
      <c r="Q1691" s="428" t="s">
        <v>976</v>
      </c>
      <c r="R1691" s="428" t="s">
        <v>8183</v>
      </c>
      <c r="S1691" s="428" t="s">
        <v>977</v>
      </c>
      <c r="T1691" s="394">
        <v>1</v>
      </c>
      <c r="U1691" s="395">
        <v>38.512</v>
      </c>
      <c r="V1691" s="395"/>
      <c r="W1691" s="453"/>
      <c r="X1691" s="394"/>
      <c r="Y1691" s="394">
        <v>7</v>
      </c>
      <c r="Z1691" s="394">
        <v>21</v>
      </c>
      <c r="AA1691" s="395"/>
      <c r="AB1691" s="452">
        <v>42563</v>
      </c>
      <c r="AC1691" s="398">
        <v>0</v>
      </c>
      <c r="AD1691" s="398">
        <v>172.30163287671232</v>
      </c>
      <c r="AE1691" s="475" t="s">
        <v>54</v>
      </c>
      <c r="AF1691" s="417"/>
      <c r="AG1691" s="417"/>
      <c r="AH1691" s="417"/>
      <c r="AI1691" s="394"/>
      <c r="AJ1691" s="453"/>
      <c r="AK1691" s="453"/>
      <c r="AL1691" s="393"/>
      <c r="AM1691" s="393"/>
      <c r="AN1691" s="417"/>
      <c r="AO1691" s="392"/>
      <c r="AP1691" s="428" t="s">
        <v>8201</v>
      </c>
      <c r="AQ1691" s="392"/>
      <c r="AR1691" s="428" t="s">
        <v>55</v>
      </c>
      <c r="AS1691" s="479">
        <v>41661</v>
      </c>
      <c r="AT1691" s="453"/>
      <c r="AU1691" s="453"/>
      <c r="AV1691" s="453"/>
      <c r="AW1691" s="453"/>
      <c r="AX1691" s="453"/>
      <c r="AY1691" s="453"/>
      <c r="AZ1691" s="452">
        <v>42563</v>
      </c>
      <c r="BA1691" s="393"/>
      <c r="BB1691" s="393"/>
      <c r="BC1691" s="393" t="b">
        <v>0</v>
      </c>
      <c r="BD1691" s="393"/>
      <c r="BE1691" s="392"/>
      <c r="BF1691" s="394">
        <v>1</v>
      </c>
      <c r="BG1691" s="394">
        <v>9</v>
      </c>
      <c r="BH1691" s="394">
        <v>4</v>
      </c>
      <c r="BI1691" s="394">
        <v>5</v>
      </c>
      <c r="BJ1691" s="394">
        <v>6</v>
      </c>
      <c r="BK1691" s="394">
        <v>8</v>
      </c>
      <c r="BL1691" s="444" t="s">
        <v>6981</v>
      </c>
      <c r="BM1691" s="392"/>
      <c r="BN1691" s="393"/>
      <c r="BO1691" s="393"/>
      <c r="BP1691" s="399"/>
      <c r="BQ1691" s="400"/>
      <c r="BR1691" s="401"/>
      <c r="BS1691" s="399"/>
      <c r="BT1691" s="394"/>
      <c r="BU1691" s="417"/>
      <c r="BV1691" s="399"/>
      <c r="BW1691" s="475" t="s">
        <v>3117</v>
      </c>
      <c r="BX1691" s="392"/>
      <c r="BY1691" s="393"/>
      <c r="BZ1691" s="475"/>
      <c r="CA1691" s="441"/>
      <c r="CB1691" s="400"/>
      <c r="CC1691" s="398"/>
      <c r="CD1691" s="398"/>
      <c r="CE1691" s="398"/>
      <c r="CF1691" s="398"/>
      <c r="CG1691" s="398"/>
      <c r="CH1691" s="398"/>
      <c r="CI1691" s="398"/>
      <c r="CJ1691" s="398"/>
      <c r="CK1691" s="398"/>
      <c r="CL1691" s="398">
        <v>10.728999999999999</v>
      </c>
      <c r="CM1691" s="398">
        <v>39.170999999999999</v>
      </c>
      <c r="CN1691" s="398">
        <v>39.942</v>
      </c>
      <c r="CO1691" s="398">
        <v>39.942</v>
      </c>
      <c r="CP1691" s="398">
        <v>39.942</v>
      </c>
      <c r="CQ1691" s="398">
        <v>39.942</v>
      </c>
      <c r="CR1691" s="398">
        <v>39.942</v>
      </c>
      <c r="CS1691" s="398">
        <v>19.971</v>
      </c>
      <c r="CT1691" s="398"/>
      <c r="CU1691" s="398"/>
      <c r="CV1691" s="398"/>
      <c r="CW1691" s="398"/>
      <c r="CX1691" s="398"/>
      <c r="CY1691" s="398"/>
      <c r="CZ1691" s="398"/>
      <c r="DA1691" s="398"/>
      <c r="DB1691" s="398"/>
      <c r="DC1691" s="398"/>
      <c r="DD1691" s="398"/>
      <c r="DE1691" s="393"/>
      <c r="DF1691" s="393"/>
      <c r="DG1691" s="393"/>
      <c r="DH1691" s="393"/>
      <c r="DI1691" s="393"/>
      <c r="DJ1691" s="393"/>
      <c r="DK1691" s="897"/>
    </row>
    <row r="1692" spans="1:115" ht="38.25" x14ac:dyDescent="0.2">
      <c r="A1692" s="295">
        <v>1688</v>
      </c>
      <c r="B1692" s="390" t="s">
        <v>8202</v>
      </c>
      <c r="C1692" s="390"/>
      <c r="D1692" s="391" t="s">
        <v>8203</v>
      </c>
      <c r="E1692" s="705" t="s">
        <v>8204</v>
      </c>
      <c r="F1692" s="393" t="s">
        <v>1375</v>
      </c>
      <c r="G1692" s="393" t="s">
        <v>998</v>
      </c>
      <c r="H1692" s="393" t="s">
        <v>1387</v>
      </c>
      <c r="I1692" s="392"/>
      <c r="J1692" s="392"/>
      <c r="K1692" s="428" t="s">
        <v>8205</v>
      </c>
      <c r="L1692" s="428" t="s">
        <v>5818</v>
      </c>
      <c r="M1692" s="392"/>
      <c r="N1692" s="475" t="s">
        <v>44</v>
      </c>
      <c r="O1692" s="475" t="s">
        <v>51</v>
      </c>
      <c r="P1692" s="475" t="s">
        <v>51</v>
      </c>
      <c r="Q1692" s="428" t="s">
        <v>976</v>
      </c>
      <c r="R1692" s="428" t="s">
        <v>8206</v>
      </c>
      <c r="S1692" s="428" t="s">
        <v>977</v>
      </c>
      <c r="T1692" s="394">
        <v>1</v>
      </c>
      <c r="U1692" s="395">
        <v>26.434000000000001</v>
      </c>
      <c r="V1692" s="395"/>
      <c r="W1692" s="453"/>
      <c r="X1692" s="394"/>
      <c r="Y1692" s="394">
        <v>7</v>
      </c>
      <c r="Z1692" s="394">
        <v>21</v>
      </c>
      <c r="AA1692" s="395"/>
      <c r="AB1692" s="452">
        <v>42583</v>
      </c>
      <c r="AC1692" s="398">
        <v>0</v>
      </c>
      <c r="AD1692" s="398">
        <v>116.81655342465754</v>
      </c>
      <c r="AE1692" s="475" t="s">
        <v>54</v>
      </c>
      <c r="AF1692" s="417"/>
      <c r="AG1692" s="417"/>
      <c r="AH1692" s="417"/>
      <c r="AI1692" s="394"/>
      <c r="AJ1692" s="453"/>
      <c r="AK1692" s="453"/>
      <c r="AL1692" s="393"/>
      <c r="AM1692" s="393"/>
      <c r="AN1692" s="417"/>
      <c r="AO1692" s="392"/>
      <c r="AP1692" s="428" t="s">
        <v>8201</v>
      </c>
      <c r="AQ1692" s="392"/>
      <c r="AR1692" s="428" t="s">
        <v>55</v>
      </c>
      <c r="AS1692" s="479">
        <v>41661</v>
      </c>
      <c r="AT1692" s="453"/>
      <c r="AU1692" s="453"/>
      <c r="AV1692" s="453"/>
      <c r="AW1692" s="453"/>
      <c r="AX1692" s="453"/>
      <c r="AY1692" s="453"/>
      <c r="AZ1692" s="452">
        <v>42583</v>
      </c>
      <c r="BA1692" s="393"/>
      <c r="BB1692" s="393"/>
      <c r="BC1692" s="393" t="b">
        <v>0</v>
      </c>
      <c r="BD1692" s="393"/>
      <c r="BE1692" s="392"/>
      <c r="BF1692" s="394">
        <v>1</v>
      </c>
      <c r="BG1692" s="394">
        <v>9</v>
      </c>
      <c r="BH1692" s="394">
        <v>4</v>
      </c>
      <c r="BI1692" s="394">
        <v>5</v>
      </c>
      <c r="BJ1692" s="394">
        <v>6</v>
      </c>
      <c r="BK1692" s="394">
        <v>8</v>
      </c>
      <c r="BL1692" s="444" t="s">
        <v>6981</v>
      </c>
      <c r="BM1692" s="392"/>
      <c r="BN1692" s="393"/>
      <c r="BO1692" s="393"/>
      <c r="BP1692" s="399"/>
      <c r="BQ1692" s="400"/>
      <c r="BR1692" s="401"/>
      <c r="BS1692" s="399"/>
      <c r="BT1692" s="394"/>
      <c r="BU1692" s="417"/>
      <c r="BV1692" s="399"/>
      <c r="BW1692" s="475" t="s">
        <v>3117</v>
      </c>
      <c r="BX1692" s="392"/>
      <c r="BY1692" s="393"/>
      <c r="BZ1692" s="475"/>
      <c r="CA1692" s="441"/>
      <c r="CB1692" s="400"/>
      <c r="CC1692" s="398"/>
      <c r="CD1692" s="398"/>
      <c r="CE1692" s="398"/>
      <c r="CF1692" s="398"/>
      <c r="CG1692" s="398"/>
      <c r="CH1692" s="398"/>
      <c r="CI1692" s="398"/>
      <c r="CJ1692" s="398"/>
      <c r="CK1692" s="398"/>
      <c r="CL1692" s="398">
        <v>3.4159999999999999</v>
      </c>
      <c r="CM1692" s="398">
        <v>25.494</v>
      </c>
      <c r="CN1692" s="398">
        <v>28.387</v>
      </c>
      <c r="CO1692" s="398">
        <v>28.387</v>
      </c>
      <c r="CP1692" s="398">
        <v>28.387</v>
      </c>
      <c r="CQ1692" s="398">
        <v>28.387</v>
      </c>
      <c r="CR1692" s="398">
        <v>28.387</v>
      </c>
      <c r="CS1692" s="398">
        <v>14.194000000000001</v>
      </c>
      <c r="CT1692" s="398"/>
      <c r="CU1692" s="398"/>
      <c r="CV1692" s="398"/>
      <c r="CW1692" s="398"/>
      <c r="CX1692" s="398"/>
      <c r="CY1692" s="398"/>
      <c r="CZ1692" s="398"/>
      <c r="DA1692" s="398"/>
      <c r="DB1692" s="398"/>
      <c r="DC1692" s="398"/>
      <c r="DD1692" s="398"/>
      <c r="DE1692" s="393"/>
      <c r="DF1692" s="393"/>
      <c r="DG1692" s="393"/>
      <c r="DH1692" s="393"/>
      <c r="DI1692" s="393"/>
      <c r="DJ1692" s="393"/>
      <c r="DK1692" s="897"/>
    </row>
    <row r="1693" spans="1:115" ht="76.5" x14ac:dyDescent="0.2">
      <c r="A1693" s="295">
        <v>1689</v>
      </c>
      <c r="B1693" s="390" t="s">
        <v>5908</v>
      </c>
      <c r="C1693" s="424" t="s">
        <v>7869</v>
      </c>
      <c r="D1693" s="531">
        <v>10203</v>
      </c>
      <c r="E1693" s="704" t="s">
        <v>5909</v>
      </c>
      <c r="F1693" s="393" t="s">
        <v>1375</v>
      </c>
      <c r="G1693" s="393" t="s">
        <v>998</v>
      </c>
      <c r="H1693" s="393" t="s">
        <v>1387</v>
      </c>
      <c r="I1693" s="392"/>
      <c r="J1693" s="392" t="s">
        <v>1387</v>
      </c>
      <c r="K1693" s="392"/>
      <c r="L1693" s="392" t="s">
        <v>5910</v>
      </c>
      <c r="M1693" s="392" t="s">
        <v>5911</v>
      </c>
      <c r="N1693" s="475" t="s">
        <v>44</v>
      </c>
      <c r="O1693" s="393" t="s">
        <v>5491</v>
      </c>
      <c r="P1693" s="393" t="s">
        <v>5491</v>
      </c>
      <c r="Q1693" s="392" t="s">
        <v>5912</v>
      </c>
      <c r="R1693" s="392"/>
      <c r="S1693" s="392" t="s">
        <v>2074</v>
      </c>
      <c r="T1693" s="394">
        <v>1</v>
      </c>
      <c r="U1693" s="395">
        <v>16.419</v>
      </c>
      <c r="V1693" s="395"/>
      <c r="W1693" s="452">
        <v>41678</v>
      </c>
      <c r="X1693" s="394">
        <v>28</v>
      </c>
      <c r="Y1693" s="394"/>
      <c r="Z1693" s="394"/>
      <c r="AA1693" s="395"/>
      <c r="AB1693" s="453"/>
      <c r="AC1693" s="398">
        <v>0</v>
      </c>
      <c r="AD1693" s="398">
        <v>76.517038356164392</v>
      </c>
      <c r="AE1693" s="393" t="s">
        <v>309</v>
      </c>
      <c r="AF1693" s="417"/>
      <c r="AG1693" s="417"/>
      <c r="AH1693" s="417">
        <v>0</v>
      </c>
      <c r="AI1693" s="394"/>
      <c r="AJ1693" s="453"/>
      <c r="AK1693" s="453"/>
      <c r="AL1693" s="393"/>
      <c r="AM1693" s="393"/>
      <c r="AN1693" s="417"/>
      <c r="AO1693" s="392"/>
      <c r="AP1693" s="392" t="s">
        <v>55</v>
      </c>
      <c r="AQ1693" s="392"/>
      <c r="AR1693" s="392" t="s">
        <v>55</v>
      </c>
      <c r="AS1693" s="479">
        <v>41678</v>
      </c>
      <c r="AT1693" s="453"/>
      <c r="AU1693" s="453"/>
      <c r="AV1693" s="453">
        <v>41674</v>
      </c>
      <c r="AW1693" s="478" t="s">
        <v>55</v>
      </c>
      <c r="AX1693" s="582">
        <v>42567</v>
      </c>
      <c r="AY1693" s="453">
        <v>42495</v>
      </c>
      <c r="AZ1693" s="453"/>
      <c r="BA1693" s="393"/>
      <c r="BB1693" s="393" t="s">
        <v>3116</v>
      </c>
      <c r="BC1693" s="393" t="b">
        <v>0</v>
      </c>
      <c r="BD1693" s="393" t="s">
        <v>3116</v>
      </c>
      <c r="BE1693" s="392"/>
      <c r="BF1693" s="394">
        <v>8</v>
      </c>
      <c r="BG1693" s="394">
        <v>6</v>
      </c>
      <c r="BH1693" s="394">
        <v>11</v>
      </c>
      <c r="BI1693" s="394"/>
      <c r="BJ1693" s="394"/>
      <c r="BK1693" s="394"/>
      <c r="BL1693" s="444" t="s">
        <v>6982</v>
      </c>
      <c r="BM1693" s="392"/>
      <c r="BN1693" s="393"/>
      <c r="BO1693" s="393"/>
      <c r="BP1693" s="399"/>
      <c r="BQ1693" s="400"/>
      <c r="BR1693" s="401"/>
      <c r="BS1693" s="399">
        <v>0</v>
      </c>
      <c r="BT1693" s="394"/>
      <c r="BU1693" s="417"/>
      <c r="BV1693" s="399"/>
      <c r="BW1693" s="393"/>
      <c r="BX1693" s="392"/>
      <c r="BY1693" s="475" t="s">
        <v>7224</v>
      </c>
      <c r="BZ1693" s="393"/>
      <c r="CA1693" s="441"/>
      <c r="CB1693" s="400"/>
      <c r="CC1693" s="398"/>
      <c r="CD1693" s="398"/>
      <c r="CE1693" s="398"/>
      <c r="CF1693" s="398"/>
      <c r="CG1693" s="398"/>
      <c r="CH1693" s="398"/>
      <c r="CI1693" s="398"/>
      <c r="CJ1693" s="398"/>
      <c r="CK1693" s="398"/>
      <c r="CL1693" s="398"/>
      <c r="CM1693" s="398"/>
      <c r="CN1693" s="398"/>
      <c r="CO1693" s="398"/>
      <c r="CP1693" s="398"/>
      <c r="CQ1693" s="398"/>
      <c r="CR1693" s="398"/>
      <c r="CS1693" s="398"/>
      <c r="CT1693" s="398"/>
      <c r="CU1693" s="398"/>
      <c r="CV1693" s="398"/>
      <c r="CW1693" s="398"/>
      <c r="CX1693" s="398"/>
      <c r="CY1693" s="398"/>
      <c r="CZ1693" s="398"/>
      <c r="DA1693" s="398"/>
      <c r="DB1693" s="398"/>
      <c r="DC1693" s="398"/>
      <c r="DD1693" s="398"/>
      <c r="DE1693" s="393"/>
      <c r="DF1693" s="393"/>
      <c r="DG1693" s="393"/>
      <c r="DH1693" s="393"/>
      <c r="DI1693" s="393"/>
      <c r="DJ1693" s="393"/>
      <c r="DK1693" s="896" t="s">
        <v>9758</v>
      </c>
    </row>
    <row r="1694" spans="1:115" ht="38.25" x14ac:dyDescent="0.2">
      <c r="A1694" s="295">
        <v>1690</v>
      </c>
      <c r="B1694" s="390" t="s">
        <v>5913</v>
      </c>
      <c r="C1694" s="390"/>
      <c r="D1694" s="532" t="s">
        <v>8189</v>
      </c>
      <c r="E1694" s="705" t="s">
        <v>8335</v>
      </c>
      <c r="F1694" s="393" t="s">
        <v>1375</v>
      </c>
      <c r="G1694" s="393" t="s">
        <v>998</v>
      </c>
      <c r="H1694" s="393" t="s">
        <v>1387</v>
      </c>
      <c r="I1694" s="392"/>
      <c r="J1694" s="392"/>
      <c r="K1694" s="392" t="s">
        <v>5627</v>
      </c>
      <c r="L1694" s="392" t="s">
        <v>5910</v>
      </c>
      <c r="M1694" s="392"/>
      <c r="N1694" s="475" t="s">
        <v>44</v>
      </c>
      <c r="O1694" s="393" t="s">
        <v>5491</v>
      </c>
      <c r="P1694" s="393" t="s">
        <v>5491</v>
      </c>
      <c r="Q1694" s="392" t="s">
        <v>5912</v>
      </c>
      <c r="R1694" s="392" t="s">
        <v>5914</v>
      </c>
      <c r="S1694" s="392" t="s">
        <v>2074</v>
      </c>
      <c r="T1694" s="394">
        <v>1</v>
      </c>
      <c r="U1694" s="395">
        <v>16.419</v>
      </c>
      <c r="V1694" s="395"/>
      <c r="W1694" s="453"/>
      <c r="X1694" s="394"/>
      <c r="Y1694" s="394">
        <v>7</v>
      </c>
      <c r="Z1694" s="394">
        <v>20</v>
      </c>
      <c r="AA1694" s="395">
        <v>3.2919999999999998</v>
      </c>
      <c r="AB1694" s="452">
        <v>42495</v>
      </c>
      <c r="AC1694" s="398">
        <v>0</v>
      </c>
      <c r="AD1694" s="398">
        <v>76.517038356164392</v>
      </c>
      <c r="AE1694" s="393" t="s">
        <v>309</v>
      </c>
      <c r="AF1694" s="417"/>
      <c r="AG1694" s="417"/>
      <c r="AH1694" s="417"/>
      <c r="AI1694" s="394"/>
      <c r="AJ1694" s="453"/>
      <c r="AK1694" s="453"/>
      <c r="AL1694" s="393"/>
      <c r="AM1694" s="393"/>
      <c r="AN1694" s="417"/>
      <c r="AO1694" s="392"/>
      <c r="AP1694" s="392" t="s">
        <v>55</v>
      </c>
      <c r="AQ1694" s="392"/>
      <c r="AR1694" s="392" t="s">
        <v>55</v>
      </c>
      <c r="AS1694" s="479">
        <v>41678</v>
      </c>
      <c r="AT1694" s="453"/>
      <c r="AU1694" s="453"/>
      <c r="AV1694" s="453"/>
      <c r="AW1694" s="453"/>
      <c r="AX1694" s="453"/>
      <c r="AY1694" s="453"/>
      <c r="AZ1694" s="453">
        <v>42495</v>
      </c>
      <c r="BA1694" s="393"/>
      <c r="BB1694" s="393"/>
      <c r="BC1694" s="393" t="b">
        <v>0</v>
      </c>
      <c r="BD1694" s="393"/>
      <c r="BE1694" s="392"/>
      <c r="BF1694" s="394">
        <v>8</v>
      </c>
      <c r="BG1694" s="394">
        <v>6</v>
      </c>
      <c r="BH1694" s="394">
        <v>11</v>
      </c>
      <c r="BI1694" s="394"/>
      <c r="BJ1694" s="394"/>
      <c r="BK1694" s="394"/>
      <c r="BL1694" s="444" t="s">
        <v>6982</v>
      </c>
      <c r="BM1694" s="392"/>
      <c r="BN1694" s="393"/>
      <c r="BO1694" s="393"/>
      <c r="BP1694" s="399"/>
      <c r="BQ1694" s="400"/>
      <c r="BR1694" s="401"/>
      <c r="BS1694" s="399"/>
      <c r="BT1694" s="394"/>
      <c r="BU1694" s="417"/>
      <c r="BV1694" s="399"/>
      <c r="BW1694" s="393" t="s">
        <v>3165</v>
      </c>
      <c r="BX1694" s="392"/>
      <c r="BY1694" s="475" t="s">
        <v>7224</v>
      </c>
      <c r="BZ1694" s="393"/>
      <c r="CA1694" s="441"/>
      <c r="CB1694" s="400"/>
      <c r="CC1694" s="398"/>
      <c r="CD1694" s="398"/>
      <c r="CE1694" s="398"/>
      <c r="CF1694" s="398"/>
      <c r="CG1694" s="398"/>
      <c r="CH1694" s="398"/>
      <c r="CI1694" s="398"/>
      <c r="CJ1694" s="398">
        <v>4.609</v>
      </c>
      <c r="CK1694" s="398">
        <v>9.2189999999999994</v>
      </c>
      <c r="CL1694" s="398">
        <v>13.827999999999999</v>
      </c>
      <c r="CM1694" s="398">
        <v>18.437000000000001</v>
      </c>
      <c r="CN1694" s="398">
        <v>23.047000000000001</v>
      </c>
      <c r="CO1694" s="398">
        <v>23.047000000000001</v>
      </c>
      <c r="CP1694" s="398">
        <v>23.047000000000001</v>
      </c>
      <c r="CQ1694" s="398"/>
      <c r="CR1694" s="398"/>
      <c r="CS1694" s="398"/>
      <c r="CT1694" s="398"/>
      <c r="CU1694" s="398"/>
      <c r="CV1694" s="398"/>
      <c r="CW1694" s="398"/>
      <c r="CX1694" s="398"/>
      <c r="CY1694" s="398"/>
      <c r="CZ1694" s="398"/>
      <c r="DA1694" s="398"/>
      <c r="DB1694" s="398"/>
      <c r="DC1694" s="398"/>
      <c r="DD1694" s="398"/>
      <c r="DE1694" s="393"/>
      <c r="DF1694" s="393"/>
      <c r="DG1694" s="393"/>
      <c r="DH1694" s="393"/>
      <c r="DI1694" s="393"/>
      <c r="DJ1694" s="393"/>
      <c r="DK1694" s="897"/>
    </row>
    <row r="1695" spans="1:115" ht="76.5" x14ac:dyDescent="0.2">
      <c r="A1695" s="295">
        <v>1691</v>
      </c>
      <c r="B1695" s="390" t="s">
        <v>5915</v>
      </c>
      <c r="C1695" s="424" t="s">
        <v>7870</v>
      </c>
      <c r="D1695" s="391" t="s">
        <v>6648</v>
      </c>
      <c r="E1695" s="704" t="s">
        <v>5916</v>
      </c>
      <c r="F1695" s="393" t="s">
        <v>1375</v>
      </c>
      <c r="G1695" s="393" t="s">
        <v>1668</v>
      </c>
      <c r="H1695" s="393" t="s">
        <v>983</v>
      </c>
      <c r="I1695" s="392"/>
      <c r="J1695" s="392" t="s">
        <v>5921</v>
      </c>
      <c r="K1695" s="392"/>
      <c r="L1695" s="392" t="s">
        <v>5917</v>
      </c>
      <c r="M1695" s="392" t="s">
        <v>5918</v>
      </c>
      <c r="N1695" s="393" t="s">
        <v>44</v>
      </c>
      <c r="O1695" s="393" t="s">
        <v>51</v>
      </c>
      <c r="P1695" s="393" t="s">
        <v>51</v>
      </c>
      <c r="Q1695" s="392" t="s">
        <v>976</v>
      </c>
      <c r="R1695" s="392"/>
      <c r="S1695" s="392" t="s">
        <v>977</v>
      </c>
      <c r="T1695" s="394">
        <v>2</v>
      </c>
      <c r="U1695" s="395">
        <v>86.691000000000003</v>
      </c>
      <c r="V1695" s="395"/>
      <c r="W1695" s="452">
        <v>41677</v>
      </c>
      <c r="X1695" s="394">
        <v>28</v>
      </c>
      <c r="Y1695" s="394"/>
      <c r="Z1695" s="394"/>
      <c r="AA1695" s="395"/>
      <c r="AB1695" s="453"/>
      <c r="AC1695" s="398">
        <v>0</v>
      </c>
      <c r="AD1695" s="398">
        <v>475.78047397260269</v>
      </c>
      <c r="AE1695" s="393" t="s">
        <v>133</v>
      </c>
      <c r="AF1695" s="417"/>
      <c r="AG1695" s="417"/>
      <c r="AH1695" s="417">
        <v>0</v>
      </c>
      <c r="AI1695" s="394"/>
      <c r="AJ1695" s="453"/>
      <c r="AK1695" s="453"/>
      <c r="AL1695" s="393"/>
      <c r="AM1695" s="393"/>
      <c r="AN1695" s="417"/>
      <c r="AO1695" s="392"/>
      <c r="AP1695" s="428" t="s">
        <v>55</v>
      </c>
      <c r="AQ1695" s="392"/>
      <c r="AR1695" s="392" t="s">
        <v>55</v>
      </c>
      <c r="AS1695" s="479">
        <v>41682</v>
      </c>
      <c r="AT1695" s="453"/>
      <c r="AU1695" s="453"/>
      <c r="AV1695" s="452">
        <v>41900</v>
      </c>
      <c r="AW1695" s="452">
        <v>41929</v>
      </c>
      <c r="AX1695" s="452">
        <v>41958</v>
      </c>
      <c r="AY1695" s="452">
        <v>41929</v>
      </c>
      <c r="AZ1695" s="453"/>
      <c r="BA1695" s="393"/>
      <c r="BB1695" s="393" t="s">
        <v>3116</v>
      </c>
      <c r="BC1695" s="393" t="b">
        <v>0</v>
      </c>
      <c r="BD1695" s="393" t="s">
        <v>3116</v>
      </c>
      <c r="BE1695" s="392" t="s">
        <v>6245</v>
      </c>
      <c r="BF1695" s="394">
        <v>4</v>
      </c>
      <c r="BG1695" s="394">
        <v>1</v>
      </c>
      <c r="BH1695" s="394">
        <v>8</v>
      </c>
      <c r="BI1695" s="394">
        <v>10</v>
      </c>
      <c r="BJ1695" s="394">
        <v>6</v>
      </c>
      <c r="BK1695" s="394"/>
      <c r="BL1695" s="444" t="s">
        <v>6981</v>
      </c>
      <c r="BM1695" s="392"/>
      <c r="BN1695" s="393"/>
      <c r="BO1695" s="393"/>
      <c r="BP1695" s="399"/>
      <c r="BQ1695" s="400"/>
      <c r="BR1695" s="401"/>
      <c r="BS1695" s="399">
        <v>0</v>
      </c>
      <c r="BT1695" s="394"/>
      <c r="BU1695" s="417"/>
      <c r="BV1695" s="399"/>
      <c r="BW1695" s="393"/>
      <c r="BX1695" s="392"/>
      <c r="BY1695" s="393"/>
      <c r="BZ1695" s="393"/>
      <c r="CA1695" s="441"/>
      <c r="CB1695" s="400"/>
      <c r="CC1695" s="398"/>
      <c r="CD1695" s="398"/>
      <c r="CE1695" s="398"/>
      <c r="CF1695" s="398"/>
      <c r="CG1695" s="398"/>
      <c r="CH1695" s="398"/>
      <c r="CI1695" s="398"/>
      <c r="CJ1695" s="398"/>
      <c r="CK1695" s="398"/>
      <c r="CL1695" s="398"/>
      <c r="CM1695" s="398"/>
      <c r="CN1695" s="398"/>
      <c r="CO1695" s="398"/>
      <c r="CP1695" s="398"/>
      <c r="CQ1695" s="398"/>
      <c r="CR1695" s="398"/>
      <c r="CS1695" s="398"/>
      <c r="CT1695" s="398"/>
      <c r="CU1695" s="398"/>
      <c r="CV1695" s="398"/>
      <c r="CW1695" s="398"/>
      <c r="CX1695" s="398"/>
      <c r="CY1695" s="398"/>
      <c r="CZ1695" s="398"/>
      <c r="DA1695" s="398"/>
      <c r="DB1695" s="398"/>
      <c r="DC1695" s="398"/>
      <c r="DD1695" s="398"/>
      <c r="DE1695" s="393"/>
      <c r="DF1695" s="393"/>
      <c r="DG1695" s="393"/>
      <c r="DH1695" s="393"/>
      <c r="DI1695" s="393"/>
      <c r="DJ1695" s="393"/>
      <c r="DK1695" s="896" t="s">
        <v>9717</v>
      </c>
    </row>
    <row r="1696" spans="1:115" ht="38.25" x14ac:dyDescent="0.2">
      <c r="A1696" s="295">
        <v>1692</v>
      </c>
      <c r="B1696" s="390" t="s">
        <v>5919</v>
      </c>
      <c r="C1696" s="390"/>
      <c r="D1696" s="391" t="s">
        <v>6649</v>
      </c>
      <c r="E1696" s="704" t="s">
        <v>5920</v>
      </c>
      <c r="F1696" s="393" t="s">
        <v>1375</v>
      </c>
      <c r="G1696" s="393" t="s">
        <v>1668</v>
      </c>
      <c r="H1696" s="393" t="s">
        <v>983</v>
      </c>
      <c r="I1696" s="392"/>
      <c r="J1696" s="392"/>
      <c r="K1696" s="392" t="s">
        <v>5922</v>
      </c>
      <c r="L1696" s="392" t="s">
        <v>5917</v>
      </c>
      <c r="M1696" s="392"/>
      <c r="N1696" s="393" t="s">
        <v>44</v>
      </c>
      <c r="O1696" s="393" t="s">
        <v>51</v>
      </c>
      <c r="P1696" s="393" t="s">
        <v>51</v>
      </c>
      <c r="Q1696" s="392" t="s">
        <v>976</v>
      </c>
      <c r="R1696" s="392" t="s">
        <v>5923</v>
      </c>
      <c r="S1696" s="392" t="s">
        <v>977</v>
      </c>
      <c r="T1696" s="394">
        <v>1</v>
      </c>
      <c r="U1696" s="395">
        <v>42.598999999999997</v>
      </c>
      <c r="V1696" s="395"/>
      <c r="W1696" s="453"/>
      <c r="X1696" s="394"/>
      <c r="Y1696" s="394">
        <v>7</v>
      </c>
      <c r="Z1696" s="394">
        <v>21</v>
      </c>
      <c r="AA1696" s="395">
        <v>7.3029999999999999</v>
      </c>
      <c r="AB1696" s="452">
        <v>41821</v>
      </c>
      <c r="AC1696" s="398">
        <v>0</v>
      </c>
      <c r="AD1696" s="398">
        <v>277.18527397260272</v>
      </c>
      <c r="AE1696" s="393" t="s">
        <v>133</v>
      </c>
      <c r="AF1696" s="417"/>
      <c r="AG1696" s="417"/>
      <c r="AH1696" s="417"/>
      <c r="AI1696" s="394"/>
      <c r="AJ1696" s="453"/>
      <c r="AK1696" s="453"/>
      <c r="AL1696" s="393"/>
      <c r="AM1696" s="393"/>
      <c r="AN1696" s="417"/>
      <c r="AO1696" s="392"/>
      <c r="AP1696" s="428" t="s">
        <v>55</v>
      </c>
      <c r="AQ1696" s="392"/>
      <c r="AR1696" s="392" t="s">
        <v>55</v>
      </c>
      <c r="AS1696" s="479">
        <v>41682</v>
      </c>
      <c r="AT1696" s="453"/>
      <c r="AU1696" s="453"/>
      <c r="AV1696" s="453"/>
      <c r="AW1696" s="453"/>
      <c r="AX1696" s="453"/>
      <c r="AY1696" s="453"/>
      <c r="AZ1696" s="452">
        <v>41929</v>
      </c>
      <c r="BA1696" s="393"/>
      <c r="BB1696" s="393"/>
      <c r="BC1696" s="393" t="b">
        <v>0</v>
      </c>
      <c r="BD1696" s="393"/>
      <c r="BE1696" s="392"/>
      <c r="BF1696" s="394">
        <v>4</v>
      </c>
      <c r="BG1696" s="394">
        <v>1</v>
      </c>
      <c r="BH1696" s="394">
        <v>8</v>
      </c>
      <c r="BI1696" s="394">
        <v>10</v>
      </c>
      <c r="BJ1696" s="394">
        <v>6</v>
      </c>
      <c r="BK1696" s="394"/>
      <c r="BL1696" s="444" t="s">
        <v>6981</v>
      </c>
      <c r="BM1696" s="392"/>
      <c r="BN1696" s="393"/>
      <c r="BO1696" s="393"/>
      <c r="BP1696" s="399"/>
      <c r="BQ1696" s="400"/>
      <c r="BR1696" s="401"/>
      <c r="BS1696" s="399"/>
      <c r="BT1696" s="394"/>
      <c r="BU1696" s="417"/>
      <c r="BV1696" s="399"/>
      <c r="BW1696" s="393" t="s">
        <v>3117</v>
      </c>
      <c r="BX1696" s="392"/>
      <c r="BY1696" s="393"/>
      <c r="BZ1696" s="393"/>
      <c r="CA1696" s="441"/>
      <c r="CB1696" s="400"/>
      <c r="CC1696" s="398"/>
      <c r="CD1696" s="398"/>
      <c r="CE1696" s="398"/>
      <c r="CF1696" s="398"/>
      <c r="CG1696" s="398"/>
      <c r="CH1696" s="398"/>
      <c r="CI1696" s="398"/>
      <c r="CJ1696" s="398">
        <v>2.125</v>
      </c>
      <c r="CK1696" s="398">
        <v>9.4280000000000008</v>
      </c>
      <c r="CL1696" s="398">
        <v>16.731000000000002</v>
      </c>
      <c r="CM1696" s="398">
        <v>24.033999999999999</v>
      </c>
      <c r="CN1696" s="398">
        <v>31.337</v>
      </c>
      <c r="CO1696" s="398">
        <v>38.64</v>
      </c>
      <c r="CP1696" s="398">
        <v>45.94</v>
      </c>
      <c r="CQ1696" s="398"/>
      <c r="CR1696" s="398"/>
      <c r="CS1696" s="398"/>
      <c r="CT1696" s="398"/>
      <c r="CU1696" s="398"/>
      <c r="CV1696" s="398"/>
      <c r="CW1696" s="398"/>
      <c r="CX1696" s="398"/>
      <c r="CY1696" s="398"/>
      <c r="CZ1696" s="398"/>
      <c r="DA1696" s="398"/>
      <c r="DB1696" s="398"/>
      <c r="DC1696" s="398"/>
      <c r="DD1696" s="398"/>
      <c r="DE1696" s="393"/>
      <c r="DF1696" s="393"/>
      <c r="DG1696" s="393"/>
      <c r="DH1696" s="393"/>
      <c r="DI1696" s="393"/>
      <c r="DJ1696" s="393"/>
      <c r="DK1696" s="897"/>
    </row>
    <row r="1697" spans="1:115" ht="51" x14ac:dyDescent="0.2">
      <c r="A1697" s="295">
        <v>1693</v>
      </c>
      <c r="B1697" s="390" t="s">
        <v>8156</v>
      </c>
      <c r="C1697" s="390"/>
      <c r="D1697" s="391" t="s">
        <v>8157</v>
      </c>
      <c r="E1697" s="705" t="s">
        <v>8158</v>
      </c>
      <c r="F1697" s="393" t="s">
        <v>1375</v>
      </c>
      <c r="G1697" s="393" t="s">
        <v>1668</v>
      </c>
      <c r="H1697" s="393" t="s">
        <v>983</v>
      </c>
      <c r="I1697" s="392"/>
      <c r="J1697" s="392"/>
      <c r="K1697" s="428" t="s">
        <v>2192</v>
      </c>
      <c r="L1697" s="428" t="s">
        <v>5917</v>
      </c>
      <c r="M1697" s="392"/>
      <c r="N1697" s="475" t="s">
        <v>44</v>
      </c>
      <c r="O1697" s="393" t="s">
        <v>51</v>
      </c>
      <c r="P1697" s="393" t="s">
        <v>51</v>
      </c>
      <c r="Q1697" s="392" t="s">
        <v>976</v>
      </c>
      <c r="R1697" s="428" t="s">
        <v>8159</v>
      </c>
      <c r="S1697" s="428" t="s">
        <v>977</v>
      </c>
      <c r="T1697" s="394">
        <v>1</v>
      </c>
      <c r="U1697" s="395">
        <v>44.091999999999999</v>
      </c>
      <c r="V1697" s="395"/>
      <c r="W1697" s="453"/>
      <c r="X1697" s="394"/>
      <c r="Y1697" s="394">
        <v>7</v>
      </c>
      <c r="Z1697" s="394">
        <v>21</v>
      </c>
      <c r="AA1697" s="395"/>
      <c r="AB1697" s="452">
        <v>42552</v>
      </c>
      <c r="AC1697" s="398">
        <v>0</v>
      </c>
      <c r="AD1697" s="398">
        <v>198.59519999999998</v>
      </c>
      <c r="AE1697" s="475" t="s">
        <v>133</v>
      </c>
      <c r="AF1697" s="417"/>
      <c r="AG1697" s="417"/>
      <c r="AH1697" s="417"/>
      <c r="AI1697" s="394"/>
      <c r="AJ1697" s="453"/>
      <c r="AK1697" s="453"/>
      <c r="AL1697" s="393"/>
      <c r="AM1697" s="393"/>
      <c r="AN1697" s="417"/>
      <c r="AO1697" s="392"/>
      <c r="AP1697" s="392"/>
      <c r="AQ1697" s="392"/>
      <c r="AR1697" s="428" t="s">
        <v>55</v>
      </c>
      <c r="AS1697" s="479">
        <v>41682</v>
      </c>
      <c r="AT1697" s="453"/>
      <c r="AU1697" s="453"/>
      <c r="AV1697" s="453"/>
      <c r="AW1697" s="453"/>
      <c r="AX1697" s="453"/>
      <c r="AY1697" s="453"/>
      <c r="AZ1697" s="452">
        <v>42534</v>
      </c>
      <c r="BA1697" s="393"/>
      <c r="BB1697" s="393"/>
      <c r="BC1697" s="393" t="b">
        <v>0</v>
      </c>
      <c r="BD1697" s="393"/>
      <c r="BE1697" s="392"/>
      <c r="BF1697" s="394">
        <v>4</v>
      </c>
      <c r="BG1697" s="394">
        <v>1</v>
      </c>
      <c r="BH1697" s="394">
        <v>8</v>
      </c>
      <c r="BI1697" s="394">
        <v>10</v>
      </c>
      <c r="BJ1697" s="394">
        <v>6</v>
      </c>
      <c r="BK1697" s="394"/>
      <c r="BL1697" s="444" t="s">
        <v>6981</v>
      </c>
      <c r="BM1697" s="392"/>
      <c r="BN1697" s="393"/>
      <c r="BO1697" s="393"/>
      <c r="BP1697" s="399"/>
      <c r="BQ1697" s="400"/>
      <c r="BR1697" s="401"/>
      <c r="BS1697" s="399"/>
      <c r="BT1697" s="394"/>
      <c r="BU1697" s="417"/>
      <c r="BV1697" s="399"/>
      <c r="BW1697" s="475" t="s">
        <v>3117</v>
      </c>
      <c r="BX1697" s="392"/>
      <c r="BY1697" s="393"/>
      <c r="BZ1697" s="393"/>
      <c r="CA1697" s="441"/>
      <c r="CB1697" s="400"/>
      <c r="CC1697" s="398"/>
      <c r="CD1697" s="398"/>
      <c r="CE1697" s="398"/>
      <c r="CF1697" s="398"/>
      <c r="CG1697" s="398"/>
      <c r="CH1697" s="398"/>
      <c r="CI1697" s="398"/>
      <c r="CJ1697" s="398"/>
      <c r="CK1697" s="398"/>
      <c r="CL1697" s="398">
        <v>7.8419999999999996</v>
      </c>
      <c r="CM1697" s="398">
        <v>39.058999999999997</v>
      </c>
      <c r="CN1697" s="398">
        <v>47.588999999999999</v>
      </c>
      <c r="CO1697" s="398">
        <v>47.588999999999999</v>
      </c>
      <c r="CP1697" s="398">
        <v>47.588999999999999</v>
      </c>
      <c r="CQ1697" s="398">
        <v>47.588999999999999</v>
      </c>
      <c r="CR1697" s="398">
        <v>47.588999999999999</v>
      </c>
      <c r="CS1697" s="398">
        <v>23.795000000000002</v>
      </c>
      <c r="CT1697" s="398"/>
      <c r="CU1697" s="398"/>
      <c r="CV1697" s="398"/>
      <c r="CW1697" s="398"/>
      <c r="CX1697" s="398"/>
      <c r="CY1697" s="398"/>
      <c r="CZ1697" s="398"/>
      <c r="DA1697" s="398"/>
      <c r="DB1697" s="398"/>
      <c r="DC1697" s="398"/>
      <c r="DD1697" s="398"/>
      <c r="DE1697" s="393"/>
      <c r="DF1697" s="393"/>
      <c r="DG1697" s="393"/>
      <c r="DH1697" s="393"/>
      <c r="DI1697" s="393"/>
      <c r="DJ1697" s="393"/>
      <c r="DK1697" s="897"/>
    </row>
    <row r="1698" spans="1:115" ht="76.5" x14ac:dyDescent="0.2">
      <c r="A1698" s="295">
        <v>1694</v>
      </c>
      <c r="B1698" s="390" t="s">
        <v>5924</v>
      </c>
      <c r="C1698" s="424" t="s">
        <v>7871</v>
      </c>
      <c r="D1698" s="435">
        <v>10182</v>
      </c>
      <c r="E1698" s="705" t="s">
        <v>5925</v>
      </c>
      <c r="F1698" s="393" t="s">
        <v>1375</v>
      </c>
      <c r="G1698" s="393" t="s">
        <v>998</v>
      </c>
      <c r="H1698" s="393" t="s">
        <v>504</v>
      </c>
      <c r="I1698" s="392" t="s">
        <v>1059</v>
      </c>
      <c r="J1698" s="392" t="s">
        <v>504</v>
      </c>
      <c r="K1698" s="392"/>
      <c r="L1698" s="392" t="s">
        <v>5926</v>
      </c>
      <c r="M1698" s="392" t="s">
        <v>5927</v>
      </c>
      <c r="N1698" s="393" t="s">
        <v>44</v>
      </c>
      <c r="O1698" s="393" t="s">
        <v>51</v>
      </c>
      <c r="P1698" s="393" t="s">
        <v>51</v>
      </c>
      <c r="Q1698" s="392" t="s">
        <v>976</v>
      </c>
      <c r="R1698" s="392"/>
      <c r="S1698" s="392" t="s">
        <v>977</v>
      </c>
      <c r="T1698" s="394">
        <v>25</v>
      </c>
      <c r="U1698" s="395">
        <v>975.40800000000036</v>
      </c>
      <c r="V1698" s="395"/>
      <c r="W1698" s="452">
        <v>41685</v>
      </c>
      <c r="X1698" s="394">
        <v>28</v>
      </c>
      <c r="Y1698" s="394"/>
      <c r="Z1698" s="394"/>
      <c r="AA1698" s="395"/>
      <c r="AB1698" s="453"/>
      <c r="AC1698" s="398">
        <v>0</v>
      </c>
      <c r="AD1698" s="398">
        <v>3623.5961835616463</v>
      </c>
      <c r="AE1698" s="393" t="s">
        <v>47</v>
      </c>
      <c r="AF1698" s="417"/>
      <c r="AG1698" s="417"/>
      <c r="AH1698" s="417">
        <v>235.21099999999996</v>
      </c>
      <c r="AI1698" s="394"/>
      <c r="AJ1698" s="453"/>
      <c r="AK1698" s="453"/>
      <c r="AL1698" s="393"/>
      <c r="AM1698" s="393"/>
      <c r="AN1698" s="417"/>
      <c r="AO1698" s="428" t="s">
        <v>9372</v>
      </c>
      <c r="AP1698" s="428" t="s">
        <v>8398</v>
      </c>
      <c r="AQ1698" s="392"/>
      <c r="AR1698" s="392" t="s">
        <v>55</v>
      </c>
      <c r="AS1698" s="479">
        <v>41685</v>
      </c>
      <c r="AT1698" s="453"/>
      <c r="AU1698" s="453"/>
      <c r="AV1698" s="453">
        <v>42095</v>
      </c>
      <c r="AW1698" s="453">
        <v>42229</v>
      </c>
      <c r="AX1698" s="453">
        <v>42322</v>
      </c>
      <c r="AY1698" s="453">
        <v>42229</v>
      </c>
      <c r="AZ1698" s="453"/>
      <c r="BA1698" s="393"/>
      <c r="BB1698" s="393" t="s">
        <v>3116</v>
      </c>
      <c r="BC1698" s="393" t="b">
        <v>0</v>
      </c>
      <c r="BD1698" s="393" t="s">
        <v>3147</v>
      </c>
      <c r="BE1698" s="392"/>
      <c r="BF1698" s="394">
        <v>4</v>
      </c>
      <c r="BG1698" s="394">
        <v>1</v>
      </c>
      <c r="BH1698" s="394">
        <v>6</v>
      </c>
      <c r="BI1698" s="394">
        <v>9</v>
      </c>
      <c r="BJ1698" s="394"/>
      <c r="BK1698" s="394"/>
      <c r="BL1698" s="444" t="s">
        <v>6981</v>
      </c>
      <c r="BM1698" s="392"/>
      <c r="BN1698" s="393"/>
      <c r="BO1698" s="393"/>
      <c r="BP1698" s="399"/>
      <c r="BQ1698" s="400"/>
      <c r="BR1698" s="401"/>
      <c r="BS1698" s="399">
        <v>0</v>
      </c>
      <c r="BT1698" s="394"/>
      <c r="BU1698" s="417"/>
      <c r="BV1698" s="399"/>
      <c r="BW1698" s="393"/>
      <c r="BX1698" s="392"/>
      <c r="BY1698" s="475" t="s">
        <v>7227</v>
      </c>
      <c r="BZ1698" s="475" t="s">
        <v>3165</v>
      </c>
      <c r="CA1698" s="441"/>
      <c r="CB1698" s="400"/>
      <c r="CC1698" s="398"/>
      <c r="CD1698" s="398"/>
      <c r="CE1698" s="398"/>
      <c r="CF1698" s="398"/>
      <c r="CG1698" s="398"/>
      <c r="CH1698" s="398"/>
      <c r="CI1698" s="398"/>
      <c r="CJ1698" s="398"/>
      <c r="CK1698" s="398"/>
      <c r="CL1698" s="398"/>
      <c r="CM1698" s="398"/>
      <c r="CN1698" s="398"/>
      <c r="CO1698" s="398"/>
      <c r="CP1698" s="398"/>
      <c r="CQ1698" s="398"/>
      <c r="CR1698" s="398"/>
      <c r="CS1698" s="398"/>
      <c r="CT1698" s="398"/>
      <c r="CU1698" s="398"/>
      <c r="CV1698" s="398"/>
      <c r="CW1698" s="398"/>
      <c r="CX1698" s="398"/>
      <c r="CY1698" s="398"/>
      <c r="CZ1698" s="398"/>
      <c r="DA1698" s="398"/>
      <c r="DB1698" s="398"/>
      <c r="DC1698" s="398"/>
      <c r="DD1698" s="398"/>
      <c r="DE1698" s="393"/>
      <c r="DF1698" s="393"/>
      <c r="DG1698" s="393"/>
      <c r="DH1698" s="393"/>
      <c r="DI1698" s="393"/>
      <c r="DJ1698" s="393"/>
      <c r="DK1698" s="896" t="s">
        <v>9706</v>
      </c>
    </row>
    <row r="1699" spans="1:115" ht="38.25" x14ac:dyDescent="0.2">
      <c r="A1699" s="295">
        <v>1695</v>
      </c>
      <c r="B1699" s="390" t="s">
        <v>5928</v>
      </c>
      <c r="C1699" s="390"/>
      <c r="D1699" s="436" t="s">
        <v>7317</v>
      </c>
      <c r="E1699" s="704" t="s">
        <v>5929</v>
      </c>
      <c r="F1699" s="393" t="s">
        <v>1375</v>
      </c>
      <c r="G1699" s="393" t="s">
        <v>998</v>
      </c>
      <c r="H1699" s="393" t="s">
        <v>504</v>
      </c>
      <c r="I1699" s="392"/>
      <c r="J1699" s="392"/>
      <c r="K1699" s="392" t="s">
        <v>5627</v>
      </c>
      <c r="L1699" s="392" t="s">
        <v>5926</v>
      </c>
      <c r="M1699" s="392"/>
      <c r="N1699" s="393" t="s">
        <v>44</v>
      </c>
      <c r="O1699" s="393" t="s">
        <v>51</v>
      </c>
      <c r="P1699" s="393" t="s">
        <v>51</v>
      </c>
      <c r="Q1699" s="392" t="s">
        <v>976</v>
      </c>
      <c r="R1699" s="392" t="s">
        <v>5930</v>
      </c>
      <c r="S1699" s="392" t="s">
        <v>977</v>
      </c>
      <c r="T1699" s="394">
        <v>1</v>
      </c>
      <c r="U1699" s="395">
        <v>39.771000000000001</v>
      </c>
      <c r="V1699" s="395"/>
      <c r="W1699" s="453"/>
      <c r="X1699" s="394"/>
      <c r="Y1699" s="394">
        <v>7</v>
      </c>
      <c r="Z1699" s="394">
        <v>21</v>
      </c>
      <c r="AA1699" s="395">
        <v>0</v>
      </c>
      <c r="AB1699" s="452">
        <v>41685</v>
      </c>
      <c r="AC1699" s="398">
        <v>0</v>
      </c>
      <c r="AD1699" s="398">
        <v>273.6026876712329</v>
      </c>
      <c r="AE1699" s="393" t="s">
        <v>47</v>
      </c>
      <c r="AF1699" s="417"/>
      <c r="AG1699" s="417">
        <f>42.523+41.863</f>
        <v>84.385999999999996</v>
      </c>
      <c r="AH1699" s="417">
        <v>84.385999999999996</v>
      </c>
      <c r="AI1699" s="394"/>
      <c r="AJ1699" s="453">
        <v>43096</v>
      </c>
      <c r="AK1699" s="453">
        <v>43131</v>
      </c>
      <c r="AL1699" s="393"/>
      <c r="AM1699" s="393"/>
      <c r="AN1699" s="417"/>
      <c r="AO1699" s="428" t="s">
        <v>9372</v>
      </c>
      <c r="AP1699" s="428" t="s">
        <v>8398</v>
      </c>
      <c r="AQ1699" s="392"/>
      <c r="AR1699" s="392" t="s">
        <v>55</v>
      </c>
      <c r="AS1699" s="479">
        <v>41685</v>
      </c>
      <c r="AT1699" s="453"/>
      <c r="AU1699" s="453"/>
      <c r="AV1699" s="453"/>
      <c r="AW1699" s="453"/>
      <c r="AX1699" s="453"/>
      <c r="AY1699" s="453"/>
      <c r="AZ1699" s="453">
        <v>42229</v>
      </c>
      <c r="BA1699" s="393"/>
      <c r="BB1699" s="393"/>
      <c r="BC1699" s="393" t="b">
        <v>0</v>
      </c>
      <c r="BD1699" s="393"/>
      <c r="BE1699" s="392"/>
      <c r="BF1699" s="394">
        <v>4</v>
      </c>
      <c r="BG1699" s="394">
        <v>1</v>
      </c>
      <c r="BH1699" s="394">
        <v>6</v>
      </c>
      <c r="BI1699" s="394">
        <v>9</v>
      </c>
      <c r="BJ1699" s="394"/>
      <c r="BK1699" s="394"/>
      <c r="BL1699" s="444" t="s">
        <v>6981</v>
      </c>
      <c r="BM1699" s="392"/>
      <c r="BN1699" s="393"/>
      <c r="BO1699" s="393"/>
      <c r="BP1699" s="399"/>
      <c r="BQ1699" s="400"/>
      <c r="BR1699" s="401"/>
      <c r="BS1699" s="399"/>
      <c r="BT1699" s="394"/>
      <c r="BU1699" s="417"/>
      <c r="BV1699" s="399"/>
      <c r="BW1699" s="393" t="s">
        <v>3117</v>
      </c>
      <c r="BX1699" s="392"/>
      <c r="BY1699" s="475" t="s">
        <v>7227</v>
      </c>
      <c r="BZ1699" s="475" t="s">
        <v>3165</v>
      </c>
      <c r="CA1699" s="441"/>
      <c r="CB1699" s="400"/>
      <c r="CC1699" s="398"/>
      <c r="CD1699" s="398"/>
      <c r="CE1699" s="398"/>
      <c r="CF1699" s="398"/>
      <c r="CG1699" s="398"/>
      <c r="CH1699" s="398"/>
      <c r="CI1699" s="398"/>
      <c r="CJ1699" s="398">
        <v>21.414999999999999</v>
      </c>
      <c r="CK1699" s="398">
        <v>42.83</v>
      </c>
      <c r="CL1699" s="398">
        <v>42.83</v>
      </c>
      <c r="CM1699" s="398">
        <v>42.83</v>
      </c>
      <c r="CN1699" s="398">
        <v>42.83</v>
      </c>
      <c r="CO1699" s="398">
        <v>42.83</v>
      </c>
      <c r="CP1699" s="398">
        <v>42.83</v>
      </c>
      <c r="CQ1699" s="398"/>
      <c r="CR1699" s="398"/>
      <c r="CS1699" s="398"/>
      <c r="CT1699" s="398"/>
      <c r="CU1699" s="398"/>
      <c r="CV1699" s="398"/>
      <c r="CW1699" s="398"/>
      <c r="CX1699" s="398"/>
      <c r="CY1699" s="398"/>
      <c r="CZ1699" s="398"/>
      <c r="DA1699" s="398"/>
      <c r="DB1699" s="398"/>
      <c r="DC1699" s="398"/>
      <c r="DD1699" s="398"/>
      <c r="DE1699" s="393"/>
      <c r="DF1699" s="393"/>
      <c r="DG1699" s="393"/>
      <c r="DH1699" s="393"/>
      <c r="DI1699" s="393"/>
      <c r="DJ1699" s="393"/>
      <c r="DK1699" s="897"/>
    </row>
    <row r="1700" spans="1:115" ht="25.5" x14ac:dyDescent="0.2">
      <c r="A1700" s="295">
        <v>1696</v>
      </c>
      <c r="B1700" s="390" t="s">
        <v>8361</v>
      </c>
      <c r="C1700" s="390"/>
      <c r="D1700" s="436" t="s">
        <v>8362</v>
      </c>
      <c r="E1700" s="705" t="s">
        <v>8371</v>
      </c>
      <c r="F1700" s="393" t="s">
        <v>1375</v>
      </c>
      <c r="G1700" s="393" t="s">
        <v>998</v>
      </c>
      <c r="H1700" s="393" t="s">
        <v>504</v>
      </c>
      <c r="I1700" s="392"/>
      <c r="J1700" s="392"/>
      <c r="K1700" s="392" t="s">
        <v>5627</v>
      </c>
      <c r="L1700" s="392" t="s">
        <v>5926</v>
      </c>
      <c r="M1700" s="392"/>
      <c r="N1700" s="393" t="s">
        <v>44</v>
      </c>
      <c r="O1700" s="393" t="s">
        <v>51</v>
      </c>
      <c r="P1700" s="393" t="s">
        <v>51</v>
      </c>
      <c r="Q1700" s="392" t="s">
        <v>976</v>
      </c>
      <c r="R1700" s="428" t="s">
        <v>8376</v>
      </c>
      <c r="S1700" s="392" t="s">
        <v>977</v>
      </c>
      <c r="T1700" s="394">
        <v>1</v>
      </c>
      <c r="U1700" s="395">
        <v>39.771000000000001</v>
      </c>
      <c r="V1700" s="395"/>
      <c r="W1700" s="453"/>
      <c r="X1700" s="394"/>
      <c r="Y1700" s="394">
        <v>7</v>
      </c>
      <c r="Z1700" s="394">
        <v>21</v>
      </c>
      <c r="AA1700" s="395">
        <v>0</v>
      </c>
      <c r="AB1700" s="452">
        <v>42634</v>
      </c>
      <c r="AC1700" s="398">
        <v>0</v>
      </c>
      <c r="AD1700" s="398">
        <v>170.19808767123288</v>
      </c>
      <c r="AE1700" s="393" t="s">
        <v>47</v>
      </c>
      <c r="AF1700" s="417"/>
      <c r="AG1700" s="417">
        <f>8.775+36.563</f>
        <v>45.338000000000001</v>
      </c>
      <c r="AH1700" s="417">
        <v>45.338000000000001</v>
      </c>
      <c r="AI1700" s="394"/>
      <c r="AJ1700" s="453">
        <v>43096</v>
      </c>
      <c r="AK1700" s="453">
        <v>43131</v>
      </c>
      <c r="AL1700" s="393"/>
      <c r="AM1700" s="393"/>
      <c r="AN1700" s="417"/>
      <c r="AO1700" s="428" t="s">
        <v>9372</v>
      </c>
      <c r="AP1700" s="428"/>
      <c r="AQ1700" s="392"/>
      <c r="AR1700" s="392" t="s">
        <v>55</v>
      </c>
      <c r="AS1700" s="479">
        <v>41685</v>
      </c>
      <c r="AT1700" s="453"/>
      <c r="AU1700" s="453"/>
      <c r="AV1700" s="453"/>
      <c r="AW1700" s="453"/>
      <c r="AX1700" s="453"/>
      <c r="AY1700" s="453"/>
      <c r="AZ1700" s="453">
        <v>42658</v>
      </c>
      <c r="BA1700" s="393"/>
      <c r="BB1700" s="393"/>
      <c r="BC1700" s="393" t="b">
        <v>0</v>
      </c>
      <c r="BD1700" s="393"/>
      <c r="BE1700" s="392"/>
      <c r="BF1700" s="394">
        <v>4</v>
      </c>
      <c r="BG1700" s="394">
        <v>1</v>
      </c>
      <c r="BH1700" s="394">
        <v>6</v>
      </c>
      <c r="BI1700" s="394">
        <v>9</v>
      </c>
      <c r="BJ1700" s="394"/>
      <c r="BK1700" s="394"/>
      <c r="BL1700" s="444" t="s">
        <v>6981</v>
      </c>
      <c r="BM1700" s="392"/>
      <c r="BN1700" s="393"/>
      <c r="BO1700" s="393"/>
      <c r="BP1700" s="399"/>
      <c r="BQ1700" s="400"/>
      <c r="BR1700" s="401"/>
      <c r="BS1700" s="399"/>
      <c r="BT1700" s="394"/>
      <c r="BU1700" s="417"/>
      <c r="BV1700" s="399"/>
      <c r="BW1700" s="475" t="s">
        <v>3117</v>
      </c>
      <c r="BX1700" s="392"/>
      <c r="BY1700" s="475" t="s">
        <v>7227</v>
      </c>
      <c r="BZ1700" s="475" t="s">
        <v>3165</v>
      </c>
      <c r="CA1700" s="441"/>
      <c r="CB1700" s="400"/>
      <c r="CC1700" s="398"/>
      <c r="CD1700" s="398"/>
      <c r="CE1700" s="398"/>
      <c r="CF1700" s="398"/>
      <c r="CG1700" s="398"/>
      <c r="CH1700" s="398"/>
      <c r="CI1700" s="398"/>
      <c r="CJ1700" s="398"/>
      <c r="CK1700" s="398"/>
      <c r="CL1700" s="398">
        <v>21.414999999999999</v>
      </c>
      <c r="CM1700" s="398">
        <v>42.83</v>
      </c>
      <c r="CN1700" s="398">
        <v>42.83</v>
      </c>
      <c r="CO1700" s="398">
        <v>42.83</v>
      </c>
      <c r="CP1700" s="398">
        <v>42.83</v>
      </c>
      <c r="CQ1700" s="398">
        <v>42.83</v>
      </c>
      <c r="CR1700" s="398">
        <v>42.83</v>
      </c>
      <c r="CS1700" s="398"/>
      <c r="CT1700" s="398"/>
      <c r="CU1700" s="398"/>
      <c r="CV1700" s="398"/>
      <c r="CW1700" s="398"/>
      <c r="CX1700" s="398"/>
      <c r="CY1700" s="398"/>
      <c r="CZ1700" s="398"/>
      <c r="DA1700" s="398"/>
      <c r="DB1700" s="398"/>
      <c r="DC1700" s="398"/>
      <c r="DD1700" s="398"/>
      <c r="DE1700" s="393"/>
      <c r="DF1700" s="393"/>
      <c r="DG1700" s="393"/>
      <c r="DH1700" s="393"/>
      <c r="DI1700" s="393"/>
      <c r="DJ1700" s="393"/>
      <c r="DK1700" s="897"/>
    </row>
    <row r="1701" spans="1:115" ht="25.5" x14ac:dyDescent="0.2">
      <c r="A1701" s="295">
        <v>1697</v>
      </c>
      <c r="B1701" s="390" t="s">
        <v>8363</v>
      </c>
      <c r="C1701" s="390"/>
      <c r="D1701" s="436" t="s">
        <v>8364</v>
      </c>
      <c r="E1701" s="705" t="s">
        <v>8372</v>
      </c>
      <c r="F1701" s="393" t="s">
        <v>1375</v>
      </c>
      <c r="G1701" s="393" t="s">
        <v>998</v>
      </c>
      <c r="H1701" s="393" t="s">
        <v>504</v>
      </c>
      <c r="I1701" s="392"/>
      <c r="J1701" s="392"/>
      <c r="K1701" s="392" t="s">
        <v>5627</v>
      </c>
      <c r="L1701" s="392" t="s">
        <v>5926</v>
      </c>
      <c r="M1701" s="392"/>
      <c r="N1701" s="393" t="s">
        <v>44</v>
      </c>
      <c r="O1701" s="393" t="s">
        <v>51</v>
      </c>
      <c r="P1701" s="393" t="s">
        <v>51</v>
      </c>
      <c r="Q1701" s="392" t="s">
        <v>976</v>
      </c>
      <c r="R1701" s="428" t="s">
        <v>8376</v>
      </c>
      <c r="S1701" s="392" t="s">
        <v>977</v>
      </c>
      <c r="T1701" s="394">
        <v>1</v>
      </c>
      <c r="U1701" s="395">
        <v>39.771000000000001</v>
      </c>
      <c r="V1701" s="395"/>
      <c r="W1701" s="453"/>
      <c r="X1701" s="394"/>
      <c r="Y1701" s="394">
        <v>7</v>
      </c>
      <c r="Z1701" s="394">
        <v>21</v>
      </c>
      <c r="AA1701" s="395">
        <v>0</v>
      </c>
      <c r="AB1701" s="452">
        <v>42634</v>
      </c>
      <c r="AC1701" s="398">
        <v>0</v>
      </c>
      <c r="AD1701" s="398">
        <v>170.19808767123288</v>
      </c>
      <c r="AE1701" s="393" t="s">
        <v>47</v>
      </c>
      <c r="AF1701" s="417"/>
      <c r="AG1701" s="417">
        <f>1.069+26.273</f>
        <v>27.341999999999999</v>
      </c>
      <c r="AH1701" s="417">
        <v>27.341999999999999</v>
      </c>
      <c r="AI1701" s="394"/>
      <c r="AJ1701" s="453">
        <v>43096</v>
      </c>
      <c r="AK1701" s="453">
        <v>43131</v>
      </c>
      <c r="AL1701" s="393"/>
      <c r="AM1701" s="393"/>
      <c r="AN1701" s="417"/>
      <c r="AO1701" s="428" t="s">
        <v>9372</v>
      </c>
      <c r="AP1701" s="428"/>
      <c r="AQ1701" s="392"/>
      <c r="AR1701" s="392" t="s">
        <v>55</v>
      </c>
      <c r="AS1701" s="479">
        <v>41685</v>
      </c>
      <c r="AT1701" s="453"/>
      <c r="AU1701" s="453"/>
      <c r="AV1701" s="453"/>
      <c r="AW1701" s="453"/>
      <c r="AX1701" s="453"/>
      <c r="AY1701" s="453"/>
      <c r="AZ1701" s="453">
        <v>42658</v>
      </c>
      <c r="BA1701" s="393"/>
      <c r="BB1701" s="393"/>
      <c r="BC1701" s="393" t="b">
        <v>0</v>
      </c>
      <c r="BD1701" s="393"/>
      <c r="BE1701" s="392"/>
      <c r="BF1701" s="394">
        <v>4</v>
      </c>
      <c r="BG1701" s="394">
        <v>1</v>
      </c>
      <c r="BH1701" s="394">
        <v>6</v>
      </c>
      <c r="BI1701" s="394">
        <v>9</v>
      </c>
      <c r="BJ1701" s="394"/>
      <c r="BK1701" s="394"/>
      <c r="BL1701" s="444" t="s">
        <v>6981</v>
      </c>
      <c r="BM1701" s="392"/>
      <c r="BN1701" s="393"/>
      <c r="BO1701" s="393"/>
      <c r="BP1701" s="399"/>
      <c r="BQ1701" s="400"/>
      <c r="BR1701" s="401"/>
      <c r="BS1701" s="399"/>
      <c r="BT1701" s="394"/>
      <c r="BU1701" s="417"/>
      <c r="BV1701" s="399"/>
      <c r="BW1701" s="393" t="s">
        <v>3117</v>
      </c>
      <c r="BX1701" s="392"/>
      <c r="BY1701" s="475" t="s">
        <v>7227</v>
      </c>
      <c r="BZ1701" s="475" t="s">
        <v>3165</v>
      </c>
      <c r="CA1701" s="441"/>
      <c r="CB1701" s="400"/>
      <c r="CC1701" s="398"/>
      <c r="CD1701" s="398"/>
      <c r="CE1701" s="398"/>
      <c r="CF1701" s="398"/>
      <c r="CG1701" s="398"/>
      <c r="CH1701" s="398"/>
      <c r="CI1701" s="398"/>
      <c r="CJ1701" s="398"/>
      <c r="CK1701" s="398"/>
      <c r="CL1701" s="398">
        <v>21.414999999999999</v>
      </c>
      <c r="CM1701" s="398">
        <v>42.83</v>
      </c>
      <c r="CN1701" s="398">
        <v>42.83</v>
      </c>
      <c r="CO1701" s="398">
        <v>42.83</v>
      </c>
      <c r="CP1701" s="398">
        <v>42.83</v>
      </c>
      <c r="CQ1701" s="398">
        <v>42.83</v>
      </c>
      <c r="CR1701" s="398">
        <v>42.83</v>
      </c>
      <c r="CS1701" s="398"/>
      <c r="CT1701" s="398"/>
      <c r="CU1701" s="398"/>
      <c r="CV1701" s="398"/>
      <c r="CW1701" s="398"/>
      <c r="CX1701" s="398"/>
      <c r="CY1701" s="398"/>
      <c r="CZ1701" s="398"/>
      <c r="DA1701" s="398"/>
      <c r="DB1701" s="398"/>
      <c r="DC1701" s="398"/>
      <c r="DD1701" s="398"/>
      <c r="DE1701" s="393"/>
      <c r="DF1701" s="393"/>
      <c r="DG1701" s="393"/>
      <c r="DH1701" s="393"/>
      <c r="DI1701" s="393"/>
      <c r="DJ1701" s="393"/>
      <c r="DK1701" s="897"/>
    </row>
    <row r="1702" spans="1:115" ht="25.5" x14ac:dyDescent="0.2">
      <c r="A1702" s="295">
        <v>1698</v>
      </c>
      <c r="B1702" s="390" t="s">
        <v>8365</v>
      </c>
      <c r="C1702" s="390"/>
      <c r="D1702" s="436" t="s">
        <v>8366</v>
      </c>
      <c r="E1702" s="705" t="s">
        <v>8373</v>
      </c>
      <c r="F1702" s="393" t="s">
        <v>1375</v>
      </c>
      <c r="G1702" s="393" t="s">
        <v>998</v>
      </c>
      <c r="H1702" s="393" t="s">
        <v>504</v>
      </c>
      <c r="I1702" s="392"/>
      <c r="J1702" s="392"/>
      <c r="K1702" s="392" t="s">
        <v>5627</v>
      </c>
      <c r="L1702" s="392" t="s">
        <v>5926</v>
      </c>
      <c r="M1702" s="392"/>
      <c r="N1702" s="393" t="s">
        <v>44</v>
      </c>
      <c r="O1702" s="393" t="s">
        <v>51</v>
      </c>
      <c r="P1702" s="393" t="s">
        <v>51</v>
      </c>
      <c r="Q1702" s="392" t="s">
        <v>976</v>
      </c>
      <c r="R1702" s="428" t="s">
        <v>8376</v>
      </c>
      <c r="S1702" s="392" t="s">
        <v>977</v>
      </c>
      <c r="T1702" s="394">
        <v>1</v>
      </c>
      <c r="U1702" s="395">
        <v>39.771000000000001</v>
      </c>
      <c r="V1702" s="395"/>
      <c r="W1702" s="453"/>
      <c r="X1702" s="394"/>
      <c r="Y1702" s="394">
        <v>7</v>
      </c>
      <c r="Z1702" s="394">
        <v>21</v>
      </c>
      <c r="AA1702" s="395">
        <v>0</v>
      </c>
      <c r="AB1702" s="452">
        <v>42634</v>
      </c>
      <c r="AC1702" s="398">
        <v>0</v>
      </c>
      <c r="AD1702" s="398">
        <v>170.19808767123288</v>
      </c>
      <c r="AE1702" s="393" t="s">
        <v>47</v>
      </c>
      <c r="AF1702" s="417"/>
      <c r="AG1702" s="417">
        <f>2.664+41.126</f>
        <v>43.79</v>
      </c>
      <c r="AH1702" s="417">
        <v>43.79</v>
      </c>
      <c r="AI1702" s="394"/>
      <c r="AJ1702" s="453">
        <v>43096</v>
      </c>
      <c r="AK1702" s="453">
        <v>43131</v>
      </c>
      <c r="AL1702" s="393"/>
      <c r="AM1702" s="393"/>
      <c r="AN1702" s="417"/>
      <c r="AO1702" s="428" t="s">
        <v>9372</v>
      </c>
      <c r="AP1702" s="428"/>
      <c r="AQ1702" s="392"/>
      <c r="AR1702" s="392" t="s">
        <v>55</v>
      </c>
      <c r="AS1702" s="479">
        <v>41685</v>
      </c>
      <c r="AT1702" s="453"/>
      <c r="AU1702" s="453"/>
      <c r="AV1702" s="453"/>
      <c r="AW1702" s="453"/>
      <c r="AX1702" s="453"/>
      <c r="AY1702" s="453"/>
      <c r="AZ1702" s="453">
        <v>42658</v>
      </c>
      <c r="BA1702" s="393"/>
      <c r="BB1702" s="393"/>
      <c r="BC1702" s="393" t="b">
        <v>0</v>
      </c>
      <c r="BD1702" s="393"/>
      <c r="BE1702" s="392"/>
      <c r="BF1702" s="394">
        <v>4</v>
      </c>
      <c r="BG1702" s="394">
        <v>1</v>
      </c>
      <c r="BH1702" s="394">
        <v>6</v>
      </c>
      <c r="BI1702" s="394">
        <v>9</v>
      </c>
      <c r="BJ1702" s="394"/>
      <c r="BK1702" s="394"/>
      <c r="BL1702" s="444" t="s">
        <v>6981</v>
      </c>
      <c r="BM1702" s="392"/>
      <c r="BN1702" s="393"/>
      <c r="BO1702" s="393"/>
      <c r="BP1702" s="399"/>
      <c r="BQ1702" s="400"/>
      <c r="BR1702" s="401"/>
      <c r="BS1702" s="399"/>
      <c r="BT1702" s="394"/>
      <c r="BU1702" s="417"/>
      <c r="BV1702" s="399"/>
      <c r="BW1702" s="475" t="s">
        <v>3117</v>
      </c>
      <c r="BX1702" s="392"/>
      <c r="BY1702" s="475" t="s">
        <v>7227</v>
      </c>
      <c r="BZ1702" s="475" t="s">
        <v>3165</v>
      </c>
      <c r="CA1702" s="441"/>
      <c r="CB1702" s="400"/>
      <c r="CC1702" s="398"/>
      <c r="CD1702" s="398"/>
      <c r="CE1702" s="398"/>
      <c r="CF1702" s="398"/>
      <c r="CG1702" s="398"/>
      <c r="CH1702" s="398"/>
      <c r="CI1702" s="398"/>
      <c r="CJ1702" s="398"/>
      <c r="CK1702" s="398"/>
      <c r="CL1702" s="398">
        <v>21.414999999999999</v>
      </c>
      <c r="CM1702" s="398">
        <v>42.83</v>
      </c>
      <c r="CN1702" s="398">
        <v>42.83</v>
      </c>
      <c r="CO1702" s="398">
        <v>42.83</v>
      </c>
      <c r="CP1702" s="398">
        <v>42.83</v>
      </c>
      <c r="CQ1702" s="398">
        <v>42.83</v>
      </c>
      <c r="CR1702" s="398">
        <v>42.83</v>
      </c>
      <c r="CS1702" s="398"/>
      <c r="CT1702" s="398"/>
      <c r="CU1702" s="398"/>
      <c r="CV1702" s="398"/>
      <c r="CW1702" s="398"/>
      <c r="CX1702" s="398"/>
      <c r="CY1702" s="398"/>
      <c r="CZ1702" s="398"/>
      <c r="DA1702" s="398"/>
      <c r="DB1702" s="398"/>
      <c r="DC1702" s="398"/>
      <c r="DD1702" s="398"/>
      <c r="DE1702" s="393"/>
      <c r="DF1702" s="393"/>
      <c r="DG1702" s="393"/>
      <c r="DH1702" s="393"/>
      <c r="DI1702" s="393"/>
      <c r="DJ1702" s="393"/>
      <c r="DK1702" s="897"/>
    </row>
    <row r="1703" spans="1:115" ht="25.5" x14ac:dyDescent="0.2">
      <c r="A1703" s="295">
        <v>1699</v>
      </c>
      <c r="B1703" s="390" t="s">
        <v>8367</v>
      </c>
      <c r="C1703" s="390"/>
      <c r="D1703" s="436" t="s">
        <v>8368</v>
      </c>
      <c r="E1703" s="705" t="s">
        <v>8374</v>
      </c>
      <c r="F1703" s="393" t="s">
        <v>1375</v>
      </c>
      <c r="G1703" s="393" t="s">
        <v>998</v>
      </c>
      <c r="H1703" s="393" t="s">
        <v>504</v>
      </c>
      <c r="I1703" s="392"/>
      <c r="J1703" s="392"/>
      <c r="K1703" s="392" t="s">
        <v>5627</v>
      </c>
      <c r="L1703" s="392" t="s">
        <v>5926</v>
      </c>
      <c r="M1703" s="392"/>
      <c r="N1703" s="393" t="s">
        <v>44</v>
      </c>
      <c r="O1703" s="393" t="s">
        <v>51</v>
      </c>
      <c r="P1703" s="393" t="s">
        <v>51</v>
      </c>
      <c r="Q1703" s="392" t="s">
        <v>976</v>
      </c>
      <c r="R1703" s="428" t="s">
        <v>8376</v>
      </c>
      <c r="S1703" s="392" t="s">
        <v>977</v>
      </c>
      <c r="T1703" s="394">
        <v>1</v>
      </c>
      <c r="U1703" s="395">
        <v>39.771000000000001</v>
      </c>
      <c r="V1703" s="395"/>
      <c r="W1703" s="453"/>
      <c r="X1703" s="394"/>
      <c r="Y1703" s="394">
        <v>7</v>
      </c>
      <c r="Z1703" s="394">
        <v>21</v>
      </c>
      <c r="AA1703" s="395">
        <v>0</v>
      </c>
      <c r="AB1703" s="452">
        <v>42634</v>
      </c>
      <c r="AC1703" s="398">
        <v>0</v>
      </c>
      <c r="AD1703" s="398">
        <v>170.19808767123288</v>
      </c>
      <c r="AE1703" s="393" t="s">
        <v>47</v>
      </c>
      <c r="AF1703" s="417"/>
      <c r="AG1703" s="417">
        <f>30.176</f>
        <v>30.175999999999998</v>
      </c>
      <c r="AH1703" s="417">
        <v>30.175999999999998</v>
      </c>
      <c r="AI1703" s="394"/>
      <c r="AJ1703" s="453">
        <v>43357</v>
      </c>
      <c r="AK1703" s="453">
        <v>43131</v>
      </c>
      <c r="AL1703" s="393"/>
      <c r="AM1703" s="393"/>
      <c r="AN1703" s="417"/>
      <c r="AO1703" s="428" t="s">
        <v>9372</v>
      </c>
      <c r="AP1703" s="428"/>
      <c r="AQ1703" s="392"/>
      <c r="AR1703" s="392" t="s">
        <v>55</v>
      </c>
      <c r="AS1703" s="479">
        <v>41685</v>
      </c>
      <c r="AT1703" s="453"/>
      <c r="AU1703" s="453"/>
      <c r="AV1703" s="453"/>
      <c r="AW1703" s="453"/>
      <c r="AX1703" s="453"/>
      <c r="AY1703" s="453"/>
      <c r="AZ1703" s="453">
        <v>42658</v>
      </c>
      <c r="BA1703" s="393"/>
      <c r="BB1703" s="393"/>
      <c r="BC1703" s="393" t="b">
        <v>0</v>
      </c>
      <c r="BD1703" s="393"/>
      <c r="BE1703" s="392"/>
      <c r="BF1703" s="394">
        <v>4</v>
      </c>
      <c r="BG1703" s="394">
        <v>1</v>
      </c>
      <c r="BH1703" s="394">
        <v>6</v>
      </c>
      <c r="BI1703" s="394">
        <v>9</v>
      </c>
      <c r="BJ1703" s="394"/>
      <c r="BK1703" s="394"/>
      <c r="BL1703" s="444" t="s">
        <v>6981</v>
      </c>
      <c r="BM1703" s="392"/>
      <c r="BN1703" s="393"/>
      <c r="BO1703" s="393"/>
      <c r="BP1703" s="399"/>
      <c r="BQ1703" s="400"/>
      <c r="BR1703" s="401"/>
      <c r="BS1703" s="399"/>
      <c r="BT1703" s="394"/>
      <c r="BU1703" s="417"/>
      <c r="BV1703" s="399"/>
      <c r="BW1703" s="393" t="s">
        <v>3117</v>
      </c>
      <c r="BX1703" s="392"/>
      <c r="BY1703" s="475" t="s">
        <v>7227</v>
      </c>
      <c r="BZ1703" s="475" t="s">
        <v>3165</v>
      </c>
      <c r="CA1703" s="441"/>
      <c r="CB1703" s="400"/>
      <c r="CC1703" s="398"/>
      <c r="CD1703" s="398"/>
      <c r="CE1703" s="398"/>
      <c r="CF1703" s="398"/>
      <c r="CG1703" s="398"/>
      <c r="CH1703" s="398"/>
      <c r="CI1703" s="398"/>
      <c r="CJ1703" s="398"/>
      <c r="CK1703" s="398"/>
      <c r="CL1703" s="398">
        <v>21.414999999999999</v>
      </c>
      <c r="CM1703" s="398">
        <v>42.83</v>
      </c>
      <c r="CN1703" s="398">
        <v>42.83</v>
      </c>
      <c r="CO1703" s="398">
        <v>42.83</v>
      </c>
      <c r="CP1703" s="398">
        <v>42.83</v>
      </c>
      <c r="CQ1703" s="398">
        <v>42.83</v>
      </c>
      <c r="CR1703" s="398">
        <v>42.83</v>
      </c>
      <c r="CS1703" s="398"/>
      <c r="CT1703" s="398"/>
      <c r="CU1703" s="398"/>
      <c r="CV1703" s="398"/>
      <c r="CW1703" s="398"/>
      <c r="CX1703" s="398"/>
      <c r="CY1703" s="398"/>
      <c r="CZ1703" s="398"/>
      <c r="DA1703" s="398"/>
      <c r="DB1703" s="398"/>
      <c r="DC1703" s="398"/>
      <c r="DD1703" s="398"/>
      <c r="DE1703" s="393"/>
      <c r="DF1703" s="393"/>
      <c r="DG1703" s="393"/>
      <c r="DH1703" s="393"/>
      <c r="DI1703" s="393"/>
      <c r="DJ1703" s="393"/>
      <c r="DK1703" s="897"/>
    </row>
    <row r="1704" spans="1:115" ht="25.5" x14ac:dyDescent="0.2">
      <c r="A1704" s="295">
        <v>1700</v>
      </c>
      <c r="B1704" s="390" t="s">
        <v>8369</v>
      </c>
      <c r="C1704" s="390"/>
      <c r="D1704" s="436" t="s">
        <v>8370</v>
      </c>
      <c r="E1704" s="705" t="s">
        <v>8375</v>
      </c>
      <c r="F1704" s="393" t="s">
        <v>1375</v>
      </c>
      <c r="G1704" s="393" t="s">
        <v>998</v>
      </c>
      <c r="H1704" s="393" t="s">
        <v>504</v>
      </c>
      <c r="I1704" s="392"/>
      <c r="J1704" s="392"/>
      <c r="K1704" s="392" t="s">
        <v>5627</v>
      </c>
      <c r="L1704" s="392" t="s">
        <v>5926</v>
      </c>
      <c r="M1704" s="392"/>
      <c r="N1704" s="393" t="s">
        <v>44</v>
      </c>
      <c r="O1704" s="393" t="s">
        <v>51</v>
      </c>
      <c r="P1704" s="393" t="s">
        <v>51</v>
      </c>
      <c r="Q1704" s="392" t="s">
        <v>976</v>
      </c>
      <c r="R1704" s="428" t="s">
        <v>8376</v>
      </c>
      <c r="S1704" s="392" t="s">
        <v>977</v>
      </c>
      <c r="T1704" s="394">
        <v>1</v>
      </c>
      <c r="U1704" s="395">
        <v>39.771000000000001</v>
      </c>
      <c r="V1704" s="395"/>
      <c r="W1704" s="453"/>
      <c r="X1704" s="394"/>
      <c r="Y1704" s="394">
        <v>7</v>
      </c>
      <c r="Z1704" s="394">
        <v>21</v>
      </c>
      <c r="AA1704" s="395">
        <v>0</v>
      </c>
      <c r="AB1704" s="452">
        <v>42634</v>
      </c>
      <c r="AC1704" s="398">
        <v>0</v>
      </c>
      <c r="AD1704" s="398">
        <v>170.19808767123288</v>
      </c>
      <c r="AE1704" s="393" t="s">
        <v>47</v>
      </c>
      <c r="AF1704" s="417"/>
      <c r="AG1704" s="417">
        <f>2.487</f>
        <v>2.4870000000000001</v>
      </c>
      <c r="AH1704" s="417">
        <v>2.4870000000000001</v>
      </c>
      <c r="AI1704" s="394"/>
      <c r="AJ1704" s="453">
        <v>43357</v>
      </c>
      <c r="AK1704" s="453">
        <v>43131</v>
      </c>
      <c r="AL1704" s="393"/>
      <c r="AM1704" s="393"/>
      <c r="AN1704" s="417"/>
      <c r="AO1704" s="428" t="s">
        <v>9372</v>
      </c>
      <c r="AP1704" s="428"/>
      <c r="AQ1704" s="392"/>
      <c r="AR1704" s="392" t="s">
        <v>55</v>
      </c>
      <c r="AS1704" s="479">
        <v>41685</v>
      </c>
      <c r="AT1704" s="453"/>
      <c r="AU1704" s="453"/>
      <c r="AV1704" s="453"/>
      <c r="AW1704" s="453"/>
      <c r="AX1704" s="453"/>
      <c r="AY1704" s="453"/>
      <c r="AZ1704" s="453">
        <v>42658</v>
      </c>
      <c r="BA1704" s="393"/>
      <c r="BB1704" s="393"/>
      <c r="BC1704" s="393" t="b">
        <v>0</v>
      </c>
      <c r="BD1704" s="393"/>
      <c r="BE1704" s="392"/>
      <c r="BF1704" s="394">
        <v>4</v>
      </c>
      <c r="BG1704" s="394">
        <v>1</v>
      </c>
      <c r="BH1704" s="394">
        <v>6</v>
      </c>
      <c r="BI1704" s="394">
        <v>9</v>
      </c>
      <c r="BJ1704" s="394"/>
      <c r="BK1704" s="394"/>
      <c r="BL1704" s="444" t="s">
        <v>6981</v>
      </c>
      <c r="BM1704" s="392"/>
      <c r="BN1704" s="393"/>
      <c r="BO1704" s="393"/>
      <c r="BP1704" s="399"/>
      <c r="BQ1704" s="400"/>
      <c r="BR1704" s="401"/>
      <c r="BS1704" s="399"/>
      <c r="BT1704" s="394"/>
      <c r="BU1704" s="417"/>
      <c r="BV1704" s="399"/>
      <c r="BW1704" s="475" t="s">
        <v>3117</v>
      </c>
      <c r="BX1704" s="392"/>
      <c r="BY1704" s="475" t="s">
        <v>7227</v>
      </c>
      <c r="BZ1704" s="475" t="s">
        <v>3165</v>
      </c>
      <c r="CA1704" s="441"/>
      <c r="CB1704" s="400"/>
      <c r="CC1704" s="398"/>
      <c r="CD1704" s="398"/>
      <c r="CE1704" s="398"/>
      <c r="CF1704" s="398"/>
      <c r="CG1704" s="398"/>
      <c r="CH1704" s="398"/>
      <c r="CI1704" s="398"/>
      <c r="CJ1704" s="398"/>
      <c r="CK1704" s="398"/>
      <c r="CL1704" s="398">
        <v>21.414999999999999</v>
      </c>
      <c r="CM1704" s="398">
        <v>42.83</v>
      </c>
      <c r="CN1704" s="398">
        <v>42.83</v>
      </c>
      <c r="CO1704" s="398">
        <v>42.83</v>
      </c>
      <c r="CP1704" s="398">
        <v>42.83</v>
      </c>
      <c r="CQ1704" s="398">
        <v>42.83</v>
      </c>
      <c r="CR1704" s="398">
        <v>42.83</v>
      </c>
      <c r="CS1704" s="398"/>
      <c r="CT1704" s="398"/>
      <c r="CU1704" s="398"/>
      <c r="CV1704" s="398"/>
      <c r="CW1704" s="398"/>
      <c r="CX1704" s="398"/>
      <c r="CY1704" s="398"/>
      <c r="CZ1704" s="398"/>
      <c r="DA1704" s="398"/>
      <c r="DB1704" s="398"/>
      <c r="DC1704" s="398"/>
      <c r="DD1704" s="398"/>
      <c r="DE1704" s="393"/>
      <c r="DF1704" s="393"/>
      <c r="DG1704" s="393"/>
      <c r="DH1704" s="393"/>
      <c r="DI1704" s="393"/>
      <c r="DJ1704" s="393"/>
      <c r="DK1704" s="897"/>
    </row>
    <row r="1705" spans="1:115" ht="25.5" x14ac:dyDescent="0.2">
      <c r="A1705" s="295">
        <v>1701</v>
      </c>
      <c r="B1705" s="390" t="s">
        <v>9135</v>
      </c>
      <c r="C1705" s="390"/>
      <c r="D1705" s="436" t="s">
        <v>9136</v>
      </c>
      <c r="E1705" s="705" t="s">
        <v>9174</v>
      </c>
      <c r="F1705" s="393" t="s">
        <v>1375</v>
      </c>
      <c r="G1705" s="393" t="s">
        <v>998</v>
      </c>
      <c r="H1705" s="393" t="s">
        <v>504</v>
      </c>
      <c r="I1705" s="392"/>
      <c r="J1705" s="392"/>
      <c r="K1705" s="392" t="s">
        <v>5627</v>
      </c>
      <c r="L1705" s="392" t="s">
        <v>5926</v>
      </c>
      <c r="M1705" s="392"/>
      <c r="N1705" s="393" t="s">
        <v>44</v>
      </c>
      <c r="O1705" s="393" t="s">
        <v>51</v>
      </c>
      <c r="P1705" s="393" t="s">
        <v>51</v>
      </c>
      <c r="Q1705" s="392" t="s">
        <v>976</v>
      </c>
      <c r="R1705" s="428" t="s">
        <v>9175</v>
      </c>
      <c r="S1705" s="392" t="s">
        <v>977</v>
      </c>
      <c r="T1705" s="394">
        <v>1</v>
      </c>
      <c r="U1705" s="395">
        <v>38.777999999999999</v>
      </c>
      <c r="V1705" s="395"/>
      <c r="W1705" s="453"/>
      <c r="X1705" s="394"/>
      <c r="Y1705" s="394">
        <v>7</v>
      </c>
      <c r="Z1705" s="394">
        <v>21</v>
      </c>
      <c r="AA1705" s="395">
        <v>0</v>
      </c>
      <c r="AB1705" s="452">
        <v>42958</v>
      </c>
      <c r="AC1705" s="398">
        <v>0</v>
      </c>
      <c r="AD1705" s="398">
        <v>131.52647671232876</v>
      </c>
      <c r="AE1705" s="393" t="s">
        <v>47</v>
      </c>
      <c r="AF1705" s="417"/>
      <c r="AG1705" s="417">
        <f>1.692</f>
        <v>1.6919999999999999</v>
      </c>
      <c r="AH1705" s="417">
        <v>1.6919999999999999</v>
      </c>
      <c r="AI1705" s="394"/>
      <c r="AJ1705" s="453">
        <v>43357</v>
      </c>
      <c r="AK1705" s="453">
        <v>43131</v>
      </c>
      <c r="AL1705" s="393"/>
      <c r="AM1705" s="393"/>
      <c r="AN1705" s="417"/>
      <c r="AO1705" s="428" t="s">
        <v>9372</v>
      </c>
      <c r="AP1705" s="428"/>
      <c r="AQ1705" s="392"/>
      <c r="AR1705" s="392" t="s">
        <v>55</v>
      </c>
      <c r="AS1705" s="479">
        <v>41685</v>
      </c>
      <c r="AT1705" s="453"/>
      <c r="AU1705" s="453"/>
      <c r="AV1705" s="453"/>
      <c r="AW1705" s="453"/>
      <c r="AX1705" s="453"/>
      <c r="AY1705" s="453"/>
      <c r="AZ1705" s="453">
        <v>42958</v>
      </c>
      <c r="BA1705" s="393"/>
      <c r="BB1705" s="393"/>
      <c r="BC1705" s="393" t="b">
        <v>0</v>
      </c>
      <c r="BD1705" s="393"/>
      <c r="BE1705" s="392"/>
      <c r="BF1705" s="394">
        <v>4</v>
      </c>
      <c r="BG1705" s="394">
        <v>1</v>
      </c>
      <c r="BH1705" s="394">
        <v>6</v>
      </c>
      <c r="BI1705" s="394">
        <v>9</v>
      </c>
      <c r="BJ1705" s="394"/>
      <c r="BK1705" s="394"/>
      <c r="BL1705" s="444" t="s">
        <v>6981</v>
      </c>
      <c r="BM1705" s="392"/>
      <c r="BN1705" s="393"/>
      <c r="BO1705" s="393"/>
      <c r="BP1705" s="399"/>
      <c r="BQ1705" s="400"/>
      <c r="BR1705" s="401"/>
      <c r="BS1705" s="399"/>
      <c r="BT1705" s="394"/>
      <c r="BU1705" s="417"/>
      <c r="BV1705" s="399"/>
      <c r="BW1705" s="475" t="s">
        <v>3117</v>
      </c>
      <c r="BX1705" s="392"/>
      <c r="BY1705" s="475" t="s">
        <v>7227</v>
      </c>
      <c r="BZ1705" s="475" t="s">
        <v>3165</v>
      </c>
      <c r="CA1705" s="441"/>
      <c r="CB1705" s="400"/>
      <c r="CC1705" s="398"/>
      <c r="CD1705" s="398"/>
      <c r="CE1705" s="398"/>
      <c r="CF1705" s="398"/>
      <c r="CG1705" s="398"/>
      <c r="CH1705" s="398"/>
      <c r="CI1705" s="398"/>
      <c r="CJ1705" s="398"/>
      <c r="CK1705" s="398"/>
      <c r="CL1705" s="398"/>
      <c r="CM1705" s="398">
        <v>20.88</v>
      </c>
      <c r="CN1705" s="398">
        <v>41.761000000000003</v>
      </c>
      <c r="CO1705" s="398">
        <v>41.761000000000003</v>
      </c>
      <c r="CP1705" s="398">
        <v>41.761000000000003</v>
      </c>
      <c r="CQ1705" s="398">
        <v>41.761000000000003</v>
      </c>
      <c r="CR1705" s="398">
        <v>41.761000000000003</v>
      </c>
      <c r="CS1705" s="398">
        <v>41.761000000000003</v>
      </c>
      <c r="CT1705" s="398"/>
      <c r="CU1705" s="398"/>
      <c r="CV1705" s="398"/>
      <c r="CW1705" s="398"/>
      <c r="CX1705" s="398"/>
      <c r="CY1705" s="398"/>
      <c r="CZ1705" s="398"/>
      <c r="DA1705" s="398"/>
      <c r="DB1705" s="398"/>
      <c r="DC1705" s="398"/>
      <c r="DD1705" s="398"/>
      <c r="DE1705" s="393"/>
      <c r="DF1705" s="393"/>
      <c r="DG1705" s="393"/>
      <c r="DH1705" s="393"/>
      <c r="DI1705" s="393"/>
      <c r="DJ1705" s="393"/>
      <c r="DK1705" s="897"/>
    </row>
    <row r="1706" spans="1:115" ht="25.5" x14ac:dyDescent="0.2">
      <c r="A1706" s="295">
        <v>1702</v>
      </c>
      <c r="B1706" s="390" t="s">
        <v>9137</v>
      </c>
      <c r="C1706" s="390"/>
      <c r="D1706" s="436" t="s">
        <v>9138</v>
      </c>
      <c r="E1706" s="709" t="s">
        <v>9176</v>
      </c>
      <c r="F1706" s="393" t="s">
        <v>1375</v>
      </c>
      <c r="G1706" s="393" t="s">
        <v>998</v>
      </c>
      <c r="H1706" s="393" t="s">
        <v>504</v>
      </c>
      <c r="I1706" s="392"/>
      <c r="J1706" s="392"/>
      <c r="K1706" s="392" t="s">
        <v>5627</v>
      </c>
      <c r="L1706" s="392" t="s">
        <v>5926</v>
      </c>
      <c r="M1706" s="563"/>
      <c r="N1706" s="393" t="s">
        <v>44</v>
      </c>
      <c r="O1706" s="393" t="s">
        <v>51</v>
      </c>
      <c r="P1706" s="393" t="s">
        <v>51</v>
      </c>
      <c r="Q1706" s="392" t="s">
        <v>976</v>
      </c>
      <c r="R1706" s="560" t="s">
        <v>9177</v>
      </c>
      <c r="S1706" s="392" t="s">
        <v>977</v>
      </c>
      <c r="T1706" s="394">
        <v>1</v>
      </c>
      <c r="U1706" s="565">
        <v>38.777999999999999</v>
      </c>
      <c r="V1706" s="565"/>
      <c r="W1706" s="566"/>
      <c r="X1706" s="564"/>
      <c r="Y1706" s="564">
        <v>7</v>
      </c>
      <c r="Z1706" s="564">
        <v>21</v>
      </c>
      <c r="AA1706" s="565">
        <v>0</v>
      </c>
      <c r="AB1706" s="567">
        <v>42958</v>
      </c>
      <c r="AC1706" s="568">
        <v>0</v>
      </c>
      <c r="AD1706" s="568">
        <v>131.52647671232876</v>
      </c>
      <c r="AE1706" s="393" t="s">
        <v>47</v>
      </c>
      <c r="AF1706" s="569"/>
      <c r="AG1706" s="569"/>
      <c r="AH1706" s="569"/>
      <c r="AI1706" s="564"/>
      <c r="AJ1706" s="453"/>
      <c r="AK1706" s="453"/>
      <c r="AL1706" s="561"/>
      <c r="AM1706" s="561"/>
      <c r="AN1706" s="569"/>
      <c r="AO1706" s="392"/>
      <c r="AP1706" s="428"/>
      <c r="AQ1706" s="563"/>
      <c r="AR1706" s="392" t="s">
        <v>55</v>
      </c>
      <c r="AS1706" s="479">
        <v>41685</v>
      </c>
      <c r="AT1706" s="566"/>
      <c r="AU1706" s="566"/>
      <c r="AV1706" s="566"/>
      <c r="AW1706" s="566"/>
      <c r="AX1706" s="566"/>
      <c r="AY1706" s="566"/>
      <c r="AZ1706" s="566">
        <v>42958</v>
      </c>
      <c r="BA1706" s="561"/>
      <c r="BB1706" s="561"/>
      <c r="BC1706" s="393" t="b">
        <v>0</v>
      </c>
      <c r="BD1706" s="561"/>
      <c r="BE1706" s="563"/>
      <c r="BF1706" s="394">
        <v>4</v>
      </c>
      <c r="BG1706" s="394">
        <v>1</v>
      </c>
      <c r="BH1706" s="394">
        <v>6</v>
      </c>
      <c r="BI1706" s="394">
        <v>9</v>
      </c>
      <c r="BJ1706" s="394"/>
      <c r="BK1706" s="394"/>
      <c r="BL1706" s="444" t="s">
        <v>6981</v>
      </c>
      <c r="BM1706" s="563"/>
      <c r="BN1706" s="561"/>
      <c r="BO1706" s="561"/>
      <c r="BP1706" s="571"/>
      <c r="BQ1706" s="572"/>
      <c r="BR1706" s="573"/>
      <c r="BS1706" s="571"/>
      <c r="BT1706" s="564"/>
      <c r="BU1706" s="569"/>
      <c r="BV1706" s="571"/>
      <c r="BW1706" s="562" t="s">
        <v>3117</v>
      </c>
      <c r="BX1706" s="563"/>
      <c r="BY1706" s="475" t="s">
        <v>7227</v>
      </c>
      <c r="BZ1706" s="475" t="s">
        <v>3165</v>
      </c>
      <c r="CA1706" s="574"/>
      <c r="CB1706" s="572"/>
      <c r="CC1706" s="568"/>
      <c r="CD1706" s="568"/>
      <c r="CE1706" s="568"/>
      <c r="CF1706" s="568"/>
      <c r="CG1706" s="568"/>
      <c r="CH1706" s="568"/>
      <c r="CI1706" s="568"/>
      <c r="CJ1706" s="568"/>
      <c r="CK1706" s="568"/>
      <c r="CL1706" s="568"/>
      <c r="CM1706" s="568">
        <v>20.88</v>
      </c>
      <c r="CN1706" s="568">
        <v>41.761000000000003</v>
      </c>
      <c r="CO1706" s="568">
        <v>41.761000000000003</v>
      </c>
      <c r="CP1706" s="568">
        <v>41.761000000000003</v>
      </c>
      <c r="CQ1706" s="568">
        <v>41.761000000000003</v>
      </c>
      <c r="CR1706" s="568">
        <v>41.761000000000003</v>
      </c>
      <c r="CS1706" s="568">
        <v>41.761000000000003</v>
      </c>
      <c r="CT1706" s="568"/>
      <c r="CU1706" s="568"/>
      <c r="CV1706" s="568"/>
      <c r="CW1706" s="568"/>
      <c r="CX1706" s="568"/>
      <c r="CY1706" s="568"/>
      <c r="CZ1706" s="568"/>
      <c r="DA1706" s="568"/>
      <c r="DB1706" s="568"/>
      <c r="DC1706" s="568"/>
      <c r="DD1706" s="568"/>
      <c r="DE1706" s="561"/>
      <c r="DF1706" s="561"/>
      <c r="DG1706" s="561"/>
      <c r="DH1706" s="561"/>
      <c r="DI1706" s="561"/>
      <c r="DJ1706" s="561"/>
      <c r="DK1706" s="897"/>
    </row>
    <row r="1707" spans="1:115" ht="25.5" x14ac:dyDescent="0.2">
      <c r="A1707" s="295">
        <v>1703</v>
      </c>
      <c r="B1707" s="390" t="s">
        <v>9139</v>
      </c>
      <c r="C1707" s="390"/>
      <c r="D1707" s="436" t="s">
        <v>9140</v>
      </c>
      <c r="E1707" s="709" t="s">
        <v>9178</v>
      </c>
      <c r="F1707" s="393" t="s">
        <v>1375</v>
      </c>
      <c r="G1707" s="393" t="s">
        <v>998</v>
      </c>
      <c r="H1707" s="393" t="s">
        <v>504</v>
      </c>
      <c r="I1707" s="392"/>
      <c r="J1707" s="392"/>
      <c r="K1707" s="392" t="s">
        <v>5627</v>
      </c>
      <c r="L1707" s="392" t="s">
        <v>5926</v>
      </c>
      <c r="M1707" s="563"/>
      <c r="N1707" s="393" t="s">
        <v>44</v>
      </c>
      <c r="O1707" s="393" t="s">
        <v>51</v>
      </c>
      <c r="P1707" s="393" t="s">
        <v>51</v>
      </c>
      <c r="Q1707" s="392" t="s">
        <v>976</v>
      </c>
      <c r="R1707" s="560" t="s">
        <v>8376</v>
      </c>
      <c r="S1707" s="392" t="s">
        <v>977</v>
      </c>
      <c r="T1707" s="394">
        <v>1</v>
      </c>
      <c r="U1707" s="565">
        <v>38.777999999999999</v>
      </c>
      <c r="V1707" s="565"/>
      <c r="W1707" s="566"/>
      <c r="X1707" s="564"/>
      <c r="Y1707" s="564">
        <v>7</v>
      </c>
      <c r="Z1707" s="564">
        <v>21</v>
      </c>
      <c r="AA1707" s="565">
        <v>0</v>
      </c>
      <c r="AB1707" s="567">
        <v>42958</v>
      </c>
      <c r="AC1707" s="568">
        <v>0</v>
      </c>
      <c r="AD1707" s="568">
        <v>131.52647671232876</v>
      </c>
      <c r="AE1707" s="393" t="s">
        <v>47</v>
      </c>
      <c r="AF1707" s="569"/>
      <c r="AG1707" s="569"/>
      <c r="AH1707" s="569"/>
      <c r="AI1707" s="564"/>
      <c r="AJ1707" s="453"/>
      <c r="AK1707" s="453"/>
      <c r="AL1707" s="561"/>
      <c r="AM1707" s="561"/>
      <c r="AN1707" s="569"/>
      <c r="AO1707" s="392"/>
      <c r="AP1707" s="428"/>
      <c r="AQ1707" s="563"/>
      <c r="AR1707" s="392" t="s">
        <v>55</v>
      </c>
      <c r="AS1707" s="479">
        <v>41685</v>
      </c>
      <c r="AT1707" s="566"/>
      <c r="AU1707" s="566"/>
      <c r="AV1707" s="566"/>
      <c r="AW1707" s="566"/>
      <c r="AX1707" s="566"/>
      <c r="AY1707" s="566"/>
      <c r="AZ1707" s="566">
        <v>42958</v>
      </c>
      <c r="BA1707" s="561"/>
      <c r="BB1707" s="561"/>
      <c r="BC1707" s="393" t="b">
        <v>0</v>
      </c>
      <c r="BD1707" s="561"/>
      <c r="BE1707" s="563"/>
      <c r="BF1707" s="394">
        <v>4</v>
      </c>
      <c r="BG1707" s="394">
        <v>1</v>
      </c>
      <c r="BH1707" s="394">
        <v>6</v>
      </c>
      <c r="BI1707" s="394">
        <v>9</v>
      </c>
      <c r="BJ1707" s="394"/>
      <c r="BK1707" s="394"/>
      <c r="BL1707" s="444" t="s">
        <v>6981</v>
      </c>
      <c r="BM1707" s="563"/>
      <c r="BN1707" s="561"/>
      <c r="BO1707" s="561"/>
      <c r="BP1707" s="571"/>
      <c r="BQ1707" s="572"/>
      <c r="BR1707" s="573"/>
      <c r="BS1707" s="571"/>
      <c r="BT1707" s="564"/>
      <c r="BU1707" s="569"/>
      <c r="BV1707" s="571"/>
      <c r="BW1707" s="475" t="s">
        <v>3117</v>
      </c>
      <c r="BX1707" s="563"/>
      <c r="BY1707" s="475" t="s">
        <v>7227</v>
      </c>
      <c r="BZ1707" s="475" t="s">
        <v>3165</v>
      </c>
      <c r="CA1707" s="574"/>
      <c r="CB1707" s="572"/>
      <c r="CC1707" s="568"/>
      <c r="CD1707" s="568"/>
      <c r="CE1707" s="568"/>
      <c r="CF1707" s="568"/>
      <c r="CG1707" s="568"/>
      <c r="CH1707" s="568"/>
      <c r="CI1707" s="568"/>
      <c r="CJ1707" s="568"/>
      <c r="CK1707" s="568"/>
      <c r="CL1707" s="568"/>
      <c r="CM1707" s="568">
        <v>20.88</v>
      </c>
      <c r="CN1707" s="568">
        <v>41.761000000000003</v>
      </c>
      <c r="CO1707" s="568">
        <v>41.761000000000003</v>
      </c>
      <c r="CP1707" s="568">
        <v>41.761000000000003</v>
      </c>
      <c r="CQ1707" s="568">
        <v>41.761000000000003</v>
      </c>
      <c r="CR1707" s="568">
        <v>41.761000000000003</v>
      </c>
      <c r="CS1707" s="568">
        <v>41.761000000000003</v>
      </c>
      <c r="CT1707" s="568"/>
      <c r="CU1707" s="568"/>
      <c r="CV1707" s="568"/>
      <c r="CW1707" s="568"/>
      <c r="CX1707" s="568"/>
      <c r="CY1707" s="568"/>
      <c r="CZ1707" s="568"/>
      <c r="DA1707" s="568"/>
      <c r="DB1707" s="568"/>
      <c r="DC1707" s="568"/>
      <c r="DD1707" s="568"/>
      <c r="DE1707" s="561"/>
      <c r="DF1707" s="561"/>
      <c r="DG1707" s="561"/>
      <c r="DH1707" s="561"/>
      <c r="DI1707" s="561"/>
      <c r="DJ1707" s="561"/>
      <c r="DK1707" s="897"/>
    </row>
    <row r="1708" spans="1:115" ht="25.5" x14ac:dyDescent="0.2">
      <c r="A1708" s="295">
        <v>1704</v>
      </c>
      <c r="B1708" s="390" t="s">
        <v>9141</v>
      </c>
      <c r="C1708" s="390"/>
      <c r="D1708" s="436" t="s">
        <v>9142</v>
      </c>
      <c r="E1708" s="709" t="s">
        <v>9179</v>
      </c>
      <c r="F1708" s="393" t="s">
        <v>1375</v>
      </c>
      <c r="G1708" s="393" t="s">
        <v>998</v>
      </c>
      <c r="H1708" s="393" t="s">
        <v>504</v>
      </c>
      <c r="I1708" s="392"/>
      <c r="J1708" s="392"/>
      <c r="K1708" s="392" t="s">
        <v>5627</v>
      </c>
      <c r="L1708" s="392" t="s">
        <v>5926</v>
      </c>
      <c r="M1708" s="563"/>
      <c r="N1708" s="393" t="s">
        <v>44</v>
      </c>
      <c r="O1708" s="393" t="s">
        <v>51</v>
      </c>
      <c r="P1708" s="393" t="s">
        <v>51</v>
      </c>
      <c r="Q1708" s="392" t="s">
        <v>976</v>
      </c>
      <c r="R1708" s="560" t="s">
        <v>8376</v>
      </c>
      <c r="S1708" s="392" t="s">
        <v>977</v>
      </c>
      <c r="T1708" s="394">
        <v>1</v>
      </c>
      <c r="U1708" s="565">
        <v>38.777999999999999</v>
      </c>
      <c r="V1708" s="565"/>
      <c r="W1708" s="566"/>
      <c r="X1708" s="564"/>
      <c r="Y1708" s="564">
        <v>7</v>
      </c>
      <c r="Z1708" s="564">
        <v>21</v>
      </c>
      <c r="AA1708" s="565">
        <v>0</v>
      </c>
      <c r="AB1708" s="567">
        <v>42958</v>
      </c>
      <c r="AC1708" s="568">
        <v>0</v>
      </c>
      <c r="AD1708" s="568">
        <v>131.52647671232876</v>
      </c>
      <c r="AE1708" s="393" t="s">
        <v>47</v>
      </c>
      <c r="AF1708" s="569"/>
      <c r="AG1708" s="569"/>
      <c r="AH1708" s="569"/>
      <c r="AI1708" s="564"/>
      <c r="AJ1708" s="453"/>
      <c r="AK1708" s="453"/>
      <c r="AL1708" s="561"/>
      <c r="AM1708" s="561"/>
      <c r="AN1708" s="569"/>
      <c r="AO1708" s="392"/>
      <c r="AP1708" s="428"/>
      <c r="AQ1708" s="563"/>
      <c r="AR1708" s="392" t="s">
        <v>55</v>
      </c>
      <c r="AS1708" s="479">
        <v>41685</v>
      </c>
      <c r="AT1708" s="566"/>
      <c r="AU1708" s="566"/>
      <c r="AV1708" s="566"/>
      <c r="AW1708" s="566"/>
      <c r="AX1708" s="566"/>
      <c r="AY1708" s="566"/>
      <c r="AZ1708" s="566">
        <v>42958</v>
      </c>
      <c r="BA1708" s="561"/>
      <c r="BB1708" s="561"/>
      <c r="BC1708" s="393" t="b">
        <v>0</v>
      </c>
      <c r="BD1708" s="561"/>
      <c r="BE1708" s="563"/>
      <c r="BF1708" s="394">
        <v>4</v>
      </c>
      <c r="BG1708" s="394">
        <v>1</v>
      </c>
      <c r="BH1708" s="394">
        <v>6</v>
      </c>
      <c r="BI1708" s="394">
        <v>9</v>
      </c>
      <c r="BJ1708" s="394"/>
      <c r="BK1708" s="394"/>
      <c r="BL1708" s="444" t="s">
        <v>6981</v>
      </c>
      <c r="BM1708" s="563"/>
      <c r="BN1708" s="561"/>
      <c r="BO1708" s="561"/>
      <c r="BP1708" s="571"/>
      <c r="BQ1708" s="572"/>
      <c r="BR1708" s="573"/>
      <c r="BS1708" s="571"/>
      <c r="BT1708" s="564"/>
      <c r="BU1708" s="569"/>
      <c r="BV1708" s="571"/>
      <c r="BW1708" s="562" t="s">
        <v>3117</v>
      </c>
      <c r="BX1708" s="563"/>
      <c r="BY1708" s="475" t="s">
        <v>7227</v>
      </c>
      <c r="BZ1708" s="475" t="s">
        <v>3165</v>
      </c>
      <c r="CA1708" s="574"/>
      <c r="CB1708" s="572"/>
      <c r="CC1708" s="568"/>
      <c r="CD1708" s="568"/>
      <c r="CE1708" s="568"/>
      <c r="CF1708" s="568"/>
      <c r="CG1708" s="568"/>
      <c r="CH1708" s="568"/>
      <c r="CI1708" s="568"/>
      <c r="CJ1708" s="568"/>
      <c r="CK1708" s="568"/>
      <c r="CL1708" s="568"/>
      <c r="CM1708" s="568">
        <v>20.88</v>
      </c>
      <c r="CN1708" s="568">
        <v>41.761000000000003</v>
      </c>
      <c r="CO1708" s="568">
        <v>41.761000000000003</v>
      </c>
      <c r="CP1708" s="568">
        <v>41.761000000000003</v>
      </c>
      <c r="CQ1708" s="568">
        <v>41.761000000000003</v>
      </c>
      <c r="CR1708" s="568">
        <v>41.761000000000003</v>
      </c>
      <c r="CS1708" s="568">
        <v>41.761000000000003</v>
      </c>
      <c r="CT1708" s="568"/>
      <c r="CU1708" s="568"/>
      <c r="CV1708" s="568"/>
      <c r="CW1708" s="568"/>
      <c r="CX1708" s="568"/>
      <c r="CY1708" s="568"/>
      <c r="CZ1708" s="568"/>
      <c r="DA1708" s="568"/>
      <c r="DB1708" s="568"/>
      <c r="DC1708" s="568"/>
      <c r="DD1708" s="568"/>
      <c r="DE1708" s="561"/>
      <c r="DF1708" s="561"/>
      <c r="DG1708" s="561"/>
      <c r="DH1708" s="561"/>
      <c r="DI1708" s="561"/>
      <c r="DJ1708" s="561"/>
      <c r="DK1708" s="897"/>
    </row>
    <row r="1709" spans="1:115" ht="25.5" x14ac:dyDescent="0.2">
      <c r="A1709" s="295">
        <v>1705</v>
      </c>
      <c r="B1709" s="390" t="s">
        <v>9143</v>
      </c>
      <c r="C1709" s="390"/>
      <c r="D1709" s="436" t="s">
        <v>9144</v>
      </c>
      <c r="E1709" s="709" t="s">
        <v>9180</v>
      </c>
      <c r="F1709" s="393" t="s">
        <v>1375</v>
      </c>
      <c r="G1709" s="393" t="s">
        <v>998</v>
      </c>
      <c r="H1709" s="393" t="s">
        <v>504</v>
      </c>
      <c r="I1709" s="392"/>
      <c r="J1709" s="392"/>
      <c r="K1709" s="392" t="s">
        <v>5627</v>
      </c>
      <c r="L1709" s="392" t="s">
        <v>5926</v>
      </c>
      <c r="M1709" s="563"/>
      <c r="N1709" s="393" t="s">
        <v>44</v>
      </c>
      <c r="O1709" s="393" t="s">
        <v>51</v>
      </c>
      <c r="P1709" s="393" t="s">
        <v>51</v>
      </c>
      <c r="Q1709" s="392" t="s">
        <v>976</v>
      </c>
      <c r="R1709" s="560" t="s">
        <v>8376</v>
      </c>
      <c r="S1709" s="392" t="s">
        <v>977</v>
      </c>
      <c r="T1709" s="394">
        <v>1</v>
      </c>
      <c r="U1709" s="565">
        <v>38.777999999999999</v>
      </c>
      <c r="V1709" s="565"/>
      <c r="W1709" s="566"/>
      <c r="X1709" s="564"/>
      <c r="Y1709" s="564">
        <v>7</v>
      </c>
      <c r="Z1709" s="564">
        <v>21</v>
      </c>
      <c r="AA1709" s="565">
        <v>0</v>
      </c>
      <c r="AB1709" s="567">
        <v>42958</v>
      </c>
      <c r="AC1709" s="568">
        <v>0</v>
      </c>
      <c r="AD1709" s="568">
        <v>131.52647671232876</v>
      </c>
      <c r="AE1709" s="393" t="s">
        <v>47</v>
      </c>
      <c r="AF1709" s="569"/>
      <c r="AG1709" s="569"/>
      <c r="AH1709" s="569"/>
      <c r="AI1709" s="564"/>
      <c r="AJ1709" s="566"/>
      <c r="AK1709" s="566"/>
      <c r="AL1709" s="561"/>
      <c r="AM1709" s="561"/>
      <c r="AN1709" s="569"/>
      <c r="AO1709" s="563"/>
      <c r="AP1709" s="428"/>
      <c r="AQ1709" s="563"/>
      <c r="AR1709" s="392" t="s">
        <v>55</v>
      </c>
      <c r="AS1709" s="479">
        <v>41685</v>
      </c>
      <c r="AT1709" s="566"/>
      <c r="AU1709" s="566"/>
      <c r="AV1709" s="566"/>
      <c r="AW1709" s="566"/>
      <c r="AX1709" s="566"/>
      <c r="AY1709" s="566"/>
      <c r="AZ1709" s="566">
        <v>42958</v>
      </c>
      <c r="BA1709" s="561"/>
      <c r="BB1709" s="561"/>
      <c r="BC1709" s="393" t="b">
        <v>0</v>
      </c>
      <c r="BD1709" s="561"/>
      <c r="BE1709" s="563"/>
      <c r="BF1709" s="394">
        <v>4</v>
      </c>
      <c r="BG1709" s="394">
        <v>1</v>
      </c>
      <c r="BH1709" s="394">
        <v>6</v>
      </c>
      <c r="BI1709" s="394">
        <v>9</v>
      </c>
      <c r="BJ1709" s="394"/>
      <c r="BK1709" s="394"/>
      <c r="BL1709" s="444" t="s">
        <v>6981</v>
      </c>
      <c r="BM1709" s="563"/>
      <c r="BN1709" s="561"/>
      <c r="BO1709" s="561"/>
      <c r="BP1709" s="571"/>
      <c r="BQ1709" s="572"/>
      <c r="BR1709" s="573"/>
      <c r="BS1709" s="571"/>
      <c r="BT1709" s="564"/>
      <c r="BU1709" s="569"/>
      <c r="BV1709" s="571"/>
      <c r="BW1709" s="475" t="s">
        <v>3117</v>
      </c>
      <c r="BX1709" s="563"/>
      <c r="BY1709" s="475" t="s">
        <v>7227</v>
      </c>
      <c r="BZ1709" s="475" t="s">
        <v>3165</v>
      </c>
      <c r="CA1709" s="574"/>
      <c r="CB1709" s="572"/>
      <c r="CC1709" s="568"/>
      <c r="CD1709" s="568"/>
      <c r="CE1709" s="568"/>
      <c r="CF1709" s="568"/>
      <c r="CG1709" s="568"/>
      <c r="CH1709" s="568"/>
      <c r="CI1709" s="568"/>
      <c r="CJ1709" s="568"/>
      <c r="CK1709" s="568"/>
      <c r="CL1709" s="568"/>
      <c r="CM1709" s="568">
        <v>20.88</v>
      </c>
      <c r="CN1709" s="568">
        <v>41.761000000000003</v>
      </c>
      <c r="CO1709" s="568">
        <v>41.761000000000003</v>
      </c>
      <c r="CP1709" s="568">
        <v>41.761000000000003</v>
      </c>
      <c r="CQ1709" s="568">
        <v>41.761000000000003</v>
      </c>
      <c r="CR1709" s="568">
        <v>41.761000000000003</v>
      </c>
      <c r="CS1709" s="568">
        <v>41.761000000000003</v>
      </c>
      <c r="CT1709" s="568"/>
      <c r="CU1709" s="568"/>
      <c r="CV1709" s="568"/>
      <c r="CW1709" s="568"/>
      <c r="CX1709" s="568"/>
      <c r="CY1709" s="568"/>
      <c r="CZ1709" s="568"/>
      <c r="DA1709" s="568"/>
      <c r="DB1709" s="568"/>
      <c r="DC1709" s="568"/>
      <c r="DD1709" s="568"/>
      <c r="DE1709" s="561"/>
      <c r="DF1709" s="561"/>
      <c r="DG1709" s="561"/>
      <c r="DH1709" s="561"/>
      <c r="DI1709" s="561"/>
      <c r="DJ1709" s="561"/>
      <c r="DK1709" s="897"/>
    </row>
    <row r="1710" spans="1:115" ht="25.5" x14ac:dyDescent="0.2">
      <c r="A1710" s="295">
        <v>1706</v>
      </c>
      <c r="B1710" s="390" t="s">
        <v>9145</v>
      </c>
      <c r="C1710" s="390"/>
      <c r="D1710" s="436" t="s">
        <v>9146</v>
      </c>
      <c r="E1710" s="709" t="s">
        <v>9181</v>
      </c>
      <c r="F1710" s="393" t="s">
        <v>1375</v>
      </c>
      <c r="G1710" s="393" t="s">
        <v>998</v>
      </c>
      <c r="H1710" s="393" t="s">
        <v>504</v>
      </c>
      <c r="I1710" s="392"/>
      <c r="J1710" s="392"/>
      <c r="K1710" s="392" t="s">
        <v>5627</v>
      </c>
      <c r="L1710" s="392" t="s">
        <v>5926</v>
      </c>
      <c r="M1710" s="563"/>
      <c r="N1710" s="393" t="s">
        <v>44</v>
      </c>
      <c r="O1710" s="393" t="s">
        <v>51</v>
      </c>
      <c r="P1710" s="393" t="s">
        <v>51</v>
      </c>
      <c r="Q1710" s="392" t="s">
        <v>976</v>
      </c>
      <c r="R1710" s="560" t="s">
        <v>8376</v>
      </c>
      <c r="S1710" s="392" t="s">
        <v>977</v>
      </c>
      <c r="T1710" s="394">
        <v>1</v>
      </c>
      <c r="U1710" s="565">
        <v>38.777999999999999</v>
      </c>
      <c r="V1710" s="565"/>
      <c r="W1710" s="566"/>
      <c r="X1710" s="564"/>
      <c r="Y1710" s="564">
        <v>7</v>
      </c>
      <c r="Z1710" s="564">
        <v>21</v>
      </c>
      <c r="AA1710" s="565">
        <v>0</v>
      </c>
      <c r="AB1710" s="567">
        <v>42958</v>
      </c>
      <c r="AC1710" s="568">
        <v>0</v>
      </c>
      <c r="AD1710" s="568">
        <v>131.52647671232876</v>
      </c>
      <c r="AE1710" s="393" t="s">
        <v>47</v>
      </c>
      <c r="AF1710" s="569"/>
      <c r="AG1710" s="569"/>
      <c r="AH1710" s="569"/>
      <c r="AI1710" s="564"/>
      <c r="AJ1710" s="566"/>
      <c r="AK1710" s="566"/>
      <c r="AL1710" s="561"/>
      <c r="AM1710" s="561"/>
      <c r="AN1710" s="569"/>
      <c r="AO1710" s="563"/>
      <c r="AP1710" s="428"/>
      <c r="AQ1710" s="563"/>
      <c r="AR1710" s="392" t="s">
        <v>55</v>
      </c>
      <c r="AS1710" s="479">
        <v>41685</v>
      </c>
      <c r="AT1710" s="566"/>
      <c r="AU1710" s="566"/>
      <c r="AV1710" s="566"/>
      <c r="AW1710" s="566"/>
      <c r="AX1710" s="566"/>
      <c r="AY1710" s="566"/>
      <c r="AZ1710" s="566">
        <v>42958</v>
      </c>
      <c r="BA1710" s="561"/>
      <c r="BB1710" s="561"/>
      <c r="BC1710" s="393" t="b">
        <v>0</v>
      </c>
      <c r="BD1710" s="561"/>
      <c r="BE1710" s="563"/>
      <c r="BF1710" s="394">
        <v>4</v>
      </c>
      <c r="BG1710" s="394">
        <v>1</v>
      </c>
      <c r="BH1710" s="394">
        <v>6</v>
      </c>
      <c r="BI1710" s="394">
        <v>9</v>
      </c>
      <c r="BJ1710" s="394"/>
      <c r="BK1710" s="394"/>
      <c r="BL1710" s="444" t="s">
        <v>6981</v>
      </c>
      <c r="BM1710" s="563"/>
      <c r="BN1710" s="561"/>
      <c r="BO1710" s="561"/>
      <c r="BP1710" s="571"/>
      <c r="BQ1710" s="572"/>
      <c r="BR1710" s="573"/>
      <c r="BS1710" s="571"/>
      <c r="BT1710" s="564"/>
      <c r="BU1710" s="569"/>
      <c r="BV1710" s="571"/>
      <c r="BW1710" s="562" t="s">
        <v>3117</v>
      </c>
      <c r="BX1710" s="563"/>
      <c r="BY1710" s="475" t="s">
        <v>7227</v>
      </c>
      <c r="BZ1710" s="475" t="s">
        <v>3165</v>
      </c>
      <c r="CA1710" s="574"/>
      <c r="CB1710" s="572"/>
      <c r="CC1710" s="568"/>
      <c r="CD1710" s="568"/>
      <c r="CE1710" s="568"/>
      <c r="CF1710" s="568"/>
      <c r="CG1710" s="568"/>
      <c r="CH1710" s="568"/>
      <c r="CI1710" s="568"/>
      <c r="CJ1710" s="568"/>
      <c r="CK1710" s="568"/>
      <c r="CL1710" s="568"/>
      <c r="CM1710" s="568">
        <v>20.88</v>
      </c>
      <c r="CN1710" s="568">
        <v>41.761000000000003</v>
      </c>
      <c r="CO1710" s="568">
        <v>41.761000000000003</v>
      </c>
      <c r="CP1710" s="568">
        <v>41.761000000000003</v>
      </c>
      <c r="CQ1710" s="568">
        <v>41.761000000000003</v>
      </c>
      <c r="CR1710" s="568">
        <v>41.761000000000003</v>
      </c>
      <c r="CS1710" s="568">
        <v>41.761000000000003</v>
      </c>
      <c r="CT1710" s="568"/>
      <c r="CU1710" s="568"/>
      <c r="CV1710" s="568"/>
      <c r="CW1710" s="568"/>
      <c r="CX1710" s="568"/>
      <c r="CY1710" s="568"/>
      <c r="CZ1710" s="568"/>
      <c r="DA1710" s="568"/>
      <c r="DB1710" s="568"/>
      <c r="DC1710" s="568"/>
      <c r="DD1710" s="568"/>
      <c r="DE1710" s="561"/>
      <c r="DF1710" s="561"/>
      <c r="DG1710" s="561"/>
      <c r="DH1710" s="561"/>
      <c r="DI1710" s="561"/>
      <c r="DJ1710" s="561"/>
      <c r="DK1710" s="897"/>
    </row>
    <row r="1711" spans="1:115" ht="25.5" x14ac:dyDescent="0.2">
      <c r="A1711" s="295">
        <v>1707</v>
      </c>
      <c r="B1711" s="390" t="s">
        <v>9147</v>
      </c>
      <c r="C1711" s="390"/>
      <c r="D1711" s="436" t="s">
        <v>9148</v>
      </c>
      <c r="E1711" s="709" t="s">
        <v>9182</v>
      </c>
      <c r="F1711" s="393" t="s">
        <v>1375</v>
      </c>
      <c r="G1711" s="393" t="s">
        <v>998</v>
      </c>
      <c r="H1711" s="393" t="s">
        <v>504</v>
      </c>
      <c r="I1711" s="392"/>
      <c r="J1711" s="392"/>
      <c r="K1711" s="392" t="s">
        <v>5627</v>
      </c>
      <c r="L1711" s="392" t="s">
        <v>5926</v>
      </c>
      <c r="M1711" s="563"/>
      <c r="N1711" s="393" t="s">
        <v>44</v>
      </c>
      <c r="O1711" s="393" t="s">
        <v>51</v>
      </c>
      <c r="P1711" s="393" t="s">
        <v>51</v>
      </c>
      <c r="Q1711" s="392" t="s">
        <v>976</v>
      </c>
      <c r="R1711" s="560" t="s">
        <v>8376</v>
      </c>
      <c r="S1711" s="392" t="s">
        <v>977</v>
      </c>
      <c r="T1711" s="394">
        <v>1</v>
      </c>
      <c r="U1711" s="565">
        <v>38.777999999999999</v>
      </c>
      <c r="V1711" s="565"/>
      <c r="W1711" s="566"/>
      <c r="X1711" s="564"/>
      <c r="Y1711" s="564">
        <v>7</v>
      </c>
      <c r="Z1711" s="564">
        <v>21</v>
      </c>
      <c r="AA1711" s="565">
        <v>0</v>
      </c>
      <c r="AB1711" s="567">
        <v>42958</v>
      </c>
      <c r="AC1711" s="568">
        <v>0</v>
      </c>
      <c r="AD1711" s="568">
        <v>131.52647671232876</v>
      </c>
      <c r="AE1711" s="393" t="s">
        <v>47</v>
      </c>
      <c r="AF1711" s="569"/>
      <c r="AG1711" s="569"/>
      <c r="AH1711" s="569"/>
      <c r="AI1711" s="564"/>
      <c r="AJ1711" s="566"/>
      <c r="AK1711" s="566"/>
      <c r="AL1711" s="561"/>
      <c r="AM1711" s="561"/>
      <c r="AN1711" s="569"/>
      <c r="AO1711" s="563"/>
      <c r="AP1711" s="428"/>
      <c r="AQ1711" s="563"/>
      <c r="AR1711" s="392" t="s">
        <v>55</v>
      </c>
      <c r="AS1711" s="479">
        <v>41685</v>
      </c>
      <c r="AT1711" s="566"/>
      <c r="AU1711" s="566"/>
      <c r="AV1711" s="566"/>
      <c r="AW1711" s="566"/>
      <c r="AX1711" s="566"/>
      <c r="AY1711" s="566"/>
      <c r="AZ1711" s="566">
        <v>42958</v>
      </c>
      <c r="BA1711" s="561"/>
      <c r="BB1711" s="561"/>
      <c r="BC1711" s="393" t="b">
        <v>0</v>
      </c>
      <c r="BD1711" s="561"/>
      <c r="BE1711" s="563"/>
      <c r="BF1711" s="394">
        <v>4</v>
      </c>
      <c r="BG1711" s="394">
        <v>1</v>
      </c>
      <c r="BH1711" s="394">
        <v>6</v>
      </c>
      <c r="BI1711" s="394">
        <v>9</v>
      </c>
      <c r="BJ1711" s="394"/>
      <c r="BK1711" s="394"/>
      <c r="BL1711" s="444" t="s">
        <v>6981</v>
      </c>
      <c r="BM1711" s="563"/>
      <c r="BN1711" s="561"/>
      <c r="BO1711" s="561"/>
      <c r="BP1711" s="571"/>
      <c r="BQ1711" s="572"/>
      <c r="BR1711" s="573"/>
      <c r="BS1711" s="571"/>
      <c r="BT1711" s="564"/>
      <c r="BU1711" s="569"/>
      <c r="BV1711" s="571"/>
      <c r="BW1711" s="562" t="s">
        <v>3117</v>
      </c>
      <c r="BX1711" s="563"/>
      <c r="BY1711" s="475" t="s">
        <v>7227</v>
      </c>
      <c r="BZ1711" s="475" t="s">
        <v>3165</v>
      </c>
      <c r="CA1711" s="574"/>
      <c r="CB1711" s="572"/>
      <c r="CC1711" s="568"/>
      <c r="CD1711" s="568"/>
      <c r="CE1711" s="568"/>
      <c r="CF1711" s="568"/>
      <c r="CG1711" s="568"/>
      <c r="CH1711" s="568"/>
      <c r="CI1711" s="568"/>
      <c r="CJ1711" s="568"/>
      <c r="CK1711" s="568"/>
      <c r="CL1711" s="568"/>
      <c r="CM1711" s="568">
        <v>20.88</v>
      </c>
      <c r="CN1711" s="568">
        <v>41.761000000000003</v>
      </c>
      <c r="CO1711" s="568">
        <v>41.761000000000003</v>
      </c>
      <c r="CP1711" s="568">
        <v>41.761000000000003</v>
      </c>
      <c r="CQ1711" s="568">
        <v>41.761000000000003</v>
      </c>
      <c r="CR1711" s="568">
        <v>41.761000000000003</v>
      </c>
      <c r="CS1711" s="568">
        <v>41.761000000000003</v>
      </c>
      <c r="CT1711" s="568"/>
      <c r="CU1711" s="568"/>
      <c r="CV1711" s="568"/>
      <c r="CW1711" s="568"/>
      <c r="CX1711" s="568"/>
      <c r="CY1711" s="568"/>
      <c r="CZ1711" s="568"/>
      <c r="DA1711" s="568"/>
      <c r="DB1711" s="568"/>
      <c r="DC1711" s="568"/>
      <c r="DD1711" s="568"/>
      <c r="DE1711" s="561"/>
      <c r="DF1711" s="561"/>
      <c r="DG1711" s="561"/>
      <c r="DH1711" s="561"/>
      <c r="DI1711" s="561"/>
      <c r="DJ1711" s="561"/>
      <c r="DK1711" s="897"/>
    </row>
    <row r="1712" spans="1:115" ht="25.5" x14ac:dyDescent="0.2">
      <c r="A1712" s="295">
        <v>1708</v>
      </c>
      <c r="B1712" s="390" t="s">
        <v>9149</v>
      </c>
      <c r="C1712" s="390"/>
      <c r="D1712" s="436" t="s">
        <v>9150</v>
      </c>
      <c r="E1712" s="709" t="s">
        <v>9183</v>
      </c>
      <c r="F1712" s="393" t="s">
        <v>1375</v>
      </c>
      <c r="G1712" s="393" t="s">
        <v>998</v>
      </c>
      <c r="H1712" s="393" t="s">
        <v>504</v>
      </c>
      <c r="I1712" s="392"/>
      <c r="J1712" s="392"/>
      <c r="K1712" s="392" t="s">
        <v>5627</v>
      </c>
      <c r="L1712" s="392" t="s">
        <v>5926</v>
      </c>
      <c r="M1712" s="563"/>
      <c r="N1712" s="393" t="s">
        <v>44</v>
      </c>
      <c r="O1712" s="393" t="s">
        <v>51</v>
      </c>
      <c r="P1712" s="393" t="s">
        <v>51</v>
      </c>
      <c r="Q1712" s="392" t="s">
        <v>976</v>
      </c>
      <c r="R1712" s="560" t="s">
        <v>8376</v>
      </c>
      <c r="S1712" s="392" t="s">
        <v>977</v>
      </c>
      <c r="T1712" s="394">
        <v>1</v>
      </c>
      <c r="U1712" s="565">
        <v>38.777999999999999</v>
      </c>
      <c r="V1712" s="565"/>
      <c r="W1712" s="566"/>
      <c r="X1712" s="564"/>
      <c r="Y1712" s="564">
        <v>7</v>
      </c>
      <c r="Z1712" s="564">
        <v>21</v>
      </c>
      <c r="AA1712" s="565">
        <v>0</v>
      </c>
      <c r="AB1712" s="567">
        <v>42958</v>
      </c>
      <c r="AC1712" s="568">
        <v>0</v>
      </c>
      <c r="AD1712" s="568">
        <v>131.52647671232876</v>
      </c>
      <c r="AE1712" s="393" t="s">
        <v>47</v>
      </c>
      <c r="AF1712" s="569"/>
      <c r="AG1712" s="569"/>
      <c r="AH1712" s="569"/>
      <c r="AI1712" s="564"/>
      <c r="AJ1712" s="566"/>
      <c r="AK1712" s="566"/>
      <c r="AL1712" s="561"/>
      <c r="AM1712" s="561"/>
      <c r="AN1712" s="569"/>
      <c r="AO1712" s="563"/>
      <c r="AP1712" s="428"/>
      <c r="AQ1712" s="563"/>
      <c r="AR1712" s="392" t="s">
        <v>55</v>
      </c>
      <c r="AS1712" s="479">
        <v>41685</v>
      </c>
      <c r="AT1712" s="566"/>
      <c r="AU1712" s="566"/>
      <c r="AV1712" s="566"/>
      <c r="AW1712" s="566"/>
      <c r="AX1712" s="566"/>
      <c r="AY1712" s="566"/>
      <c r="AZ1712" s="566">
        <v>42958</v>
      </c>
      <c r="BA1712" s="561"/>
      <c r="BB1712" s="561"/>
      <c r="BC1712" s="393" t="b">
        <v>0</v>
      </c>
      <c r="BD1712" s="561"/>
      <c r="BE1712" s="563"/>
      <c r="BF1712" s="394">
        <v>4</v>
      </c>
      <c r="BG1712" s="394">
        <v>1</v>
      </c>
      <c r="BH1712" s="394">
        <v>6</v>
      </c>
      <c r="BI1712" s="394">
        <v>9</v>
      </c>
      <c r="BJ1712" s="394"/>
      <c r="BK1712" s="394"/>
      <c r="BL1712" s="444" t="s">
        <v>6981</v>
      </c>
      <c r="BM1712" s="563"/>
      <c r="BN1712" s="561"/>
      <c r="BO1712" s="561"/>
      <c r="BP1712" s="571"/>
      <c r="BQ1712" s="572"/>
      <c r="BR1712" s="573"/>
      <c r="BS1712" s="571"/>
      <c r="BT1712" s="564"/>
      <c r="BU1712" s="569"/>
      <c r="BV1712" s="571"/>
      <c r="BW1712" s="562" t="s">
        <v>3117</v>
      </c>
      <c r="BX1712" s="563"/>
      <c r="BY1712" s="475" t="s">
        <v>7227</v>
      </c>
      <c r="BZ1712" s="475" t="s">
        <v>3165</v>
      </c>
      <c r="CA1712" s="574"/>
      <c r="CB1712" s="572"/>
      <c r="CC1712" s="568"/>
      <c r="CD1712" s="568"/>
      <c r="CE1712" s="568"/>
      <c r="CF1712" s="568"/>
      <c r="CG1712" s="568"/>
      <c r="CH1712" s="568"/>
      <c r="CI1712" s="568"/>
      <c r="CJ1712" s="568"/>
      <c r="CK1712" s="568"/>
      <c r="CL1712" s="568"/>
      <c r="CM1712" s="568">
        <v>20.88</v>
      </c>
      <c r="CN1712" s="568">
        <v>41.761000000000003</v>
      </c>
      <c r="CO1712" s="568">
        <v>41.761000000000003</v>
      </c>
      <c r="CP1712" s="568">
        <v>41.761000000000003</v>
      </c>
      <c r="CQ1712" s="568">
        <v>41.761000000000003</v>
      </c>
      <c r="CR1712" s="568">
        <v>41.761000000000003</v>
      </c>
      <c r="CS1712" s="568">
        <v>41.761000000000003</v>
      </c>
      <c r="CT1712" s="568"/>
      <c r="CU1712" s="568"/>
      <c r="CV1712" s="568"/>
      <c r="CW1712" s="568"/>
      <c r="CX1712" s="568"/>
      <c r="CY1712" s="568"/>
      <c r="CZ1712" s="568"/>
      <c r="DA1712" s="568"/>
      <c r="DB1712" s="568"/>
      <c r="DC1712" s="568"/>
      <c r="DD1712" s="568"/>
      <c r="DE1712" s="561"/>
      <c r="DF1712" s="561"/>
      <c r="DG1712" s="561"/>
      <c r="DH1712" s="561"/>
      <c r="DI1712" s="561"/>
      <c r="DJ1712" s="561"/>
      <c r="DK1712" s="897"/>
    </row>
    <row r="1713" spans="1:115" ht="25.5" x14ac:dyDescent="0.2">
      <c r="A1713" s="295">
        <v>1709</v>
      </c>
      <c r="B1713" s="390" t="s">
        <v>9151</v>
      </c>
      <c r="C1713" s="390"/>
      <c r="D1713" s="436" t="s">
        <v>9152</v>
      </c>
      <c r="E1713" s="709" t="s">
        <v>9184</v>
      </c>
      <c r="F1713" s="393" t="s">
        <v>1375</v>
      </c>
      <c r="G1713" s="393" t="s">
        <v>998</v>
      </c>
      <c r="H1713" s="393" t="s">
        <v>504</v>
      </c>
      <c r="I1713" s="392"/>
      <c r="J1713" s="392"/>
      <c r="K1713" s="392" t="s">
        <v>5627</v>
      </c>
      <c r="L1713" s="392" t="s">
        <v>5926</v>
      </c>
      <c r="M1713" s="563"/>
      <c r="N1713" s="393" t="s">
        <v>44</v>
      </c>
      <c r="O1713" s="393" t="s">
        <v>51</v>
      </c>
      <c r="P1713" s="393" t="s">
        <v>51</v>
      </c>
      <c r="Q1713" s="392" t="s">
        <v>976</v>
      </c>
      <c r="R1713" s="560" t="s">
        <v>8376</v>
      </c>
      <c r="S1713" s="392" t="s">
        <v>977</v>
      </c>
      <c r="T1713" s="394">
        <v>1</v>
      </c>
      <c r="U1713" s="565">
        <v>38.777999999999999</v>
      </c>
      <c r="V1713" s="565"/>
      <c r="W1713" s="566"/>
      <c r="X1713" s="564"/>
      <c r="Y1713" s="564">
        <v>7</v>
      </c>
      <c r="Z1713" s="564">
        <v>21</v>
      </c>
      <c r="AA1713" s="565">
        <v>0</v>
      </c>
      <c r="AB1713" s="567">
        <v>42958</v>
      </c>
      <c r="AC1713" s="568">
        <v>0</v>
      </c>
      <c r="AD1713" s="568">
        <v>131.52647671232876</v>
      </c>
      <c r="AE1713" s="393" t="s">
        <v>47</v>
      </c>
      <c r="AF1713" s="569"/>
      <c r="AG1713" s="569"/>
      <c r="AH1713" s="569"/>
      <c r="AI1713" s="564"/>
      <c r="AJ1713" s="566"/>
      <c r="AK1713" s="566"/>
      <c r="AL1713" s="561"/>
      <c r="AM1713" s="561"/>
      <c r="AN1713" s="569"/>
      <c r="AO1713" s="563"/>
      <c r="AP1713" s="428"/>
      <c r="AQ1713" s="563"/>
      <c r="AR1713" s="392" t="s">
        <v>55</v>
      </c>
      <c r="AS1713" s="479">
        <v>41685</v>
      </c>
      <c r="AT1713" s="566"/>
      <c r="AU1713" s="566"/>
      <c r="AV1713" s="566"/>
      <c r="AW1713" s="566"/>
      <c r="AX1713" s="566"/>
      <c r="AY1713" s="566"/>
      <c r="AZ1713" s="566">
        <v>42958</v>
      </c>
      <c r="BA1713" s="561"/>
      <c r="BB1713" s="561"/>
      <c r="BC1713" s="393" t="b">
        <v>0</v>
      </c>
      <c r="BD1713" s="561"/>
      <c r="BE1713" s="563"/>
      <c r="BF1713" s="394">
        <v>4</v>
      </c>
      <c r="BG1713" s="394">
        <v>1</v>
      </c>
      <c r="BH1713" s="394">
        <v>6</v>
      </c>
      <c r="BI1713" s="394">
        <v>9</v>
      </c>
      <c r="BJ1713" s="394"/>
      <c r="BK1713" s="394"/>
      <c r="BL1713" s="444" t="s">
        <v>6981</v>
      </c>
      <c r="BM1713" s="563"/>
      <c r="BN1713" s="561"/>
      <c r="BO1713" s="561"/>
      <c r="BP1713" s="571"/>
      <c r="BQ1713" s="572"/>
      <c r="BR1713" s="573"/>
      <c r="BS1713" s="571"/>
      <c r="BT1713" s="564"/>
      <c r="BU1713" s="569"/>
      <c r="BV1713" s="571"/>
      <c r="BW1713" s="562" t="s">
        <v>3117</v>
      </c>
      <c r="BX1713" s="563"/>
      <c r="BY1713" s="475" t="s">
        <v>7227</v>
      </c>
      <c r="BZ1713" s="475" t="s">
        <v>3165</v>
      </c>
      <c r="CA1713" s="574"/>
      <c r="CB1713" s="572"/>
      <c r="CC1713" s="568"/>
      <c r="CD1713" s="568"/>
      <c r="CE1713" s="568"/>
      <c r="CF1713" s="568"/>
      <c r="CG1713" s="568"/>
      <c r="CH1713" s="568"/>
      <c r="CI1713" s="568"/>
      <c r="CJ1713" s="568"/>
      <c r="CK1713" s="568"/>
      <c r="CL1713" s="568"/>
      <c r="CM1713" s="568">
        <v>20.88</v>
      </c>
      <c r="CN1713" s="568">
        <v>41.761000000000003</v>
      </c>
      <c r="CO1713" s="568">
        <v>41.761000000000003</v>
      </c>
      <c r="CP1713" s="568">
        <v>41.761000000000003</v>
      </c>
      <c r="CQ1713" s="568">
        <v>41.761000000000003</v>
      </c>
      <c r="CR1713" s="568">
        <v>41.761000000000003</v>
      </c>
      <c r="CS1713" s="568">
        <v>41.761000000000003</v>
      </c>
      <c r="CT1713" s="568"/>
      <c r="CU1713" s="568"/>
      <c r="CV1713" s="568"/>
      <c r="CW1713" s="568"/>
      <c r="CX1713" s="568"/>
      <c r="CY1713" s="568"/>
      <c r="CZ1713" s="568"/>
      <c r="DA1713" s="568"/>
      <c r="DB1713" s="568"/>
      <c r="DC1713" s="568"/>
      <c r="DD1713" s="568"/>
      <c r="DE1713" s="561"/>
      <c r="DF1713" s="561"/>
      <c r="DG1713" s="561"/>
      <c r="DH1713" s="561"/>
      <c r="DI1713" s="561"/>
      <c r="DJ1713" s="561"/>
      <c r="DK1713" s="897"/>
    </row>
    <row r="1714" spans="1:115" ht="25.5" x14ac:dyDescent="0.2">
      <c r="A1714" s="295">
        <v>1710</v>
      </c>
      <c r="B1714" s="390" t="s">
        <v>9153</v>
      </c>
      <c r="C1714" s="390"/>
      <c r="D1714" s="436" t="s">
        <v>9154</v>
      </c>
      <c r="E1714" s="709" t="s">
        <v>9185</v>
      </c>
      <c r="F1714" s="393" t="s">
        <v>1375</v>
      </c>
      <c r="G1714" s="393" t="s">
        <v>998</v>
      </c>
      <c r="H1714" s="393" t="s">
        <v>504</v>
      </c>
      <c r="I1714" s="392"/>
      <c r="J1714" s="392"/>
      <c r="K1714" s="392" t="s">
        <v>5627</v>
      </c>
      <c r="L1714" s="392" t="s">
        <v>5926</v>
      </c>
      <c r="M1714" s="563"/>
      <c r="N1714" s="393" t="s">
        <v>44</v>
      </c>
      <c r="O1714" s="393" t="s">
        <v>51</v>
      </c>
      <c r="P1714" s="393" t="s">
        <v>51</v>
      </c>
      <c r="Q1714" s="392" t="s">
        <v>976</v>
      </c>
      <c r="R1714" s="560" t="s">
        <v>8376</v>
      </c>
      <c r="S1714" s="392" t="s">
        <v>977</v>
      </c>
      <c r="T1714" s="394">
        <v>1</v>
      </c>
      <c r="U1714" s="565">
        <v>38.777999999999999</v>
      </c>
      <c r="V1714" s="565"/>
      <c r="W1714" s="566"/>
      <c r="X1714" s="564"/>
      <c r="Y1714" s="564">
        <v>7</v>
      </c>
      <c r="Z1714" s="564">
        <v>21</v>
      </c>
      <c r="AA1714" s="565">
        <v>0</v>
      </c>
      <c r="AB1714" s="567">
        <v>42958</v>
      </c>
      <c r="AC1714" s="568">
        <v>0</v>
      </c>
      <c r="AD1714" s="568">
        <v>131.52647671232876</v>
      </c>
      <c r="AE1714" s="393" t="s">
        <v>47</v>
      </c>
      <c r="AF1714" s="569"/>
      <c r="AG1714" s="569"/>
      <c r="AH1714" s="569"/>
      <c r="AI1714" s="564"/>
      <c r="AJ1714" s="566"/>
      <c r="AK1714" s="566"/>
      <c r="AL1714" s="561"/>
      <c r="AM1714" s="561"/>
      <c r="AN1714" s="569"/>
      <c r="AO1714" s="563"/>
      <c r="AP1714" s="428"/>
      <c r="AQ1714" s="563"/>
      <c r="AR1714" s="392" t="s">
        <v>55</v>
      </c>
      <c r="AS1714" s="479">
        <v>41685</v>
      </c>
      <c r="AT1714" s="566"/>
      <c r="AU1714" s="566"/>
      <c r="AV1714" s="566"/>
      <c r="AW1714" s="566"/>
      <c r="AX1714" s="566"/>
      <c r="AY1714" s="566"/>
      <c r="AZ1714" s="566">
        <v>42958</v>
      </c>
      <c r="BA1714" s="561"/>
      <c r="BB1714" s="561"/>
      <c r="BC1714" s="393" t="b">
        <v>0</v>
      </c>
      <c r="BD1714" s="561"/>
      <c r="BE1714" s="563"/>
      <c r="BF1714" s="394">
        <v>4</v>
      </c>
      <c r="BG1714" s="394">
        <v>1</v>
      </c>
      <c r="BH1714" s="394">
        <v>6</v>
      </c>
      <c r="BI1714" s="394">
        <v>9</v>
      </c>
      <c r="BJ1714" s="394"/>
      <c r="BK1714" s="394"/>
      <c r="BL1714" s="444" t="s">
        <v>6981</v>
      </c>
      <c r="BM1714" s="563"/>
      <c r="BN1714" s="561"/>
      <c r="BO1714" s="561"/>
      <c r="BP1714" s="571"/>
      <c r="BQ1714" s="572"/>
      <c r="BR1714" s="573"/>
      <c r="BS1714" s="571"/>
      <c r="BT1714" s="564"/>
      <c r="BU1714" s="569"/>
      <c r="BV1714" s="571"/>
      <c r="BW1714" s="562" t="s">
        <v>3117</v>
      </c>
      <c r="BX1714" s="563"/>
      <c r="BY1714" s="475" t="s">
        <v>7227</v>
      </c>
      <c r="BZ1714" s="475" t="s">
        <v>3165</v>
      </c>
      <c r="CA1714" s="574"/>
      <c r="CB1714" s="572"/>
      <c r="CC1714" s="568"/>
      <c r="CD1714" s="568"/>
      <c r="CE1714" s="568"/>
      <c r="CF1714" s="568"/>
      <c r="CG1714" s="568"/>
      <c r="CH1714" s="568"/>
      <c r="CI1714" s="568"/>
      <c r="CJ1714" s="568"/>
      <c r="CK1714" s="568"/>
      <c r="CL1714" s="568"/>
      <c r="CM1714" s="568">
        <v>20.88</v>
      </c>
      <c r="CN1714" s="568">
        <v>41.761000000000003</v>
      </c>
      <c r="CO1714" s="568">
        <v>41.761000000000003</v>
      </c>
      <c r="CP1714" s="568">
        <v>41.761000000000003</v>
      </c>
      <c r="CQ1714" s="568">
        <v>41.761000000000003</v>
      </c>
      <c r="CR1714" s="568">
        <v>41.761000000000003</v>
      </c>
      <c r="CS1714" s="568">
        <v>41.761000000000003</v>
      </c>
      <c r="CT1714" s="568"/>
      <c r="CU1714" s="568"/>
      <c r="CV1714" s="568"/>
      <c r="CW1714" s="568"/>
      <c r="CX1714" s="568"/>
      <c r="CY1714" s="568"/>
      <c r="CZ1714" s="568"/>
      <c r="DA1714" s="568"/>
      <c r="DB1714" s="568"/>
      <c r="DC1714" s="568"/>
      <c r="DD1714" s="568"/>
      <c r="DE1714" s="561"/>
      <c r="DF1714" s="561"/>
      <c r="DG1714" s="561"/>
      <c r="DH1714" s="561"/>
      <c r="DI1714" s="561"/>
      <c r="DJ1714" s="561"/>
      <c r="DK1714" s="897"/>
    </row>
    <row r="1715" spans="1:115" ht="25.5" x14ac:dyDescent="0.2">
      <c r="A1715" s="295">
        <v>1711</v>
      </c>
      <c r="B1715" s="390" t="s">
        <v>9155</v>
      </c>
      <c r="C1715" s="390"/>
      <c r="D1715" s="436" t="s">
        <v>9156</v>
      </c>
      <c r="E1715" s="709" t="s">
        <v>9186</v>
      </c>
      <c r="F1715" s="393" t="s">
        <v>1375</v>
      </c>
      <c r="G1715" s="393" t="s">
        <v>998</v>
      </c>
      <c r="H1715" s="393" t="s">
        <v>504</v>
      </c>
      <c r="I1715" s="392"/>
      <c r="J1715" s="392"/>
      <c r="K1715" s="392" t="s">
        <v>5627</v>
      </c>
      <c r="L1715" s="392" t="s">
        <v>5926</v>
      </c>
      <c r="M1715" s="563"/>
      <c r="N1715" s="393" t="s">
        <v>44</v>
      </c>
      <c r="O1715" s="393" t="s">
        <v>51</v>
      </c>
      <c r="P1715" s="393" t="s">
        <v>51</v>
      </c>
      <c r="Q1715" s="392" t="s">
        <v>976</v>
      </c>
      <c r="R1715" s="560" t="s">
        <v>8376</v>
      </c>
      <c r="S1715" s="392" t="s">
        <v>977</v>
      </c>
      <c r="T1715" s="394">
        <v>1</v>
      </c>
      <c r="U1715" s="565">
        <v>38.777999999999999</v>
      </c>
      <c r="V1715" s="565"/>
      <c r="W1715" s="566"/>
      <c r="X1715" s="564"/>
      <c r="Y1715" s="564">
        <v>7</v>
      </c>
      <c r="Z1715" s="564">
        <v>21</v>
      </c>
      <c r="AA1715" s="565">
        <v>0</v>
      </c>
      <c r="AB1715" s="567">
        <v>42958</v>
      </c>
      <c r="AC1715" s="568">
        <v>0</v>
      </c>
      <c r="AD1715" s="568">
        <v>131.52647671232876</v>
      </c>
      <c r="AE1715" s="393" t="s">
        <v>47</v>
      </c>
      <c r="AF1715" s="569"/>
      <c r="AG1715" s="569"/>
      <c r="AH1715" s="569"/>
      <c r="AI1715" s="564"/>
      <c r="AJ1715" s="566"/>
      <c r="AK1715" s="566"/>
      <c r="AL1715" s="561"/>
      <c r="AM1715" s="561"/>
      <c r="AN1715" s="569"/>
      <c r="AO1715" s="563"/>
      <c r="AP1715" s="428"/>
      <c r="AQ1715" s="563"/>
      <c r="AR1715" s="392" t="s">
        <v>55</v>
      </c>
      <c r="AS1715" s="479">
        <v>41685</v>
      </c>
      <c r="AT1715" s="566"/>
      <c r="AU1715" s="566"/>
      <c r="AV1715" s="566"/>
      <c r="AW1715" s="566"/>
      <c r="AX1715" s="566"/>
      <c r="AY1715" s="566"/>
      <c r="AZ1715" s="566">
        <v>42958</v>
      </c>
      <c r="BA1715" s="561"/>
      <c r="BB1715" s="561"/>
      <c r="BC1715" s="393" t="b">
        <v>0</v>
      </c>
      <c r="BD1715" s="561"/>
      <c r="BE1715" s="563"/>
      <c r="BF1715" s="394">
        <v>4</v>
      </c>
      <c r="BG1715" s="394">
        <v>1</v>
      </c>
      <c r="BH1715" s="394">
        <v>6</v>
      </c>
      <c r="BI1715" s="394">
        <v>9</v>
      </c>
      <c r="BJ1715" s="394"/>
      <c r="BK1715" s="394"/>
      <c r="BL1715" s="444" t="s">
        <v>6981</v>
      </c>
      <c r="BM1715" s="563"/>
      <c r="BN1715" s="561"/>
      <c r="BO1715" s="561"/>
      <c r="BP1715" s="571"/>
      <c r="BQ1715" s="572"/>
      <c r="BR1715" s="573"/>
      <c r="BS1715" s="571"/>
      <c r="BT1715" s="564"/>
      <c r="BU1715" s="569"/>
      <c r="BV1715" s="571"/>
      <c r="BW1715" s="562" t="s">
        <v>3117</v>
      </c>
      <c r="BX1715" s="563"/>
      <c r="BY1715" s="475" t="s">
        <v>7227</v>
      </c>
      <c r="BZ1715" s="475" t="s">
        <v>3165</v>
      </c>
      <c r="CA1715" s="574"/>
      <c r="CB1715" s="572"/>
      <c r="CC1715" s="568"/>
      <c r="CD1715" s="568"/>
      <c r="CE1715" s="568"/>
      <c r="CF1715" s="568"/>
      <c r="CG1715" s="568"/>
      <c r="CH1715" s="568"/>
      <c r="CI1715" s="568"/>
      <c r="CJ1715" s="568"/>
      <c r="CK1715" s="568"/>
      <c r="CL1715" s="568"/>
      <c r="CM1715" s="568">
        <v>20.88</v>
      </c>
      <c r="CN1715" s="568">
        <v>41.761000000000003</v>
      </c>
      <c r="CO1715" s="568">
        <v>41.761000000000003</v>
      </c>
      <c r="CP1715" s="568">
        <v>41.761000000000003</v>
      </c>
      <c r="CQ1715" s="568">
        <v>41.761000000000003</v>
      </c>
      <c r="CR1715" s="568">
        <v>41.761000000000003</v>
      </c>
      <c r="CS1715" s="568">
        <v>41.761000000000003</v>
      </c>
      <c r="CT1715" s="568"/>
      <c r="CU1715" s="568"/>
      <c r="CV1715" s="568"/>
      <c r="CW1715" s="568"/>
      <c r="CX1715" s="568"/>
      <c r="CY1715" s="568"/>
      <c r="CZ1715" s="568"/>
      <c r="DA1715" s="568"/>
      <c r="DB1715" s="568"/>
      <c r="DC1715" s="568"/>
      <c r="DD1715" s="568"/>
      <c r="DE1715" s="561"/>
      <c r="DF1715" s="561"/>
      <c r="DG1715" s="561"/>
      <c r="DH1715" s="561"/>
      <c r="DI1715" s="561"/>
      <c r="DJ1715" s="561"/>
      <c r="DK1715" s="897"/>
    </row>
    <row r="1716" spans="1:115" ht="25.5" x14ac:dyDescent="0.2">
      <c r="A1716" s="295">
        <v>1712</v>
      </c>
      <c r="B1716" s="390" t="s">
        <v>9157</v>
      </c>
      <c r="C1716" s="390"/>
      <c r="D1716" s="436" t="s">
        <v>9158</v>
      </c>
      <c r="E1716" s="709" t="s">
        <v>9187</v>
      </c>
      <c r="F1716" s="393" t="s">
        <v>1375</v>
      </c>
      <c r="G1716" s="393" t="s">
        <v>998</v>
      </c>
      <c r="H1716" s="393" t="s">
        <v>504</v>
      </c>
      <c r="I1716" s="392"/>
      <c r="J1716" s="392"/>
      <c r="K1716" s="392" t="s">
        <v>5627</v>
      </c>
      <c r="L1716" s="392" t="s">
        <v>5926</v>
      </c>
      <c r="M1716" s="563"/>
      <c r="N1716" s="393" t="s">
        <v>44</v>
      </c>
      <c r="O1716" s="393" t="s">
        <v>51</v>
      </c>
      <c r="P1716" s="393" t="s">
        <v>51</v>
      </c>
      <c r="Q1716" s="392" t="s">
        <v>976</v>
      </c>
      <c r="R1716" s="560" t="s">
        <v>8376</v>
      </c>
      <c r="S1716" s="392" t="s">
        <v>977</v>
      </c>
      <c r="T1716" s="394">
        <v>1</v>
      </c>
      <c r="U1716" s="565">
        <v>38.777999999999999</v>
      </c>
      <c r="V1716" s="565"/>
      <c r="W1716" s="566"/>
      <c r="X1716" s="564"/>
      <c r="Y1716" s="564">
        <v>7</v>
      </c>
      <c r="Z1716" s="564">
        <v>21</v>
      </c>
      <c r="AA1716" s="565">
        <v>0</v>
      </c>
      <c r="AB1716" s="567">
        <v>42958</v>
      </c>
      <c r="AC1716" s="568">
        <v>0</v>
      </c>
      <c r="AD1716" s="568">
        <v>131.52647671232876</v>
      </c>
      <c r="AE1716" s="393" t="s">
        <v>47</v>
      </c>
      <c r="AF1716" s="569"/>
      <c r="AG1716" s="569"/>
      <c r="AH1716" s="569"/>
      <c r="AI1716" s="564"/>
      <c r="AJ1716" s="566"/>
      <c r="AK1716" s="566"/>
      <c r="AL1716" s="561"/>
      <c r="AM1716" s="561"/>
      <c r="AN1716" s="569"/>
      <c r="AO1716" s="563"/>
      <c r="AP1716" s="428"/>
      <c r="AQ1716" s="563"/>
      <c r="AR1716" s="392" t="s">
        <v>55</v>
      </c>
      <c r="AS1716" s="479">
        <v>41685</v>
      </c>
      <c r="AT1716" s="566"/>
      <c r="AU1716" s="566"/>
      <c r="AV1716" s="566"/>
      <c r="AW1716" s="566"/>
      <c r="AX1716" s="566"/>
      <c r="AY1716" s="566"/>
      <c r="AZ1716" s="566">
        <v>42958</v>
      </c>
      <c r="BA1716" s="561"/>
      <c r="BB1716" s="561"/>
      <c r="BC1716" s="393" t="b">
        <v>0</v>
      </c>
      <c r="BD1716" s="561"/>
      <c r="BE1716" s="563"/>
      <c r="BF1716" s="394">
        <v>4</v>
      </c>
      <c r="BG1716" s="394">
        <v>1</v>
      </c>
      <c r="BH1716" s="394">
        <v>6</v>
      </c>
      <c r="BI1716" s="394">
        <v>9</v>
      </c>
      <c r="BJ1716" s="394"/>
      <c r="BK1716" s="394"/>
      <c r="BL1716" s="444" t="s">
        <v>6981</v>
      </c>
      <c r="BM1716" s="563"/>
      <c r="BN1716" s="561"/>
      <c r="BO1716" s="561"/>
      <c r="BP1716" s="571"/>
      <c r="BQ1716" s="572"/>
      <c r="BR1716" s="573"/>
      <c r="BS1716" s="571"/>
      <c r="BT1716" s="564"/>
      <c r="BU1716" s="569"/>
      <c r="BV1716" s="571"/>
      <c r="BW1716" s="562" t="s">
        <v>3117</v>
      </c>
      <c r="BX1716" s="563"/>
      <c r="BY1716" s="475" t="s">
        <v>7227</v>
      </c>
      <c r="BZ1716" s="475" t="s">
        <v>3165</v>
      </c>
      <c r="CA1716" s="574"/>
      <c r="CB1716" s="572"/>
      <c r="CC1716" s="568"/>
      <c r="CD1716" s="568"/>
      <c r="CE1716" s="568"/>
      <c r="CF1716" s="568"/>
      <c r="CG1716" s="568"/>
      <c r="CH1716" s="568"/>
      <c r="CI1716" s="568"/>
      <c r="CJ1716" s="568"/>
      <c r="CK1716" s="568"/>
      <c r="CL1716" s="568"/>
      <c r="CM1716" s="568">
        <v>20.88</v>
      </c>
      <c r="CN1716" s="568">
        <v>41.761000000000003</v>
      </c>
      <c r="CO1716" s="568">
        <v>41.761000000000003</v>
      </c>
      <c r="CP1716" s="568">
        <v>41.761000000000003</v>
      </c>
      <c r="CQ1716" s="568">
        <v>41.761000000000003</v>
      </c>
      <c r="CR1716" s="568">
        <v>41.761000000000003</v>
      </c>
      <c r="CS1716" s="568">
        <v>41.761000000000003</v>
      </c>
      <c r="CT1716" s="568"/>
      <c r="CU1716" s="568"/>
      <c r="CV1716" s="568"/>
      <c r="CW1716" s="568"/>
      <c r="CX1716" s="568"/>
      <c r="CY1716" s="568"/>
      <c r="CZ1716" s="568"/>
      <c r="DA1716" s="568"/>
      <c r="DB1716" s="568"/>
      <c r="DC1716" s="568"/>
      <c r="DD1716" s="568"/>
      <c r="DE1716" s="561"/>
      <c r="DF1716" s="561"/>
      <c r="DG1716" s="561"/>
      <c r="DH1716" s="561"/>
      <c r="DI1716" s="561"/>
      <c r="DJ1716" s="561"/>
      <c r="DK1716" s="897"/>
    </row>
    <row r="1717" spans="1:115" ht="25.5" x14ac:dyDescent="0.2">
      <c r="A1717" s="295">
        <v>1713</v>
      </c>
      <c r="B1717" s="390" t="s">
        <v>9159</v>
      </c>
      <c r="C1717" s="390"/>
      <c r="D1717" s="436" t="s">
        <v>9160</v>
      </c>
      <c r="E1717" s="709" t="s">
        <v>9188</v>
      </c>
      <c r="F1717" s="393" t="s">
        <v>1375</v>
      </c>
      <c r="G1717" s="393" t="s">
        <v>998</v>
      </c>
      <c r="H1717" s="393" t="s">
        <v>504</v>
      </c>
      <c r="I1717" s="392"/>
      <c r="J1717" s="392"/>
      <c r="K1717" s="392" t="s">
        <v>5627</v>
      </c>
      <c r="L1717" s="392" t="s">
        <v>5926</v>
      </c>
      <c r="M1717" s="563"/>
      <c r="N1717" s="393" t="s">
        <v>44</v>
      </c>
      <c r="O1717" s="393" t="s">
        <v>51</v>
      </c>
      <c r="P1717" s="393" t="s">
        <v>51</v>
      </c>
      <c r="Q1717" s="392" t="s">
        <v>976</v>
      </c>
      <c r="R1717" s="560" t="s">
        <v>8376</v>
      </c>
      <c r="S1717" s="392" t="s">
        <v>977</v>
      </c>
      <c r="T1717" s="394">
        <v>1</v>
      </c>
      <c r="U1717" s="565">
        <v>38.777999999999999</v>
      </c>
      <c r="V1717" s="565"/>
      <c r="W1717" s="566"/>
      <c r="X1717" s="564"/>
      <c r="Y1717" s="564">
        <v>7</v>
      </c>
      <c r="Z1717" s="564">
        <v>21</v>
      </c>
      <c r="AA1717" s="565">
        <v>0</v>
      </c>
      <c r="AB1717" s="567">
        <v>42958</v>
      </c>
      <c r="AC1717" s="568">
        <v>0</v>
      </c>
      <c r="AD1717" s="568">
        <v>131.52647671232876</v>
      </c>
      <c r="AE1717" s="393" t="s">
        <v>47</v>
      </c>
      <c r="AF1717" s="569"/>
      <c r="AG1717" s="569"/>
      <c r="AH1717" s="569"/>
      <c r="AI1717" s="564"/>
      <c r="AJ1717" s="566"/>
      <c r="AK1717" s="566"/>
      <c r="AL1717" s="561"/>
      <c r="AM1717" s="561"/>
      <c r="AN1717" s="569"/>
      <c r="AO1717" s="563"/>
      <c r="AP1717" s="428"/>
      <c r="AQ1717" s="563"/>
      <c r="AR1717" s="392" t="s">
        <v>55</v>
      </c>
      <c r="AS1717" s="479">
        <v>41685</v>
      </c>
      <c r="AT1717" s="566"/>
      <c r="AU1717" s="566"/>
      <c r="AV1717" s="566"/>
      <c r="AW1717" s="566"/>
      <c r="AX1717" s="566"/>
      <c r="AY1717" s="566"/>
      <c r="AZ1717" s="566">
        <v>42958</v>
      </c>
      <c r="BA1717" s="561"/>
      <c r="BB1717" s="561"/>
      <c r="BC1717" s="393" t="b">
        <v>0</v>
      </c>
      <c r="BD1717" s="561"/>
      <c r="BE1717" s="563"/>
      <c r="BF1717" s="394">
        <v>4</v>
      </c>
      <c r="BG1717" s="394">
        <v>1</v>
      </c>
      <c r="BH1717" s="394">
        <v>6</v>
      </c>
      <c r="BI1717" s="394">
        <v>9</v>
      </c>
      <c r="BJ1717" s="394"/>
      <c r="BK1717" s="394"/>
      <c r="BL1717" s="444" t="s">
        <v>6981</v>
      </c>
      <c r="BM1717" s="563"/>
      <c r="BN1717" s="561"/>
      <c r="BO1717" s="561"/>
      <c r="BP1717" s="571"/>
      <c r="BQ1717" s="572"/>
      <c r="BR1717" s="573"/>
      <c r="BS1717" s="571"/>
      <c r="BT1717" s="564"/>
      <c r="BU1717" s="569"/>
      <c r="BV1717" s="571"/>
      <c r="BW1717" s="562" t="s">
        <v>3117</v>
      </c>
      <c r="BX1717" s="563"/>
      <c r="BY1717" s="475" t="s">
        <v>7227</v>
      </c>
      <c r="BZ1717" s="475" t="s">
        <v>3165</v>
      </c>
      <c r="CA1717" s="574"/>
      <c r="CB1717" s="572"/>
      <c r="CC1717" s="568"/>
      <c r="CD1717" s="568"/>
      <c r="CE1717" s="568"/>
      <c r="CF1717" s="568"/>
      <c r="CG1717" s="568"/>
      <c r="CH1717" s="568"/>
      <c r="CI1717" s="568"/>
      <c r="CJ1717" s="568"/>
      <c r="CK1717" s="568"/>
      <c r="CL1717" s="568"/>
      <c r="CM1717" s="568">
        <v>20.88</v>
      </c>
      <c r="CN1717" s="568">
        <v>41.761000000000003</v>
      </c>
      <c r="CO1717" s="568">
        <v>41.761000000000003</v>
      </c>
      <c r="CP1717" s="568">
        <v>41.761000000000003</v>
      </c>
      <c r="CQ1717" s="568">
        <v>41.761000000000003</v>
      </c>
      <c r="CR1717" s="568">
        <v>41.761000000000003</v>
      </c>
      <c r="CS1717" s="568">
        <v>41.761000000000003</v>
      </c>
      <c r="CT1717" s="568"/>
      <c r="CU1717" s="568"/>
      <c r="CV1717" s="568"/>
      <c r="CW1717" s="568"/>
      <c r="CX1717" s="568"/>
      <c r="CY1717" s="568"/>
      <c r="CZ1717" s="568"/>
      <c r="DA1717" s="568"/>
      <c r="DB1717" s="568"/>
      <c r="DC1717" s="568"/>
      <c r="DD1717" s="568"/>
      <c r="DE1717" s="561"/>
      <c r="DF1717" s="561"/>
      <c r="DG1717" s="561"/>
      <c r="DH1717" s="561"/>
      <c r="DI1717" s="561"/>
      <c r="DJ1717" s="561"/>
      <c r="DK1717" s="897"/>
    </row>
    <row r="1718" spans="1:115" ht="25.5" x14ac:dyDescent="0.2">
      <c r="A1718" s="295">
        <v>1714</v>
      </c>
      <c r="B1718" s="390" t="s">
        <v>9161</v>
      </c>
      <c r="C1718" s="390"/>
      <c r="D1718" s="436" t="s">
        <v>9162</v>
      </c>
      <c r="E1718" s="709" t="s">
        <v>9189</v>
      </c>
      <c r="F1718" s="393" t="s">
        <v>1375</v>
      </c>
      <c r="G1718" s="393" t="s">
        <v>998</v>
      </c>
      <c r="H1718" s="393" t="s">
        <v>504</v>
      </c>
      <c r="I1718" s="392"/>
      <c r="J1718" s="392"/>
      <c r="K1718" s="392" t="s">
        <v>5627</v>
      </c>
      <c r="L1718" s="392" t="s">
        <v>5926</v>
      </c>
      <c r="M1718" s="563"/>
      <c r="N1718" s="393" t="s">
        <v>44</v>
      </c>
      <c r="O1718" s="393" t="s">
        <v>51</v>
      </c>
      <c r="P1718" s="393" t="s">
        <v>51</v>
      </c>
      <c r="Q1718" s="392" t="s">
        <v>976</v>
      </c>
      <c r="R1718" s="560" t="s">
        <v>8376</v>
      </c>
      <c r="S1718" s="392" t="s">
        <v>977</v>
      </c>
      <c r="T1718" s="394">
        <v>1</v>
      </c>
      <c r="U1718" s="565">
        <v>38.777999999999999</v>
      </c>
      <c r="V1718" s="565"/>
      <c r="W1718" s="566"/>
      <c r="X1718" s="564"/>
      <c r="Y1718" s="564">
        <v>7</v>
      </c>
      <c r="Z1718" s="564">
        <v>21</v>
      </c>
      <c r="AA1718" s="565">
        <v>0</v>
      </c>
      <c r="AB1718" s="567">
        <v>42958</v>
      </c>
      <c r="AC1718" s="568">
        <v>0</v>
      </c>
      <c r="AD1718" s="568">
        <v>131.52647671232876</v>
      </c>
      <c r="AE1718" s="393" t="s">
        <v>47</v>
      </c>
      <c r="AF1718" s="569"/>
      <c r="AG1718" s="569"/>
      <c r="AH1718" s="569"/>
      <c r="AI1718" s="564"/>
      <c r="AJ1718" s="566"/>
      <c r="AK1718" s="566"/>
      <c r="AL1718" s="561"/>
      <c r="AM1718" s="561"/>
      <c r="AN1718" s="569"/>
      <c r="AO1718" s="563"/>
      <c r="AP1718" s="428"/>
      <c r="AQ1718" s="563"/>
      <c r="AR1718" s="392" t="s">
        <v>55</v>
      </c>
      <c r="AS1718" s="479">
        <v>41685</v>
      </c>
      <c r="AT1718" s="566"/>
      <c r="AU1718" s="566"/>
      <c r="AV1718" s="566"/>
      <c r="AW1718" s="566"/>
      <c r="AX1718" s="566"/>
      <c r="AY1718" s="566"/>
      <c r="AZ1718" s="566">
        <v>42958</v>
      </c>
      <c r="BA1718" s="561"/>
      <c r="BB1718" s="561"/>
      <c r="BC1718" s="393" t="b">
        <v>0</v>
      </c>
      <c r="BD1718" s="561"/>
      <c r="BE1718" s="563"/>
      <c r="BF1718" s="394">
        <v>4</v>
      </c>
      <c r="BG1718" s="394">
        <v>1</v>
      </c>
      <c r="BH1718" s="394">
        <v>6</v>
      </c>
      <c r="BI1718" s="394">
        <v>9</v>
      </c>
      <c r="BJ1718" s="394"/>
      <c r="BK1718" s="394"/>
      <c r="BL1718" s="444" t="s">
        <v>6981</v>
      </c>
      <c r="BM1718" s="563"/>
      <c r="BN1718" s="561"/>
      <c r="BO1718" s="561"/>
      <c r="BP1718" s="571"/>
      <c r="BQ1718" s="572"/>
      <c r="BR1718" s="573"/>
      <c r="BS1718" s="571"/>
      <c r="BT1718" s="564"/>
      <c r="BU1718" s="569"/>
      <c r="BV1718" s="571"/>
      <c r="BW1718" s="562" t="s">
        <v>3117</v>
      </c>
      <c r="BX1718" s="563"/>
      <c r="BY1718" s="475" t="s">
        <v>7227</v>
      </c>
      <c r="BZ1718" s="475" t="s">
        <v>3165</v>
      </c>
      <c r="CA1718" s="574"/>
      <c r="CB1718" s="572"/>
      <c r="CC1718" s="568"/>
      <c r="CD1718" s="568"/>
      <c r="CE1718" s="568"/>
      <c r="CF1718" s="568"/>
      <c r="CG1718" s="568"/>
      <c r="CH1718" s="568"/>
      <c r="CI1718" s="568"/>
      <c r="CJ1718" s="568"/>
      <c r="CK1718" s="568"/>
      <c r="CL1718" s="568"/>
      <c r="CM1718" s="568">
        <v>20.88</v>
      </c>
      <c r="CN1718" s="568">
        <v>41.761000000000003</v>
      </c>
      <c r="CO1718" s="568">
        <v>41.761000000000003</v>
      </c>
      <c r="CP1718" s="568">
        <v>41.761000000000003</v>
      </c>
      <c r="CQ1718" s="568">
        <v>41.761000000000003</v>
      </c>
      <c r="CR1718" s="568">
        <v>41.761000000000003</v>
      </c>
      <c r="CS1718" s="568">
        <v>41.761000000000003</v>
      </c>
      <c r="CT1718" s="568"/>
      <c r="CU1718" s="568"/>
      <c r="CV1718" s="568"/>
      <c r="CW1718" s="568"/>
      <c r="CX1718" s="568"/>
      <c r="CY1718" s="568"/>
      <c r="CZ1718" s="568"/>
      <c r="DA1718" s="568"/>
      <c r="DB1718" s="568"/>
      <c r="DC1718" s="568"/>
      <c r="DD1718" s="568"/>
      <c r="DE1718" s="561"/>
      <c r="DF1718" s="561"/>
      <c r="DG1718" s="561"/>
      <c r="DH1718" s="561"/>
      <c r="DI1718" s="561"/>
      <c r="DJ1718" s="561"/>
      <c r="DK1718" s="897"/>
    </row>
    <row r="1719" spans="1:115" ht="25.5" x14ac:dyDescent="0.2">
      <c r="A1719" s="295">
        <v>1715</v>
      </c>
      <c r="B1719" s="390" t="s">
        <v>9163</v>
      </c>
      <c r="C1719" s="390"/>
      <c r="D1719" s="436" t="s">
        <v>9164</v>
      </c>
      <c r="E1719" s="709" t="s">
        <v>9190</v>
      </c>
      <c r="F1719" s="393" t="s">
        <v>1375</v>
      </c>
      <c r="G1719" s="393" t="s">
        <v>998</v>
      </c>
      <c r="H1719" s="393" t="s">
        <v>504</v>
      </c>
      <c r="I1719" s="392"/>
      <c r="J1719" s="392"/>
      <c r="K1719" s="392" t="s">
        <v>5627</v>
      </c>
      <c r="L1719" s="392" t="s">
        <v>5926</v>
      </c>
      <c r="M1719" s="563"/>
      <c r="N1719" s="393" t="s">
        <v>44</v>
      </c>
      <c r="O1719" s="393" t="s">
        <v>51</v>
      </c>
      <c r="P1719" s="393" t="s">
        <v>51</v>
      </c>
      <c r="Q1719" s="392" t="s">
        <v>976</v>
      </c>
      <c r="R1719" s="560" t="s">
        <v>8376</v>
      </c>
      <c r="S1719" s="392" t="s">
        <v>977</v>
      </c>
      <c r="T1719" s="394">
        <v>1</v>
      </c>
      <c r="U1719" s="565">
        <v>38.777999999999999</v>
      </c>
      <c r="V1719" s="565"/>
      <c r="W1719" s="566"/>
      <c r="X1719" s="564"/>
      <c r="Y1719" s="564">
        <v>7</v>
      </c>
      <c r="Z1719" s="564">
        <v>21</v>
      </c>
      <c r="AA1719" s="565">
        <v>0</v>
      </c>
      <c r="AB1719" s="567">
        <v>42958</v>
      </c>
      <c r="AC1719" s="568">
        <v>0</v>
      </c>
      <c r="AD1719" s="568">
        <v>131.52647671232876</v>
      </c>
      <c r="AE1719" s="393" t="s">
        <v>47</v>
      </c>
      <c r="AF1719" s="569"/>
      <c r="AG1719" s="569"/>
      <c r="AH1719" s="569"/>
      <c r="AI1719" s="564"/>
      <c r="AJ1719" s="566"/>
      <c r="AK1719" s="566"/>
      <c r="AL1719" s="561"/>
      <c r="AM1719" s="561"/>
      <c r="AN1719" s="569"/>
      <c r="AO1719" s="563"/>
      <c r="AP1719" s="428"/>
      <c r="AQ1719" s="563"/>
      <c r="AR1719" s="392" t="s">
        <v>55</v>
      </c>
      <c r="AS1719" s="479">
        <v>41685</v>
      </c>
      <c r="AT1719" s="566"/>
      <c r="AU1719" s="566"/>
      <c r="AV1719" s="566"/>
      <c r="AW1719" s="566"/>
      <c r="AX1719" s="566"/>
      <c r="AY1719" s="566"/>
      <c r="AZ1719" s="566">
        <v>42958</v>
      </c>
      <c r="BA1719" s="561"/>
      <c r="BB1719" s="561"/>
      <c r="BC1719" s="393" t="b">
        <v>0</v>
      </c>
      <c r="BD1719" s="561"/>
      <c r="BE1719" s="563"/>
      <c r="BF1719" s="394">
        <v>4</v>
      </c>
      <c r="BG1719" s="394">
        <v>1</v>
      </c>
      <c r="BH1719" s="394">
        <v>6</v>
      </c>
      <c r="BI1719" s="394">
        <v>9</v>
      </c>
      <c r="BJ1719" s="394"/>
      <c r="BK1719" s="394"/>
      <c r="BL1719" s="444" t="s">
        <v>6981</v>
      </c>
      <c r="BM1719" s="563"/>
      <c r="BN1719" s="561"/>
      <c r="BO1719" s="561"/>
      <c r="BP1719" s="571"/>
      <c r="BQ1719" s="572"/>
      <c r="BR1719" s="573"/>
      <c r="BS1719" s="571"/>
      <c r="BT1719" s="564"/>
      <c r="BU1719" s="569"/>
      <c r="BV1719" s="571"/>
      <c r="BW1719" s="562" t="s">
        <v>3117</v>
      </c>
      <c r="BX1719" s="563"/>
      <c r="BY1719" s="475" t="s">
        <v>7227</v>
      </c>
      <c r="BZ1719" s="475" t="s">
        <v>3165</v>
      </c>
      <c r="CA1719" s="574"/>
      <c r="CB1719" s="572"/>
      <c r="CC1719" s="568"/>
      <c r="CD1719" s="568"/>
      <c r="CE1719" s="568"/>
      <c r="CF1719" s="568"/>
      <c r="CG1719" s="568"/>
      <c r="CH1719" s="568"/>
      <c r="CI1719" s="568"/>
      <c r="CJ1719" s="568"/>
      <c r="CK1719" s="568"/>
      <c r="CL1719" s="568"/>
      <c r="CM1719" s="568">
        <v>20.88</v>
      </c>
      <c r="CN1719" s="568">
        <v>41.761000000000003</v>
      </c>
      <c r="CO1719" s="568">
        <v>41.761000000000003</v>
      </c>
      <c r="CP1719" s="568">
        <v>41.761000000000003</v>
      </c>
      <c r="CQ1719" s="568">
        <v>41.761000000000003</v>
      </c>
      <c r="CR1719" s="568">
        <v>41.761000000000003</v>
      </c>
      <c r="CS1719" s="568">
        <v>41.761000000000003</v>
      </c>
      <c r="CT1719" s="568"/>
      <c r="CU1719" s="568"/>
      <c r="CV1719" s="568"/>
      <c r="CW1719" s="568"/>
      <c r="CX1719" s="568"/>
      <c r="CY1719" s="568"/>
      <c r="CZ1719" s="568"/>
      <c r="DA1719" s="568"/>
      <c r="DB1719" s="568"/>
      <c r="DC1719" s="568"/>
      <c r="DD1719" s="568"/>
      <c r="DE1719" s="561"/>
      <c r="DF1719" s="561"/>
      <c r="DG1719" s="561"/>
      <c r="DH1719" s="561"/>
      <c r="DI1719" s="561"/>
      <c r="DJ1719" s="561"/>
      <c r="DK1719" s="897"/>
    </row>
    <row r="1720" spans="1:115" ht="25.5" x14ac:dyDescent="0.2">
      <c r="A1720" s="295">
        <v>1716</v>
      </c>
      <c r="B1720" s="390" t="s">
        <v>9165</v>
      </c>
      <c r="C1720" s="390"/>
      <c r="D1720" s="436" t="s">
        <v>9166</v>
      </c>
      <c r="E1720" s="709" t="s">
        <v>9191</v>
      </c>
      <c r="F1720" s="393" t="s">
        <v>1375</v>
      </c>
      <c r="G1720" s="393" t="s">
        <v>998</v>
      </c>
      <c r="H1720" s="393" t="s">
        <v>504</v>
      </c>
      <c r="I1720" s="392"/>
      <c r="J1720" s="392"/>
      <c r="K1720" s="392" t="s">
        <v>5627</v>
      </c>
      <c r="L1720" s="392" t="s">
        <v>5926</v>
      </c>
      <c r="M1720" s="563"/>
      <c r="N1720" s="393" t="s">
        <v>44</v>
      </c>
      <c r="O1720" s="393" t="s">
        <v>51</v>
      </c>
      <c r="P1720" s="393" t="s">
        <v>51</v>
      </c>
      <c r="Q1720" s="392" t="s">
        <v>976</v>
      </c>
      <c r="R1720" s="560" t="s">
        <v>8376</v>
      </c>
      <c r="S1720" s="392" t="s">
        <v>977</v>
      </c>
      <c r="T1720" s="394">
        <v>1</v>
      </c>
      <c r="U1720" s="565">
        <v>38.777999999999999</v>
      </c>
      <c r="V1720" s="565"/>
      <c r="W1720" s="566"/>
      <c r="X1720" s="564"/>
      <c r="Y1720" s="564">
        <v>7</v>
      </c>
      <c r="Z1720" s="564">
        <v>21</v>
      </c>
      <c r="AA1720" s="565">
        <v>0</v>
      </c>
      <c r="AB1720" s="567">
        <v>42958</v>
      </c>
      <c r="AC1720" s="568">
        <v>0</v>
      </c>
      <c r="AD1720" s="568">
        <v>131.52647671232876</v>
      </c>
      <c r="AE1720" s="393" t="s">
        <v>47</v>
      </c>
      <c r="AF1720" s="569"/>
      <c r="AG1720" s="569"/>
      <c r="AH1720" s="569"/>
      <c r="AI1720" s="564"/>
      <c r="AJ1720" s="566"/>
      <c r="AK1720" s="566"/>
      <c r="AL1720" s="561"/>
      <c r="AM1720" s="561"/>
      <c r="AN1720" s="569"/>
      <c r="AO1720" s="563"/>
      <c r="AP1720" s="428"/>
      <c r="AQ1720" s="563"/>
      <c r="AR1720" s="392" t="s">
        <v>55</v>
      </c>
      <c r="AS1720" s="479">
        <v>41685</v>
      </c>
      <c r="AT1720" s="566"/>
      <c r="AU1720" s="566"/>
      <c r="AV1720" s="566"/>
      <c r="AW1720" s="566"/>
      <c r="AX1720" s="566"/>
      <c r="AY1720" s="566"/>
      <c r="AZ1720" s="566">
        <v>42958</v>
      </c>
      <c r="BA1720" s="561"/>
      <c r="BB1720" s="561"/>
      <c r="BC1720" s="393" t="b">
        <v>0</v>
      </c>
      <c r="BD1720" s="561"/>
      <c r="BE1720" s="563"/>
      <c r="BF1720" s="394">
        <v>4</v>
      </c>
      <c r="BG1720" s="394">
        <v>1</v>
      </c>
      <c r="BH1720" s="394">
        <v>6</v>
      </c>
      <c r="BI1720" s="394">
        <v>9</v>
      </c>
      <c r="BJ1720" s="394"/>
      <c r="BK1720" s="394"/>
      <c r="BL1720" s="444" t="s">
        <v>6981</v>
      </c>
      <c r="BM1720" s="563"/>
      <c r="BN1720" s="561"/>
      <c r="BO1720" s="561"/>
      <c r="BP1720" s="571"/>
      <c r="BQ1720" s="572"/>
      <c r="BR1720" s="573"/>
      <c r="BS1720" s="571"/>
      <c r="BT1720" s="564"/>
      <c r="BU1720" s="569"/>
      <c r="BV1720" s="571"/>
      <c r="BW1720" s="562" t="s">
        <v>3117</v>
      </c>
      <c r="BX1720" s="563"/>
      <c r="BY1720" s="475" t="s">
        <v>7227</v>
      </c>
      <c r="BZ1720" s="475" t="s">
        <v>3165</v>
      </c>
      <c r="CA1720" s="574"/>
      <c r="CB1720" s="572"/>
      <c r="CC1720" s="568"/>
      <c r="CD1720" s="568"/>
      <c r="CE1720" s="568"/>
      <c r="CF1720" s="568"/>
      <c r="CG1720" s="568"/>
      <c r="CH1720" s="568"/>
      <c r="CI1720" s="568"/>
      <c r="CJ1720" s="568"/>
      <c r="CK1720" s="568"/>
      <c r="CL1720" s="568"/>
      <c r="CM1720" s="568">
        <v>20.88</v>
      </c>
      <c r="CN1720" s="568">
        <v>41.761000000000003</v>
      </c>
      <c r="CO1720" s="568">
        <v>41.761000000000003</v>
      </c>
      <c r="CP1720" s="568">
        <v>41.761000000000003</v>
      </c>
      <c r="CQ1720" s="568">
        <v>41.761000000000003</v>
      </c>
      <c r="CR1720" s="568">
        <v>41.761000000000003</v>
      </c>
      <c r="CS1720" s="568">
        <v>41.761000000000003</v>
      </c>
      <c r="CT1720" s="568"/>
      <c r="CU1720" s="568"/>
      <c r="CV1720" s="568"/>
      <c r="CW1720" s="568"/>
      <c r="CX1720" s="568"/>
      <c r="CY1720" s="568"/>
      <c r="CZ1720" s="568"/>
      <c r="DA1720" s="568"/>
      <c r="DB1720" s="568"/>
      <c r="DC1720" s="568"/>
      <c r="DD1720" s="568"/>
      <c r="DE1720" s="561"/>
      <c r="DF1720" s="561"/>
      <c r="DG1720" s="561"/>
      <c r="DH1720" s="561"/>
      <c r="DI1720" s="561"/>
      <c r="DJ1720" s="561"/>
      <c r="DK1720" s="897"/>
    </row>
    <row r="1721" spans="1:115" ht="25.5" x14ac:dyDescent="0.2">
      <c r="A1721" s="295">
        <v>1717</v>
      </c>
      <c r="B1721" s="390" t="s">
        <v>9167</v>
      </c>
      <c r="C1721" s="390"/>
      <c r="D1721" s="436" t="s">
        <v>9168</v>
      </c>
      <c r="E1721" s="709" t="s">
        <v>9192</v>
      </c>
      <c r="F1721" s="393" t="s">
        <v>1375</v>
      </c>
      <c r="G1721" s="393" t="s">
        <v>998</v>
      </c>
      <c r="H1721" s="393" t="s">
        <v>504</v>
      </c>
      <c r="I1721" s="392"/>
      <c r="J1721" s="392"/>
      <c r="K1721" s="392" t="s">
        <v>5627</v>
      </c>
      <c r="L1721" s="392" t="s">
        <v>5926</v>
      </c>
      <c r="M1721" s="563"/>
      <c r="N1721" s="393" t="s">
        <v>44</v>
      </c>
      <c r="O1721" s="393" t="s">
        <v>51</v>
      </c>
      <c r="P1721" s="393" t="s">
        <v>51</v>
      </c>
      <c r="Q1721" s="392" t="s">
        <v>976</v>
      </c>
      <c r="R1721" s="560" t="s">
        <v>8376</v>
      </c>
      <c r="S1721" s="392" t="s">
        <v>977</v>
      </c>
      <c r="T1721" s="394">
        <v>1</v>
      </c>
      <c r="U1721" s="565">
        <v>38.777999999999999</v>
      </c>
      <c r="V1721" s="565"/>
      <c r="W1721" s="566"/>
      <c r="X1721" s="564"/>
      <c r="Y1721" s="564">
        <v>7</v>
      </c>
      <c r="Z1721" s="564">
        <v>21</v>
      </c>
      <c r="AA1721" s="565">
        <v>0</v>
      </c>
      <c r="AB1721" s="567">
        <v>42958</v>
      </c>
      <c r="AC1721" s="568">
        <v>0</v>
      </c>
      <c r="AD1721" s="568">
        <v>131.52647671232876</v>
      </c>
      <c r="AE1721" s="393" t="s">
        <v>47</v>
      </c>
      <c r="AF1721" s="569"/>
      <c r="AG1721" s="569"/>
      <c r="AH1721" s="569"/>
      <c r="AI1721" s="564"/>
      <c r="AJ1721" s="566"/>
      <c r="AK1721" s="566"/>
      <c r="AL1721" s="561"/>
      <c r="AM1721" s="561"/>
      <c r="AN1721" s="569"/>
      <c r="AO1721" s="563"/>
      <c r="AP1721" s="428"/>
      <c r="AQ1721" s="563"/>
      <c r="AR1721" s="392" t="s">
        <v>55</v>
      </c>
      <c r="AS1721" s="479">
        <v>41685</v>
      </c>
      <c r="AT1721" s="566"/>
      <c r="AU1721" s="566"/>
      <c r="AV1721" s="566"/>
      <c r="AW1721" s="566"/>
      <c r="AX1721" s="566"/>
      <c r="AY1721" s="566"/>
      <c r="AZ1721" s="566">
        <v>42958</v>
      </c>
      <c r="BA1721" s="561"/>
      <c r="BB1721" s="561"/>
      <c r="BC1721" s="393" t="b">
        <v>0</v>
      </c>
      <c r="BD1721" s="561"/>
      <c r="BE1721" s="563"/>
      <c r="BF1721" s="394">
        <v>4</v>
      </c>
      <c r="BG1721" s="394">
        <v>1</v>
      </c>
      <c r="BH1721" s="394">
        <v>6</v>
      </c>
      <c r="BI1721" s="394">
        <v>9</v>
      </c>
      <c r="BJ1721" s="394"/>
      <c r="BK1721" s="394"/>
      <c r="BL1721" s="444" t="s">
        <v>6981</v>
      </c>
      <c r="BM1721" s="563"/>
      <c r="BN1721" s="561"/>
      <c r="BO1721" s="561"/>
      <c r="BP1721" s="571"/>
      <c r="BQ1721" s="572"/>
      <c r="BR1721" s="573"/>
      <c r="BS1721" s="571"/>
      <c r="BT1721" s="564"/>
      <c r="BU1721" s="569"/>
      <c r="BV1721" s="571"/>
      <c r="BW1721" s="562" t="s">
        <v>3117</v>
      </c>
      <c r="BX1721" s="563"/>
      <c r="BY1721" s="475" t="s">
        <v>7227</v>
      </c>
      <c r="BZ1721" s="475" t="s">
        <v>3165</v>
      </c>
      <c r="CA1721" s="574"/>
      <c r="CB1721" s="572"/>
      <c r="CC1721" s="568"/>
      <c r="CD1721" s="568"/>
      <c r="CE1721" s="568"/>
      <c r="CF1721" s="568"/>
      <c r="CG1721" s="568"/>
      <c r="CH1721" s="568"/>
      <c r="CI1721" s="568"/>
      <c r="CJ1721" s="568"/>
      <c r="CK1721" s="568"/>
      <c r="CL1721" s="568"/>
      <c r="CM1721" s="568">
        <v>20.88</v>
      </c>
      <c r="CN1721" s="568">
        <v>41.761000000000003</v>
      </c>
      <c r="CO1721" s="568">
        <v>41.761000000000003</v>
      </c>
      <c r="CP1721" s="568">
        <v>41.761000000000003</v>
      </c>
      <c r="CQ1721" s="568">
        <v>41.761000000000003</v>
      </c>
      <c r="CR1721" s="568">
        <v>41.761000000000003</v>
      </c>
      <c r="CS1721" s="568">
        <v>41.761000000000003</v>
      </c>
      <c r="CT1721" s="568"/>
      <c r="CU1721" s="568"/>
      <c r="CV1721" s="568"/>
      <c r="CW1721" s="568"/>
      <c r="CX1721" s="568"/>
      <c r="CY1721" s="568"/>
      <c r="CZ1721" s="568"/>
      <c r="DA1721" s="568"/>
      <c r="DB1721" s="568"/>
      <c r="DC1721" s="568"/>
      <c r="DD1721" s="568"/>
      <c r="DE1721" s="561"/>
      <c r="DF1721" s="561"/>
      <c r="DG1721" s="561"/>
      <c r="DH1721" s="561"/>
      <c r="DI1721" s="561"/>
      <c r="DJ1721" s="561"/>
      <c r="DK1721" s="897"/>
    </row>
    <row r="1722" spans="1:115" ht="25.5" x14ac:dyDescent="0.2">
      <c r="A1722" s="295">
        <v>1718</v>
      </c>
      <c r="B1722" s="390" t="s">
        <v>9169</v>
      </c>
      <c r="C1722" s="390"/>
      <c r="D1722" s="436" t="s">
        <v>9170</v>
      </c>
      <c r="E1722" s="709" t="s">
        <v>9193</v>
      </c>
      <c r="F1722" s="393" t="s">
        <v>1375</v>
      </c>
      <c r="G1722" s="393" t="s">
        <v>998</v>
      </c>
      <c r="H1722" s="393" t="s">
        <v>504</v>
      </c>
      <c r="I1722" s="392"/>
      <c r="J1722" s="392"/>
      <c r="K1722" s="392" t="s">
        <v>5627</v>
      </c>
      <c r="L1722" s="392" t="s">
        <v>5926</v>
      </c>
      <c r="M1722" s="563"/>
      <c r="N1722" s="393" t="s">
        <v>44</v>
      </c>
      <c r="O1722" s="393" t="s">
        <v>51</v>
      </c>
      <c r="P1722" s="393" t="s">
        <v>51</v>
      </c>
      <c r="Q1722" s="392" t="s">
        <v>976</v>
      </c>
      <c r="R1722" s="560" t="s">
        <v>8376</v>
      </c>
      <c r="S1722" s="392" t="s">
        <v>977</v>
      </c>
      <c r="T1722" s="394">
        <v>1</v>
      </c>
      <c r="U1722" s="565">
        <v>38.777999999999999</v>
      </c>
      <c r="V1722" s="565"/>
      <c r="W1722" s="566"/>
      <c r="X1722" s="564"/>
      <c r="Y1722" s="564">
        <v>7</v>
      </c>
      <c r="Z1722" s="564">
        <v>21</v>
      </c>
      <c r="AA1722" s="565">
        <v>0</v>
      </c>
      <c r="AB1722" s="567">
        <v>42958</v>
      </c>
      <c r="AC1722" s="568">
        <v>0</v>
      </c>
      <c r="AD1722" s="568">
        <v>131.52647671232876</v>
      </c>
      <c r="AE1722" s="393" t="s">
        <v>47</v>
      </c>
      <c r="AF1722" s="569"/>
      <c r="AG1722" s="569"/>
      <c r="AH1722" s="569"/>
      <c r="AI1722" s="564"/>
      <c r="AJ1722" s="566"/>
      <c r="AK1722" s="566"/>
      <c r="AL1722" s="561"/>
      <c r="AM1722" s="561"/>
      <c r="AN1722" s="569"/>
      <c r="AO1722" s="563"/>
      <c r="AP1722" s="428"/>
      <c r="AQ1722" s="563"/>
      <c r="AR1722" s="392" t="s">
        <v>55</v>
      </c>
      <c r="AS1722" s="479">
        <v>41685</v>
      </c>
      <c r="AT1722" s="566"/>
      <c r="AU1722" s="566"/>
      <c r="AV1722" s="566"/>
      <c r="AW1722" s="566"/>
      <c r="AX1722" s="566"/>
      <c r="AY1722" s="566"/>
      <c r="AZ1722" s="566">
        <v>42958</v>
      </c>
      <c r="BA1722" s="561"/>
      <c r="BB1722" s="561"/>
      <c r="BC1722" s="393" t="b">
        <v>0</v>
      </c>
      <c r="BD1722" s="561"/>
      <c r="BE1722" s="563"/>
      <c r="BF1722" s="394">
        <v>4</v>
      </c>
      <c r="BG1722" s="394">
        <v>1</v>
      </c>
      <c r="BH1722" s="394">
        <v>6</v>
      </c>
      <c r="BI1722" s="394">
        <v>9</v>
      </c>
      <c r="BJ1722" s="394"/>
      <c r="BK1722" s="394"/>
      <c r="BL1722" s="444" t="s">
        <v>6981</v>
      </c>
      <c r="BM1722" s="563"/>
      <c r="BN1722" s="561"/>
      <c r="BO1722" s="561"/>
      <c r="BP1722" s="571"/>
      <c r="BQ1722" s="572"/>
      <c r="BR1722" s="573"/>
      <c r="BS1722" s="571"/>
      <c r="BT1722" s="564"/>
      <c r="BU1722" s="569"/>
      <c r="BV1722" s="571"/>
      <c r="BW1722" s="562" t="s">
        <v>3117</v>
      </c>
      <c r="BX1722" s="563"/>
      <c r="BY1722" s="475" t="s">
        <v>7227</v>
      </c>
      <c r="BZ1722" s="475" t="s">
        <v>3165</v>
      </c>
      <c r="CA1722" s="574"/>
      <c r="CB1722" s="572"/>
      <c r="CC1722" s="568"/>
      <c r="CD1722" s="568"/>
      <c r="CE1722" s="568"/>
      <c r="CF1722" s="568"/>
      <c r="CG1722" s="568"/>
      <c r="CH1722" s="568"/>
      <c r="CI1722" s="568"/>
      <c r="CJ1722" s="568"/>
      <c r="CK1722" s="568"/>
      <c r="CL1722" s="568"/>
      <c r="CM1722" s="568">
        <v>20.88</v>
      </c>
      <c r="CN1722" s="568">
        <v>41.761000000000003</v>
      </c>
      <c r="CO1722" s="568">
        <v>41.761000000000003</v>
      </c>
      <c r="CP1722" s="568">
        <v>41.761000000000003</v>
      </c>
      <c r="CQ1722" s="568">
        <v>41.761000000000003</v>
      </c>
      <c r="CR1722" s="568">
        <v>41.761000000000003</v>
      </c>
      <c r="CS1722" s="568">
        <v>41.761000000000003</v>
      </c>
      <c r="CT1722" s="568"/>
      <c r="CU1722" s="568"/>
      <c r="CV1722" s="568"/>
      <c r="CW1722" s="568"/>
      <c r="CX1722" s="568"/>
      <c r="CY1722" s="568"/>
      <c r="CZ1722" s="568"/>
      <c r="DA1722" s="568"/>
      <c r="DB1722" s="568"/>
      <c r="DC1722" s="568"/>
      <c r="DD1722" s="568"/>
      <c r="DE1722" s="561"/>
      <c r="DF1722" s="561"/>
      <c r="DG1722" s="561"/>
      <c r="DH1722" s="561"/>
      <c r="DI1722" s="561"/>
      <c r="DJ1722" s="561"/>
      <c r="DK1722" s="897"/>
    </row>
    <row r="1723" spans="1:115" ht="25.5" x14ac:dyDescent="0.2">
      <c r="A1723" s="295">
        <v>1719</v>
      </c>
      <c r="B1723" s="390" t="s">
        <v>9171</v>
      </c>
      <c r="C1723" s="390"/>
      <c r="D1723" s="436" t="s">
        <v>9172</v>
      </c>
      <c r="E1723" s="709" t="s">
        <v>9173</v>
      </c>
      <c r="F1723" s="393" t="s">
        <v>1375</v>
      </c>
      <c r="G1723" s="393" t="s">
        <v>998</v>
      </c>
      <c r="H1723" s="393" t="s">
        <v>504</v>
      </c>
      <c r="I1723" s="392"/>
      <c r="J1723" s="392"/>
      <c r="K1723" s="392" t="s">
        <v>5627</v>
      </c>
      <c r="L1723" s="392" t="s">
        <v>5926</v>
      </c>
      <c r="M1723" s="563"/>
      <c r="N1723" s="393" t="s">
        <v>44</v>
      </c>
      <c r="O1723" s="393" t="s">
        <v>51</v>
      </c>
      <c r="P1723" s="393" t="s">
        <v>51</v>
      </c>
      <c r="Q1723" s="392" t="s">
        <v>976</v>
      </c>
      <c r="R1723" s="560" t="s">
        <v>8376</v>
      </c>
      <c r="S1723" s="392" t="s">
        <v>977</v>
      </c>
      <c r="T1723" s="394">
        <v>1</v>
      </c>
      <c r="U1723" s="565">
        <v>38.777999999999999</v>
      </c>
      <c r="V1723" s="565"/>
      <c r="W1723" s="566"/>
      <c r="X1723" s="564"/>
      <c r="Y1723" s="564">
        <v>7</v>
      </c>
      <c r="Z1723" s="564">
        <v>21</v>
      </c>
      <c r="AA1723" s="565">
        <v>0</v>
      </c>
      <c r="AB1723" s="567">
        <v>42958</v>
      </c>
      <c r="AC1723" s="568">
        <v>0</v>
      </c>
      <c r="AD1723" s="568">
        <v>131.52647671232876</v>
      </c>
      <c r="AE1723" s="393" t="s">
        <v>47</v>
      </c>
      <c r="AF1723" s="569"/>
      <c r="AG1723" s="569"/>
      <c r="AH1723" s="569"/>
      <c r="AI1723" s="564"/>
      <c r="AJ1723" s="566"/>
      <c r="AK1723" s="566"/>
      <c r="AL1723" s="561"/>
      <c r="AM1723" s="561"/>
      <c r="AN1723" s="569"/>
      <c r="AO1723" s="563"/>
      <c r="AP1723" s="428"/>
      <c r="AQ1723" s="563"/>
      <c r="AR1723" s="392" t="s">
        <v>55</v>
      </c>
      <c r="AS1723" s="479">
        <v>41685</v>
      </c>
      <c r="AT1723" s="566"/>
      <c r="AU1723" s="566"/>
      <c r="AV1723" s="566"/>
      <c r="AW1723" s="566"/>
      <c r="AX1723" s="566"/>
      <c r="AY1723" s="566"/>
      <c r="AZ1723" s="566">
        <v>42958</v>
      </c>
      <c r="BA1723" s="561"/>
      <c r="BB1723" s="561"/>
      <c r="BC1723" s="393" t="b">
        <v>0</v>
      </c>
      <c r="BD1723" s="561"/>
      <c r="BE1723" s="563"/>
      <c r="BF1723" s="394">
        <v>4</v>
      </c>
      <c r="BG1723" s="394">
        <v>1</v>
      </c>
      <c r="BH1723" s="394">
        <v>6</v>
      </c>
      <c r="BI1723" s="394">
        <v>9</v>
      </c>
      <c r="BJ1723" s="394"/>
      <c r="BK1723" s="394"/>
      <c r="BL1723" s="444" t="s">
        <v>6981</v>
      </c>
      <c r="BM1723" s="563"/>
      <c r="BN1723" s="561"/>
      <c r="BO1723" s="561"/>
      <c r="BP1723" s="571"/>
      <c r="BQ1723" s="572"/>
      <c r="BR1723" s="573"/>
      <c r="BS1723" s="571"/>
      <c r="BT1723" s="564"/>
      <c r="BU1723" s="569"/>
      <c r="BV1723" s="571"/>
      <c r="BW1723" s="562" t="s">
        <v>3117</v>
      </c>
      <c r="BX1723" s="563"/>
      <c r="BY1723" s="475" t="s">
        <v>7227</v>
      </c>
      <c r="BZ1723" s="475" t="s">
        <v>3165</v>
      </c>
      <c r="CA1723" s="574"/>
      <c r="CB1723" s="572"/>
      <c r="CC1723" s="568"/>
      <c r="CD1723" s="568"/>
      <c r="CE1723" s="568"/>
      <c r="CF1723" s="568"/>
      <c r="CG1723" s="568"/>
      <c r="CH1723" s="568"/>
      <c r="CI1723" s="568"/>
      <c r="CJ1723" s="568"/>
      <c r="CK1723" s="568"/>
      <c r="CL1723" s="568"/>
      <c r="CM1723" s="568">
        <v>20.88</v>
      </c>
      <c r="CN1723" s="568">
        <v>41.761000000000003</v>
      </c>
      <c r="CO1723" s="568">
        <v>41.761000000000003</v>
      </c>
      <c r="CP1723" s="568">
        <v>41.761000000000003</v>
      </c>
      <c r="CQ1723" s="568">
        <v>41.761000000000003</v>
      </c>
      <c r="CR1723" s="568">
        <v>41.761000000000003</v>
      </c>
      <c r="CS1723" s="568">
        <v>41.761000000000003</v>
      </c>
      <c r="CT1723" s="568"/>
      <c r="CU1723" s="568"/>
      <c r="CV1723" s="568"/>
      <c r="CW1723" s="568"/>
      <c r="CX1723" s="568"/>
      <c r="CY1723" s="568"/>
      <c r="CZ1723" s="568"/>
      <c r="DA1723" s="568"/>
      <c r="DB1723" s="568"/>
      <c r="DC1723" s="568"/>
      <c r="DD1723" s="568"/>
      <c r="DE1723" s="561"/>
      <c r="DF1723" s="561"/>
      <c r="DG1723" s="561"/>
      <c r="DH1723" s="561"/>
      <c r="DI1723" s="561"/>
      <c r="DJ1723" s="561"/>
      <c r="DK1723" s="897"/>
    </row>
    <row r="1724" spans="1:115" ht="63.75" x14ac:dyDescent="0.2">
      <c r="A1724" s="295">
        <v>1720</v>
      </c>
      <c r="B1724" s="390" t="s">
        <v>5931</v>
      </c>
      <c r="C1724" s="424" t="s">
        <v>7872</v>
      </c>
      <c r="D1724" s="391"/>
      <c r="E1724" s="844" t="s">
        <v>5932</v>
      </c>
      <c r="F1724" s="390" t="s">
        <v>1352</v>
      </c>
      <c r="G1724" s="390" t="s">
        <v>1673</v>
      </c>
      <c r="H1724" s="390" t="s">
        <v>313</v>
      </c>
      <c r="I1724" s="402"/>
      <c r="J1724" s="402" t="s">
        <v>313</v>
      </c>
      <c r="K1724" s="402"/>
      <c r="L1724" s="402" t="s">
        <v>5933</v>
      </c>
      <c r="M1724" s="816" t="s">
        <v>5934</v>
      </c>
      <c r="N1724" s="390" t="s">
        <v>33</v>
      </c>
      <c r="O1724" s="390" t="s">
        <v>45</v>
      </c>
      <c r="P1724" s="390" t="s">
        <v>45</v>
      </c>
      <c r="Q1724" s="402" t="s">
        <v>303</v>
      </c>
      <c r="R1724" s="816"/>
      <c r="S1724" s="402" t="s">
        <v>291</v>
      </c>
      <c r="T1724" s="411">
        <v>1</v>
      </c>
      <c r="U1724" s="852">
        <v>25.754000000000001</v>
      </c>
      <c r="V1724" s="852"/>
      <c r="W1724" s="856">
        <v>41690</v>
      </c>
      <c r="X1724" s="851">
        <v>28</v>
      </c>
      <c r="Y1724" s="851"/>
      <c r="Z1724" s="851"/>
      <c r="AA1724" s="852"/>
      <c r="AB1724" s="858"/>
      <c r="AC1724" s="862">
        <v>0</v>
      </c>
      <c r="AD1724" s="862">
        <v>128.8405589041096</v>
      </c>
      <c r="AE1724" s="390" t="s">
        <v>47</v>
      </c>
      <c r="AF1724" s="866"/>
      <c r="AG1724" s="866"/>
      <c r="AH1724" s="866">
        <v>0</v>
      </c>
      <c r="AI1724" s="851"/>
      <c r="AJ1724" s="858"/>
      <c r="AK1724" s="858"/>
      <c r="AL1724" s="577"/>
      <c r="AM1724" s="577"/>
      <c r="AN1724" s="866"/>
      <c r="AO1724" s="816"/>
      <c r="AP1724" s="402" t="s">
        <v>55</v>
      </c>
      <c r="AQ1724" s="816"/>
      <c r="AR1724" s="402" t="s">
        <v>55</v>
      </c>
      <c r="AS1724" s="481">
        <v>41691</v>
      </c>
      <c r="AT1724" s="858"/>
      <c r="AU1724" s="858"/>
      <c r="AV1724" s="858"/>
      <c r="AW1724" s="858"/>
      <c r="AX1724" s="858"/>
      <c r="AY1724" s="858"/>
      <c r="AZ1724" s="858"/>
      <c r="BA1724" s="577"/>
      <c r="BB1724" s="577" t="s">
        <v>3147</v>
      </c>
      <c r="BC1724" s="390" t="b">
        <v>0</v>
      </c>
      <c r="BD1724" s="577" t="s">
        <v>3147</v>
      </c>
      <c r="BE1724" s="816"/>
      <c r="BF1724" s="411">
        <v>10</v>
      </c>
      <c r="BG1724" s="411">
        <v>5</v>
      </c>
      <c r="BH1724" s="411">
        <v>8</v>
      </c>
      <c r="BI1724" s="411">
        <v>9</v>
      </c>
      <c r="BJ1724" s="411"/>
      <c r="BK1724" s="411"/>
      <c r="BL1724" s="445" t="s">
        <v>6981</v>
      </c>
      <c r="BM1724" s="816"/>
      <c r="BN1724" s="577"/>
      <c r="BO1724" s="577"/>
      <c r="BP1724" s="875"/>
      <c r="BQ1724" s="880"/>
      <c r="BR1724" s="885"/>
      <c r="BS1724" s="875">
        <v>5</v>
      </c>
      <c r="BT1724" s="851"/>
      <c r="BU1724" s="866"/>
      <c r="BV1724" s="875"/>
      <c r="BW1724" s="577"/>
      <c r="BX1724" s="816"/>
      <c r="BY1724" s="390" t="s">
        <v>7224</v>
      </c>
      <c r="BZ1724" s="390"/>
      <c r="CA1724" s="890"/>
      <c r="CB1724" s="880"/>
      <c r="CC1724" s="862"/>
      <c r="CD1724" s="862"/>
      <c r="CE1724" s="862"/>
      <c r="CF1724" s="862"/>
      <c r="CG1724" s="862"/>
      <c r="CH1724" s="862"/>
      <c r="CI1724" s="862"/>
      <c r="CJ1724" s="862"/>
      <c r="CK1724" s="862"/>
      <c r="CL1724" s="862"/>
      <c r="CM1724" s="862"/>
      <c r="CN1724" s="862"/>
      <c r="CO1724" s="862"/>
      <c r="CP1724" s="862"/>
      <c r="CQ1724" s="862"/>
      <c r="CR1724" s="862"/>
      <c r="CS1724" s="862"/>
      <c r="CT1724" s="862"/>
      <c r="CU1724" s="862"/>
      <c r="CV1724" s="862"/>
      <c r="CW1724" s="862"/>
      <c r="CX1724" s="862"/>
      <c r="CY1724" s="862"/>
      <c r="CZ1724" s="862"/>
      <c r="DA1724" s="862"/>
      <c r="DB1724" s="862"/>
      <c r="DC1724" s="862"/>
      <c r="DD1724" s="862"/>
      <c r="DE1724" s="577"/>
      <c r="DF1724" s="577"/>
      <c r="DG1724" s="577"/>
      <c r="DH1724" s="577"/>
      <c r="DI1724" s="577"/>
      <c r="DJ1724" s="577"/>
      <c r="DK1724" s="897"/>
    </row>
    <row r="1725" spans="1:115" ht="51" x14ac:dyDescent="0.2">
      <c r="A1725" s="295">
        <v>1721</v>
      </c>
      <c r="B1725" s="390" t="s">
        <v>5935</v>
      </c>
      <c r="C1725" s="390"/>
      <c r="D1725" s="391"/>
      <c r="E1725" s="844" t="s">
        <v>5936</v>
      </c>
      <c r="F1725" s="390" t="s">
        <v>1352</v>
      </c>
      <c r="G1725" s="390" t="s">
        <v>1673</v>
      </c>
      <c r="H1725" s="390" t="s">
        <v>313</v>
      </c>
      <c r="I1725" s="402"/>
      <c r="J1725" s="402"/>
      <c r="K1725" s="402" t="s">
        <v>5937</v>
      </c>
      <c r="L1725" s="402" t="s">
        <v>5933</v>
      </c>
      <c r="M1725" s="816"/>
      <c r="N1725" s="390" t="s">
        <v>33</v>
      </c>
      <c r="O1725" s="390" t="s">
        <v>45</v>
      </c>
      <c r="P1725" s="390" t="s">
        <v>45</v>
      </c>
      <c r="Q1725" s="402" t="s">
        <v>303</v>
      </c>
      <c r="R1725" s="816" t="s">
        <v>5938</v>
      </c>
      <c r="S1725" s="402" t="s">
        <v>291</v>
      </c>
      <c r="T1725" s="411">
        <v>1</v>
      </c>
      <c r="U1725" s="852">
        <v>25.754000000000001</v>
      </c>
      <c r="V1725" s="852"/>
      <c r="W1725" s="858"/>
      <c r="X1725" s="851"/>
      <c r="Y1725" s="851">
        <v>7</v>
      </c>
      <c r="Z1725" s="851">
        <v>20</v>
      </c>
      <c r="AA1725" s="852">
        <v>0</v>
      </c>
      <c r="AB1725" s="856">
        <v>42370</v>
      </c>
      <c r="AC1725" s="862">
        <v>0</v>
      </c>
      <c r="AD1725" s="862">
        <v>128.8405589041096</v>
      </c>
      <c r="AE1725" s="390" t="s">
        <v>47</v>
      </c>
      <c r="AF1725" s="866"/>
      <c r="AG1725" s="866"/>
      <c r="AH1725" s="866"/>
      <c r="AI1725" s="851"/>
      <c r="AJ1725" s="858"/>
      <c r="AK1725" s="858"/>
      <c r="AL1725" s="577"/>
      <c r="AM1725" s="577"/>
      <c r="AN1725" s="866"/>
      <c r="AO1725" s="816"/>
      <c r="AP1725" s="402" t="s">
        <v>55</v>
      </c>
      <c r="AQ1725" s="816"/>
      <c r="AR1725" s="402" t="s">
        <v>55</v>
      </c>
      <c r="AS1725" s="481">
        <v>41691</v>
      </c>
      <c r="AT1725" s="858"/>
      <c r="AU1725" s="858"/>
      <c r="AV1725" s="858"/>
      <c r="AW1725" s="858"/>
      <c r="AX1725" s="858"/>
      <c r="AY1725" s="858"/>
      <c r="AZ1725" s="858"/>
      <c r="BA1725" s="577"/>
      <c r="BB1725" s="577"/>
      <c r="BC1725" s="390" t="b">
        <v>0</v>
      </c>
      <c r="BD1725" s="577"/>
      <c r="BE1725" s="816"/>
      <c r="BF1725" s="411">
        <v>10</v>
      </c>
      <c r="BG1725" s="411">
        <v>5</v>
      </c>
      <c r="BH1725" s="411">
        <v>8</v>
      </c>
      <c r="BI1725" s="411">
        <v>9</v>
      </c>
      <c r="BJ1725" s="411"/>
      <c r="BK1725" s="411"/>
      <c r="BL1725" s="445" t="s">
        <v>6981</v>
      </c>
      <c r="BM1725" s="816"/>
      <c r="BN1725" s="577"/>
      <c r="BO1725" s="577"/>
      <c r="BP1725" s="875"/>
      <c r="BQ1725" s="880"/>
      <c r="BR1725" s="885"/>
      <c r="BS1725" s="875">
        <v>5</v>
      </c>
      <c r="BT1725" s="851">
        <v>35040</v>
      </c>
      <c r="BU1725" s="866">
        <v>0.73499999999999999</v>
      </c>
      <c r="BV1725" s="875"/>
      <c r="BW1725" s="577" t="s">
        <v>3117</v>
      </c>
      <c r="BX1725" s="816"/>
      <c r="BY1725" s="390" t="s">
        <v>7224</v>
      </c>
      <c r="BZ1725" s="390"/>
      <c r="CA1725" s="890"/>
      <c r="CB1725" s="880"/>
      <c r="CC1725" s="862"/>
      <c r="CD1725" s="862"/>
      <c r="CE1725" s="862"/>
      <c r="CF1725" s="862"/>
      <c r="CG1725" s="862"/>
      <c r="CH1725" s="862"/>
      <c r="CI1725" s="862"/>
      <c r="CJ1725" s="862"/>
      <c r="CK1725" s="862"/>
      <c r="CL1725" s="862">
        <v>25.754000000000001</v>
      </c>
      <c r="CM1725" s="862">
        <v>25.754000000000001</v>
      </c>
      <c r="CN1725" s="862">
        <v>25.754000000000001</v>
      </c>
      <c r="CO1725" s="862">
        <v>25.754000000000001</v>
      </c>
      <c r="CP1725" s="862">
        <v>25.754000000000001</v>
      </c>
      <c r="CQ1725" s="862">
        <v>25.754000000000001</v>
      </c>
      <c r="CR1725" s="862">
        <v>25.754000000000001</v>
      </c>
      <c r="CS1725" s="862"/>
      <c r="CT1725" s="862"/>
      <c r="CU1725" s="862"/>
      <c r="CV1725" s="862"/>
      <c r="CW1725" s="862"/>
      <c r="CX1725" s="862"/>
      <c r="CY1725" s="862"/>
      <c r="CZ1725" s="862"/>
      <c r="DA1725" s="862"/>
      <c r="DB1725" s="862"/>
      <c r="DC1725" s="862"/>
      <c r="DD1725" s="862"/>
      <c r="DE1725" s="577"/>
      <c r="DF1725" s="577"/>
      <c r="DG1725" s="577"/>
      <c r="DH1725" s="577"/>
      <c r="DI1725" s="577"/>
      <c r="DJ1725" s="577"/>
      <c r="DK1725" s="897"/>
    </row>
    <row r="1726" spans="1:115" ht="38.25" x14ac:dyDescent="0.2">
      <c r="A1726" s="295">
        <v>1722</v>
      </c>
      <c r="B1726" s="390" t="s">
        <v>6044</v>
      </c>
      <c r="C1726" s="424" t="s">
        <v>7873</v>
      </c>
      <c r="D1726" s="391" t="s">
        <v>6973</v>
      </c>
      <c r="E1726" s="843" t="s">
        <v>6045</v>
      </c>
      <c r="F1726" s="393" t="s">
        <v>1352</v>
      </c>
      <c r="G1726" s="393" t="s">
        <v>1673</v>
      </c>
      <c r="H1726" s="393" t="s">
        <v>67</v>
      </c>
      <c r="I1726" s="392"/>
      <c r="J1726" s="392" t="s">
        <v>67</v>
      </c>
      <c r="K1726" s="392"/>
      <c r="L1726" s="392" t="s">
        <v>6046</v>
      </c>
      <c r="M1726" s="563" t="s">
        <v>6047</v>
      </c>
      <c r="N1726" s="393" t="s">
        <v>44</v>
      </c>
      <c r="O1726" s="393" t="s">
        <v>69</v>
      </c>
      <c r="P1726" s="393" t="s">
        <v>69</v>
      </c>
      <c r="Q1726" s="392" t="s">
        <v>152</v>
      </c>
      <c r="R1726" s="563"/>
      <c r="S1726" s="392" t="s">
        <v>153</v>
      </c>
      <c r="T1726" s="394">
        <v>4</v>
      </c>
      <c r="U1726" s="565">
        <v>14.077999999999999</v>
      </c>
      <c r="V1726" s="565"/>
      <c r="W1726" s="567">
        <v>41718</v>
      </c>
      <c r="X1726" s="564">
        <v>28</v>
      </c>
      <c r="Y1726" s="564"/>
      <c r="Z1726" s="564"/>
      <c r="AA1726" s="565"/>
      <c r="AB1726" s="566"/>
      <c r="AC1726" s="568">
        <v>0</v>
      </c>
      <c r="AD1726" s="568">
        <v>140.78</v>
      </c>
      <c r="AE1726" s="393" t="s">
        <v>54</v>
      </c>
      <c r="AF1726" s="569"/>
      <c r="AG1726" s="569"/>
      <c r="AH1726" s="569">
        <v>0</v>
      </c>
      <c r="AI1726" s="564"/>
      <c r="AJ1726" s="566"/>
      <c r="AK1726" s="566"/>
      <c r="AL1726" s="561"/>
      <c r="AM1726" s="561"/>
      <c r="AN1726" s="569"/>
      <c r="AO1726" s="563"/>
      <c r="AP1726" s="392" t="s">
        <v>55</v>
      </c>
      <c r="AQ1726" s="563"/>
      <c r="AR1726" s="392" t="s">
        <v>55</v>
      </c>
      <c r="AS1726" s="479">
        <v>41718</v>
      </c>
      <c r="AT1726" s="566"/>
      <c r="AU1726" s="566"/>
      <c r="AV1726" s="567">
        <v>41714</v>
      </c>
      <c r="AW1726" s="567">
        <v>42009</v>
      </c>
      <c r="AX1726" s="567">
        <v>42080</v>
      </c>
      <c r="AY1726" s="567">
        <v>42009</v>
      </c>
      <c r="AZ1726" s="566"/>
      <c r="BA1726" s="561"/>
      <c r="BB1726" s="561" t="s">
        <v>3147</v>
      </c>
      <c r="BC1726" s="393" t="b">
        <v>0</v>
      </c>
      <c r="BD1726" s="561" t="s">
        <v>3147</v>
      </c>
      <c r="BE1726" s="563"/>
      <c r="BF1726" s="394">
        <v>2</v>
      </c>
      <c r="BG1726" s="394">
        <v>1</v>
      </c>
      <c r="BH1726" s="394">
        <v>9</v>
      </c>
      <c r="BI1726" s="394">
        <v>5</v>
      </c>
      <c r="BJ1726" s="394"/>
      <c r="BK1726" s="394"/>
      <c r="BL1726" s="444" t="s">
        <v>6981</v>
      </c>
      <c r="BM1726" s="563"/>
      <c r="BN1726" s="561"/>
      <c r="BO1726" s="561"/>
      <c r="BP1726" s="571"/>
      <c r="BQ1726" s="572"/>
      <c r="BR1726" s="573"/>
      <c r="BS1726" s="571">
        <v>0</v>
      </c>
      <c r="BT1726" s="564"/>
      <c r="BU1726" s="569"/>
      <c r="BV1726" s="571"/>
      <c r="BW1726" s="561"/>
      <c r="BX1726" s="563"/>
      <c r="BY1726" s="393" t="s">
        <v>7224</v>
      </c>
      <c r="BZ1726" s="393"/>
      <c r="CA1726" s="574"/>
      <c r="CB1726" s="572"/>
      <c r="CC1726" s="568"/>
      <c r="CD1726" s="568"/>
      <c r="CE1726" s="568"/>
      <c r="CF1726" s="568"/>
      <c r="CG1726" s="568"/>
      <c r="CH1726" s="568"/>
      <c r="CI1726" s="568"/>
      <c r="CJ1726" s="568"/>
      <c r="CK1726" s="568"/>
      <c r="CL1726" s="568"/>
      <c r="CM1726" s="568"/>
      <c r="CN1726" s="568"/>
      <c r="CO1726" s="568"/>
      <c r="CP1726" s="568"/>
      <c r="CQ1726" s="568"/>
      <c r="CR1726" s="568"/>
      <c r="CS1726" s="568"/>
      <c r="CT1726" s="568"/>
      <c r="CU1726" s="568"/>
      <c r="CV1726" s="568"/>
      <c r="CW1726" s="568"/>
      <c r="CX1726" s="568"/>
      <c r="CY1726" s="568"/>
      <c r="CZ1726" s="568"/>
      <c r="DA1726" s="568"/>
      <c r="DB1726" s="568"/>
      <c r="DC1726" s="568"/>
      <c r="DD1726" s="568"/>
      <c r="DE1726" s="561"/>
      <c r="DF1726" s="561"/>
      <c r="DG1726" s="561"/>
      <c r="DH1726" s="561"/>
      <c r="DI1726" s="561"/>
      <c r="DJ1726" s="561"/>
      <c r="DK1726" s="896" t="s">
        <v>9703</v>
      </c>
    </row>
    <row r="1727" spans="1:115" ht="38.25" x14ac:dyDescent="0.2">
      <c r="A1727" s="295">
        <v>1723</v>
      </c>
      <c r="B1727" s="390" t="s">
        <v>6048</v>
      </c>
      <c r="C1727" s="390"/>
      <c r="D1727" s="391" t="s">
        <v>6974</v>
      </c>
      <c r="E1727" s="843" t="s">
        <v>6049</v>
      </c>
      <c r="F1727" s="393" t="s">
        <v>1352</v>
      </c>
      <c r="G1727" s="393" t="s">
        <v>1673</v>
      </c>
      <c r="H1727" s="393" t="s">
        <v>67</v>
      </c>
      <c r="I1727" s="392"/>
      <c r="J1727" s="392"/>
      <c r="K1727" s="392" t="s">
        <v>6050</v>
      </c>
      <c r="L1727" s="392" t="s">
        <v>6046</v>
      </c>
      <c r="M1727" s="563"/>
      <c r="N1727" s="393" t="s">
        <v>44</v>
      </c>
      <c r="O1727" s="393" t="s">
        <v>69</v>
      </c>
      <c r="P1727" s="393" t="s">
        <v>69</v>
      </c>
      <c r="Q1727" s="392" t="s">
        <v>152</v>
      </c>
      <c r="R1727" s="563" t="s">
        <v>6074</v>
      </c>
      <c r="S1727" s="392" t="s">
        <v>153</v>
      </c>
      <c r="T1727" s="394">
        <v>1</v>
      </c>
      <c r="U1727" s="565">
        <v>6.9779999999999998</v>
      </c>
      <c r="V1727" s="565"/>
      <c r="W1727" s="566"/>
      <c r="X1727" s="564"/>
      <c r="Y1727" s="564">
        <v>10</v>
      </c>
      <c r="Z1727" s="564">
        <v>20</v>
      </c>
      <c r="AA1727" s="565">
        <v>-0.65600000000000003</v>
      </c>
      <c r="AB1727" s="567">
        <v>41913</v>
      </c>
      <c r="AC1727" s="568">
        <v>0</v>
      </c>
      <c r="AD1727" s="568">
        <v>69.78</v>
      </c>
      <c r="AE1727" s="393" t="s">
        <v>54</v>
      </c>
      <c r="AF1727" s="569"/>
      <c r="AG1727" s="569"/>
      <c r="AH1727" s="569"/>
      <c r="AI1727" s="564"/>
      <c r="AJ1727" s="566"/>
      <c r="AK1727" s="566"/>
      <c r="AL1727" s="561"/>
      <c r="AM1727" s="561"/>
      <c r="AN1727" s="569"/>
      <c r="AO1727" s="563"/>
      <c r="AP1727" s="392" t="s">
        <v>55</v>
      </c>
      <c r="AQ1727" s="563"/>
      <c r="AR1727" s="392" t="s">
        <v>55</v>
      </c>
      <c r="AS1727" s="479">
        <v>41718</v>
      </c>
      <c r="AT1727" s="566"/>
      <c r="AU1727" s="566"/>
      <c r="AV1727" s="566"/>
      <c r="AW1727" s="566"/>
      <c r="AX1727" s="566"/>
      <c r="AY1727" s="566"/>
      <c r="AZ1727" s="567">
        <v>42009</v>
      </c>
      <c r="BA1727" s="561"/>
      <c r="BB1727" s="561"/>
      <c r="BC1727" s="393" t="b">
        <v>0</v>
      </c>
      <c r="BD1727" s="561"/>
      <c r="BE1727" s="563"/>
      <c r="BF1727" s="394">
        <v>2</v>
      </c>
      <c r="BG1727" s="394">
        <v>1</v>
      </c>
      <c r="BH1727" s="394">
        <v>9</v>
      </c>
      <c r="BI1727" s="394">
        <v>5</v>
      </c>
      <c r="BJ1727" s="394"/>
      <c r="BK1727" s="394"/>
      <c r="BL1727" s="444" t="s">
        <v>6981</v>
      </c>
      <c r="BM1727" s="563"/>
      <c r="BN1727" s="561"/>
      <c r="BO1727" s="561"/>
      <c r="BP1727" s="571"/>
      <c r="BQ1727" s="572"/>
      <c r="BR1727" s="573"/>
      <c r="BS1727" s="571"/>
      <c r="BT1727" s="564"/>
      <c r="BU1727" s="569"/>
      <c r="BV1727" s="571"/>
      <c r="BW1727" s="561" t="s">
        <v>3165</v>
      </c>
      <c r="BX1727" s="563"/>
      <c r="BY1727" s="393" t="s">
        <v>7224</v>
      </c>
      <c r="BZ1727" s="393"/>
      <c r="CA1727" s="574"/>
      <c r="CB1727" s="572"/>
      <c r="CC1727" s="568"/>
      <c r="CD1727" s="568"/>
      <c r="CE1727" s="568"/>
      <c r="CF1727" s="568"/>
      <c r="CG1727" s="568"/>
      <c r="CH1727" s="568"/>
      <c r="CI1727" s="568"/>
      <c r="CJ1727" s="568">
        <v>0.69699999999999995</v>
      </c>
      <c r="CK1727" s="568">
        <v>2.91</v>
      </c>
      <c r="CL1727" s="568">
        <v>4.3920000000000003</v>
      </c>
      <c r="CM1727" s="568">
        <v>5.4260000000000002</v>
      </c>
      <c r="CN1727" s="568">
        <v>6.1459999999999999</v>
      </c>
      <c r="CO1727" s="568">
        <v>6.6520000000000001</v>
      </c>
      <c r="CP1727" s="568">
        <v>7.0140000000000002</v>
      </c>
      <c r="CQ1727" s="568">
        <v>7.2779999999999996</v>
      </c>
      <c r="CR1727" s="568">
        <v>7.4729999999999999</v>
      </c>
      <c r="CS1727" s="568">
        <v>7.6219999999999999</v>
      </c>
      <c r="CT1727" s="568"/>
      <c r="CU1727" s="568"/>
      <c r="CV1727" s="568"/>
      <c r="CW1727" s="568"/>
      <c r="CX1727" s="568"/>
      <c r="CY1727" s="568"/>
      <c r="CZ1727" s="568"/>
      <c r="DA1727" s="568"/>
      <c r="DB1727" s="568"/>
      <c r="DC1727" s="568"/>
      <c r="DD1727" s="568"/>
      <c r="DE1727" s="561"/>
      <c r="DF1727" s="561"/>
      <c r="DG1727" s="561"/>
      <c r="DH1727" s="561"/>
      <c r="DI1727" s="561"/>
      <c r="DJ1727" s="561"/>
      <c r="DK1727" s="897"/>
    </row>
    <row r="1728" spans="1:115" ht="51" x14ac:dyDescent="0.2">
      <c r="A1728" s="295">
        <v>1724</v>
      </c>
      <c r="B1728" s="390" t="s">
        <v>9581</v>
      </c>
      <c r="C1728" s="390"/>
      <c r="D1728" s="391" t="s">
        <v>9582</v>
      </c>
      <c r="E1728" s="709" t="s">
        <v>9587</v>
      </c>
      <c r="F1728" s="393" t="s">
        <v>1352</v>
      </c>
      <c r="G1728" s="393" t="s">
        <v>1673</v>
      </c>
      <c r="H1728" s="393" t="s">
        <v>67</v>
      </c>
      <c r="I1728" s="392"/>
      <c r="J1728" s="392"/>
      <c r="K1728" s="428" t="s">
        <v>9590</v>
      </c>
      <c r="L1728" s="428" t="s">
        <v>6046</v>
      </c>
      <c r="M1728" s="563"/>
      <c r="N1728" s="475" t="s">
        <v>44</v>
      </c>
      <c r="O1728" s="475" t="s">
        <v>69</v>
      </c>
      <c r="P1728" s="475" t="s">
        <v>69</v>
      </c>
      <c r="Q1728" s="428" t="s">
        <v>152</v>
      </c>
      <c r="R1728" s="560" t="s">
        <v>9591</v>
      </c>
      <c r="S1728" s="428" t="s">
        <v>153</v>
      </c>
      <c r="T1728" s="394">
        <v>1</v>
      </c>
      <c r="U1728" s="565">
        <v>2.98</v>
      </c>
      <c r="V1728" s="565"/>
      <c r="W1728" s="566"/>
      <c r="X1728" s="564"/>
      <c r="Y1728" s="564">
        <v>10</v>
      </c>
      <c r="Z1728" s="564">
        <v>20</v>
      </c>
      <c r="AA1728" s="565"/>
      <c r="AB1728" s="567">
        <v>43259</v>
      </c>
      <c r="AC1728" s="568">
        <v>0</v>
      </c>
      <c r="AD1728" s="568">
        <v>29.8</v>
      </c>
      <c r="AE1728" s="393" t="s">
        <v>54</v>
      </c>
      <c r="AF1728" s="569"/>
      <c r="AG1728" s="569"/>
      <c r="AH1728" s="569"/>
      <c r="AI1728" s="564"/>
      <c r="AJ1728" s="566"/>
      <c r="AK1728" s="566"/>
      <c r="AL1728" s="561"/>
      <c r="AM1728" s="561"/>
      <c r="AN1728" s="569"/>
      <c r="AO1728" s="563"/>
      <c r="AP1728" s="392" t="s">
        <v>55</v>
      </c>
      <c r="AQ1728" s="563"/>
      <c r="AR1728" s="392" t="s">
        <v>55</v>
      </c>
      <c r="AS1728" s="479">
        <v>41718</v>
      </c>
      <c r="AT1728" s="566"/>
      <c r="AU1728" s="566"/>
      <c r="AV1728" s="566"/>
      <c r="AW1728" s="566"/>
      <c r="AX1728" s="566"/>
      <c r="AY1728" s="566"/>
      <c r="AZ1728" s="567">
        <v>43259</v>
      </c>
      <c r="BA1728" s="561"/>
      <c r="BB1728" s="561"/>
      <c r="BC1728" s="393" t="b">
        <v>0</v>
      </c>
      <c r="BD1728" s="561"/>
      <c r="BE1728" s="563"/>
      <c r="BF1728" s="394">
        <v>2</v>
      </c>
      <c r="BG1728" s="394">
        <v>1</v>
      </c>
      <c r="BH1728" s="394">
        <v>9</v>
      </c>
      <c r="BI1728" s="394">
        <v>5</v>
      </c>
      <c r="BJ1728" s="394"/>
      <c r="BK1728" s="394"/>
      <c r="BL1728" s="444" t="s">
        <v>6981</v>
      </c>
      <c r="BM1728" s="563"/>
      <c r="BN1728" s="561"/>
      <c r="BO1728" s="561"/>
      <c r="BP1728" s="571"/>
      <c r="BQ1728" s="572"/>
      <c r="BR1728" s="573"/>
      <c r="BS1728" s="571"/>
      <c r="BT1728" s="564"/>
      <c r="BU1728" s="569"/>
      <c r="BV1728" s="571"/>
      <c r="BW1728" s="562" t="s">
        <v>3165</v>
      </c>
      <c r="BX1728" s="563"/>
      <c r="BY1728" s="475" t="s">
        <v>7224</v>
      </c>
      <c r="BZ1728" s="393"/>
      <c r="CA1728" s="574"/>
      <c r="CB1728" s="572"/>
      <c r="CC1728" s="568"/>
      <c r="CD1728" s="568"/>
      <c r="CE1728" s="568"/>
      <c r="CF1728" s="568"/>
      <c r="CG1728" s="568"/>
      <c r="CH1728" s="568"/>
      <c r="CI1728" s="568"/>
      <c r="CJ1728" s="568"/>
      <c r="CK1728" s="568"/>
      <c r="CL1728" s="568"/>
      <c r="CM1728" s="568"/>
      <c r="CN1728" s="568">
        <v>0.623</v>
      </c>
      <c r="CO1728" s="568">
        <v>1.708</v>
      </c>
      <c r="CP1728" s="568">
        <v>2.4430000000000001</v>
      </c>
      <c r="CQ1728" s="568">
        <v>2.9420000000000002</v>
      </c>
      <c r="CR1728" s="568">
        <v>3.2829999999999999</v>
      </c>
      <c r="CS1728" s="568">
        <v>3.5169999999999999</v>
      </c>
      <c r="CT1728" s="568">
        <v>3.68</v>
      </c>
      <c r="CU1728" s="568">
        <v>3.7949999999999999</v>
      </c>
      <c r="CV1728" s="568">
        <v>3.8759999999999999</v>
      </c>
      <c r="CW1728" s="568">
        <v>3.9359999999999999</v>
      </c>
      <c r="CX1728" s="568"/>
      <c r="CY1728" s="568"/>
      <c r="CZ1728" s="568"/>
      <c r="DA1728" s="568"/>
      <c r="DB1728" s="568"/>
      <c r="DC1728" s="568"/>
      <c r="DD1728" s="568"/>
      <c r="DE1728" s="561"/>
      <c r="DF1728" s="561"/>
      <c r="DG1728" s="561"/>
      <c r="DH1728" s="561"/>
      <c r="DI1728" s="561"/>
      <c r="DJ1728" s="561"/>
      <c r="DK1728" s="897"/>
    </row>
    <row r="1729" spans="1:115" ht="51" x14ac:dyDescent="0.2">
      <c r="A1729" s="295">
        <v>1725</v>
      </c>
      <c r="B1729" s="390" t="s">
        <v>9583</v>
      </c>
      <c r="C1729" s="390"/>
      <c r="D1729" s="391" t="s">
        <v>9584</v>
      </c>
      <c r="E1729" s="709" t="s">
        <v>9588</v>
      </c>
      <c r="F1729" s="393" t="s">
        <v>1352</v>
      </c>
      <c r="G1729" s="393" t="s">
        <v>1673</v>
      </c>
      <c r="H1729" s="393" t="s">
        <v>67</v>
      </c>
      <c r="I1729" s="392"/>
      <c r="J1729" s="392"/>
      <c r="K1729" s="428" t="s">
        <v>9592</v>
      </c>
      <c r="L1729" s="428" t="s">
        <v>6046</v>
      </c>
      <c r="M1729" s="563"/>
      <c r="N1729" s="475" t="s">
        <v>44</v>
      </c>
      <c r="O1729" s="475" t="s">
        <v>69</v>
      </c>
      <c r="P1729" s="475" t="s">
        <v>69</v>
      </c>
      <c r="Q1729" s="428" t="s">
        <v>152</v>
      </c>
      <c r="R1729" s="560" t="s">
        <v>9591</v>
      </c>
      <c r="S1729" s="428" t="s">
        <v>153</v>
      </c>
      <c r="T1729" s="394">
        <v>1</v>
      </c>
      <c r="U1729" s="565">
        <v>1.77</v>
      </c>
      <c r="V1729" s="565"/>
      <c r="W1729" s="566"/>
      <c r="X1729" s="564"/>
      <c r="Y1729" s="564">
        <v>10</v>
      </c>
      <c r="Z1729" s="564">
        <v>20</v>
      </c>
      <c r="AA1729" s="565"/>
      <c r="AB1729" s="567">
        <v>43259</v>
      </c>
      <c r="AC1729" s="568">
        <v>0</v>
      </c>
      <c r="AD1729" s="568">
        <v>17.7</v>
      </c>
      <c r="AE1729" s="393" t="s">
        <v>54</v>
      </c>
      <c r="AF1729" s="569"/>
      <c r="AG1729" s="569"/>
      <c r="AH1729" s="569"/>
      <c r="AI1729" s="564"/>
      <c r="AJ1729" s="566"/>
      <c r="AK1729" s="566"/>
      <c r="AL1729" s="561"/>
      <c r="AM1729" s="561"/>
      <c r="AN1729" s="569"/>
      <c r="AO1729" s="563"/>
      <c r="AP1729" s="392" t="s">
        <v>55</v>
      </c>
      <c r="AQ1729" s="563"/>
      <c r="AR1729" s="392" t="s">
        <v>55</v>
      </c>
      <c r="AS1729" s="479">
        <v>41718</v>
      </c>
      <c r="AT1729" s="566"/>
      <c r="AU1729" s="566"/>
      <c r="AV1729" s="566"/>
      <c r="AW1729" s="566"/>
      <c r="AX1729" s="566"/>
      <c r="AY1729" s="566"/>
      <c r="AZ1729" s="567">
        <v>43259</v>
      </c>
      <c r="BA1729" s="561"/>
      <c r="BB1729" s="561"/>
      <c r="BC1729" s="393" t="b">
        <v>0</v>
      </c>
      <c r="BD1729" s="561"/>
      <c r="BE1729" s="563"/>
      <c r="BF1729" s="394">
        <v>2</v>
      </c>
      <c r="BG1729" s="394">
        <v>1</v>
      </c>
      <c r="BH1729" s="394">
        <v>9</v>
      </c>
      <c r="BI1729" s="394">
        <v>5</v>
      </c>
      <c r="BJ1729" s="394"/>
      <c r="BK1729" s="394"/>
      <c r="BL1729" s="444" t="s">
        <v>6981</v>
      </c>
      <c r="BM1729" s="563"/>
      <c r="BN1729" s="561"/>
      <c r="BO1729" s="561"/>
      <c r="BP1729" s="571"/>
      <c r="BQ1729" s="572"/>
      <c r="BR1729" s="573"/>
      <c r="BS1729" s="571"/>
      <c r="BT1729" s="564"/>
      <c r="BU1729" s="569"/>
      <c r="BV1729" s="571"/>
      <c r="BW1729" s="562" t="s">
        <v>3165</v>
      </c>
      <c r="BX1729" s="563"/>
      <c r="BY1729" s="475" t="s">
        <v>7224</v>
      </c>
      <c r="BZ1729" s="393"/>
      <c r="CA1729" s="574"/>
      <c r="CB1729" s="572"/>
      <c r="CC1729" s="568"/>
      <c r="CD1729" s="568"/>
      <c r="CE1729" s="568"/>
      <c r="CF1729" s="568"/>
      <c r="CG1729" s="568"/>
      <c r="CH1729" s="568"/>
      <c r="CI1729" s="568"/>
      <c r="CJ1729" s="568"/>
      <c r="CK1729" s="568"/>
      <c r="CL1729" s="568"/>
      <c r="CM1729" s="568"/>
      <c r="CN1729" s="568">
        <v>0.33300000000000002</v>
      </c>
      <c r="CO1729" s="568">
        <v>0.98599999999999999</v>
      </c>
      <c r="CP1729" s="568">
        <v>1.431</v>
      </c>
      <c r="CQ1729" s="568">
        <v>1.7370000000000001</v>
      </c>
      <c r="CR1729" s="568">
        <v>1.948</v>
      </c>
      <c r="CS1729" s="568">
        <v>2.0950000000000002</v>
      </c>
      <c r="CT1729" s="568">
        <v>2.2000000000000002</v>
      </c>
      <c r="CU1729" s="568">
        <v>2.2759999999999998</v>
      </c>
      <c r="CV1729" s="568">
        <v>2.331</v>
      </c>
      <c r="CW1729" s="568">
        <v>2.3730000000000002</v>
      </c>
      <c r="CX1729" s="568"/>
      <c r="CY1729" s="568"/>
      <c r="CZ1729" s="568"/>
      <c r="DA1729" s="568"/>
      <c r="DB1729" s="568"/>
      <c r="DC1729" s="568"/>
      <c r="DD1729" s="568"/>
      <c r="DE1729" s="561"/>
      <c r="DF1729" s="561"/>
      <c r="DG1729" s="561"/>
      <c r="DH1729" s="561"/>
      <c r="DI1729" s="561"/>
      <c r="DJ1729" s="561"/>
      <c r="DK1729" s="897"/>
    </row>
    <row r="1730" spans="1:115" ht="51" x14ac:dyDescent="0.2">
      <c r="A1730" s="295">
        <v>1726</v>
      </c>
      <c r="B1730" s="390" t="s">
        <v>9585</v>
      </c>
      <c r="C1730" s="390"/>
      <c r="D1730" s="391" t="s">
        <v>9586</v>
      </c>
      <c r="E1730" s="705" t="s">
        <v>9589</v>
      </c>
      <c r="F1730" s="393" t="s">
        <v>1352</v>
      </c>
      <c r="G1730" s="393" t="s">
        <v>1673</v>
      </c>
      <c r="H1730" s="393" t="s">
        <v>67</v>
      </c>
      <c r="I1730" s="392"/>
      <c r="J1730" s="392"/>
      <c r="K1730" s="428" t="s">
        <v>9593</v>
      </c>
      <c r="L1730" s="428" t="s">
        <v>6046</v>
      </c>
      <c r="M1730" s="392"/>
      <c r="N1730" s="475" t="s">
        <v>44</v>
      </c>
      <c r="O1730" s="475" t="s">
        <v>69</v>
      </c>
      <c r="P1730" s="475" t="s">
        <v>69</v>
      </c>
      <c r="Q1730" s="428" t="s">
        <v>152</v>
      </c>
      <c r="R1730" s="428" t="s">
        <v>9591</v>
      </c>
      <c r="S1730" s="428" t="s">
        <v>153</v>
      </c>
      <c r="T1730" s="394">
        <v>1</v>
      </c>
      <c r="U1730" s="395">
        <v>2.35</v>
      </c>
      <c r="V1730" s="395"/>
      <c r="W1730" s="453"/>
      <c r="X1730" s="394"/>
      <c r="Y1730" s="394">
        <v>10</v>
      </c>
      <c r="Z1730" s="394">
        <v>20</v>
      </c>
      <c r="AA1730" s="395"/>
      <c r="AB1730" s="452">
        <v>43259</v>
      </c>
      <c r="AC1730" s="398">
        <v>0</v>
      </c>
      <c r="AD1730" s="398">
        <v>23.5</v>
      </c>
      <c r="AE1730" s="393" t="s">
        <v>54</v>
      </c>
      <c r="AF1730" s="417"/>
      <c r="AG1730" s="417"/>
      <c r="AH1730" s="417"/>
      <c r="AI1730" s="394"/>
      <c r="AJ1730" s="453"/>
      <c r="AK1730" s="453"/>
      <c r="AL1730" s="393"/>
      <c r="AM1730" s="393"/>
      <c r="AN1730" s="417"/>
      <c r="AO1730" s="392"/>
      <c r="AP1730" s="392" t="s">
        <v>55</v>
      </c>
      <c r="AQ1730" s="392"/>
      <c r="AR1730" s="392" t="s">
        <v>55</v>
      </c>
      <c r="AS1730" s="479">
        <v>41718</v>
      </c>
      <c r="AT1730" s="453"/>
      <c r="AU1730" s="453"/>
      <c r="AV1730" s="453"/>
      <c r="AW1730" s="453"/>
      <c r="AX1730" s="453"/>
      <c r="AY1730" s="453"/>
      <c r="AZ1730" s="452">
        <v>43259</v>
      </c>
      <c r="BA1730" s="393"/>
      <c r="BB1730" s="393"/>
      <c r="BC1730" s="393" t="b">
        <v>0</v>
      </c>
      <c r="BD1730" s="393"/>
      <c r="BE1730" s="392"/>
      <c r="BF1730" s="394">
        <v>2</v>
      </c>
      <c r="BG1730" s="394">
        <v>1</v>
      </c>
      <c r="BH1730" s="394">
        <v>9</v>
      </c>
      <c r="BI1730" s="394">
        <v>5</v>
      </c>
      <c r="BJ1730" s="394"/>
      <c r="BK1730" s="394"/>
      <c r="BL1730" s="444" t="s">
        <v>6981</v>
      </c>
      <c r="BM1730" s="392"/>
      <c r="BN1730" s="393"/>
      <c r="BO1730" s="393"/>
      <c r="BP1730" s="399"/>
      <c r="BQ1730" s="400"/>
      <c r="BR1730" s="401"/>
      <c r="BS1730" s="399"/>
      <c r="BT1730" s="394"/>
      <c r="BU1730" s="417"/>
      <c r="BV1730" s="399"/>
      <c r="BW1730" s="475" t="s">
        <v>3117</v>
      </c>
      <c r="BX1730" s="392"/>
      <c r="BY1730" s="475" t="s">
        <v>7224</v>
      </c>
      <c r="BZ1730" s="393"/>
      <c r="CA1730" s="441"/>
      <c r="CB1730" s="400"/>
      <c r="CC1730" s="398"/>
      <c r="CD1730" s="398"/>
      <c r="CE1730" s="398"/>
      <c r="CF1730" s="398"/>
      <c r="CG1730" s="398"/>
      <c r="CH1730" s="398"/>
      <c r="CI1730" s="398"/>
      <c r="CJ1730" s="398"/>
      <c r="CK1730" s="398"/>
      <c r="CL1730" s="398"/>
      <c r="CM1730" s="398"/>
      <c r="CN1730" s="398">
        <v>0.40899999999999997</v>
      </c>
      <c r="CO1730" s="398">
        <v>1.266</v>
      </c>
      <c r="CP1730" s="398">
        <v>1.8580000000000001</v>
      </c>
      <c r="CQ1730" s="398">
        <v>2.2730000000000001</v>
      </c>
      <c r="CR1730" s="398">
        <v>2.5670000000000002</v>
      </c>
      <c r="CS1730" s="398">
        <v>2.7789999999999999</v>
      </c>
      <c r="CT1730" s="398">
        <v>2.9350000000000001</v>
      </c>
      <c r="CU1730" s="398">
        <v>3.0539999999999998</v>
      </c>
      <c r="CV1730" s="398">
        <v>3.1459999999999999</v>
      </c>
      <c r="CW1730" s="398">
        <v>3.2189999999999999</v>
      </c>
      <c r="CX1730" s="398"/>
      <c r="CY1730" s="398"/>
      <c r="CZ1730" s="398"/>
      <c r="DA1730" s="398"/>
      <c r="DB1730" s="398"/>
      <c r="DC1730" s="398"/>
      <c r="DD1730" s="398"/>
      <c r="DE1730" s="393"/>
      <c r="DF1730" s="393"/>
      <c r="DG1730" s="393"/>
      <c r="DH1730" s="393"/>
      <c r="DI1730" s="393"/>
      <c r="DJ1730" s="393"/>
      <c r="DK1730" s="897"/>
    </row>
    <row r="1731" spans="1:115" ht="51" x14ac:dyDescent="0.2">
      <c r="A1731" s="295">
        <v>1727</v>
      </c>
      <c r="B1731" s="390" t="s">
        <v>6075</v>
      </c>
      <c r="C1731" s="424" t="s">
        <v>7874</v>
      </c>
      <c r="D1731" s="391"/>
      <c r="E1731" s="706" t="s">
        <v>6076</v>
      </c>
      <c r="F1731" s="390" t="s">
        <v>1352</v>
      </c>
      <c r="G1731" s="390" t="s">
        <v>1673</v>
      </c>
      <c r="H1731" s="390" t="s">
        <v>313</v>
      </c>
      <c r="I1731" s="402"/>
      <c r="J1731" s="402" t="s">
        <v>313</v>
      </c>
      <c r="K1731" s="402"/>
      <c r="L1731" s="402" t="s">
        <v>6077</v>
      </c>
      <c r="M1731" s="402" t="s">
        <v>6078</v>
      </c>
      <c r="N1731" s="390" t="s">
        <v>33</v>
      </c>
      <c r="O1731" s="390" t="s">
        <v>45</v>
      </c>
      <c r="P1731" s="390" t="s">
        <v>45</v>
      </c>
      <c r="Q1731" s="402" t="s">
        <v>1210</v>
      </c>
      <c r="R1731" s="402"/>
      <c r="S1731" s="402" t="s">
        <v>46</v>
      </c>
      <c r="T1731" s="411">
        <v>1</v>
      </c>
      <c r="U1731" s="412">
        <v>8.7379999999999995</v>
      </c>
      <c r="V1731" s="412"/>
      <c r="W1731" s="457">
        <v>41729</v>
      </c>
      <c r="X1731" s="411">
        <v>28</v>
      </c>
      <c r="Y1731" s="411"/>
      <c r="Z1731" s="411"/>
      <c r="AA1731" s="412"/>
      <c r="AB1731" s="454"/>
      <c r="AC1731" s="413">
        <v>0</v>
      </c>
      <c r="AD1731" s="413">
        <v>52.451939726027391</v>
      </c>
      <c r="AE1731" s="390" t="s">
        <v>47</v>
      </c>
      <c r="AF1731" s="419"/>
      <c r="AG1731" s="419"/>
      <c r="AH1731" s="419">
        <v>0</v>
      </c>
      <c r="AI1731" s="411"/>
      <c r="AJ1731" s="454"/>
      <c r="AK1731" s="454"/>
      <c r="AL1731" s="390"/>
      <c r="AM1731" s="390"/>
      <c r="AN1731" s="419"/>
      <c r="AO1731" s="402"/>
      <c r="AP1731" s="402" t="s">
        <v>55</v>
      </c>
      <c r="AQ1731" s="402"/>
      <c r="AR1731" s="402" t="s">
        <v>55</v>
      </c>
      <c r="AS1731" s="481">
        <v>41731</v>
      </c>
      <c r="AT1731" s="454"/>
      <c r="AU1731" s="454"/>
      <c r="AV1731" s="454"/>
      <c r="AW1731" s="454"/>
      <c r="AX1731" s="454"/>
      <c r="AY1731" s="454"/>
      <c r="AZ1731" s="454"/>
      <c r="BA1731" s="390"/>
      <c r="BB1731" s="390" t="s">
        <v>3147</v>
      </c>
      <c r="BC1731" s="390" t="b">
        <v>0</v>
      </c>
      <c r="BD1731" s="390" t="s">
        <v>3147</v>
      </c>
      <c r="BE1731" s="402"/>
      <c r="BF1731" s="411">
        <v>10</v>
      </c>
      <c r="BG1731" s="411">
        <v>5</v>
      </c>
      <c r="BH1731" s="411">
        <v>9</v>
      </c>
      <c r="BI1731" s="411">
        <v>2</v>
      </c>
      <c r="BJ1731" s="411"/>
      <c r="BK1731" s="411"/>
      <c r="BL1731" s="445" t="s">
        <v>6981</v>
      </c>
      <c r="BM1731" s="402"/>
      <c r="BN1731" s="390"/>
      <c r="BO1731" s="390"/>
      <c r="BP1731" s="414"/>
      <c r="BQ1731" s="415"/>
      <c r="BR1731" s="416"/>
      <c r="BS1731" s="414">
        <v>0</v>
      </c>
      <c r="BT1731" s="411"/>
      <c r="BU1731" s="419"/>
      <c r="BV1731" s="414"/>
      <c r="BW1731" s="390"/>
      <c r="BX1731" s="402"/>
      <c r="BY1731" s="390"/>
      <c r="BZ1731" s="390"/>
      <c r="CA1731" s="442"/>
      <c r="CB1731" s="415"/>
      <c r="CC1731" s="413"/>
      <c r="CD1731" s="413"/>
      <c r="CE1731" s="413"/>
      <c r="CF1731" s="413"/>
      <c r="CG1731" s="413"/>
      <c r="CH1731" s="413"/>
      <c r="CI1731" s="413"/>
      <c r="CJ1731" s="413"/>
      <c r="CK1731" s="413"/>
      <c r="CL1731" s="413"/>
      <c r="CM1731" s="413"/>
      <c r="CN1731" s="413"/>
      <c r="CO1731" s="413"/>
      <c r="CP1731" s="413"/>
      <c r="CQ1731" s="413"/>
      <c r="CR1731" s="413"/>
      <c r="CS1731" s="413"/>
      <c r="CT1731" s="413"/>
      <c r="CU1731" s="413"/>
      <c r="CV1731" s="413"/>
      <c r="CW1731" s="413"/>
      <c r="CX1731" s="413"/>
      <c r="CY1731" s="413"/>
      <c r="CZ1731" s="413"/>
      <c r="DA1731" s="413"/>
      <c r="DB1731" s="413"/>
      <c r="DC1731" s="413"/>
      <c r="DD1731" s="413"/>
      <c r="DE1731" s="390"/>
      <c r="DF1731" s="390"/>
      <c r="DG1731" s="390"/>
      <c r="DH1731" s="390"/>
      <c r="DI1731" s="390"/>
      <c r="DJ1731" s="390"/>
      <c r="DK1731" s="897"/>
    </row>
    <row r="1732" spans="1:115" ht="38.25" x14ac:dyDescent="0.2">
      <c r="A1732" s="295">
        <v>1728</v>
      </c>
      <c r="B1732" s="390" t="s">
        <v>6079</v>
      </c>
      <c r="C1732" s="390"/>
      <c r="D1732" s="391"/>
      <c r="E1732" s="706" t="s">
        <v>6080</v>
      </c>
      <c r="F1732" s="390" t="s">
        <v>1352</v>
      </c>
      <c r="G1732" s="390" t="s">
        <v>1673</v>
      </c>
      <c r="H1732" s="390" t="s">
        <v>313</v>
      </c>
      <c r="I1732" s="402"/>
      <c r="J1732" s="402"/>
      <c r="K1732" s="402" t="s">
        <v>6081</v>
      </c>
      <c r="L1732" s="402" t="s">
        <v>6077</v>
      </c>
      <c r="M1732" s="402"/>
      <c r="N1732" s="390" t="s">
        <v>33</v>
      </c>
      <c r="O1732" s="390" t="s">
        <v>45</v>
      </c>
      <c r="P1732" s="390" t="s">
        <v>45</v>
      </c>
      <c r="Q1732" s="402" t="s">
        <v>1210</v>
      </c>
      <c r="R1732" s="402" t="s">
        <v>6082</v>
      </c>
      <c r="S1732" s="402" t="s">
        <v>46</v>
      </c>
      <c r="T1732" s="411">
        <v>1</v>
      </c>
      <c r="U1732" s="412">
        <v>8.7379999999999995</v>
      </c>
      <c r="V1732" s="412"/>
      <c r="W1732" s="454"/>
      <c r="X1732" s="411"/>
      <c r="Y1732" s="411">
        <v>7</v>
      </c>
      <c r="Z1732" s="411">
        <v>20</v>
      </c>
      <c r="AA1732" s="412">
        <v>0</v>
      </c>
      <c r="AB1732" s="457">
        <v>42005</v>
      </c>
      <c r="AC1732" s="413">
        <v>0</v>
      </c>
      <c r="AD1732" s="413">
        <v>52.451939726027391</v>
      </c>
      <c r="AE1732" s="390" t="s">
        <v>47</v>
      </c>
      <c r="AF1732" s="419"/>
      <c r="AG1732" s="419"/>
      <c r="AH1732" s="419"/>
      <c r="AI1732" s="411"/>
      <c r="AJ1732" s="454"/>
      <c r="AK1732" s="454"/>
      <c r="AL1732" s="390"/>
      <c r="AM1732" s="390"/>
      <c r="AN1732" s="419"/>
      <c r="AO1732" s="402"/>
      <c r="AP1732" s="402" t="s">
        <v>55</v>
      </c>
      <c r="AQ1732" s="402"/>
      <c r="AR1732" s="402" t="s">
        <v>55</v>
      </c>
      <c r="AS1732" s="481">
        <v>41731</v>
      </c>
      <c r="AT1732" s="454"/>
      <c r="AU1732" s="454"/>
      <c r="AV1732" s="454"/>
      <c r="AW1732" s="454"/>
      <c r="AX1732" s="454"/>
      <c r="AY1732" s="454"/>
      <c r="AZ1732" s="454"/>
      <c r="BA1732" s="390"/>
      <c r="BB1732" s="390"/>
      <c r="BC1732" s="390" t="b">
        <v>0</v>
      </c>
      <c r="BD1732" s="390"/>
      <c r="BE1732" s="402"/>
      <c r="BF1732" s="411">
        <v>10</v>
      </c>
      <c r="BG1732" s="411">
        <v>5</v>
      </c>
      <c r="BH1732" s="411">
        <v>9</v>
      </c>
      <c r="BI1732" s="411">
        <v>2</v>
      </c>
      <c r="BJ1732" s="411"/>
      <c r="BK1732" s="411"/>
      <c r="BL1732" s="445" t="s">
        <v>6981</v>
      </c>
      <c r="BM1732" s="402"/>
      <c r="BN1732" s="390"/>
      <c r="BO1732" s="390"/>
      <c r="BP1732" s="414"/>
      <c r="BQ1732" s="415"/>
      <c r="BR1732" s="416"/>
      <c r="BS1732" s="414"/>
      <c r="BT1732" s="411"/>
      <c r="BU1732" s="419"/>
      <c r="BV1732" s="414"/>
      <c r="BW1732" s="390" t="s">
        <v>3117</v>
      </c>
      <c r="BX1732" s="402"/>
      <c r="BY1732" s="390"/>
      <c r="BZ1732" s="390"/>
      <c r="CA1732" s="442"/>
      <c r="CB1732" s="415"/>
      <c r="CC1732" s="413"/>
      <c r="CD1732" s="413"/>
      <c r="CE1732" s="413"/>
      <c r="CF1732" s="413"/>
      <c r="CG1732" s="413"/>
      <c r="CH1732" s="413"/>
      <c r="CI1732" s="413"/>
      <c r="CJ1732" s="413"/>
      <c r="CK1732" s="413">
        <v>8.7379999999999995</v>
      </c>
      <c r="CL1732" s="413">
        <v>8.7379999999999995</v>
      </c>
      <c r="CM1732" s="413">
        <v>8.7379999999999995</v>
      </c>
      <c r="CN1732" s="413">
        <v>8.7379999999999995</v>
      </c>
      <c r="CO1732" s="413">
        <v>8.7379999999999995</v>
      </c>
      <c r="CP1732" s="413">
        <v>8.7379999999999995</v>
      </c>
      <c r="CQ1732" s="413">
        <v>8.7379999999999995</v>
      </c>
      <c r="CR1732" s="413"/>
      <c r="CS1732" s="413"/>
      <c r="CT1732" s="413"/>
      <c r="CU1732" s="413"/>
      <c r="CV1732" s="413"/>
      <c r="CW1732" s="413"/>
      <c r="CX1732" s="413"/>
      <c r="CY1732" s="413"/>
      <c r="CZ1732" s="413"/>
      <c r="DA1732" s="413"/>
      <c r="DB1732" s="413"/>
      <c r="DC1732" s="413"/>
      <c r="DD1732" s="413"/>
      <c r="DE1732" s="390"/>
      <c r="DF1732" s="390"/>
      <c r="DG1732" s="390"/>
      <c r="DH1732" s="390"/>
      <c r="DI1732" s="390"/>
      <c r="DJ1732" s="390"/>
      <c r="DK1732" s="897"/>
    </row>
    <row r="1733" spans="1:115" ht="25.5" x14ac:dyDescent="0.2">
      <c r="A1733" s="295">
        <v>1729</v>
      </c>
      <c r="B1733" s="390" t="s">
        <v>6107</v>
      </c>
      <c r="C1733" s="424" t="s">
        <v>7875</v>
      </c>
      <c r="D1733" s="391"/>
      <c r="E1733" s="706" t="s">
        <v>6108</v>
      </c>
      <c r="F1733" s="390" t="s">
        <v>1352</v>
      </c>
      <c r="G1733" s="390" t="s">
        <v>1671</v>
      </c>
      <c r="H1733" s="390" t="s">
        <v>117</v>
      </c>
      <c r="I1733" s="402"/>
      <c r="J1733" s="402" t="s">
        <v>117</v>
      </c>
      <c r="K1733" s="402"/>
      <c r="L1733" s="402" t="s">
        <v>6109</v>
      </c>
      <c r="M1733" s="402" t="s">
        <v>6110</v>
      </c>
      <c r="N1733" s="390" t="s">
        <v>33</v>
      </c>
      <c r="O1733" s="390" t="s">
        <v>34</v>
      </c>
      <c r="P1733" s="390" t="s">
        <v>34</v>
      </c>
      <c r="Q1733" s="402" t="s">
        <v>255</v>
      </c>
      <c r="R1733" s="402"/>
      <c r="S1733" s="402" t="s">
        <v>6111</v>
      </c>
      <c r="T1733" s="411">
        <v>1</v>
      </c>
      <c r="U1733" s="412">
        <v>1.718</v>
      </c>
      <c r="V1733" s="412"/>
      <c r="W1733" s="457">
        <v>41668</v>
      </c>
      <c r="X1733" s="411">
        <v>28</v>
      </c>
      <c r="Y1733" s="411"/>
      <c r="Z1733" s="411"/>
      <c r="AA1733" s="412"/>
      <c r="AB1733" s="454"/>
      <c r="AC1733" s="413">
        <v>0</v>
      </c>
      <c r="AD1733" s="413">
        <v>17.18</v>
      </c>
      <c r="AE1733" s="390" t="s">
        <v>72</v>
      </c>
      <c r="AF1733" s="419"/>
      <c r="AG1733" s="419"/>
      <c r="AH1733" s="419">
        <v>0</v>
      </c>
      <c r="AI1733" s="411"/>
      <c r="AJ1733" s="454"/>
      <c r="AK1733" s="454"/>
      <c r="AL1733" s="390"/>
      <c r="AM1733" s="390"/>
      <c r="AN1733" s="419"/>
      <c r="AO1733" s="402"/>
      <c r="AP1733" s="402" t="s">
        <v>55</v>
      </c>
      <c r="AQ1733" s="402"/>
      <c r="AR1733" s="402" t="s">
        <v>55</v>
      </c>
      <c r="AS1733" s="481">
        <v>41767</v>
      </c>
      <c r="AT1733" s="454"/>
      <c r="AU1733" s="454"/>
      <c r="AV1733" s="454"/>
      <c r="AW1733" s="454"/>
      <c r="AX1733" s="454"/>
      <c r="AY1733" s="454"/>
      <c r="AZ1733" s="454"/>
      <c r="BA1733" s="390"/>
      <c r="BB1733" s="390" t="s">
        <v>3147</v>
      </c>
      <c r="BC1733" s="390" t="b">
        <v>0</v>
      </c>
      <c r="BD1733" s="390" t="s">
        <v>3147</v>
      </c>
      <c r="BE1733" s="402"/>
      <c r="BF1733" s="411">
        <v>5</v>
      </c>
      <c r="BG1733" s="411">
        <v>6</v>
      </c>
      <c r="BH1733" s="411">
        <v>11</v>
      </c>
      <c r="BI1733" s="411"/>
      <c r="BJ1733" s="411"/>
      <c r="BK1733" s="411"/>
      <c r="BL1733" s="445" t="s">
        <v>6982</v>
      </c>
      <c r="BM1733" s="402"/>
      <c r="BN1733" s="390"/>
      <c r="BO1733" s="390"/>
      <c r="BP1733" s="414"/>
      <c r="BQ1733" s="415"/>
      <c r="BR1733" s="416"/>
      <c r="BS1733" s="414">
        <v>0</v>
      </c>
      <c r="BT1733" s="411"/>
      <c r="BU1733" s="419"/>
      <c r="BV1733" s="414"/>
      <c r="BW1733" s="390"/>
      <c r="BX1733" s="402"/>
      <c r="BY1733" s="390"/>
      <c r="BZ1733" s="390"/>
      <c r="CA1733" s="442"/>
      <c r="CB1733" s="415"/>
      <c r="CC1733" s="413"/>
      <c r="CD1733" s="413"/>
      <c r="CE1733" s="413"/>
      <c r="CF1733" s="413"/>
      <c r="CG1733" s="413"/>
      <c r="CH1733" s="413"/>
      <c r="CI1733" s="413"/>
      <c r="CJ1733" s="413"/>
      <c r="CK1733" s="413"/>
      <c r="CL1733" s="413"/>
      <c r="CM1733" s="413"/>
      <c r="CN1733" s="413"/>
      <c r="CO1733" s="413"/>
      <c r="CP1733" s="413"/>
      <c r="CQ1733" s="413"/>
      <c r="CR1733" s="413"/>
      <c r="CS1733" s="413"/>
      <c r="CT1733" s="413"/>
      <c r="CU1733" s="413"/>
      <c r="CV1733" s="413"/>
      <c r="CW1733" s="413"/>
      <c r="CX1733" s="413"/>
      <c r="CY1733" s="413"/>
      <c r="CZ1733" s="413"/>
      <c r="DA1733" s="413"/>
      <c r="DB1733" s="413"/>
      <c r="DC1733" s="413"/>
      <c r="DD1733" s="413"/>
      <c r="DE1733" s="390"/>
      <c r="DF1733" s="390"/>
      <c r="DG1733" s="390"/>
      <c r="DH1733" s="390"/>
      <c r="DI1733" s="390"/>
      <c r="DJ1733" s="390"/>
      <c r="DK1733" s="897"/>
    </row>
    <row r="1734" spans="1:115" ht="25.5" x14ac:dyDescent="0.2">
      <c r="A1734" s="295">
        <v>1730</v>
      </c>
      <c r="B1734" s="390" t="s">
        <v>6112</v>
      </c>
      <c r="C1734" s="390"/>
      <c r="D1734" s="391"/>
      <c r="E1734" s="844" t="s">
        <v>6113</v>
      </c>
      <c r="F1734" s="390" t="s">
        <v>1352</v>
      </c>
      <c r="G1734" s="390" t="s">
        <v>1671</v>
      </c>
      <c r="H1734" s="390" t="s">
        <v>117</v>
      </c>
      <c r="I1734" s="816"/>
      <c r="J1734" s="816"/>
      <c r="K1734" s="816" t="s">
        <v>6114</v>
      </c>
      <c r="L1734" s="816" t="s">
        <v>6109</v>
      </c>
      <c r="M1734" s="816"/>
      <c r="N1734" s="577" t="s">
        <v>33</v>
      </c>
      <c r="O1734" s="577" t="s">
        <v>34</v>
      </c>
      <c r="P1734" s="577" t="s">
        <v>34</v>
      </c>
      <c r="Q1734" s="816" t="s">
        <v>255</v>
      </c>
      <c r="R1734" s="816" t="s">
        <v>6115</v>
      </c>
      <c r="S1734" s="816" t="s">
        <v>6111</v>
      </c>
      <c r="T1734" s="851">
        <v>1</v>
      </c>
      <c r="U1734" s="852">
        <v>1.718</v>
      </c>
      <c r="V1734" s="852"/>
      <c r="W1734" s="858"/>
      <c r="X1734" s="851"/>
      <c r="Y1734" s="851">
        <v>10</v>
      </c>
      <c r="Z1734" s="851">
        <v>30</v>
      </c>
      <c r="AA1734" s="852">
        <v>0</v>
      </c>
      <c r="AB1734" s="856">
        <v>41942</v>
      </c>
      <c r="AC1734" s="862">
        <v>0</v>
      </c>
      <c r="AD1734" s="862">
        <v>17.18</v>
      </c>
      <c r="AE1734" s="390" t="s">
        <v>72</v>
      </c>
      <c r="AF1734" s="866"/>
      <c r="AG1734" s="866"/>
      <c r="AH1734" s="866"/>
      <c r="AI1734" s="851"/>
      <c r="AJ1734" s="858"/>
      <c r="AK1734" s="858"/>
      <c r="AL1734" s="577"/>
      <c r="AM1734" s="577"/>
      <c r="AN1734" s="866"/>
      <c r="AO1734" s="816"/>
      <c r="AP1734" s="402" t="s">
        <v>55</v>
      </c>
      <c r="AQ1734" s="816"/>
      <c r="AR1734" s="402" t="s">
        <v>55</v>
      </c>
      <c r="AS1734" s="481">
        <v>41767</v>
      </c>
      <c r="AT1734" s="858"/>
      <c r="AU1734" s="858"/>
      <c r="AV1734" s="858"/>
      <c r="AW1734" s="858"/>
      <c r="AX1734" s="858"/>
      <c r="AY1734" s="858"/>
      <c r="AZ1734" s="858"/>
      <c r="BA1734" s="577"/>
      <c r="BB1734" s="577"/>
      <c r="BC1734" s="577" t="b">
        <v>0</v>
      </c>
      <c r="BD1734" s="577"/>
      <c r="BE1734" s="816"/>
      <c r="BF1734" s="411">
        <v>5</v>
      </c>
      <c r="BG1734" s="411">
        <v>6</v>
      </c>
      <c r="BH1734" s="411">
        <v>11</v>
      </c>
      <c r="BI1734" s="411"/>
      <c r="BJ1734" s="411"/>
      <c r="BK1734" s="411"/>
      <c r="BL1734" s="445" t="s">
        <v>6982</v>
      </c>
      <c r="BM1734" s="816"/>
      <c r="BN1734" s="577"/>
      <c r="BO1734" s="577"/>
      <c r="BP1734" s="875"/>
      <c r="BQ1734" s="880"/>
      <c r="BR1734" s="885"/>
      <c r="BS1734" s="875"/>
      <c r="BT1734" s="851"/>
      <c r="BU1734" s="866"/>
      <c r="BV1734" s="875">
        <v>1.9428000000000001</v>
      </c>
      <c r="BW1734" s="577" t="s">
        <v>3117</v>
      </c>
      <c r="BX1734" s="816"/>
      <c r="BY1734" s="577"/>
      <c r="BZ1734" s="577"/>
      <c r="CA1734" s="890"/>
      <c r="CB1734" s="880"/>
      <c r="CC1734" s="862"/>
      <c r="CD1734" s="862"/>
      <c r="CE1734" s="862"/>
      <c r="CF1734" s="862"/>
      <c r="CG1734" s="862"/>
      <c r="CH1734" s="862"/>
      <c r="CI1734" s="862"/>
      <c r="CJ1734" s="862"/>
      <c r="CK1734" s="862">
        <v>1.718</v>
      </c>
      <c r="CL1734" s="862">
        <v>1.718</v>
      </c>
      <c r="CM1734" s="862">
        <v>1.718</v>
      </c>
      <c r="CN1734" s="862">
        <v>1.718</v>
      </c>
      <c r="CO1734" s="862">
        <v>1.718</v>
      </c>
      <c r="CP1734" s="862">
        <v>1.718</v>
      </c>
      <c r="CQ1734" s="862">
        <v>1.718</v>
      </c>
      <c r="CR1734" s="862">
        <v>1.718</v>
      </c>
      <c r="CS1734" s="862">
        <v>1.718</v>
      </c>
      <c r="CT1734" s="862">
        <v>1.718</v>
      </c>
      <c r="CU1734" s="862"/>
      <c r="CV1734" s="862"/>
      <c r="CW1734" s="862"/>
      <c r="CX1734" s="862"/>
      <c r="CY1734" s="862"/>
      <c r="CZ1734" s="862"/>
      <c r="DA1734" s="862"/>
      <c r="DB1734" s="862"/>
      <c r="DC1734" s="862"/>
      <c r="DD1734" s="862"/>
      <c r="DE1734" s="577"/>
      <c r="DF1734" s="577"/>
      <c r="DG1734" s="577"/>
      <c r="DH1734" s="577"/>
      <c r="DI1734" s="577"/>
      <c r="DJ1734" s="577"/>
      <c r="DK1734" s="897"/>
    </row>
    <row r="1735" spans="1:115" ht="25.5" x14ac:dyDescent="0.2">
      <c r="A1735" s="295">
        <v>1731</v>
      </c>
      <c r="B1735" s="390" t="s">
        <v>6116</v>
      </c>
      <c r="C1735" s="424" t="s">
        <v>7876</v>
      </c>
      <c r="D1735" s="435">
        <v>10030</v>
      </c>
      <c r="E1735" s="843" t="s">
        <v>6117</v>
      </c>
      <c r="F1735" s="393" t="s">
        <v>1352</v>
      </c>
      <c r="G1735" s="393" t="s">
        <v>1671</v>
      </c>
      <c r="H1735" s="393" t="s">
        <v>1357</v>
      </c>
      <c r="I1735" s="563" t="s">
        <v>1706</v>
      </c>
      <c r="J1735" s="563" t="s">
        <v>6191</v>
      </c>
      <c r="K1735" s="563"/>
      <c r="L1735" s="563" t="s">
        <v>6118</v>
      </c>
      <c r="M1735" s="563" t="s">
        <v>6119</v>
      </c>
      <c r="N1735" s="561" t="s">
        <v>44</v>
      </c>
      <c r="O1735" s="561" t="s">
        <v>51</v>
      </c>
      <c r="P1735" s="561" t="s">
        <v>51</v>
      </c>
      <c r="Q1735" s="563" t="s">
        <v>52</v>
      </c>
      <c r="R1735" s="563"/>
      <c r="S1735" s="563" t="s">
        <v>6120</v>
      </c>
      <c r="T1735" s="564">
        <v>1</v>
      </c>
      <c r="U1735" s="565">
        <v>137.92599999999999</v>
      </c>
      <c r="V1735" s="565"/>
      <c r="W1735" s="567">
        <v>41775</v>
      </c>
      <c r="X1735" s="564">
        <v>28</v>
      </c>
      <c r="Y1735" s="564"/>
      <c r="Z1735" s="564"/>
      <c r="AA1735" s="565"/>
      <c r="AB1735" s="566"/>
      <c r="AC1735" s="568">
        <v>0</v>
      </c>
      <c r="AD1735" s="568">
        <v>663.93419726027389</v>
      </c>
      <c r="AE1735" s="393" t="s">
        <v>167</v>
      </c>
      <c r="AF1735" s="569"/>
      <c r="AG1735" s="569"/>
      <c r="AH1735" s="569">
        <v>0</v>
      </c>
      <c r="AI1735" s="564"/>
      <c r="AJ1735" s="566"/>
      <c r="AK1735" s="566"/>
      <c r="AL1735" s="561"/>
      <c r="AM1735" s="561"/>
      <c r="AN1735" s="569"/>
      <c r="AO1735" s="563"/>
      <c r="AP1735" s="428" t="s">
        <v>8336</v>
      </c>
      <c r="AQ1735" s="563"/>
      <c r="AR1735" s="392" t="s">
        <v>55</v>
      </c>
      <c r="AS1735" s="479">
        <v>41775</v>
      </c>
      <c r="AT1735" s="566"/>
      <c r="AU1735" s="566"/>
      <c r="AV1735" s="566">
        <v>42320</v>
      </c>
      <c r="AW1735" s="566">
        <v>42437</v>
      </c>
      <c r="AX1735" s="566">
        <v>42510</v>
      </c>
      <c r="AY1735" s="566">
        <v>42439</v>
      </c>
      <c r="AZ1735" s="566"/>
      <c r="BA1735" s="561"/>
      <c r="BB1735" s="561" t="s">
        <v>3116</v>
      </c>
      <c r="BC1735" s="561" t="b">
        <v>0</v>
      </c>
      <c r="BD1735" s="561" t="s">
        <v>3147</v>
      </c>
      <c r="BE1735" s="563"/>
      <c r="BF1735" s="394">
        <v>1</v>
      </c>
      <c r="BG1735" s="394">
        <v>6</v>
      </c>
      <c r="BH1735" s="394">
        <v>7</v>
      </c>
      <c r="BI1735" s="394">
        <v>5</v>
      </c>
      <c r="BJ1735" s="394">
        <v>4</v>
      </c>
      <c r="BK1735" s="394"/>
      <c r="BL1735" s="444" t="s">
        <v>6982</v>
      </c>
      <c r="BM1735" s="563"/>
      <c r="BN1735" s="561"/>
      <c r="BO1735" s="561"/>
      <c r="BP1735" s="571"/>
      <c r="BQ1735" s="572"/>
      <c r="BR1735" s="573"/>
      <c r="BS1735" s="571">
        <v>0</v>
      </c>
      <c r="BT1735" s="564"/>
      <c r="BU1735" s="569"/>
      <c r="BV1735" s="571"/>
      <c r="BW1735" s="561"/>
      <c r="BX1735" s="563"/>
      <c r="BY1735" s="561"/>
      <c r="BZ1735" s="561"/>
      <c r="CA1735" s="574"/>
      <c r="CB1735" s="572"/>
      <c r="CC1735" s="568"/>
      <c r="CD1735" s="568"/>
      <c r="CE1735" s="568"/>
      <c r="CF1735" s="568"/>
      <c r="CG1735" s="568"/>
      <c r="CH1735" s="568"/>
      <c r="CI1735" s="568"/>
      <c r="CJ1735" s="568"/>
      <c r="CK1735" s="568"/>
      <c r="CL1735" s="568"/>
      <c r="CM1735" s="568"/>
      <c r="CN1735" s="568"/>
      <c r="CO1735" s="568"/>
      <c r="CP1735" s="568"/>
      <c r="CQ1735" s="568"/>
      <c r="CR1735" s="568"/>
      <c r="CS1735" s="568"/>
      <c r="CT1735" s="568"/>
      <c r="CU1735" s="568"/>
      <c r="CV1735" s="568"/>
      <c r="CW1735" s="568"/>
      <c r="CX1735" s="568"/>
      <c r="CY1735" s="568"/>
      <c r="CZ1735" s="568"/>
      <c r="DA1735" s="568"/>
      <c r="DB1735" s="568"/>
      <c r="DC1735" s="568"/>
      <c r="DD1735" s="568"/>
      <c r="DE1735" s="561"/>
      <c r="DF1735" s="561"/>
      <c r="DG1735" s="561"/>
      <c r="DH1735" s="561"/>
      <c r="DI1735" s="561"/>
      <c r="DJ1735" s="561"/>
      <c r="DK1735" s="896" t="s">
        <v>9757</v>
      </c>
    </row>
    <row r="1736" spans="1:115" ht="25.5" x14ac:dyDescent="0.2">
      <c r="A1736" s="295">
        <v>1732</v>
      </c>
      <c r="B1736" s="390" t="s">
        <v>6121</v>
      </c>
      <c r="C1736" s="390"/>
      <c r="D1736" s="474" t="s">
        <v>8132</v>
      </c>
      <c r="E1736" s="843" t="s">
        <v>6122</v>
      </c>
      <c r="F1736" s="393" t="s">
        <v>1352</v>
      </c>
      <c r="G1736" s="393" t="s">
        <v>1671</v>
      </c>
      <c r="H1736" s="393" t="s">
        <v>1706</v>
      </c>
      <c r="I1736" s="563"/>
      <c r="J1736" s="563"/>
      <c r="K1736" s="563" t="s">
        <v>1706</v>
      </c>
      <c r="L1736" s="563" t="s">
        <v>6118</v>
      </c>
      <c r="M1736" s="563"/>
      <c r="N1736" s="561" t="s">
        <v>44</v>
      </c>
      <c r="O1736" s="561" t="s">
        <v>51</v>
      </c>
      <c r="P1736" s="561" t="s">
        <v>51</v>
      </c>
      <c r="Q1736" s="563" t="s">
        <v>52</v>
      </c>
      <c r="R1736" s="563" t="s">
        <v>6123</v>
      </c>
      <c r="S1736" s="563" t="s">
        <v>6120</v>
      </c>
      <c r="T1736" s="564">
        <v>1</v>
      </c>
      <c r="U1736" s="565">
        <v>137.92599999999999</v>
      </c>
      <c r="V1736" s="565"/>
      <c r="W1736" s="566"/>
      <c r="X1736" s="564"/>
      <c r="Y1736" s="564">
        <v>7</v>
      </c>
      <c r="Z1736" s="564">
        <v>21</v>
      </c>
      <c r="AA1736" s="565">
        <v>0</v>
      </c>
      <c r="AB1736" s="567">
        <v>42439</v>
      </c>
      <c r="AC1736" s="568">
        <v>0</v>
      </c>
      <c r="AD1736" s="568">
        <v>663.93419726027389</v>
      </c>
      <c r="AE1736" s="393" t="s">
        <v>167</v>
      </c>
      <c r="AF1736" s="569"/>
      <c r="AG1736" s="569"/>
      <c r="AH1736" s="569"/>
      <c r="AI1736" s="564"/>
      <c r="AJ1736" s="566"/>
      <c r="AK1736" s="566"/>
      <c r="AL1736" s="561"/>
      <c r="AM1736" s="561"/>
      <c r="AN1736" s="569"/>
      <c r="AO1736" s="563"/>
      <c r="AP1736" s="428" t="s">
        <v>8336</v>
      </c>
      <c r="AQ1736" s="563"/>
      <c r="AR1736" s="392" t="s">
        <v>55</v>
      </c>
      <c r="AS1736" s="479">
        <v>41775</v>
      </c>
      <c r="AT1736" s="566"/>
      <c r="AU1736" s="566"/>
      <c r="AV1736" s="566"/>
      <c r="AW1736" s="566"/>
      <c r="AX1736" s="566"/>
      <c r="AY1736" s="566"/>
      <c r="AZ1736" s="566">
        <v>42439</v>
      </c>
      <c r="BA1736" s="561"/>
      <c r="BB1736" s="561"/>
      <c r="BC1736" s="561" t="b">
        <v>0</v>
      </c>
      <c r="BD1736" s="561"/>
      <c r="BE1736" s="563"/>
      <c r="BF1736" s="394">
        <v>1</v>
      </c>
      <c r="BG1736" s="394">
        <v>6</v>
      </c>
      <c r="BH1736" s="394">
        <v>7</v>
      </c>
      <c r="BI1736" s="394">
        <v>5</v>
      </c>
      <c r="BJ1736" s="394">
        <v>4</v>
      </c>
      <c r="BK1736" s="394"/>
      <c r="BL1736" s="444" t="s">
        <v>6982</v>
      </c>
      <c r="BM1736" s="563"/>
      <c r="BN1736" s="561"/>
      <c r="BO1736" s="561"/>
      <c r="BP1736" s="571"/>
      <c r="BQ1736" s="572"/>
      <c r="BR1736" s="573"/>
      <c r="BS1736" s="571"/>
      <c r="BT1736" s="564"/>
      <c r="BU1736" s="569"/>
      <c r="BV1736" s="571"/>
      <c r="BW1736" s="561" t="s">
        <v>3117</v>
      </c>
      <c r="BX1736" s="563"/>
      <c r="BY1736" s="561"/>
      <c r="BZ1736" s="561"/>
      <c r="CA1736" s="574"/>
      <c r="CB1736" s="572"/>
      <c r="CC1736" s="568"/>
      <c r="CD1736" s="568"/>
      <c r="CE1736" s="568"/>
      <c r="CF1736" s="568"/>
      <c r="CG1736" s="568"/>
      <c r="CH1736" s="568"/>
      <c r="CI1736" s="568"/>
      <c r="CJ1736" s="568"/>
      <c r="CK1736" s="568"/>
      <c r="CL1736" s="565">
        <v>137.92599999999999</v>
      </c>
      <c r="CM1736" s="565">
        <v>137.92599999999999</v>
      </c>
      <c r="CN1736" s="565">
        <v>137.92599999999999</v>
      </c>
      <c r="CO1736" s="565">
        <v>137.92599999999999</v>
      </c>
      <c r="CP1736" s="565">
        <v>137.92599999999999</v>
      </c>
      <c r="CQ1736" s="565">
        <v>137.92599999999999</v>
      </c>
      <c r="CR1736" s="565">
        <v>137.92599999999999</v>
      </c>
      <c r="CS1736" s="568"/>
      <c r="CT1736" s="568"/>
      <c r="CU1736" s="568"/>
      <c r="CV1736" s="568"/>
      <c r="CW1736" s="568"/>
      <c r="CX1736" s="568"/>
      <c r="CY1736" s="568"/>
      <c r="CZ1736" s="568"/>
      <c r="DA1736" s="568"/>
      <c r="DB1736" s="568"/>
      <c r="DC1736" s="568"/>
      <c r="DD1736" s="568"/>
      <c r="DE1736" s="569"/>
      <c r="DF1736" s="569"/>
      <c r="DG1736" s="561"/>
      <c r="DH1736" s="561"/>
      <c r="DI1736" s="561"/>
      <c r="DJ1736" s="561"/>
      <c r="DK1736" s="897"/>
    </row>
    <row r="1737" spans="1:115" ht="51" x14ac:dyDescent="0.2">
      <c r="A1737" s="295">
        <v>1733</v>
      </c>
      <c r="B1737" s="390" t="s">
        <v>6167</v>
      </c>
      <c r="C1737" s="424" t="s">
        <v>7877</v>
      </c>
      <c r="D1737" s="435">
        <v>10175</v>
      </c>
      <c r="E1737" s="704" t="s">
        <v>6168</v>
      </c>
      <c r="F1737" s="393" t="s">
        <v>1375</v>
      </c>
      <c r="G1737" s="393" t="s">
        <v>998</v>
      </c>
      <c r="H1737" s="393" t="s">
        <v>218</v>
      </c>
      <c r="I1737" s="392"/>
      <c r="J1737" s="392" t="s">
        <v>218</v>
      </c>
      <c r="K1737" s="392"/>
      <c r="L1737" s="392" t="s">
        <v>6169</v>
      </c>
      <c r="M1737" s="392" t="s">
        <v>6170</v>
      </c>
      <c r="N1737" s="393" t="s">
        <v>44</v>
      </c>
      <c r="O1737" s="393" t="s">
        <v>323</v>
      </c>
      <c r="P1737" s="393" t="s">
        <v>323</v>
      </c>
      <c r="Q1737" s="392" t="s">
        <v>1300</v>
      </c>
      <c r="R1737" s="392"/>
      <c r="S1737" s="392" t="s">
        <v>650</v>
      </c>
      <c r="T1737" s="394">
        <v>1</v>
      </c>
      <c r="U1737" s="395">
        <v>142.499</v>
      </c>
      <c r="V1737" s="395"/>
      <c r="W1737" s="452">
        <v>41417</v>
      </c>
      <c r="X1737" s="394">
        <v>28</v>
      </c>
      <c r="Y1737" s="394"/>
      <c r="Z1737" s="394"/>
      <c r="AA1737" s="395"/>
      <c r="AB1737" s="453"/>
      <c r="AC1737" s="398">
        <v>0</v>
      </c>
      <c r="AD1737" s="398">
        <v>591.46845205479451</v>
      </c>
      <c r="AE1737" s="393" t="s">
        <v>309</v>
      </c>
      <c r="AF1737" s="417"/>
      <c r="AG1737" s="417"/>
      <c r="AH1737" s="417">
        <v>0</v>
      </c>
      <c r="AI1737" s="394"/>
      <c r="AJ1737" s="453"/>
      <c r="AK1737" s="453"/>
      <c r="AL1737" s="393"/>
      <c r="AM1737" s="393"/>
      <c r="AN1737" s="417"/>
      <c r="AO1737" s="392"/>
      <c r="AP1737" s="392" t="s">
        <v>55</v>
      </c>
      <c r="AQ1737" s="392"/>
      <c r="AR1737" s="392" t="s">
        <v>55</v>
      </c>
      <c r="AS1737" s="479">
        <v>41825</v>
      </c>
      <c r="AT1737" s="453"/>
      <c r="AU1737" s="453"/>
      <c r="AV1737" s="453">
        <v>41954</v>
      </c>
      <c r="AW1737" s="453">
        <v>42681</v>
      </c>
      <c r="AX1737" s="453">
        <v>42735</v>
      </c>
      <c r="AY1737" s="453">
        <v>42681</v>
      </c>
      <c r="AZ1737" s="453"/>
      <c r="BA1737" s="393"/>
      <c r="BB1737" s="393" t="s">
        <v>3147</v>
      </c>
      <c r="BC1737" s="393" t="b">
        <v>0</v>
      </c>
      <c r="BD1737" s="393" t="s">
        <v>3116</v>
      </c>
      <c r="BE1737" s="392"/>
      <c r="BF1737" s="394">
        <v>10</v>
      </c>
      <c r="BG1737" s="394">
        <v>9</v>
      </c>
      <c r="BH1737" s="394">
        <v>8</v>
      </c>
      <c r="BI1737" s="394"/>
      <c r="BJ1737" s="394"/>
      <c r="BK1737" s="394"/>
      <c r="BL1737" s="444" t="s">
        <v>6985</v>
      </c>
      <c r="BM1737" s="392"/>
      <c r="BN1737" s="393"/>
      <c r="BO1737" s="393"/>
      <c r="BP1737" s="399"/>
      <c r="BQ1737" s="400"/>
      <c r="BR1737" s="401"/>
      <c r="BS1737" s="399">
        <v>35</v>
      </c>
      <c r="BT1737" s="394"/>
      <c r="BU1737" s="417"/>
      <c r="BV1737" s="399"/>
      <c r="BW1737" s="393"/>
      <c r="BX1737" s="392"/>
      <c r="BY1737" s="393"/>
      <c r="BZ1737" s="475" t="s">
        <v>3165</v>
      </c>
      <c r="CA1737" s="441"/>
      <c r="CB1737" s="400"/>
      <c r="CC1737" s="398"/>
      <c r="CD1737" s="398"/>
      <c r="CE1737" s="398"/>
      <c r="CF1737" s="398"/>
      <c r="CG1737" s="398"/>
      <c r="CH1737" s="398"/>
      <c r="CI1737" s="398"/>
      <c r="CJ1737" s="398"/>
      <c r="CK1737" s="398"/>
      <c r="CL1737" s="398"/>
      <c r="CM1737" s="398"/>
      <c r="CN1737" s="398"/>
      <c r="CO1737" s="398"/>
      <c r="CP1737" s="398"/>
      <c r="CQ1737" s="398"/>
      <c r="CR1737" s="398"/>
      <c r="CS1737" s="398"/>
      <c r="CT1737" s="398"/>
      <c r="CU1737" s="398"/>
      <c r="CV1737" s="398"/>
      <c r="CW1737" s="398"/>
      <c r="CX1737" s="398"/>
      <c r="CY1737" s="398"/>
      <c r="CZ1737" s="398"/>
      <c r="DA1737" s="398"/>
      <c r="DB1737" s="398"/>
      <c r="DC1737" s="398"/>
      <c r="DD1737" s="398"/>
      <c r="DE1737" s="393"/>
      <c r="DF1737" s="393"/>
      <c r="DG1737" s="393"/>
      <c r="DH1737" s="393"/>
      <c r="DI1737" s="393"/>
      <c r="DJ1737" s="393"/>
      <c r="DK1737" s="896" t="s">
        <v>9738</v>
      </c>
    </row>
    <row r="1738" spans="1:115" ht="25.5" x14ac:dyDescent="0.2">
      <c r="A1738" s="295">
        <v>1734</v>
      </c>
      <c r="B1738" s="390" t="s">
        <v>6171</v>
      </c>
      <c r="C1738" s="390"/>
      <c r="D1738" s="436" t="s">
        <v>8888</v>
      </c>
      <c r="E1738" s="704" t="s">
        <v>6172</v>
      </c>
      <c r="F1738" s="393" t="s">
        <v>1375</v>
      </c>
      <c r="G1738" s="393" t="s">
        <v>998</v>
      </c>
      <c r="H1738" s="393" t="s">
        <v>218</v>
      </c>
      <c r="I1738" s="392"/>
      <c r="J1738" s="392"/>
      <c r="K1738" s="392" t="s">
        <v>6173</v>
      </c>
      <c r="L1738" s="392" t="s">
        <v>6169</v>
      </c>
      <c r="M1738" s="392"/>
      <c r="N1738" s="393" t="s">
        <v>44</v>
      </c>
      <c r="O1738" s="393" t="s">
        <v>323</v>
      </c>
      <c r="P1738" s="393" t="s">
        <v>323</v>
      </c>
      <c r="Q1738" s="392" t="s">
        <v>1300</v>
      </c>
      <c r="R1738" s="392" t="s">
        <v>6174</v>
      </c>
      <c r="S1738" s="392" t="s">
        <v>650</v>
      </c>
      <c r="T1738" s="394">
        <v>1</v>
      </c>
      <c r="U1738" s="395">
        <v>142.499</v>
      </c>
      <c r="V1738" s="395"/>
      <c r="W1738" s="453"/>
      <c r="X1738" s="394"/>
      <c r="Y1738" s="394">
        <v>7</v>
      </c>
      <c r="Z1738" s="394">
        <v>30</v>
      </c>
      <c r="AA1738" s="395">
        <v>0</v>
      </c>
      <c r="AB1738" s="452">
        <v>42681</v>
      </c>
      <c r="AC1738" s="398"/>
      <c r="AD1738" s="398">
        <v>591.46845205479451</v>
      </c>
      <c r="AE1738" s="393" t="s">
        <v>309</v>
      </c>
      <c r="AF1738" s="417"/>
      <c r="AG1738" s="417"/>
      <c r="AH1738" s="417"/>
      <c r="AI1738" s="394"/>
      <c r="AJ1738" s="453"/>
      <c r="AK1738" s="453"/>
      <c r="AL1738" s="393"/>
      <c r="AM1738" s="393"/>
      <c r="AN1738" s="417"/>
      <c r="AO1738" s="392"/>
      <c r="AP1738" s="392" t="s">
        <v>55</v>
      </c>
      <c r="AQ1738" s="392"/>
      <c r="AR1738" s="392" t="s">
        <v>55</v>
      </c>
      <c r="AS1738" s="479">
        <v>41825</v>
      </c>
      <c r="AT1738" s="453"/>
      <c r="AU1738" s="453"/>
      <c r="AV1738" s="453"/>
      <c r="AW1738" s="453"/>
      <c r="AX1738" s="453"/>
      <c r="AY1738" s="453"/>
      <c r="AZ1738" s="453">
        <v>42681</v>
      </c>
      <c r="BA1738" s="393"/>
      <c r="BB1738" s="393"/>
      <c r="BC1738" s="393" t="b">
        <v>0</v>
      </c>
      <c r="BD1738" s="393"/>
      <c r="BE1738" s="392"/>
      <c r="BF1738" s="394">
        <v>10</v>
      </c>
      <c r="BG1738" s="394">
        <v>9</v>
      </c>
      <c r="BH1738" s="394">
        <v>8</v>
      </c>
      <c r="BI1738" s="394"/>
      <c r="BJ1738" s="394"/>
      <c r="BK1738" s="394"/>
      <c r="BL1738" s="444" t="s">
        <v>6985</v>
      </c>
      <c r="BM1738" s="392"/>
      <c r="BN1738" s="393"/>
      <c r="BO1738" s="393"/>
      <c r="BP1738" s="399"/>
      <c r="BQ1738" s="400"/>
      <c r="BR1738" s="401"/>
      <c r="BS1738" s="399">
        <v>35</v>
      </c>
      <c r="BT1738" s="394">
        <v>298618</v>
      </c>
      <c r="BU1738" s="417">
        <v>0.6069</v>
      </c>
      <c r="BV1738" s="399"/>
      <c r="BW1738" s="393" t="s">
        <v>3117</v>
      </c>
      <c r="BX1738" s="392"/>
      <c r="BY1738" s="393"/>
      <c r="BZ1738" s="475" t="s">
        <v>3165</v>
      </c>
      <c r="CA1738" s="441"/>
      <c r="CB1738" s="400"/>
      <c r="CC1738" s="398"/>
      <c r="CD1738" s="398"/>
      <c r="CE1738" s="398"/>
      <c r="CF1738" s="398"/>
      <c r="CG1738" s="398"/>
      <c r="CH1738" s="398"/>
      <c r="CI1738" s="398"/>
      <c r="CJ1738" s="398"/>
      <c r="CK1738" s="398"/>
      <c r="CL1738" s="398"/>
      <c r="CM1738" s="398">
        <v>142.499</v>
      </c>
      <c r="CN1738" s="398">
        <v>142.499</v>
      </c>
      <c r="CO1738" s="398">
        <v>142.499</v>
      </c>
      <c r="CP1738" s="398">
        <v>142.499</v>
      </c>
      <c r="CQ1738" s="398">
        <v>142.499</v>
      </c>
      <c r="CR1738" s="398">
        <v>142.499</v>
      </c>
      <c r="CS1738" s="398">
        <v>142.499</v>
      </c>
      <c r="CT1738" s="398"/>
      <c r="CU1738" s="398"/>
      <c r="CV1738" s="398"/>
      <c r="CW1738" s="398"/>
      <c r="CX1738" s="398"/>
      <c r="CY1738" s="398"/>
      <c r="CZ1738" s="398"/>
      <c r="DA1738" s="398"/>
      <c r="DB1738" s="398"/>
      <c r="DC1738" s="398"/>
      <c r="DD1738" s="398"/>
      <c r="DE1738" s="393"/>
      <c r="DF1738" s="393"/>
      <c r="DG1738" s="393"/>
      <c r="DH1738" s="393"/>
      <c r="DI1738" s="393"/>
      <c r="DJ1738" s="393"/>
      <c r="DK1738" s="897"/>
    </row>
    <row r="1739" spans="1:115" ht="63.75" x14ac:dyDescent="0.2">
      <c r="A1739" s="295">
        <v>1735</v>
      </c>
      <c r="B1739" s="390" t="s">
        <v>6230</v>
      </c>
      <c r="C1739" s="424" t="s">
        <v>7878</v>
      </c>
      <c r="D1739" s="435">
        <v>10186</v>
      </c>
      <c r="E1739" s="705" t="s">
        <v>7389</v>
      </c>
      <c r="F1739" s="393" t="s">
        <v>1375</v>
      </c>
      <c r="G1739" s="393" t="s">
        <v>998</v>
      </c>
      <c r="H1739" s="393" t="s">
        <v>245</v>
      </c>
      <c r="I1739" s="392"/>
      <c r="J1739" s="392" t="s">
        <v>245</v>
      </c>
      <c r="K1739" s="392"/>
      <c r="L1739" s="392" t="s">
        <v>6231</v>
      </c>
      <c r="M1739" s="392" t="s">
        <v>6232</v>
      </c>
      <c r="N1739" s="393" t="s">
        <v>44</v>
      </c>
      <c r="O1739" s="393" t="s">
        <v>271</v>
      </c>
      <c r="P1739" s="393" t="s">
        <v>271</v>
      </c>
      <c r="Q1739" s="392" t="s">
        <v>1234</v>
      </c>
      <c r="R1739" s="392"/>
      <c r="S1739" s="392" t="s">
        <v>6233</v>
      </c>
      <c r="T1739" s="394">
        <v>2</v>
      </c>
      <c r="U1739" s="395">
        <v>448.245</v>
      </c>
      <c r="V1739" s="395"/>
      <c r="W1739" s="452">
        <v>41863</v>
      </c>
      <c r="X1739" s="394">
        <v>28</v>
      </c>
      <c r="Y1739" s="394"/>
      <c r="Z1739" s="394"/>
      <c r="AA1739" s="395"/>
      <c r="AB1739" s="453"/>
      <c r="AC1739" s="398">
        <v>0</v>
      </c>
      <c r="AD1739" s="398">
        <v>4482.45</v>
      </c>
      <c r="AE1739" s="393" t="s">
        <v>72</v>
      </c>
      <c r="AF1739" s="417"/>
      <c r="AG1739" s="417"/>
      <c r="AH1739" s="417">
        <v>0</v>
      </c>
      <c r="AI1739" s="394"/>
      <c r="AJ1739" s="453"/>
      <c r="AK1739" s="453"/>
      <c r="AL1739" s="393"/>
      <c r="AM1739" s="393"/>
      <c r="AN1739" s="417"/>
      <c r="AO1739" s="392"/>
      <c r="AP1739" s="428" t="s">
        <v>7053</v>
      </c>
      <c r="AQ1739" s="428"/>
      <c r="AR1739" s="392" t="s">
        <v>6244</v>
      </c>
      <c r="AS1739" s="479">
        <v>41863</v>
      </c>
      <c r="AT1739" s="453"/>
      <c r="AU1739" s="453"/>
      <c r="AV1739" s="453">
        <v>41876</v>
      </c>
      <c r="AW1739" s="453">
        <v>42244</v>
      </c>
      <c r="AX1739" s="478">
        <v>42304</v>
      </c>
      <c r="AY1739" s="453">
        <v>42244</v>
      </c>
      <c r="AZ1739" s="453"/>
      <c r="BA1739" s="393"/>
      <c r="BB1739" s="393" t="s">
        <v>3116</v>
      </c>
      <c r="BC1739" s="393" t="b">
        <v>0</v>
      </c>
      <c r="BD1739" s="393" t="s">
        <v>3116</v>
      </c>
      <c r="BE1739" s="392"/>
      <c r="BF1739" s="394">
        <v>5</v>
      </c>
      <c r="BG1739" s="394">
        <v>9</v>
      </c>
      <c r="BH1739" s="394">
        <v>8</v>
      </c>
      <c r="BI1739" s="394">
        <v>10</v>
      </c>
      <c r="BJ1739" s="394">
        <v>7</v>
      </c>
      <c r="BK1739" s="394">
        <v>6</v>
      </c>
      <c r="BL1739" s="444" t="s">
        <v>6981</v>
      </c>
      <c r="BM1739" s="392"/>
      <c r="BN1739" s="393"/>
      <c r="BO1739" s="393"/>
      <c r="BP1739" s="399"/>
      <c r="BQ1739" s="400"/>
      <c r="BR1739" s="401"/>
      <c r="BS1739" s="399">
        <v>0</v>
      </c>
      <c r="BT1739" s="394"/>
      <c r="BU1739" s="417"/>
      <c r="BV1739" s="399"/>
      <c r="BW1739" s="393"/>
      <c r="BX1739" s="392"/>
      <c r="BY1739" s="475" t="s">
        <v>7224</v>
      </c>
      <c r="BZ1739" s="393"/>
      <c r="CA1739" s="441"/>
      <c r="CB1739" s="400"/>
      <c r="CC1739" s="398"/>
      <c r="CD1739" s="398"/>
      <c r="CE1739" s="398"/>
      <c r="CF1739" s="398"/>
      <c r="CG1739" s="398"/>
      <c r="CH1739" s="398"/>
      <c r="CI1739" s="398"/>
      <c r="CJ1739" s="398"/>
      <c r="CK1739" s="398"/>
      <c r="CL1739" s="398"/>
      <c r="CM1739" s="398"/>
      <c r="CN1739" s="398"/>
      <c r="CO1739" s="398"/>
      <c r="CP1739" s="398"/>
      <c r="CQ1739" s="398"/>
      <c r="CR1739" s="398"/>
      <c r="CS1739" s="398"/>
      <c r="CT1739" s="398"/>
      <c r="CU1739" s="398"/>
      <c r="CV1739" s="398"/>
      <c r="CW1739" s="398"/>
      <c r="CX1739" s="398"/>
      <c r="CY1739" s="398"/>
      <c r="CZ1739" s="398"/>
      <c r="DA1739" s="398"/>
      <c r="DB1739" s="398"/>
      <c r="DC1739" s="398"/>
      <c r="DD1739" s="398"/>
      <c r="DE1739" s="393"/>
      <c r="DF1739" s="393"/>
      <c r="DG1739" s="393"/>
      <c r="DH1739" s="393"/>
      <c r="DI1739" s="393"/>
      <c r="DJ1739" s="393"/>
      <c r="DK1739" s="896" t="s">
        <v>9727</v>
      </c>
    </row>
    <row r="1740" spans="1:115" ht="38.25" x14ac:dyDescent="0.2">
      <c r="A1740" s="295">
        <v>1736</v>
      </c>
      <c r="B1740" s="390" t="s">
        <v>6234</v>
      </c>
      <c r="C1740" s="390"/>
      <c r="D1740" s="436" t="s">
        <v>7300</v>
      </c>
      <c r="E1740" s="705" t="s">
        <v>7390</v>
      </c>
      <c r="F1740" s="393" t="s">
        <v>1375</v>
      </c>
      <c r="G1740" s="393" t="s">
        <v>998</v>
      </c>
      <c r="H1740" s="393" t="s">
        <v>245</v>
      </c>
      <c r="I1740" s="392"/>
      <c r="J1740" s="392"/>
      <c r="K1740" s="392" t="s">
        <v>6235</v>
      </c>
      <c r="L1740" s="392" t="s">
        <v>6231</v>
      </c>
      <c r="M1740" s="392"/>
      <c r="N1740" s="393" t="s">
        <v>44</v>
      </c>
      <c r="O1740" s="393" t="s">
        <v>271</v>
      </c>
      <c r="P1740" s="393" t="s">
        <v>271</v>
      </c>
      <c r="Q1740" s="392" t="s">
        <v>1234</v>
      </c>
      <c r="R1740" s="392" t="s">
        <v>6236</v>
      </c>
      <c r="S1740" s="392" t="s">
        <v>6233</v>
      </c>
      <c r="T1740" s="394">
        <v>1</v>
      </c>
      <c r="U1740" s="395">
        <v>64</v>
      </c>
      <c r="V1740" s="395"/>
      <c r="W1740" s="453"/>
      <c r="X1740" s="394"/>
      <c r="Y1740" s="394">
        <v>10</v>
      </c>
      <c r="Z1740" s="394">
        <v>20</v>
      </c>
      <c r="AA1740" s="395">
        <v>2.4129999999999998</v>
      </c>
      <c r="AB1740" s="452">
        <v>42244</v>
      </c>
      <c r="AC1740" s="398"/>
      <c r="AD1740" s="398">
        <v>640</v>
      </c>
      <c r="AE1740" s="393" t="s">
        <v>72</v>
      </c>
      <c r="AF1740" s="417"/>
      <c r="AG1740" s="417"/>
      <c r="AH1740" s="417"/>
      <c r="AI1740" s="394"/>
      <c r="AJ1740" s="453"/>
      <c r="AK1740" s="453"/>
      <c r="AL1740" s="393"/>
      <c r="AM1740" s="393"/>
      <c r="AN1740" s="417"/>
      <c r="AO1740" s="392"/>
      <c r="AP1740" s="428" t="s">
        <v>7053</v>
      </c>
      <c r="AQ1740" s="428"/>
      <c r="AR1740" s="392" t="s">
        <v>6244</v>
      </c>
      <c r="AS1740" s="479">
        <v>41863</v>
      </c>
      <c r="AT1740" s="453"/>
      <c r="AU1740" s="453"/>
      <c r="AV1740" s="453">
        <v>41876</v>
      </c>
      <c r="AW1740" s="453">
        <v>42244</v>
      </c>
      <c r="AX1740" s="478">
        <v>42304</v>
      </c>
      <c r="AY1740" s="453"/>
      <c r="AZ1740" s="453">
        <v>42244</v>
      </c>
      <c r="BA1740" s="393"/>
      <c r="BB1740" s="393"/>
      <c r="BC1740" s="393" t="b">
        <v>0</v>
      </c>
      <c r="BD1740" s="393"/>
      <c r="BE1740" s="392"/>
      <c r="BF1740" s="394">
        <v>5</v>
      </c>
      <c r="BG1740" s="394">
        <v>9</v>
      </c>
      <c r="BH1740" s="394">
        <v>8</v>
      </c>
      <c r="BI1740" s="394">
        <v>10</v>
      </c>
      <c r="BJ1740" s="394">
        <v>7</v>
      </c>
      <c r="BK1740" s="394">
        <v>6</v>
      </c>
      <c r="BL1740" s="444" t="s">
        <v>6981</v>
      </c>
      <c r="BM1740" s="392"/>
      <c r="BN1740" s="393"/>
      <c r="BO1740" s="393"/>
      <c r="BP1740" s="399"/>
      <c r="BQ1740" s="400"/>
      <c r="BR1740" s="401"/>
      <c r="BS1740" s="399"/>
      <c r="BT1740" s="394"/>
      <c r="BU1740" s="417"/>
      <c r="BV1740" s="399"/>
      <c r="BW1740" s="393" t="s">
        <v>3117</v>
      </c>
      <c r="BX1740" s="392"/>
      <c r="BY1740" s="475" t="s">
        <v>7224</v>
      </c>
      <c r="BZ1740" s="393"/>
      <c r="CA1740" s="441"/>
      <c r="CB1740" s="400"/>
      <c r="CC1740" s="398"/>
      <c r="CD1740" s="398"/>
      <c r="CE1740" s="398"/>
      <c r="CF1740" s="398"/>
      <c r="CG1740" s="398"/>
      <c r="CH1740" s="398"/>
      <c r="CI1740" s="398"/>
      <c r="CJ1740" s="398"/>
      <c r="CK1740" s="398">
        <v>1.375</v>
      </c>
      <c r="CL1740" s="398">
        <v>2.3140000000000001</v>
      </c>
      <c r="CM1740" s="398">
        <v>4.0620000000000003</v>
      </c>
      <c r="CN1740" s="398">
        <v>7.3890000000000002</v>
      </c>
      <c r="CO1740" s="398">
        <v>13.821</v>
      </c>
      <c r="CP1740" s="398">
        <v>15.826000000000001</v>
      </c>
      <c r="CQ1740" s="398">
        <v>19.463000000000001</v>
      </c>
      <c r="CR1740" s="398">
        <v>19.463000000000001</v>
      </c>
      <c r="CS1740" s="398">
        <v>19.463000000000001</v>
      </c>
      <c r="CT1740" s="398">
        <v>19.463000000000001</v>
      </c>
      <c r="CU1740" s="398"/>
      <c r="CV1740" s="398"/>
      <c r="CW1740" s="398"/>
      <c r="CX1740" s="398"/>
      <c r="CY1740" s="398"/>
      <c r="CZ1740" s="398"/>
      <c r="DA1740" s="398"/>
      <c r="DB1740" s="398"/>
      <c r="DC1740" s="398"/>
      <c r="DD1740" s="398"/>
      <c r="DE1740" s="393"/>
      <c r="DF1740" s="393"/>
      <c r="DG1740" s="393"/>
      <c r="DH1740" s="393"/>
      <c r="DI1740" s="393"/>
      <c r="DJ1740" s="393"/>
      <c r="DK1740" s="897"/>
    </row>
    <row r="1741" spans="1:115" ht="38.25" x14ac:dyDescent="0.2">
      <c r="A1741" s="295">
        <v>1737</v>
      </c>
      <c r="B1741" s="449" t="s">
        <v>9132</v>
      </c>
      <c r="C1741" s="390"/>
      <c r="D1741" s="436" t="s">
        <v>9133</v>
      </c>
      <c r="E1741" s="705" t="s">
        <v>9134</v>
      </c>
      <c r="F1741" s="393" t="s">
        <v>1375</v>
      </c>
      <c r="G1741" s="393" t="s">
        <v>998</v>
      </c>
      <c r="H1741" s="393" t="s">
        <v>245</v>
      </c>
      <c r="I1741" s="392"/>
      <c r="J1741" s="392"/>
      <c r="K1741" s="428" t="s">
        <v>5627</v>
      </c>
      <c r="L1741" s="392" t="s">
        <v>6231</v>
      </c>
      <c r="M1741" s="392"/>
      <c r="N1741" s="393" t="s">
        <v>44</v>
      </c>
      <c r="O1741" s="393" t="s">
        <v>271</v>
      </c>
      <c r="P1741" s="393" t="s">
        <v>271</v>
      </c>
      <c r="Q1741" s="392" t="s">
        <v>1234</v>
      </c>
      <c r="R1741" s="392" t="s">
        <v>6236</v>
      </c>
      <c r="S1741" s="392" t="s">
        <v>6233</v>
      </c>
      <c r="T1741" s="394">
        <v>1</v>
      </c>
      <c r="U1741" s="395">
        <v>384.245</v>
      </c>
      <c r="V1741" s="395"/>
      <c r="W1741" s="453"/>
      <c r="X1741" s="394"/>
      <c r="Y1741" s="394">
        <v>10</v>
      </c>
      <c r="Z1741" s="394">
        <v>20</v>
      </c>
      <c r="AA1741" s="395">
        <v>2.4129999999999998</v>
      </c>
      <c r="AB1741" s="452">
        <v>42859</v>
      </c>
      <c r="AC1741" s="398"/>
      <c r="AD1741" s="398">
        <v>3842.45</v>
      </c>
      <c r="AE1741" s="393" t="s">
        <v>72</v>
      </c>
      <c r="AF1741" s="417"/>
      <c r="AG1741" s="417"/>
      <c r="AH1741" s="417"/>
      <c r="AI1741" s="394"/>
      <c r="AJ1741" s="453"/>
      <c r="AK1741" s="453"/>
      <c r="AL1741" s="393"/>
      <c r="AM1741" s="393"/>
      <c r="AN1741" s="417"/>
      <c r="AO1741" s="392"/>
      <c r="AP1741" s="428" t="s">
        <v>7053</v>
      </c>
      <c r="AQ1741" s="428"/>
      <c r="AR1741" s="392" t="s">
        <v>6244</v>
      </c>
      <c r="AS1741" s="479">
        <v>41863</v>
      </c>
      <c r="AT1741" s="453"/>
      <c r="AU1741" s="453"/>
      <c r="AV1741" s="453">
        <v>41876</v>
      </c>
      <c r="AW1741" s="453">
        <v>42244</v>
      </c>
      <c r="AX1741" s="478">
        <v>42304</v>
      </c>
      <c r="AY1741" s="453"/>
      <c r="AZ1741" s="453">
        <v>42859</v>
      </c>
      <c r="BA1741" s="393"/>
      <c r="BB1741" s="393"/>
      <c r="BC1741" s="393" t="b">
        <v>0</v>
      </c>
      <c r="BD1741" s="393"/>
      <c r="BE1741" s="392"/>
      <c r="BF1741" s="394">
        <v>5</v>
      </c>
      <c r="BG1741" s="394">
        <v>9</v>
      </c>
      <c r="BH1741" s="394">
        <v>8</v>
      </c>
      <c r="BI1741" s="394">
        <v>10</v>
      </c>
      <c r="BJ1741" s="394">
        <v>7</v>
      </c>
      <c r="BK1741" s="394">
        <v>6</v>
      </c>
      <c r="BL1741" s="444" t="s">
        <v>6981</v>
      </c>
      <c r="BM1741" s="392"/>
      <c r="BN1741" s="393"/>
      <c r="BO1741" s="393"/>
      <c r="BP1741" s="399"/>
      <c r="BQ1741" s="400"/>
      <c r="BR1741" s="401"/>
      <c r="BS1741" s="399"/>
      <c r="BT1741" s="394"/>
      <c r="BU1741" s="417"/>
      <c r="BV1741" s="399"/>
      <c r="BW1741" s="393" t="s">
        <v>3117</v>
      </c>
      <c r="BX1741" s="392"/>
      <c r="BY1741" s="475" t="s">
        <v>7224</v>
      </c>
      <c r="BZ1741" s="393"/>
      <c r="CA1741" s="441"/>
      <c r="CB1741" s="400"/>
      <c r="CC1741" s="398"/>
      <c r="CD1741" s="398"/>
      <c r="CE1741" s="398"/>
      <c r="CF1741" s="398"/>
      <c r="CG1741" s="398"/>
      <c r="CH1741" s="398"/>
      <c r="CI1741" s="398"/>
      <c r="CJ1741" s="398"/>
      <c r="CK1741" s="398"/>
      <c r="CL1741" s="398"/>
      <c r="CM1741" s="398">
        <v>37.469000000000001</v>
      </c>
      <c r="CN1741" s="398">
        <v>93.876999999999995</v>
      </c>
      <c r="CO1741" s="398">
        <v>154.102</v>
      </c>
      <c r="CP1741" s="398">
        <v>221.255</v>
      </c>
      <c r="CQ1741" s="398">
        <v>295.33499999999998</v>
      </c>
      <c r="CR1741" s="398">
        <v>381.149</v>
      </c>
      <c r="CS1741" s="398">
        <v>485.26900000000001</v>
      </c>
      <c r="CT1741" s="398">
        <v>601.26900000000001</v>
      </c>
      <c r="CU1741" s="398">
        <v>723.26900000000001</v>
      </c>
      <c r="CV1741" s="398">
        <v>848.53</v>
      </c>
      <c r="CW1741" s="398"/>
      <c r="CX1741" s="398"/>
      <c r="CY1741" s="398"/>
      <c r="CZ1741" s="398"/>
      <c r="DA1741" s="398"/>
      <c r="DB1741" s="398"/>
      <c r="DC1741" s="398"/>
      <c r="DD1741" s="398"/>
      <c r="DE1741" s="393"/>
      <c r="DF1741" s="393"/>
      <c r="DG1741" s="393"/>
      <c r="DH1741" s="393"/>
      <c r="DI1741" s="393"/>
      <c r="DJ1741" s="393"/>
      <c r="DK1741" s="897"/>
    </row>
    <row r="1742" spans="1:115" ht="51" x14ac:dyDescent="0.2">
      <c r="A1742" s="295">
        <v>1738</v>
      </c>
      <c r="B1742" s="390" t="s">
        <v>6237</v>
      </c>
      <c r="C1742" s="424" t="s">
        <v>7879</v>
      </c>
      <c r="D1742" s="391"/>
      <c r="E1742" s="710" t="s">
        <v>7904</v>
      </c>
      <c r="F1742" s="390" t="s">
        <v>1340</v>
      </c>
      <c r="G1742" s="390" t="s">
        <v>1677</v>
      </c>
      <c r="H1742" s="390" t="s">
        <v>151</v>
      </c>
      <c r="I1742" s="402"/>
      <c r="J1742" s="402" t="s">
        <v>151</v>
      </c>
      <c r="K1742" s="402"/>
      <c r="L1742" s="402" t="s">
        <v>6238</v>
      </c>
      <c r="M1742" s="402" t="s">
        <v>6239</v>
      </c>
      <c r="N1742" s="390" t="s">
        <v>33</v>
      </c>
      <c r="O1742" s="390" t="s">
        <v>45</v>
      </c>
      <c r="P1742" s="390" t="s">
        <v>45</v>
      </c>
      <c r="Q1742" s="402" t="s">
        <v>307</v>
      </c>
      <c r="R1742" s="402"/>
      <c r="S1742" s="448" t="s">
        <v>166</v>
      </c>
      <c r="T1742" s="411">
        <v>1</v>
      </c>
      <c r="U1742" s="412">
        <v>12.698</v>
      </c>
      <c r="V1742" s="412"/>
      <c r="W1742" s="457">
        <v>41568</v>
      </c>
      <c r="X1742" s="411">
        <v>28</v>
      </c>
      <c r="Y1742" s="411"/>
      <c r="Z1742" s="411"/>
      <c r="AA1742" s="412"/>
      <c r="AB1742" s="454"/>
      <c r="AC1742" s="413">
        <v>0</v>
      </c>
      <c r="AD1742" s="413">
        <v>74.170235616438362</v>
      </c>
      <c r="AE1742" s="390" t="s">
        <v>103</v>
      </c>
      <c r="AF1742" s="419"/>
      <c r="AG1742" s="419"/>
      <c r="AH1742" s="419">
        <v>0</v>
      </c>
      <c r="AI1742" s="411"/>
      <c r="AJ1742" s="454"/>
      <c r="AK1742" s="454"/>
      <c r="AL1742" s="390"/>
      <c r="AM1742" s="390"/>
      <c r="AN1742" s="419"/>
      <c r="AO1742" s="402"/>
      <c r="AP1742" s="402" t="s">
        <v>55</v>
      </c>
      <c r="AQ1742" s="402"/>
      <c r="AR1742" s="402" t="s">
        <v>6241</v>
      </c>
      <c r="AS1742" s="481">
        <v>41864</v>
      </c>
      <c r="AT1742" s="454"/>
      <c r="AU1742" s="454"/>
      <c r="AV1742" s="454"/>
      <c r="AW1742" s="454"/>
      <c r="AX1742" s="454"/>
      <c r="AY1742" s="454"/>
      <c r="AZ1742" s="454"/>
      <c r="BA1742" s="390"/>
      <c r="BB1742" s="390" t="s">
        <v>3147</v>
      </c>
      <c r="BC1742" s="390" t="b">
        <v>0</v>
      </c>
      <c r="BD1742" s="390" t="s">
        <v>3116</v>
      </c>
      <c r="BE1742" s="402"/>
      <c r="BF1742" s="411"/>
      <c r="BG1742" s="411"/>
      <c r="BH1742" s="411"/>
      <c r="BI1742" s="411"/>
      <c r="BJ1742" s="411"/>
      <c r="BK1742" s="411"/>
      <c r="BL1742" s="445" t="s">
        <v>6981</v>
      </c>
      <c r="BM1742" s="402"/>
      <c r="BN1742" s="390"/>
      <c r="BO1742" s="390"/>
      <c r="BP1742" s="414"/>
      <c r="BQ1742" s="415"/>
      <c r="BR1742" s="416"/>
      <c r="BS1742" s="414">
        <v>0</v>
      </c>
      <c r="BT1742" s="411"/>
      <c r="BU1742" s="419"/>
      <c r="BV1742" s="414"/>
      <c r="BW1742" s="390"/>
      <c r="BX1742" s="402"/>
      <c r="BY1742" s="390" t="s">
        <v>7225</v>
      </c>
      <c r="BZ1742" s="390"/>
      <c r="CA1742" s="442"/>
      <c r="CB1742" s="415"/>
      <c r="CC1742" s="413"/>
      <c r="CD1742" s="413"/>
      <c r="CE1742" s="413"/>
      <c r="CF1742" s="413"/>
      <c r="CG1742" s="413"/>
      <c r="CH1742" s="413"/>
      <c r="CI1742" s="413"/>
      <c r="CJ1742" s="413"/>
      <c r="CK1742" s="413"/>
      <c r="CL1742" s="413"/>
      <c r="CM1742" s="413"/>
      <c r="CN1742" s="413"/>
      <c r="CO1742" s="413"/>
      <c r="CP1742" s="413"/>
      <c r="CQ1742" s="413"/>
      <c r="CR1742" s="413"/>
      <c r="CS1742" s="413"/>
      <c r="CT1742" s="413"/>
      <c r="CU1742" s="413"/>
      <c r="CV1742" s="413"/>
      <c r="CW1742" s="413"/>
      <c r="CX1742" s="413"/>
      <c r="CY1742" s="413"/>
      <c r="CZ1742" s="413"/>
      <c r="DA1742" s="413"/>
      <c r="DB1742" s="413"/>
      <c r="DC1742" s="413"/>
      <c r="DD1742" s="413"/>
      <c r="DE1742" s="390"/>
      <c r="DF1742" s="390"/>
      <c r="DG1742" s="390"/>
      <c r="DH1742" s="390"/>
      <c r="DI1742" s="390"/>
      <c r="DJ1742" s="390"/>
      <c r="DK1742" s="897"/>
    </row>
    <row r="1743" spans="1:115" ht="38.25" x14ac:dyDescent="0.2">
      <c r="A1743" s="295">
        <v>1739</v>
      </c>
      <c r="B1743" s="390" t="s">
        <v>6470</v>
      </c>
      <c r="C1743" s="390"/>
      <c r="D1743" s="391"/>
      <c r="E1743" s="706" t="s">
        <v>6242</v>
      </c>
      <c r="F1743" s="390" t="s">
        <v>1340</v>
      </c>
      <c r="G1743" s="390" t="s">
        <v>1677</v>
      </c>
      <c r="H1743" s="390" t="s">
        <v>151</v>
      </c>
      <c r="I1743" s="402"/>
      <c r="J1743" s="402"/>
      <c r="K1743" s="402" t="s">
        <v>2185</v>
      </c>
      <c r="L1743" s="402" t="s">
        <v>6238</v>
      </c>
      <c r="M1743" s="402"/>
      <c r="N1743" s="390" t="s">
        <v>33</v>
      </c>
      <c r="O1743" s="390" t="s">
        <v>45</v>
      </c>
      <c r="P1743" s="390" t="s">
        <v>45</v>
      </c>
      <c r="Q1743" s="402" t="s">
        <v>307</v>
      </c>
      <c r="R1743" s="402" t="s">
        <v>6243</v>
      </c>
      <c r="S1743" s="448" t="s">
        <v>166</v>
      </c>
      <c r="T1743" s="411">
        <v>1</v>
      </c>
      <c r="U1743" s="412">
        <v>12.698</v>
      </c>
      <c r="V1743" s="412"/>
      <c r="W1743" s="454"/>
      <c r="X1743" s="411"/>
      <c r="Y1743" s="411">
        <v>7</v>
      </c>
      <c r="Z1743" s="411">
        <v>21</v>
      </c>
      <c r="AA1743" s="412">
        <v>0</v>
      </c>
      <c r="AB1743" s="457">
        <v>42064</v>
      </c>
      <c r="AC1743" s="413"/>
      <c r="AD1743" s="413">
        <v>74.170235616438362</v>
      </c>
      <c r="AE1743" s="390" t="s">
        <v>103</v>
      </c>
      <c r="AF1743" s="419"/>
      <c r="AG1743" s="419"/>
      <c r="AH1743" s="419"/>
      <c r="AI1743" s="411"/>
      <c r="AJ1743" s="454"/>
      <c r="AK1743" s="454"/>
      <c r="AL1743" s="390"/>
      <c r="AM1743" s="390"/>
      <c r="AN1743" s="419"/>
      <c r="AO1743" s="402"/>
      <c r="AP1743" s="402" t="s">
        <v>55</v>
      </c>
      <c r="AQ1743" s="402"/>
      <c r="AR1743" s="402" t="s">
        <v>6241</v>
      </c>
      <c r="AS1743" s="481">
        <v>41864</v>
      </c>
      <c r="AT1743" s="454"/>
      <c r="AU1743" s="454"/>
      <c r="AV1743" s="454"/>
      <c r="AW1743" s="454"/>
      <c r="AX1743" s="454"/>
      <c r="AY1743" s="454"/>
      <c r="AZ1743" s="454"/>
      <c r="BA1743" s="390"/>
      <c r="BB1743" s="390"/>
      <c r="BC1743" s="390" t="b">
        <v>0</v>
      </c>
      <c r="BD1743" s="390"/>
      <c r="BE1743" s="402"/>
      <c r="BF1743" s="411"/>
      <c r="BG1743" s="411"/>
      <c r="BH1743" s="411"/>
      <c r="BI1743" s="411"/>
      <c r="BJ1743" s="411"/>
      <c r="BK1743" s="411"/>
      <c r="BL1743" s="445"/>
      <c r="BM1743" s="402"/>
      <c r="BN1743" s="390"/>
      <c r="BO1743" s="390"/>
      <c r="BP1743" s="414"/>
      <c r="BQ1743" s="415"/>
      <c r="BR1743" s="416"/>
      <c r="BS1743" s="414"/>
      <c r="BT1743" s="411"/>
      <c r="BU1743" s="419"/>
      <c r="BV1743" s="414"/>
      <c r="BW1743" s="390" t="s">
        <v>3117</v>
      </c>
      <c r="BX1743" s="402"/>
      <c r="BY1743" s="390" t="s">
        <v>7225</v>
      </c>
      <c r="BZ1743" s="390"/>
      <c r="CA1743" s="442"/>
      <c r="CB1743" s="415"/>
      <c r="CC1743" s="413"/>
      <c r="CD1743" s="413"/>
      <c r="CE1743" s="413"/>
      <c r="CF1743" s="413"/>
      <c r="CG1743" s="413"/>
      <c r="CH1743" s="413"/>
      <c r="CI1743" s="413"/>
      <c r="CJ1743" s="413"/>
      <c r="CK1743" s="413">
        <v>10.582000000000001</v>
      </c>
      <c r="CL1743" s="413">
        <v>12.698</v>
      </c>
      <c r="CM1743" s="413">
        <v>12.698</v>
      </c>
      <c r="CN1743" s="413">
        <v>12.698</v>
      </c>
      <c r="CO1743" s="413">
        <v>12.698</v>
      </c>
      <c r="CP1743" s="413">
        <v>12.698</v>
      </c>
      <c r="CQ1743" s="413">
        <v>12.698</v>
      </c>
      <c r="CR1743" s="413">
        <v>2.1160000000000001</v>
      </c>
      <c r="CS1743" s="413"/>
      <c r="CT1743" s="413"/>
      <c r="CU1743" s="413"/>
      <c r="CV1743" s="413"/>
      <c r="CW1743" s="413"/>
      <c r="CX1743" s="413"/>
      <c r="CY1743" s="413"/>
      <c r="CZ1743" s="413"/>
      <c r="DA1743" s="413"/>
      <c r="DB1743" s="413"/>
      <c r="DC1743" s="413"/>
      <c r="DD1743" s="413"/>
      <c r="DE1743" s="390"/>
      <c r="DF1743" s="390"/>
      <c r="DG1743" s="390"/>
      <c r="DH1743" s="390"/>
      <c r="DI1743" s="390"/>
      <c r="DJ1743" s="390"/>
      <c r="DK1743" s="897"/>
    </row>
    <row r="1744" spans="1:115" ht="25.5" x14ac:dyDescent="0.2">
      <c r="A1744" s="295">
        <v>1740</v>
      </c>
      <c r="B1744" s="390" t="s">
        <v>6445</v>
      </c>
      <c r="C1744" s="424" t="s">
        <v>7880</v>
      </c>
      <c r="D1744" s="435">
        <v>10292</v>
      </c>
      <c r="E1744" s="705" t="s">
        <v>6446</v>
      </c>
      <c r="F1744" s="393" t="s">
        <v>1352</v>
      </c>
      <c r="G1744" s="393" t="s">
        <v>1673</v>
      </c>
      <c r="H1744" s="393" t="s">
        <v>42</v>
      </c>
      <c r="I1744" s="392"/>
      <c r="J1744" s="392" t="s">
        <v>42</v>
      </c>
      <c r="K1744" s="392"/>
      <c r="L1744" s="392" t="s">
        <v>6447</v>
      </c>
      <c r="M1744" s="392" t="s">
        <v>6448</v>
      </c>
      <c r="N1744" s="393" t="s">
        <v>44</v>
      </c>
      <c r="O1744" s="393" t="s">
        <v>51</v>
      </c>
      <c r="P1744" s="393" t="s">
        <v>51</v>
      </c>
      <c r="Q1744" s="392" t="s">
        <v>976</v>
      </c>
      <c r="R1744" s="392"/>
      <c r="S1744" s="392" t="s">
        <v>6449</v>
      </c>
      <c r="T1744" s="394">
        <v>2</v>
      </c>
      <c r="U1744" s="395">
        <v>192.482</v>
      </c>
      <c r="V1744" s="395"/>
      <c r="W1744" s="452">
        <v>41782</v>
      </c>
      <c r="X1744" s="394">
        <v>28</v>
      </c>
      <c r="Y1744" s="394"/>
      <c r="Z1744" s="394"/>
      <c r="AA1744" s="395"/>
      <c r="AB1744" s="453"/>
      <c r="AC1744" s="398">
        <v>0</v>
      </c>
      <c r="AD1744" s="398">
        <v>748.96349041095891</v>
      </c>
      <c r="AE1744" s="393" t="s">
        <v>96</v>
      </c>
      <c r="AF1744" s="417"/>
      <c r="AG1744" s="417"/>
      <c r="AH1744" s="417">
        <v>0</v>
      </c>
      <c r="AI1744" s="394"/>
      <c r="AJ1744" s="453"/>
      <c r="AK1744" s="453"/>
      <c r="AL1744" s="393"/>
      <c r="AM1744" s="393"/>
      <c r="AN1744" s="417"/>
      <c r="AO1744" s="392"/>
      <c r="AP1744" s="428" t="s">
        <v>7042</v>
      </c>
      <c r="AQ1744" s="392"/>
      <c r="AR1744" s="392" t="s">
        <v>55</v>
      </c>
      <c r="AS1744" s="479">
        <v>41884</v>
      </c>
      <c r="AT1744" s="453"/>
      <c r="AU1744" s="453"/>
      <c r="AV1744" s="453">
        <v>42324</v>
      </c>
      <c r="AW1744" s="453">
        <v>42571</v>
      </c>
      <c r="AX1744" s="453">
        <v>42637</v>
      </c>
      <c r="AY1744" s="453">
        <v>42571</v>
      </c>
      <c r="AZ1744" s="453"/>
      <c r="BA1744" s="393"/>
      <c r="BB1744" s="393" t="s">
        <v>3116</v>
      </c>
      <c r="BC1744" s="393" t="b">
        <v>0</v>
      </c>
      <c r="BD1744" s="393" t="s">
        <v>3116</v>
      </c>
      <c r="BE1744" s="392"/>
      <c r="BF1744" s="394">
        <v>4</v>
      </c>
      <c r="BG1744" s="394">
        <v>9</v>
      </c>
      <c r="BH1744" s="394">
        <v>6</v>
      </c>
      <c r="BI1744" s="394">
        <v>1</v>
      </c>
      <c r="BJ1744" s="394"/>
      <c r="BK1744" s="394"/>
      <c r="BL1744" s="444" t="s">
        <v>6981</v>
      </c>
      <c r="BM1744" s="392"/>
      <c r="BN1744" s="393"/>
      <c r="BO1744" s="393"/>
      <c r="BP1744" s="399"/>
      <c r="BQ1744" s="400"/>
      <c r="BR1744" s="401"/>
      <c r="BS1744" s="399">
        <v>0</v>
      </c>
      <c r="BT1744" s="394"/>
      <c r="BU1744" s="417"/>
      <c r="BV1744" s="399"/>
      <c r="BW1744" s="393"/>
      <c r="BX1744" s="392"/>
      <c r="BY1744" s="393"/>
      <c r="BZ1744" s="393"/>
      <c r="CA1744" s="441"/>
      <c r="CB1744" s="400"/>
      <c r="CC1744" s="398"/>
      <c r="CD1744" s="398"/>
      <c r="CE1744" s="398"/>
      <c r="CF1744" s="398"/>
      <c r="CG1744" s="398"/>
      <c r="CH1744" s="398"/>
      <c r="CI1744" s="398"/>
      <c r="CJ1744" s="398"/>
      <c r="CK1744" s="398"/>
      <c r="CL1744" s="398"/>
      <c r="CM1744" s="398"/>
      <c r="CN1744" s="398"/>
      <c r="CO1744" s="398"/>
      <c r="CP1744" s="398"/>
      <c r="CQ1744" s="398"/>
      <c r="CR1744" s="398"/>
      <c r="CS1744" s="398"/>
      <c r="CT1744" s="398"/>
      <c r="CU1744" s="398"/>
      <c r="CV1744" s="398"/>
      <c r="CW1744" s="398"/>
      <c r="CX1744" s="398"/>
      <c r="CY1744" s="398"/>
      <c r="CZ1744" s="398"/>
      <c r="DA1744" s="398"/>
      <c r="DB1744" s="398"/>
      <c r="DC1744" s="398"/>
      <c r="DD1744" s="398"/>
      <c r="DE1744" s="393"/>
      <c r="DF1744" s="393"/>
      <c r="DG1744" s="393"/>
      <c r="DH1744" s="393"/>
      <c r="DI1744" s="393"/>
      <c r="DJ1744" s="393"/>
      <c r="DK1744" s="896" t="s">
        <v>9719</v>
      </c>
    </row>
    <row r="1745" spans="1:115" ht="25.5" x14ac:dyDescent="0.2">
      <c r="A1745" s="295">
        <v>1741</v>
      </c>
      <c r="B1745" s="390" t="s">
        <v>6450</v>
      </c>
      <c r="C1745" s="390"/>
      <c r="D1745" s="436" t="s">
        <v>8282</v>
      </c>
      <c r="E1745" s="704" t="s">
        <v>6451</v>
      </c>
      <c r="F1745" s="393" t="s">
        <v>1352</v>
      </c>
      <c r="G1745" s="393" t="s">
        <v>1673</v>
      </c>
      <c r="H1745" s="393" t="s">
        <v>42</v>
      </c>
      <c r="I1745" s="392"/>
      <c r="J1745" s="392"/>
      <c r="K1745" s="392" t="s">
        <v>4587</v>
      </c>
      <c r="L1745" s="392" t="s">
        <v>6447</v>
      </c>
      <c r="M1745" s="392"/>
      <c r="N1745" s="393" t="s">
        <v>44</v>
      </c>
      <c r="O1745" s="393" t="s">
        <v>51</v>
      </c>
      <c r="P1745" s="393" t="s">
        <v>51</v>
      </c>
      <c r="Q1745" s="392" t="s">
        <v>976</v>
      </c>
      <c r="R1745" s="392" t="s">
        <v>6452</v>
      </c>
      <c r="S1745" s="392" t="s">
        <v>6449</v>
      </c>
      <c r="T1745" s="394">
        <v>1</v>
      </c>
      <c r="U1745" s="395">
        <v>95.885000000000005</v>
      </c>
      <c r="V1745" s="395"/>
      <c r="W1745" s="453"/>
      <c r="X1745" s="394"/>
      <c r="Y1745" s="394">
        <v>7</v>
      </c>
      <c r="Z1745" s="394">
        <v>10</v>
      </c>
      <c r="AA1745" s="395">
        <v>0</v>
      </c>
      <c r="AB1745" s="452">
        <v>42571</v>
      </c>
      <c r="AC1745" s="398"/>
      <c r="AD1745" s="398">
        <v>426.88527397260276</v>
      </c>
      <c r="AE1745" s="393" t="s">
        <v>96</v>
      </c>
      <c r="AF1745" s="417"/>
      <c r="AG1745" s="417"/>
      <c r="AH1745" s="417"/>
      <c r="AI1745" s="394"/>
      <c r="AJ1745" s="453"/>
      <c r="AK1745" s="453"/>
      <c r="AL1745" s="393"/>
      <c r="AM1745" s="393"/>
      <c r="AN1745" s="417"/>
      <c r="AO1745" s="392"/>
      <c r="AP1745" s="428" t="s">
        <v>7042</v>
      </c>
      <c r="AQ1745" s="392"/>
      <c r="AR1745" s="392" t="s">
        <v>55</v>
      </c>
      <c r="AS1745" s="479">
        <v>41884</v>
      </c>
      <c r="AT1745" s="453"/>
      <c r="AU1745" s="453"/>
      <c r="AV1745" s="453"/>
      <c r="AW1745" s="453"/>
      <c r="AX1745" s="453"/>
      <c r="AY1745" s="453"/>
      <c r="AZ1745" s="453">
        <v>42571</v>
      </c>
      <c r="BA1745" s="393"/>
      <c r="BB1745" s="393"/>
      <c r="BC1745" s="393" t="b">
        <v>0</v>
      </c>
      <c r="BD1745" s="393"/>
      <c r="BE1745" s="392"/>
      <c r="BF1745" s="394">
        <v>4</v>
      </c>
      <c r="BG1745" s="394">
        <v>9</v>
      </c>
      <c r="BH1745" s="394">
        <v>6</v>
      </c>
      <c r="BI1745" s="394">
        <v>1</v>
      </c>
      <c r="BJ1745" s="394"/>
      <c r="BK1745" s="394"/>
      <c r="BL1745" s="444" t="s">
        <v>6981</v>
      </c>
      <c r="BM1745" s="392"/>
      <c r="BN1745" s="393"/>
      <c r="BO1745" s="393"/>
      <c r="BP1745" s="399"/>
      <c r="BQ1745" s="400"/>
      <c r="BR1745" s="401"/>
      <c r="BS1745" s="399"/>
      <c r="BT1745" s="394"/>
      <c r="BU1745" s="417"/>
      <c r="BV1745" s="399"/>
      <c r="BW1745" s="393" t="s">
        <v>3117</v>
      </c>
      <c r="BX1745" s="392"/>
      <c r="BY1745" s="393"/>
      <c r="BZ1745" s="393"/>
      <c r="CA1745" s="441"/>
      <c r="CB1745" s="400"/>
      <c r="CC1745" s="398"/>
      <c r="CD1745" s="398"/>
      <c r="CE1745" s="398"/>
      <c r="CF1745" s="398"/>
      <c r="CG1745" s="398"/>
      <c r="CH1745" s="398"/>
      <c r="CI1745" s="398"/>
      <c r="CJ1745" s="398"/>
      <c r="CK1745" s="398">
        <v>100.01</v>
      </c>
      <c r="CL1745" s="398">
        <v>100.01</v>
      </c>
      <c r="CM1745" s="398">
        <v>100.01</v>
      </c>
      <c r="CN1745" s="398">
        <v>100.01</v>
      </c>
      <c r="CO1745" s="398">
        <v>100.01</v>
      </c>
      <c r="CP1745" s="398">
        <v>100.01</v>
      </c>
      <c r="CQ1745" s="398">
        <v>100.01</v>
      </c>
      <c r="CR1745" s="398"/>
      <c r="CS1745" s="398"/>
      <c r="CT1745" s="398"/>
      <c r="CU1745" s="398"/>
      <c r="CV1745" s="398"/>
      <c r="CW1745" s="398"/>
      <c r="CX1745" s="398"/>
      <c r="CY1745" s="398"/>
      <c r="CZ1745" s="398"/>
      <c r="DA1745" s="398"/>
      <c r="DB1745" s="398"/>
      <c r="DC1745" s="398"/>
      <c r="DD1745" s="398"/>
      <c r="DE1745" s="393"/>
      <c r="DF1745" s="393"/>
      <c r="DG1745" s="393"/>
      <c r="DH1745" s="393"/>
      <c r="DI1745" s="393"/>
      <c r="DJ1745" s="393"/>
      <c r="DK1745" s="897"/>
    </row>
    <row r="1746" spans="1:115" ht="25.5" x14ac:dyDescent="0.2">
      <c r="A1746" s="295">
        <v>1742</v>
      </c>
      <c r="B1746" s="390" t="s">
        <v>9065</v>
      </c>
      <c r="C1746" s="390"/>
      <c r="D1746" s="436" t="s">
        <v>9066</v>
      </c>
      <c r="E1746" s="705" t="s">
        <v>9067</v>
      </c>
      <c r="F1746" s="393" t="s">
        <v>1352</v>
      </c>
      <c r="G1746" s="393" t="s">
        <v>1673</v>
      </c>
      <c r="H1746" s="393" t="s">
        <v>42</v>
      </c>
      <c r="I1746" s="392"/>
      <c r="J1746" s="392"/>
      <c r="K1746" s="428" t="s">
        <v>9068</v>
      </c>
      <c r="L1746" s="428" t="s">
        <v>6447</v>
      </c>
      <c r="M1746" s="392"/>
      <c r="N1746" s="475" t="s">
        <v>44</v>
      </c>
      <c r="O1746" s="393" t="s">
        <v>51</v>
      </c>
      <c r="P1746" s="393" t="s">
        <v>51</v>
      </c>
      <c r="Q1746" s="392" t="s">
        <v>976</v>
      </c>
      <c r="R1746" s="428" t="s">
        <v>9069</v>
      </c>
      <c r="S1746" s="428" t="s">
        <v>6449</v>
      </c>
      <c r="T1746" s="394">
        <v>1</v>
      </c>
      <c r="U1746" s="395">
        <v>96.596999999999994</v>
      </c>
      <c r="V1746" s="395"/>
      <c r="W1746" s="453"/>
      <c r="X1746" s="394"/>
      <c r="Y1746" s="394">
        <v>7</v>
      </c>
      <c r="Z1746" s="394">
        <v>10</v>
      </c>
      <c r="AA1746" s="395">
        <v>0</v>
      </c>
      <c r="AB1746" s="452">
        <v>42979</v>
      </c>
      <c r="AC1746" s="398">
        <v>0</v>
      </c>
      <c r="AD1746" s="398">
        <v>322.07821643835615</v>
      </c>
      <c r="AE1746" s="475" t="s">
        <v>96</v>
      </c>
      <c r="AF1746" s="417"/>
      <c r="AG1746" s="417"/>
      <c r="AH1746" s="417"/>
      <c r="AI1746" s="394"/>
      <c r="AJ1746" s="453"/>
      <c r="AK1746" s="453"/>
      <c r="AL1746" s="393"/>
      <c r="AM1746" s="393"/>
      <c r="AN1746" s="417"/>
      <c r="AO1746" s="392"/>
      <c r="AP1746" s="428" t="s">
        <v>7042</v>
      </c>
      <c r="AQ1746" s="392"/>
      <c r="AR1746" s="428" t="s">
        <v>55</v>
      </c>
      <c r="AS1746" s="479">
        <v>41884</v>
      </c>
      <c r="AT1746" s="453"/>
      <c r="AU1746" s="453"/>
      <c r="AV1746" s="453"/>
      <c r="AW1746" s="453"/>
      <c r="AX1746" s="453"/>
      <c r="AY1746" s="453"/>
      <c r="AZ1746" s="453">
        <v>42935</v>
      </c>
      <c r="BA1746" s="393"/>
      <c r="BB1746" s="393"/>
      <c r="BC1746" s="393" t="b">
        <v>0</v>
      </c>
      <c r="BD1746" s="393"/>
      <c r="BE1746" s="392"/>
      <c r="BF1746" s="394">
        <v>4</v>
      </c>
      <c r="BG1746" s="394">
        <v>9</v>
      </c>
      <c r="BH1746" s="394">
        <v>6</v>
      </c>
      <c r="BI1746" s="394">
        <v>1</v>
      </c>
      <c r="BJ1746" s="394"/>
      <c r="BK1746" s="394"/>
      <c r="BL1746" s="444" t="s">
        <v>6981</v>
      </c>
      <c r="BM1746" s="392"/>
      <c r="BN1746" s="393"/>
      <c r="BO1746" s="393"/>
      <c r="BP1746" s="399"/>
      <c r="BQ1746" s="400"/>
      <c r="BR1746" s="401"/>
      <c r="BS1746" s="399"/>
      <c r="BT1746" s="394"/>
      <c r="BU1746" s="417"/>
      <c r="BV1746" s="399"/>
      <c r="BW1746" s="393"/>
      <c r="BX1746" s="392"/>
      <c r="BY1746" s="393"/>
      <c r="BZ1746" s="393"/>
      <c r="CA1746" s="441"/>
      <c r="CB1746" s="400"/>
      <c r="CC1746" s="398"/>
      <c r="CD1746" s="398"/>
      <c r="CE1746" s="398"/>
      <c r="CF1746" s="398"/>
      <c r="CG1746" s="398"/>
      <c r="CH1746" s="398"/>
      <c r="CI1746" s="398"/>
      <c r="CJ1746" s="398"/>
      <c r="CK1746" s="398"/>
      <c r="CL1746" s="398"/>
      <c r="CM1746" s="398">
        <v>32.262</v>
      </c>
      <c r="CN1746" s="398">
        <v>96.521000000000001</v>
      </c>
      <c r="CO1746" s="398">
        <v>96.521000000000001</v>
      </c>
      <c r="CP1746" s="398">
        <v>96.521000000000001</v>
      </c>
      <c r="CQ1746" s="398">
        <v>96.521000000000001</v>
      </c>
      <c r="CR1746" s="398">
        <v>96.521000000000001</v>
      </c>
      <c r="CS1746" s="398">
        <v>96.521000000000001</v>
      </c>
      <c r="CT1746" s="398">
        <v>64.524000000000001</v>
      </c>
      <c r="CU1746" s="398"/>
      <c r="CV1746" s="398"/>
      <c r="CW1746" s="398"/>
      <c r="CX1746" s="398"/>
      <c r="CY1746" s="398"/>
      <c r="CZ1746" s="398"/>
      <c r="DA1746" s="398"/>
      <c r="DB1746" s="398"/>
      <c r="DC1746" s="398"/>
      <c r="DD1746" s="398"/>
      <c r="DE1746" s="393"/>
      <c r="DF1746" s="393"/>
      <c r="DG1746" s="393"/>
      <c r="DH1746" s="393"/>
      <c r="DI1746" s="393"/>
      <c r="DJ1746" s="393"/>
      <c r="DK1746" s="897"/>
    </row>
    <row r="1747" spans="1:115" ht="25.5" x14ac:dyDescent="0.2">
      <c r="A1747" s="295">
        <v>1743</v>
      </c>
      <c r="B1747" s="390" t="s">
        <v>6453</v>
      </c>
      <c r="C1747" s="424" t="s">
        <v>7881</v>
      </c>
      <c r="D1747" s="435">
        <v>10289</v>
      </c>
      <c r="E1747" s="705" t="s">
        <v>8141</v>
      </c>
      <c r="F1747" s="475" t="s">
        <v>8026</v>
      </c>
      <c r="G1747" s="393" t="s">
        <v>1678</v>
      </c>
      <c r="H1747" s="393" t="s">
        <v>918</v>
      </c>
      <c r="I1747" s="392"/>
      <c r="J1747" s="392" t="s">
        <v>918</v>
      </c>
      <c r="K1747" s="392"/>
      <c r="L1747" s="392" t="s">
        <v>6454</v>
      </c>
      <c r="M1747" s="392" t="s">
        <v>6455</v>
      </c>
      <c r="N1747" s="393" t="s">
        <v>44</v>
      </c>
      <c r="O1747" s="393" t="s">
        <v>827</v>
      </c>
      <c r="P1747" s="393" t="s">
        <v>827</v>
      </c>
      <c r="Q1747" s="392" t="s">
        <v>836</v>
      </c>
      <c r="R1747" s="392"/>
      <c r="S1747" s="392" t="s">
        <v>291</v>
      </c>
      <c r="T1747" s="394">
        <v>4</v>
      </c>
      <c r="U1747" s="395">
        <v>24.46</v>
      </c>
      <c r="V1747" s="395"/>
      <c r="W1747" s="452">
        <v>41708</v>
      </c>
      <c r="X1747" s="394">
        <v>28</v>
      </c>
      <c r="Y1747" s="394"/>
      <c r="Z1747" s="394"/>
      <c r="AA1747" s="395"/>
      <c r="AB1747" s="453"/>
      <c r="AC1747" s="398">
        <v>0</v>
      </c>
      <c r="AD1747" s="398">
        <v>63.924301369863009</v>
      </c>
      <c r="AE1747" s="393" t="s">
        <v>47</v>
      </c>
      <c r="AF1747" s="417"/>
      <c r="AG1747" s="417"/>
      <c r="AH1747" s="417">
        <v>0</v>
      </c>
      <c r="AI1747" s="394"/>
      <c r="AJ1747" s="453"/>
      <c r="AK1747" s="453"/>
      <c r="AL1747" s="393"/>
      <c r="AM1747" s="393"/>
      <c r="AN1747" s="417"/>
      <c r="AO1747" s="392"/>
      <c r="AP1747" s="392" t="s">
        <v>55</v>
      </c>
      <c r="AQ1747" s="392"/>
      <c r="AR1747" s="392" t="s">
        <v>55</v>
      </c>
      <c r="AS1747" s="479">
        <v>41885</v>
      </c>
      <c r="AT1747" s="453"/>
      <c r="AU1747" s="453"/>
      <c r="AV1747" s="453">
        <v>42037</v>
      </c>
      <c r="AW1747" s="453">
        <v>42501</v>
      </c>
      <c r="AX1747" s="453">
        <v>42529</v>
      </c>
      <c r="AY1747" s="453">
        <v>42475</v>
      </c>
      <c r="AZ1747" s="453"/>
      <c r="BA1747" s="393"/>
      <c r="BB1747" s="393" t="s">
        <v>3147</v>
      </c>
      <c r="BC1747" s="393" t="b">
        <v>0</v>
      </c>
      <c r="BD1747" s="393" t="s">
        <v>3147</v>
      </c>
      <c r="BE1747" s="392"/>
      <c r="BF1747" s="394">
        <v>9</v>
      </c>
      <c r="BG1747" s="394">
        <v>5</v>
      </c>
      <c r="BH1747" s="394">
        <v>1</v>
      </c>
      <c r="BI1747" s="394">
        <v>6</v>
      </c>
      <c r="BJ1747" s="394"/>
      <c r="BK1747" s="394"/>
      <c r="BL1747" s="444" t="s">
        <v>6981</v>
      </c>
      <c r="BM1747" s="392"/>
      <c r="BN1747" s="393"/>
      <c r="BO1747" s="393"/>
      <c r="BP1747" s="399"/>
      <c r="BQ1747" s="400"/>
      <c r="BR1747" s="401"/>
      <c r="BS1747" s="399">
        <v>34.778000000000006</v>
      </c>
      <c r="BT1747" s="394"/>
      <c r="BU1747" s="417"/>
      <c r="BV1747" s="399"/>
      <c r="BW1747" s="393"/>
      <c r="BX1747" s="392"/>
      <c r="BY1747" s="393"/>
      <c r="BZ1747" s="393"/>
      <c r="CA1747" s="441"/>
      <c r="CB1747" s="400"/>
      <c r="CC1747" s="398"/>
      <c r="CD1747" s="398"/>
      <c r="CE1747" s="398"/>
      <c r="CF1747" s="398"/>
      <c r="CG1747" s="398"/>
      <c r="CH1747" s="398"/>
      <c r="CI1747" s="398"/>
      <c r="CJ1747" s="398"/>
      <c r="CK1747" s="398"/>
      <c r="CL1747" s="398"/>
      <c r="CM1747" s="398"/>
      <c r="CN1747" s="398"/>
      <c r="CO1747" s="398"/>
      <c r="CP1747" s="398"/>
      <c r="CQ1747" s="398"/>
      <c r="CR1747" s="398"/>
      <c r="CS1747" s="398"/>
      <c r="CT1747" s="398"/>
      <c r="CU1747" s="398"/>
      <c r="CV1747" s="398"/>
      <c r="CW1747" s="398"/>
      <c r="CX1747" s="398"/>
      <c r="CY1747" s="398"/>
      <c r="CZ1747" s="398"/>
      <c r="DA1747" s="398"/>
      <c r="DB1747" s="398"/>
      <c r="DC1747" s="398"/>
      <c r="DD1747" s="398"/>
      <c r="DE1747" s="393"/>
      <c r="DF1747" s="393"/>
      <c r="DG1747" s="393"/>
      <c r="DH1747" s="393"/>
      <c r="DI1747" s="393"/>
      <c r="DJ1747" s="393"/>
      <c r="DK1747" s="896" t="s">
        <v>9698</v>
      </c>
    </row>
    <row r="1748" spans="1:115" ht="25.5" x14ac:dyDescent="0.2">
      <c r="A1748" s="295">
        <v>1744</v>
      </c>
      <c r="B1748" s="390" t="s">
        <v>6471</v>
      </c>
      <c r="C1748" s="390"/>
      <c r="D1748" s="436" t="s">
        <v>8143</v>
      </c>
      <c r="E1748" s="705" t="s">
        <v>8142</v>
      </c>
      <c r="F1748" s="475" t="s">
        <v>8026</v>
      </c>
      <c r="G1748" s="393" t="s">
        <v>1678</v>
      </c>
      <c r="H1748" s="393" t="s">
        <v>918</v>
      </c>
      <c r="I1748" s="392"/>
      <c r="J1748" s="392"/>
      <c r="K1748" s="392" t="s">
        <v>6456</v>
      </c>
      <c r="L1748" s="392" t="s">
        <v>6454</v>
      </c>
      <c r="M1748" s="392"/>
      <c r="N1748" s="393" t="s">
        <v>44</v>
      </c>
      <c r="O1748" s="393" t="s">
        <v>827</v>
      </c>
      <c r="P1748" s="393" t="s">
        <v>827</v>
      </c>
      <c r="Q1748" s="392" t="s">
        <v>836</v>
      </c>
      <c r="R1748" s="392" t="s">
        <v>6457</v>
      </c>
      <c r="S1748" s="392" t="s">
        <v>291</v>
      </c>
      <c r="T1748" s="394">
        <v>1</v>
      </c>
      <c r="U1748" s="395">
        <v>1.3979999999999999</v>
      </c>
      <c r="V1748" s="395"/>
      <c r="W1748" s="453"/>
      <c r="X1748" s="394"/>
      <c r="Y1748" s="394">
        <v>7</v>
      </c>
      <c r="Z1748" s="394">
        <v>25</v>
      </c>
      <c r="AA1748" s="395">
        <v>0</v>
      </c>
      <c r="AB1748" s="452">
        <v>42475</v>
      </c>
      <c r="AC1748" s="398"/>
      <c r="AD1748" s="398">
        <v>6.5916657534246568</v>
      </c>
      <c r="AE1748" s="393" t="s">
        <v>47</v>
      </c>
      <c r="AF1748" s="417"/>
      <c r="AG1748" s="417"/>
      <c r="AH1748" s="417"/>
      <c r="AI1748" s="394"/>
      <c r="AJ1748" s="453"/>
      <c r="AK1748" s="453"/>
      <c r="AL1748" s="393"/>
      <c r="AM1748" s="393"/>
      <c r="AN1748" s="417"/>
      <c r="AO1748" s="392"/>
      <c r="AP1748" s="392" t="s">
        <v>55</v>
      </c>
      <c r="AQ1748" s="392"/>
      <c r="AR1748" s="392" t="s">
        <v>55</v>
      </c>
      <c r="AS1748" s="479">
        <v>41885</v>
      </c>
      <c r="AT1748" s="453"/>
      <c r="AU1748" s="453"/>
      <c r="AV1748" s="453"/>
      <c r="AW1748" s="453"/>
      <c r="AX1748" s="453"/>
      <c r="AY1748" s="453"/>
      <c r="AZ1748" s="453">
        <v>42475</v>
      </c>
      <c r="BA1748" s="393"/>
      <c r="BB1748" s="393"/>
      <c r="BC1748" s="393" t="b">
        <v>0</v>
      </c>
      <c r="BD1748" s="393"/>
      <c r="BE1748" s="392"/>
      <c r="BF1748" s="394">
        <v>9</v>
      </c>
      <c r="BG1748" s="394">
        <v>5</v>
      </c>
      <c r="BH1748" s="394">
        <v>1</v>
      </c>
      <c r="BI1748" s="394">
        <v>6</v>
      </c>
      <c r="BJ1748" s="394"/>
      <c r="BK1748" s="394"/>
      <c r="BL1748" s="444" t="s">
        <v>6981</v>
      </c>
      <c r="BM1748" s="392"/>
      <c r="BN1748" s="393"/>
      <c r="BO1748" s="393"/>
      <c r="BP1748" s="399"/>
      <c r="BQ1748" s="400"/>
      <c r="BR1748" s="401"/>
      <c r="BS1748" s="399">
        <v>3.8780000000000001</v>
      </c>
      <c r="BT1748" s="394">
        <v>5996</v>
      </c>
      <c r="BU1748" s="417">
        <v>0.4274</v>
      </c>
      <c r="BV1748" s="399"/>
      <c r="BW1748" s="393" t="s">
        <v>3117</v>
      </c>
      <c r="BX1748" s="392"/>
      <c r="BY1748" s="393"/>
      <c r="BZ1748" s="393"/>
      <c r="CA1748" s="441"/>
      <c r="CB1748" s="400"/>
      <c r="CC1748" s="398"/>
      <c r="CD1748" s="398"/>
      <c r="CE1748" s="398"/>
      <c r="CF1748" s="398"/>
      <c r="CG1748" s="398"/>
      <c r="CH1748" s="398"/>
      <c r="CI1748" s="398"/>
      <c r="CJ1748" s="398"/>
      <c r="CK1748" s="398">
        <v>1.3979999999999999</v>
      </c>
      <c r="CL1748" s="398">
        <v>1.3979999999999999</v>
      </c>
      <c r="CM1748" s="398">
        <v>1.3979999999999999</v>
      </c>
      <c r="CN1748" s="398">
        <v>1.3979999999999999</v>
      </c>
      <c r="CO1748" s="398">
        <v>1.3979999999999999</v>
      </c>
      <c r="CP1748" s="398">
        <v>1.3979999999999999</v>
      </c>
      <c r="CQ1748" s="398">
        <v>1.3979999999999999</v>
      </c>
      <c r="CR1748" s="398"/>
      <c r="CS1748" s="398"/>
      <c r="CT1748" s="398"/>
      <c r="CU1748" s="398"/>
      <c r="CV1748" s="398"/>
      <c r="CW1748" s="398"/>
      <c r="CX1748" s="398"/>
      <c r="CY1748" s="398"/>
      <c r="CZ1748" s="398"/>
      <c r="DA1748" s="398"/>
      <c r="DB1748" s="398"/>
      <c r="DC1748" s="398"/>
      <c r="DD1748" s="398"/>
      <c r="DE1748" s="393"/>
      <c r="DF1748" s="393"/>
      <c r="DG1748" s="393"/>
      <c r="DH1748" s="393"/>
      <c r="DI1748" s="393"/>
      <c r="DJ1748" s="393"/>
      <c r="DK1748" s="897"/>
    </row>
    <row r="1749" spans="1:115" ht="25.5" x14ac:dyDescent="0.2">
      <c r="A1749" s="295">
        <v>1745</v>
      </c>
      <c r="B1749" s="390" t="s">
        <v>9594</v>
      </c>
      <c r="C1749" s="390"/>
      <c r="D1749" s="436" t="s">
        <v>9595</v>
      </c>
      <c r="E1749" s="705" t="s">
        <v>9598</v>
      </c>
      <c r="F1749" s="475" t="s">
        <v>8026</v>
      </c>
      <c r="G1749" s="393" t="s">
        <v>1678</v>
      </c>
      <c r="H1749" s="393" t="s">
        <v>918</v>
      </c>
      <c r="I1749" s="392"/>
      <c r="J1749" s="392"/>
      <c r="K1749" s="392" t="s">
        <v>6456</v>
      </c>
      <c r="L1749" s="392" t="s">
        <v>6454</v>
      </c>
      <c r="M1749" s="392"/>
      <c r="N1749" s="393" t="s">
        <v>44</v>
      </c>
      <c r="O1749" s="393" t="s">
        <v>827</v>
      </c>
      <c r="P1749" s="393" t="s">
        <v>827</v>
      </c>
      <c r="Q1749" s="392" t="s">
        <v>836</v>
      </c>
      <c r="R1749" s="428" t="s">
        <v>9600</v>
      </c>
      <c r="S1749" s="392" t="s">
        <v>291</v>
      </c>
      <c r="T1749" s="394">
        <v>1</v>
      </c>
      <c r="U1749" s="395">
        <v>10.523</v>
      </c>
      <c r="V1749" s="395"/>
      <c r="W1749" s="453"/>
      <c r="X1749" s="394"/>
      <c r="Y1749" s="394">
        <v>7</v>
      </c>
      <c r="Z1749" s="394">
        <v>25</v>
      </c>
      <c r="AA1749" s="395">
        <v>0</v>
      </c>
      <c r="AB1749" s="452">
        <v>43282</v>
      </c>
      <c r="AC1749" s="398"/>
      <c r="AD1749" s="398">
        <v>26.350745205479448</v>
      </c>
      <c r="AE1749" s="475" t="s">
        <v>47</v>
      </c>
      <c r="AF1749" s="417"/>
      <c r="AG1749" s="417"/>
      <c r="AH1749" s="417"/>
      <c r="AI1749" s="394"/>
      <c r="AJ1749" s="453"/>
      <c r="AK1749" s="453"/>
      <c r="AL1749" s="393"/>
      <c r="AM1749" s="393"/>
      <c r="AN1749" s="417"/>
      <c r="AO1749" s="392"/>
      <c r="AP1749" s="428" t="s">
        <v>55</v>
      </c>
      <c r="AQ1749" s="392"/>
      <c r="AR1749" s="428" t="s">
        <v>55</v>
      </c>
      <c r="AS1749" s="479">
        <v>41885</v>
      </c>
      <c r="AT1749" s="453"/>
      <c r="AU1749" s="453"/>
      <c r="AV1749" s="453"/>
      <c r="AW1749" s="453"/>
      <c r="AX1749" s="453"/>
      <c r="AY1749" s="453"/>
      <c r="AZ1749" s="453">
        <v>43281</v>
      </c>
      <c r="BA1749" s="393"/>
      <c r="BB1749" s="393"/>
      <c r="BC1749" s="393" t="b">
        <v>0</v>
      </c>
      <c r="BD1749" s="393"/>
      <c r="BE1749" s="392"/>
      <c r="BF1749" s="394">
        <v>9</v>
      </c>
      <c r="BG1749" s="394">
        <v>5</v>
      </c>
      <c r="BH1749" s="394">
        <v>1</v>
      </c>
      <c r="BI1749" s="394">
        <v>6</v>
      </c>
      <c r="BJ1749" s="394"/>
      <c r="BK1749" s="394"/>
      <c r="BL1749" s="444" t="s">
        <v>6981</v>
      </c>
      <c r="BM1749" s="392"/>
      <c r="BN1749" s="393"/>
      <c r="BO1749" s="393"/>
      <c r="BP1749" s="399"/>
      <c r="BQ1749" s="400"/>
      <c r="BR1749" s="401"/>
      <c r="BS1749" s="399">
        <v>14.1</v>
      </c>
      <c r="BT1749" s="394">
        <f>22714/BS1749</f>
        <v>1610.921985815603</v>
      </c>
      <c r="BU1749" s="417">
        <v>0.46329999999999999</v>
      </c>
      <c r="BV1749" s="399"/>
      <c r="BW1749" s="475" t="s">
        <v>3117</v>
      </c>
      <c r="BX1749" s="392"/>
      <c r="BY1749" s="393"/>
      <c r="BZ1749" s="393"/>
      <c r="CA1749" s="441"/>
      <c r="CB1749" s="400"/>
      <c r="CC1749" s="398"/>
      <c r="CD1749" s="398"/>
      <c r="CE1749" s="398"/>
      <c r="CF1749" s="398"/>
      <c r="CG1749" s="398"/>
      <c r="CH1749" s="398"/>
      <c r="CI1749" s="398"/>
      <c r="CJ1749" s="398"/>
      <c r="CK1749" s="398"/>
      <c r="CL1749" s="398"/>
      <c r="CM1749" s="398"/>
      <c r="CN1749" s="398">
        <v>10.779</v>
      </c>
      <c r="CO1749" s="398">
        <v>10.692</v>
      </c>
      <c r="CP1749" s="398">
        <v>10.606999999999999</v>
      </c>
      <c r="CQ1749" s="398">
        <v>10.522</v>
      </c>
      <c r="CR1749" s="398">
        <v>10.438000000000001</v>
      </c>
      <c r="CS1749" s="398">
        <v>10.353999999999999</v>
      </c>
      <c r="CT1749" s="398">
        <v>10.272</v>
      </c>
      <c r="CU1749" s="398"/>
      <c r="CV1749" s="398"/>
      <c r="CW1749" s="398"/>
      <c r="CX1749" s="398"/>
      <c r="CY1749" s="398"/>
      <c r="CZ1749" s="398"/>
      <c r="DA1749" s="398"/>
      <c r="DB1749" s="398"/>
      <c r="DC1749" s="398"/>
      <c r="DD1749" s="398"/>
      <c r="DE1749" s="393"/>
      <c r="DF1749" s="393"/>
      <c r="DG1749" s="393"/>
      <c r="DH1749" s="393"/>
      <c r="DI1749" s="393"/>
      <c r="DJ1749" s="393"/>
      <c r="DK1749" s="897"/>
    </row>
    <row r="1750" spans="1:115" ht="25.5" x14ac:dyDescent="0.2">
      <c r="A1750" s="295">
        <v>1746</v>
      </c>
      <c r="B1750" s="390" t="s">
        <v>9596</v>
      </c>
      <c r="C1750" s="390"/>
      <c r="D1750" s="436" t="s">
        <v>9597</v>
      </c>
      <c r="E1750" s="705" t="s">
        <v>9599</v>
      </c>
      <c r="F1750" s="475" t="s">
        <v>8026</v>
      </c>
      <c r="G1750" s="393" t="s">
        <v>1678</v>
      </c>
      <c r="H1750" s="393" t="s">
        <v>918</v>
      </c>
      <c r="I1750" s="392"/>
      <c r="J1750" s="392"/>
      <c r="K1750" s="392" t="s">
        <v>6456</v>
      </c>
      <c r="L1750" s="392" t="s">
        <v>6454</v>
      </c>
      <c r="M1750" s="392"/>
      <c r="N1750" s="393" t="s">
        <v>44</v>
      </c>
      <c r="O1750" s="393" t="s">
        <v>827</v>
      </c>
      <c r="P1750" s="393" t="s">
        <v>827</v>
      </c>
      <c r="Q1750" s="392" t="s">
        <v>836</v>
      </c>
      <c r="R1750" s="428" t="s">
        <v>9601</v>
      </c>
      <c r="S1750" s="392" t="s">
        <v>291</v>
      </c>
      <c r="T1750" s="394">
        <v>1</v>
      </c>
      <c r="U1750" s="395">
        <v>6.1950000000000003</v>
      </c>
      <c r="V1750" s="395"/>
      <c r="W1750" s="453"/>
      <c r="X1750" s="394"/>
      <c r="Y1750" s="394">
        <v>7</v>
      </c>
      <c r="Z1750" s="394">
        <v>25</v>
      </c>
      <c r="AA1750" s="395">
        <v>0</v>
      </c>
      <c r="AB1750" s="452">
        <v>43282</v>
      </c>
      <c r="AC1750" s="398"/>
      <c r="AD1750" s="398">
        <v>15.51295890410959</v>
      </c>
      <c r="AE1750" s="475" t="s">
        <v>47</v>
      </c>
      <c r="AF1750" s="417"/>
      <c r="AG1750" s="417"/>
      <c r="AH1750" s="417"/>
      <c r="AI1750" s="394"/>
      <c r="AJ1750" s="453"/>
      <c r="AK1750" s="453"/>
      <c r="AL1750" s="393"/>
      <c r="AM1750" s="393"/>
      <c r="AN1750" s="417"/>
      <c r="AO1750" s="392"/>
      <c r="AP1750" s="428" t="s">
        <v>55</v>
      </c>
      <c r="AQ1750" s="392"/>
      <c r="AR1750" s="428" t="s">
        <v>55</v>
      </c>
      <c r="AS1750" s="479">
        <v>41885</v>
      </c>
      <c r="AT1750" s="453"/>
      <c r="AU1750" s="453"/>
      <c r="AV1750" s="453"/>
      <c r="AW1750" s="453"/>
      <c r="AX1750" s="453"/>
      <c r="AY1750" s="453"/>
      <c r="AZ1750" s="453">
        <v>43281</v>
      </c>
      <c r="BA1750" s="393"/>
      <c r="BB1750" s="393"/>
      <c r="BC1750" s="393" t="b">
        <v>0</v>
      </c>
      <c r="BD1750" s="393"/>
      <c r="BE1750" s="392"/>
      <c r="BF1750" s="394">
        <v>9</v>
      </c>
      <c r="BG1750" s="394">
        <v>5</v>
      </c>
      <c r="BH1750" s="394">
        <v>1</v>
      </c>
      <c r="BI1750" s="394">
        <v>6</v>
      </c>
      <c r="BJ1750" s="394"/>
      <c r="BK1750" s="394"/>
      <c r="BL1750" s="444" t="s">
        <v>6981</v>
      </c>
      <c r="BM1750" s="392"/>
      <c r="BN1750" s="393"/>
      <c r="BO1750" s="393"/>
      <c r="BP1750" s="399"/>
      <c r="BQ1750" s="400"/>
      <c r="BR1750" s="401"/>
      <c r="BS1750" s="399">
        <v>8.3000000000000007</v>
      </c>
      <c r="BT1750" s="394">
        <f>13371/BS1750</f>
        <v>1610.9638554216865</v>
      </c>
      <c r="BU1750" s="417">
        <v>0.46329999999999999</v>
      </c>
      <c r="BV1750" s="399"/>
      <c r="BW1750" s="475" t="s">
        <v>3117</v>
      </c>
      <c r="BX1750" s="392"/>
      <c r="BY1750" s="393"/>
      <c r="BZ1750" s="393"/>
      <c r="CA1750" s="441"/>
      <c r="CB1750" s="400"/>
      <c r="CC1750" s="398"/>
      <c r="CD1750" s="398"/>
      <c r="CE1750" s="398"/>
      <c r="CF1750" s="398"/>
      <c r="CG1750" s="398"/>
      <c r="CH1750" s="398"/>
      <c r="CI1750" s="398"/>
      <c r="CJ1750" s="398"/>
      <c r="CK1750" s="398"/>
      <c r="CL1750" s="398"/>
      <c r="CM1750" s="398"/>
      <c r="CN1750" s="398">
        <v>6.3449999999999998</v>
      </c>
      <c r="CO1750" s="398">
        <v>6.2939999999999996</v>
      </c>
      <c r="CP1750" s="398">
        <v>6.2439999999999998</v>
      </c>
      <c r="CQ1750" s="398">
        <v>6.194</v>
      </c>
      <c r="CR1750" s="398">
        <v>6.1440000000000001</v>
      </c>
      <c r="CS1750" s="398">
        <v>6.0949999999999998</v>
      </c>
      <c r="CT1750" s="398">
        <v>6.0460000000000003</v>
      </c>
      <c r="CU1750" s="398"/>
      <c r="CV1750" s="398"/>
      <c r="CW1750" s="398"/>
      <c r="CX1750" s="398"/>
      <c r="CY1750" s="398"/>
      <c r="CZ1750" s="398"/>
      <c r="DA1750" s="398"/>
      <c r="DB1750" s="398"/>
      <c r="DC1750" s="398"/>
      <c r="DD1750" s="398"/>
      <c r="DE1750" s="393"/>
      <c r="DF1750" s="393"/>
      <c r="DG1750" s="393"/>
      <c r="DH1750" s="393"/>
      <c r="DI1750" s="393"/>
      <c r="DJ1750" s="393"/>
      <c r="DK1750" s="897"/>
    </row>
    <row r="1751" spans="1:115" ht="25.5" x14ac:dyDescent="0.2">
      <c r="A1751" s="295">
        <v>1747</v>
      </c>
      <c r="B1751" s="390" t="s">
        <v>9640</v>
      </c>
      <c r="C1751" s="390"/>
      <c r="D1751" s="436" t="s">
        <v>9641</v>
      </c>
      <c r="E1751" s="705" t="s">
        <v>9642</v>
      </c>
      <c r="F1751" s="475" t="s">
        <v>8026</v>
      </c>
      <c r="G1751" s="393" t="s">
        <v>1678</v>
      </c>
      <c r="H1751" s="393" t="s">
        <v>918</v>
      </c>
      <c r="I1751" s="392"/>
      <c r="J1751" s="392"/>
      <c r="K1751" s="428" t="s">
        <v>6456</v>
      </c>
      <c r="L1751" s="428" t="s">
        <v>6454</v>
      </c>
      <c r="M1751" s="392"/>
      <c r="N1751" s="475" t="s">
        <v>44</v>
      </c>
      <c r="O1751" s="393" t="s">
        <v>827</v>
      </c>
      <c r="P1751" s="393" t="s">
        <v>827</v>
      </c>
      <c r="Q1751" s="392" t="s">
        <v>836</v>
      </c>
      <c r="R1751" s="428" t="s">
        <v>9643</v>
      </c>
      <c r="S1751" s="428" t="s">
        <v>291</v>
      </c>
      <c r="T1751" s="394">
        <v>1</v>
      </c>
      <c r="U1751" s="395">
        <v>6.3440000000000003</v>
      </c>
      <c r="V1751" s="395"/>
      <c r="W1751" s="453"/>
      <c r="X1751" s="394"/>
      <c r="Y1751" s="394">
        <v>7</v>
      </c>
      <c r="Z1751" s="394">
        <v>25</v>
      </c>
      <c r="AA1751" s="395">
        <v>0</v>
      </c>
      <c r="AB1751" s="452">
        <v>43306</v>
      </c>
      <c r="AC1751" s="398"/>
      <c r="AD1751" s="398">
        <v>15.468931506849314</v>
      </c>
      <c r="AE1751" s="475" t="s">
        <v>47</v>
      </c>
      <c r="AF1751" s="417"/>
      <c r="AG1751" s="417"/>
      <c r="AH1751" s="417"/>
      <c r="AI1751" s="394"/>
      <c r="AJ1751" s="453"/>
      <c r="AK1751" s="453"/>
      <c r="AL1751" s="393"/>
      <c r="AM1751" s="393"/>
      <c r="AN1751" s="417"/>
      <c r="AO1751" s="392"/>
      <c r="AP1751" s="428" t="s">
        <v>55</v>
      </c>
      <c r="AQ1751" s="392"/>
      <c r="AR1751" s="428" t="s">
        <v>55</v>
      </c>
      <c r="AS1751" s="479">
        <v>41885</v>
      </c>
      <c r="AT1751" s="453"/>
      <c r="AU1751" s="453"/>
      <c r="AV1751" s="453"/>
      <c r="AW1751" s="453"/>
      <c r="AX1751" s="453"/>
      <c r="AY1751" s="453"/>
      <c r="AZ1751" s="453">
        <v>43301</v>
      </c>
      <c r="BA1751" s="393"/>
      <c r="BB1751" s="393"/>
      <c r="BC1751" s="393" t="b">
        <v>1</v>
      </c>
      <c r="BD1751" s="393"/>
      <c r="BE1751" s="392"/>
      <c r="BF1751" s="394">
        <v>9</v>
      </c>
      <c r="BG1751" s="394">
        <v>5</v>
      </c>
      <c r="BH1751" s="394">
        <v>1</v>
      </c>
      <c r="BI1751" s="394">
        <v>6</v>
      </c>
      <c r="BJ1751" s="394"/>
      <c r="BK1751" s="394"/>
      <c r="BL1751" s="444" t="s">
        <v>6981</v>
      </c>
      <c r="BM1751" s="392"/>
      <c r="BN1751" s="393"/>
      <c r="BO1751" s="393"/>
      <c r="BP1751" s="399"/>
      <c r="BQ1751" s="400"/>
      <c r="BR1751" s="401"/>
      <c r="BS1751" s="399">
        <v>8.5</v>
      </c>
      <c r="BT1751" s="394">
        <f>13693/BS1751</f>
        <v>1610.9411764705883</v>
      </c>
      <c r="BU1751" s="417">
        <v>0.44</v>
      </c>
      <c r="BV1751" s="399"/>
      <c r="BW1751" s="475" t="s">
        <v>3117</v>
      </c>
      <c r="BX1751" s="392"/>
      <c r="BY1751" s="393"/>
      <c r="BZ1751" s="393"/>
      <c r="CA1751" s="441"/>
      <c r="CB1751" s="400"/>
      <c r="CC1751" s="398"/>
      <c r="CD1751" s="398"/>
      <c r="CE1751" s="398"/>
      <c r="CF1751" s="398"/>
      <c r="CG1751" s="398"/>
      <c r="CH1751" s="398"/>
      <c r="CI1751" s="398"/>
      <c r="CJ1751" s="398"/>
      <c r="CK1751" s="398"/>
      <c r="CL1751" s="398"/>
      <c r="CM1751" s="398"/>
      <c r="CN1751" s="398">
        <v>6.4980000000000002</v>
      </c>
      <c r="CO1751" s="398">
        <v>6.4459999999999997</v>
      </c>
      <c r="CP1751" s="398">
        <v>6.3940000000000001</v>
      </c>
      <c r="CQ1751" s="398">
        <v>6.343</v>
      </c>
      <c r="CR1751" s="398">
        <v>6.2919999999999998</v>
      </c>
      <c r="CS1751" s="398">
        <v>6.242</v>
      </c>
      <c r="CT1751" s="398">
        <v>6.1920000000000002</v>
      </c>
      <c r="CU1751" s="398"/>
      <c r="CV1751" s="398"/>
      <c r="CW1751" s="398"/>
      <c r="CX1751" s="398"/>
      <c r="CY1751" s="398"/>
      <c r="CZ1751" s="398"/>
      <c r="DA1751" s="398"/>
      <c r="DB1751" s="398"/>
      <c r="DC1751" s="398"/>
      <c r="DD1751" s="398"/>
      <c r="DE1751" s="393"/>
      <c r="DF1751" s="393"/>
      <c r="DG1751" s="393"/>
      <c r="DH1751" s="393"/>
      <c r="DI1751" s="393"/>
      <c r="DJ1751" s="393"/>
      <c r="DK1751" s="897"/>
    </row>
    <row r="1752" spans="1:115" ht="51" x14ac:dyDescent="0.2">
      <c r="A1752" s="295">
        <v>1748</v>
      </c>
      <c r="B1752" s="390" t="s">
        <v>6458</v>
      </c>
      <c r="C1752" s="424" t="s">
        <v>7882</v>
      </c>
      <c r="D1752" s="391" t="s">
        <v>6459</v>
      </c>
      <c r="E1752" s="843" t="s">
        <v>164</v>
      </c>
      <c r="F1752" s="393" t="s">
        <v>1352</v>
      </c>
      <c r="G1752" s="393" t="s">
        <v>1673</v>
      </c>
      <c r="H1752" s="393" t="s">
        <v>67</v>
      </c>
      <c r="I1752" s="563"/>
      <c r="J1752" s="563" t="s">
        <v>67</v>
      </c>
      <c r="K1752" s="563"/>
      <c r="L1752" s="563" t="s">
        <v>165</v>
      </c>
      <c r="M1752" s="563" t="s">
        <v>3337</v>
      </c>
      <c r="N1752" s="561" t="s">
        <v>44</v>
      </c>
      <c r="O1752" s="393" t="s">
        <v>69</v>
      </c>
      <c r="P1752" s="393" t="s">
        <v>69</v>
      </c>
      <c r="Q1752" s="392" t="s">
        <v>172</v>
      </c>
      <c r="R1752" s="563"/>
      <c r="S1752" s="563" t="s">
        <v>166</v>
      </c>
      <c r="T1752" s="564">
        <v>1</v>
      </c>
      <c r="U1752" s="565">
        <v>0.66200000000000003</v>
      </c>
      <c r="V1752" s="565"/>
      <c r="W1752" s="567">
        <v>40890</v>
      </c>
      <c r="X1752" s="564">
        <v>28</v>
      </c>
      <c r="Y1752" s="564"/>
      <c r="Z1752" s="564"/>
      <c r="AA1752" s="565"/>
      <c r="AB1752" s="566"/>
      <c r="AC1752" s="568">
        <v>4.0291600000000001</v>
      </c>
      <c r="AD1752" s="568">
        <v>4.1950849315068499</v>
      </c>
      <c r="AE1752" s="561" t="s">
        <v>167</v>
      </c>
      <c r="AF1752" s="569"/>
      <c r="AG1752" s="569"/>
      <c r="AH1752" s="569">
        <v>0</v>
      </c>
      <c r="AI1752" s="564"/>
      <c r="AJ1752" s="566"/>
      <c r="AK1752" s="566"/>
      <c r="AL1752" s="561"/>
      <c r="AM1752" s="561"/>
      <c r="AN1752" s="569"/>
      <c r="AO1752" s="563"/>
      <c r="AP1752" s="563" t="s">
        <v>7040</v>
      </c>
      <c r="AQ1752" s="563"/>
      <c r="AR1752" s="563" t="s">
        <v>73</v>
      </c>
      <c r="AS1752" s="578">
        <v>40890</v>
      </c>
      <c r="AT1752" s="566"/>
      <c r="AU1752" s="566" t="s">
        <v>163</v>
      </c>
      <c r="AV1752" s="567">
        <v>41305</v>
      </c>
      <c r="AW1752" s="567">
        <v>41909</v>
      </c>
      <c r="AX1752" s="567">
        <v>41713</v>
      </c>
      <c r="AY1752" s="567">
        <v>41838</v>
      </c>
      <c r="AZ1752" s="566"/>
      <c r="BA1752" s="561"/>
      <c r="BB1752" s="561" t="s">
        <v>3116</v>
      </c>
      <c r="BC1752" s="561" t="b">
        <v>0</v>
      </c>
      <c r="BD1752" s="561" t="s">
        <v>3116</v>
      </c>
      <c r="BE1752" s="563"/>
      <c r="BF1752" s="394">
        <v>1</v>
      </c>
      <c r="BG1752" s="394">
        <v>6</v>
      </c>
      <c r="BH1752" s="394">
        <v>4</v>
      </c>
      <c r="BI1752" s="394">
        <v>8</v>
      </c>
      <c r="BJ1752" s="394"/>
      <c r="BK1752" s="394"/>
      <c r="BL1752" s="444"/>
      <c r="BM1752" s="563"/>
      <c r="BN1752" s="561"/>
      <c r="BO1752" s="561"/>
      <c r="BP1752" s="571"/>
      <c r="BQ1752" s="572"/>
      <c r="BR1752" s="573"/>
      <c r="BS1752" s="571">
        <v>0</v>
      </c>
      <c r="BT1752" s="564"/>
      <c r="BU1752" s="569"/>
      <c r="BV1752" s="571"/>
      <c r="BW1752" s="561"/>
      <c r="BX1752" s="563"/>
      <c r="BY1752" s="562" t="s">
        <v>7224</v>
      </c>
      <c r="BZ1752" s="561"/>
      <c r="CA1752" s="574"/>
      <c r="CB1752" s="572"/>
      <c r="CC1752" s="568"/>
      <c r="CD1752" s="568"/>
      <c r="CE1752" s="568"/>
      <c r="CF1752" s="568"/>
      <c r="CG1752" s="568"/>
      <c r="CH1752" s="568"/>
      <c r="CI1752" s="568"/>
      <c r="CJ1752" s="568"/>
      <c r="CK1752" s="568"/>
      <c r="CL1752" s="568"/>
      <c r="CM1752" s="568"/>
      <c r="CN1752" s="568"/>
      <c r="CO1752" s="568"/>
      <c r="CP1752" s="568"/>
      <c r="CQ1752" s="568"/>
      <c r="CR1752" s="568"/>
      <c r="CS1752" s="568"/>
      <c r="CT1752" s="568"/>
      <c r="CU1752" s="568"/>
      <c r="CV1752" s="568"/>
      <c r="CW1752" s="568"/>
      <c r="CX1752" s="568"/>
      <c r="CY1752" s="568"/>
      <c r="CZ1752" s="568"/>
      <c r="DA1752" s="568"/>
      <c r="DB1752" s="568"/>
      <c r="DC1752" s="568"/>
      <c r="DD1752" s="568"/>
      <c r="DE1752" s="561"/>
      <c r="DF1752" s="561"/>
      <c r="DG1752" s="561"/>
      <c r="DH1752" s="561"/>
      <c r="DI1752" s="561"/>
      <c r="DJ1752" s="561"/>
      <c r="DK1752" s="896" t="s">
        <v>9701</v>
      </c>
    </row>
    <row r="1753" spans="1:115" ht="51" x14ac:dyDescent="0.2">
      <c r="A1753" s="295">
        <v>1749</v>
      </c>
      <c r="B1753" s="390" t="s">
        <v>6472</v>
      </c>
      <c r="C1753" s="390"/>
      <c r="D1753" s="391" t="s">
        <v>6460</v>
      </c>
      <c r="E1753" s="704" t="s">
        <v>168</v>
      </c>
      <c r="F1753" s="393" t="s">
        <v>1352</v>
      </c>
      <c r="G1753" s="393" t="s">
        <v>1673</v>
      </c>
      <c r="H1753" s="393" t="s">
        <v>67</v>
      </c>
      <c r="I1753" s="392"/>
      <c r="J1753" s="392"/>
      <c r="K1753" s="392" t="s">
        <v>430</v>
      </c>
      <c r="L1753" s="392" t="s">
        <v>165</v>
      </c>
      <c r="M1753" s="392"/>
      <c r="N1753" s="393" t="s">
        <v>44</v>
      </c>
      <c r="O1753" s="393" t="s">
        <v>69</v>
      </c>
      <c r="P1753" s="393" t="s">
        <v>69</v>
      </c>
      <c r="Q1753" s="392" t="s">
        <v>172</v>
      </c>
      <c r="R1753" s="392" t="s">
        <v>3338</v>
      </c>
      <c r="S1753" s="392" t="s">
        <v>166</v>
      </c>
      <c r="T1753" s="394">
        <v>1</v>
      </c>
      <c r="U1753" s="395">
        <v>0.66200000000000003</v>
      </c>
      <c r="V1753" s="395"/>
      <c r="W1753" s="453"/>
      <c r="X1753" s="394"/>
      <c r="Y1753" s="394">
        <v>7</v>
      </c>
      <c r="Z1753" s="394">
        <v>20</v>
      </c>
      <c r="AA1753" s="395">
        <v>0</v>
      </c>
      <c r="AB1753" s="452">
        <v>41883</v>
      </c>
      <c r="AC1753" s="398">
        <v>4.0291600000000001</v>
      </c>
      <c r="AD1753" s="398">
        <v>4.1950849315068499</v>
      </c>
      <c r="AE1753" s="393" t="s">
        <v>167</v>
      </c>
      <c r="AF1753" s="417"/>
      <c r="AG1753" s="417"/>
      <c r="AH1753" s="417"/>
      <c r="AI1753" s="394"/>
      <c r="AJ1753" s="453"/>
      <c r="AK1753" s="453"/>
      <c r="AL1753" s="393"/>
      <c r="AM1753" s="393"/>
      <c r="AN1753" s="417"/>
      <c r="AO1753" s="392"/>
      <c r="AP1753" s="392" t="s">
        <v>7040</v>
      </c>
      <c r="AQ1753" s="392"/>
      <c r="AR1753" s="392" t="s">
        <v>73</v>
      </c>
      <c r="AS1753" s="479">
        <v>40890</v>
      </c>
      <c r="AT1753" s="453"/>
      <c r="AU1753" s="453" t="s">
        <v>6461</v>
      </c>
      <c r="AV1753" s="453"/>
      <c r="AW1753" s="453"/>
      <c r="AX1753" s="453"/>
      <c r="AY1753" s="453"/>
      <c r="AZ1753" s="452">
        <v>41838</v>
      </c>
      <c r="BA1753" s="393"/>
      <c r="BB1753" s="393"/>
      <c r="BC1753" s="393" t="b">
        <v>0</v>
      </c>
      <c r="BD1753" s="393"/>
      <c r="BE1753" s="392"/>
      <c r="BF1753" s="394">
        <v>1</v>
      </c>
      <c r="BG1753" s="394">
        <v>6</v>
      </c>
      <c r="BH1753" s="394">
        <v>4</v>
      </c>
      <c r="BI1753" s="394">
        <v>8</v>
      </c>
      <c r="BJ1753" s="394"/>
      <c r="BK1753" s="394"/>
      <c r="BL1753" s="444" t="s">
        <v>6981</v>
      </c>
      <c r="BM1753" s="392"/>
      <c r="BN1753" s="393"/>
      <c r="BO1753" s="393"/>
      <c r="BP1753" s="399"/>
      <c r="BQ1753" s="400"/>
      <c r="BR1753" s="401"/>
      <c r="BS1753" s="399"/>
      <c r="BT1753" s="394"/>
      <c r="BU1753" s="417"/>
      <c r="BV1753" s="399"/>
      <c r="BW1753" s="393" t="s">
        <v>3165</v>
      </c>
      <c r="BX1753" s="392" t="s">
        <v>1520</v>
      </c>
      <c r="BY1753" s="475" t="s">
        <v>7224</v>
      </c>
      <c r="BZ1753" s="393"/>
      <c r="CA1753" s="441"/>
      <c r="CB1753" s="400"/>
      <c r="CC1753" s="398"/>
      <c r="CD1753" s="398"/>
      <c r="CE1753" s="398"/>
      <c r="CF1753" s="398"/>
      <c r="CG1753" s="398"/>
      <c r="CH1753" s="398"/>
      <c r="CI1753" s="398"/>
      <c r="CJ1753" s="398">
        <v>0.221</v>
      </c>
      <c r="CK1753" s="398">
        <v>0.66200000000000003</v>
      </c>
      <c r="CL1753" s="398">
        <v>0.66200000000000003</v>
      </c>
      <c r="CM1753" s="398">
        <v>0.66200000000000003</v>
      </c>
      <c r="CN1753" s="398">
        <v>0.66200000000000003</v>
      </c>
      <c r="CO1753" s="398">
        <v>0.66200000000000003</v>
      </c>
      <c r="CP1753" s="398">
        <v>0.66200000000000003</v>
      </c>
      <c r="CQ1753" s="398">
        <v>0.441</v>
      </c>
      <c r="CR1753" s="398"/>
      <c r="CS1753" s="398"/>
      <c r="CT1753" s="398"/>
      <c r="CU1753" s="398"/>
      <c r="CV1753" s="398"/>
      <c r="CW1753" s="398"/>
      <c r="CX1753" s="398"/>
      <c r="CY1753" s="398"/>
      <c r="CZ1753" s="398"/>
      <c r="DA1753" s="398"/>
      <c r="DB1753" s="398"/>
      <c r="DC1753" s="398"/>
      <c r="DD1753" s="398"/>
      <c r="DE1753" s="393"/>
      <c r="DF1753" s="393"/>
      <c r="DG1753" s="393"/>
      <c r="DH1753" s="393"/>
      <c r="DI1753" s="393"/>
      <c r="DJ1753" s="393"/>
      <c r="DK1753" s="897"/>
    </row>
    <row r="1754" spans="1:115" ht="51" x14ac:dyDescent="0.2">
      <c r="A1754" s="295">
        <v>1750</v>
      </c>
      <c r="B1754" s="390" t="s">
        <v>6548</v>
      </c>
      <c r="C1754" s="424" t="s">
        <v>7883</v>
      </c>
      <c r="D1754" s="391"/>
      <c r="E1754" s="710" t="s">
        <v>7414</v>
      </c>
      <c r="F1754" s="390" t="s">
        <v>1340</v>
      </c>
      <c r="G1754" s="390" t="s">
        <v>1677</v>
      </c>
      <c r="H1754" s="390" t="s">
        <v>151</v>
      </c>
      <c r="I1754" s="402"/>
      <c r="J1754" s="402" t="s">
        <v>151</v>
      </c>
      <c r="K1754" s="402"/>
      <c r="L1754" s="402" t="s">
        <v>6549</v>
      </c>
      <c r="M1754" s="402" t="s">
        <v>6550</v>
      </c>
      <c r="N1754" s="390" t="s">
        <v>33</v>
      </c>
      <c r="O1754" s="390" t="s">
        <v>69</v>
      </c>
      <c r="P1754" s="390" t="s">
        <v>69</v>
      </c>
      <c r="Q1754" s="402" t="s">
        <v>307</v>
      </c>
      <c r="R1754" s="402"/>
      <c r="S1754" s="402" t="s">
        <v>6240</v>
      </c>
      <c r="T1754" s="411">
        <v>1</v>
      </c>
      <c r="U1754" s="412">
        <v>1.2609999999999999</v>
      </c>
      <c r="V1754" s="412"/>
      <c r="W1754" s="457">
        <v>41944</v>
      </c>
      <c r="X1754" s="411">
        <v>28</v>
      </c>
      <c r="Y1754" s="411"/>
      <c r="Z1754" s="411"/>
      <c r="AA1754" s="412"/>
      <c r="AB1754" s="454"/>
      <c r="AC1754" s="413">
        <v>0</v>
      </c>
      <c r="AD1754" s="413">
        <v>5.5725835616438353</v>
      </c>
      <c r="AE1754" s="390" t="s">
        <v>103</v>
      </c>
      <c r="AF1754" s="419"/>
      <c r="AG1754" s="419"/>
      <c r="AH1754" s="419">
        <v>0</v>
      </c>
      <c r="AI1754" s="411"/>
      <c r="AJ1754" s="454"/>
      <c r="AK1754" s="454"/>
      <c r="AL1754" s="390"/>
      <c r="AM1754" s="390"/>
      <c r="AN1754" s="419"/>
      <c r="AO1754" s="402"/>
      <c r="AP1754" s="402" t="s">
        <v>55</v>
      </c>
      <c r="AQ1754" s="402"/>
      <c r="AR1754" s="402" t="s">
        <v>6241</v>
      </c>
      <c r="AS1754" s="481">
        <v>41927</v>
      </c>
      <c r="AT1754" s="454"/>
      <c r="AU1754" s="454"/>
      <c r="AV1754" s="454"/>
      <c r="AW1754" s="454"/>
      <c r="AX1754" s="454"/>
      <c r="AY1754" s="454"/>
      <c r="AZ1754" s="454"/>
      <c r="BA1754" s="390"/>
      <c r="BB1754" s="390" t="s">
        <v>3147</v>
      </c>
      <c r="BC1754" s="390" t="b">
        <v>0</v>
      </c>
      <c r="BD1754" s="390" t="s">
        <v>3147</v>
      </c>
      <c r="BE1754" s="402"/>
      <c r="BF1754" s="411"/>
      <c r="BG1754" s="411"/>
      <c r="BH1754" s="411"/>
      <c r="BI1754" s="411"/>
      <c r="BJ1754" s="411"/>
      <c r="BK1754" s="411"/>
      <c r="BL1754" s="445" t="s">
        <v>6981</v>
      </c>
      <c r="BM1754" s="402"/>
      <c r="BN1754" s="390"/>
      <c r="BO1754" s="390"/>
      <c r="BP1754" s="414"/>
      <c r="BQ1754" s="415"/>
      <c r="BR1754" s="416"/>
      <c r="BS1754" s="414">
        <v>0</v>
      </c>
      <c r="BT1754" s="411"/>
      <c r="BU1754" s="419"/>
      <c r="BV1754" s="414"/>
      <c r="BW1754" s="390"/>
      <c r="BX1754" s="402" t="s">
        <v>1520</v>
      </c>
      <c r="BY1754" s="390" t="s">
        <v>7225</v>
      </c>
      <c r="BZ1754" s="390"/>
      <c r="CA1754" s="442"/>
      <c r="CB1754" s="415"/>
      <c r="CC1754" s="413"/>
      <c r="CD1754" s="413"/>
      <c r="CE1754" s="413"/>
      <c r="CF1754" s="413"/>
      <c r="CG1754" s="413"/>
      <c r="CH1754" s="413"/>
      <c r="CI1754" s="413"/>
      <c r="CJ1754" s="413"/>
      <c r="CK1754" s="413"/>
      <c r="CL1754" s="413"/>
      <c r="CM1754" s="413"/>
      <c r="CN1754" s="413"/>
      <c r="CO1754" s="413"/>
      <c r="CP1754" s="413"/>
      <c r="CQ1754" s="413"/>
      <c r="CR1754" s="413"/>
      <c r="CS1754" s="413">
        <v>0.63</v>
      </c>
      <c r="CT1754" s="413"/>
      <c r="CU1754" s="413"/>
      <c r="CV1754" s="413"/>
      <c r="CW1754" s="413"/>
      <c r="CX1754" s="413"/>
      <c r="CY1754" s="413"/>
      <c r="CZ1754" s="413"/>
      <c r="DA1754" s="413"/>
      <c r="DB1754" s="413"/>
      <c r="DC1754" s="413"/>
      <c r="DD1754" s="413"/>
      <c r="DE1754" s="390"/>
      <c r="DF1754" s="390"/>
      <c r="DG1754" s="390"/>
      <c r="DH1754" s="390"/>
      <c r="DI1754" s="390"/>
      <c r="DJ1754" s="390"/>
      <c r="DK1754" s="897"/>
    </row>
    <row r="1755" spans="1:115" ht="25.5" x14ac:dyDescent="0.2">
      <c r="A1755" s="295">
        <v>1751</v>
      </c>
      <c r="B1755" s="390" t="s">
        <v>6551</v>
      </c>
      <c r="C1755" s="390"/>
      <c r="D1755" s="391"/>
      <c r="E1755" s="844" t="s">
        <v>6552</v>
      </c>
      <c r="F1755" s="390" t="s">
        <v>1340</v>
      </c>
      <c r="G1755" s="390" t="s">
        <v>1677</v>
      </c>
      <c r="H1755" s="390" t="s">
        <v>151</v>
      </c>
      <c r="I1755" s="402"/>
      <c r="J1755" s="402"/>
      <c r="K1755" s="402" t="s">
        <v>6553</v>
      </c>
      <c r="L1755" s="402" t="s">
        <v>6549</v>
      </c>
      <c r="M1755" s="816"/>
      <c r="N1755" s="390" t="s">
        <v>33</v>
      </c>
      <c r="O1755" s="390" t="s">
        <v>69</v>
      </c>
      <c r="P1755" s="390" t="s">
        <v>69</v>
      </c>
      <c r="Q1755" s="402" t="s">
        <v>307</v>
      </c>
      <c r="R1755" s="402" t="s">
        <v>6554</v>
      </c>
      <c r="S1755" s="402" t="s">
        <v>6240</v>
      </c>
      <c r="T1755" s="851">
        <v>1</v>
      </c>
      <c r="U1755" s="852">
        <v>1.2609999999999999</v>
      </c>
      <c r="V1755" s="852"/>
      <c r="W1755" s="858"/>
      <c r="X1755" s="851"/>
      <c r="Y1755" s="851">
        <v>7</v>
      </c>
      <c r="Z1755" s="851">
        <v>21</v>
      </c>
      <c r="AA1755" s="852">
        <v>0</v>
      </c>
      <c r="AB1755" s="856">
        <v>42583</v>
      </c>
      <c r="AC1755" s="862"/>
      <c r="AD1755" s="862">
        <v>5.5725835616438353</v>
      </c>
      <c r="AE1755" s="577" t="s">
        <v>103</v>
      </c>
      <c r="AF1755" s="866"/>
      <c r="AG1755" s="866"/>
      <c r="AH1755" s="866"/>
      <c r="AI1755" s="851"/>
      <c r="AJ1755" s="858"/>
      <c r="AK1755" s="858"/>
      <c r="AL1755" s="577"/>
      <c r="AM1755" s="577"/>
      <c r="AN1755" s="866"/>
      <c r="AO1755" s="816"/>
      <c r="AP1755" s="816" t="s">
        <v>55</v>
      </c>
      <c r="AQ1755" s="816"/>
      <c r="AR1755" s="816" t="s">
        <v>6241</v>
      </c>
      <c r="AS1755" s="728">
        <v>41927</v>
      </c>
      <c r="AT1755" s="858"/>
      <c r="AU1755" s="858"/>
      <c r="AV1755" s="858"/>
      <c r="AW1755" s="858"/>
      <c r="AX1755" s="858"/>
      <c r="AY1755" s="858"/>
      <c r="AZ1755" s="858"/>
      <c r="BA1755" s="577"/>
      <c r="BB1755" s="577"/>
      <c r="BC1755" s="577" t="b">
        <v>0</v>
      </c>
      <c r="BD1755" s="577"/>
      <c r="BE1755" s="816"/>
      <c r="BF1755" s="411"/>
      <c r="BG1755" s="411"/>
      <c r="BH1755" s="411"/>
      <c r="BI1755" s="411"/>
      <c r="BJ1755" s="411"/>
      <c r="BK1755" s="411"/>
      <c r="BL1755" s="445" t="s">
        <v>6981</v>
      </c>
      <c r="BM1755" s="816"/>
      <c r="BN1755" s="577"/>
      <c r="BO1755" s="577"/>
      <c r="BP1755" s="875"/>
      <c r="BQ1755" s="880"/>
      <c r="BR1755" s="885"/>
      <c r="BS1755" s="875"/>
      <c r="BT1755" s="851"/>
      <c r="BU1755" s="866"/>
      <c r="BV1755" s="875"/>
      <c r="BW1755" s="577" t="s">
        <v>3117</v>
      </c>
      <c r="BX1755" s="816"/>
      <c r="BY1755" s="577" t="s">
        <v>7225</v>
      </c>
      <c r="BZ1755" s="577"/>
      <c r="CA1755" s="890"/>
      <c r="CB1755" s="880"/>
      <c r="CC1755" s="862"/>
      <c r="CD1755" s="862"/>
      <c r="CE1755" s="862"/>
      <c r="CF1755" s="862"/>
      <c r="CG1755" s="862"/>
      <c r="CH1755" s="862"/>
      <c r="CI1755" s="862"/>
      <c r="CJ1755" s="862"/>
      <c r="CK1755" s="862"/>
      <c r="CL1755" s="862">
        <v>0.63</v>
      </c>
      <c r="CM1755" s="862">
        <v>1.2609999999999999</v>
      </c>
      <c r="CN1755" s="862">
        <v>1.2609999999999999</v>
      </c>
      <c r="CO1755" s="862">
        <v>1.2609999999999999</v>
      </c>
      <c r="CP1755" s="862">
        <v>1.2609999999999999</v>
      </c>
      <c r="CQ1755" s="862">
        <v>1.2609999999999999</v>
      </c>
      <c r="CR1755" s="862">
        <v>1.2609999999999999</v>
      </c>
      <c r="CS1755" s="862"/>
      <c r="CT1755" s="862"/>
      <c r="CU1755" s="862"/>
      <c r="CV1755" s="862"/>
      <c r="CW1755" s="862"/>
      <c r="CX1755" s="862"/>
      <c r="CY1755" s="862"/>
      <c r="CZ1755" s="862"/>
      <c r="DA1755" s="862"/>
      <c r="DB1755" s="862"/>
      <c r="DC1755" s="862"/>
      <c r="DD1755" s="862"/>
      <c r="DE1755" s="577"/>
      <c r="DF1755" s="577"/>
      <c r="DG1755" s="577"/>
      <c r="DH1755" s="577"/>
      <c r="DI1755" s="577"/>
      <c r="DJ1755" s="577"/>
      <c r="DK1755" s="897"/>
    </row>
    <row r="1756" spans="1:115" ht="51" x14ac:dyDescent="0.2">
      <c r="A1756" s="295">
        <v>1752</v>
      </c>
      <c r="B1756" s="390" t="s">
        <v>6555</v>
      </c>
      <c r="C1756" s="424" t="s">
        <v>7884</v>
      </c>
      <c r="D1756" s="435">
        <v>10202</v>
      </c>
      <c r="E1756" s="709" t="s">
        <v>6556</v>
      </c>
      <c r="F1756" s="393" t="s">
        <v>1375</v>
      </c>
      <c r="G1756" s="393" t="s">
        <v>998</v>
      </c>
      <c r="H1756" s="393" t="s">
        <v>1059</v>
      </c>
      <c r="I1756" s="392"/>
      <c r="J1756" s="392" t="s">
        <v>1059</v>
      </c>
      <c r="K1756" s="392"/>
      <c r="L1756" s="392" t="s">
        <v>6557</v>
      </c>
      <c r="M1756" s="563" t="s">
        <v>6558</v>
      </c>
      <c r="N1756" s="393" t="s">
        <v>44</v>
      </c>
      <c r="O1756" s="393" t="s">
        <v>827</v>
      </c>
      <c r="P1756" s="393" t="s">
        <v>827</v>
      </c>
      <c r="Q1756" s="392" t="s">
        <v>836</v>
      </c>
      <c r="R1756" s="392"/>
      <c r="S1756" s="392" t="s">
        <v>4400</v>
      </c>
      <c r="T1756" s="564">
        <v>1</v>
      </c>
      <c r="U1756" s="565">
        <v>10.081</v>
      </c>
      <c r="V1756" s="565"/>
      <c r="W1756" s="567">
        <v>41654</v>
      </c>
      <c r="X1756" s="564">
        <v>28</v>
      </c>
      <c r="Y1756" s="564"/>
      <c r="Z1756" s="564"/>
      <c r="AA1756" s="565"/>
      <c r="AB1756" s="566"/>
      <c r="AC1756" s="568">
        <v>0</v>
      </c>
      <c r="AD1756" s="568">
        <v>60.513619178082187</v>
      </c>
      <c r="AE1756" s="561" t="s">
        <v>787</v>
      </c>
      <c r="AF1756" s="569"/>
      <c r="AG1756" s="569">
        <f>12.369</f>
        <v>12.369</v>
      </c>
      <c r="AH1756" s="569">
        <v>12.369</v>
      </c>
      <c r="AI1756" s="564"/>
      <c r="AJ1756" s="566">
        <v>43103</v>
      </c>
      <c r="AK1756" s="566">
        <v>42794</v>
      </c>
      <c r="AL1756" s="561"/>
      <c r="AM1756" s="561"/>
      <c r="AN1756" s="569"/>
      <c r="AO1756" s="560" t="s">
        <v>225</v>
      </c>
      <c r="AP1756" s="560" t="s">
        <v>9664</v>
      </c>
      <c r="AQ1756" s="563"/>
      <c r="AR1756" s="563" t="s">
        <v>55</v>
      </c>
      <c r="AS1756" s="578">
        <v>41934</v>
      </c>
      <c r="AT1756" s="566"/>
      <c r="AU1756" s="566"/>
      <c r="AV1756" s="566">
        <v>42178</v>
      </c>
      <c r="AW1756" s="566">
        <v>42299</v>
      </c>
      <c r="AX1756" s="566">
        <v>42360</v>
      </c>
      <c r="AY1756" s="566">
        <v>42300</v>
      </c>
      <c r="AZ1756" s="566"/>
      <c r="BA1756" s="561"/>
      <c r="BB1756" s="561" t="s">
        <v>3147</v>
      </c>
      <c r="BC1756" s="561" t="b">
        <v>0</v>
      </c>
      <c r="BD1756" s="561" t="s">
        <v>3147</v>
      </c>
      <c r="BE1756" s="563"/>
      <c r="BF1756" s="394">
        <v>10</v>
      </c>
      <c r="BG1756" s="394">
        <v>5</v>
      </c>
      <c r="BH1756" s="394">
        <v>9</v>
      </c>
      <c r="BI1756" s="394">
        <v>11</v>
      </c>
      <c r="BJ1756" s="394">
        <v>12</v>
      </c>
      <c r="BK1756" s="394"/>
      <c r="BL1756" s="444" t="s">
        <v>6981</v>
      </c>
      <c r="BM1756" s="563"/>
      <c r="BN1756" s="561"/>
      <c r="BO1756" s="561"/>
      <c r="BP1756" s="571"/>
      <c r="BQ1756" s="572"/>
      <c r="BR1756" s="573"/>
      <c r="BS1756" s="571">
        <v>8.5</v>
      </c>
      <c r="BT1756" s="564"/>
      <c r="BU1756" s="569"/>
      <c r="BV1756" s="571"/>
      <c r="BW1756" s="561"/>
      <c r="BX1756" s="563"/>
      <c r="BY1756" s="561"/>
      <c r="BZ1756" s="562" t="s">
        <v>3165</v>
      </c>
      <c r="CA1756" s="574"/>
      <c r="CB1756" s="572"/>
      <c r="CC1756" s="568"/>
      <c r="CD1756" s="568"/>
      <c r="CE1756" s="568"/>
      <c r="CF1756" s="568"/>
      <c r="CG1756" s="568"/>
      <c r="CH1756" s="568"/>
      <c r="CI1756" s="568"/>
      <c r="CJ1756" s="568"/>
      <c r="CK1756" s="568"/>
      <c r="CL1756" s="568"/>
      <c r="CM1756" s="568"/>
      <c r="CN1756" s="568"/>
      <c r="CO1756" s="568"/>
      <c r="CP1756" s="568"/>
      <c r="CQ1756" s="568"/>
      <c r="CR1756" s="568"/>
      <c r="CS1756" s="568"/>
      <c r="CT1756" s="568"/>
      <c r="CU1756" s="568"/>
      <c r="CV1756" s="568"/>
      <c r="CW1756" s="568"/>
      <c r="CX1756" s="568"/>
      <c r="CY1756" s="568"/>
      <c r="CZ1756" s="568"/>
      <c r="DA1756" s="568"/>
      <c r="DB1756" s="568"/>
      <c r="DC1756" s="568"/>
      <c r="DD1756" s="568"/>
      <c r="DE1756" s="561"/>
      <c r="DF1756" s="561"/>
      <c r="DG1756" s="561"/>
      <c r="DH1756" s="561"/>
      <c r="DI1756" s="561"/>
      <c r="DJ1756" s="561"/>
      <c r="DK1756" s="896" t="s">
        <v>9725</v>
      </c>
    </row>
    <row r="1757" spans="1:115" ht="25.5" x14ac:dyDescent="0.2">
      <c r="A1757" s="295">
        <v>1753</v>
      </c>
      <c r="B1757" s="390" t="s">
        <v>6559</v>
      </c>
      <c r="C1757" s="390"/>
      <c r="D1757" s="474" t="s">
        <v>7900</v>
      </c>
      <c r="E1757" s="843" t="s">
        <v>6560</v>
      </c>
      <c r="F1757" s="393" t="s">
        <v>1375</v>
      </c>
      <c r="G1757" s="393" t="s">
        <v>998</v>
      </c>
      <c r="H1757" s="393" t="s">
        <v>1059</v>
      </c>
      <c r="I1757" s="563"/>
      <c r="J1757" s="563"/>
      <c r="K1757" s="563" t="s">
        <v>6561</v>
      </c>
      <c r="L1757" s="563" t="s">
        <v>6557</v>
      </c>
      <c r="M1757" s="563"/>
      <c r="N1757" s="561" t="s">
        <v>44</v>
      </c>
      <c r="O1757" s="393" t="s">
        <v>827</v>
      </c>
      <c r="P1757" s="393" t="s">
        <v>827</v>
      </c>
      <c r="Q1757" s="392" t="s">
        <v>836</v>
      </c>
      <c r="R1757" s="392" t="s">
        <v>6562</v>
      </c>
      <c r="S1757" s="563" t="s">
        <v>4400</v>
      </c>
      <c r="T1757" s="564">
        <v>1</v>
      </c>
      <c r="U1757" s="565">
        <v>10.081</v>
      </c>
      <c r="V1757" s="565"/>
      <c r="W1757" s="566"/>
      <c r="X1757" s="564"/>
      <c r="Y1757" s="564">
        <v>7</v>
      </c>
      <c r="Z1757" s="564">
        <v>25</v>
      </c>
      <c r="AA1757" s="565">
        <v>-5.7000000000000002E-2</v>
      </c>
      <c r="AB1757" s="567">
        <v>42005</v>
      </c>
      <c r="AC1757" s="568"/>
      <c r="AD1757" s="568">
        <v>60.513619178082187</v>
      </c>
      <c r="AE1757" s="561" t="s">
        <v>787</v>
      </c>
      <c r="AF1757" s="569"/>
      <c r="AG1757" s="569">
        <f>12.369</f>
        <v>12.369</v>
      </c>
      <c r="AH1757" s="569">
        <v>12.369</v>
      </c>
      <c r="AI1757" s="564"/>
      <c r="AJ1757" s="566">
        <v>43103</v>
      </c>
      <c r="AK1757" s="566">
        <v>42794</v>
      </c>
      <c r="AL1757" s="561"/>
      <c r="AM1757" s="561"/>
      <c r="AN1757" s="569"/>
      <c r="AO1757" s="560" t="s">
        <v>225</v>
      </c>
      <c r="AP1757" s="560" t="s">
        <v>9664</v>
      </c>
      <c r="AQ1757" s="563"/>
      <c r="AR1757" s="563" t="s">
        <v>55</v>
      </c>
      <c r="AS1757" s="578">
        <v>41934</v>
      </c>
      <c r="AT1757" s="566"/>
      <c r="AU1757" s="566"/>
      <c r="AV1757" s="566"/>
      <c r="AW1757" s="566"/>
      <c r="AX1757" s="566"/>
      <c r="AY1757" s="566"/>
      <c r="AZ1757" s="566">
        <v>42300</v>
      </c>
      <c r="BA1757" s="561"/>
      <c r="BB1757" s="561"/>
      <c r="BC1757" s="561" t="b">
        <v>0</v>
      </c>
      <c r="BD1757" s="561"/>
      <c r="BE1757" s="563"/>
      <c r="BF1757" s="394">
        <v>10</v>
      </c>
      <c r="BG1757" s="394">
        <v>5</v>
      </c>
      <c r="BH1757" s="394">
        <v>9</v>
      </c>
      <c r="BI1757" s="394">
        <v>11</v>
      </c>
      <c r="BJ1757" s="394">
        <v>12</v>
      </c>
      <c r="BK1757" s="394"/>
      <c r="BL1757" s="444" t="s">
        <v>6981</v>
      </c>
      <c r="BM1757" s="563"/>
      <c r="BN1757" s="561"/>
      <c r="BO1757" s="561"/>
      <c r="BP1757" s="571"/>
      <c r="BQ1757" s="572"/>
      <c r="BR1757" s="573"/>
      <c r="BS1757" s="571">
        <v>8.5</v>
      </c>
      <c r="BT1757" s="564">
        <v>15275</v>
      </c>
      <c r="BU1757" s="569">
        <v>0.62</v>
      </c>
      <c r="BV1757" s="571"/>
      <c r="BW1757" s="561" t="s">
        <v>3117</v>
      </c>
      <c r="BX1757" s="563"/>
      <c r="BY1757" s="561"/>
      <c r="BZ1757" s="562" t="s">
        <v>3165</v>
      </c>
      <c r="CA1757" s="574"/>
      <c r="CB1757" s="572"/>
      <c r="CC1757" s="568"/>
      <c r="CD1757" s="568"/>
      <c r="CE1757" s="568"/>
      <c r="CF1757" s="568"/>
      <c r="CG1757" s="568"/>
      <c r="CH1757" s="568"/>
      <c r="CI1757" s="568"/>
      <c r="CJ1757" s="568"/>
      <c r="CK1757" s="568">
        <v>9.6419999999999995</v>
      </c>
      <c r="CL1757" s="568">
        <v>9.5839999999999996</v>
      </c>
      <c r="CM1757" s="568">
        <v>9.5259999999999998</v>
      </c>
      <c r="CN1757" s="568">
        <v>9.4689999999999994</v>
      </c>
      <c r="CO1757" s="568">
        <v>9.4120000000000008</v>
      </c>
      <c r="CP1757" s="568">
        <v>9.3559999999999999</v>
      </c>
      <c r="CQ1757" s="568">
        <v>9.3000000000000007</v>
      </c>
      <c r="CR1757" s="568"/>
      <c r="CS1757" s="568"/>
      <c r="CT1757" s="568"/>
      <c r="CU1757" s="568"/>
      <c r="CV1757" s="568"/>
      <c r="CW1757" s="568"/>
      <c r="CX1757" s="568"/>
      <c r="CY1757" s="568"/>
      <c r="CZ1757" s="568"/>
      <c r="DA1757" s="568"/>
      <c r="DB1757" s="568"/>
      <c r="DC1757" s="568"/>
      <c r="DD1757" s="568"/>
      <c r="DE1757" s="561"/>
      <c r="DF1757" s="561"/>
      <c r="DG1757" s="561"/>
      <c r="DH1757" s="561"/>
      <c r="DI1757" s="561"/>
      <c r="DJ1757" s="561"/>
      <c r="DK1757" s="897"/>
    </row>
    <row r="1758" spans="1:115" ht="114.75" x14ac:dyDescent="0.2">
      <c r="A1758" s="295">
        <v>1754</v>
      </c>
      <c r="B1758" s="390" t="s">
        <v>6769</v>
      </c>
      <c r="C1758" s="424" t="s">
        <v>7885</v>
      </c>
      <c r="D1758" s="435"/>
      <c r="E1758" s="708" t="s">
        <v>6770</v>
      </c>
      <c r="F1758" s="404" t="s">
        <v>1375</v>
      </c>
      <c r="G1758" s="404" t="s">
        <v>1670</v>
      </c>
      <c r="H1758" s="459" t="s">
        <v>1385</v>
      </c>
      <c r="I1758" s="403"/>
      <c r="J1758" s="403" t="s">
        <v>6771</v>
      </c>
      <c r="K1758" s="403"/>
      <c r="L1758" s="403" t="s">
        <v>6772</v>
      </c>
      <c r="M1758" s="403" t="s">
        <v>6773</v>
      </c>
      <c r="N1758" s="404" t="s">
        <v>2412</v>
      </c>
      <c r="O1758" s="404" t="s">
        <v>827</v>
      </c>
      <c r="P1758" s="404" t="s">
        <v>827</v>
      </c>
      <c r="Q1758" s="403" t="s">
        <v>836</v>
      </c>
      <c r="R1758" s="403"/>
      <c r="S1758" s="403" t="s">
        <v>650</v>
      </c>
      <c r="T1758" s="405"/>
      <c r="U1758" s="406"/>
      <c r="V1758" s="406"/>
      <c r="W1758" s="456">
        <v>41977</v>
      </c>
      <c r="X1758" s="405">
        <v>28</v>
      </c>
      <c r="Y1758" s="405"/>
      <c r="Z1758" s="405"/>
      <c r="AA1758" s="406"/>
      <c r="AB1758" s="455"/>
      <c r="AC1758" s="407"/>
      <c r="AD1758" s="407"/>
      <c r="AE1758" s="404" t="s">
        <v>47</v>
      </c>
      <c r="AF1758" s="418"/>
      <c r="AG1758" s="418"/>
      <c r="AH1758" s="418"/>
      <c r="AI1758" s="405"/>
      <c r="AJ1758" s="455"/>
      <c r="AK1758" s="455"/>
      <c r="AL1758" s="404"/>
      <c r="AM1758" s="404"/>
      <c r="AN1758" s="418"/>
      <c r="AO1758" s="403"/>
      <c r="AP1758" s="403" t="s">
        <v>55</v>
      </c>
      <c r="AQ1758" s="403"/>
      <c r="AR1758" s="486" t="s">
        <v>7302</v>
      </c>
      <c r="AS1758" s="482">
        <v>41984</v>
      </c>
      <c r="AT1758" s="455">
        <v>42342</v>
      </c>
      <c r="AU1758" s="455"/>
      <c r="AV1758" s="455"/>
      <c r="AW1758" s="455"/>
      <c r="AX1758" s="455"/>
      <c r="AY1758" s="455"/>
      <c r="AZ1758" s="455"/>
      <c r="BA1758" s="404"/>
      <c r="BB1758" s="404" t="s">
        <v>3147</v>
      </c>
      <c r="BC1758" s="404" t="b">
        <v>0</v>
      </c>
      <c r="BD1758" s="404" t="s">
        <v>3147</v>
      </c>
      <c r="BE1758" s="403"/>
      <c r="BF1758" s="405">
        <v>10</v>
      </c>
      <c r="BG1758" s="405">
        <v>1</v>
      </c>
      <c r="BH1758" s="405">
        <v>5</v>
      </c>
      <c r="BI1758" s="405">
        <v>9</v>
      </c>
      <c r="BJ1758" s="405">
        <v>8</v>
      </c>
      <c r="BK1758" s="405"/>
      <c r="BL1758" s="446" t="s">
        <v>6981</v>
      </c>
      <c r="BM1758" s="403"/>
      <c r="BN1758" s="404"/>
      <c r="BO1758" s="404"/>
      <c r="BP1758" s="408"/>
      <c r="BQ1758" s="409"/>
      <c r="BR1758" s="410"/>
      <c r="BS1758" s="408"/>
      <c r="BT1758" s="405"/>
      <c r="BU1758" s="418"/>
      <c r="BV1758" s="408"/>
      <c r="BW1758" s="404"/>
      <c r="BX1758" s="403"/>
      <c r="BY1758" s="404"/>
      <c r="BZ1758" s="459" t="s">
        <v>3165</v>
      </c>
      <c r="CA1758" s="443"/>
      <c r="CB1758" s="409"/>
      <c r="CC1758" s="407"/>
      <c r="CD1758" s="407"/>
      <c r="CE1758" s="407"/>
      <c r="CF1758" s="407"/>
      <c r="CG1758" s="407"/>
      <c r="CH1758" s="407"/>
      <c r="CI1758" s="407"/>
      <c r="CJ1758" s="407"/>
      <c r="CK1758" s="407"/>
      <c r="CL1758" s="407"/>
      <c r="CM1758" s="407"/>
      <c r="CN1758" s="407"/>
      <c r="CO1758" s="407"/>
      <c r="CP1758" s="407"/>
      <c r="CQ1758" s="407"/>
      <c r="CR1758" s="407"/>
      <c r="CS1758" s="407"/>
      <c r="CT1758" s="407"/>
      <c r="CU1758" s="407"/>
      <c r="CV1758" s="407"/>
      <c r="CW1758" s="407"/>
      <c r="CX1758" s="407"/>
      <c r="CY1758" s="407"/>
      <c r="CZ1758" s="407"/>
      <c r="DA1758" s="407"/>
      <c r="DB1758" s="407"/>
      <c r="DC1758" s="407"/>
      <c r="DD1758" s="407"/>
      <c r="DE1758" s="404"/>
      <c r="DF1758" s="404"/>
      <c r="DG1758" s="404"/>
      <c r="DH1758" s="404"/>
      <c r="DI1758" s="404"/>
      <c r="DJ1758" s="404"/>
      <c r="DK1758" s="897"/>
    </row>
    <row r="1759" spans="1:115" ht="38.25" x14ac:dyDescent="0.2">
      <c r="A1759" s="295">
        <v>1755</v>
      </c>
      <c r="B1759" s="390" t="s">
        <v>7294</v>
      </c>
      <c r="C1759" s="390"/>
      <c r="D1759" s="391"/>
      <c r="E1759" s="708" t="s">
        <v>8940</v>
      </c>
      <c r="F1759" s="404" t="s">
        <v>1375</v>
      </c>
      <c r="G1759" s="404" t="s">
        <v>1670</v>
      </c>
      <c r="H1759" s="404" t="s">
        <v>1385</v>
      </c>
      <c r="I1759" s="403"/>
      <c r="J1759" s="403"/>
      <c r="K1759" s="403" t="s">
        <v>7295</v>
      </c>
      <c r="L1759" s="403" t="s">
        <v>7292</v>
      </c>
      <c r="M1759" s="403"/>
      <c r="N1759" s="404" t="s">
        <v>2412</v>
      </c>
      <c r="O1759" s="404" t="s">
        <v>827</v>
      </c>
      <c r="P1759" s="404" t="s">
        <v>827</v>
      </c>
      <c r="Q1759" s="403" t="s">
        <v>836</v>
      </c>
      <c r="R1759" s="403" t="s">
        <v>7296</v>
      </c>
      <c r="S1759" s="403" t="s">
        <v>650</v>
      </c>
      <c r="T1759" s="405">
        <v>1</v>
      </c>
      <c r="U1759" s="406">
        <v>45.569000000000003</v>
      </c>
      <c r="V1759" s="406"/>
      <c r="W1759" s="455"/>
      <c r="X1759" s="405"/>
      <c r="Y1759" s="405">
        <v>10</v>
      </c>
      <c r="Z1759" s="405">
        <v>30</v>
      </c>
      <c r="AA1759" s="406"/>
      <c r="AB1759" s="456">
        <v>42186</v>
      </c>
      <c r="AC1759" s="407"/>
      <c r="AD1759" s="407">
        <v>455.69000000000005</v>
      </c>
      <c r="AE1759" s="404" t="s">
        <v>47</v>
      </c>
      <c r="AF1759" s="418"/>
      <c r="AG1759" s="418"/>
      <c r="AH1759" s="418"/>
      <c r="AI1759" s="405"/>
      <c r="AJ1759" s="455"/>
      <c r="AK1759" s="455"/>
      <c r="AL1759" s="404"/>
      <c r="AM1759" s="404"/>
      <c r="AN1759" s="418"/>
      <c r="AO1759" s="403"/>
      <c r="AP1759" s="403" t="s">
        <v>55</v>
      </c>
      <c r="AQ1759" s="403"/>
      <c r="AR1759" s="486" t="s">
        <v>7302</v>
      </c>
      <c r="AS1759" s="482">
        <v>42299</v>
      </c>
      <c r="AT1759" s="455">
        <v>42342</v>
      </c>
      <c r="AU1759" s="455"/>
      <c r="AV1759" s="455"/>
      <c r="AW1759" s="455"/>
      <c r="AX1759" s="455"/>
      <c r="AY1759" s="455"/>
      <c r="AZ1759" s="455"/>
      <c r="BA1759" s="404"/>
      <c r="BB1759" s="404"/>
      <c r="BC1759" s="404" t="b">
        <v>1</v>
      </c>
      <c r="BD1759" s="404"/>
      <c r="BE1759" s="403"/>
      <c r="BF1759" s="405">
        <v>10</v>
      </c>
      <c r="BG1759" s="405">
        <v>12</v>
      </c>
      <c r="BH1759" s="405">
        <v>5</v>
      </c>
      <c r="BI1759" s="405">
        <v>9</v>
      </c>
      <c r="BJ1759" s="405"/>
      <c r="BK1759" s="405"/>
      <c r="BL1759" s="446" t="s">
        <v>6981</v>
      </c>
      <c r="BM1759" s="403"/>
      <c r="BN1759" s="404"/>
      <c r="BO1759" s="404"/>
      <c r="BP1759" s="408"/>
      <c r="BQ1759" s="409"/>
      <c r="BR1759" s="410"/>
      <c r="BS1759" s="408">
        <v>33</v>
      </c>
      <c r="BT1759" s="405">
        <v>57000</v>
      </c>
      <c r="BU1759" s="418">
        <v>0.79</v>
      </c>
      <c r="BV1759" s="408"/>
      <c r="BW1759" s="404" t="s">
        <v>3165</v>
      </c>
      <c r="BX1759" s="403"/>
      <c r="BY1759" s="404"/>
      <c r="BZ1759" s="404"/>
      <c r="CA1759" s="443"/>
      <c r="CB1759" s="409"/>
      <c r="CC1759" s="407"/>
      <c r="CD1759" s="407"/>
      <c r="CE1759" s="407"/>
      <c r="CF1759" s="407"/>
      <c r="CG1759" s="407"/>
      <c r="CH1759" s="407"/>
      <c r="CI1759" s="407"/>
      <c r="CJ1759" s="407"/>
      <c r="CK1759" s="407">
        <v>22.785</v>
      </c>
      <c r="CL1759" s="407">
        <v>45.569000000000003</v>
      </c>
      <c r="CM1759" s="407">
        <v>45.569000000000003</v>
      </c>
      <c r="CN1759" s="407">
        <v>45.569000000000003</v>
      </c>
      <c r="CO1759" s="407">
        <v>45.569000000000003</v>
      </c>
      <c r="CP1759" s="407">
        <v>45.569000000000003</v>
      </c>
      <c r="CQ1759" s="407">
        <v>45.569000000000003</v>
      </c>
      <c r="CR1759" s="407">
        <v>45.569000000000003</v>
      </c>
      <c r="CS1759" s="407">
        <v>45.569000000000003</v>
      </c>
      <c r="CT1759" s="407">
        <v>45.569000000000003</v>
      </c>
      <c r="CU1759" s="407">
        <v>22.785</v>
      </c>
      <c r="CV1759" s="407"/>
      <c r="CW1759" s="407"/>
      <c r="CX1759" s="407"/>
      <c r="CY1759" s="407"/>
      <c r="CZ1759" s="407"/>
      <c r="DA1759" s="407"/>
      <c r="DB1759" s="407"/>
      <c r="DC1759" s="407"/>
      <c r="DD1759" s="407"/>
      <c r="DE1759" s="404"/>
      <c r="DF1759" s="404"/>
      <c r="DG1759" s="404"/>
      <c r="DH1759" s="404"/>
      <c r="DI1759" s="404"/>
      <c r="DJ1759" s="404"/>
      <c r="DK1759" s="897"/>
    </row>
    <row r="1760" spans="1:115" ht="38.25" x14ac:dyDescent="0.2">
      <c r="A1760" s="295">
        <v>1756</v>
      </c>
      <c r="B1760" s="390" t="s">
        <v>6774</v>
      </c>
      <c r="C1760" s="424" t="s">
        <v>7886</v>
      </c>
      <c r="D1760" s="391"/>
      <c r="E1760" s="706" t="s">
        <v>6775</v>
      </c>
      <c r="F1760" s="390" t="s">
        <v>1375</v>
      </c>
      <c r="G1760" s="390" t="s">
        <v>998</v>
      </c>
      <c r="H1760" s="390" t="s">
        <v>1387</v>
      </c>
      <c r="I1760" s="402"/>
      <c r="J1760" s="402" t="s">
        <v>1387</v>
      </c>
      <c r="K1760" s="402"/>
      <c r="L1760" s="402" t="s">
        <v>6776</v>
      </c>
      <c r="M1760" s="402" t="s">
        <v>6777</v>
      </c>
      <c r="N1760" s="390" t="s">
        <v>33</v>
      </c>
      <c r="O1760" s="390" t="s">
        <v>1283</v>
      </c>
      <c r="P1760" s="390" t="s">
        <v>1283</v>
      </c>
      <c r="Q1760" s="402" t="s">
        <v>1283</v>
      </c>
      <c r="R1760" s="402"/>
      <c r="S1760" s="402" t="s">
        <v>6778</v>
      </c>
      <c r="T1760" s="411">
        <v>1</v>
      </c>
      <c r="U1760" s="412">
        <v>231.523</v>
      </c>
      <c r="V1760" s="412"/>
      <c r="W1760" s="457">
        <v>41989</v>
      </c>
      <c r="X1760" s="411">
        <v>60</v>
      </c>
      <c r="Y1760" s="411"/>
      <c r="Z1760" s="411"/>
      <c r="AA1760" s="412"/>
      <c r="AB1760" s="454"/>
      <c r="AC1760" s="413">
        <v>0</v>
      </c>
      <c r="AD1760" s="413">
        <v>2539.141284931507</v>
      </c>
      <c r="AE1760" s="390" t="s">
        <v>37</v>
      </c>
      <c r="AF1760" s="419"/>
      <c r="AG1760" s="419"/>
      <c r="AH1760" s="419">
        <v>0</v>
      </c>
      <c r="AI1760" s="411"/>
      <c r="AJ1760" s="454"/>
      <c r="AK1760" s="454"/>
      <c r="AL1760" s="390"/>
      <c r="AM1760" s="390"/>
      <c r="AN1760" s="419"/>
      <c r="AO1760" s="402"/>
      <c r="AP1760" s="402" t="s">
        <v>55</v>
      </c>
      <c r="AQ1760" s="402"/>
      <c r="AR1760" s="402" t="s">
        <v>6776</v>
      </c>
      <c r="AS1760" s="481">
        <v>41989</v>
      </c>
      <c r="AT1760" s="454"/>
      <c r="AU1760" s="454"/>
      <c r="AV1760" s="454"/>
      <c r="AW1760" s="454"/>
      <c r="AX1760" s="454"/>
      <c r="AY1760" s="454"/>
      <c r="AZ1760" s="454"/>
      <c r="BA1760" s="390"/>
      <c r="BB1760" s="390" t="s">
        <v>3116</v>
      </c>
      <c r="BC1760" s="390" t="b">
        <v>0</v>
      </c>
      <c r="BD1760" s="390" t="s">
        <v>3116</v>
      </c>
      <c r="BE1760" s="402"/>
      <c r="BF1760" s="411">
        <v>2</v>
      </c>
      <c r="BG1760" s="411">
        <v>3</v>
      </c>
      <c r="BH1760" s="411">
        <v>4</v>
      </c>
      <c r="BI1760" s="411">
        <v>5</v>
      </c>
      <c r="BJ1760" s="411">
        <v>8</v>
      </c>
      <c r="BK1760" s="411"/>
      <c r="BL1760" s="445" t="s">
        <v>6981</v>
      </c>
      <c r="BM1760" s="402"/>
      <c r="BN1760" s="390"/>
      <c r="BO1760" s="390"/>
      <c r="BP1760" s="414"/>
      <c r="BQ1760" s="415"/>
      <c r="BR1760" s="416"/>
      <c r="BS1760" s="414">
        <v>0</v>
      </c>
      <c r="BT1760" s="411"/>
      <c r="BU1760" s="419"/>
      <c r="BV1760" s="414"/>
      <c r="BW1760" s="390"/>
      <c r="BX1760" s="402"/>
      <c r="BY1760" s="390"/>
      <c r="BZ1760" s="390" t="s">
        <v>3165</v>
      </c>
      <c r="CA1760" s="442"/>
      <c r="CB1760" s="415"/>
      <c r="CC1760" s="413"/>
      <c r="CD1760" s="413"/>
      <c r="CE1760" s="413"/>
      <c r="CF1760" s="413"/>
      <c r="CG1760" s="413"/>
      <c r="CH1760" s="413"/>
      <c r="CI1760" s="413"/>
      <c r="CJ1760" s="413"/>
      <c r="CK1760" s="413"/>
      <c r="CL1760" s="413"/>
      <c r="CM1760" s="413"/>
      <c r="CN1760" s="413"/>
      <c r="CO1760" s="413"/>
      <c r="CP1760" s="413"/>
      <c r="CQ1760" s="413"/>
      <c r="CR1760" s="413"/>
      <c r="CS1760" s="413"/>
      <c r="CT1760" s="413"/>
      <c r="CU1760" s="413"/>
      <c r="CV1760" s="413"/>
      <c r="CW1760" s="413"/>
      <c r="CX1760" s="413"/>
      <c r="CY1760" s="413"/>
      <c r="CZ1760" s="413"/>
      <c r="DA1760" s="413"/>
      <c r="DB1760" s="413"/>
      <c r="DC1760" s="413"/>
      <c r="DD1760" s="413"/>
      <c r="DE1760" s="390"/>
      <c r="DF1760" s="390"/>
      <c r="DG1760" s="390"/>
      <c r="DH1760" s="390"/>
      <c r="DI1760" s="390"/>
      <c r="DJ1760" s="390"/>
      <c r="DK1760" s="897"/>
    </row>
    <row r="1761" spans="1:115" ht="38.25" x14ac:dyDescent="0.2">
      <c r="A1761" s="295">
        <v>1757</v>
      </c>
      <c r="B1761" s="390" t="s">
        <v>6779</v>
      </c>
      <c r="C1761" s="390"/>
      <c r="D1761" s="391"/>
      <c r="E1761" s="706" t="s">
        <v>6780</v>
      </c>
      <c r="F1761" s="390" t="s">
        <v>1375</v>
      </c>
      <c r="G1761" s="390" t="s">
        <v>998</v>
      </c>
      <c r="H1761" s="390" t="s">
        <v>1387</v>
      </c>
      <c r="I1761" s="402"/>
      <c r="J1761" s="402"/>
      <c r="K1761" s="402" t="s">
        <v>6781</v>
      </c>
      <c r="L1761" s="402" t="s">
        <v>6776</v>
      </c>
      <c r="M1761" s="402"/>
      <c r="N1761" s="390" t="s">
        <v>33</v>
      </c>
      <c r="O1761" s="390" t="s">
        <v>1283</v>
      </c>
      <c r="P1761" s="390" t="s">
        <v>1283</v>
      </c>
      <c r="Q1761" s="402" t="s">
        <v>1283</v>
      </c>
      <c r="R1761" s="402" t="s">
        <v>6782</v>
      </c>
      <c r="S1761" s="402" t="s">
        <v>6778</v>
      </c>
      <c r="T1761" s="411">
        <v>1</v>
      </c>
      <c r="U1761" s="412">
        <v>231.523</v>
      </c>
      <c r="V1761" s="412"/>
      <c r="W1761" s="454"/>
      <c r="X1761" s="411"/>
      <c r="Y1761" s="411">
        <v>20</v>
      </c>
      <c r="Z1761" s="411">
        <v>50</v>
      </c>
      <c r="AA1761" s="412">
        <v>28.210999999999999</v>
      </c>
      <c r="AB1761" s="457">
        <v>40193</v>
      </c>
      <c r="AC1761" s="413"/>
      <c r="AD1761" s="413">
        <v>2539.141284931507</v>
      </c>
      <c r="AE1761" s="390" t="s">
        <v>37</v>
      </c>
      <c r="AF1761" s="419"/>
      <c r="AG1761" s="419"/>
      <c r="AH1761" s="419"/>
      <c r="AI1761" s="411"/>
      <c r="AJ1761" s="454"/>
      <c r="AK1761" s="454"/>
      <c r="AL1761" s="390"/>
      <c r="AM1761" s="390"/>
      <c r="AN1761" s="419"/>
      <c r="AO1761" s="402"/>
      <c r="AP1761" s="402" t="s">
        <v>55</v>
      </c>
      <c r="AQ1761" s="402"/>
      <c r="AR1761" s="402" t="s">
        <v>6776</v>
      </c>
      <c r="AS1761" s="481">
        <v>41989</v>
      </c>
      <c r="AT1761" s="454"/>
      <c r="AU1761" s="454"/>
      <c r="AV1761" s="454"/>
      <c r="AW1761" s="454"/>
      <c r="AX1761" s="454"/>
      <c r="AY1761" s="454"/>
      <c r="AZ1761" s="454"/>
      <c r="BA1761" s="390"/>
      <c r="BB1761" s="390"/>
      <c r="BC1761" s="390" t="b">
        <v>0</v>
      </c>
      <c r="BD1761" s="390"/>
      <c r="BE1761" s="402"/>
      <c r="BF1761" s="411">
        <v>2</v>
      </c>
      <c r="BG1761" s="411">
        <v>3</v>
      </c>
      <c r="BH1761" s="411">
        <v>4</v>
      </c>
      <c r="BI1761" s="411">
        <v>5</v>
      </c>
      <c r="BJ1761" s="411">
        <v>8</v>
      </c>
      <c r="BK1761" s="411"/>
      <c r="BL1761" s="445" t="s">
        <v>6981</v>
      </c>
      <c r="BM1761" s="402"/>
      <c r="BN1761" s="390"/>
      <c r="BO1761" s="390"/>
      <c r="BP1761" s="414"/>
      <c r="BQ1761" s="415"/>
      <c r="BR1761" s="416"/>
      <c r="BS1761" s="414"/>
      <c r="BT1761" s="411"/>
      <c r="BU1761" s="419"/>
      <c r="BV1761" s="414"/>
      <c r="BW1761" s="390" t="s">
        <v>3165</v>
      </c>
      <c r="BX1761" s="402"/>
      <c r="BY1761" s="390"/>
      <c r="BZ1761" s="390" t="s">
        <v>3165</v>
      </c>
      <c r="CA1761" s="442"/>
      <c r="CB1761" s="415"/>
      <c r="CC1761" s="413"/>
      <c r="CD1761" s="413"/>
      <c r="CE1761" s="413"/>
      <c r="CF1761" s="413">
        <v>-20.658999999999999</v>
      </c>
      <c r="CG1761" s="413">
        <v>5.4459999999999997</v>
      </c>
      <c r="CH1761" s="413">
        <v>9.9329999999999998</v>
      </c>
      <c r="CI1761" s="413">
        <v>22.091000000000001</v>
      </c>
      <c r="CJ1761" s="413">
        <v>66.760999999999996</v>
      </c>
      <c r="CK1761" s="413">
        <v>154.13800000000001</v>
      </c>
      <c r="CL1761" s="413">
        <v>278.19299999999998</v>
      </c>
      <c r="CM1761" s="413">
        <v>369.13099999999997</v>
      </c>
      <c r="CN1761" s="413">
        <v>493.62599999999998</v>
      </c>
      <c r="CO1761" s="413">
        <v>718.07100000000003</v>
      </c>
      <c r="CP1761" s="413">
        <v>625.01800000000003</v>
      </c>
      <c r="CQ1761" s="413">
        <v>-132.476</v>
      </c>
      <c r="CR1761" s="413">
        <v>-583.46500000000003</v>
      </c>
      <c r="CS1761" s="413">
        <v>-540.82899999999995</v>
      </c>
      <c r="CT1761" s="413">
        <v>-709.89400000000001</v>
      </c>
      <c r="CU1761" s="413">
        <v>544.09799999999996</v>
      </c>
      <c r="CV1761" s="413">
        <v>709.67499999999995</v>
      </c>
      <c r="CW1761" s="413">
        <v>934.43799999999999</v>
      </c>
      <c r="CX1761" s="413">
        <v>999.99300000000005</v>
      </c>
      <c r="CY1761" s="413">
        <v>660.16499999999996</v>
      </c>
      <c r="CZ1761" s="413"/>
      <c r="DA1761" s="413"/>
      <c r="DB1761" s="413"/>
      <c r="DC1761" s="413"/>
      <c r="DD1761" s="413"/>
      <c r="DE1761" s="390"/>
      <c r="DF1761" s="390"/>
      <c r="DG1761" s="390"/>
      <c r="DH1761" s="390"/>
      <c r="DI1761" s="390"/>
      <c r="DJ1761" s="390"/>
      <c r="DK1761" s="897"/>
    </row>
    <row r="1762" spans="1:115" ht="51" x14ac:dyDescent="0.2">
      <c r="A1762" s="295">
        <v>1758</v>
      </c>
      <c r="B1762" s="390" t="s">
        <v>6783</v>
      </c>
      <c r="C1762" s="424" t="s">
        <v>7887</v>
      </c>
      <c r="D1762" s="531">
        <v>10268</v>
      </c>
      <c r="E1762" s="705" t="s">
        <v>6784</v>
      </c>
      <c r="F1762" s="393" t="s">
        <v>1375</v>
      </c>
      <c r="G1762" s="393" t="s">
        <v>998</v>
      </c>
      <c r="H1762" s="393" t="s">
        <v>1381</v>
      </c>
      <c r="I1762" s="392"/>
      <c r="J1762" s="392" t="s">
        <v>1381</v>
      </c>
      <c r="K1762" s="392"/>
      <c r="L1762" s="392" t="s">
        <v>6785</v>
      </c>
      <c r="M1762" s="392" t="s">
        <v>6786</v>
      </c>
      <c r="N1762" s="393" t="s">
        <v>44</v>
      </c>
      <c r="O1762" s="393" t="s">
        <v>45</v>
      </c>
      <c r="P1762" s="393" t="s">
        <v>45</v>
      </c>
      <c r="Q1762" s="392" t="s">
        <v>307</v>
      </c>
      <c r="R1762" s="392"/>
      <c r="S1762" s="392" t="s">
        <v>6787</v>
      </c>
      <c r="T1762" s="394">
        <v>2</v>
      </c>
      <c r="U1762" s="395">
        <v>93.804000000000002</v>
      </c>
      <c r="V1762" s="395"/>
      <c r="W1762" s="452">
        <v>41996</v>
      </c>
      <c r="X1762" s="394">
        <v>28</v>
      </c>
      <c r="Y1762" s="394"/>
      <c r="Z1762" s="394"/>
      <c r="AA1762" s="395"/>
      <c r="AB1762" s="453"/>
      <c r="AC1762" s="398">
        <v>0</v>
      </c>
      <c r="AD1762" s="398">
        <v>370.79884931506854</v>
      </c>
      <c r="AE1762" s="393" t="s">
        <v>225</v>
      </c>
      <c r="AF1762" s="417"/>
      <c r="AG1762" s="417"/>
      <c r="AH1762" s="417">
        <v>0</v>
      </c>
      <c r="AI1762" s="394"/>
      <c r="AJ1762" s="453"/>
      <c r="AK1762" s="453"/>
      <c r="AL1762" s="393"/>
      <c r="AM1762" s="393"/>
      <c r="AN1762" s="417"/>
      <c r="AO1762" s="392"/>
      <c r="AP1762" s="392" t="s">
        <v>7053</v>
      </c>
      <c r="AQ1762" s="392"/>
      <c r="AR1762" s="392" t="s">
        <v>274</v>
      </c>
      <c r="AS1762" s="479">
        <v>41997</v>
      </c>
      <c r="AT1762" s="453"/>
      <c r="AU1762" s="453"/>
      <c r="AV1762" s="453">
        <v>42324</v>
      </c>
      <c r="AW1762" s="453">
        <v>42447</v>
      </c>
      <c r="AX1762" s="453">
        <v>42510</v>
      </c>
      <c r="AY1762" s="453">
        <v>42447</v>
      </c>
      <c r="AZ1762" s="453"/>
      <c r="BA1762" s="393"/>
      <c r="BB1762" s="393" t="s">
        <v>3116</v>
      </c>
      <c r="BC1762" s="393" t="b">
        <v>0</v>
      </c>
      <c r="BD1762" s="393" t="s">
        <v>3116</v>
      </c>
      <c r="BE1762" s="392"/>
      <c r="BF1762" s="394">
        <v>1</v>
      </c>
      <c r="BG1762" s="394">
        <v>4</v>
      </c>
      <c r="BH1762" s="394">
        <v>6</v>
      </c>
      <c r="BI1762" s="394">
        <v>8</v>
      </c>
      <c r="BJ1762" s="394"/>
      <c r="BK1762" s="394"/>
      <c r="BL1762" s="444" t="s">
        <v>6981</v>
      </c>
      <c r="BM1762" s="392"/>
      <c r="BN1762" s="393"/>
      <c r="BO1762" s="393"/>
      <c r="BP1762" s="399"/>
      <c r="BQ1762" s="400"/>
      <c r="BR1762" s="401"/>
      <c r="BS1762" s="399">
        <v>0</v>
      </c>
      <c r="BT1762" s="394"/>
      <c r="BU1762" s="417"/>
      <c r="BV1762" s="399"/>
      <c r="BW1762" s="393"/>
      <c r="BX1762" s="392"/>
      <c r="BY1762" s="393"/>
      <c r="BZ1762" s="393"/>
      <c r="CA1762" s="441"/>
      <c r="CB1762" s="400"/>
      <c r="CC1762" s="398"/>
      <c r="CD1762" s="398"/>
      <c r="CE1762" s="398"/>
      <c r="CF1762" s="398"/>
      <c r="CG1762" s="398"/>
      <c r="CH1762" s="398"/>
      <c r="CI1762" s="398"/>
      <c r="CJ1762" s="398"/>
      <c r="CK1762" s="398"/>
      <c r="CL1762" s="398"/>
      <c r="CM1762" s="398"/>
      <c r="CN1762" s="398"/>
      <c r="CO1762" s="398"/>
      <c r="CP1762" s="398"/>
      <c r="CQ1762" s="398"/>
      <c r="CR1762" s="398"/>
      <c r="CS1762" s="398"/>
      <c r="CT1762" s="398"/>
      <c r="CU1762" s="398"/>
      <c r="CV1762" s="398"/>
      <c r="CW1762" s="398"/>
      <c r="CX1762" s="398"/>
      <c r="CY1762" s="398"/>
      <c r="CZ1762" s="398"/>
      <c r="DA1762" s="398"/>
      <c r="DB1762" s="398"/>
      <c r="DC1762" s="398"/>
      <c r="DD1762" s="398"/>
      <c r="DE1762" s="393"/>
      <c r="DF1762" s="393"/>
      <c r="DG1762" s="393"/>
      <c r="DH1762" s="393"/>
      <c r="DI1762" s="393"/>
      <c r="DJ1762" s="393"/>
      <c r="DK1762" s="896" t="s">
        <v>9707</v>
      </c>
    </row>
    <row r="1763" spans="1:115" ht="25.5" x14ac:dyDescent="0.2">
      <c r="A1763" s="295">
        <v>1759</v>
      </c>
      <c r="B1763" s="390" t="s">
        <v>6788</v>
      </c>
      <c r="C1763" s="390"/>
      <c r="D1763" s="474" t="s">
        <v>8131</v>
      </c>
      <c r="E1763" s="705" t="s">
        <v>9130</v>
      </c>
      <c r="F1763" s="393" t="s">
        <v>1375</v>
      </c>
      <c r="G1763" s="393" t="s">
        <v>998</v>
      </c>
      <c r="H1763" s="393" t="s">
        <v>1381</v>
      </c>
      <c r="I1763" s="392"/>
      <c r="J1763" s="392"/>
      <c r="K1763" s="392" t="s">
        <v>5627</v>
      </c>
      <c r="L1763" s="392" t="s">
        <v>6785</v>
      </c>
      <c r="M1763" s="392"/>
      <c r="N1763" s="393" t="s">
        <v>44</v>
      </c>
      <c r="O1763" s="393" t="s">
        <v>45</v>
      </c>
      <c r="P1763" s="393" t="s">
        <v>45</v>
      </c>
      <c r="Q1763" s="392" t="s">
        <v>307</v>
      </c>
      <c r="R1763" s="392" t="s">
        <v>6789</v>
      </c>
      <c r="S1763" s="392" t="s">
        <v>6787</v>
      </c>
      <c r="T1763" s="394">
        <v>1</v>
      </c>
      <c r="U1763" s="395">
        <v>23.58</v>
      </c>
      <c r="V1763" s="395"/>
      <c r="W1763" s="453"/>
      <c r="X1763" s="394"/>
      <c r="Y1763" s="394">
        <v>7</v>
      </c>
      <c r="Z1763" s="394">
        <v>21</v>
      </c>
      <c r="AA1763" s="395">
        <v>0</v>
      </c>
      <c r="AB1763" s="452">
        <v>42447</v>
      </c>
      <c r="AC1763" s="398"/>
      <c r="AD1763" s="398">
        <v>112.99019178082192</v>
      </c>
      <c r="AE1763" s="393" t="s">
        <v>225</v>
      </c>
      <c r="AF1763" s="417"/>
      <c r="AG1763" s="417"/>
      <c r="AH1763" s="417"/>
      <c r="AI1763" s="394"/>
      <c r="AJ1763" s="453"/>
      <c r="AK1763" s="453"/>
      <c r="AL1763" s="393"/>
      <c r="AM1763" s="393"/>
      <c r="AN1763" s="417"/>
      <c r="AO1763" s="392"/>
      <c r="AP1763" s="392" t="s">
        <v>7053</v>
      </c>
      <c r="AQ1763" s="392"/>
      <c r="AR1763" s="392" t="s">
        <v>274</v>
      </c>
      <c r="AS1763" s="479">
        <v>41997</v>
      </c>
      <c r="AT1763" s="453"/>
      <c r="AU1763" s="453"/>
      <c r="AV1763" s="453"/>
      <c r="AW1763" s="453"/>
      <c r="AX1763" s="453"/>
      <c r="AY1763" s="453"/>
      <c r="AZ1763" s="453">
        <v>42447</v>
      </c>
      <c r="BA1763" s="393"/>
      <c r="BB1763" s="393"/>
      <c r="BC1763" s="393" t="b">
        <v>0</v>
      </c>
      <c r="BD1763" s="393"/>
      <c r="BE1763" s="392"/>
      <c r="BF1763" s="394">
        <v>1</v>
      </c>
      <c r="BG1763" s="394">
        <v>4</v>
      </c>
      <c r="BH1763" s="394">
        <v>6</v>
      </c>
      <c r="BI1763" s="394">
        <v>8</v>
      </c>
      <c r="BJ1763" s="394"/>
      <c r="BK1763" s="394"/>
      <c r="BL1763" s="444" t="s">
        <v>6981</v>
      </c>
      <c r="BM1763" s="392"/>
      <c r="BN1763" s="393"/>
      <c r="BO1763" s="393"/>
      <c r="BP1763" s="399"/>
      <c r="BQ1763" s="400"/>
      <c r="BR1763" s="401"/>
      <c r="BS1763" s="399"/>
      <c r="BT1763" s="394"/>
      <c r="BU1763" s="417"/>
      <c r="BV1763" s="399"/>
      <c r="BW1763" s="393" t="s">
        <v>3165</v>
      </c>
      <c r="BX1763" s="392"/>
      <c r="BY1763" s="393"/>
      <c r="BZ1763" s="393"/>
      <c r="CA1763" s="441"/>
      <c r="CB1763" s="400"/>
      <c r="CC1763" s="398"/>
      <c r="CD1763" s="398"/>
      <c r="CE1763" s="398"/>
      <c r="CF1763" s="398"/>
      <c r="CG1763" s="398"/>
      <c r="CH1763" s="398"/>
      <c r="CI1763" s="398"/>
      <c r="CJ1763" s="398"/>
      <c r="CK1763" s="398"/>
      <c r="CL1763" s="398">
        <v>23.58</v>
      </c>
      <c r="CM1763" s="398">
        <v>23.58</v>
      </c>
      <c r="CN1763" s="398">
        <v>23.58</v>
      </c>
      <c r="CO1763" s="398">
        <v>23.58</v>
      </c>
      <c r="CP1763" s="398">
        <v>23.58</v>
      </c>
      <c r="CQ1763" s="398">
        <v>23.58</v>
      </c>
      <c r="CR1763" s="398">
        <v>23.58</v>
      </c>
      <c r="CS1763" s="398"/>
      <c r="CT1763" s="398"/>
      <c r="CU1763" s="398"/>
      <c r="CV1763" s="398"/>
      <c r="CW1763" s="398"/>
      <c r="CX1763" s="398"/>
      <c r="CY1763" s="398"/>
      <c r="CZ1763" s="398"/>
      <c r="DA1763" s="398"/>
      <c r="DB1763" s="398"/>
      <c r="DC1763" s="398"/>
      <c r="DD1763" s="398"/>
      <c r="DE1763" s="393"/>
      <c r="DF1763" s="393"/>
      <c r="DG1763" s="393"/>
      <c r="DH1763" s="393"/>
      <c r="DI1763" s="393"/>
      <c r="DJ1763" s="393"/>
      <c r="DK1763" s="897"/>
    </row>
    <row r="1764" spans="1:115" ht="25.5" x14ac:dyDescent="0.2">
      <c r="A1764" s="295">
        <v>1760</v>
      </c>
      <c r="B1764" s="449" t="s">
        <v>9127</v>
      </c>
      <c r="C1764" s="390"/>
      <c r="D1764" s="474" t="s">
        <v>9128</v>
      </c>
      <c r="E1764" s="705" t="s">
        <v>9129</v>
      </c>
      <c r="F1764" s="393" t="s">
        <v>1375</v>
      </c>
      <c r="G1764" s="393" t="s">
        <v>998</v>
      </c>
      <c r="H1764" s="393" t="s">
        <v>1381</v>
      </c>
      <c r="I1764" s="392"/>
      <c r="J1764" s="392"/>
      <c r="K1764" s="392" t="s">
        <v>5627</v>
      </c>
      <c r="L1764" s="392" t="s">
        <v>6785</v>
      </c>
      <c r="M1764" s="392"/>
      <c r="N1764" s="393" t="s">
        <v>44</v>
      </c>
      <c r="O1764" s="393" t="s">
        <v>45</v>
      </c>
      <c r="P1764" s="393" t="s">
        <v>45</v>
      </c>
      <c r="Q1764" s="392" t="s">
        <v>307</v>
      </c>
      <c r="R1764" s="428" t="s">
        <v>9131</v>
      </c>
      <c r="S1764" s="392" t="s">
        <v>6787</v>
      </c>
      <c r="T1764" s="394">
        <v>1</v>
      </c>
      <c r="U1764" s="395">
        <v>70.224000000000004</v>
      </c>
      <c r="V1764" s="395"/>
      <c r="W1764" s="453"/>
      <c r="X1764" s="394"/>
      <c r="Y1764" s="394">
        <v>7</v>
      </c>
      <c r="Z1764" s="394">
        <v>21</v>
      </c>
      <c r="AA1764" s="395">
        <v>0</v>
      </c>
      <c r="AB1764" s="452">
        <v>42856</v>
      </c>
      <c r="AC1764" s="398"/>
      <c r="AD1764" s="398">
        <v>257.80865753424661</v>
      </c>
      <c r="AE1764" s="393" t="s">
        <v>225</v>
      </c>
      <c r="AF1764" s="417"/>
      <c r="AG1764" s="417"/>
      <c r="AH1764" s="417"/>
      <c r="AI1764" s="394"/>
      <c r="AJ1764" s="453"/>
      <c r="AK1764" s="453"/>
      <c r="AL1764" s="393"/>
      <c r="AM1764" s="393"/>
      <c r="AN1764" s="417"/>
      <c r="AO1764" s="392"/>
      <c r="AP1764" s="392" t="s">
        <v>7053</v>
      </c>
      <c r="AQ1764" s="392"/>
      <c r="AR1764" s="392" t="s">
        <v>274</v>
      </c>
      <c r="AS1764" s="479">
        <v>41997</v>
      </c>
      <c r="AT1764" s="453"/>
      <c r="AU1764" s="453"/>
      <c r="AV1764" s="453"/>
      <c r="AW1764" s="453"/>
      <c r="AX1764" s="453"/>
      <c r="AY1764" s="453"/>
      <c r="AZ1764" s="453">
        <v>42850</v>
      </c>
      <c r="BA1764" s="393"/>
      <c r="BB1764" s="393"/>
      <c r="BC1764" s="393" t="b">
        <v>0</v>
      </c>
      <c r="BD1764" s="393"/>
      <c r="BE1764" s="392"/>
      <c r="BF1764" s="394">
        <v>1</v>
      </c>
      <c r="BG1764" s="394">
        <v>4</v>
      </c>
      <c r="BH1764" s="394">
        <v>6</v>
      </c>
      <c r="BI1764" s="394">
        <v>8</v>
      </c>
      <c r="BJ1764" s="394"/>
      <c r="BK1764" s="394"/>
      <c r="BL1764" s="444" t="s">
        <v>6981</v>
      </c>
      <c r="BM1764" s="392"/>
      <c r="BN1764" s="393"/>
      <c r="BO1764" s="393"/>
      <c r="BP1764" s="399"/>
      <c r="BQ1764" s="400"/>
      <c r="BR1764" s="401"/>
      <c r="BS1764" s="399"/>
      <c r="BT1764" s="394"/>
      <c r="BU1764" s="417"/>
      <c r="BV1764" s="399"/>
      <c r="BW1764" s="393" t="s">
        <v>3165</v>
      </c>
      <c r="BX1764" s="392"/>
      <c r="BY1764" s="393"/>
      <c r="BZ1764" s="393"/>
      <c r="CA1764" s="441"/>
      <c r="CB1764" s="400"/>
      <c r="CC1764" s="398"/>
      <c r="CD1764" s="398"/>
      <c r="CE1764" s="398"/>
      <c r="CF1764" s="398"/>
      <c r="CG1764" s="398"/>
      <c r="CH1764" s="398"/>
      <c r="CI1764" s="398"/>
      <c r="CJ1764" s="398"/>
      <c r="CK1764" s="398"/>
      <c r="CL1764" s="398"/>
      <c r="CM1764" s="398">
        <v>16.283000000000001</v>
      </c>
      <c r="CN1764" s="398">
        <v>75.045000000000002</v>
      </c>
      <c r="CO1764" s="398">
        <v>75.045000000000002</v>
      </c>
      <c r="CP1764" s="398">
        <v>75.045000000000002</v>
      </c>
      <c r="CQ1764" s="398">
        <v>75.045000000000002</v>
      </c>
      <c r="CR1764" s="398">
        <v>75.045000000000002</v>
      </c>
      <c r="CS1764" s="398">
        <v>75.045000000000002</v>
      </c>
      <c r="CT1764" s="398">
        <v>25.015000000000001</v>
      </c>
      <c r="CU1764" s="398"/>
      <c r="CV1764" s="398"/>
      <c r="CW1764" s="398"/>
      <c r="CX1764" s="398"/>
      <c r="CY1764" s="398"/>
      <c r="CZ1764" s="398"/>
      <c r="DA1764" s="398"/>
      <c r="DB1764" s="398"/>
      <c r="DC1764" s="398"/>
      <c r="DD1764" s="398"/>
      <c r="DE1764" s="393"/>
      <c r="DF1764" s="393"/>
      <c r="DG1764" s="393"/>
      <c r="DH1764" s="393"/>
      <c r="DI1764" s="393"/>
      <c r="DJ1764" s="393"/>
      <c r="DK1764" s="897"/>
    </row>
    <row r="1765" spans="1:115" ht="76.5" x14ac:dyDescent="0.2">
      <c r="A1765" s="295">
        <v>1761</v>
      </c>
      <c r="B1765" s="390" t="s">
        <v>6790</v>
      </c>
      <c r="C1765" s="424" t="s">
        <v>7888</v>
      </c>
      <c r="D1765" s="531">
        <v>10285</v>
      </c>
      <c r="E1765" s="705" t="s">
        <v>6791</v>
      </c>
      <c r="F1765" s="393" t="s">
        <v>1375</v>
      </c>
      <c r="G1765" s="393" t="s">
        <v>998</v>
      </c>
      <c r="H1765" s="393" t="s">
        <v>1381</v>
      </c>
      <c r="I1765" s="392"/>
      <c r="J1765" s="392" t="s">
        <v>1381</v>
      </c>
      <c r="K1765" s="392"/>
      <c r="L1765" s="392" t="s">
        <v>6785</v>
      </c>
      <c r="M1765" s="392" t="s">
        <v>6792</v>
      </c>
      <c r="N1765" s="393" t="s">
        <v>44</v>
      </c>
      <c r="O1765" s="393" t="s">
        <v>827</v>
      </c>
      <c r="P1765" s="393" t="s">
        <v>51</v>
      </c>
      <c r="Q1765" s="392" t="s">
        <v>828</v>
      </c>
      <c r="R1765" s="392"/>
      <c r="S1765" s="428" t="s">
        <v>6793</v>
      </c>
      <c r="T1765" s="394">
        <v>3</v>
      </c>
      <c r="U1765" s="395">
        <v>63.289999999999992</v>
      </c>
      <c r="V1765" s="395"/>
      <c r="W1765" s="452">
        <v>41996</v>
      </c>
      <c r="X1765" s="394">
        <v>28</v>
      </c>
      <c r="Y1765" s="394"/>
      <c r="Z1765" s="394"/>
      <c r="AA1765" s="395"/>
      <c r="AB1765" s="453"/>
      <c r="AC1765" s="398">
        <v>0</v>
      </c>
      <c r="AD1765" s="398">
        <v>4060.6534164383561</v>
      </c>
      <c r="AE1765" s="393" t="s">
        <v>225</v>
      </c>
      <c r="AF1765" s="417"/>
      <c r="AG1765" s="417"/>
      <c r="AH1765" s="417">
        <v>0</v>
      </c>
      <c r="AI1765" s="394"/>
      <c r="AJ1765" s="453"/>
      <c r="AK1765" s="453"/>
      <c r="AL1765" s="393"/>
      <c r="AM1765" s="393"/>
      <c r="AN1765" s="417"/>
      <c r="AO1765" s="392"/>
      <c r="AP1765" s="392" t="s">
        <v>7053</v>
      </c>
      <c r="AQ1765" s="392"/>
      <c r="AR1765" s="392" t="s">
        <v>274</v>
      </c>
      <c r="AS1765" s="479">
        <v>41997</v>
      </c>
      <c r="AT1765" s="453"/>
      <c r="AU1765" s="453"/>
      <c r="AV1765" s="453">
        <v>42324</v>
      </c>
      <c r="AW1765" s="453">
        <v>42471</v>
      </c>
      <c r="AX1765" s="453">
        <v>42614</v>
      </c>
      <c r="AY1765" s="453">
        <v>42552</v>
      </c>
      <c r="AZ1765" s="453"/>
      <c r="BA1765" s="393"/>
      <c r="BB1765" s="393" t="s">
        <v>3116</v>
      </c>
      <c r="BC1765" s="393" t="b">
        <v>0</v>
      </c>
      <c r="BD1765" s="393" t="s">
        <v>3116</v>
      </c>
      <c r="BE1765" s="392"/>
      <c r="BF1765" s="394">
        <v>8</v>
      </c>
      <c r="BG1765" s="394">
        <v>9</v>
      </c>
      <c r="BH1765" s="394">
        <v>1</v>
      </c>
      <c r="BI1765" s="394">
        <v>7</v>
      </c>
      <c r="BJ1765" s="394"/>
      <c r="BK1765" s="394"/>
      <c r="BL1765" s="444" t="s">
        <v>6981</v>
      </c>
      <c r="BM1765" s="392"/>
      <c r="BN1765" s="393"/>
      <c r="BO1765" s="393"/>
      <c r="BP1765" s="399"/>
      <c r="BQ1765" s="400"/>
      <c r="BR1765" s="401"/>
      <c r="BS1765" s="399">
        <v>0</v>
      </c>
      <c r="BT1765" s="394"/>
      <c r="BU1765" s="417"/>
      <c r="BV1765" s="399"/>
      <c r="BW1765" s="393"/>
      <c r="BX1765" s="392"/>
      <c r="BY1765" s="393"/>
      <c r="BZ1765" s="393"/>
      <c r="CA1765" s="441"/>
      <c r="CB1765" s="400"/>
      <c r="CC1765" s="398"/>
      <c r="CD1765" s="398"/>
      <c r="CE1765" s="398"/>
      <c r="CF1765" s="398"/>
      <c r="CG1765" s="398"/>
      <c r="CH1765" s="398"/>
      <c r="CI1765" s="398"/>
      <c r="CJ1765" s="398"/>
      <c r="CK1765" s="398"/>
      <c r="CL1765" s="398"/>
      <c r="CM1765" s="398"/>
      <c r="CN1765" s="398"/>
      <c r="CO1765" s="398"/>
      <c r="CP1765" s="398"/>
      <c r="CQ1765" s="398"/>
      <c r="CR1765" s="398"/>
      <c r="CS1765" s="398"/>
      <c r="CT1765" s="398"/>
      <c r="CU1765" s="398"/>
      <c r="CV1765" s="398"/>
      <c r="CW1765" s="398"/>
      <c r="CX1765" s="398"/>
      <c r="CY1765" s="398"/>
      <c r="CZ1765" s="398"/>
      <c r="DA1765" s="398"/>
      <c r="DB1765" s="398"/>
      <c r="DC1765" s="398"/>
      <c r="DD1765" s="398"/>
      <c r="DE1765" s="393"/>
      <c r="DF1765" s="393"/>
      <c r="DG1765" s="393"/>
      <c r="DH1765" s="393"/>
      <c r="DI1765" s="393"/>
      <c r="DJ1765" s="393"/>
      <c r="DK1765" s="896" t="s">
        <v>9703</v>
      </c>
    </row>
    <row r="1766" spans="1:115" ht="25.5" x14ac:dyDescent="0.2">
      <c r="A1766" s="295">
        <v>1762</v>
      </c>
      <c r="B1766" s="390" t="s">
        <v>6794</v>
      </c>
      <c r="C1766" s="390"/>
      <c r="D1766" s="474" t="s">
        <v>8243</v>
      </c>
      <c r="E1766" s="704" t="s">
        <v>6795</v>
      </c>
      <c r="F1766" s="393" t="s">
        <v>1375</v>
      </c>
      <c r="G1766" s="393" t="s">
        <v>998</v>
      </c>
      <c r="H1766" s="393" t="s">
        <v>1381</v>
      </c>
      <c r="I1766" s="392"/>
      <c r="J1766" s="392"/>
      <c r="K1766" s="392" t="s">
        <v>5627</v>
      </c>
      <c r="L1766" s="392" t="s">
        <v>6785</v>
      </c>
      <c r="M1766" s="392"/>
      <c r="N1766" s="393" t="s">
        <v>44</v>
      </c>
      <c r="O1766" s="393" t="s">
        <v>827</v>
      </c>
      <c r="P1766" s="393" t="s">
        <v>51</v>
      </c>
      <c r="Q1766" s="392" t="s">
        <v>828</v>
      </c>
      <c r="R1766" s="392" t="s">
        <v>7263</v>
      </c>
      <c r="S1766" s="392" t="s">
        <v>6793</v>
      </c>
      <c r="T1766" s="394">
        <v>1</v>
      </c>
      <c r="U1766" s="395">
        <v>17.742999999999999</v>
      </c>
      <c r="V1766" s="395"/>
      <c r="W1766" s="453"/>
      <c r="X1766" s="394"/>
      <c r="Y1766" s="394">
        <v>7</v>
      </c>
      <c r="Z1766" s="394">
        <v>21</v>
      </c>
      <c r="AA1766" s="395">
        <v>-3.5489999999999999</v>
      </c>
      <c r="AB1766" s="452">
        <v>42552</v>
      </c>
      <c r="AC1766" s="398"/>
      <c r="AD1766" s="398">
        <v>79.916416438356165</v>
      </c>
      <c r="AE1766" s="393" t="s">
        <v>225</v>
      </c>
      <c r="AF1766" s="417"/>
      <c r="AG1766" s="417"/>
      <c r="AH1766" s="417"/>
      <c r="AI1766" s="394"/>
      <c r="AJ1766" s="453"/>
      <c r="AK1766" s="453"/>
      <c r="AL1766" s="393"/>
      <c r="AM1766" s="393"/>
      <c r="AN1766" s="417"/>
      <c r="AO1766" s="392"/>
      <c r="AP1766" s="392" t="s">
        <v>7053</v>
      </c>
      <c r="AQ1766" s="392"/>
      <c r="AR1766" s="392" t="s">
        <v>274</v>
      </c>
      <c r="AS1766" s="479">
        <v>41997</v>
      </c>
      <c r="AT1766" s="453"/>
      <c r="AU1766" s="453"/>
      <c r="AV1766" s="453"/>
      <c r="AW1766" s="453"/>
      <c r="AX1766" s="453"/>
      <c r="AY1766" s="453"/>
      <c r="AZ1766" s="453">
        <v>42552</v>
      </c>
      <c r="BA1766" s="393"/>
      <c r="BB1766" s="393"/>
      <c r="BC1766" s="393" t="b">
        <v>0</v>
      </c>
      <c r="BD1766" s="393"/>
      <c r="BE1766" s="392"/>
      <c r="BF1766" s="394">
        <v>8</v>
      </c>
      <c r="BG1766" s="394">
        <v>9</v>
      </c>
      <c r="BH1766" s="394">
        <v>1</v>
      </c>
      <c r="BI1766" s="394">
        <v>7</v>
      </c>
      <c r="BJ1766" s="394"/>
      <c r="BK1766" s="394"/>
      <c r="BL1766" s="444" t="s">
        <v>6981</v>
      </c>
      <c r="BM1766" s="392"/>
      <c r="BN1766" s="393"/>
      <c r="BO1766" s="393"/>
      <c r="BP1766" s="399"/>
      <c r="BQ1766" s="400"/>
      <c r="BR1766" s="401"/>
      <c r="BS1766" s="399"/>
      <c r="BT1766" s="394"/>
      <c r="BU1766" s="417"/>
      <c r="BV1766" s="399"/>
      <c r="BW1766" s="393" t="s">
        <v>3165</v>
      </c>
      <c r="BX1766" s="392"/>
      <c r="BY1766" s="393"/>
      <c r="BZ1766" s="393"/>
      <c r="CA1766" s="441"/>
      <c r="CB1766" s="400"/>
      <c r="CC1766" s="398"/>
      <c r="CD1766" s="398"/>
      <c r="CE1766" s="398"/>
      <c r="CF1766" s="398"/>
      <c r="CG1766" s="398"/>
      <c r="CH1766" s="398"/>
      <c r="CI1766" s="398"/>
      <c r="CJ1766" s="398"/>
      <c r="CK1766" s="398">
        <v>36.799999999999997</v>
      </c>
      <c r="CL1766" s="398">
        <v>36.799999999999997</v>
      </c>
      <c r="CM1766" s="398">
        <v>31.28</v>
      </c>
      <c r="CN1766" s="398">
        <v>25.76</v>
      </c>
      <c r="CO1766" s="398">
        <v>25.76</v>
      </c>
      <c r="CP1766" s="398">
        <v>25.76</v>
      </c>
      <c r="CQ1766" s="398">
        <v>12.88</v>
      </c>
      <c r="CR1766" s="398"/>
      <c r="CS1766" s="398"/>
      <c r="CT1766" s="398"/>
      <c r="CU1766" s="398"/>
      <c r="CV1766" s="398"/>
      <c r="CW1766" s="398"/>
      <c r="CX1766" s="398"/>
      <c r="CY1766" s="398"/>
      <c r="CZ1766" s="398"/>
      <c r="DA1766" s="398"/>
      <c r="DB1766" s="398"/>
      <c r="DC1766" s="398"/>
      <c r="DD1766" s="398"/>
      <c r="DE1766" s="393"/>
      <c r="DF1766" s="393"/>
      <c r="DG1766" s="393"/>
      <c r="DH1766" s="393"/>
      <c r="DI1766" s="393"/>
      <c r="DJ1766" s="393"/>
      <c r="DK1766" s="897"/>
    </row>
    <row r="1767" spans="1:115" ht="25.5" x14ac:dyDescent="0.2">
      <c r="A1767" s="295">
        <v>1763</v>
      </c>
      <c r="B1767" s="449" t="s">
        <v>9377</v>
      </c>
      <c r="C1767" s="390"/>
      <c r="D1767" s="474" t="s">
        <v>9374</v>
      </c>
      <c r="E1767" s="705" t="s">
        <v>9397</v>
      </c>
      <c r="F1767" s="393" t="s">
        <v>1375</v>
      </c>
      <c r="G1767" s="393" t="s">
        <v>998</v>
      </c>
      <c r="H1767" s="393" t="s">
        <v>1381</v>
      </c>
      <c r="I1767" s="392"/>
      <c r="J1767" s="392"/>
      <c r="K1767" s="428" t="s">
        <v>5627</v>
      </c>
      <c r="L1767" s="428" t="s">
        <v>6785</v>
      </c>
      <c r="M1767" s="392"/>
      <c r="N1767" s="475" t="s">
        <v>44</v>
      </c>
      <c r="O1767" s="393" t="s">
        <v>827</v>
      </c>
      <c r="P1767" s="393" t="s">
        <v>51</v>
      </c>
      <c r="Q1767" s="392" t="s">
        <v>828</v>
      </c>
      <c r="R1767" s="428" t="s">
        <v>9398</v>
      </c>
      <c r="S1767" s="392" t="s">
        <v>6793</v>
      </c>
      <c r="T1767" s="394">
        <v>1</v>
      </c>
      <c r="U1767" s="395">
        <v>13.003</v>
      </c>
      <c r="V1767" s="395"/>
      <c r="W1767" s="453"/>
      <c r="X1767" s="394"/>
      <c r="Y1767" s="394">
        <v>7</v>
      </c>
      <c r="Z1767" s="394">
        <v>21</v>
      </c>
      <c r="AA1767" s="395"/>
      <c r="AB1767" s="452">
        <v>43069</v>
      </c>
      <c r="AC1767" s="398"/>
      <c r="AD1767" s="398">
        <v>40.148989041095888</v>
      </c>
      <c r="AE1767" s="475" t="s">
        <v>225</v>
      </c>
      <c r="AF1767" s="417"/>
      <c r="AG1767" s="417"/>
      <c r="AH1767" s="417"/>
      <c r="AI1767" s="394"/>
      <c r="AJ1767" s="453"/>
      <c r="AK1767" s="453"/>
      <c r="AL1767" s="393"/>
      <c r="AM1767" s="393"/>
      <c r="AN1767" s="417"/>
      <c r="AO1767" s="392"/>
      <c r="AP1767" s="428" t="s">
        <v>7053</v>
      </c>
      <c r="AQ1767" s="392"/>
      <c r="AR1767" s="428" t="s">
        <v>274</v>
      </c>
      <c r="AS1767" s="479">
        <v>41997</v>
      </c>
      <c r="AT1767" s="453"/>
      <c r="AU1767" s="453"/>
      <c r="AV1767" s="453"/>
      <c r="AW1767" s="453"/>
      <c r="AX1767" s="453"/>
      <c r="AY1767" s="453"/>
      <c r="AZ1767" s="453">
        <v>43069</v>
      </c>
      <c r="BA1767" s="393"/>
      <c r="BB1767" s="393"/>
      <c r="BC1767" s="393" t="b">
        <v>0</v>
      </c>
      <c r="BD1767" s="393"/>
      <c r="BE1767" s="392"/>
      <c r="BF1767" s="394">
        <v>8</v>
      </c>
      <c r="BG1767" s="394">
        <v>9</v>
      </c>
      <c r="BH1767" s="394">
        <v>1</v>
      </c>
      <c r="BI1767" s="394">
        <v>7</v>
      </c>
      <c r="BJ1767" s="394"/>
      <c r="BK1767" s="394"/>
      <c r="BL1767" s="444" t="s">
        <v>6981</v>
      </c>
      <c r="BM1767" s="392"/>
      <c r="BN1767" s="393"/>
      <c r="BO1767" s="393"/>
      <c r="BP1767" s="399"/>
      <c r="BQ1767" s="400"/>
      <c r="BR1767" s="401"/>
      <c r="BS1767" s="399"/>
      <c r="BT1767" s="394"/>
      <c r="BU1767" s="417"/>
      <c r="BV1767" s="399"/>
      <c r="BW1767" s="475" t="s">
        <v>3165</v>
      </c>
      <c r="BX1767" s="392"/>
      <c r="BY1767" s="393"/>
      <c r="BZ1767" s="393"/>
      <c r="CA1767" s="441"/>
      <c r="CB1767" s="400"/>
      <c r="CC1767" s="398"/>
      <c r="CD1767" s="398"/>
      <c r="CE1767" s="398"/>
      <c r="CF1767" s="398"/>
      <c r="CG1767" s="398"/>
      <c r="CH1767" s="398"/>
      <c r="CI1767" s="398"/>
      <c r="CJ1767" s="398"/>
      <c r="CK1767" s="398"/>
      <c r="CL1767" s="398"/>
      <c r="CM1767" s="398">
        <v>4.335</v>
      </c>
      <c r="CN1767" s="398">
        <v>13.003</v>
      </c>
      <c r="CO1767" s="398">
        <v>13.003</v>
      </c>
      <c r="CP1767" s="398">
        <v>13.003</v>
      </c>
      <c r="CQ1767" s="398">
        <v>13.003</v>
      </c>
      <c r="CR1767" s="398">
        <v>13.003</v>
      </c>
      <c r="CS1767" s="398">
        <v>13.003</v>
      </c>
      <c r="CT1767" s="398">
        <v>8.6690000000000005</v>
      </c>
      <c r="CU1767" s="398"/>
      <c r="CV1767" s="398"/>
      <c r="CW1767" s="398"/>
      <c r="CX1767" s="398"/>
      <c r="CY1767" s="398"/>
      <c r="CZ1767" s="398"/>
      <c r="DA1767" s="398"/>
      <c r="DB1767" s="398"/>
      <c r="DC1767" s="398"/>
      <c r="DD1767" s="398"/>
      <c r="DE1767" s="393"/>
      <c r="DF1767" s="393"/>
      <c r="DG1767" s="393"/>
      <c r="DH1767" s="393"/>
      <c r="DI1767" s="393"/>
      <c r="DJ1767" s="393"/>
      <c r="DK1767" s="897"/>
    </row>
    <row r="1768" spans="1:115" ht="25.5" x14ac:dyDescent="0.2">
      <c r="A1768" s="295">
        <v>1764</v>
      </c>
      <c r="B1768" s="390" t="s">
        <v>9440</v>
      </c>
      <c r="C1768" s="390"/>
      <c r="D1768" s="474" t="s">
        <v>9441</v>
      </c>
      <c r="E1768" s="705" t="s">
        <v>9442</v>
      </c>
      <c r="F1768" s="393" t="s">
        <v>1375</v>
      </c>
      <c r="G1768" s="393" t="s">
        <v>998</v>
      </c>
      <c r="H1768" s="393" t="s">
        <v>1381</v>
      </c>
      <c r="I1768" s="392"/>
      <c r="J1768" s="392"/>
      <c r="K1768" s="428" t="s">
        <v>5627</v>
      </c>
      <c r="L1768" s="428" t="s">
        <v>6785</v>
      </c>
      <c r="M1768" s="392"/>
      <c r="N1768" s="475" t="s">
        <v>44</v>
      </c>
      <c r="O1768" s="393" t="s">
        <v>827</v>
      </c>
      <c r="P1768" s="393" t="s">
        <v>51</v>
      </c>
      <c r="Q1768" s="392" t="s">
        <v>828</v>
      </c>
      <c r="R1768" s="428" t="s">
        <v>9443</v>
      </c>
      <c r="S1768" s="428" t="s">
        <v>6793</v>
      </c>
      <c r="T1768" s="394">
        <v>1</v>
      </c>
      <c r="U1768" s="395">
        <v>32.543999999999997</v>
      </c>
      <c r="V1768" s="395"/>
      <c r="W1768" s="453"/>
      <c r="X1768" s="394"/>
      <c r="Y1768" s="394">
        <v>7</v>
      </c>
      <c r="Z1768" s="394">
        <v>21</v>
      </c>
      <c r="AA1768" s="395"/>
      <c r="AB1768" s="452"/>
      <c r="AC1768" s="398"/>
      <c r="AD1768" s="398">
        <v>3940.5880109589039</v>
      </c>
      <c r="AE1768" s="475" t="s">
        <v>225</v>
      </c>
      <c r="AF1768" s="417"/>
      <c r="AG1768" s="417"/>
      <c r="AH1768" s="417"/>
      <c r="AI1768" s="394"/>
      <c r="AJ1768" s="453"/>
      <c r="AK1768" s="453"/>
      <c r="AL1768" s="393"/>
      <c r="AM1768" s="393"/>
      <c r="AN1768" s="417"/>
      <c r="AO1768" s="392"/>
      <c r="AP1768" s="428" t="s">
        <v>7053</v>
      </c>
      <c r="AQ1768" s="392"/>
      <c r="AR1768" s="428" t="s">
        <v>274</v>
      </c>
      <c r="AS1768" s="479">
        <v>41997</v>
      </c>
      <c r="AT1768" s="453"/>
      <c r="AU1768" s="453"/>
      <c r="AV1768" s="453"/>
      <c r="AW1768" s="453"/>
      <c r="AX1768" s="453"/>
      <c r="AY1768" s="453"/>
      <c r="AZ1768" s="453">
        <v>43132</v>
      </c>
      <c r="BA1768" s="393"/>
      <c r="BB1768" s="393"/>
      <c r="BC1768" s="393" t="b">
        <v>0</v>
      </c>
      <c r="BD1768" s="393"/>
      <c r="BE1768" s="392"/>
      <c r="BF1768" s="394">
        <v>8</v>
      </c>
      <c r="BG1768" s="394">
        <v>9</v>
      </c>
      <c r="BH1768" s="394">
        <v>1</v>
      </c>
      <c r="BI1768" s="394">
        <v>7</v>
      </c>
      <c r="BJ1768" s="394"/>
      <c r="BK1768" s="394"/>
      <c r="BL1768" s="444" t="s">
        <v>6981</v>
      </c>
      <c r="BM1768" s="392"/>
      <c r="BN1768" s="393"/>
      <c r="BO1768" s="393"/>
      <c r="BP1768" s="399"/>
      <c r="BQ1768" s="400"/>
      <c r="BR1768" s="401"/>
      <c r="BS1768" s="399"/>
      <c r="BT1768" s="394"/>
      <c r="BU1768" s="417"/>
      <c r="BV1768" s="399"/>
      <c r="BW1768" s="475" t="s">
        <v>3165</v>
      </c>
      <c r="BX1768" s="392"/>
      <c r="BY1768" s="393"/>
      <c r="BZ1768" s="393"/>
      <c r="CA1768" s="441"/>
      <c r="CB1768" s="400"/>
      <c r="CC1768" s="398"/>
      <c r="CD1768" s="398"/>
      <c r="CE1768" s="398"/>
      <c r="CF1768" s="398"/>
      <c r="CG1768" s="398"/>
      <c r="CH1768" s="398"/>
      <c r="CI1768" s="398"/>
      <c r="CJ1768" s="398"/>
      <c r="CK1768" s="398"/>
      <c r="CL1768" s="398"/>
      <c r="CM1768" s="398"/>
      <c r="CN1768" s="398">
        <v>20.9</v>
      </c>
      <c r="CO1768" s="398">
        <v>41.8</v>
      </c>
      <c r="CP1768" s="398">
        <v>41.8</v>
      </c>
      <c r="CQ1768" s="398">
        <v>35.53</v>
      </c>
      <c r="CR1768" s="398">
        <v>29.26</v>
      </c>
      <c r="CS1768" s="398">
        <v>29.26</v>
      </c>
      <c r="CT1768" s="398">
        <v>29.26</v>
      </c>
      <c r="CU1768" s="398"/>
      <c r="CV1768" s="398"/>
      <c r="CW1768" s="398"/>
      <c r="CX1768" s="398"/>
      <c r="CY1768" s="398"/>
      <c r="CZ1768" s="398"/>
      <c r="DA1768" s="398"/>
      <c r="DB1768" s="398"/>
      <c r="DC1768" s="398"/>
      <c r="DD1768" s="398"/>
      <c r="DE1768" s="393"/>
      <c r="DF1768" s="393"/>
      <c r="DG1768" s="393"/>
      <c r="DH1768" s="393"/>
      <c r="DI1768" s="393"/>
      <c r="DJ1768" s="393"/>
      <c r="DK1768" s="897"/>
    </row>
    <row r="1769" spans="1:115" ht="51" x14ac:dyDescent="0.2">
      <c r="A1769" s="295">
        <v>1765</v>
      </c>
      <c r="B1769" s="390" t="s">
        <v>6865</v>
      </c>
      <c r="C1769" s="424" t="s">
        <v>7889</v>
      </c>
      <c r="D1769" s="531">
        <v>10266</v>
      </c>
      <c r="E1769" s="704" t="s">
        <v>6933</v>
      </c>
      <c r="F1769" s="393" t="s">
        <v>1352</v>
      </c>
      <c r="G1769" s="393" t="s">
        <v>1672</v>
      </c>
      <c r="H1769" s="393" t="s">
        <v>1354</v>
      </c>
      <c r="I1769" s="392"/>
      <c r="J1769" s="392" t="s">
        <v>1354</v>
      </c>
      <c r="K1769" s="392"/>
      <c r="L1769" s="392" t="s">
        <v>6866</v>
      </c>
      <c r="M1769" s="392" t="s">
        <v>6867</v>
      </c>
      <c r="N1769" s="393" t="s">
        <v>44</v>
      </c>
      <c r="O1769" s="393" t="s">
        <v>45</v>
      </c>
      <c r="P1769" s="393" t="s">
        <v>45</v>
      </c>
      <c r="Q1769" s="392" t="s">
        <v>1212</v>
      </c>
      <c r="R1769" s="392"/>
      <c r="S1769" s="392" t="s">
        <v>6868</v>
      </c>
      <c r="T1769" s="394">
        <v>1</v>
      </c>
      <c r="U1769" s="395">
        <v>0.54900000000000004</v>
      </c>
      <c r="V1769" s="395"/>
      <c r="W1769" s="452">
        <v>41547</v>
      </c>
      <c r="X1769" s="394">
        <v>28</v>
      </c>
      <c r="Y1769" s="394"/>
      <c r="Z1769" s="394"/>
      <c r="AA1769" s="395"/>
      <c r="AB1769" s="453"/>
      <c r="AC1769" s="398">
        <v>0</v>
      </c>
      <c r="AD1769" s="398">
        <v>5.49</v>
      </c>
      <c r="AE1769" s="393" t="s">
        <v>96</v>
      </c>
      <c r="AF1769" s="417"/>
      <c r="AG1769" s="417"/>
      <c r="AH1769" s="417">
        <v>0</v>
      </c>
      <c r="AI1769" s="394"/>
      <c r="AJ1769" s="453"/>
      <c r="AK1769" s="453"/>
      <c r="AL1769" s="393"/>
      <c r="AM1769" s="393"/>
      <c r="AN1769" s="417"/>
      <c r="AO1769" s="392"/>
      <c r="AP1769" s="392" t="s">
        <v>55</v>
      </c>
      <c r="AQ1769" s="392"/>
      <c r="AR1769" s="392" t="s">
        <v>6869</v>
      </c>
      <c r="AS1769" s="479">
        <v>42010</v>
      </c>
      <c r="AT1769" s="453"/>
      <c r="AU1769" s="453"/>
      <c r="AV1769" s="453">
        <v>42429</v>
      </c>
      <c r="AW1769" s="453">
        <v>42443</v>
      </c>
      <c r="AX1769" s="453">
        <v>42510</v>
      </c>
      <c r="AY1769" s="453">
        <v>42443</v>
      </c>
      <c r="AZ1769" s="453"/>
      <c r="BA1769" s="393"/>
      <c r="BB1769" s="393" t="s">
        <v>3147</v>
      </c>
      <c r="BC1769" s="393" t="b">
        <v>0</v>
      </c>
      <c r="BD1769" s="393" t="s">
        <v>3147</v>
      </c>
      <c r="BE1769" s="392"/>
      <c r="BF1769" s="394">
        <v>1</v>
      </c>
      <c r="BG1769" s="394">
        <v>2</v>
      </c>
      <c r="BH1769" s="394">
        <v>10</v>
      </c>
      <c r="BI1769" s="394">
        <v>9</v>
      </c>
      <c r="BJ1769" s="394">
        <v>5</v>
      </c>
      <c r="BK1769" s="394"/>
      <c r="BL1769" s="444" t="s">
        <v>6981</v>
      </c>
      <c r="BM1769" s="392"/>
      <c r="BN1769" s="393"/>
      <c r="BO1769" s="393"/>
      <c r="BP1769" s="399"/>
      <c r="BQ1769" s="400"/>
      <c r="BR1769" s="401"/>
      <c r="BS1769" s="399">
        <v>0.36</v>
      </c>
      <c r="BT1769" s="394"/>
      <c r="BU1769" s="417"/>
      <c r="BV1769" s="399"/>
      <c r="BW1769" s="393"/>
      <c r="BX1769" s="392"/>
      <c r="BY1769" s="393"/>
      <c r="BZ1769" s="393"/>
      <c r="CA1769" s="441"/>
      <c r="CB1769" s="400"/>
      <c r="CC1769" s="398"/>
      <c r="CD1769" s="398"/>
      <c r="CE1769" s="398"/>
      <c r="CF1769" s="398"/>
      <c r="CG1769" s="398"/>
      <c r="CH1769" s="398"/>
      <c r="CI1769" s="398"/>
      <c r="CJ1769" s="398"/>
      <c r="CK1769" s="398"/>
      <c r="CL1769" s="398"/>
      <c r="CM1769" s="398"/>
      <c r="CN1769" s="398"/>
      <c r="CO1769" s="398"/>
      <c r="CP1769" s="398"/>
      <c r="CQ1769" s="398"/>
      <c r="CR1769" s="398"/>
      <c r="CS1769" s="398"/>
      <c r="CT1769" s="398"/>
      <c r="CU1769" s="398"/>
      <c r="CV1769" s="398"/>
      <c r="CW1769" s="398"/>
      <c r="CX1769" s="398"/>
      <c r="CY1769" s="398"/>
      <c r="CZ1769" s="398"/>
      <c r="DA1769" s="398"/>
      <c r="DB1769" s="398"/>
      <c r="DC1769" s="398"/>
      <c r="DD1769" s="398"/>
      <c r="DE1769" s="393"/>
      <c r="DF1769" s="393"/>
      <c r="DG1769" s="393"/>
      <c r="DH1769" s="393"/>
      <c r="DI1769" s="393"/>
      <c r="DJ1769" s="393"/>
      <c r="DK1769" s="896" t="s">
        <v>9757</v>
      </c>
    </row>
    <row r="1770" spans="1:115" ht="38.25" x14ac:dyDescent="0.2">
      <c r="A1770" s="295">
        <v>1766</v>
      </c>
      <c r="B1770" s="390" t="s">
        <v>6870</v>
      </c>
      <c r="C1770" s="390"/>
      <c r="D1770" s="532" t="s">
        <v>8130</v>
      </c>
      <c r="E1770" s="705" t="s">
        <v>6873</v>
      </c>
      <c r="F1770" s="393" t="s">
        <v>1352</v>
      </c>
      <c r="G1770" s="393" t="s">
        <v>1672</v>
      </c>
      <c r="H1770" s="393" t="s">
        <v>1354</v>
      </c>
      <c r="I1770" s="392"/>
      <c r="J1770" s="392"/>
      <c r="K1770" s="392" t="s">
        <v>6871</v>
      </c>
      <c r="L1770" s="392" t="s">
        <v>6866</v>
      </c>
      <c r="M1770" s="392"/>
      <c r="N1770" s="393" t="s">
        <v>44</v>
      </c>
      <c r="O1770" s="393" t="s">
        <v>45</v>
      </c>
      <c r="P1770" s="393" t="s">
        <v>45</v>
      </c>
      <c r="Q1770" s="392" t="s">
        <v>1212</v>
      </c>
      <c r="R1770" s="392" t="s">
        <v>6872</v>
      </c>
      <c r="S1770" s="392" t="s">
        <v>6868</v>
      </c>
      <c r="T1770" s="394">
        <v>1</v>
      </c>
      <c r="U1770" s="395">
        <v>0.54900000000000004</v>
      </c>
      <c r="V1770" s="395"/>
      <c r="W1770" s="453"/>
      <c r="X1770" s="394"/>
      <c r="Y1770" s="394">
        <v>10</v>
      </c>
      <c r="Z1770" s="394">
        <v>10</v>
      </c>
      <c r="AA1770" s="395">
        <v>0</v>
      </c>
      <c r="AB1770" s="452">
        <v>42443</v>
      </c>
      <c r="AC1770" s="398"/>
      <c r="AD1770" s="398">
        <v>5.49</v>
      </c>
      <c r="AE1770" s="393" t="s">
        <v>96</v>
      </c>
      <c r="AF1770" s="417"/>
      <c r="AG1770" s="417"/>
      <c r="AH1770" s="417"/>
      <c r="AI1770" s="394"/>
      <c r="AJ1770" s="453"/>
      <c r="AK1770" s="453"/>
      <c r="AL1770" s="393"/>
      <c r="AM1770" s="393"/>
      <c r="AN1770" s="417"/>
      <c r="AO1770" s="392"/>
      <c r="AP1770" s="392" t="s">
        <v>55</v>
      </c>
      <c r="AQ1770" s="392"/>
      <c r="AR1770" s="392" t="s">
        <v>6869</v>
      </c>
      <c r="AS1770" s="479">
        <v>42010</v>
      </c>
      <c r="AT1770" s="453"/>
      <c r="AU1770" s="453"/>
      <c r="AV1770" s="453"/>
      <c r="AW1770" s="453"/>
      <c r="AX1770" s="453"/>
      <c r="AY1770" s="453"/>
      <c r="AZ1770" s="453"/>
      <c r="BA1770" s="393"/>
      <c r="BB1770" s="393"/>
      <c r="BC1770" s="393" t="b">
        <v>0</v>
      </c>
      <c r="BD1770" s="393"/>
      <c r="BE1770" s="392"/>
      <c r="BF1770" s="394">
        <v>1</v>
      </c>
      <c r="BG1770" s="394">
        <v>2</v>
      </c>
      <c r="BH1770" s="394">
        <v>10</v>
      </c>
      <c r="BI1770" s="394">
        <v>9</v>
      </c>
      <c r="BJ1770" s="394">
        <v>5</v>
      </c>
      <c r="BK1770" s="394"/>
      <c r="BL1770" s="444" t="s">
        <v>6981</v>
      </c>
      <c r="BM1770" s="392"/>
      <c r="BN1770" s="393"/>
      <c r="BO1770" s="393"/>
      <c r="BP1770" s="399"/>
      <c r="BQ1770" s="400"/>
      <c r="BR1770" s="401"/>
      <c r="BS1770" s="399">
        <v>0.36</v>
      </c>
      <c r="BT1770" s="394"/>
      <c r="BU1770" s="417"/>
      <c r="BV1770" s="399"/>
      <c r="BW1770" s="393" t="s">
        <v>3165</v>
      </c>
      <c r="BX1770" s="392"/>
      <c r="BY1770" s="393"/>
      <c r="BZ1770" s="393"/>
      <c r="CA1770" s="441"/>
      <c r="CB1770" s="400"/>
      <c r="CC1770" s="398"/>
      <c r="CD1770" s="398"/>
      <c r="CE1770" s="398"/>
      <c r="CF1770" s="398"/>
      <c r="CG1770" s="398"/>
      <c r="CH1770" s="398"/>
      <c r="CI1770" s="398"/>
      <c r="CJ1770" s="398"/>
      <c r="CK1770" s="398"/>
      <c r="CL1770" s="395">
        <f>0.549/2</f>
        <v>0.27450000000000002</v>
      </c>
      <c r="CM1770" s="395">
        <v>0.54900000000000004</v>
      </c>
      <c r="CN1770" s="395">
        <v>0.54900000000000004</v>
      </c>
      <c r="CO1770" s="395">
        <v>0.54900000000000004</v>
      </c>
      <c r="CP1770" s="395">
        <v>0.54900000000000004</v>
      </c>
      <c r="CQ1770" s="395">
        <v>0.54900000000000004</v>
      </c>
      <c r="CR1770" s="395">
        <v>0.54900000000000004</v>
      </c>
      <c r="CS1770" s="395">
        <f>0.549/2</f>
        <v>0.27450000000000002</v>
      </c>
      <c r="CT1770" s="398"/>
      <c r="CU1770" s="398"/>
      <c r="CV1770" s="398"/>
      <c r="CW1770" s="398"/>
      <c r="CX1770" s="398"/>
      <c r="CY1770" s="398"/>
      <c r="CZ1770" s="398"/>
      <c r="DA1770" s="398"/>
      <c r="DB1770" s="398"/>
      <c r="DC1770" s="398"/>
      <c r="DD1770" s="398"/>
      <c r="DE1770" s="393"/>
      <c r="DF1770" s="393"/>
      <c r="DG1770" s="393"/>
      <c r="DH1770" s="393"/>
      <c r="DI1770" s="393"/>
      <c r="DJ1770" s="393"/>
      <c r="DK1770" s="897"/>
    </row>
    <row r="1771" spans="1:115" ht="25.5" x14ac:dyDescent="0.2">
      <c r="A1771" s="295">
        <v>1767</v>
      </c>
      <c r="B1771" s="390" t="s">
        <v>7138</v>
      </c>
      <c r="C1771" s="424" t="s">
        <v>7895</v>
      </c>
      <c r="D1771" s="391"/>
      <c r="E1771" s="708" t="s">
        <v>7139</v>
      </c>
      <c r="F1771" s="404" t="s">
        <v>1375</v>
      </c>
      <c r="G1771" s="459" t="s">
        <v>1668</v>
      </c>
      <c r="H1771" s="404" t="s">
        <v>1378</v>
      </c>
      <c r="I1771" s="403"/>
      <c r="J1771" s="403" t="s">
        <v>1378</v>
      </c>
      <c r="K1771" s="403"/>
      <c r="L1771" s="403" t="s">
        <v>7140</v>
      </c>
      <c r="M1771" s="403" t="s">
        <v>7141</v>
      </c>
      <c r="N1771" s="404" t="s">
        <v>2412</v>
      </c>
      <c r="O1771" s="404" t="s">
        <v>5491</v>
      </c>
      <c r="P1771" s="404" t="s">
        <v>5491</v>
      </c>
      <c r="Q1771" s="403" t="s">
        <v>5491</v>
      </c>
      <c r="R1771" s="403"/>
      <c r="S1771" s="403" t="s">
        <v>2074</v>
      </c>
      <c r="T1771" s="405"/>
      <c r="U1771" s="406"/>
      <c r="V1771" s="406"/>
      <c r="W1771" s="456">
        <v>42370</v>
      </c>
      <c r="X1771" s="405">
        <v>28</v>
      </c>
      <c r="Y1771" s="405"/>
      <c r="Z1771" s="405"/>
      <c r="AA1771" s="406"/>
      <c r="AB1771" s="455"/>
      <c r="AC1771" s="407"/>
      <c r="AD1771" s="407"/>
      <c r="AE1771" s="404" t="s">
        <v>133</v>
      </c>
      <c r="AF1771" s="418"/>
      <c r="AG1771" s="418"/>
      <c r="AH1771" s="418"/>
      <c r="AI1771" s="405"/>
      <c r="AJ1771" s="455"/>
      <c r="AK1771" s="455"/>
      <c r="AL1771" s="404"/>
      <c r="AM1771" s="404"/>
      <c r="AN1771" s="418"/>
      <c r="AO1771" s="403"/>
      <c r="AP1771" s="403" t="s">
        <v>55</v>
      </c>
      <c r="AQ1771" s="403"/>
      <c r="AR1771" s="403" t="s">
        <v>7142</v>
      </c>
      <c r="AS1771" s="482">
        <v>42150</v>
      </c>
      <c r="AT1771" s="487">
        <v>42301</v>
      </c>
      <c r="AU1771" s="455"/>
      <c r="AV1771" s="455"/>
      <c r="AW1771" s="455"/>
      <c r="AX1771" s="455"/>
      <c r="AY1771" s="455"/>
      <c r="AZ1771" s="455"/>
      <c r="BA1771" s="404"/>
      <c r="BB1771" s="404" t="s">
        <v>3147</v>
      </c>
      <c r="BC1771" s="404" t="b">
        <v>0</v>
      </c>
      <c r="BD1771" s="404" t="s">
        <v>3116</v>
      </c>
      <c r="BE1771" s="403"/>
      <c r="BF1771" s="405">
        <v>5</v>
      </c>
      <c r="BG1771" s="405">
        <v>6</v>
      </c>
      <c r="BH1771" s="405">
        <v>7</v>
      </c>
      <c r="BI1771" s="405">
        <v>9</v>
      </c>
      <c r="BJ1771" s="405">
        <v>8</v>
      </c>
      <c r="BK1771" s="405">
        <v>10</v>
      </c>
      <c r="BL1771" s="446" t="s">
        <v>6982</v>
      </c>
      <c r="BM1771" s="403"/>
      <c r="BN1771" s="404"/>
      <c r="BO1771" s="404"/>
      <c r="BP1771" s="408"/>
      <c r="BQ1771" s="409"/>
      <c r="BR1771" s="410"/>
      <c r="BS1771" s="408"/>
      <c r="BT1771" s="405"/>
      <c r="BU1771" s="418"/>
      <c r="BV1771" s="408"/>
      <c r="BW1771" s="404"/>
      <c r="BX1771" s="403"/>
      <c r="BY1771" s="404"/>
      <c r="BZ1771" s="404"/>
      <c r="CA1771" s="443"/>
      <c r="CB1771" s="409"/>
      <c r="CC1771" s="407"/>
      <c r="CD1771" s="407"/>
      <c r="CE1771" s="407"/>
      <c r="CF1771" s="407"/>
      <c r="CG1771" s="407"/>
      <c r="CH1771" s="407"/>
      <c r="CI1771" s="407"/>
      <c r="CJ1771" s="407"/>
      <c r="CK1771" s="407"/>
      <c r="CL1771" s="407"/>
      <c r="CM1771" s="407"/>
      <c r="CN1771" s="407"/>
      <c r="CO1771" s="407"/>
      <c r="CP1771" s="407"/>
      <c r="CQ1771" s="407"/>
      <c r="CR1771" s="407"/>
      <c r="CS1771" s="407"/>
      <c r="CT1771" s="407"/>
      <c r="CU1771" s="407"/>
      <c r="CV1771" s="407"/>
      <c r="CW1771" s="407"/>
      <c r="CX1771" s="407"/>
      <c r="CY1771" s="407"/>
      <c r="CZ1771" s="407"/>
      <c r="DA1771" s="407"/>
      <c r="DB1771" s="407"/>
      <c r="DC1771" s="407"/>
      <c r="DD1771" s="407"/>
      <c r="DE1771" s="404"/>
      <c r="DF1771" s="404"/>
      <c r="DG1771" s="404"/>
      <c r="DH1771" s="404"/>
      <c r="DI1771" s="404"/>
      <c r="DJ1771" s="404"/>
      <c r="DK1771" s="897"/>
    </row>
    <row r="1772" spans="1:115" ht="25.5" x14ac:dyDescent="0.2">
      <c r="A1772" s="295">
        <v>1768</v>
      </c>
      <c r="B1772" s="390" t="s">
        <v>7143</v>
      </c>
      <c r="C1772" s="840"/>
      <c r="D1772" s="391"/>
      <c r="E1772" s="708" t="s">
        <v>7144</v>
      </c>
      <c r="F1772" s="404" t="s">
        <v>1375</v>
      </c>
      <c r="G1772" s="459" t="s">
        <v>1668</v>
      </c>
      <c r="H1772" s="404" t="s">
        <v>1378</v>
      </c>
      <c r="I1772" s="403"/>
      <c r="J1772" s="403"/>
      <c r="K1772" s="403" t="s">
        <v>7145</v>
      </c>
      <c r="L1772" s="403" t="s">
        <v>7140</v>
      </c>
      <c r="M1772" s="403"/>
      <c r="N1772" s="404" t="s">
        <v>2412</v>
      </c>
      <c r="O1772" s="404" t="s">
        <v>289</v>
      </c>
      <c r="P1772" s="404" t="s">
        <v>289</v>
      </c>
      <c r="Q1772" s="403" t="s">
        <v>290</v>
      </c>
      <c r="R1772" s="403" t="s">
        <v>7146</v>
      </c>
      <c r="S1772" s="403" t="s">
        <v>2074</v>
      </c>
      <c r="T1772" s="405">
        <v>1</v>
      </c>
      <c r="U1772" s="406">
        <v>71.28</v>
      </c>
      <c r="V1772" s="406"/>
      <c r="W1772" s="455"/>
      <c r="X1772" s="405"/>
      <c r="Y1772" s="405">
        <v>10</v>
      </c>
      <c r="Z1772" s="405">
        <v>10</v>
      </c>
      <c r="AA1772" s="406">
        <v>0</v>
      </c>
      <c r="AB1772" s="456">
        <v>42551</v>
      </c>
      <c r="AC1772" s="407"/>
      <c r="AD1772" s="407">
        <v>712.8</v>
      </c>
      <c r="AE1772" s="404" t="s">
        <v>133</v>
      </c>
      <c r="AF1772" s="418"/>
      <c r="AG1772" s="418"/>
      <c r="AH1772" s="418"/>
      <c r="AI1772" s="405"/>
      <c r="AJ1772" s="455"/>
      <c r="AK1772" s="455"/>
      <c r="AL1772" s="404"/>
      <c r="AM1772" s="404"/>
      <c r="AN1772" s="418"/>
      <c r="AO1772" s="403"/>
      <c r="AP1772" s="403" t="s">
        <v>55</v>
      </c>
      <c r="AQ1772" s="403"/>
      <c r="AR1772" s="403" t="s">
        <v>7142</v>
      </c>
      <c r="AS1772" s="482">
        <v>42150</v>
      </c>
      <c r="AT1772" s="487">
        <v>42301</v>
      </c>
      <c r="AU1772" s="455"/>
      <c r="AV1772" s="455"/>
      <c r="AW1772" s="455"/>
      <c r="AX1772" s="455"/>
      <c r="AY1772" s="455"/>
      <c r="AZ1772" s="455"/>
      <c r="BA1772" s="404"/>
      <c r="BB1772" s="404"/>
      <c r="BC1772" s="404" t="b">
        <v>0</v>
      </c>
      <c r="BD1772" s="404"/>
      <c r="BE1772" s="403"/>
      <c r="BF1772" s="405">
        <v>5</v>
      </c>
      <c r="BG1772" s="405">
        <v>6</v>
      </c>
      <c r="BH1772" s="405">
        <v>7</v>
      </c>
      <c r="BI1772" s="405">
        <v>9</v>
      </c>
      <c r="BJ1772" s="405">
        <v>8</v>
      </c>
      <c r="BK1772" s="405">
        <v>10</v>
      </c>
      <c r="BL1772" s="446" t="s">
        <v>6982</v>
      </c>
      <c r="BM1772" s="403"/>
      <c r="BN1772" s="404"/>
      <c r="BO1772" s="404"/>
      <c r="BP1772" s="408"/>
      <c r="BQ1772" s="409"/>
      <c r="BR1772" s="410"/>
      <c r="BS1772" s="408"/>
      <c r="BT1772" s="405"/>
      <c r="BU1772" s="418"/>
      <c r="BV1772" s="408"/>
      <c r="BW1772" s="404"/>
      <c r="BX1772" s="403"/>
      <c r="BY1772" s="404"/>
      <c r="BZ1772" s="404"/>
      <c r="CA1772" s="443"/>
      <c r="CB1772" s="409"/>
      <c r="CC1772" s="407"/>
      <c r="CD1772" s="407"/>
      <c r="CE1772" s="407"/>
      <c r="CF1772" s="407"/>
      <c r="CG1772" s="407"/>
      <c r="CH1772" s="407"/>
      <c r="CI1772" s="407"/>
      <c r="CJ1772" s="407"/>
      <c r="CK1772" s="407"/>
      <c r="CL1772" s="407">
        <v>7.1280000000000001</v>
      </c>
      <c r="CM1772" s="407">
        <v>7.1280000000000001</v>
      </c>
      <c r="CN1772" s="407">
        <v>7.1280000000000001</v>
      </c>
      <c r="CO1772" s="407">
        <v>7.1280000000000001</v>
      </c>
      <c r="CP1772" s="407">
        <v>7.1280000000000001</v>
      </c>
      <c r="CQ1772" s="407">
        <v>7.1280000000000001</v>
      </c>
      <c r="CR1772" s="407">
        <v>7.1280000000000001</v>
      </c>
      <c r="CS1772" s="407">
        <v>7.1280000000000001</v>
      </c>
      <c r="CT1772" s="407"/>
      <c r="CU1772" s="407"/>
      <c r="CV1772" s="407"/>
      <c r="CW1772" s="407"/>
      <c r="CX1772" s="407"/>
      <c r="CY1772" s="407"/>
      <c r="CZ1772" s="407"/>
      <c r="DA1772" s="407"/>
      <c r="DB1772" s="407"/>
      <c r="DC1772" s="407"/>
      <c r="DD1772" s="407"/>
      <c r="DE1772" s="404"/>
      <c r="DF1772" s="404"/>
      <c r="DG1772" s="404"/>
      <c r="DH1772" s="404"/>
      <c r="DI1772" s="404"/>
      <c r="DJ1772" s="404"/>
      <c r="DK1772" s="897"/>
    </row>
    <row r="1773" spans="1:115" ht="38.25" x14ac:dyDescent="0.2">
      <c r="A1773" s="295">
        <v>1769</v>
      </c>
      <c r="B1773" s="449" t="s">
        <v>7346</v>
      </c>
      <c r="C1773" s="424" t="s">
        <v>7891</v>
      </c>
      <c r="D1773" s="391"/>
      <c r="E1773" s="844" t="s">
        <v>7170</v>
      </c>
      <c r="F1773" s="390" t="s">
        <v>1375</v>
      </c>
      <c r="G1773" s="390" t="s">
        <v>1670</v>
      </c>
      <c r="H1773" s="390" t="s">
        <v>991</v>
      </c>
      <c r="I1773" s="816"/>
      <c r="J1773" s="816" t="s">
        <v>7171</v>
      </c>
      <c r="K1773" s="816"/>
      <c r="L1773" s="816" t="s">
        <v>835</v>
      </c>
      <c r="M1773" s="816" t="s">
        <v>7172</v>
      </c>
      <c r="N1773" s="577" t="s">
        <v>33</v>
      </c>
      <c r="O1773" s="390" t="s">
        <v>827</v>
      </c>
      <c r="P1773" s="390" t="s">
        <v>51</v>
      </c>
      <c r="Q1773" s="402" t="s">
        <v>828</v>
      </c>
      <c r="R1773" s="816"/>
      <c r="S1773" s="816" t="s">
        <v>483</v>
      </c>
      <c r="T1773" s="851">
        <v>1</v>
      </c>
      <c r="U1773" s="852">
        <v>59.8</v>
      </c>
      <c r="V1773" s="852"/>
      <c r="W1773" s="856">
        <v>42187</v>
      </c>
      <c r="X1773" s="851">
        <v>28</v>
      </c>
      <c r="Y1773" s="851"/>
      <c r="Z1773" s="851"/>
      <c r="AA1773" s="852"/>
      <c r="AB1773" s="858"/>
      <c r="AC1773" s="862">
        <v>0</v>
      </c>
      <c r="AD1773" s="862">
        <v>598</v>
      </c>
      <c r="AE1773" s="577" t="s">
        <v>133</v>
      </c>
      <c r="AF1773" s="866"/>
      <c r="AG1773" s="866"/>
      <c r="AH1773" s="866">
        <v>0</v>
      </c>
      <c r="AI1773" s="851"/>
      <c r="AJ1773" s="858"/>
      <c r="AK1773" s="858"/>
      <c r="AL1773" s="577"/>
      <c r="AM1773" s="577"/>
      <c r="AN1773" s="866"/>
      <c r="AO1773" s="816"/>
      <c r="AP1773" s="816" t="s">
        <v>55</v>
      </c>
      <c r="AQ1773" s="816"/>
      <c r="AR1773" s="816" t="s">
        <v>4158</v>
      </c>
      <c r="AS1773" s="728">
        <v>42188</v>
      </c>
      <c r="AT1773" s="858"/>
      <c r="AU1773" s="858"/>
      <c r="AV1773" s="858"/>
      <c r="AW1773" s="858"/>
      <c r="AX1773" s="858"/>
      <c r="AY1773" s="858"/>
      <c r="AZ1773" s="858"/>
      <c r="BA1773" s="577"/>
      <c r="BB1773" s="577" t="s">
        <v>3310</v>
      </c>
      <c r="BC1773" s="577" t="b">
        <v>0</v>
      </c>
      <c r="BD1773" s="577" t="s">
        <v>3147</v>
      </c>
      <c r="BE1773" s="816"/>
      <c r="BF1773" s="411">
        <v>1</v>
      </c>
      <c r="BG1773" s="411">
        <v>6</v>
      </c>
      <c r="BH1773" s="411">
        <v>8</v>
      </c>
      <c r="BI1773" s="411">
        <v>11</v>
      </c>
      <c r="BJ1773" s="411"/>
      <c r="BK1773" s="411"/>
      <c r="BL1773" s="445" t="s">
        <v>6981</v>
      </c>
      <c r="BM1773" s="816"/>
      <c r="BN1773" s="577"/>
      <c r="BO1773" s="577"/>
      <c r="BP1773" s="875"/>
      <c r="BQ1773" s="880"/>
      <c r="BR1773" s="885"/>
      <c r="BS1773" s="875">
        <v>0</v>
      </c>
      <c r="BT1773" s="851"/>
      <c r="BU1773" s="866"/>
      <c r="BV1773" s="875"/>
      <c r="BW1773" s="577"/>
      <c r="BX1773" s="816"/>
      <c r="BY1773" s="577"/>
      <c r="BZ1773" s="577"/>
      <c r="CA1773" s="890"/>
      <c r="CB1773" s="880"/>
      <c r="CC1773" s="862"/>
      <c r="CD1773" s="862"/>
      <c r="CE1773" s="862"/>
      <c r="CF1773" s="862"/>
      <c r="CG1773" s="862"/>
      <c r="CH1773" s="862"/>
      <c r="CI1773" s="862"/>
      <c r="CJ1773" s="862"/>
      <c r="CK1773" s="862"/>
      <c r="CL1773" s="862"/>
      <c r="CM1773" s="862"/>
      <c r="CN1773" s="862"/>
      <c r="CO1773" s="862"/>
      <c r="CP1773" s="862"/>
      <c r="CQ1773" s="862"/>
      <c r="CR1773" s="862"/>
      <c r="CS1773" s="862"/>
      <c r="CT1773" s="862"/>
      <c r="CU1773" s="862"/>
      <c r="CV1773" s="862"/>
      <c r="CW1773" s="862"/>
      <c r="CX1773" s="862"/>
      <c r="CY1773" s="862"/>
      <c r="CZ1773" s="862"/>
      <c r="DA1773" s="862"/>
      <c r="DB1773" s="862"/>
      <c r="DC1773" s="862"/>
      <c r="DD1773" s="862"/>
      <c r="DE1773" s="577"/>
      <c r="DF1773" s="577"/>
      <c r="DG1773" s="577"/>
      <c r="DH1773" s="577"/>
      <c r="DI1773" s="577"/>
      <c r="DJ1773" s="577"/>
      <c r="DK1773" s="897"/>
    </row>
    <row r="1774" spans="1:115" ht="25.5" x14ac:dyDescent="0.2">
      <c r="A1774" s="295">
        <v>1770</v>
      </c>
      <c r="B1774" s="390" t="s">
        <v>7173</v>
      </c>
      <c r="C1774" s="390"/>
      <c r="D1774" s="391"/>
      <c r="E1774" s="844" t="s">
        <v>7174</v>
      </c>
      <c r="F1774" s="390" t="s">
        <v>1375</v>
      </c>
      <c r="G1774" s="390" t="s">
        <v>1670</v>
      </c>
      <c r="H1774" s="390" t="s">
        <v>991</v>
      </c>
      <c r="I1774" s="816"/>
      <c r="J1774" s="816"/>
      <c r="K1774" s="816" t="s">
        <v>7175</v>
      </c>
      <c r="L1774" s="816" t="s">
        <v>835</v>
      </c>
      <c r="M1774" s="816"/>
      <c r="N1774" s="577" t="s">
        <v>33</v>
      </c>
      <c r="O1774" s="390" t="s">
        <v>827</v>
      </c>
      <c r="P1774" s="390" t="s">
        <v>51</v>
      </c>
      <c r="Q1774" s="402" t="s">
        <v>828</v>
      </c>
      <c r="R1774" s="816" t="s">
        <v>7264</v>
      </c>
      <c r="S1774" s="816" t="s">
        <v>483</v>
      </c>
      <c r="T1774" s="851">
        <v>1</v>
      </c>
      <c r="U1774" s="852">
        <v>59.8</v>
      </c>
      <c r="V1774" s="852"/>
      <c r="W1774" s="858"/>
      <c r="X1774" s="851"/>
      <c r="Y1774" s="851">
        <v>10</v>
      </c>
      <c r="Z1774" s="851">
        <v>2</v>
      </c>
      <c r="AA1774" s="852">
        <v>0</v>
      </c>
      <c r="AB1774" s="856">
        <v>42370</v>
      </c>
      <c r="AC1774" s="862"/>
      <c r="AD1774" s="862">
        <v>598</v>
      </c>
      <c r="AE1774" s="577" t="s">
        <v>133</v>
      </c>
      <c r="AF1774" s="866"/>
      <c r="AG1774" s="866"/>
      <c r="AH1774" s="866"/>
      <c r="AI1774" s="851"/>
      <c r="AJ1774" s="858"/>
      <c r="AK1774" s="858"/>
      <c r="AL1774" s="577"/>
      <c r="AM1774" s="577"/>
      <c r="AN1774" s="866"/>
      <c r="AO1774" s="816"/>
      <c r="AP1774" s="816" t="s">
        <v>55</v>
      </c>
      <c r="AQ1774" s="816"/>
      <c r="AR1774" s="816" t="s">
        <v>4158</v>
      </c>
      <c r="AS1774" s="728">
        <v>42188</v>
      </c>
      <c r="AT1774" s="858"/>
      <c r="AU1774" s="858"/>
      <c r="AV1774" s="858"/>
      <c r="AW1774" s="858"/>
      <c r="AX1774" s="858"/>
      <c r="AY1774" s="858"/>
      <c r="AZ1774" s="858"/>
      <c r="BA1774" s="577"/>
      <c r="BB1774" s="577"/>
      <c r="BC1774" s="577" t="b">
        <v>0</v>
      </c>
      <c r="BD1774" s="577"/>
      <c r="BE1774" s="816"/>
      <c r="BF1774" s="411">
        <v>1</v>
      </c>
      <c r="BG1774" s="411">
        <v>6</v>
      </c>
      <c r="BH1774" s="411">
        <v>8</v>
      </c>
      <c r="BI1774" s="411">
        <v>11</v>
      </c>
      <c r="BJ1774" s="411"/>
      <c r="BK1774" s="411"/>
      <c r="BL1774" s="445" t="s">
        <v>6981</v>
      </c>
      <c r="BM1774" s="816"/>
      <c r="BN1774" s="577"/>
      <c r="BO1774" s="577"/>
      <c r="BP1774" s="875"/>
      <c r="BQ1774" s="880"/>
      <c r="BR1774" s="885"/>
      <c r="BS1774" s="875"/>
      <c r="BT1774" s="851"/>
      <c r="BU1774" s="866"/>
      <c r="BV1774" s="875"/>
      <c r="BW1774" s="577" t="s">
        <v>3117</v>
      </c>
      <c r="BX1774" s="816"/>
      <c r="BY1774" s="577"/>
      <c r="BZ1774" s="577"/>
      <c r="CA1774" s="890"/>
      <c r="CB1774" s="880"/>
      <c r="CC1774" s="862"/>
      <c r="CD1774" s="862"/>
      <c r="CE1774" s="862"/>
      <c r="CF1774" s="862"/>
      <c r="CG1774" s="862"/>
      <c r="CH1774" s="862"/>
      <c r="CI1774" s="862"/>
      <c r="CJ1774" s="862"/>
      <c r="CK1774" s="862">
        <v>59.8</v>
      </c>
      <c r="CL1774" s="862">
        <v>59.8</v>
      </c>
      <c r="CM1774" s="862">
        <v>59.8</v>
      </c>
      <c r="CN1774" s="862"/>
      <c r="CO1774" s="862"/>
      <c r="CP1774" s="862"/>
      <c r="CQ1774" s="862"/>
      <c r="CR1774" s="862"/>
      <c r="CS1774" s="862"/>
      <c r="CT1774" s="862"/>
      <c r="CU1774" s="862"/>
      <c r="CV1774" s="862"/>
      <c r="CW1774" s="862"/>
      <c r="CX1774" s="862"/>
      <c r="CY1774" s="862"/>
      <c r="CZ1774" s="862"/>
      <c r="DA1774" s="862"/>
      <c r="DB1774" s="862"/>
      <c r="DC1774" s="862"/>
      <c r="DD1774" s="862"/>
      <c r="DE1774" s="577"/>
      <c r="DF1774" s="577"/>
      <c r="DG1774" s="577"/>
      <c r="DH1774" s="577"/>
      <c r="DI1774" s="577"/>
      <c r="DJ1774" s="577"/>
      <c r="DK1774" s="897"/>
    </row>
    <row r="1775" spans="1:115" ht="76.5" x14ac:dyDescent="0.2">
      <c r="A1775" s="295">
        <v>1771</v>
      </c>
      <c r="B1775" s="449" t="s">
        <v>7345</v>
      </c>
      <c r="C1775" s="424" t="s">
        <v>7892</v>
      </c>
      <c r="D1775" s="391"/>
      <c r="E1775" s="706" t="s">
        <v>7214</v>
      </c>
      <c r="F1775" s="390" t="s">
        <v>1375</v>
      </c>
      <c r="G1775" s="390" t="s">
        <v>998</v>
      </c>
      <c r="H1775" s="390" t="s">
        <v>245</v>
      </c>
      <c r="I1775" s="402"/>
      <c r="J1775" s="402" t="s">
        <v>245</v>
      </c>
      <c r="K1775" s="402"/>
      <c r="L1775" s="402" t="s">
        <v>7215</v>
      </c>
      <c r="M1775" s="402" t="s">
        <v>7216</v>
      </c>
      <c r="N1775" s="390" t="s">
        <v>33</v>
      </c>
      <c r="O1775" s="390" t="s">
        <v>69</v>
      </c>
      <c r="P1775" s="390" t="s">
        <v>69</v>
      </c>
      <c r="Q1775" s="402" t="s">
        <v>572</v>
      </c>
      <c r="R1775" s="402"/>
      <c r="S1775" s="402" t="s">
        <v>7221</v>
      </c>
      <c r="T1775" s="411">
        <v>4</v>
      </c>
      <c r="U1775" s="412">
        <v>23.635000000000002</v>
      </c>
      <c r="V1775" s="412"/>
      <c r="W1775" s="457">
        <v>42370</v>
      </c>
      <c r="X1775" s="411">
        <v>28</v>
      </c>
      <c r="Y1775" s="411"/>
      <c r="Z1775" s="411"/>
      <c r="AA1775" s="412"/>
      <c r="AB1775" s="454"/>
      <c r="AC1775" s="413">
        <v>0</v>
      </c>
      <c r="AD1775" s="413">
        <v>118.23975342465754</v>
      </c>
      <c r="AE1775" s="390" t="s">
        <v>72</v>
      </c>
      <c r="AF1775" s="419"/>
      <c r="AG1775" s="419"/>
      <c r="AH1775" s="419">
        <v>0</v>
      </c>
      <c r="AI1775" s="411"/>
      <c r="AJ1775" s="454"/>
      <c r="AK1775" s="454"/>
      <c r="AL1775" s="390"/>
      <c r="AM1775" s="390"/>
      <c r="AN1775" s="419"/>
      <c r="AO1775" s="402"/>
      <c r="AP1775" s="402" t="s">
        <v>55</v>
      </c>
      <c r="AQ1775" s="402"/>
      <c r="AR1775" s="402" t="s">
        <v>7217</v>
      </c>
      <c r="AS1775" s="481">
        <v>42235</v>
      </c>
      <c r="AT1775" s="454"/>
      <c r="AU1775" s="454"/>
      <c r="AV1775" s="454"/>
      <c r="AW1775" s="454"/>
      <c r="AX1775" s="454"/>
      <c r="AY1775" s="454"/>
      <c r="AZ1775" s="454"/>
      <c r="BA1775" s="390"/>
      <c r="BB1775" s="390" t="s">
        <v>3116</v>
      </c>
      <c r="BC1775" s="390" t="b">
        <v>0</v>
      </c>
      <c r="BD1775" s="390" t="s">
        <v>3116</v>
      </c>
      <c r="BE1775" s="402"/>
      <c r="BF1775" s="411">
        <v>1</v>
      </c>
      <c r="BG1775" s="411">
        <v>8</v>
      </c>
      <c r="BH1775" s="411"/>
      <c r="BI1775" s="411"/>
      <c r="BJ1775" s="411"/>
      <c r="BK1775" s="411"/>
      <c r="BL1775" s="445" t="s">
        <v>6982</v>
      </c>
      <c r="BM1775" s="402"/>
      <c r="BN1775" s="390"/>
      <c r="BO1775" s="390"/>
      <c r="BP1775" s="414"/>
      <c r="BQ1775" s="415"/>
      <c r="BR1775" s="416"/>
      <c r="BS1775" s="414">
        <v>0</v>
      </c>
      <c r="BT1775" s="411"/>
      <c r="BU1775" s="419"/>
      <c r="BV1775" s="414"/>
      <c r="BW1775" s="390"/>
      <c r="BX1775" s="402"/>
      <c r="BY1775" s="390"/>
      <c r="BZ1775" s="390"/>
      <c r="CA1775" s="442"/>
      <c r="CB1775" s="415"/>
      <c r="CC1775" s="413"/>
      <c r="CD1775" s="413"/>
      <c r="CE1775" s="413"/>
      <c r="CF1775" s="413"/>
      <c r="CG1775" s="413"/>
      <c r="CH1775" s="413"/>
      <c r="CI1775" s="413"/>
      <c r="CJ1775" s="413"/>
      <c r="CK1775" s="413"/>
      <c r="CL1775" s="413"/>
      <c r="CM1775" s="413"/>
      <c r="CN1775" s="413"/>
      <c r="CO1775" s="413"/>
      <c r="CP1775" s="413"/>
      <c r="CQ1775" s="413"/>
      <c r="CR1775" s="413"/>
      <c r="CS1775" s="413"/>
      <c r="CT1775" s="413"/>
      <c r="CU1775" s="413"/>
      <c r="CV1775" s="413"/>
      <c r="CW1775" s="413"/>
      <c r="CX1775" s="413"/>
      <c r="CY1775" s="413"/>
      <c r="CZ1775" s="413"/>
      <c r="DA1775" s="413"/>
      <c r="DB1775" s="413"/>
      <c r="DC1775" s="413"/>
      <c r="DD1775" s="413"/>
      <c r="DE1775" s="390"/>
      <c r="DF1775" s="390"/>
      <c r="DG1775" s="390"/>
      <c r="DH1775" s="390"/>
      <c r="DI1775" s="390"/>
      <c r="DJ1775" s="390"/>
      <c r="DK1775" s="897"/>
    </row>
    <row r="1776" spans="1:115" ht="38.25" x14ac:dyDescent="0.2">
      <c r="A1776" s="295">
        <v>1772</v>
      </c>
      <c r="B1776" s="390" t="s">
        <v>7218</v>
      </c>
      <c r="C1776" s="390"/>
      <c r="D1776" s="391"/>
      <c r="E1776" s="706" t="s">
        <v>7219</v>
      </c>
      <c r="F1776" s="390" t="s">
        <v>1375</v>
      </c>
      <c r="G1776" s="390" t="s">
        <v>998</v>
      </c>
      <c r="H1776" s="390" t="s">
        <v>245</v>
      </c>
      <c r="I1776" s="402"/>
      <c r="J1776" s="402"/>
      <c r="K1776" s="402" t="s">
        <v>6235</v>
      </c>
      <c r="L1776" s="402" t="s">
        <v>7215</v>
      </c>
      <c r="M1776" s="402"/>
      <c r="N1776" s="390" t="s">
        <v>33</v>
      </c>
      <c r="O1776" s="390" t="s">
        <v>69</v>
      </c>
      <c r="P1776" s="390" t="s">
        <v>69</v>
      </c>
      <c r="Q1776" s="402" t="s">
        <v>572</v>
      </c>
      <c r="R1776" s="402" t="s">
        <v>7220</v>
      </c>
      <c r="S1776" s="402" t="s">
        <v>7221</v>
      </c>
      <c r="T1776" s="411">
        <v>4</v>
      </c>
      <c r="U1776" s="412">
        <v>23.635000000000002</v>
      </c>
      <c r="V1776" s="412"/>
      <c r="W1776" s="454"/>
      <c r="X1776" s="411"/>
      <c r="Y1776" s="411">
        <v>7</v>
      </c>
      <c r="Z1776" s="411"/>
      <c r="AA1776" s="412">
        <v>7.1</v>
      </c>
      <c r="AB1776" s="457">
        <v>42370</v>
      </c>
      <c r="AC1776" s="413"/>
      <c r="AD1776" s="413">
        <v>118.23975342465754</v>
      </c>
      <c r="AE1776" s="390" t="s">
        <v>72</v>
      </c>
      <c r="AF1776" s="419"/>
      <c r="AG1776" s="419"/>
      <c r="AH1776" s="419"/>
      <c r="AI1776" s="411"/>
      <c r="AJ1776" s="454"/>
      <c r="AK1776" s="454"/>
      <c r="AL1776" s="390"/>
      <c r="AM1776" s="390"/>
      <c r="AN1776" s="419"/>
      <c r="AO1776" s="402"/>
      <c r="AP1776" s="402" t="s">
        <v>55</v>
      </c>
      <c r="AQ1776" s="402"/>
      <c r="AR1776" s="402" t="s">
        <v>7217</v>
      </c>
      <c r="AS1776" s="481">
        <v>42235</v>
      </c>
      <c r="AT1776" s="454"/>
      <c r="AU1776" s="454"/>
      <c r="AV1776" s="454"/>
      <c r="AW1776" s="454"/>
      <c r="AX1776" s="454"/>
      <c r="AY1776" s="454"/>
      <c r="AZ1776" s="454"/>
      <c r="BA1776" s="390"/>
      <c r="BB1776" s="390"/>
      <c r="BC1776" s="390" t="b">
        <v>0</v>
      </c>
      <c r="BD1776" s="390"/>
      <c r="BE1776" s="402"/>
      <c r="BF1776" s="411">
        <v>1</v>
      </c>
      <c r="BG1776" s="411">
        <v>8</v>
      </c>
      <c r="BH1776" s="411"/>
      <c r="BI1776" s="411"/>
      <c r="BJ1776" s="411"/>
      <c r="BK1776" s="411"/>
      <c r="BL1776" s="445" t="s">
        <v>6982</v>
      </c>
      <c r="BM1776" s="402"/>
      <c r="BN1776" s="390"/>
      <c r="BO1776" s="390"/>
      <c r="BP1776" s="414"/>
      <c r="BQ1776" s="415"/>
      <c r="BR1776" s="416"/>
      <c r="BS1776" s="414"/>
      <c r="BT1776" s="411"/>
      <c r="BU1776" s="419"/>
      <c r="BV1776" s="414"/>
      <c r="BW1776" s="390" t="s">
        <v>3117</v>
      </c>
      <c r="BX1776" s="402"/>
      <c r="BY1776" s="390"/>
      <c r="BZ1776" s="390"/>
      <c r="CA1776" s="442"/>
      <c r="CB1776" s="415"/>
      <c r="CC1776" s="413"/>
      <c r="CD1776" s="413"/>
      <c r="CE1776" s="413"/>
      <c r="CF1776" s="413"/>
      <c r="CG1776" s="413"/>
      <c r="CH1776" s="413"/>
      <c r="CI1776" s="413"/>
      <c r="CJ1776" s="413"/>
      <c r="CK1776" s="413"/>
      <c r="CL1776" s="413">
        <v>2.254</v>
      </c>
      <c r="CM1776" s="413">
        <v>6.74</v>
      </c>
      <c r="CN1776" s="413">
        <v>13.451000000000001</v>
      </c>
      <c r="CO1776" s="413">
        <v>22.414000000000001</v>
      </c>
      <c r="CP1776" s="413">
        <v>33.634</v>
      </c>
      <c r="CQ1776" s="413">
        <v>44.865000000000002</v>
      </c>
      <c r="CR1776" s="413">
        <v>44.865000000000002</v>
      </c>
      <c r="CS1776" s="413"/>
      <c r="CT1776" s="413"/>
      <c r="CU1776" s="413"/>
      <c r="CV1776" s="413"/>
      <c r="CW1776" s="413"/>
      <c r="CX1776" s="413"/>
      <c r="CY1776" s="413"/>
      <c r="CZ1776" s="413"/>
      <c r="DA1776" s="413"/>
      <c r="DB1776" s="413"/>
      <c r="DC1776" s="413"/>
      <c r="DD1776" s="413"/>
      <c r="DE1776" s="390"/>
      <c r="DF1776" s="390"/>
      <c r="DG1776" s="390"/>
      <c r="DH1776" s="390"/>
      <c r="DI1776" s="390"/>
      <c r="DJ1776" s="390"/>
      <c r="DK1776" s="897"/>
    </row>
    <row r="1777" spans="1:115" ht="51" x14ac:dyDescent="0.2">
      <c r="A1777" s="295">
        <v>1773</v>
      </c>
      <c r="B1777" s="449" t="s">
        <v>7344</v>
      </c>
      <c r="C1777" s="424" t="s">
        <v>7893</v>
      </c>
      <c r="D1777" s="435">
        <v>10307</v>
      </c>
      <c r="E1777" s="705" t="s">
        <v>7284</v>
      </c>
      <c r="F1777" s="475" t="s">
        <v>8026</v>
      </c>
      <c r="G1777" s="393" t="s">
        <v>1673</v>
      </c>
      <c r="H1777" s="393" t="s">
        <v>1394</v>
      </c>
      <c r="I1777" s="392"/>
      <c r="J1777" s="392" t="s">
        <v>1394</v>
      </c>
      <c r="K1777" s="392"/>
      <c r="L1777" s="392" t="s">
        <v>7285</v>
      </c>
      <c r="M1777" s="392" t="s">
        <v>7286</v>
      </c>
      <c r="N1777" s="393" t="s">
        <v>44</v>
      </c>
      <c r="O1777" s="393" t="s">
        <v>289</v>
      </c>
      <c r="P1777" s="393" t="s">
        <v>289</v>
      </c>
      <c r="Q1777" s="392" t="s">
        <v>721</v>
      </c>
      <c r="R1777" s="392"/>
      <c r="S1777" s="392" t="s">
        <v>291</v>
      </c>
      <c r="T1777" s="394">
        <v>4</v>
      </c>
      <c r="U1777" s="395">
        <v>83.52600000000001</v>
      </c>
      <c r="V1777" s="395"/>
      <c r="W1777" s="453">
        <v>42051</v>
      </c>
      <c r="X1777" s="394">
        <v>28</v>
      </c>
      <c r="Y1777" s="394"/>
      <c r="Z1777" s="394"/>
      <c r="AA1777" s="395"/>
      <c r="AB1777" s="453"/>
      <c r="AC1777" s="398">
        <v>0</v>
      </c>
      <c r="AD1777" s="398">
        <v>313.50854794520546</v>
      </c>
      <c r="AE1777" s="393" t="s">
        <v>133</v>
      </c>
      <c r="AF1777" s="417"/>
      <c r="AG1777" s="417"/>
      <c r="AH1777" s="417">
        <v>0</v>
      </c>
      <c r="AI1777" s="394"/>
      <c r="AJ1777" s="453"/>
      <c r="AK1777" s="453"/>
      <c r="AL1777" s="393"/>
      <c r="AM1777" s="393"/>
      <c r="AN1777" s="417"/>
      <c r="AO1777" s="392"/>
      <c r="AP1777" s="392" t="s">
        <v>55</v>
      </c>
      <c r="AQ1777" s="392"/>
      <c r="AR1777" s="428" t="s">
        <v>7301</v>
      </c>
      <c r="AS1777" s="479">
        <v>42284</v>
      </c>
      <c r="AT1777" s="453"/>
      <c r="AU1777" s="453"/>
      <c r="AV1777" s="453">
        <v>42273</v>
      </c>
      <c r="AW1777" s="453">
        <v>42730</v>
      </c>
      <c r="AX1777" s="453"/>
      <c r="AY1777" s="453">
        <v>42633</v>
      </c>
      <c r="AZ1777" s="453"/>
      <c r="BA1777" s="393"/>
      <c r="BB1777" s="393" t="s">
        <v>3147</v>
      </c>
      <c r="BC1777" s="393" t="b">
        <v>0</v>
      </c>
      <c r="BD1777" s="393" t="s">
        <v>3147</v>
      </c>
      <c r="BE1777" s="392"/>
      <c r="BF1777" s="394">
        <v>10</v>
      </c>
      <c r="BG1777" s="394">
        <v>5</v>
      </c>
      <c r="BH1777" s="394">
        <v>9</v>
      </c>
      <c r="BI1777" s="394"/>
      <c r="BJ1777" s="394"/>
      <c r="BK1777" s="394"/>
      <c r="BL1777" s="444" t="s">
        <v>6981</v>
      </c>
      <c r="BM1777" s="392"/>
      <c r="BN1777" s="393"/>
      <c r="BO1777" s="393"/>
      <c r="BP1777" s="399"/>
      <c r="BQ1777" s="400"/>
      <c r="BR1777" s="401"/>
      <c r="BS1777" s="399">
        <v>24.5</v>
      </c>
      <c r="BT1777" s="394"/>
      <c r="BU1777" s="417"/>
      <c r="BV1777" s="399"/>
      <c r="BW1777" s="393"/>
      <c r="BX1777" s="392"/>
      <c r="BY1777" s="393"/>
      <c r="BZ1777" s="393"/>
      <c r="CA1777" s="441"/>
      <c r="CB1777" s="400"/>
      <c r="CC1777" s="398"/>
      <c r="CD1777" s="398"/>
      <c r="CE1777" s="398"/>
      <c r="CF1777" s="398"/>
      <c r="CG1777" s="398"/>
      <c r="CH1777" s="398"/>
      <c r="CI1777" s="398"/>
      <c r="CJ1777" s="398"/>
      <c r="CK1777" s="398"/>
      <c r="CL1777" s="398"/>
      <c r="CM1777" s="398"/>
      <c r="CN1777" s="398"/>
      <c r="CO1777" s="398"/>
      <c r="CP1777" s="398"/>
      <c r="CQ1777" s="398"/>
      <c r="CR1777" s="398"/>
      <c r="CS1777" s="398"/>
      <c r="CT1777" s="398"/>
      <c r="CU1777" s="398"/>
      <c r="CV1777" s="398"/>
      <c r="CW1777" s="398"/>
      <c r="CX1777" s="398"/>
      <c r="CY1777" s="398"/>
      <c r="CZ1777" s="398"/>
      <c r="DA1777" s="398"/>
      <c r="DB1777" s="398"/>
      <c r="DC1777" s="398"/>
      <c r="DD1777" s="398"/>
      <c r="DE1777" s="393"/>
      <c r="DF1777" s="393"/>
      <c r="DG1777" s="393"/>
      <c r="DH1777" s="393"/>
      <c r="DI1777" s="393"/>
      <c r="DJ1777" s="393"/>
      <c r="DK1777" s="896" t="s">
        <v>9733</v>
      </c>
    </row>
    <row r="1778" spans="1:115" ht="25.5" x14ac:dyDescent="0.2">
      <c r="A1778" s="295">
        <v>1774</v>
      </c>
      <c r="B1778" s="390" t="s">
        <v>7287</v>
      </c>
      <c r="C1778" s="902"/>
      <c r="D1778" s="474" t="s">
        <v>8941</v>
      </c>
      <c r="E1778" s="705" t="s">
        <v>8950</v>
      </c>
      <c r="F1778" s="475" t="s">
        <v>8026</v>
      </c>
      <c r="G1778" s="393" t="s">
        <v>1673</v>
      </c>
      <c r="H1778" s="393" t="s">
        <v>1394</v>
      </c>
      <c r="I1778" s="392"/>
      <c r="J1778" s="392"/>
      <c r="K1778" s="392" t="s">
        <v>7288</v>
      </c>
      <c r="L1778" s="392" t="s">
        <v>7285</v>
      </c>
      <c r="M1778" s="392"/>
      <c r="N1778" s="393" t="s">
        <v>44</v>
      </c>
      <c r="O1778" s="393" t="s">
        <v>289</v>
      </c>
      <c r="P1778" s="393" t="s">
        <v>289</v>
      </c>
      <c r="Q1778" s="392" t="s">
        <v>721</v>
      </c>
      <c r="R1778" s="392" t="s">
        <v>7289</v>
      </c>
      <c r="S1778" s="392" t="s">
        <v>291</v>
      </c>
      <c r="T1778" s="394">
        <v>1</v>
      </c>
      <c r="U1778" s="395">
        <v>6.9020000000000001</v>
      </c>
      <c r="V1778" s="395"/>
      <c r="W1778" s="453"/>
      <c r="X1778" s="394"/>
      <c r="Y1778" s="394">
        <v>7</v>
      </c>
      <c r="Z1778" s="394"/>
      <c r="AA1778" s="395"/>
      <c r="AB1778" s="452">
        <v>42826</v>
      </c>
      <c r="AC1778" s="398"/>
      <c r="AD1778" s="398">
        <v>25.90613698630137</v>
      </c>
      <c r="AE1778" s="393" t="s">
        <v>133</v>
      </c>
      <c r="AF1778" s="417"/>
      <c r="AG1778" s="417"/>
      <c r="AH1778" s="417"/>
      <c r="AI1778" s="394"/>
      <c r="AJ1778" s="453"/>
      <c r="AK1778" s="453"/>
      <c r="AL1778" s="393"/>
      <c r="AM1778" s="393"/>
      <c r="AN1778" s="417"/>
      <c r="AO1778" s="392"/>
      <c r="AP1778" s="392" t="s">
        <v>55</v>
      </c>
      <c r="AQ1778" s="392"/>
      <c r="AR1778" s="428" t="s">
        <v>7301</v>
      </c>
      <c r="AS1778" s="479">
        <v>42284</v>
      </c>
      <c r="AT1778" s="453"/>
      <c r="AU1778" s="453"/>
      <c r="AV1778" s="453"/>
      <c r="AW1778" s="453"/>
      <c r="AX1778" s="453"/>
      <c r="AY1778" s="453"/>
      <c r="AZ1778" s="453">
        <v>42803</v>
      </c>
      <c r="BA1778" s="393"/>
      <c r="BB1778" s="393"/>
      <c r="BC1778" s="393" t="b">
        <v>0</v>
      </c>
      <c r="BD1778" s="393"/>
      <c r="BE1778" s="392"/>
      <c r="BF1778" s="394">
        <v>10</v>
      </c>
      <c r="BG1778" s="394">
        <v>5</v>
      </c>
      <c r="BH1778" s="394">
        <v>9</v>
      </c>
      <c r="BI1778" s="394"/>
      <c r="BJ1778" s="394"/>
      <c r="BK1778" s="394"/>
      <c r="BL1778" s="444" t="s">
        <v>6981</v>
      </c>
      <c r="BM1778" s="392"/>
      <c r="BN1778" s="393"/>
      <c r="BO1778" s="393"/>
      <c r="BP1778" s="399"/>
      <c r="BQ1778" s="400"/>
      <c r="BR1778" s="401"/>
      <c r="BS1778" s="399">
        <v>2.2999999999999998</v>
      </c>
      <c r="BT1778" s="394"/>
      <c r="BU1778" s="401">
        <v>0.69089999999999996</v>
      </c>
      <c r="BV1778" s="399"/>
      <c r="BW1778" s="393" t="s">
        <v>3117</v>
      </c>
      <c r="BX1778" s="392"/>
      <c r="BY1778" s="393"/>
      <c r="BZ1778" s="393"/>
      <c r="CA1778" s="441"/>
      <c r="CB1778" s="400"/>
      <c r="CC1778" s="398"/>
      <c r="CD1778" s="398"/>
      <c r="CE1778" s="398"/>
      <c r="CF1778" s="398"/>
      <c r="CG1778" s="398"/>
      <c r="CH1778" s="398"/>
      <c r="CI1778" s="398"/>
      <c r="CJ1778" s="398"/>
      <c r="CK1778" s="398"/>
      <c r="CL1778" s="398"/>
      <c r="CM1778" s="398">
        <v>6.9020000000000001</v>
      </c>
      <c r="CN1778" s="398">
        <v>6.9020000000000001</v>
      </c>
      <c r="CO1778" s="398">
        <v>6.9020000000000001</v>
      </c>
      <c r="CP1778" s="398">
        <v>6.9020000000000001</v>
      </c>
      <c r="CQ1778" s="398">
        <v>6.9020000000000001</v>
      </c>
      <c r="CR1778" s="398">
        <v>6.9020000000000001</v>
      </c>
      <c r="CS1778" s="398">
        <v>6.9020000000000001</v>
      </c>
      <c r="CT1778" s="398"/>
      <c r="CU1778" s="398"/>
      <c r="CV1778" s="398"/>
      <c r="CW1778" s="398"/>
      <c r="CX1778" s="398"/>
      <c r="CY1778" s="398"/>
      <c r="CZ1778" s="398"/>
      <c r="DA1778" s="398"/>
      <c r="DB1778" s="398"/>
      <c r="DC1778" s="398"/>
      <c r="DD1778" s="398"/>
      <c r="DE1778" s="393"/>
      <c r="DF1778" s="393"/>
      <c r="DG1778" s="393"/>
      <c r="DH1778" s="393"/>
      <c r="DI1778" s="393"/>
      <c r="DJ1778" s="393"/>
      <c r="DK1778" s="897"/>
    </row>
    <row r="1779" spans="1:115" ht="25.5" x14ac:dyDescent="0.2">
      <c r="A1779" s="295">
        <v>1775</v>
      </c>
      <c r="B1779" s="449" t="s">
        <v>8942</v>
      </c>
      <c r="C1779" s="390"/>
      <c r="D1779" s="474" t="s">
        <v>8944</v>
      </c>
      <c r="E1779" s="705" t="s">
        <v>8951</v>
      </c>
      <c r="F1779" s="475" t="s">
        <v>8026</v>
      </c>
      <c r="G1779" s="393" t="s">
        <v>1673</v>
      </c>
      <c r="H1779" s="393" t="s">
        <v>1394</v>
      </c>
      <c r="I1779" s="392"/>
      <c r="J1779" s="392"/>
      <c r="K1779" s="428" t="s">
        <v>8948</v>
      </c>
      <c r="L1779" s="392" t="s">
        <v>7285</v>
      </c>
      <c r="M1779" s="392"/>
      <c r="N1779" s="393" t="s">
        <v>44</v>
      </c>
      <c r="O1779" s="393" t="s">
        <v>289</v>
      </c>
      <c r="P1779" s="393" t="s">
        <v>289</v>
      </c>
      <c r="Q1779" s="392" t="s">
        <v>721</v>
      </c>
      <c r="R1779" s="392" t="s">
        <v>7289</v>
      </c>
      <c r="S1779" s="392" t="s">
        <v>291</v>
      </c>
      <c r="T1779" s="394">
        <v>1</v>
      </c>
      <c r="U1779" s="395">
        <v>22.632999999999999</v>
      </c>
      <c r="V1779" s="395"/>
      <c r="W1779" s="453"/>
      <c r="X1779" s="394"/>
      <c r="Y1779" s="394">
        <v>7</v>
      </c>
      <c r="Z1779" s="394"/>
      <c r="AA1779" s="395"/>
      <c r="AB1779" s="452">
        <v>42826</v>
      </c>
      <c r="AC1779" s="398"/>
      <c r="AD1779" s="398">
        <v>84.951260273972593</v>
      </c>
      <c r="AE1779" s="393" t="s">
        <v>133</v>
      </c>
      <c r="AF1779" s="417"/>
      <c r="AG1779" s="417"/>
      <c r="AH1779" s="417"/>
      <c r="AI1779" s="394"/>
      <c r="AJ1779" s="453"/>
      <c r="AK1779" s="453"/>
      <c r="AL1779" s="393"/>
      <c r="AM1779" s="393"/>
      <c r="AN1779" s="417"/>
      <c r="AO1779" s="392"/>
      <c r="AP1779" s="392" t="s">
        <v>55</v>
      </c>
      <c r="AQ1779" s="392"/>
      <c r="AR1779" s="428" t="s">
        <v>7301</v>
      </c>
      <c r="AS1779" s="479">
        <v>42284</v>
      </c>
      <c r="AT1779" s="453"/>
      <c r="AU1779" s="453"/>
      <c r="AV1779" s="453"/>
      <c r="AW1779" s="453"/>
      <c r="AX1779" s="453"/>
      <c r="AY1779" s="453"/>
      <c r="AZ1779" s="453">
        <v>42803</v>
      </c>
      <c r="BA1779" s="393"/>
      <c r="BB1779" s="393"/>
      <c r="BC1779" s="393" t="b">
        <v>0</v>
      </c>
      <c r="BD1779" s="393"/>
      <c r="BE1779" s="392"/>
      <c r="BF1779" s="394">
        <v>10</v>
      </c>
      <c r="BG1779" s="394">
        <v>5</v>
      </c>
      <c r="BH1779" s="394">
        <v>9</v>
      </c>
      <c r="BI1779" s="394"/>
      <c r="BJ1779" s="394"/>
      <c r="BK1779" s="394"/>
      <c r="BL1779" s="444" t="s">
        <v>6981</v>
      </c>
      <c r="BM1779" s="392"/>
      <c r="BN1779" s="393"/>
      <c r="BO1779" s="393"/>
      <c r="BP1779" s="399"/>
      <c r="BQ1779" s="400"/>
      <c r="BR1779" s="401"/>
      <c r="BS1779" s="399">
        <v>5.6</v>
      </c>
      <c r="BT1779" s="394">
        <v>32760</v>
      </c>
      <c r="BU1779" s="401">
        <v>0.69089999999999996</v>
      </c>
      <c r="BV1779" s="399"/>
      <c r="BW1779" s="393" t="s">
        <v>3117</v>
      </c>
      <c r="BX1779" s="392"/>
      <c r="BY1779" s="393"/>
      <c r="BZ1779" s="393"/>
      <c r="CA1779" s="441"/>
      <c r="CB1779" s="400"/>
      <c r="CC1779" s="398"/>
      <c r="CD1779" s="398"/>
      <c r="CE1779" s="398"/>
      <c r="CF1779" s="398"/>
      <c r="CG1779" s="398"/>
      <c r="CH1779" s="398"/>
      <c r="CI1779" s="398"/>
      <c r="CJ1779" s="398"/>
      <c r="CK1779" s="398"/>
      <c r="CL1779" s="398"/>
      <c r="CM1779" s="398">
        <v>22.632999999999999</v>
      </c>
      <c r="CN1779" s="398">
        <v>22.632999999999999</v>
      </c>
      <c r="CO1779" s="398">
        <v>22.632999999999999</v>
      </c>
      <c r="CP1779" s="398">
        <v>22.632999999999999</v>
      </c>
      <c r="CQ1779" s="398">
        <v>22.632999999999999</v>
      </c>
      <c r="CR1779" s="398">
        <v>22.632999999999999</v>
      </c>
      <c r="CS1779" s="398">
        <v>22.632999999999999</v>
      </c>
      <c r="CT1779" s="398"/>
      <c r="CU1779" s="398"/>
      <c r="CV1779" s="398"/>
      <c r="CW1779" s="398"/>
      <c r="CX1779" s="398"/>
      <c r="CY1779" s="398"/>
      <c r="CZ1779" s="398"/>
      <c r="DA1779" s="398"/>
      <c r="DB1779" s="398"/>
      <c r="DC1779" s="398"/>
      <c r="DD1779" s="398"/>
      <c r="DE1779" s="393"/>
      <c r="DF1779" s="393"/>
      <c r="DG1779" s="393"/>
      <c r="DH1779" s="393"/>
      <c r="DI1779" s="393"/>
      <c r="DJ1779" s="393"/>
      <c r="DK1779" s="897"/>
    </row>
    <row r="1780" spans="1:115" ht="25.5" x14ac:dyDescent="0.2">
      <c r="A1780" s="295">
        <v>1776</v>
      </c>
      <c r="B1780" s="449" t="s">
        <v>8943</v>
      </c>
      <c r="C1780" s="390"/>
      <c r="D1780" s="474" t="s">
        <v>8945</v>
      </c>
      <c r="E1780" s="705" t="s">
        <v>8952</v>
      </c>
      <c r="F1780" s="475" t="s">
        <v>8026</v>
      </c>
      <c r="G1780" s="393" t="s">
        <v>1673</v>
      </c>
      <c r="H1780" s="393" t="s">
        <v>1394</v>
      </c>
      <c r="I1780" s="392"/>
      <c r="J1780" s="392"/>
      <c r="K1780" s="428" t="s">
        <v>8948</v>
      </c>
      <c r="L1780" s="392" t="s">
        <v>7285</v>
      </c>
      <c r="M1780" s="392"/>
      <c r="N1780" s="393" t="s">
        <v>44</v>
      </c>
      <c r="O1780" s="393" t="s">
        <v>289</v>
      </c>
      <c r="P1780" s="393" t="s">
        <v>289</v>
      </c>
      <c r="Q1780" s="392" t="s">
        <v>721</v>
      </c>
      <c r="R1780" s="392" t="s">
        <v>7289</v>
      </c>
      <c r="S1780" s="392" t="s">
        <v>291</v>
      </c>
      <c r="T1780" s="394">
        <v>1</v>
      </c>
      <c r="U1780" s="395">
        <v>41.901000000000003</v>
      </c>
      <c r="V1780" s="395"/>
      <c r="W1780" s="453"/>
      <c r="X1780" s="394"/>
      <c r="Y1780" s="394">
        <v>7</v>
      </c>
      <c r="Z1780" s="394"/>
      <c r="AA1780" s="395"/>
      <c r="AB1780" s="452">
        <v>42826</v>
      </c>
      <c r="AC1780" s="398"/>
      <c r="AD1780" s="398">
        <v>157.27224657534248</v>
      </c>
      <c r="AE1780" s="393" t="s">
        <v>133</v>
      </c>
      <c r="AF1780" s="417"/>
      <c r="AG1780" s="417"/>
      <c r="AH1780" s="417"/>
      <c r="AI1780" s="394"/>
      <c r="AJ1780" s="453"/>
      <c r="AK1780" s="453"/>
      <c r="AL1780" s="393"/>
      <c r="AM1780" s="393"/>
      <c r="AN1780" s="417"/>
      <c r="AO1780" s="392"/>
      <c r="AP1780" s="392" t="s">
        <v>55</v>
      </c>
      <c r="AQ1780" s="392"/>
      <c r="AR1780" s="428" t="s">
        <v>7301</v>
      </c>
      <c r="AS1780" s="479">
        <v>42284</v>
      </c>
      <c r="AT1780" s="453"/>
      <c r="AU1780" s="453"/>
      <c r="AV1780" s="453"/>
      <c r="AW1780" s="453"/>
      <c r="AX1780" s="453"/>
      <c r="AY1780" s="453"/>
      <c r="AZ1780" s="453">
        <v>42803</v>
      </c>
      <c r="BA1780" s="393"/>
      <c r="BB1780" s="393"/>
      <c r="BC1780" s="393" t="b">
        <v>0</v>
      </c>
      <c r="BD1780" s="393"/>
      <c r="BE1780" s="392"/>
      <c r="BF1780" s="394">
        <v>10</v>
      </c>
      <c r="BG1780" s="394">
        <v>5</v>
      </c>
      <c r="BH1780" s="394">
        <v>9</v>
      </c>
      <c r="BI1780" s="394"/>
      <c r="BJ1780" s="394"/>
      <c r="BK1780" s="394"/>
      <c r="BL1780" s="444" t="s">
        <v>6981</v>
      </c>
      <c r="BM1780" s="392"/>
      <c r="BN1780" s="393"/>
      <c r="BO1780" s="393"/>
      <c r="BP1780" s="399"/>
      <c r="BQ1780" s="400"/>
      <c r="BR1780" s="401"/>
      <c r="BS1780" s="399">
        <v>12</v>
      </c>
      <c r="BT1780" s="394">
        <v>60650</v>
      </c>
      <c r="BU1780" s="401">
        <v>0.69089999999999996</v>
      </c>
      <c r="BV1780" s="399"/>
      <c r="BW1780" s="393" t="s">
        <v>3117</v>
      </c>
      <c r="BX1780" s="392"/>
      <c r="BY1780" s="393"/>
      <c r="BZ1780" s="393"/>
      <c r="CA1780" s="441"/>
      <c r="CB1780" s="400"/>
      <c r="CC1780" s="398"/>
      <c r="CD1780" s="398"/>
      <c r="CE1780" s="398"/>
      <c r="CF1780" s="398"/>
      <c r="CG1780" s="398"/>
      <c r="CH1780" s="398"/>
      <c r="CI1780" s="398"/>
      <c r="CJ1780" s="398"/>
      <c r="CK1780" s="398"/>
      <c r="CL1780" s="398"/>
      <c r="CM1780" s="398">
        <v>41.901000000000003</v>
      </c>
      <c r="CN1780" s="398">
        <v>41.901000000000003</v>
      </c>
      <c r="CO1780" s="398">
        <v>41.901000000000003</v>
      </c>
      <c r="CP1780" s="398">
        <v>41.901000000000003</v>
      </c>
      <c r="CQ1780" s="398">
        <v>41.901000000000003</v>
      </c>
      <c r="CR1780" s="398">
        <v>41.901000000000003</v>
      </c>
      <c r="CS1780" s="398">
        <v>41.901000000000003</v>
      </c>
      <c r="CT1780" s="398"/>
      <c r="CU1780" s="398"/>
      <c r="CV1780" s="398"/>
      <c r="CW1780" s="398"/>
      <c r="CX1780" s="398"/>
      <c r="CY1780" s="398"/>
      <c r="CZ1780" s="398"/>
      <c r="DA1780" s="398"/>
      <c r="DB1780" s="398"/>
      <c r="DC1780" s="398"/>
      <c r="DD1780" s="398"/>
      <c r="DE1780" s="393"/>
      <c r="DF1780" s="393"/>
      <c r="DG1780" s="393"/>
      <c r="DH1780" s="393"/>
      <c r="DI1780" s="393"/>
      <c r="DJ1780" s="393"/>
      <c r="DK1780" s="897"/>
    </row>
    <row r="1781" spans="1:115" ht="25.5" x14ac:dyDescent="0.2">
      <c r="A1781" s="295">
        <v>1777</v>
      </c>
      <c r="B1781" s="449" t="s">
        <v>8946</v>
      </c>
      <c r="C1781" s="390"/>
      <c r="D1781" s="474" t="s">
        <v>8947</v>
      </c>
      <c r="E1781" s="705" t="s">
        <v>8953</v>
      </c>
      <c r="F1781" s="475" t="s">
        <v>8026</v>
      </c>
      <c r="G1781" s="393" t="s">
        <v>1673</v>
      </c>
      <c r="H1781" s="393" t="s">
        <v>1394</v>
      </c>
      <c r="I1781" s="392"/>
      <c r="J1781" s="392"/>
      <c r="K1781" s="428" t="s">
        <v>8949</v>
      </c>
      <c r="L1781" s="392" t="s">
        <v>7285</v>
      </c>
      <c r="M1781" s="392"/>
      <c r="N1781" s="393" t="s">
        <v>44</v>
      </c>
      <c r="O1781" s="393" t="s">
        <v>289</v>
      </c>
      <c r="P1781" s="393" t="s">
        <v>289</v>
      </c>
      <c r="Q1781" s="392" t="s">
        <v>721</v>
      </c>
      <c r="R1781" s="392" t="s">
        <v>7289</v>
      </c>
      <c r="S1781" s="392" t="s">
        <v>291</v>
      </c>
      <c r="T1781" s="394">
        <v>1</v>
      </c>
      <c r="U1781" s="395">
        <v>12.09</v>
      </c>
      <c r="V1781" s="395"/>
      <c r="W1781" s="453"/>
      <c r="X1781" s="394"/>
      <c r="Y1781" s="394">
        <v>7</v>
      </c>
      <c r="Z1781" s="394"/>
      <c r="AA1781" s="395"/>
      <c r="AB1781" s="452">
        <v>42826</v>
      </c>
      <c r="AC1781" s="398"/>
      <c r="AD1781" s="398">
        <v>45.378904109589037</v>
      </c>
      <c r="AE1781" s="393" t="s">
        <v>133</v>
      </c>
      <c r="AF1781" s="417"/>
      <c r="AG1781" s="417"/>
      <c r="AH1781" s="417"/>
      <c r="AI1781" s="394"/>
      <c r="AJ1781" s="453"/>
      <c r="AK1781" s="453"/>
      <c r="AL1781" s="393"/>
      <c r="AM1781" s="393"/>
      <c r="AN1781" s="417"/>
      <c r="AO1781" s="392"/>
      <c r="AP1781" s="392" t="s">
        <v>55</v>
      </c>
      <c r="AQ1781" s="392"/>
      <c r="AR1781" s="428" t="s">
        <v>7301</v>
      </c>
      <c r="AS1781" s="479">
        <v>42284</v>
      </c>
      <c r="AT1781" s="453"/>
      <c r="AU1781" s="453"/>
      <c r="AV1781" s="453"/>
      <c r="AW1781" s="453"/>
      <c r="AX1781" s="453"/>
      <c r="AY1781" s="453"/>
      <c r="AZ1781" s="453">
        <v>42803</v>
      </c>
      <c r="BA1781" s="393"/>
      <c r="BB1781" s="393"/>
      <c r="BC1781" s="393" t="b">
        <v>0</v>
      </c>
      <c r="BD1781" s="393"/>
      <c r="BE1781" s="392"/>
      <c r="BF1781" s="394">
        <v>10</v>
      </c>
      <c r="BG1781" s="394">
        <v>5</v>
      </c>
      <c r="BH1781" s="394">
        <v>9</v>
      </c>
      <c r="BI1781" s="394"/>
      <c r="BJ1781" s="394"/>
      <c r="BK1781" s="394"/>
      <c r="BL1781" s="444" t="s">
        <v>6981</v>
      </c>
      <c r="BM1781" s="392"/>
      <c r="BN1781" s="393"/>
      <c r="BO1781" s="393"/>
      <c r="BP1781" s="399"/>
      <c r="BQ1781" s="400"/>
      <c r="BR1781" s="401"/>
      <c r="BS1781" s="399">
        <v>4.5999999999999996</v>
      </c>
      <c r="BT1781" s="394">
        <v>17500</v>
      </c>
      <c r="BU1781" s="401">
        <v>0.69089999999999996</v>
      </c>
      <c r="BV1781" s="399"/>
      <c r="BW1781" s="393" t="s">
        <v>3117</v>
      </c>
      <c r="BX1781" s="392"/>
      <c r="BY1781" s="393"/>
      <c r="BZ1781" s="393"/>
      <c r="CA1781" s="441"/>
      <c r="CB1781" s="400"/>
      <c r="CC1781" s="398"/>
      <c r="CD1781" s="398"/>
      <c r="CE1781" s="398"/>
      <c r="CF1781" s="398"/>
      <c r="CG1781" s="398"/>
      <c r="CH1781" s="398"/>
      <c r="CI1781" s="398"/>
      <c r="CJ1781" s="398"/>
      <c r="CK1781" s="398"/>
      <c r="CL1781" s="398"/>
      <c r="CM1781" s="395">
        <v>12.09</v>
      </c>
      <c r="CN1781" s="395">
        <v>12.09</v>
      </c>
      <c r="CO1781" s="395">
        <v>12.09</v>
      </c>
      <c r="CP1781" s="395">
        <v>12.09</v>
      </c>
      <c r="CQ1781" s="395">
        <v>12.09</v>
      </c>
      <c r="CR1781" s="395">
        <v>12.09</v>
      </c>
      <c r="CS1781" s="395">
        <v>12.09</v>
      </c>
      <c r="CT1781" s="398"/>
      <c r="CU1781" s="398"/>
      <c r="CV1781" s="398"/>
      <c r="CW1781" s="398"/>
      <c r="CX1781" s="398"/>
      <c r="CY1781" s="398"/>
      <c r="CZ1781" s="398"/>
      <c r="DA1781" s="398"/>
      <c r="DB1781" s="398"/>
      <c r="DC1781" s="398"/>
      <c r="DD1781" s="398"/>
      <c r="DE1781" s="393"/>
      <c r="DF1781" s="393"/>
      <c r="DG1781" s="393"/>
      <c r="DH1781" s="393"/>
      <c r="DI1781" s="393"/>
      <c r="DJ1781" s="393"/>
      <c r="DK1781" s="897"/>
    </row>
    <row r="1782" spans="1:115" ht="165.75" x14ac:dyDescent="0.2">
      <c r="A1782" s="295">
        <v>1778</v>
      </c>
      <c r="B1782" s="449" t="s">
        <v>7343</v>
      </c>
      <c r="C1782" s="424" t="s">
        <v>7894</v>
      </c>
      <c r="D1782" s="391"/>
      <c r="E1782" s="708" t="s">
        <v>7290</v>
      </c>
      <c r="F1782" s="404" t="s">
        <v>1375</v>
      </c>
      <c r="G1782" s="404" t="s">
        <v>1670</v>
      </c>
      <c r="H1782" s="404" t="s">
        <v>1385</v>
      </c>
      <c r="I1782" s="403"/>
      <c r="J1782" s="403" t="s">
        <v>7291</v>
      </c>
      <c r="K1782" s="403"/>
      <c r="L1782" s="403" t="s">
        <v>7292</v>
      </c>
      <c r="M1782" s="403" t="s">
        <v>7293</v>
      </c>
      <c r="N1782" s="404" t="s">
        <v>2412</v>
      </c>
      <c r="O1782" s="404" t="s">
        <v>827</v>
      </c>
      <c r="P1782" s="404" t="s">
        <v>827</v>
      </c>
      <c r="Q1782" s="403" t="s">
        <v>836</v>
      </c>
      <c r="R1782" s="403"/>
      <c r="S1782" s="403" t="s">
        <v>650</v>
      </c>
      <c r="T1782" s="405"/>
      <c r="U1782" s="406"/>
      <c r="V1782" s="406"/>
      <c r="W1782" s="456">
        <v>41977</v>
      </c>
      <c r="X1782" s="405">
        <v>28</v>
      </c>
      <c r="Y1782" s="405"/>
      <c r="Z1782" s="405"/>
      <c r="AA1782" s="406"/>
      <c r="AB1782" s="455"/>
      <c r="AC1782" s="407"/>
      <c r="AD1782" s="407"/>
      <c r="AE1782" s="404" t="s">
        <v>47</v>
      </c>
      <c r="AF1782" s="418"/>
      <c r="AG1782" s="418"/>
      <c r="AH1782" s="418"/>
      <c r="AI1782" s="405"/>
      <c r="AJ1782" s="455"/>
      <c r="AK1782" s="455"/>
      <c r="AL1782" s="404"/>
      <c r="AM1782" s="404"/>
      <c r="AN1782" s="418"/>
      <c r="AO1782" s="403"/>
      <c r="AP1782" s="403" t="s">
        <v>55</v>
      </c>
      <c r="AQ1782" s="403"/>
      <c r="AR1782" s="486" t="s">
        <v>7302</v>
      </c>
      <c r="AS1782" s="482">
        <v>42299</v>
      </c>
      <c r="AT1782" s="455">
        <v>42342</v>
      </c>
      <c r="AU1782" s="455"/>
      <c r="AV1782" s="455"/>
      <c r="AW1782" s="455"/>
      <c r="AX1782" s="455"/>
      <c r="AY1782" s="455"/>
      <c r="AZ1782" s="455"/>
      <c r="BA1782" s="404"/>
      <c r="BB1782" s="404" t="s">
        <v>3147</v>
      </c>
      <c r="BC1782" s="404" t="b">
        <v>0</v>
      </c>
      <c r="BD1782" s="404" t="s">
        <v>3147</v>
      </c>
      <c r="BE1782" s="403"/>
      <c r="BF1782" s="405">
        <v>10</v>
      </c>
      <c r="BG1782" s="405">
        <v>12</v>
      </c>
      <c r="BH1782" s="405">
        <v>5</v>
      </c>
      <c r="BI1782" s="405">
        <v>9</v>
      </c>
      <c r="BJ1782" s="405"/>
      <c r="BK1782" s="405"/>
      <c r="BL1782" s="446" t="s">
        <v>6981</v>
      </c>
      <c r="BM1782" s="403"/>
      <c r="BN1782" s="404"/>
      <c r="BO1782" s="404"/>
      <c r="BP1782" s="408"/>
      <c r="BQ1782" s="409"/>
      <c r="BR1782" s="410"/>
      <c r="BS1782" s="408"/>
      <c r="BT1782" s="405"/>
      <c r="BU1782" s="418"/>
      <c r="BV1782" s="408"/>
      <c r="BW1782" s="404"/>
      <c r="BX1782" s="403"/>
      <c r="BY1782" s="404"/>
      <c r="BZ1782" s="404"/>
      <c r="CA1782" s="443"/>
      <c r="CB1782" s="409"/>
      <c r="CC1782" s="407"/>
      <c r="CD1782" s="407"/>
      <c r="CE1782" s="407"/>
      <c r="CF1782" s="407"/>
      <c r="CG1782" s="407"/>
      <c r="CH1782" s="407"/>
      <c r="CI1782" s="407"/>
      <c r="CJ1782" s="407"/>
      <c r="CK1782" s="407"/>
      <c r="CL1782" s="407"/>
      <c r="CM1782" s="407"/>
      <c r="CN1782" s="407"/>
      <c r="CO1782" s="407"/>
      <c r="CP1782" s="407"/>
      <c r="CQ1782" s="407"/>
      <c r="CR1782" s="407"/>
      <c r="CS1782" s="407"/>
      <c r="CT1782" s="407"/>
      <c r="CU1782" s="407"/>
      <c r="CV1782" s="407"/>
      <c r="CW1782" s="407"/>
      <c r="CX1782" s="407"/>
      <c r="CY1782" s="407"/>
      <c r="CZ1782" s="407"/>
      <c r="DA1782" s="407"/>
      <c r="DB1782" s="407"/>
      <c r="DC1782" s="407"/>
      <c r="DD1782" s="407"/>
      <c r="DE1782" s="404"/>
      <c r="DF1782" s="404"/>
      <c r="DG1782" s="404"/>
      <c r="DH1782" s="404"/>
      <c r="DI1782" s="404"/>
      <c r="DJ1782" s="404"/>
      <c r="DK1782" s="897"/>
    </row>
    <row r="1783" spans="1:115" ht="38.25" x14ac:dyDescent="0.2">
      <c r="A1783" s="295">
        <v>1779</v>
      </c>
      <c r="B1783" s="390" t="s">
        <v>7294</v>
      </c>
      <c r="C1783" s="390"/>
      <c r="D1783" s="391"/>
      <c r="E1783" s="707" t="s">
        <v>7290</v>
      </c>
      <c r="F1783" s="404" t="s">
        <v>1375</v>
      </c>
      <c r="G1783" s="404" t="s">
        <v>1670</v>
      </c>
      <c r="H1783" s="404" t="s">
        <v>1385</v>
      </c>
      <c r="I1783" s="403"/>
      <c r="J1783" s="403"/>
      <c r="K1783" s="403" t="s">
        <v>7295</v>
      </c>
      <c r="L1783" s="403" t="s">
        <v>7292</v>
      </c>
      <c r="M1783" s="403"/>
      <c r="N1783" s="404" t="s">
        <v>2412</v>
      </c>
      <c r="O1783" s="404" t="s">
        <v>827</v>
      </c>
      <c r="P1783" s="404" t="s">
        <v>827</v>
      </c>
      <c r="Q1783" s="403" t="s">
        <v>836</v>
      </c>
      <c r="R1783" s="403" t="s">
        <v>7296</v>
      </c>
      <c r="S1783" s="403" t="s">
        <v>650</v>
      </c>
      <c r="T1783" s="405">
        <v>1</v>
      </c>
      <c r="U1783" s="406">
        <v>45.569000000000003</v>
      </c>
      <c r="V1783" s="406"/>
      <c r="W1783" s="455"/>
      <c r="X1783" s="405"/>
      <c r="Y1783" s="405">
        <v>10</v>
      </c>
      <c r="Z1783" s="405">
        <v>30</v>
      </c>
      <c r="AA1783" s="406"/>
      <c r="AB1783" s="456">
        <v>42186</v>
      </c>
      <c r="AC1783" s="407"/>
      <c r="AD1783" s="407">
        <v>455.69000000000005</v>
      </c>
      <c r="AE1783" s="404" t="s">
        <v>47</v>
      </c>
      <c r="AF1783" s="418"/>
      <c r="AG1783" s="418"/>
      <c r="AH1783" s="418"/>
      <c r="AI1783" s="405"/>
      <c r="AJ1783" s="455"/>
      <c r="AK1783" s="455"/>
      <c r="AL1783" s="404"/>
      <c r="AM1783" s="404"/>
      <c r="AN1783" s="418"/>
      <c r="AO1783" s="403"/>
      <c r="AP1783" s="403" t="s">
        <v>55</v>
      </c>
      <c r="AQ1783" s="403"/>
      <c r="AR1783" s="486" t="s">
        <v>7302</v>
      </c>
      <c r="AS1783" s="482">
        <v>42299</v>
      </c>
      <c r="AT1783" s="455">
        <v>42342</v>
      </c>
      <c r="AU1783" s="455"/>
      <c r="AV1783" s="455"/>
      <c r="AW1783" s="455"/>
      <c r="AX1783" s="455"/>
      <c r="AY1783" s="455"/>
      <c r="AZ1783" s="455"/>
      <c r="BA1783" s="404"/>
      <c r="BB1783" s="404"/>
      <c r="BC1783" s="404" t="b">
        <v>1</v>
      </c>
      <c r="BD1783" s="404"/>
      <c r="BE1783" s="403"/>
      <c r="BF1783" s="405">
        <v>10</v>
      </c>
      <c r="BG1783" s="405">
        <v>12</v>
      </c>
      <c r="BH1783" s="405">
        <v>5</v>
      </c>
      <c r="BI1783" s="405">
        <v>9</v>
      </c>
      <c r="BJ1783" s="405"/>
      <c r="BK1783" s="405"/>
      <c r="BL1783" s="446" t="s">
        <v>6981</v>
      </c>
      <c r="BM1783" s="403"/>
      <c r="BN1783" s="404"/>
      <c r="BO1783" s="404"/>
      <c r="BP1783" s="408"/>
      <c r="BQ1783" s="409"/>
      <c r="BR1783" s="410"/>
      <c r="BS1783" s="408">
        <v>33</v>
      </c>
      <c r="BT1783" s="405">
        <v>57000</v>
      </c>
      <c r="BU1783" s="418">
        <v>0.79</v>
      </c>
      <c r="BV1783" s="408"/>
      <c r="BW1783" s="404" t="s">
        <v>3165</v>
      </c>
      <c r="BX1783" s="403"/>
      <c r="BY1783" s="404"/>
      <c r="BZ1783" s="404"/>
      <c r="CA1783" s="443"/>
      <c r="CB1783" s="409"/>
      <c r="CC1783" s="407"/>
      <c r="CD1783" s="407"/>
      <c r="CE1783" s="407"/>
      <c r="CF1783" s="407"/>
      <c r="CG1783" s="407"/>
      <c r="CH1783" s="407"/>
      <c r="CI1783" s="407"/>
      <c r="CJ1783" s="407"/>
      <c r="CK1783" s="407">
        <v>22.785</v>
      </c>
      <c r="CL1783" s="407">
        <v>45.569000000000003</v>
      </c>
      <c r="CM1783" s="407">
        <v>45.569000000000003</v>
      </c>
      <c r="CN1783" s="407">
        <v>45.569000000000003</v>
      </c>
      <c r="CO1783" s="407">
        <v>45.569000000000003</v>
      </c>
      <c r="CP1783" s="407">
        <v>45.569000000000003</v>
      </c>
      <c r="CQ1783" s="407">
        <v>45.569000000000003</v>
      </c>
      <c r="CR1783" s="407">
        <v>45.569000000000003</v>
      </c>
      <c r="CS1783" s="407">
        <v>45.569000000000003</v>
      </c>
      <c r="CT1783" s="407">
        <v>45.569000000000003</v>
      </c>
      <c r="CU1783" s="407">
        <v>22.785</v>
      </c>
      <c r="CV1783" s="407"/>
      <c r="CW1783" s="407"/>
      <c r="CX1783" s="407"/>
      <c r="CY1783" s="407"/>
      <c r="CZ1783" s="407"/>
      <c r="DA1783" s="407"/>
      <c r="DB1783" s="407"/>
      <c r="DC1783" s="407"/>
      <c r="DD1783" s="407"/>
      <c r="DE1783" s="404"/>
      <c r="DF1783" s="404"/>
      <c r="DG1783" s="404"/>
      <c r="DH1783" s="404"/>
      <c r="DI1783" s="404"/>
      <c r="DJ1783" s="404"/>
      <c r="DK1783" s="897"/>
    </row>
    <row r="1784" spans="1:115" ht="63.75" x14ac:dyDescent="0.2">
      <c r="A1784" s="295">
        <v>1780</v>
      </c>
      <c r="B1784" s="449" t="s">
        <v>7355</v>
      </c>
      <c r="C1784" s="424" t="s">
        <v>7890</v>
      </c>
      <c r="D1784" s="531">
        <v>10322</v>
      </c>
      <c r="E1784" s="705" t="s">
        <v>7139</v>
      </c>
      <c r="F1784" s="393" t="s">
        <v>1375</v>
      </c>
      <c r="G1784" s="393" t="s">
        <v>1668</v>
      </c>
      <c r="H1784" s="393" t="s">
        <v>1378</v>
      </c>
      <c r="I1784" s="392"/>
      <c r="J1784" s="392" t="s">
        <v>1378</v>
      </c>
      <c r="K1784" s="392"/>
      <c r="L1784" s="392" t="s">
        <v>7140</v>
      </c>
      <c r="M1784" s="392" t="s">
        <v>7297</v>
      </c>
      <c r="N1784" s="393" t="s">
        <v>44</v>
      </c>
      <c r="O1784" s="393" t="s">
        <v>5030</v>
      </c>
      <c r="P1784" s="393" t="s">
        <v>5030</v>
      </c>
      <c r="Q1784" s="392" t="s">
        <v>836</v>
      </c>
      <c r="R1784" s="392"/>
      <c r="S1784" s="392" t="s">
        <v>2074</v>
      </c>
      <c r="T1784" s="394">
        <v>1</v>
      </c>
      <c r="U1784" s="687">
        <v>1.347</v>
      </c>
      <c r="V1784" s="395"/>
      <c r="W1784" s="452">
        <v>42370</v>
      </c>
      <c r="X1784" s="394">
        <v>28</v>
      </c>
      <c r="Y1784" s="394"/>
      <c r="Z1784" s="394"/>
      <c r="AA1784" s="395"/>
      <c r="AB1784" s="453"/>
      <c r="AC1784" s="398">
        <v>0</v>
      </c>
      <c r="AD1784" s="398">
        <v>13.469999999999999</v>
      </c>
      <c r="AE1784" s="393" t="s">
        <v>133</v>
      </c>
      <c r="AF1784" s="417"/>
      <c r="AG1784" s="417"/>
      <c r="AH1784" s="417">
        <v>0</v>
      </c>
      <c r="AI1784" s="394"/>
      <c r="AJ1784" s="453"/>
      <c r="AK1784" s="453"/>
      <c r="AL1784" s="393"/>
      <c r="AM1784" s="393"/>
      <c r="AN1784" s="417"/>
      <c r="AO1784" s="392"/>
      <c r="AP1784" s="392" t="s">
        <v>55</v>
      </c>
      <c r="AQ1784" s="392"/>
      <c r="AR1784" s="428" t="s">
        <v>7142</v>
      </c>
      <c r="AS1784" s="479">
        <v>42301</v>
      </c>
      <c r="AT1784" s="453"/>
      <c r="AU1784" s="478" t="s">
        <v>7138</v>
      </c>
      <c r="AV1784" s="453">
        <v>42342</v>
      </c>
      <c r="AW1784" s="453">
        <v>42627</v>
      </c>
      <c r="AX1784" s="453">
        <v>42678</v>
      </c>
      <c r="AY1784" s="453">
        <v>42627</v>
      </c>
      <c r="AZ1784" s="453"/>
      <c r="BA1784" s="393"/>
      <c r="BB1784" s="393" t="s">
        <v>3147</v>
      </c>
      <c r="BC1784" s="393" t="b">
        <v>0</v>
      </c>
      <c r="BD1784" s="393" t="s">
        <v>3116</v>
      </c>
      <c r="BE1784" s="392"/>
      <c r="BF1784" s="394">
        <v>10</v>
      </c>
      <c r="BG1784" s="394">
        <v>9</v>
      </c>
      <c r="BH1784" s="394"/>
      <c r="BI1784" s="394"/>
      <c r="BJ1784" s="394"/>
      <c r="BK1784" s="394"/>
      <c r="BL1784" s="444" t="s">
        <v>6981</v>
      </c>
      <c r="BM1784" s="392"/>
      <c r="BN1784" s="393"/>
      <c r="BO1784" s="393"/>
      <c r="BP1784" s="399"/>
      <c r="BQ1784" s="400"/>
      <c r="BR1784" s="401"/>
      <c r="BS1784" s="399">
        <v>1</v>
      </c>
      <c r="BT1784" s="394"/>
      <c r="BU1784" s="417"/>
      <c r="BV1784" s="399"/>
      <c r="BW1784" s="393"/>
      <c r="BX1784" s="392"/>
      <c r="BY1784" s="393"/>
      <c r="BZ1784" s="475" t="s">
        <v>3165</v>
      </c>
      <c r="CA1784" s="441"/>
      <c r="CB1784" s="400"/>
      <c r="CC1784" s="398"/>
      <c r="CD1784" s="398"/>
      <c r="CE1784" s="398"/>
      <c r="CF1784" s="398"/>
      <c r="CG1784" s="398"/>
      <c r="CH1784" s="398"/>
      <c r="CI1784" s="398"/>
      <c r="CJ1784" s="398"/>
      <c r="CK1784" s="398"/>
      <c r="CL1784" s="398"/>
      <c r="CM1784" s="398"/>
      <c r="CN1784" s="398"/>
      <c r="CO1784" s="398"/>
      <c r="CP1784" s="398"/>
      <c r="CQ1784" s="398"/>
      <c r="CR1784" s="398"/>
      <c r="CS1784" s="398"/>
      <c r="CT1784" s="398"/>
      <c r="CU1784" s="398"/>
      <c r="CV1784" s="398"/>
      <c r="CW1784" s="398"/>
      <c r="CX1784" s="398"/>
      <c r="CY1784" s="398"/>
      <c r="CZ1784" s="398"/>
      <c r="DA1784" s="398"/>
      <c r="DB1784" s="398"/>
      <c r="DC1784" s="398"/>
      <c r="DD1784" s="398"/>
      <c r="DE1784" s="393"/>
      <c r="DF1784" s="393"/>
      <c r="DG1784" s="393"/>
      <c r="DH1784" s="393"/>
      <c r="DI1784" s="393"/>
      <c r="DJ1784" s="393"/>
      <c r="DK1784" s="896" t="s">
        <v>9716</v>
      </c>
    </row>
    <row r="1785" spans="1:115" ht="25.5" x14ac:dyDescent="0.2">
      <c r="A1785" s="295">
        <v>1781</v>
      </c>
      <c r="B1785" s="424" t="s">
        <v>7298</v>
      </c>
      <c r="C1785" s="839"/>
      <c r="D1785" s="532" t="s">
        <v>8837</v>
      </c>
      <c r="E1785" s="748" t="s">
        <v>7144</v>
      </c>
      <c r="F1785" s="689" t="s">
        <v>1375</v>
      </c>
      <c r="G1785" s="689" t="s">
        <v>1668</v>
      </c>
      <c r="H1785" s="689" t="s">
        <v>1378</v>
      </c>
      <c r="I1785" s="749"/>
      <c r="J1785" s="749"/>
      <c r="K1785" s="749" t="s">
        <v>7145</v>
      </c>
      <c r="L1785" s="688" t="s">
        <v>7140</v>
      </c>
      <c r="M1785" s="749"/>
      <c r="N1785" s="393" t="s">
        <v>44</v>
      </c>
      <c r="O1785" s="689" t="s">
        <v>827</v>
      </c>
      <c r="P1785" s="689" t="s">
        <v>827</v>
      </c>
      <c r="Q1785" s="688" t="s">
        <v>836</v>
      </c>
      <c r="R1785" s="688" t="s">
        <v>7299</v>
      </c>
      <c r="S1785" s="688" t="s">
        <v>2074</v>
      </c>
      <c r="T1785" s="903">
        <v>1</v>
      </c>
      <c r="U1785" s="854">
        <v>1.347</v>
      </c>
      <c r="V1785" s="854"/>
      <c r="W1785" s="904"/>
      <c r="X1785" s="903"/>
      <c r="Y1785" s="903">
        <v>10</v>
      </c>
      <c r="Z1785" s="903">
        <v>20</v>
      </c>
      <c r="AA1785" s="854"/>
      <c r="AB1785" s="691">
        <v>42627</v>
      </c>
      <c r="AC1785" s="905"/>
      <c r="AD1785" s="905">
        <v>13.469999999999999</v>
      </c>
      <c r="AE1785" s="689" t="s">
        <v>133</v>
      </c>
      <c r="AF1785" s="907"/>
      <c r="AG1785" s="907"/>
      <c r="AH1785" s="907"/>
      <c r="AI1785" s="903"/>
      <c r="AJ1785" s="904"/>
      <c r="AK1785" s="904"/>
      <c r="AL1785" s="908"/>
      <c r="AM1785" s="908"/>
      <c r="AN1785" s="907"/>
      <c r="AO1785" s="749"/>
      <c r="AP1785" s="392" t="s">
        <v>55</v>
      </c>
      <c r="AQ1785" s="749"/>
      <c r="AR1785" s="428" t="s">
        <v>7142</v>
      </c>
      <c r="AS1785" s="691">
        <v>42301</v>
      </c>
      <c r="AT1785" s="904"/>
      <c r="AU1785" s="904" t="s">
        <v>7143</v>
      </c>
      <c r="AV1785" s="904"/>
      <c r="AW1785" s="904"/>
      <c r="AX1785" s="904"/>
      <c r="AY1785" s="904"/>
      <c r="AZ1785" s="453">
        <v>42627</v>
      </c>
      <c r="BA1785" s="908"/>
      <c r="BB1785" s="908"/>
      <c r="BC1785" s="689" t="b">
        <v>0</v>
      </c>
      <c r="BD1785" s="908"/>
      <c r="BE1785" s="749"/>
      <c r="BF1785" s="394">
        <v>10</v>
      </c>
      <c r="BG1785" s="394">
        <v>9</v>
      </c>
      <c r="BH1785" s="690"/>
      <c r="BI1785" s="690"/>
      <c r="BJ1785" s="690"/>
      <c r="BK1785" s="690"/>
      <c r="BL1785" s="693" t="s">
        <v>6981</v>
      </c>
      <c r="BM1785" s="749"/>
      <c r="BN1785" s="908"/>
      <c r="BO1785" s="908"/>
      <c r="BP1785" s="909"/>
      <c r="BQ1785" s="910"/>
      <c r="BR1785" s="911"/>
      <c r="BS1785" s="909">
        <v>1</v>
      </c>
      <c r="BT1785" s="903">
        <v>2100</v>
      </c>
      <c r="BU1785" s="692">
        <v>0.8</v>
      </c>
      <c r="BV1785" s="909"/>
      <c r="BW1785" s="689" t="s">
        <v>3117</v>
      </c>
      <c r="BX1785" s="749"/>
      <c r="BY1785" s="908"/>
      <c r="BZ1785" s="908" t="s">
        <v>3165</v>
      </c>
      <c r="CA1785" s="913"/>
      <c r="CB1785" s="910"/>
      <c r="CC1785" s="905"/>
      <c r="CD1785" s="905"/>
      <c r="CE1785" s="905"/>
      <c r="CF1785" s="905"/>
      <c r="CG1785" s="905"/>
      <c r="CH1785" s="905"/>
      <c r="CI1785" s="905"/>
      <c r="CJ1785" s="905"/>
      <c r="CK1785" s="905"/>
      <c r="CL1785" s="905"/>
      <c r="CM1785" s="905">
        <v>1.347</v>
      </c>
      <c r="CN1785" s="905">
        <v>1.347</v>
      </c>
      <c r="CO1785" s="905">
        <v>1.347</v>
      </c>
      <c r="CP1785" s="905">
        <v>1.347</v>
      </c>
      <c r="CQ1785" s="905">
        <v>1.347</v>
      </c>
      <c r="CR1785" s="905">
        <v>1.347</v>
      </c>
      <c r="CS1785" s="905">
        <v>1.347</v>
      </c>
      <c r="CT1785" s="905">
        <v>1.347</v>
      </c>
      <c r="CU1785" s="905">
        <v>1.347</v>
      </c>
      <c r="CV1785" s="905">
        <v>1.347</v>
      </c>
      <c r="CW1785" s="905"/>
      <c r="CX1785" s="905"/>
      <c r="CY1785" s="905"/>
      <c r="CZ1785" s="905"/>
      <c r="DA1785" s="905"/>
      <c r="DB1785" s="905"/>
      <c r="DC1785" s="905"/>
      <c r="DD1785" s="905"/>
      <c r="DE1785" s="908"/>
      <c r="DF1785" s="908"/>
      <c r="DG1785" s="908"/>
      <c r="DH1785" s="908"/>
      <c r="DI1785" s="908"/>
      <c r="DJ1785" s="908"/>
      <c r="DK1785" s="897"/>
    </row>
    <row r="1786" spans="1:115" ht="15" x14ac:dyDescent="0.2">
      <c r="A1786" s="295">
        <v>1782</v>
      </c>
      <c r="B1786" s="424" t="s">
        <v>7356</v>
      </c>
      <c r="C1786" s="839" t="s">
        <v>7896</v>
      </c>
      <c r="D1786" s="425"/>
      <c r="E1786" s="714" t="s">
        <v>7333</v>
      </c>
      <c r="F1786" s="424" t="s">
        <v>1375</v>
      </c>
      <c r="G1786" s="424" t="s">
        <v>1361</v>
      </c>
      <c r="H1786" s="424" t="s">
        <v>1085</v>
      </c>
      <c r="I1786" s="585"/>
      <c r="J1786" s="839" t="s">
        <v>1085</v>
      </c>
      <c r="K1786" s="585"/>
      <c r="L1786" s="432" t="s">
        <v>7353</v>
      </c>
      <c r="M1786" s="585"/>
      <c r="N1786" s="424" t="s">
        <v>33</v>
      </c>
      <c r="O1786" s="424" t="s">
        <v>45</v>
      </c>
      <c r="P1786" s="424" t="s">
        <v>45</v>
      </c>
      <c r="Q1786" s="432" t="s">
        <v>86</v>
      </c>
      <c r="R1786" s="432"/>
      <c r="S1786" s="432" t="s">
        <v>7336</v>
      </c>
      <c r="T1786" s="830">
        <v>1</v>
      </c>
      <c r="U1786" s="855">
        <v>12.247999999999999</v>
      </c>
      <c r="V1786" s="855"/>
      <c r="W1786" s="860">
        <v>42333</v>
      </c>
      <c r="X1786" s="830">
        <v>28</v>
      </c>
      <c r="Y1786" s="830"/>
      <c r="Z1786" s="830"/>
      <c r="AA1786" s="855"/>
      <c r="AB1786" s="434"/>
      <c r="AC1786" s="865">
        <v>0</v>
      </c>
      <c r="AD1786" s="865">
        <v>60.233315068493148</v>
      </c>
      <c r="AE1786" s="424" t="s">
        <v>7354</v>
      </c>
      <c r="AF1786" s="870"/>
      <c r="AG1786" s="870"/>
      <c r="AH1786" s="870">
        <v>0</v>
      </c>
      <c r="AI1786" s="830"/>
      <c r="AJ1786" s="860"/>
      <c r="AK1786" s="860"/>
      <c r="AL1786" s="839"/>
      <c r="AM1786" s="839"/>
      <c r="AN1786" s="870"/>
      <c r="AO1786" s="585"/>
      <c r="AP1786" s="432" t="s">
        <v>55</v>
      </c>
      <c r="AQ1786" s="585"/>
      <c r="AR1786" s="448" t="s">
        <v>7353</v>
      </c>
      <c r="AS1786" s="484">
        <v>42329</v>
      </c>
      <c r="AT1786" s="860"/>
      <c r="AU1786" s="860"/>
      <c r="AV1786" s="860"/>
      <c r="AW1786" s="860"/>
      <c r="AX1786" s="860"/>
      <c r="AY1786" s="860"/>
      <c r="AZ1786" s="458"/>
      <c r="BA1786" s="839"/>
      <c r="BB1786" s="839" t="s">
        <v>3116</v>
      </c>
      <c r="BC1786" s="424" t="b">
        <v>0</v>
      </c>
      <c r="BD1786" s="839" t="s">
        <v>3116</v>
      </c>
      <c r="BE1786" s="585"/>
      <c r="BF1786" s="411">
        <v>5</v>
      </c>
      <c r="BG1786" s="411">
        <v>2</v>
      </c>
      <c r="BH1786" s="433">
        <v>4</v>
      </c>
      <c r="BI1786" s="433">
        <v>8</v>
      </c>
      <c r="BJ1786" s="433">
        <v>11</v>
      </c>
      <c r="BK1786" s="433"/>
      <c r="BL1786" s="447" t="s">
        <v>6981</v>
      </c>
      <c r="BM1786" s="585"/>
      <c r="BN1786" s="839"/>
      <c r="BO1786" s="839"/>
      <c r="BP1786" s="879"/>
      <c r="BQ1786" s="884"/>
      <c r="BR1786" s="889"/>
      <c r="BS1786" s="879">
        <v>0</v>
      </c>
      <c r="BT1786" s="830"/>
      <c r="BU1786" s="437"/>
      <c r="BV1786" s="879"/>
      <c r="BW1786" s="424"/>
      <c r="BX1786" s="585"/>
      <c r="BY1786" s="839"/>
      <c r="BZ1786" s="839" t="s">
        <v>3165</v>
      </c>
      <c r="CA1786" s="892"/>
      <c r="CB1786" s="884"/>
      <c r="CC1786" s="865"/>
      <c r="CD1786" s="865"/>
      <c r="CE1786" s="865"/>
      <c r="CF1786" s="865"/>
      <c r="CG1786" s="865"/>
      <c r="CH1786" s="865"/>
      <c r="CI1786" s="865"/>
      <c r="CJ1786" s="865"/>
      <c r="CK1786" s="865"/>
      <c r="CL1786" s="865"/>
      <c r="CM1786" s="865"/>
      <c r="CN1786" s="865"/>
      <c r="CO1786" s="865"/>
      <c r="CP1786" s="865"/>
      <c r="CQ1786" s="865"/>
      <c r="CR1786" s="865"/>
      <c r="CS1786" s="865"/>
      <c r="CT1786" s="865"/>
      <c r="CU1786" s="865"/>
      <c r="CV1786" s="865"/>
      <c r="CW1786" s="865"/>
      <c r="CX1786" s="865"/>
      <c r="CY1786" s="865"/>
      <c r="CZ1786" s="865"/>
      <c r="DA1786" s="865"/>
      <c r="DB1786" s="865"/>
      <c r="DC1786" s="865"/>
      <c r="DD1786" s="865"/>
      <c r="DE1786" s="839"/>
      <c r="DF1786" s="839"/>
      <c r="DG1786" s="839"/>
      <c r="DH1786" s="839"/>
      <c r="DI1786" s="839"/>
      <c r="DJ1786" s="839"/>
      <c r="DK1786" s="897"/>
    </row>
    <row r="1787" spans="1:115" ht="38.25" x14ac:dyDescent="0.2">
      <c r="A1787" s="295">
        <v>1783</v>
      </c>
      <c r="B1787" s="432" t="s">
        <v>7332</v>
      </c>
      <c r="C1787" s="585"/>
      <c r="D1787" s="432"/>
      <c r="E1787" s="714" t="s">
        <v>7333</v>
      </c>
      <c r="F1787" s="432" t="s">
        <v>1375</v>
      </c>
      <c r="G1787" s="432" t="s">
        <v>1361</v>
      </c>
      <c r="H1787" s="432" t="s">
        <v>1085</v>
      </c>
      <c r="I1787" s="585"/>
      <c r="J1787" s="585"/>
      <c r="K1787" s="585" t="s">
        <v>7334</v>
      </c>
      <c r="L1787" s="432" t="s">
        <v>7353</v>
      </c>
      <c r="M1787" s="585"/>
      <c r="N1787" s="490" t="s">
        <v>33</v>
      </c>
      <c r="O1787" s="432" t="s">
        <v>45</v>
      </c>
      <c r="P1787" s="432" t="s">
        <v>45</v>
      </c>
      <c r="Q1787" s="432" t="s">
        <v>86</v>
      </c>
      <c r="R1787" s="432" t="s">
        <v>7335</v>
      </c>
      <c r="S1787" s="432" t="s">
        <v>7336</v>
      </c>
      <c r="T1787" s="590">
        <v>1</v>
      </c>
      <c r="U1787" s="589">
        <v>12.247999999999999</v>
      </c>
      <c r="V1787" s="585"/>
      <c r="W1787" s="589"/>
      <c r="X1787" s="589"/>
      <c r="Y1787" s="590">
        <v>7</v>
      </c>
      <c r="Z1787" s="590"/>
      <c r="AA1787" s="585"/>
      <c r="AB1787" s="484">
        <v>42401</v>
      </c>
      <c r="AC1787" s="589"/>
      <c r="AD1787" s="906">
        <v>60.233315068493148</v>
      </c>
      <c r="AE1787" s="432" t="s">
        <v>7354</v>
      </c>
      <c r="AF1787" s="592"/>
      <c r="AG1787" s="592"/>
      <c r="AH1787" s="592"/>
      <c r="AI1787" s="590"/>
      <c r="AJ1787" s="593"/>
      <c r="AK1787" s="593"/>
      <c r="AL1787" s="585"/>
      <c r="AM1787" s="585"/>
      <c r="AN1787" s="592"/>
      <c r="AO1787" s="585"/>
      <c r="AP1787" s="432" t="s">
        <v>55</v>
      </c>
      <c r="AQ1787" s="585"/>
      <c r="AR1787" s="448" t="s">
        <v>7353</v>
      </c>
      <c r="AS1787" s="491">
        <v>42329</v>
      </c>
      <c r="AT1787" s="594"/>
      <c r="AU1787" s="585"/>
      <c r="AV1787" s="585"/>
      <c r="AW1787" s="585"/>
      <c r="AX1787" s="585"/>
      <c r="AY1787" s="593"/>
      <c r="AZ1787" s="491"/>
      <c r="BA1787" s="594"/>
      <c r="BB1787" s="585"/>
      <c r="BC1787" s="432" t="b">
        <v>0</v>
      </c>
      <c r="BD1787" s="585"/>
      <c r="BE1787" s="585"/>
      <c r="BF1787" s="501">
        <v>5</v>
      </c>
      <c r="BG1787" s="501">
        <v>2</v>
      </c>
      <c r="BH1787" s="497">
        <v>4</v>
      </c>
      <c r="BI1787" s="497">
        <v>8</v>
      </c>
      <c r="BJ1787" s="497">
        <v>11</v>
      </c>
      <c r="BK1787" s="497"/>
      <c r="BL1787" s="492" t="s">
        <v>6981</v>
      </c>
      <c r="BM1787" s="590"/>
      <c r="BN1787" s="585"/>
      <c r="BO1787" s="585"/>
      <c r="BP1787" s="585"/>
      <c r="BQ1787" s="585"/>
      <c r="BR1787" s="585"/>
      <c r="BS1787" s="589"/>
      <c r="BT1787" s="590"/>
      <c r="BU1787" s="499"/>
      <c r="BV1787" s="589"/>
      <c r="BW1787" s="497" t="s">
        <v>3117</v>
      </c>
      <c r="BX1787" s="596"/>
      <c r="BY1787" s="585"/>
      <c r="BZ1787" s="912" t="s">
        <v>3165</v>
      </c>
      <c r="CA1787" s="595"/>
      <c r="CB1787" s="585"/>
      <c r="CC1787" s="585"/>
      <c r="CD1787" s="585"/>
      <c r="CE1787" s="585"/>
      <c r="CF1787" s="585"/>
      <c r="CG1787" s="585"/>
      <c r="CH1787" s="585"/>
      <c r="CI1787" s="585"/>
      <c r="CJ1787" s="585"/>
      <c r="CK1787" s="585"/>
      <c r="CL1787" s="592">
        <v>12.247999999999999</v>
      </c>
      <c r="CM1787" s="592">
        <v>12.247999999999999</v>
      </c>
      <c r="CN1787" s="592">
        <v>12.247999999999999</v>
      </c>
      <c r="CO1787" s="592">
        <v>12.247999999999999</v>
      </c>
      <c r="CP1787" s="592">
        <v>12.247999999999999</v>
      </c>
      <c r="CQ1787" s="592">
        <v>12.247999999999999</v>
      </c>
      <c r="CR1787" s="592">
        <v>12.247999999999999</v>
      </c>
      <c r="CS1787" s="585"/>
      <c r="CT1787" s="585"/>
      <c r="CU1787" s="585"/>
      <c r="CV1787" s="585"/>
      <c r="CW1787" s="585"/>
      <c r="CX1787" s="585"/>
      <c r="CY1787" s="585"/>
      <c r="CZ1787" s="585"/>
      <c r="DA1787" s="585"/>
      <c r="DB1787" s="585"/>
      <c r="DC1787" s="585"/>
      <c r="DD1787" s="585"/>
      <c r="DE1787" s="585"/>
      <c r="DF1787" s="585"/>
      <c r="DG1787" s="585"/>
      <c r="DH1787" s="585"/>
      <c r="DI1787" s="585"/>
      <c r="DJ1787" s="585"/>
      <c r="DK1787" s="897"/>
    </row>
    <row r="1788" spans="1:115" ht="15.75" x14ac:dyDescent="0.2">
      <c r="A1788" s="295">
        <v>1784</v>
      </c>
      <c r="B1788" s="432" t="s">
        <v>7357</v>
      </c>
      <c r="C1788" s="432" t="s">
        <v>7897</v>
      </c>
      <c r="D1788" s="531">
        <v>10286</v>
      </c>
      <c r="E1788" s="712" t="s">
        <v>7347</v>
      </c>
      <c r="F1788" s="688" t="s">
        <v>1340</v>
      </c>
      <c r="G1788" s="688" t="s">
        <v>1677</v>
      </c>
      <c r="H1788" s="688" t="s">
        <v>151</v>
      </c>
      <c r="I1788" s="688"/>
      <c r="J1788" s="688" t="s">
        <v>151</v>
      </c>
      <c r="K1788" s="688"/>
      <c r="L1788" s="688" t="s">
        <v>7350</v>
      </c>
      <c r="M1788" s="688"/>
      <c r="N1788" s="393" t="s">
        <v>44</v>
      </c>
      <c r="O1788" s="688" t="s">
        <v>1831</v>
      </c>
      <c r="P1788" s="688" t="s">
        <v>9125</v>
      </c>
      <c r="Q1788" s="688" t="s">
        <v>9125</v>
      </c>
      <c r="R1788" s="688"/>
      <c r="S1788" s="392" t="s">
        <v>650</v>
      </c>
      <c r="T1788" s="694">
        <v>5</v>
      </c>
      <c r="U1788" s="695">
        <v>1317.4070000000002</v>
      </c>
      <c r="V1788" s="688"/>
      <c r="W1788" s="479">
        <v>41764</v>
      </c>
      <c r="X1788" s="694">
        <v>28</v>
      </c>
      <c r="Y1788" s="694"/>
      <c r="Z1788" s="694"/>
      <c r="AA1788" s="688"/>
      <c r="AB1788" s="691"/>
      <c r="AC1788" s="695">
        <v>0</v>
      </c>
      <c r="AD1788" s="696">
        <v>3344.3074383561643</v>
      </c>
      <c r="AE1788" s="428" t="s">
        <v>96</v>
      </c>
      <c r="AF1788" s="697"/>
      <c r="AG1788" s="697"/>
      <c r="AH1788" s="697">
        <v>0</v>
      </c>
      <c r="AI1788" s="694"/>
      <c r="AJ1788" s="698"/>
      <c r="AK1788" s="698"/>
      <c r="AL1788" s="688"/>
      <c r="AM1788" s="688"/>
      <c r="AN1788" s="697"/>
      <c r="AO1788" s="688"/>
      <c r="AP1788" s="688" t="s">
        <v>55</v>
      </c>
      <c r="AQ1788" s="688"/>
      <c r="AR1788" s="688" t="s">
        <v>7352</v>
      </c>
      <c r="AS1788" s="698">
        <v>42335</v>
      </c>
      <c r="AT1788" s="699"/>
      <c r="AU1788" s="688"/>
      <c r="AV1788" s="688">
        <v>42656</v>
      </c>
      <c r="AW1788" s="688">
        <v>42607</v>
      </c>
      <c r="AX1788" s="688">
        <v>42678</v>
      </c>
      <c r="AY1788" s="698">
        <v>42631</v>
      </c>
      <c r="AZ1788" s="698"/>
      <c r="BA1788" s="699"/>
      <c r="BB1788" s="688" t="s">
        <v>3147</v>
      </c>
      <c r="BC1788" s="688" t="b">
        <v>0</v>
      </c>
      <c r="BD1788" s="688" t="s">
        <v>3116</v>
      </c>
      <c r="BE1788" s="688"/>
      <c r="BF1788" s="700">
        <v>10</v>
      </c>
      <c r="BG1788" s="700">
        <v>9</v>
      </c>
      <c r="BH1788" s="694">
        <v>8</v>
      </c>
      <c r="BI1788" s="694">
        <v>11</v>
      </c>
      <c r="BJ1788" s="694"/>
      <c r="BK1788" s="694"/>
      <c r="BL1788" s="701" t="s">
        <v>6981</v>
      </c>
      <c r="BM1788" s="694"/>
      <c r="BN1788" s="688"/>
      <c r="BO1788" s="688"/>
      <c r="BP1788" s="688"/>
      <c r="BQ1788" s="688"/>
      <c r="BR1788" s="688"/>
      <c r="BS1788" s="695">
        <v>671.9</v>
      </c>
      <c r="BT1788" s="694"/>
      <c r="BU1788" s="697"/>
      <c r="BV1788" s="695"/>
      <c r="BW1788" s="694"/>
      <c r="BX1788" s="701"/>
      <c r="BY1788" s="688"/>
      <c r="BZ1788" s="702"/>
      <c r="CA1788" s="702"/>
      <c r="CB1788" s="688"/>
      <c r="CC1788" s="688"/>
      <c r="CD1788" s="688"/>
      <c r="CE1788" s="688"/>
      <c r="CF1788" s="688"/>
      <c r="CG1788" s="688"/>
      <c r="CH1788" s="688"/>
      <c r="CI1788" s="688"/>
      <c r="CJ1788" s="688"/>
      <c r="CK1788" s="688"/>
      <c r="CL1788" s="697"/>
      <c r="CM1788" s="697"/>
      <c r="CN1788" s="697"/>
      <c r="CO1788" s="697"/>
      <c r="CP1788" s="697"/>
      <c r="CQ1788" s="697"/>
      <c r="CR1788" s="697"/>
      <c r="CS1788" s="688"/>
      <c r="CT1788" s="688"/>
      <c r="CU1788" s="688"/>
      <c r="CV1788" s="688"/>
      <c r="CW1788" s="688"/>
      <c r="CX1788" s="688"/>
      <c r="CY1788" s="688"/>
      <c r="CZ1788" s="688"/>
      <c r="DA1788" s="688"/>
      <c r="DB1788" s="688"/>
      <c r="DC1788" s="688"/>
      <c r="DD1788" s="688"/>
      <c r="DE1788" s="688"/>
      <c r="DF1788" s="688"/>
      <c r="DG1788" s="688"/>
      <c r="DH1788" s="688"/>
      <c r="DI1788" s="688"/>
      <c r="DJ1788" s="688"/>
      <c r="DK1788" s="896" t="s">
        <v>9728</v>
      </c>
    </row>
    <row r="1789" spans="1:115" ht="38.25" x14ac:dyDescent="0.2">
      <c r="A1789" s="295">
        <v>1785</v>
      </c>
      <c r="B1789" s="432" t="s">
        <v>7342</v>
      </c>
      <c r="C1789" s="432"/>
      <c r="D1789" s="532" t="s">
        <v>8836</v>
      </c>
      <c r="E1789" s="712" t="s">
        <v>7348</v>
      </c>
      <c r="F1789" s="688" t="s">
        <v>1340</v>
      </c>
      <c r="G1789" s="688" t="s">
        <v>1677</v>
      </c>
      <c r="H1789" s="688" t="s">
        <v>151</v>
      </c>
      <c r="I1789" s="688"/>
      <c r="J1789" s="688"/>
      <c r="K1789" s="688" t="s">
        <v>7349</v>
      </c>
      <c r="L1789" s="688" t="s">
        <v>7350</v>
      </c>
      <c r="M1789" s="688"/>
      <c r="N1789" s="393" t="s">
        <v>44</v>
      </c>
      <c r="O1789" s="688" t="s">
        <v>1155</v>
      </c>
      <c r="P1789" s="688" t="s">
        <v>1155</v>
      </c>
      <c r="Q1789" s="688" t="s">
        <v>1155</v>
      </c>
      <c r="R1789" s="688" t="s">
        <v>7351</v>
      </c>
      <c r="S1789" s="392" t="s">
        <v>650</v>
      </c>
      <c r="T1789" s="694">
        <v>1</v>
      </c>
      <c r="U1789" s="695">
        <v>211.875</v>
      </c>
      <c r="V1789" s="688"/>
      <c r="W1789" s="695"/>
      <c r="X1789" s="695"/>
      <c r="Y1789" s="694">
        <v>7</v>
      </c>
      <c r="Z1789" s="694"/>
      <c r="AA1789" s="688"/>
      <c r="AB1789" s="691">
        <v>42631</v>
      </c>
      <c r="AC1789" s="695"/>
      <c r="AD1789" s="696">
        <v>908.45034246575347</v>
      </c>
      <c r="AE1789" s="428" t="s">
        <v>96</v>
      </c>
      <c r="AF1789" s="697"/>
      <c r="AG1789" s="697"/>
      <c r="AH1789" s="697"/>
      <c r="AI1789" s="694"/>
      <c r="AJ1789" s="698"/>
      <c r="AK1789" s="698"/>
      <c r="AL1789" s="688"/>
      <c r="AM1789" s="688"/>
      <c r="AN1789" s="697"/>
      <c r="AO1789" s="688"/>
      <c r="AP1789" s="688" t="s">
        <v>55</v>
      </c>
      <c r="AQ1789" s="688"/>
      <c r="AR1789" s="688" t="s">
        <v>7352</v>
      </c>
      <c r="AS1789" s="698">
        <v>42335</v>
      </c>
      <c r="AT1789" s="699"/>
      <c r="AU1789" s="688"/>
      <c r="AV1789" s="688"/>
      <c r="AW1789" s="688"/>
      <c r="AX1789" s="688"/>
      <c r="AY1789" s="698"/>
      <c r="AZ1789" s="698">
        <v>42631</v>
      </c>
      <c r="BA1789" s="699"/>
      <c r="BB1789" s="688"/>
      <c r="BC1789" s="688" t="b">
        <v>1</v>
      </c>
      <c r="BD1789" s="688"/>
      <c r="BE1789" s="688"/>
      <c r="BF1789" s="700">
        <v>10</v>
      </c>
      <c r="BG1789" s="700">
        <v>9</v>
      </c>
      <c r="BH1789" s="694">
        <v>8</v>
      </c>
      <c r="BI1789" s="694">
        <v>11</v>
      </c>
      <c r="BJ1789" s="694"/>
      <c r="BK1789" s="694"/>
      <c r="BL1789" s="701" t="s">
        <v>6981</v>
      </c>
      <c r="BM1789" s="694"/>
      <c r="BN1789" s="688"/>
      <c r="BO1789" s="688"/>
      <c r="BP1789" s="688"/>
      <c r="BQ1789" s="688"/>
      <c r="BR1789" s="688"/>
      <c r="BS1789" s="695">
        <f>2*29.7+2*18.9</f>
        <v>97.199999999999989</v>
      </c>
      <c r="BT1789" s="694">
        <v>413.98099999999999</v>
      </c>
      <c r="BU1789" s="697">
        <v>0.51180000000000003</v>
      </c>
      <c r="BV1789" s="695"/>
      <c r="BW1789" s="694" t="s">
        <v>3117</v>
      </c>
      <c r="BX1789" s="701"/>
      <c r="BY1789" s="688"/>
      <c r="BZ1789" s="702"/>
      <c r="CA1789" s="702"/>
      <c r="CB1789" s="688"/>
      <c r="CC1789" s="688"/>
      <c r="CD1789" s="688"/>
      <c r="CE1789" s="688"/>
      <c r="CF1789" s="688"/>
      <c r="CG1789" s="688"/>
      <c r="CH1789" s="688"/>
      <c r="CI1789" s="688"/>
      <c r="CJ1789" s="688"/>
      <c r="CK1789" s="688"/>
      <c r="CL1789" s="697"/>
      <c r="CM1789" s="697">
        <v>211.875</v>
      </c>
      <c r="CN1789" s="697">
        <v>211.875</v>
      </c>
      <c r="CO1789" s="697">
        <v>211.875</v>
      </c>
      <c r="CP1789" s="697">
        <v>211.875</v>
      </c>
      <c r="CQ1789" s="697">
        <v>211.875</v>
      </c>
      <c r="CR1789" s="697">
        <v>211.875</v>
      </c>
      <c r="CS1789" s="697">
        <v>211.875</v>
      </c>
      <c r="CT1789" s="688"/>
      <c r="CU1789" s="688"/>
      <c r="CV1789" s="688"/>
      <c r="CW1789" s="688"/>
      <c r="CX1789" s="688"/>
      <c r="CY1789" s="688"/>
      <c r="CZ1789" s="688"/>
      <c r="DA1789" s="688"/>
      <c r="DB1789" s="688"/>
      <c r="DC1789" s="688"/>
      <c r="DD1789" s="688"/>
      <c r="DE1789" s="688"/>
      <c r="DF1789" s="688"/>
      <c r="DG1789" s="688"/>
      <c r="DH1789" s="688"/>
      <c r="DI1789" s="688"/>
      <c r="DJ1789" s="688"/>
      <c r="DK1789" s="897"/>
    </row>
    <row r="1790" spans="1:115" ht="38.25" x14ac:dyDescent="0.2">
      <c r="A1790" s="295">
        <v>1786</v>
      </c>
      <c r="B1790" s="432" t="s">
        <v>9122</v>
      </c>
      <c r="C1790" s="432"/>
      <c r="D1790" s="532" t="s">
        <v>9123</v>
      </c>
      <c r="E1790" s="712" t="s">
        <v>9124</v>
      </c>
      <c r="F1790" s="688" t="s">
        <v>1340</v>
      </c>
      <c r="G1790" s="688" t="s">
        <v>1677</v>
      </c>
      <c r="H1790" s="688" t="s">
        <v>151</v>
      </c>
      <c r="I1790" s="688"/>
      <c r="J1790" s="688"/>
      <c r="K1790" s="688" t="s">
        <v>6131</v>
      </c>
      <c r="L1790" s="688" t="s">
        <v>7350</v>
      </c>
      <c r="M1790" s="688"/>
      <c r="N1790" s="393" t="s">
        <v>44</v>
      </c>
      <c r="O1790" s="392" t="s">
        <v>827</v>
      </c>
      <c r="P1790" s="392" t="s">
        <v>827</v>
      </c>
      <c r="Q1790" s="392" t="s">
        <v>836</v>
      </c>
      <c r="R1790" s="688" t="s">
        <v>9126</v>
      </c>
      <c r="S1790" s="392" t="s">
        <v>650</v>
      </c>
      <c r="T1790" s="694">
        <v>1</v>
      </c>
      <c r="U1790" s="695">
        <v>45.893000000000001</v>
      </c>
      <c r="V1790" s="688"/>
      <c r="W1790" s="695"/>
      <c r="X1790" s="695"/>
      <c r="Y1790" s="694">
        <v>7</v>
      </c>
      <c r="Z1790" s="694"/>
      <c r="AA1790" s="688"/>
      <c r="AB1790" s="691">
        <v>42631</v>
      </c>
      <c r="AC1790" s="695"/>
      <c r="AD1790" s="696">
        <v>196.77409589041096</v>
      </c>
      <c r="AE1790" s="428" t="s">
        <v>96</v>
      </c>
      <c r="AF1790" s="697"/>
      <c r="AG1790" s="697"/>
      <c r="AH1790" s="697"/>
      <c r="AI1790" s="694"/>
      <c r="AJ1790" s="698"/>
      <c r="AK1790" s="698"/>
      <c r="AL1790" s="688"/>
      <c r="AM1790" s="688"/>
      <c r="AN1790" s="697"/>
      <c r="AO1790" s="688"/>
      <c r="AP1790" s="688" t="s">
        <v>55</v>
      </c>
      <c r="AQ1790" s="688"/>
      <c r="AR1790" s="688" t="s">
        <v>7352</v>
      </c>
      <c r="AS1790" s="698">
        <v>42335</v>
      </c>
      <c r="AT1790" s="699"/>
      <c r="AU1790" s="688"/>
      <c r="AV1790" s="688"/>
      <c r="AW1790" s="688"/>
      <c r="AX1790" s="688"/>
      <c r="AY1790" s="698"/>
      <c r="AZ1790" s="698">
        <v>42977</v>
      </c>
      <c r="BA1790" s="699"/>
      <c r="BB1790" s="688"/>
      <c r="BC1790" s="688" t="b">
        <v>1</v>
      </c>
      <c r="BD1790" s="688"/>
      <c r="BE1790" s="688"/>
      <c r="BF1790" s="700">
        <v>10</v>
      </c>
      <c r="BG1790" s="700">
        <v>9</v>
      </c>
      <c r="BH1790" s="694">
        <v>8</v>
      </c>
      <c r="BI1790" s="694">
        <v>11</v>
      </c>
      <c r="BJ1790" s="694"/>
      <c r="BK1790" s="694"/>
      <c r="BL1790" s="701" t="s">
        <v>6981</v>
      </c>
      <c r="BM1790" s="694"/>
      <c r="BN1790" s="688"/>
      <c r="BO1790" s="688"/>
      <c r="BP1790" s="688"/>
      <c r="BQ1790" s="688"/>
      <c r="BR1790" s="688"/>
      <c r="BS1790" s="695">
        <v>30</v>
      </c>
      <c r="BT1790" s="694">
        <v>84.805000000000007</v>
      </c>
      <c r="BU1790" s="697">
        <v>0.51180000000000003</v>
      </c>
      <c r="BV1790" s="695"/>
      <c r="BW1790" s="694" t="s">
        <v>3117</v>
      </c>
      <c r="BX1790" s="701"/>
      <c r="BY1790" s="688"/>
      <c r="BZ1790" s="702"/>
      <c r="CA1790" s="702"/>
      <c r="CB1790" s="688"/>
      <c r="CC1790" s="688"/>
      <c r="CD1790" s="688"/>
      <c r="CE1790" s="688"/>
      <c r="CF1790" s="688"/>
      <c r="CG1790" s="688"/>
      <c r="CH1790" s="688"/>
      <c r="CI1790" s="688"/>
      <c r="CJ1790" s="688"/>
      <c r="CK1790" s="688"/>
      <c r="CL1790" s="697"/>
      <c r="CM1790" s="697"/>
      <c r="CN1790" s="697">
        <v>45.893000000000001</v>
      </c>
      <c r="CO1790" s="697">
        <v>45.893000000000001</v>
      </c>
      <c r="CP1790" s="697">
        <v>45.893000000000001</v>
      </c>
      <c r="CQ1790" s="697">
        <v>45.893000000000001</v>
      </c>
      <c r="CR1790" s="697">
        <v>45.893000000000001</v>
      </c>
      <c r="CS1790" s="697">
        <v>45.893000000000001</v>
      </c>
      <c r="CT1790" s="697">
        <v>45.893000000000001</v>
      </c>
      <c r="CU1790" s="688"/>
      <c r="CV1790" s="688"/>
      <c r="CW1790" s="688"/>
      <c r="CX1790" s="688"/>
      <c r="CY1790" s="688"/>
      <c r="CZ1790" s="688"/>
      <c r="DA1790" s="688"/>
      <c r="DB1790" s="688"/>
      <c r="DC1790" s="688"/>
      <c r="DD1790" s="688"/>
      <c r="DE1790" s="688"/>
      <c r="DF1790" s="688"/>
      <c r="DG1790" s="688"/>
      <c r="DH1790" s="688"/>
      <c r="DI1790" s="688"/>
      <c r="DJ1790" s="688"/>
      <c r="DK1790" s="897"/>
    </row>
    <row r="1791" spans="1:115" ht="25.5" x14ac:dyDescent="0.2">
      <c r="A1791" s="295">
        <v>1787</v>
      </c>
      <c r="B1791" s="432" t="s">
        <v>9308</v>
      </c>
      <c r="C1791" s="432"/>
      <c r="D1791" s="532" t="s">
        <v>9309</v>
      </c>
      <c r="E1791" s="712" t="s">
        <v>9312</v>
      </c>
      <c r="F1791" s="688" t="s">
        <v>1340</v>
      </c>
      <c r="G1791" s="688" t="s">
        <v>1677</v>
      </c>
      <c r="H1791" s="688" t="s">
        <v>151</v>
      </c>
      <c r="I1791" s="688"/>
      <c r="J1791" s="688"/>
      <c r="K1791" s="688" t="s">
        <v>6131</v>
      </c>
      <c r="L1791" s="688" t="s">
        <v>7350</v>
      </c>
      <c r="M1791" s="688"/>
      <c r="N1791" s="393" t="s">
        <v>44</v>
      </c>
      <c r="O1791" s="392" t="s">
        <v>827</v>
      </c>
      <c r="P1791" s="392" t="s">
        <v>827</v>
      </c>
      <c r="Q1791" s="392" t="s">
        <v>836</v>
      </c>
      <c r="R1791" s="688" t="s">
        <v>9315</v>
      </c>
      <c r="S1791" s="392" t="s">
        <v>650</v>
      </c>
      <c r="T1791" s="694">
        <v>1</v>
      </c>
      <c r="U1791" s="695">
        <v>119.80500000000001</v>
      </c>
      <c r="V1791" s="688"/>
      <c r="W1791" s="695"/>
      <c r="X1791" s="695"/>
      <c r="Y1791" s="694">
        <v>7</v>
      </c>
      <c r="Z1791" s="694"/>
      <c r="AA1791" s="688"/>
      <c r="AB1791" s="691">
        <v>43101</v>
      </c>
      <c r="AC1791" s="695"/>
      <c r="AD1791" s="696">
        <v>359.41500000000002</v>
      </c>
      <c r="AE1791" s="428" t="s">
        <v>96</v>
      </c>
      <c r="AF1791" s="697"/>
      <c r="AG1791" s="697"/>
      <c r="AH1791" s="697"/>
      <c r="AI1791" s="694"/>
      <c r="AJ1791" s="698"/>
      <c r="AK1791" s="698"/>
      <c r="AL1791" s="688"/>
      <c r="AM1791" s="688"/>
      <c r="AN1791" s="697"/>
      <c r="AO1791" s="688"/>
      <c r="AP1791" s="688" t="s">
        <v>55</v>
      </c>
      <c r="AQ1791" s="688"/>
      <c r="AR1791" s="688" t="s">
        <v>7352</v>
      </c>
      <c r="AS1791" s="698">
        <v>42335</v>
      </c>
      <c r="AT1791" s="699"/>
      <c r="AU1791" s="688"/>
      <c r="AV1791" s="688"/>
      <c r="AW1791" s="688"/>
      <c r="AX1791" s="688"/>
      <c r="AY1791" s="698"/>
      <c r="AZ1791" s="698">
        <v>43035</v>
      </c>
      <c r="BA1791" s="699"/>
      <c r="BB1791" s="688"/>
      <c r="BC1791" s="688" t="b">
        <v>1</v>
      </c>
      <c r="BD1791" s="688"/>
      <c r="BE1791" s="688"/>
      <c r="BF1791" s="700">
        <v>10</v>
      </c>
      <c r="BG1791" s="700">
        <v>9</v>
      </c>
      <c r="BH1791" s="694">
        <v>8</v>
      </c>
      <c r="BI1791" s="694">
        <v>11</v>
      </c>
      <c r="BJ1791" s="694"/>
      <c r="BK1791" s="694"/>
      <c r="BL1791" s="701" t="s">
        <v>6981</v>
      </c>
      <c r="BM1791" s="694"/>
      <c r="BN1791" s="688"/>
      <c r="BO1791" s="688"/>
      <c r="BP1791" s="688"/>
      <c r="BQ1791" s="688"/>
      <c r="BR1791" s="688"/>
      <c r="BS1791" s="695">
        <f>32+32+22</f>
        <v>86</v>
      </c>
      <c r="BT1791" s="694">
        <v>221388</v>
      </c>
      <c r="BU1791" s="697">
        <v>0.51180000000000003</v>
      </c>
      <c r="BV1791" s="695"/>
      <c r="BW1791" s="694" t="s">
        <v>3117</v>
      </c>
      <c r="BX1791" s="701"/>
      <c r="BY1791" s="688"/>
      <c r="BZ1791" s="702"/>
      <c r="CA1791" s="702"/>
      <c r="CB1791" s="688"/>
      <c r="CC1791" s="688"/>
      <c r="CD1791" s="688"/>
      <c r="CE1791" s="688"/>
      <c r="CF1791" s="688"/>
      <c r="CG1791" s="688"/>
      <c r="CH1791" s="688"/>
      <c r="CI1791" s="688"/>
      <c r="CJ1791" s="688"/>
      <c r="CK1791" s="688"/>
      <c r="CL1791" s="697"/>
      <c r="CM1791" s="697"/>
      <c r="CN1791" s="697">
        <v>119.80500000000001</v>
      </c>
      <c r="CO1791" s="697">
        <v>119.80500000000001</v>
      </c>
      <c r="CP1791" s="697">
        <v>119.80500000000001</v>
      </c>
      <c r="CQ1791" s="697">
        <v>119.80500000000001</v>
      </c>
      <c r="CR1791" s="697">
        <v>119.80500000000001</v>
      </c>
      <c r="CS1791" s="697">
        <v>119.80500000000001</v>
      </c>
      <c r="CT1791" s="697">
        <v>119.80500000000001</v>
      </c>
      <c r="CU1791" s="688"/>
      <c r="CV1791" s="688"/>
      <c r="CW1791" s="688"/>
      <c r="CX1791" s="688"/>
      <c r="CY1791" s="688"/>
      <c r="CZ1791" s="688"/>
      <c r="DA1791" s="688"/>
      <c r="DB1791" s="688"/>
      <c r="DC1791" s="688"/>
      <c r="DD1791" s="688"/>
      <c r="DE1791" s="688"/>
      <c r="DF1791" s="688"/>
      <c r="DG1791" s="688"/>
      <c r="DH1791" s="688"/>
      <c r="DI1791" s="688"/>
      <c r="DJ1791" s="688"/>
      <c r="DK1791" s="897"/>
    </row>
    <row r="1792" spans="1:115" ht="25.5" x14ac:dyDescent="0.2">
      <c r="A1792" s="295">
        <v>1788</v>
      </c>
      <c r="B1792" s="432" t="s">
        <v>9310</v>
      </c>
      <c r="C1792" s="432"/>
      <c r="D1792" s="532" t="s">
        <v>9311</v>
      </c>
      <c r="E1792" s="712" t="s">
        <v>9313</v>
      </c>
      <c r="F1792" s="688" t="s">
        <v>1340</v>
      </c>
      <c r="G1792" s="688" t="s">
        <v>1677</v>
      </c>
      <c r="H1792" s="688" t="s">
        <v>151</v>
      </c>
      <c r="I1792" s="688"/>
      <c r="J1792" s="688"/>
      <c r="K1792" s="688" t="s">
        <v>1815</v>
      </c>
      <c r="L1792" s="688" t="s">
        <v>7350</v>
      </c>
      <c r="M1792" s="688"/>
      <c r="N1792" s="393" t="s">
        <v>44</v>
      </c>
      <c r="O1792" s="392" t="s">
        <v>827</v>
      </c>
      <c r="P1792" s="392" t="s">
        <v>827</v>
      </c>
      <c r="Q1792" s="392" t="s">
        <v>836</v>
      </c>
      <c r="R1792" s="725" t="s">
        <v>9314</v>
      </c>
      <c r="S1792" s="392" t="s">
        <v>650</v>
      </c>
      <c r="T1792" s="694">
        <v>1</v>
      </c>
      <c r="U1792" s="695">
        <v>161.34100000000001</v>
      </c>
      <c r="V1792" s="688"/>
      <c r="W1792" s="695"/>
      <c r="X1792" s="695"/>
      <c r="Y1792" s="694">
        <v>7</v>
      </c>
      <c r="Z1792" s="694"/>
      <c r="AA1792" s="688"/>
      <c r="AB1792" s="691">
        <v>43466</v>
      </c>
      <c r="AC1792" s="695"/>
      <c r="AD1792" s="696">
        <v>322.68200000000002</v>
      </c>
      <c r="AE1792" s="428" t="s">
        <v>96</v>
      </c>
      <c r="AF1792" s="697"/>
      <c r="AG1792" s="697"/>
      <c r="AH1792" s="697"/>
      <c r="AI1792" s="694"/>
      <c r="AJ1792" s="698"/>
      <c r="AK1792" s="698"/>
      <c r="AL1792" s="688"/>
      <c r="AM1792" s="688"/>
      <c r="AN1792" s="697"/>
      <c r="AO1792" s="688"/>
      <c r="AP1792" s="688" t="s">
        <v>55</v>
      </c>
      <c r="AQ1792" s="688"/>
      <c r="AR1792" s="688" t="s">
        <v>7352</v>
      </c>
      <c r="AS1792" s="698">
        <v>42335</v>
      </c>
      <c r="AT1792" s="699"/>
      <c r="AU1792" s="688"/>
      <c r="AV1792" s="688"/>
      <c r="AW1792" s="688"/>
      <c r="AX1792" s="688"/>
      <c r="AY1792" s="698"/>
      <c r="AZ1792" s="698">
        <v>43035</v>
      </c>
      <c r="BA1792" s="699"/>
      <c r="BB1792" s="688"/>
      <c r="BC1792" s="688" t="b">
        <v>1</v>
      </c>
      <c r="BD1792" s="688"/>
      <c r="BE1792" s="688"/>
      <c r="BF1792" s="700">
        <v>10</v>
      </c>
      <c r="BG1792" s="700">
        <v>9</v>
      </c>
      <c r="BH1792" s="694">
        <v>8</v>
      </c>
      <c r="BI1792" s="694">
        <v>11</v>
      </c>
      <c r="BJ1792" s="694"/>
      <c r="BK1792" s="694"/>
      <c r="BL1792" s="701" t="s">
        <v>6981</v>
      </c>
      <c r="BM1792" s="694"/>
      <c r="BN1792" s="688"/>
      <c r="BO1792" s="688"/>
      <c r="BP1792" s="688"/>
      <c r="BQ1792" s="688"/>
      <c r="BR1792" s="688"/>
      <c r="BS1792" s="695">
        <f>33*4</f>
        <v>132</v>
      </c>
      <c r="BT1792" s="694">
        <v>298138</v>
      </c>
      <c r="BU1792" s="697">
        <v>0.51180000000000003</v>
      </c>
      <c r="BV1792" s="695"/>
      <c r="BW1792" s="694" t="s">
        <v>3117</v>
      </c>
      <c r="BX1792" s="701"/>
      <c r="BY1792" s="688"/>
      <c r="BZ1792" s="702"/>
      <c r="CA1792" s="702"/>
      <c r="CB1792" s="688"/>
      <c r="CC1792" s="688"/>
      <c r="CD1792" s="688"/>
      <c r="CE1792" s="688"/>
      <c r="CF1792" s="688"/>
      <c r="CG1792" s="688"/>
      <c r="CH1792" s="688"/>
      <c r="CI1792" s="688"/>
      <c r="CJ1792" s="688"/>
      <c r="CK1792" s="688"/>
      <c r="CL1792" s="697"/>
      <c r="CM1792" s="697"/>
      <c r="CN1792" s="697"/>
      <c r="CO1792" s="697">
        <v>161.34100000000001</v>
      </c>
      <c r="CP1792" s="697">
        <v>161.34100000000001</v>
      </c>
      <c r="CQ1792" s="697">
        <v>161.34100000000001</v>
      </c>
      <c r="CR1792" s="697">
        <v>161.34100000000001</v>
      </c>
      <c r="CS1792" s="697">
        <v>161.34100000000001</v>
      </c>
      <c r="CT1792" s="697">
        <v>161.34100000000001</v>
      </c>
      <c r="CU1792" s="697">
        <v>161.34100000000001</v>
      </c>
      <c r="CV1792" s="688"/>
      <c r="CW1792" s="688"/>
      <c r="CX1792" s="688"/>
      <c r="CY1792" s="688"/>
      <c r="CZ1792" s="688"/>
      <c r="DA1792" s="688"/>
      <c r="DB1792" s="688"/>
      <c r="DC1792" s="688"/>
      <c r="DD1792" s="688"/>
      <c r="DE1792" s="688"/>
      <c r="DF1792" s="688"/>
      <c r="DG1792" s="688"/>
      <c r="DH1792" s="688"/>
      <c r="DI1792" s="688"/>
      <c r="DJ1792" s="688"/>
      <c r="DK1792" s="897"/>
    </row>
    <row r="1793" spans="1:115" s="3" customFormat="1" ht="25.5" x14ac:dyDescent="0.2">
      <c r="A1793" s="295">
        <v>1789</v>
      </c>
      <c r="B1793" s="432" t="s">
        <v>9444</v>
      </c>
      <c r="C1793" s="432"/>
      <c r="D1793" s="532" t="s">
        <v>9445</v>
      </c>
      <c r="E1793" s="712" t="s">
        <v>7347</v>
      </c>
      <c r="F1793" s="688" t="s">
        <v>1340</v>
      </c>
      <c r="G1793" s="688" t="s">
        <v>1677</v>
      </c>
      <c r="H1793" s="688" t="s">
        <v>151</v>
      </c>
      <c r="I1793" s="688"/>
      <c r="J1793" s="688"/>
      <c r="K1793" s="688" t="s">
        <v>151</v>
      </c>
      <c r="L1793" s="688" t="s">
        <v>7350</v>
      </c>
      <c r="M1793" s="688"/>
      <c r="N1793" s="393" t="s">
        <v>44</v>
      </c>
      <c r="O1793" s="393" t="s">
        <v>1155</v>
      </c>
      <c r="P1793" s="393" t="s">
        <v>1155</v>
      </c>
      <c r="Q1793" s="392" t="s">
        <v>1155</v>
      </c>
      <c r="R1793" s="688" t="s">
        <v>9446</v>
      </c>
      <c r="S1793" s="428" t="s">
        <v>650</v>
      </c>
      <c r="T1793" s="694">
        <v>1</v>
      </c>
      <c r="U1793" s="695">
        <v>778.49300000000005</v>
      </c>
      <c r="V1793" s="688"/>
      <c r="W1793" s="695"/>
      <c r="X1793" s="695"/>
      <c r="Y1793" s="694">
        <v>7</v>
      </c>
      <c r="Z1793" s="694">
        <v>20</v>
      </c>
      <c r="AA1793" s="688"/>
      <c r="AB1793" s="691">
        <v>43466</v>
      </c>
      <c r="AC1793" s="695"/>
      <c r="AD1793" s="696">
        <v>1556.9860000000001</v>
      </c>
      <c r="AE1793" s="428" t="s">
        <v>96</v>
      </c>
      <c r="AF1793" s="697"/>
      <c r="AG1793" s="697"/>
      <c r="AH1793" s="697"/>
      <c r="AI1793" s="694"/>
      <c r="AJ1793" s="698"/>
      <c r="AK1793" s="698"/>
      <c r="AL1793" s="688"/>
      <c r="AM1793" s="688"/>
      <c r="AN1793" s="697"/>
      <c r="AO1793" s="688"/>
      <c r="AP1793" s="688" t="s">
        <v>55</v>
      </c>
      <c r="AQ1793" s="688"/>
      <c r="AR1793" s="688" t="s">
        <v>7352</v>
      </c>
      <c r="AS1793" s="698">
        <v>42335</v>
      </c>
      <c r="AT1793" s="699"/>
      <c r="AU1793" s="688"/>
      <c r="AV1793" s="688"/>
      <c r="AW1793" s="688"/>
      <c r="AX1793" s="688"/>
      <c r="AY1793" s="698"/>
      <c r="AZ1793" s="698">
        <v>43133</v>
      </c>
      <c r="BA1793" s="699"/>
      <c r="BB1793" s="688"/>
      <c r="BC1793" s="688" t="b">
        <v>1</v>
      </c>
      <c r="BD1793" s="688"/>
      <c r="BE1793" s="688"/>
      <c r="BF1793" s="700">
        <v>10</v>
      </c>
      <c r="BG1793" s="700">
        <v>9</v>
      </c>
      <c r="BH1793" s="694">
        <v>8</v>
      </c>
      <c r="BI1793" s="694">
        <v>11</v>
      </c>
      <c r="BJ1793" s="694"/>
      <c r="BK1793" s="694"/>
      <c r="BL1793" s="701" t="s">
        <v>6981</v>
      </c>
      <c r="BM1793" s="694"/>
      <c r="BN1793" s="688"/>
      <c r="BO1793" s="688"/>
      <c r="BP1793" s="688"/>
      <c r="BQ1793" s="688"/>
      <c r="BR1793" s="688"/>
      <c r="BS1793" s="695">
        <v>326.7</v>
      </c>
      <c r="BT1793" s="694">
        <v>1438556</v>
      </c>
      <c r="BU1793" s="697">
        <v>0.54120000000000001</v>
      </c>
      <c r="BV1793" s="695"/>
      <c r="BW1793" s="694" t="s">
        <v>3117</v>
      </c>
      <c r="BX1793" s="701"/>
      <c r="BY1793" s="688"/>
      <c r="BZ1793" s="702"/>
      <c r="CA1793" s="702"/>
      <c r="CB1793" s="688"/>
      <c r="CC1793" s="688"/>
      <c r="CD1793" s="688"/>
      <c r="CE1793" s="688"/>
      <c r="CF1793" s="688"/>
      <c r="CG1793" s="688"/>
      <c r="CH1793" s="688"/>
      <c r="CI1793" s="688"/>
      <c r="CJ1793" s="688"/>
      <c r="CK1793" s="688"/>
      <c r="CL1793" s="697"/>
      <c r="CM1793" s="697"/>
      <c r="CN1793" s="697"/>
      <c r="CO1793" s="697">
        <v>775.34100000000001</v>
      </c>
      <c r="CP1793" s="697">
        <v>779.01800000000003</v>
      </c>
      <c r="CQ1793" s="697">
        <v>779.01800000000003</v>
      </c>
      <c r="CR1793" s="697">
        <v>779.01800000000003</v>
      </c>
      <c r="CS1793" s="697">
        <v>779.01800000000003</v>
      </c>
      <c r="CT1793" s="697">
        <v>779.01800000000003</v>
      </c>
      <c r="CU1793" s="697">
        <v>779.01800000000003</v>
      </c>
      <c r="CV1793" s="688"/>
      <c r="CW1793" s="688"/>
      <c r="CX1793" s="688"/>
      <c r="CY1793" s="688"/>
      <c r="CZ1793" s="688"/>
      <c r="DA1793" s="688"/>
      <c r="DB1793" s="688"/>
      <c r="DC1793" s="688"/>
      <c r="DD1793" s="688"/>
      <c r="DE1793" s="688"/>
      <c r="DF1793" s="688"/>
      <c r="DG1793" s="688"/>
      <c r="DH1793" s="688"/>
      <c r="DI1793" s="688"/>
      <c r="DJ1793" s="688"/>
      <c r="DK1793" s="897"/>
    </row>
    <row r="1794" spans="1:115" s="3" customFormat="1" ht="63.75" x14ac:dyDescent="0.2">
      <c r="A1794" s="295">
        <v>1790</v>
      </c>
      <c r="B1794" s="502" t="s">
        <v>7391</v>
      </c>
      <c r="C1794" s="432" t="s">
        <v>7898</v>
      </c>
      <c r="D1794" s="503">
        <v>10340</v>
      </c>
      <c r="E1794" s="712" t="s">
        <v>7393</v>
      </c>
      <c r="F1794" s="688" t="s">
        <v>1375</v>
      </c>
      <c r="G1794" s="688" t="s">
        <v>998</v>
      </c>
      <c r="H1794" s="688" t="s">
        <v>1381</v>
      </c>
      <c r="I1794" s="688"/>
      <c r="J1794" s="688" t="s">
        <v>7395</v>
      </c>
      <c r="K1794" s="688"/>
      <c r="L1794" s="688" t="s">
        <v>7397</v>
      </c>
      <c r="M1794" s="688" t="s">
        <v>7398</v>
      </c>
      <c r="N1794" s="393" t="s">
        <v>44</v>
      </c>
      <c r="O1794" s="688" t="s">
        <v>51</v>
      </c>
      <c r="P1794" s="688" t="s">
        <v>51</v>
      </c>
      <c r="Q1794" s="688" t="s">
        <v>976</v>
      </c>
      <c r="R1794" s="688"/>
      <c r="S1794" s="428" t="s">
        <v>7400</v>
      </c>
      <c r="T1794" s="694">
        <v>3</v>
      </c>
      <c r="U1794" s="695">
        <v>214.10300000000001</v>
      </c>
      <c r="V1794" s="688"/>
      <c r="W1794" s="479">
        <v>42047</v>
      </c>
      <c r="X1794" s="694">
        <v>28</v>
      </c>
      <c r="Y1794" s="688"/>
      <c r="Z1794" s="694"/>
      <c r="AA1794" s="688"/>
      <c r="AB1794" s="694"/>
      <c r="AC1794" s="695">
        <v>0</v>
      </c>
      <c r="AD1794" s="695">
        <v>862.86441917808202</v>
      </c>
      <c r="AE1794" s="688" t="s">
        <v>787</v>
      </c>
      <c r="AF1794" s="697"/>
      <c r="AG1794" s="697"/>
      <c r="AH1794" s="697">
        <v>0</v>
      </c>
      <c r="AI1794" s="694"/>
      <c r="AJ1794" s="698"/>
      <c r="AK1794" s="698"/>
      <c r="AL1794" s="688"/>
      <c r="AM1794" s="688"/>
      <c r="AN1794" s="697"/>
      <c r="AO1794" s="688"/>
      <c r="AP1794" s="688" t="s">
        <v>55</v>
      </c>
      <c r="AQ1794" s="688"/>
      <c r="AR1794" s="688" t="s">
        <v>356</v>
      </c>
      <c r="AS1794" s="698">
        <v>42353</v>
      </c>
      <c r="AT1794" s="699"/>
      <c r="AU1794" s="688"/>
      <c r="AV1794" s="688">
        <v>42496</v>
      </c>
      <c r="AW1794" s="688">
        <v>42725</v>
      </c>
      <c r="AX1794" s="688">
        <v>42769</v>
      </c>
      <c r="AY1794" s="698">
        <v>42725</v>
      </c>
      <c r="AZ1794" s="698"/>
      <c r="BA1794" s="699"/>
      <c r="BB1794" s="688" t="s">
        <v>3147</v>
      </c>
      <c r="BC1794" s="688" t="b">
        <v>0</v>
      </c>
      <c r="BD1794" s="688" t="s">
        <v>3147</v>
      </c>
      <c r="BE1794" s="688"/>
      <c r="BF1794" s="694">
        <v>2</v>
      </c>
      <c r="BG1794" s="694">
        <v>6</v>
      </c>
      <c r="BH1794" s="694">
        <v>8</v>
      </c>
      <c r="BI1794" s="694"/>
      <c r="BJ1794" s="694"/>
      <c r="BK1794" s="694"/>
      <c r="BL1794" s="747">
        <v>1</v>
      </c>
      <c r="BM1794" s="694"/>
      <c r="BN1794" s="688"/>
      <c r="BO1794" s="688"/>
      <c r="BP1794" s="688"/>
      <c r="BQ1794" s="688"/>
      <c r="BR1794" s="688"/>
      <c r="BS1794" s="695">
        <v>0</v>
      </c>
      <c r="BT1794" s="694"/>
      <c r="BU1794" s="697"/>
      <c r="BV1794" s="695"/>
      <c r="BW1794" s="694"/>
      <c r="BX1794" s="701"/>
      <c r="BY1794" s="688"/>
      <c r="BZ1794" s="428" t="s">
        <v>3165</v>
      </c>
      <c r="CA1794" s="702"/>
      <c r="CB1794" s="688"/>
      <c r="CC1794" s="688"/>
      <c r="CD1794" s="688"/>
      <c r="CE1794" s="688"/>
      <c r="CF1794" s="688"/>
      <c r="CG1794" s="688"/>
      <c r="CH1794" s="688"/>
      <c r="CI1794" s="688"/>
      <c r="CJ1794" s="688"/>
      <c r="CK1794" s="688"/>
      <c r="CL1794" s="688"/>
      <c r="CM1794" s="688"/>
      <c r="CN1794" s="688"/>
      <c r="CO1794" s="688"/>
      <c r="CP1794" s="688"/>
      <c r="CQ1794" s="688"/>
      <c r="CR1794" s="688"/>
      <c r="CS1794" s="688"/>
      <c r="CT1794" s="688"/>
      <c r="CU1794" s="688"/>
      <c r="CV1794" s="688"/>
      <c r="CW1794" s="688"/>
      <c r="CX1794" s="688"/>
      <c r="CY1794" s="688"/>
      <c r="CZ1794" s="688"/>
      <c r="DA1794" s="688"/>
      <c r="DB1794" s="688"/>
      <c r="DC1794" s="688"/>
      <c r="DD1794" s="688"/>
      <c r="DE1794" s="688"/>
      <c r="DF1794" s="688"/>
      <c r="DG1794" s="688"/>
      <c r="DH1794" s="688"/>
      <c r="DI1794" s="688"/>
      <c r="DJ1794" s="688"/>
      <c r="DK1794" s="896" t="s">
        <v>9733</v>
      </c>
    </row>
    <row r="1795" spans="1:115" s="3" customFormat="1" ht="38.25" x14ac:dyDescent="0.2">
      <c r="A1795" s="295">
        <v>1791</v>
      </c>
      <c r="B1795" s="502" t="s">
        <v>7392</v>
      </c>
      <c r="C1795" s="502"/>
      <c r="D1795" s="497" t="s">
        <v>8954</v>
      </c>
      <c r="E1795" s="712" t="s">
        <v>7394</v>
      </c>
      <c r="F1795" s="688" t="s">
        <v>1375</v>
      </c>
      <c r="G1795" s="688" t="s">
        <v>998</v>
      </c>
      <c r="H1795" s="688" t="s">
        <v>1381</v>
      </c>
      <c r="I1795" s="688"/>
      <c r="J1795" s="688"/>
      <c r="K1795" s="688" t="s">
        <v>7396</v>
      </c>
      <c r="L1795" s="688" t="s">
        <v>7397</v>
      </c>
      <c r="M1795" s="688"/>
      <c r="N1795" s="393" t="s">
        <v>44</v>
      </c>
      <c r="O1795" s="688" t="s">
        <v>51</v>
      </c>
      <c r="P1795" s="688" t="s">
        <v>51</v>
      </c>
      <c r="Q1795" s="688" t="s">
        <v>976</v>
      </c>
      <c r="R1795" s="688" t="s">
        <v>7399</v>
      </c>
      <c r="S1795" s="688" t="s">
        <v>7400</v>
      </c>
      <c r="T1795" s="694">
        <v>1</v>
      </c>
      <c r="U1795" s="695">
        <v>67.741</v>
      </c>
      <c r="V1795" s="688"/>
      <c r="W1795" s="695"/>
      <c r="X1795" s="695"/>
      <c r="Y1795" s="694">
        <v>7</v>
      </c>
      <c r="Z1795" s="694">
        <v>10</v>
      </c>
      <c r="AA1795" s="688"/>
      <c r="AB1795" s="691">
        <v>42725</v>
      </c>
      <c r="AC1795" s="695"/>
      <c r="AD1795" s="695">
        <v>273.00550958904108</v>
      </c>
      <c r="AE1795" s="688" t="s">
        <v>787</v>
      </c>
      <c r="AF1795" s="697"/>
      <c r="AG1795" s="697"/>
      <c r="AH1795" s="697"/>
      <c r="AI1795" s="694"/>
      <c r="AJ1795" s="698"/>
      <c r="AK1795" s="698"/>
      <c r="AL1795" s="688"/>
      <c r="AM1795" s="688"/>
      <c r="AN1795" s="697"/>
      <c r="AO1795" s="688"/>
      <c r="AP1795" s="688" t="s">
        <v>55</v>
      </c>
      <c r="AQ1795" s="688"/>
      <c r="AR1795" s="688" t="s">
        <v>356</v>
      </c>
      <c r="AS1795" s="698">
        <v>42353</v>
      </c>
      <c r="AT1795" s="699"/>
      <c r="AU1795" s="688"/>
      <c r="AV1795" s="688"/>
      <c r="AW1795" s="688"/>
      <c r="AX1795" s="688"/>
      <c r="AY1795" s="698"/>
      <c r="AZ1795" s="698">
        <v>42725</v>
      </c>
      <c r="BA1795" s="699"/>
      <c r="BB1795" s="688"/>
      <c r="BC1795" s="688" t="b">
        <v>0</v>
      </c>
      <c r="BD1795" s="688"/>
      <c r="BE1795" s="688"/>
      <c r="BF1795" s="694">
        <v>2</v>
      </c>
      <c r="BG1795" s="694">
        <v>6</v>
      </c>
      <c r="BH1795" s="694">
        <v>8</v>
      </c>
      <c r="BI1795" s="694"/>
      <c r="BJ1795" s="694"/>
      <c r="BK1795" s="694"/>
      <c r="BL1795" s="747">
        <v>1</v>
      </c>
      <c r="BM1795" s="694"/>
      <c r="BN1795" s="688"/>
      <c r="BO1795" s="688"/>
      <c r="BP1795" s="688"/>
      <c r="BQ1795" s="688"/>
      <c r="BR1795" s="688"/>
      <c r="BS1795" s="695">
        <v>0</v>
      </c>
      <c r="BT1795" s="694"/>
      <c r="BU1795" s="697"/>
      <c r="BV1795" s="695"/>
      <c r="BW1795" s="694" t="s">
        <v>3117</v>
      </c>
      <c r="BX1795" s="701"/>
      <c r="BY1795" s="688"/>
      <c r="BZ1795" s="428" t="s">
        <v>3165</v>
      </c>
      <c r="CA1795" s="702"/>
      <c r="CB1795" s="688"/>
      <c r="CC1795" s="688"/>
      <c r="CD1795" s="688"/>
      <c r="CE1795" s="688"/>
      <c r="CF1795" s="688"/>
      <c r="CG1795" s="688"/>
      <c r="CH1795" s="688"/>
      <c r="CI1795" s="688"/>
      <c r="CJ1795" s="688"/>
      <c r="CK1795" s="688"/>
      <c r="CL1795" s="697"/>
      <c r="CM1795" s="695">
        <v>67.741</v>
      </c>
      <c r="CN1795" s="695">
        <v>67.741</v>
      </c>
      <c r="CO1795" s="695">
        <v>67.741</v>
      </c>
      <c r="CP1795" s="695">
        <v>67.741</v>
      </c>
      <c r="CQ1795" s="695">
        <v>67.741</v>
      </c>
      <c r="CR1795" s="695">
        <v>67.741</v>
      </c>
      <c r="CS1795" s="695">
        <v>67.741</v>
      </c>
      <c r="CT1795" s="688"/>
      <c r="CU1795" s="688"/>
      <c r="CV1795" s="688"/>
      <c r="CW1795" s="688"/>
      <c r="CX1795" s="688"/>
      <c r="CY1795" s="688"/>
      <c r="CZ1795" s="688"/>
      <c r="DA1795" s="688"/>
      <c r="DB1795" s="688"/>
      <c r="DC1795" s="688"/>
      <c r="DD1795" s="688"/>
      <c r="DE1795" s="688"/>
      <c r="DF1795" s="688"/>
      <c r="DG1795" s="688"/>
      <c r="DH1795" s="688"/>
      <c r="DI1795" s="688"/>
      <c r="DJ1795" s="688"/>
      <c r="DK1795" s="897"/>
    </row>
    <row r="1796" spans="1:115" s="3" customFormat="1" ht="38.25" x14ac:dyDescent="0.2">
      <c r="A1796" s="295">
        <v>1792</v>
      </c>
      <c r="B1796" s="502" t="s">
        <v>7402</v>
      </c>
      <c r="C1796" s="502"/>
      <c r="D1796" s="497" t="s">
        <v>8955</v>
      </c>
      <c r="E1796" s="712" t="s">
        <v>7401</v>
      </c>
      <c r="F1796" s="688" t="s">
        <v>1375</v>
      </c>
      <c r="G1796" s="688" t="s">
        <v>998</v>
      </c>
      <c r="H1796" s="688" t="s">
        <v>1704</v>
      </c>
      <c r="I1796" s="688"/>
      <c r="J1796" s="688"/>
      <c r="K1796" s="688" t="s">
        <v>1704</v>
      </c>
      <c r="L1796" s="688" t="s">
        <v>7397</v>
      </c>
      <c r="M1796" s="688"/>
      <c r="N1796" s="393" t="s">
        <v>44</v>
      </c>
      <c r="O1796" s="688" t="s">
        <v>51</v>
      </c>
      <c r="P1796" s="688" t="s">
        <v>51</v>
      </c>
      <c r="Q1796" s="688" t="s">
        <v>976</v>
      </c>
      <c r="R1796" s="688" t="s">
        <v>7399</v>
      </c>
      <c r="S1796" s="688" t="s">
        <v>7400</v>
      </c>
      <c r="T1796" s="694">
        <v>1</v>
      </c>
      <c r="U1796" s="695">
        <v>73.180999999999997</v>
      </c>
      <c r="V1796" s="688"/>
      <c r="W1796" s="695"/>
      <c r="X1796" s="695"/>
      <c r="Y1796" s="694">
        <v>7</v>
      </c>
      <c r="Z1796" s="694">
        <v>10</v>
      </c>
      <c r="AA1796" s="688"/>
      <c r="AB1796" s="691">
        <v>42725</v>
      </c>
      <c r="AC1796" s="695"/>
      <c r="AD1796" s="695">
        <v>294.9294547945205</v>
      </c>
      <c r="AE1796" s="688" t="s">
        <v>787</v>
      </c>
      <c r="AF1796" s="697"/>
      <c r="AG1796" s="697"/>
      <c r="AH1796" s="697"/>
      <c r="AI1796" s="694"/>
      <c r="AJ1796" s="698"/>
      <c r="AK1796" s="698"/>
      <c r="AL1796" s="688"/>
      <c r="AM1796" s="688"/>
      <c r="AN1796" s="697"/>
      <c r="AO1796" s="688"/>
      <c r="AP1796" s="688" t="s">
        <v>55</v>
      </c>
      <c r="AQ1796" s="688"/>
      <c r="AR1796" s="688" t="s">
        <v>356</v>
      </c>
      <c r="AS1796" s="698">
        <v>42353</v>
      </c>
      <c r="AT1796" s="699"/>
      <c r="AU1796" s="688"/>
      <c r="AV1796" s="688"/>
      <c r="AW1796" s="688"/>
      <c r="AX1796" s="688"/>
      <c r="AY1796" s="698"/>
      <c r="AZ1796" s="698">
        <v>42725</v>
      </c>
      <c r="BA1796" s="699"/>
      <c r="BB1796" s="688"/>
      <c r="BC1796" s="688" t="b">
        <v>0</v>
      </c>
      <c r="BD1796" s="688"/>
      <c r="BE1796" s="688"/>
      <c r="BF1796" s="694">
        <v>2</v>
      </c>
      <c r="BG1796" s="694">
        <v>6</v>
      </c>
      <c r="BH1796" s="694">
        <v>8</v>
      </c>
      <c r="BI1796" s="694"/>
      <c r="BJ1796" s="694"/>
      <c r="BK1796" s="694"/>
      <c r="BL1796" s="747">
        <v>1</v>
      </c>
      <c r="BM1796" s="694"/>
      <c r="BN1796" s="688"/>
      <c r="BO1796" s="688"/>
      <c r="BP1796" s="688"/>
      <c r="BQ1796" s="688"/>
      <c r="BR1796" s="688"/>
      <c r="BS1796" s="695">
        <v>0</v>
      </c>
      <c r="BT1796" s="694"/>
      <c r="BU1796" s="697"/>
      <c r="BV1796" s="695"/>
      <c r="BW1796" s="694" t="s">
        <v>3117</v>
      </c>
      <c r="BX1796" s="701"/>
      <c r="BY1796" s="688"/>
      <c r="BZ1796" s="428" t="s">
        <v>3165</v>
      </c>
      <c r="CA1796" s="702"/>
      <c r="CB1796" s="688"/>
      <c r="CC1796" s="688"/>
      <c r="CD1796" s="688"/>
      <c r="CE1796" s="688"/>
      <c r="CF1796" s="688"/>
      <c r="CG1796" s="688"/>
      <c r="CH1796" s="688"/>
      <c r="CI1796" s="688"/>
      <c r="CJ1796" s="688"/>
      <c r="CK1796" s="688"/>
      <c r="CL1796" s="697"/>
      <c r="CM1796" s="695">
        <v>73.180999999999997</v>
      </c>
      <c r="CN1796" s="695">
        <v>73.180999999999997</v>
      </c>
      <c r="CO1796" s="695">
        <v>73.180999999999997</v>
      </c>
      <c r="CP1796" s="695">
        <v>73.180999999999997</v>
      </c>
      <c r="CQ1796" s="695">
        <v>73.180999999999997</v>
      </c>
      <c r="CR1796" s="695">
        <v>73.180999999999997</v>
      </c>
      <c r="CS1796" s="695">
        <v>73.180999999999997</v>
      </c>
      <c r="CT1796" s="688"/>
      <c r="CU1796" s="688"/>
      <c r="CV1796" s="688"/>
      <c r="CW1796" s="688"/>
      <c r="CX1796" s="688"/>
      <c r="CY1796" s="688"/>
      <c r="CZ1796" s="688"/>
      <c r="DA1796" s="688"/>
      <c r="DB1796" s="688"/>
      <c r="DC1796" s="688"/>
      <c r="DD1796" s="688"/>
      <c r="DE1796" s="688"/>
      <c r="DF1796" s="688"/>
      <c r="DG1796" s="688"/>
      <c r="DH1796" s="688"/>
      <c r="DI1796" s="688"/>
      <c r="DJ1796" s="688"/>
      <c r="DK1796" s="897"/>
    </row>
    <row r="1797" spans="1:115" s="3" customFormat="1" ht="38.25" x14ac:dyDescent="0.2">
      <c r="A1797" s="295">
        <v>1793</v>
      </c>
      <c r="B1797" s="502" t="s">
        <v>8972</v>
      </c>
      <c r="C1797" s="502"/>
      <c r="D1797" s="497" t="s">
        <v>8973</v>
      </c>
      <c r="E1797" s="748" t="s">
        <v>8974</v>
      </c>
      <c r="F1797" s="688" t="s">
        <v>1375</v>
      </c>
      <c r="G1797" s="688" t="s">
        <v>998</v>
      </c>
      <c r="H1797" s="688" t="s">
        <v>1381</v>
      </c>
      <c r="I1797" s="749"/>
      <c r="J1797" s="749"/>
      <c r="K1797" s="688" t="s">
        <v>7396</v>
      </c>
      <c r="L1797" s="688" t="s">
        <v>7397</v>
      </c>
      <c r="M1797" s="749"/>
      <c r="N1797" s="393" t="s">
        <v>44</v>
      </c>
      <c r="O1797" s="688" t="s">
        <v>51</v>
      </c>
      <c r="P1797" s="688" t="s">
        <v>51</v>
      </c>
      <c r="Q1797" s="688" t="s">
        <v>976</v>
      </c>
      <c r="R1797" s="688" t="s">
        <v>7399</v>
      </c>
      <c r="S1797" s="688" t="s">
        <v>7400</v>
      </c>
      <c r="T1797" s="750">
        <v>1</v>
      </c>
      <c r="U1797" s="751">
        <v>73.180999999999997</v>
      </c>
      <c r="V1797" s="749"/>
      <c r="W1797" s="751"/>
      <c r="X1797" s="751"/>
      <c r="Y1797" s="694">
        <v>7</v>
      </c>
      <c r="Z1797" s="750">
        <v>10</v>
      </c>
      <c r="AA1797" s="749"/>
      <c r="AB1797" s="796">
        <v>42725</v>
      </c>
      <c r="AC1797" s="751"/>
      <c r="AD1797" s="751">
        <v>294.9294547945205</v>
      </c>
      <c r="AE1797" s="688" t="s">
        <v>787</v>
      </c>
      <c r="AF1797" s="752"/>
      <c r="AG1797" s="752"/>
      <c r="AH1797" s="752"/>
      <c r="AI1797" s="750"/>
      <c r="AJ1797" s="753"/>
      <c r="AK1797" s="753"/>
      <c r="AL1797" s="749"/>
      <c r="AM1797" s="749"/>
      <c r="AN1797" s="752"/>
      <c r="AO1797" s="749"/>
      <c r="AP1797" s="688" t="s">
        <v>55</v>
      </c>
      <c r="AQ1797" s="749"/>
      <c r="AR1797" s="688" t="s">
        <v>356</v>
      </c>
      <c r="AS1797" s="698">
        <v>42353</v>
      </c>
      <c r="AT1797" s="754"/>
      <c r="AU1797" s="749"/>
      <c r="AV1797" s="749"/>
      <c r="AW1797" s="749"/>
      <c r="AX1797" s="749"/>
      <c r="AY1797" s="753"/>
      <c r="AZ1797" s="753">
        <v>42725</v>
      </c>
      <c r="BA1797" s="754"/>
      <c r="BB1797" s="749"/>
      <c r="BC1797" s="688" t="b">
        <v>0</v>
      </c>
      <c r="BD1797" s="749"/>
      <c r="BE1797" s="749"/>
      <c r="BF1797" s="694">
        <v>2</v>
      </c>
      <c r="BG1797" s="694">
        <v>6</v>
      </c>
      <c r="BH1797" s="694">
        <v>8</v>
      </c>
      <c r="BI1797" s="694"/>
      <c r="BJ1797" s="694"/>
      <c r="BK1797" s="694"/>
      <c r="BL1797" s="747">
        <v>1</v>
      </c>
      <c r="BM1797" s="750"/>
      <c r="BN1797" s="749"/>
      <c r="BO1797" s="749"/>
      <c r="BP1797" s="749"/>
      <c r="BQ1797" s="749"/>
      <c r="BR1797" s="749"/>
      <c r="BS1797" s="751">
        <v>0</v>
      </c>
      <c r="BT1797" s="750"/>
      <c r="BU1797" s="697"/>
      <c r="BV1797" s="751"/>
      <c r="BW1797" s="694" t="s">
        <v>3117</v>
      </c>
      <c r="BX1797" s="755"/>
      <c r="BY1797" s="749"/>
      <c r="BZ1797" s="560"/>
      <c r="CA1797" s="756"/>
      <c r="CB1797" s="749"/>
      <c r="CC1797" s="749"/>
      <c r="CD1797" s="749"/>
      <c r="CE1797" s="749"/>
      <c r="CF1797" s="749"/>
      <c r="CG1797" s="749"/>
      <c r="CH1797" s="749"/>
      <c r="CI1797" s="749"/>
      <c r="CJ1797" s="749"/>
      <c r="CK1797" s="749"/>
      <c r="CL1797" s="752"/>
      <c r="CM1797" s="751">
        <v>89.444000000000003</v>
      </c>
      <c r="CN1797" s="751">
        <v>86.578000000000003</v>
      </c>
      <c r="CO1797" s="751">
        <v>84.828999999999994</v>
      </c>
      <c r="CP1797" s="751">
        <v>81.962999999999994</v>
      </c>
      <c r="CQ1797" s="751">
        <v>80.212999999999994</v>
      </c>
      <c r="CR1797" s="751">
        <v>59.497999999999998</v>
      </c>
      <c r="CS1797" s="751">
        <v>29.748000000000001</v>
      </c>
      <c r="CT1797" s="749"/>
      <c r="CU1797" s="749"/>
      <c r="CV1797" s="749"/>
      <c r="CW1797" s="749"/>
      <c r="CX1797" s="749"/>
      <c r="CY1797" s="749"/>
      <c r="CZ1797" s="749"/>
      <c r="DA1797" s="749"/>
      <c r="DB1797" s="749"/>
      <c r="DC1797" s="749"/>
      <c r="DD1797" s="749"/>
      <c r="DE1797" s="749"/>
      <c r="DF1797" s="749"/>
      <c r="DG1797" s="749"/>
      <c r="DH1797" s="749"/>
      <c r="DI1797" s="749"/>
      <c r="DJ1797" s="749"/>
      <c r="DK1797" s="897"/>
    </row>
    <row r="1798" spans="1:115" s="3" customFormat="1" ht="38.25" x14ac:dyDescent="0.2">
      <c r="A1798" s="295">
        <v>1794</v>
      </c>
      <c r="B1798" s="448" t="s">
        <v>7409</v>
      </c>
      <c r="C1798" s="432" t="s">
        <v>7899</v>
      </c>
      <c r="D1798" s="580">
        <v>10320</v>
      </c>
      <c r="E1798" s="709" t="s">
        <v>7290</v>
      </c>
      <c r="F1798" s="392" t="s">
        <v>1375</v>
      </c>
      <c r="G1798" s="392" t="s">
        <v>1670</v>
      </c>
      <c r="H1798" s="392" t="s">
        <v>1385</v>
      </c>
      <c r="I1798" s="563"/>
      <c r="J1798" s="560" t="s">
        <v>8937</v>
      </c>
      <c r="K1798" s="563"/>
      <c r="L1798" s="392" t="s">
        <v>7292</v>
      </c>
      <c r="M1798" s="563" t="s">
        <v>7293</v>
      </c>
      <c r="N1798" s="393" t="s">
        <v>44</v>
      </c>
      <c r="O1798" s="392" t="s">
        <v>827</v>
      </c>
      <c r="P1798" s="392" t="s">
        <v>827</v>
      </c>
      <c r="Q1798" s="392" t="s">
        <v>836</v>
      </c>
      <c r="R1798" s="392"/>
      <c r="S1798" s="392" t="s">
        <v>650</v>
      </c>
      <c r="T1798" s="817">
        <v>4</v>
      </c>
      <c r="U1798" s="818">
        <v>218.62099999999998</v>
      </c>
      <c r="V1798" s="818"/>
      <c r="W1798" s="578">
        <v>41977</v>
      </c>
      <c r="X1798" s="817">
        <v>28</v>
      </c>
      <c r="Y1798" s="700"/>
      <c r="Z1798" s="817"/>
      <c r="AA1798" s="818"/>
      <c r="AB1798" s="576"/>
      <c r="AC1798" s="819">
        <v>0</v>
      </c>
      <c r="AD1798" s="819">
        <v>1276.7620000000002</v>
      </c>
      <c r="AE1798" s="392" t="s">
        <v>47</v>
      </c>
      <c r="AF1798" s="869"/>
      <c r="AG1798" s="869"/>
      <c r="AH1798" s="869">
        <v>0</v>
      </c>
      <c r="AI1798" s="817"/>
      <c r="AJ1798" s="576"/>
      <c r="AK1798" s="576"/>
      <c r="AL1798" s="563"/>
      <c r="AM1798" s="563"/>
      <c r="AN1798" s="869"/>
      <c r="AO1798" s="563"/>
      <c r="AP1798" s="428" t="s">
        <v>8398</v>
      </c>
      <c r="AQ1798" s="563"/>
      <c r="AR1798" s="428" t="s">
        <v>7302</v>
      </c>
      <c r="AS1798" s="479">
        <v>42342</v>
      </c>
      <c r="AT1798" s="576"/>
      <c r="AU1798" s="871" t="s">
        <v>7343</v>
      </c>
      <c r="AV1798" s="576">
        <v>42328</v>
      </c>
      <c r="AW1798" s="576">
        <v>42705</v>
      </c>
      <c r="AX1798" s="576">
        <v>42747</v>
      </c>
      <c r="AY1798" s="576">
        <v>42688</v>
      </c>
      <c r="AZ1798" s="576"/>
      <c r="BA1798" s="563"/>
      <c r="BB1798" s="563" t="s">
        <v>3147</v>
      </c>
      <c r="BC1798" s="392" t="b">
        <v>0</v>
      </c>
      <c r="BD1798" s="563" t="s">
        <v>3147</v>
      </c>
      <c r="BE1798" s="563"/>
      <c r="BF1798" s="700">
        <v>10</v>
      </c>
      <c r="BG1798" s="700">
        <v>12</v>
      </c>
      <c r="BH1798" s="700">
        <v>5</v>
      </c>
      <c r="BI1798" s="700">
        <v>9</v>
      </c>
      <c r="BJ1798" s="700"/>
      <c r="BK1798" s="700"/>
      <c r="BL1798" s="721" t="s">
        <v>6981</v>
      </c>
      <c r="BM1798" s="563"/>
      <c r="BN1798" s="563"/>
      <c r="BO1798" s="563"/>
      <c r="BP1798" s="878"/>
      <c r="BQ1798" s="883"/>
      <c r="BR1798" s="888"/>
      <c r="BS1798" s="878">
        <v>150</v>
      </c>
      <c r="BT1798" s="817"/>
      <c r="BU1798" s="720"/>
      <c r="BV1798" s="878"/>
      <c r="BW1798" s="392"/>
      <c r="BX1798" s="563"/>
      <c r="BY1798" s="563"/>
      <c r="BZ1798" s="560" t="s">
        <v>3165</v>
      </c>
      <c r="CA1798" s="574"/>
      <c r="CB1798" s="883"/>
      <c r="CC1798" s="819"/>
      <c r="CD1798" s="819"/>
      <c r="CE1798" s="819"/>
      <c r="CF1798" s="819"/>
      <c r="CG1798" s="819"/>
      <c r="CH1798" s="819"/>
      <c r="CI1798" s="819"/>
      <c r="CJ1798" s="819"/>
      <c r="CK1798" s="819"/>
      <c r="CL1798" s="819"/>
      <c r="CM1798" s="819"/>
      <c r="CN1798" s="819"/>
      <c r="CO1798" s="819"/>
      <c r="CP1798" s="819"/>
      <c r="CQ1798" s="819"/>
      <c r="CR1798" s="819"/>
      <c r="CS1798" s="819"/>
      <c r="CT1798" s="819"/>
      <c r="CU1798" s="819"/>
      <c r="CV1798" s="819"/>
      <c r="CW1798" s="819"/>
      <c r="CX1798" s="819"/>
      <c r="CY1798" s="819"/>
      <c r="CZ1798" s="819"/>
      <c r="DA1798" s="819"/>
      <c r="DB1798" s="819"/>
      <c r="DC1798" s="819"/>
      <c r="DD1798" s="819"/>
      <c r="DE1798" s="563"/>
      <c r="DF1798" s="563"/>
      <c r="DG1798" s="563"/>
      <c r="DH1798" s="563"/>
      <c r="DI1798" s="563"/>
      <c r="DJ1798" s="563"/>
      <c r="DK1798" s="896" t="s">
        <v>9707</v>
      </c>
    </row>
    <row r="1799" spans="1:115" s="3" customFormat="1" ht="38.25" x14ac:dyDescent="0.2">
      <c r="A1799" s="295">
        <v>1795</v>
      </c>
      <c r="B1799" s="448" t="s">
        <v>7410</v>
      </c>
      <c r="C1799" s="448"/>
      <c r="D1799" s="717" t="s">
        <v>8936</v>
      </c>
      <c r="E1799" s="843" t="s">
        <v>7290</v>
      </c>
      <c r="F1799" s="392" t="s">
        <v>1375</v>
      </c>
      <c r="G1799" s="392" t="s">
        <v>1670</v>
      </c>
      <c r="H1799" s="392" t="s">
        <v>1385</v>
      </c>
      <c r="I1799" s="563"/>
      <c r="J1799" s="563"/>
      <c r="K1799" s="563" t="s">
        <v>7295</v>
      </c>
      <c r="L1799" s="392" t="s">
        <v>7292</v>
      </c>
      <c r="M1799" s="563"/>
      <c r="N1799" s="393" t="s">
        <v>44</v>
      </c>
      <c r="O1799" s="392" t="s">
        <v>827</v>
      </c>
      <c r="P1799" s="392" t="s">
        <v>827</v>
      </c>
      <c r="Q1799" s="392" t="s">
        <v>836</v>
      </c>
      <c r="R1799" s="563" t="s">
        <v>7296</v>
      </c>
      <c r="S1799" s="563" t="s">
        <v>650</v>
      </c>
      <c r="T1799" s="817">
        <v>1</v>
      </c>
      <c r="U1799" s="818">
        <v>45.569000000000003</v>
      </c>
      <c r="V1799" s="818"/>
      <c r="W1799" s="576"/>
      <c r="X1799" s="817"/>
      <c r="Y1799" s="817">
        <v>10</v>
      </c>
      <c r="Z1799" s="817">
        <v>30</v>
      </c>
      <c r="AA1799" s="818"/>
      <c r="AB1799" s="578">
        <v>42552</v>
      </c>
      <c r="AC1799" s="819"/>
      <c r="AD1799" s="819">
        <v>455.69000000000005</v>
      </c>
      <c r="AE1799" s="563" t="s">
        <v>47</v>
      </c>
      <c r="AF1799" s="869"/>
      <c r="AG1799" s="869"/>
      <c r="AH1799" s="869"/>
      <c r="AI1799" s="817"/>
      <c r="AJ1799" s="576"/>
      <c r="AK1799" s="576"/>
      <c r="AL1799" s="563"/>
      <c r="AM1799" s="563"/>
      <c r="AN1799" s="869"/>
      <c r="AO1799" s="563"/>
      <c r="AP1799" s="560" t="s">
        <v>8398</v>
      </c>
      <c r="AQ1799" s="563"/>
      <c r="AR1799" s="560" t="s">
        <v>7302</v>
      </c>
      <c r="AS1799" s="578">
        <v>42342</v>
      </c>
      <c r="AT1799" s="576"/>
      <c r="AU1799" s="871" t="s">
        <v>7294</v>
      </c>
      <c r="AV1799" s="576"/>
      <c r="AW1799" s="576"/>
      <c r="AX1799" s="576"/>
      <c r="AY1799" s="576"/>
      <c r="AZ1799" s="576">
        <v>42688</v>
      </c>
      <c r="BA1799" s="563"/>
      <c r="BB1799" s="563"/>
      <c r="BC1799" s="563" t="b">
        <v>1</v>
      </c>
      <c r="BD1799" s="563"/>
      <c r="BE1799" s="563"/>
      <c r="BF1799" s="700">
        <v>10</v>
      </c>
      <c r="BG1799" s="700">
        <v>12</v>
      </c>
      <c r="BH1799" s="700">
        <v>5</v>
      </c>
      <c r="BI1799" s="700">
        <v>9</v>
      </c>
      <c r="BJ1799" s="700"/>
      <c r="BK1799" s="700"/>
      <c r="BL1799" s="721" t="s">
        <v>6981</v>
      </c>
      <c r="BM1799" s="563"/>
      <c r="BN1799" s="563"/>
      <c r="BO1799" s="563"/>
      <c r="BP1799" s="878"/>
      <c r="BQ1799" s="883"/>
      <c r="BR1799" s="888"/>
      <c r="BS1799" s="878">
        <v>33</v>
      </c>
      <c r="BT1799" s="817">
        <v>57000</v>
      </c>
      <c r="BU1799" s="869">
        <v>0.79</v>
      </c>
      <c r="BV1799" s="878"/>
      <c r="BW1799" s="563" t="s">
        <v>3165</v>
      </c>
      <c r="BX1799" s="563"/>
      <c r="BY1799" s="563"/>
      <c r="BZ1799" s="560"/>
      <c r="CA1799" s="574"/>
      <c r="CB1799" s="883"/>
      <c r="CC1799" s="819"/>
      <c r="CD1799" s="819"/>
      <c r="CE1799" s="819"/>
      <c r="CF1799" s="819"/>
      <c r="CG1799" s="819"/>
      <c r="CH1799" s="819"/>
      <c r="CI1799" s="819"/>
      <c r="CJ1799" s="819"/>
      <c r="CK1799" s="819">
        <v>22.785</v>
      </c>
      <c r="CL1799" s="819">
        <v>45.569000000000003</v>
      </c>
      <c r="CM1799" s="819">
        <v>45.569000000000003</v>
      </c>
      <c r="CN1799" s="819">
        <v>45.569000000000003</v>
      </c>
      <c r="CO1799" s="819">
        <v>45.569000000000003</v>
      </c>
      <c r="CP1799" s="819">
        <v>45.569000000000003</v>
      </c>
      <c r="CQ1799" s="819">
        <v>45.569000000000003</v>
      </c>
      <c r="CR1799" s="819">
        <v>45.569000000000003</v>
      </c>
      <c r="CS1799" s="819">
        <v>45.569000000000003</v>
      </c>
      <c r="CT1799" s="819">
        <v>45.569000000000003</v>
      </c>
      <c r="CU1799" s="819">
        <v>22.785</v>
      </c>
      <c r="CV1799" s="819"/>
      <c r="CW1799" s="819"/>
      <c r="CX1799" s="819"/>
      <c r="CY1799" s="819"/>
      <c r="CZ1799" s="819"/>
      <c r="DA1799" s="819"/>
      <c r="DB1799" s="819"/>
      <c r="DC1799" s="819"/>
      <c r="DD1799" s="819"/>
      <c r="DE1799" s="563"/>
      <c r="DF1799" s="563"/>
      <c r="DG1799" s="563"/>
      <c r="DH1799" s="563"/>
      <c r="DI1799" s="563"/>
      <c r="DJ1799" s="563"/>
      <c r="DK1799" s="897"/>
    </row>
    <row r="1800" spans="1:115" s="3" customFormat="1" ht="38.25" x14ac:dyDescent="0.2">
      <c r="A1800" s="295">
        <v>1796</v>
      </c>
      <c r="B1800" s="448" t="s">
        <v>7411</v>
      </c>
      <c r="C1800" s="448"/>
      <c r="D1800" s="717" t="s">
        <v>8938</v>
      </c>
      <c r="E1800" s="705" t="s">
        <v>7403</v>
      </c>
      <c r="F1800" s="428" t="s">
        <v>1375</v>
      </c>
      <c r="G1800" s="428" t="s">
        <v>1670</v>
      </c>
      <c r="H1800" s="428" t="s">
        <v>1008</v>
      </c>
      <c r="I1800" s="392"/>
      <c r="J1800" s="392"/>
      <c r="K1800" s="428" t="s">
        <v>7404</v>
      </c>
      <c r="L1800" s="428" t="s">
        <v>7292</v>
      </c>
      <c r="M1800" s="392"/>
      <c r="N1800" s="393" t="s">
        <v>44</v>
      </c>
      <c r="O1800" s="428" t="s">
        <v>827</v>
      </c>
      <c r="P1800" s="428" t="s">
        <v>827</v>
      </c>
      <c r="Q1800" s="428" t="s">
        <v>836</v>
      </c>
      <c r="R1800" s="428" t="s">
        <v>7405</v>
      </c>
      <c r="S1800" s="428" t="s">
        <v>650</v>
      </c>
      <c r="T1800" s="700">
        <v>1</v>
      </c>
      <c r="U1800" s="718">
        <v>31.65</v>
      </c>
      <c r="V1800" s="718"/>
      <c r="W1800" s="480"/>
      <c r="X1800" s="700"/>
      <c r="Y1800" s="700">
        <v>10</v>
      </c>
      <c r="Z1800" s="700">
        <v>30</v>
      </c>
      <c r="AA1800" s="718"/>
      <c r="AB1800" s="479">
        <v>42552</v>
      </c>
      <c r="AC1800" s="719"/>
      <c r="AD1800" s="719">
        <v>316.5</v>
      </c>
      <c r="AE1800" s="428" t="s">
        <v>47</v>
      </c>
      <c r="AF1800" s="720"/>
      <c r="AG1800" s="720"/>
      <c r="AH1800" s="720"/>
      <c r="AI1800" s="700"/>
      <c r="AJ1800" s="480"/>
      <c r="AK1800" s="480"/>
      <c r="AL1800" s="392"/>
      <c r="AM1800" s="392"/>
      <c r="AN1800" s="720"/>
      <c r="AO1800" s="392"/>
      <c r="AP1800" s="428" t="s">
        <v>8398</v>
      </c>
      <c r="AQ1800" s="428"/>
      <c r="AR1800" s="428" t="s">
        <v>7302</v>
      </c>
      <c r="AS1800" s="479">
        <v>42342</v>
      </c>
      <c r="AT1800" s="480"/>
      <c r="AU1800" s="480"/>
      <c r="AV1800" s="480"/>
      <c r="AW1800" s="480"/>
      <c r="AX1800" s="480"/>
      <c r="AY1800" s="480"/>
      <c r="AZ1800" s="480">
        <v>42688</v>
      </c>
      <c r="BA1800" s="392"/>
      <c r="BB1800" s="392"/>
      <c r="BC1800" s="392" t="b">
        <v>1</v>
      </c>
      <c r="BD1800" s="392"/>
      <c r="BE1800" s="392"/>
      <c r="BF1800" s="700">
        <v>10</v>
      </c>
      <c r="BG1800" s="700">
        <v>12</v>
      </c>
      <c r="BH1800" s="700">
        <v>5</v>
      </c>
      <c r="BI1800" s="700">
        <v>9</v>
      </c>
      <c r="BJ1800" s="700"/>
      <c r="BK1800" s="700"/>
      <c r="BL1800" s="721" t="s">
        <v>6981</v>
      </c>
      <c r="BM1800" s="392"/>
      <c r="BN1800" s="392"/>
      <c r="BO1800" s="392"/>
      <c r="BP1800" s="722"/>
      <c r="BQ1800" s="723"/>
      <c r="BR1800" s="724"/>
      <c r="BS1800" s="722">
        <v>20</v>
      </c>
      <c r="BT1800" s="700"/>
      <c r="BU1800" s="720">
        <v>0.69</v>
      </c>
      <c r="BV1800" s="722"/>
      <c r="BW1800" s="428" t="s">
        <v>3165</v>
      </c>
      <c r="BX1800" s="392"/>
      <c r="BY1800" s="392"/>
      <c r="BZ1800" s="428" t="s">
        <v>3165</v>
      </c>
      <c r="CA1800" s="441"/>
      <c r="CB1800" s="723"/>
      <c r="CC1800" s="719"/>
      <c r="CD1800" s="719"/>
      <c r="CE1800" s="719"/>
      <c r="CF1800" s="719"/>
      <c r="CG1800" s="719"/>
      <c r="CH1800" s="719"/>
      <c r="CI1800" s="719"/>
      <c r="CJ1800" s="719"/>
      <c r="CK1800" s="688"/>
      <c r="CL1800" s="719">
        <v>12.938000000000001</v>
      </c>
      <c r="CM1800" s="719">
        <v>25.875</v>
      </c>
      <c r="CN1800" s="719">
        <v>25.875</v>
      </c>
      <c r="CO1800" s="719">
        <v>36.75</v>
      </c>
      <c r="CP1800" s="719">
        <v>37.125</v>
      </c>
      <c r="CQ1800" s="520">
        <v>31.5</v>
      </c>
      <c r="CR1800" s="719">
        <v>28.125</v>
      </c>
      <c r="CS1800" s="719">
        <v>36.75</v>
      </c>
      <c r="CT1800" s="719">
        <v>37.125</v>
      </c>
      <c r="CU1800" s="719">
        <v>37.125</v>
      </c>
      <c r="CV1800" s="719">
        <v>12.936999999999999</v>
      </c>
      <c r="CW1800" s="719"/>
      <c r="CX1800" s="719"/>
      <c r="CY1800" s="719"/>
      <c r="CZ1800" s="719"/>
      <c r="DA1800" s="719"/>
      <c r="DB1800" s="719"/>
      <c r="DC1800" s="719"/>
      <c r="DD1800" s="719"/>
      <c r="DE1800" s="392"/>
      <c r="DF1800" s="392"/>
      <c r="DG1800" s="392"/>
      <c r="DH1800" s="392"/>
      <c r="DI1800" s="392"/>
      <c r="DJ1800" s="392"/>
      <c r="DK1800" s="897"/>
    </row>
    <row r="1801" spans="1:115" s="3" customFormat="1" ht="38.25" x14ac:dyDescent="0.2">
      <c r="A1801" s="295">
        <v>1797</v>
      </c>
      <c r="B1801" s="448" t="s">
        <v>7412</v>
      </c>
      <c r="C1801" s="448"/>
      <c r="D1801" s="717" t="s">
        <v>8939</v>
      </c>
      <c r="E1801" s="705" t="s">
        <v>7406</v>
      </c>
      <c r="F1801" s="428" t="s">
        <v>1375</v>
      </c>
      <c r="G1801" s="428" t="s">
        <v>1670</v>
      </c>
      <c r="H1801" s="428" t="s">
        <v>1702</v>
      </c>
      <c r="I1801" s="392"/>
      <c r="J1801" s="392"/>
      <c r="K1801" s="428" t="s">
        <v>7407</v>
      </c>
      <c r="L1801" s="428" t="s">
        <v>7292</v>
      </c>
      <c r="M1801" s="392"/>
      <c r="N1801" s="393" t="s">
        <v>44</v>
      </c>
      <c r="O1801" s="428" t="s">
        <v>827</v>
      </c>
      <c r="P1801" s="428" t="s">
        <v>827</v>
      </c>
      <c r="Q1801" s="428" t="s">
        <v>836</v>
      </c>
      <c r="R1801" s="428" t="s">
        <v>7408</v>
      </c>
      <c r="S1801" s="428" t="s">
        <v>650</v>
      </c>
      <c r="T1801" s="700">
        <v>1</v>
      </c>
      <c r="U1801" s="718">
        <v>27.721</v>
      </c>
      <c r="V1801" s="718"/>
      <c r="W1801" s="480"/>
      <c r="X1801" s="700"/>
      <c r="Y1801" s="700">
        <v>10</v>
      </c>
      <c r="Z1801" s="700">
        <v>30</v>
      </c>
      <c r="AA1801" s="718"/>
      <c r="AB1801" s="479">
        <v>42186</v>
      </c>
      <c r="AC1801" s="719"/>
      <c r="AD1801" s="719">
        <v>277.20999999999998</v>
      </c>
      <c r="AE1801" s="428" t="s">
        <v>47</v>
      </c>
      <c r="AF1801" s="720"/>
      <c r="AG1801" s="720"/>
      <c r="AH1801" s="720"/>
      <c r="AI1801" s="700"/>
      <c r="AJ1801" s="480"/>
      <c r="AK1801" s="480"/>
      <c r="AL1801" s="392"/>
      <c r="AM1801" s="392"/>
      <c r="AN1801" s="720"/>
      <c r="AO1801" s="392"/>
      <c r="AP1801" s="428" t="s">
        <v>8398</v>
      </c>
      <c r="AQ1801" s="428"/>
      <c r="AR1801" s="428" t="s">
        <v>7302</v>
      </c>
      <c r="AS1801" s="479">
        <v>42342</v>
      </c>
      <c r="AT1801" s="480"/>
      <c r="AU1801" s="480"/>
      <c r="AV1801" s="480"/>
      <c r="AW1801" s="480"/>
      <c r="AX1801" s="480"/>
      <c r="AY1801" s="480"/>
      <c r="AZ1801" s="480">
        <v>42688</v>
      </c>
      <c r="BA1801" s="392"/>
      <c r="BB1801" s="392"/>
      <c r="BC1801" s="392" t="b">
        <v>1</v>
      </c>
      <c r="BD1801" s="392"/>
      <c r="BE1801" s="392"/>
      <c r="BF1801" s="700">
        <v>10</v>
      </c>
      <c r="BG1801" s="700">
        <v>12</v>
      </c>
      <c r="BH1801" s="700">
        <v>5</v>
      </c>
      <c r="BI1801" s="700">
        <v>9</v>
      </c>
      <c r="BJ1801" s="700"/>
      <c r="BK1801" s="700"/>
      <c r="BL1801" s="721" t="s">
        <v>6981</v>
      </c>
      <c r="BM1801" s="392"/>
      <c r="BN1801" s="392"/>
      <c r="BO1801" s="392"/>
      <c r="BP1801" s="722"/>
      <c r="BQ1801" s="723"/>
      <c r="BR1801" s="724"/>
      <c r="BS1801" s="722">
        <v>17</v>
      </c>
      <c r="BT1801" s="700"/>
      <c r="BU1801" s="720">
        <v>0.84</v>
      </c>
      <c r="BV1801" s="722"/>
      <c r="BW1801" s="428" t="s">
        <v>3165</v>
      </c>
      <c r="BX1801" s="392"/>
      <c r="BY1801" s="392"/>
      <c r="BZ1801" s="428" t="s">
        <v>3165</v>
      </c>
      <c r="CA1801" s="441"/>
      <c r="CB1801" s="723"/>
      <c r="CC1801" s="719"/>
      <c r="CD1801" s="719"/>
      <c r="CE1801" s="719"/>
      <c r="CF1801" s="719"/>
      <c r="CG1801" s="719"/>
      <c r="CH1801" s="719"/>
      <c r="CI1801" s="719"/>
      <c r="CJ1801" s="719"/>
      <c r="CK1801" s="719"/>
      <c r="CL1801" s="719">
        <v>27.721</v>
      </c>
      <c r="CM1801" s="719">
        <v>27.721</v>
      </c>
      <c r="CN1801" s="719">
        <v>27.721</v>
      </c>
      <c r="CO1801" s="719">
        <v>27.721</v>
      </c>
      <c r="CP1801" s="719">
        <v>27.721</v>
      </c>
      <c r="CQ1801" s="719">
        <v>27.721</v>
      </c>
      <c r="CR1801" s="719">
        <v>27.721</v>
      </c>
      <c r="CS1801" s="719">
        <v>27.721</v>
      </c>
      <c r="CT1801" s="719">
        <v>27.721</v>
      </c>
      <c r="CU1801" s="719">
        <v>27.721</v>
      </c>
      <c r="CV1801" s="719">
        <v>27.721</v>
      </c>
      <c r="CW1801" s="719"/>
      <c r="CX1801" s="719"/>
      <c r="CY1801" s="719"/>
      <c r="CZ1801" s="719"/>
      <c r="DA1801" s="719"/>
      <c r="DB1801" s="719"/>
      <c r="DC1801" s="719"/>
      <c r="DD1801" s="719"/>
      <c r="DE1801" s="392"/>
      <c r="DF1801" s="392"/>
      <c r="DG1801" s="392"/>
      <c r="DH1801" s="392"/>
      <c r="DI1801" s="392"/>
      <c r="DJ1801" s="392"/>
      <c r="DK1801" s="897"/>
    </row>
    <row r="1802" spans="1:115" s="3" customFormat="1" ht="38.25" x14ac:dyDescent="0.2">
      <c r="A1802" s="295">
        <v>1798</v>
      </c>
      <c r="B1802" s="448" t="s">
        <v>9836</v>
      </c>
      <c r="C1802" s="448"/>
      <c r="D1802" s="717" t="s">
        <v>9837</v>
      </c>
      <c r="E1802" s="709" t="s">
        <v>9835</v>
      </c>
      <c r="F1802" s="393" t="s">
        <v>1375</v>
      </c>
      <c r="G1802" s="393" t="s">
        <v>1670</v>
      </c>
      <c r="H1802" s="393" t="s">
        <v>1048</v>
      </c>
      <c r="I1802" s="563"/>
      <c r="J1802" s="563"/>
      <c r="K1802" s="560" t="s">
        <v>9838</v>
      </c>
      <c r="L1802" s="560" t="s">
        <v>7292</v>
      </c>
      <c r="M1802" s="563"/>
      <c r="N1802" s="393" t="s">
        <v>44</v>
      </c>
      <c r="O1802" s="428" t="s">
        <v>827</v>
      </c>
      <c r="P1802" s="428" t="s">
        <v>827</v>
      </c>
      <c r="Q1802" s="428" t="s">
        <v>836</v>
      </c>
      <c r="R1802" s="428" t="s">
        <v>9839</v>
      </c>
      <c r="S1802" s="428" t="s">
        <v>650</v>
      </c>
      <c r="T1802" s="817">
        <v>1</v>
      </c>
      <c r="U1802" s="818">
        <v>113.681</v>
      </c>
      <c r="V1802" s="818"/>
      <c r="W1802" s="576"/>
      <c r="X1802" s="817"/>
      <c r="Y1802" s="817">
        <v>7</v>
      </c>
      <c r="Z1802" s="817">
        <v>30</v>
      </c>
      <c r="AA1802" s="818"/>
      <c r="AB1802" s="578">
        <v>43466</v>
      </c>
      <c r="AC1802" s="819"/>
      <c r="AD1802" s="819">
        <v>227.36200000000002</v>
      </c>
      <c r="AE1802" s="560" t="s">
        <v>47</v>
      </c>
      <c r="AF1802" s="869"/>
      <c r="AG1802" s="869"/>
      <c r="AH1802" s="869"/>
      <c r="AI1802" s="817"/>
      <c r="AJ1802" s="576"/>
      <c r="AK1802" s="576"/>
      <c r="AL1802" s="563"/>
      <c r="AM1802" s="563"/>
      <c r="AN1802" s="869"/>
      <c r="AO1802" s="563"/>
      <c r="AP1802" s="560" t="s">
        <v>8398</v>
      </c>
      <c r="AQ1802" s="560"/>
      <c r="AR1802" s="560" t="s">
        <v>7302</v>
      </c>
      <c r="AS1802" s="578">
        <v>42342</v>
      </c>
      <c r="AT1802" s="576"/>
      <c r="AU1802" s="576"/>
      <c r="AV1802" s="576"/>
      <c r="AW1802" s="576"/>
      <c r="AX1802" s="576"/>
      <c r="AY1802" s="576"/>
      <c r="AZ1802" s="576">
        <v>43466</v>
      </c>
      <c r="BA1802" s="563"/>
      <c r="BB1802" s="563"/>
      <c r="BC1802" s="563" t="b">
        <v>1</v>
      </c>
      <c r="BD1802" s="563"/>
      <c r="BE1802" s="563"/>
      <c r="BF1802" s="700">
        <v>10</v>
      </c>
      <c r="BG1802" s="700">
        <v>12</v>
      </c>
      <c r="BH1802" s="700">
        <v>5</v>
      </c>
      <c r="BI1802" s="700">
        <v>9</v>
      </c>
      <c r="BJ1802" s="700"/>
      <c r="BK1802" s="700"/>
      <c r="BL1802" s="721" t="s">
        <v>6981</v>
      </c>
      <c r="BM1802" s="563"/>
      <c r="BN1802" s="563"/>
      <c r="BO1802" s="563"/>
      <c r="BP1802" s="878"/>
      <c r="BQ1802" s="883"/>
      <c r="BR1802" s="888"/>
      <c r="BS1802" s="878">
        <v>80</v>
      </c>
      <c r="BT1802" s="817"/>
      <c r="BU1802" s="869">
        <v>0.56100000000000005</v>
      </c>
      <c r="BV1802" s="878"/>
      <c r="BW1802" s="560" t="s">
        <v>3117</v>
      </c>
      <c r="BX1802" s="563"/>
      <c r="BY1802" s="563"/>
      <c r="BZ1802" s="560"/>
      <c r="CA1802" s="574"/>
      <c r="CB1802" s="883"/>
      <c r="CC1802" s="819"/>
      <c r="CD1802" s="819"/>
      <c r="CE1802" s="819"/>
      <c r="CF1802" s="819"/>
      <c r="CG1802" s="819"/>
      <c r="CH1802" s="819"/>
      <c r="CI1802" s="819"/>
      <c r="CJ1802" s="819"/>
      <c r="CK1802" s="819"/>
      <c r="CL1802" s="819"/>
      <c r="CM1802" s="819"/>
      <c r="CN1802" s="819"/>
      <c r="CO1802" s="819">
        <v>115.398</v>
      </c>
      <c r="CP1802" s="819">
        <v>114.821</v>
      </c>
      <c r="CQ1802" s="819">
        <v>114.247</v>
      </c>
      <c r="CR1802" s="819">
        <v>113.675</v>
      </c>
      <c r="CS1802" s="819">
        <v>113.107</v>
      </c>
      <c r="CT1802" s="819">
        <v>112.541</v>
      </c>
      <c r="CU1802" s="819">
        <v>111.979</v>
      </c>
      <c r="CV1802" s="819"/>
      <c r="CW1802" s="819"/>
      <c r="CX1802" s="819"/>
      <c r="CY1802" s="819"/>
      <c r="CZ1802" s="819"/>
      <c r="DA1802" s="819"/>
      <c r="DB1802" s="819"/>
      <c r="DC1802" s="819"/>
      <c r="DD1802" s="819"/>
      <c r="DE1802" s="563"/>
      <c r="DF1802" s="563"/>
      <c r="DG1802" s="563"/>
      <c r="DH1802" s="563"/>
      <c r="DI1802" s="563"/>
      <c r="DJ1802" s="563"/>
      <c r="DK1802" s="897"/>
    </row>
    <row r="1803" spans="1:115" s="3" customFormat="1" ht="51" x14ac:dyDescent="0.2">
      <c r="A1803" s="295">
        <v>1799</v>
      </c>
      <c r="B1803" s="448" t="s">
        <v>8028</v>
      </c>
      <c r="C1803" s="448" t="s">
        <v>8036</v>
      </c>
      <c r="D1803" s="504"/>
      <c r="E1803" s="708" t="s">
        <v>8027</v>
      </c>
      <c r="F1803" s="534" t="s">
        <v>1340</v>
      </c>
      <c r="G1803" s="486" t="s">
        <v>1675</v>
      </c>
      <c r="H1803" s="486" t="s">
        <v>8031</v>
      </c>
      <c r="I1803" s="403"/>
      <c r="J1803" s="486" t="s">
        <v>1675</v>
      </c>
      <c r="K1803" s="486"/>
      <c r="L1803" s="486" t="s">
        <v>8032</v>
      </c>
      <c r="M1803" s="486" t="s">
        <v>8033</v>
      </c>
      <c r="N1803" s="404" t="s">
        <v>2412</v>
      </c>
      <c r="O1803" s="404" t="s">
        <v>34</v>
      </c>
      <c r="P1803" s="404" t="s">
        <v>34</v>
      </c>
      <c r="Q1803" s="486" t="s">
        <v>255</v>
      </c>
      <c r="R1803" s="404"/>
      <c r="S1803" s="486" t="s">
        <v>8035</v>
      </c>
      <c r="T1803" s="535"/>
      <c r="U1803" s="536"/>
      <c r="V1803" s="536"/>
      <c r="W1803" s="537">
        <v>42491</v>
      </c>
      <c r="X1803" s="535">
        <v>28</v>
      </c>
      <c r="Y1803" s="535"/>
      <c r="Z1803" s="535"/>
      <c r="AA1803" s="536"/>
      <c r="AB1803" s="482"/>
      <c r="AC1803" s="538"/>
      <c r="AD1803" s="538"/>
      <c r="AE1803" s="486" t="s">
        <v>225</v>
      </c>
      <c r="AF1803" s="539"/>
      <c r="AG1803" s="539"/>
      <c r="AH1803" s="539"/>
      <c r="AI1803" s="535"/>
      <c r="AJ1803" s="537"/>
      <c r="AK1803" s="537"/>
      <c r="AL1803" s="403"/>
      <c r="AM1803" s="403"/>
      <c r="AN1803" s="539"/>
      <c r="AO1803" s="403"/>
      <c r="AP1803" s="486" t="s">
        <v>55</v>
      </c>
      <c r="AQ1803" s="486"/>
      <c r="AR1803" s="486" t="s">
        <v>8037</v>
      </c>
      <c r="AS1803" s="482">
        <v>42433</v>
      </c>
      <c r="AT1803" s="537">
        <v>42544</v>
      </c>
      <c r="AU1803" s="537"/>
      <c r="AV1803" s="537"/>
      <c r="AW1803" s="537"/>
      <c r="AX1803" s="537"/>
      <c r="AY1803" s="537"/>
      <c r="AZ1803" s="537"/>
      <c r="BA1803" s="403"/>
      <c r="BB1803" s="486" t="s">
        <v>3116</v>
      </c>
      <c r="BC1803" s="534" t="b">
        <v>0</v>
      </c>
      <c r="BD1803" s="534" t="s">
        <v>3116</v>
      </c>
      <c r="BE1803" s="403"/>
      <c r="BF1803" s="535">
        <v>10</v>
      </c>
      <c r="BG1803" s="535">
        <v>8</v>
      </c>
      <c r="BH1803" s="535"/>
      <c r="BI1803" s="535"/>
      <c r="BJ1803" s="535"/>
      <c r="BK1803" s="535"/>
      <c r="BL1803" s="540" t="s">
        <v>6981</v>
      </c>
      <c r="BM1803" s="403"/>
      <c r="BN1803" s="403"/>
      <c r="BO1803" s="403"/>
      <c r="BP1803" s="541"/>
      <c r="BQ1803" s="542"/>
      <c r="BR1803" s="543"/>
      <c r="BS1803" s="541"/>
      <c r="BT1803" s="535"/>
      <c r="BU1803" s="539"/>
      <c r="BV1803" s="541"/>
      <c r="BW1803" s="486" t="s">
        <v>3117</v>
      </c>
      <c r="BX1803" s="403"/>
      <c r="BY1803" s="403"/>
      <c r="BZ1803" s="403"/>
      <c r="CA1803" s="443"/>
      <c r="CB1803" s="542"/>
      <c r="CC1803" s="538"/>
      <c r="CD1803" s="538"/>
      <c r="CE1803" s="538"/>
      <c r="CF1803" s="538"/>
      <c r="CG1803" s="538"/>
      <c r="CH1803" s="538"/>
      <c r="CI1803" s="538"/>
      <c r="CJ1803" s="538"/>
      <c r="CK1803" s="538"/>
      <c r="CL1803" s="538"/>
      <c r="CM1803" s="538"/>
      <c r="CN1803" s="538"/>
      <c r="CO1803" s="538"/>
      <c r="CP1803" s="538"/>
      <c r="CQ1803" s="538"/>
      <c r="CR1803" s="538"/>
      <c r="CS1803" s="538"/>
      <c r="CT1803" s="538"/>
      <c r="CU1803" s="538"/>
      <c r="CV1803" s="538"/>
      <c r="CW1803" s="538"/>
      <c r="CX1803" s="538"/>
      <c r="CY1803" s="538"/>
      <c r="CZ1803" s="538"/>
      <c r="DA1803" s="538"/>
      <c r="DB1803" s="538"/>
      <c r="DC1803" s="538"/>
      <c r="DD1803" s="538"/>
      <c r="DE1803" s="403"/>
      <c r="DF1803" s="403"/>
      <c r="DG1803" s="403"/>
      <c r="DH1803" s="403"/>
      <c r="DI1803" s="403"/>
      <c r="DJ1803" s="403"/>
      <c r="DK1803" s="897"/>
    </row>
    <row r="1804" spans="1:115" s="3" customFormat="1" ht="51" x14ac:dyDescent="0.2">
      <c r="A1804" s="295">
        <v>1800</v>
      </c>
      <c r="B1804" s="502" t="s">
        <v>8029</v>
      </c>
      <c r="C1804" s="448"/>
      <c r="D1804" s="504"/>
      <c r="E1804" s="845" t="s">
        <v>8030</v>
      </c>
      <c r="F1804" s="534" t="s">
        <v>1340</v>
      </c>
      <c r="G1804" s="486" t="s">
        <v>1675</v>
      </c>
      <c r="H1804" s="486" t="s">
        <v>8031</v>
      </c>
      <c r="I1804" s="848"/>
      <c r="J1804" s="848"/>
      <c r="K1804" s="486" t="s">
        <v>8031</v>
      </c>
      <c r="L1804" s="486" t="s">
        <v>8032</v>
      </c>
      <c r="M1804" s="848"/>
      <c r="N1804" s="404" t="s">
        <v>2412</v>
      </c>
      <c r="O1804" s="404" t="s">
        <v>34</v>
      </c>
      <c r="P1804" s="404" t="s">
        <v>34</v>
      </c>
      <c r="Q1804" s="486" t="s">
        <v>255</v>
      </c>
      <c r="R1804" s="769" t="s">
        <v>8034</v>
      </c>
      <c r="S1804" s="769" t="s">
        <v>8035</v>
      </c>
      <c r="T1804" s="760">
        <v>1</v>
      </c>
      <c r="U1804" s="761">
        <v>14</v>
      </c>
      <c r="V1804" s="761"/>
      <c r="W1804" s="762"/>
      <c r="X1804" s="760"/>
      <c r="Y1804" s="760">
        <v>7</v>
      </c>
      <c r="Z1804" s="760">
        <v>25</v>
      </c>
      <c r="AA1804" s="761"/>
      <c r="AB1804" s="482">
        <v>42736</v>
      </c>
      <c r="AC1804" s="864">
        <v>0</v>
      </c>
      <c r="AD1804" s="864">
        <v>56</v>
      </c>
      <c r="AE1804" s="769" t="s">
        <v>225</v>
      </c>
      <c r="AF1804" s="868"/>
      <c r="AG1804" s="868"/>
      <c r="AH1804" s="868"/>
      <c r="AI1804" s="760"/>
      <c r="AJ1804" s="762"/>
      <c r="AK1804" s="762"/>
      <c r="AL1804" s="848"/>
      <c r="AM1804" s="848"/>
      <c r="AN1804" s="868"/>
      <c r="AO1804" s="848"/>
      <c r="AP1804" s="769" t="s">
        <v>55</v>
      </c>
      <c r="AQ1804" s="769"/>
      <c r="AR1804" s="769" t="s">
        <v>8037</v>
      </c>
      <c r="AS1804" s="765">
        <v>42433</v>
      </c>
      <c r="AT1804" s="762">
        <v>42544</v>
      </c>
      <c r="AU1804" s="762"/>
      <c r="AV1804" s="762"/>
      <c r="AW1804" s="762"/>
      <c r="AX1804" s="762"/>
      <c r="AY1804" s="762"/>
      <c r="AZ1804" s="537"/>
      <c r="BA1804" s="848"/>
      <c r="BB1804" s="848"/>
      <c r="BC1804" s="759" t="b">
        <v>0</v>
      </c>
      <c r="BD1804" s="848"/>
      <c r="BE1804" s="848"/>
      <c r="BF1804" s="535">
        <v>10</v>
      </c>
      <c r="BG1804" s="535">
        <v>8</v>
      </c>
      <c r="BH1804" s="535"/>
      <c r="BI1804" s="535"/>
      <c r="BJ1804" s="535"/>
      <c r="BK1804" s="535"/>
      <c r="BL1804" s="540" t="s">
        <v>6981</v>
      </c>
      <c r="BM1804" s="848"/>
      <c r="BN1804" s="848"/>
      <c r="BO1804" s="848"/>
      <c r="BP1804" s="877"/>
      <c r="BQ1804" s="882"/>
      <c r="BR1804" s="887"/>
      <c r="BS1804" s="877"/>
      <c r="BT1804" s="760"/>
      <c r="BU1804" s="868"/>
      <c r="BV1804" s="877"/>
      <c r="BW1804" s="769" t="s">
        <v>3117</v>
      </c>
      <c r="BX1804" s="848"/>
      <c r="BY1804" s="848"/>
      <c r="BZ1804" s="848"/>
      <c r="CA1804" s="891"/>
      <c r="CB1804" s="882"/>
      <c r="CC1804" s="864"/>
      <c r="CD1804" s="864"/>
      <c r="CE1804" s="864"/>
      <c r="CF1804" s="864"/>
      <c r="CG1804" s="864"/>
      <c r="CH1804" s="864"/>
      <c r="CI1804" s="864"/>
      <c r="CJ1804" s="864"/>
      <c r="CK1804" s="864"/>
      <c r="CL1804" s="864"/>
      <c r="CM1804" s="864">
        <v>1.4E-2</v>
      </c>
      <c r="CN1804" s="864">
        <v>1.4E-2</v>
      </c>
      <c r="CO1804" s="864">
        <v>1.4E-2</v>
      </c>
      <c r="CP1804" s="864">
        <v>1.4E-2</v>
      </c>
      <c r="CQ1804" s="864">
        <v>1.4E-2</v>
      </c>
      <c r="CR1804" s="864">
        <v>1.4E-2</v>
      </c>
      <c r="CS1804" s="864">
        <v>1.4E-2</v>
      </c>
      <c r="CT1804" s="864"/>
      <c r="CU1804" s="864"/>
      <c r="CV1804" s="864"/>
      <c r="CW1804" s="864"/>
      <c r="CX1804" s="864"/>
      <c r="CY1804" s="864"/>
      <c r="CZ1804" s="864"/>
      <c r="DA1804" s="864"/>
      <c r="DB1804" s="864"/>
      <c r="DC1804" s="864"/>
      <c r="DD1804" s="864"/>
      <c r="DE1804" s="848"/>
      <c r="DF1804" s="848"/>
      <c r="DG1804" s="848"/>
      <c r="DH1804" s="848"/>
      <c r="DI1804" s="848"/>
      <c r="DJ1804" s="848"/>
      <c r="DK1804" s="897"/>
    </row>
    <row r="1805" spans="1:115" s="3" customFormat="1" ht="51" x14ac:dyDescent="0.2">
      <c r="A1805" s="295">
        <v>1801</v>
      </c>
      <c r="B1805" s="448" t="s">
        <v>8106</v>
      </c>
      <c r="C1805" s="502" t="s">
        <v>8118</v>
      </c>
      <c r="D1805" s="502"/>
      <c r="E1805" s="528" t="s">
        <v>8105</v>
      </c>
      <c r="F1805" s="502" t="s">
        <v>1352</v>
      </c>
      <c r="G1805" s="502" t="s">
        <v>1673</v>
      </c>
      <c r="H1805" s="502" t="s">
        <v>67</v>
      </c>
      <c r="I1805" s="502"/>
      <c r="J1805" s="502" t="s">
        <v>67</v>
      </c>
      <c r="K1805" s="502"/>
      <c r="L1805" s="502" t="s">
        <v>8110</v>
      </c>
      <c r="M1805" s="502" t="s">
        <v>8111</v>
      </c>
      <c r="N1805" s="448" t="s">
        <v>33</v>
      </c>
      <c r="O1805" s="390" t="s">
        <v>93</v>
      </c>
      <c r="P1805" s="390" t="s">
        <v>93</v>
      </c>
      <c r="Q1805" s="502" t="s">
        <v>94</v>
      </c>
      <c r="R1805" s="502"/>
      <c r="S1805" s="502" t="s">
        <v>95</v>
      </c>
      <c r="T1805" s="501">
        <v>1</v>
      </c>
      <c r="U1805" s="527">
        <v>48.658000000000001</v>
      </c>
      <c r="V1805" s="502"/>
      <c r="W1805" s="502">
        <v>41396</v>
      </c>
      <c r="X1805" s="501">
        <v>28</v>
      </c>
      <c r="Y1805" s="502"/>
      <c r="Z1805" s="502"/>
      <c r="AA1805" s="502"/>
      <c r="AB1805" s="502"/>
      <c r="AC1805" s="527">
        <v>0</v>
      </c>
      <c r="AD1805" s="527">
        <v>206.89648219178082</v>
      </c>
      <c r="AE1805" s="390" t="s">
        <v>133</v>
      </c>
      <c r="AF1805" s="502"/>
      <c r="AG1805" s="502"/>
      <c r="AH1805" s="529">
        <v>0</v>
      </c>
      <c r="AI1805" s="502"/>
      <c r="AJ1805" s="502"/>
      <c r="AK1805" s="502"/>
      <c r="AL1805" s="502"/>
      <c r="AM1805" s="502"/>
      <c r="AN1805" s="502"/>
      <c r="AO1805" s="502"/>
      <c r="AP1805" s="502" t="s">
        <v>55</v>
      </c>
      <c r="AQ1805" s="502"/>
      <c r="AR1805" s="502" t="s">
        <v>8117</v>
      </c>
      <c r="AS1805" s="502">
        <v>42468</v>
      </c>
      <c r="AT1805" s="502"/>
      <c r="AU1805" s="502"/>
      <c r="AV1805" s="502"/>
      <c r="AW1805" s="502"/>
      <c r="AX1805" s="502"/>
      <c r="AY1805" s="502"/>
      <c r="AZ1805" s="502"/>
      <c r="BA1805" s="502"/>
      <c r="BB1805" s="502"/>
      <c r="BC1805" s="402" t="b">
        <v>1</v>
      </c>
      <c r="BD1805" s="502"/>
      <c r="BE1805" s="502"/>
      <c r="BF1805" s="501">
        <v>6</v>
      </c>
      <c r="BG1805" s="501">
        <v>9</v>
      </c>
      <c r="BH1805" s="501">
        <v>1</v>
      </c>
      <c r="BI1805" s="501">
        <v>5</v>
      </c>
      <c r="BJ1805" s="502"/>
      <c r="BK1805" s="502"/>
      <c r="BL1805" s="510" t="s">
        <v>6981</v>
      </c>
      <c r="BM1805" s="502"/>
      <c r="BN1805" s="502"/>
      <c r="BO1805" s="502"/>
      <c r="BP1805" s="502"/>
      <c r="BQ1805" s="502"/>
      <c r="BR1805" s="502"/>
      <c r="BS1805" s="530">
        <v>0</v>
      </c>
      <c r="BT1805" s="502"/>
      <c r="BU1805" s="502"/>
      <c r="BV1805" s="502"/>
      <c r="BW1805" s="502"/>
      <c r="BX1805" s="502"/>
      <c r="BY1805" s="502"/>
      <c r="BZ1805" s="502" t="s">
        <v>3165</v>
      </c>
      <c r="CA1805" s="502"/>
      <c r="CB1805" s="502"/>
      <c r="CC1805" s="502"/>
      <c r="CD1805" s="502"/>
      <c r="CE1805" s="502"/>
      <c r="CF1805" s="502"/>
      <c r="CG1805" s="502"/>
      <c r="CH1805" s="502"/>
      <c r="CI1805" s="502"/>
      <c r="CJ1805" s="502"/>
      <c r="CK1805" s="502"/>
      <c r="CL1805" s="502"/>
      <c r="CM1805" s="502"/>
      <c r="CN1805" s="502"/>
      <c r="CO1805" s="502"/>
      <c r="CP1805" s="502"/>
      <c r="CQ1805" s="502"/>
      <c r="CR1805" s="502"/>
      <c r="CS1805" s="502"/>
      <c r="CT1805" s="502"/>
      <c r="CU1805" s="502"/>
      <c r="CV1805" s="502"/>
      <c r="CW1805" s="502"/>
      <c r="CX1805" s="502"/>
      <c r="CY1805" s="502"/>
      <c r="CZ1805" s="502"/>
      <c r="DA1805" s="502"/>
      <c r="DB1805" s="502"/>
      <c r="DC1805" s="502"/>
      <c r="DD1805" s="502"/>
      <c r="DE1805" s="502"/>
      <c r="DF1805" s="502"/>
      <c r="DG1805" s="502"/>
      <c r="DH1805" s="502"/>
      <c r="DI1805" s="502"/>
      <c r="DJ1805" s="502"/>
      <c r="DK1805" s="897"/>
    </row>
    <row r="1806" spans="1:115" s="3" customFormat="1" ht="63.75" x14ac:dyDescent="0.2">
      <c r="A1806" s="295">
        <v>1802</v>
      </c>
      <c r="B1806" s="502" t="s">
        <v>8107</v>
      </c>
      <c r="C1806" s="502"/>
      <c r="D1806" s="502"/>
      <c r="E1806" s="528" t="s">
        <v>8108</v>
      </c>
      <c r="F1806" s="502" t="s">
        <v>1352</v>
      </c>
      <c r="G1806" s="502" t="s">
        <v>1673</v>
      </c>
      <c r="H1806" s="502" t="s">
        <v>67</v>
      </c>
      <c r="I1806" s="502"/>
      <c r="J1806" s="502" t="s">
        <v>67</v>
      </c>
      <c r="K1806" s="502" t="s">
        <v>8109</v>
      </c>
      <c r="L1806" s="502" t="s">
        <v>8110</v>
      </c>
      <c r="M1806" s="502"/>
      <c r="N1806" s="448" t="s">
        <v>33</v>
      </c>
      <c r="O1806" s="390" t="s">
        <v>93</v>
      </c>
      <c r="P1806" s="390" t="s">
        <v>93</v>
      </c>
      <c r="Q1806" s="502" t="s">
        <v>94</v>
      </c>
      <c r="R1806" s="502" t="s">
        <v>8112</v>
      </c>
      <c r="S1806" s="502" t="s">
        <v>95</v>
      </c>
      <c r="T1806" s="501">
        <v>1</v>
      </c>
      <c r="U1806" s="527">
        <v>48.658000000000001</v>
      </c>
      <c r="V1806" s="502"/>
      <c r="W1806" s="502"/>
      <c r="X1806" s="502"/>
      <c r="Y1806" s="501">
        <v>7</v>
      </c>
      <c r="Z1806" s="528">
        <v>21</v>
      </c>
      <c r="AA1806" s="502"/>
      <c r="AB1806" s="502">
        <v>42644</v>
      </c>
      <c r="AC1806" s="506">
        <v>0</v>
      </c>
      <c r="AD1806" s="527">
        <v>206.89648219178082</v>
      </c>
      <c r="AE1806" s="390" t="s">
        <v>133</v>
      </c>
      <c r="AF1806" s="502"/>
      <c r="AG1806" s="502"/>
      <c r="AH1806" s="502"/>
      <c r="AI1806" s="502"/>
      <c r="AJ1806" s="502"/>
      <c r="AK1806" s="502"/>
      <c r="AL1806" s="502"/>
      <c r="AM1806" s="502"/>
      <c r="AN1806" s="502"/>
      <c r="AO1806" s="502"/>
      <c r="AP1806" s="502" t="s">
        <v>55</v>
      </c>
      <c r="AQ1806" s="502"/>
      <c r="AR1806" s="502" t="s">
        <v>8117</v>
      </c>
      <c r="AS1806" s="502">
        <v>42468</v>
      </c>
      <c r="AT1806" s="502"/>
      <c r="AU1806" s="502"/>
      <c r="AV1806" s="502"/>
      <c r="AW1806" s="502"/>
      <c r="AX1806" s="502"/>
      <c r="AY1806" s="502"/>
      <c r="AZ1806" s="502"/>
      <c r="BA1806" s="502"/>
      <c r="BB1806" s="502"/>
      <c r="BC1806" s="402" t="b">
        <v>1</v>
      </c>
      <c r="BD1806" s="502"/>
      <c r="BE1806" s="502"/>
      <c r="BF1806" s="501">
        <v>6</v>
      </c>
      <c r="BG1806" s="501">
        <v>9</v>
      </c>
      <c r="BH1806" s="501">
        <v>1</v>
      </c>
      <c r="BI1806" s="501">
        <v>5</v>
      </c>
      <c r="BJ1806" s="502"/>
      <c r="BK1806" s="502"/>
      <c r="BL1806" s="510" t="s">
        <v>6981</v>
      </c>
      <c r="BM1806" s="502"/>
      <c r="BN1806" s="502"/>
      <c r="BO1806" s="502"/>
      <c r="BP1806" s="502"/>
      <c r="BQ1806" s="502"/>
      <c r="BR1806" s="502"/>
      <c r="BS1806" s="502"/>
      <c r="BT1806" s="502"/>
      <c r="BU1806" s="502"/>
      <c r="BV1806" s="502"/>
      <c r="BW1806" s="502"/>
      <c r="BX1806" s="502"/>
      <c r="BY1806" s="502"/>
      <c r="BZ1806" s="502" t="s">
        <v>3165</v>
      </c>
      <c r="CA1806" s="502"/>
      <c r="CB1806" s="502"/>
      <c r="CC1806" s="502"/>
      <c r="CD1806" s="502"/>
      <c r="CE1806" s="502"/>
      <c r="CF1806" s="502"/>
      <c r="CG1806" s="502"/>
      <c r="CH1806" s="502"/>
      <c r="CI1806" s="502"/>
      <c r="CJ1806" s="502"/>
      <c r="CK1806" s="502"/>
      <c r="CL1806" s="506">
        <v>48.658000000000001</v>
      </c>
      <c r="CM1806" s="506">
        <v>48.658000000000001</v>
      </c>
      <c r="CN1806" s="506">
        <v>48.658000000000001</v>
      </c>
      <c r="CO1806" s="506">
        <v>48.658000000000001</v>
      </c>
      <c r="CP1806" s="506">
        <v>48.658000000000001</v>
      </c>
      <c r="CQ1806" s="506">
        <v>48.658000000000001</v>
      </c>
      <c r="CR1806" s="506">
        <v>48.658000000000001</v>
      </c>
      <c r="CS1806" s="506"/>
      <c r="CT1806" s="527"/>
      <c r="CU1806" s="502"/>
      <c r="CV1806" s="502"/>
      <c r="CW1806" s="502"/>
      <c r="CX1806" s="502"/>
      <c r="CY1806" s="502"/>
      <c r="CZ1806" s="502"/>
      <c r="DA1806" s="502"/>
      <c r="DB1806" s="502"/>
      <c r="DC1806" s="502"/>
      <c r="DD1806" s="502"/>
      <c r="DE1806" s="502"/>
      <c r="DF1806" s="502"/>
      <c r="DG1806" s="502"/>
      <c r="DH1806" s="502"/>
      <c r="DI1806" s="502"/>
      <c r="DJ1806" s="502"/>
      <c r="DK1806" s="897"/>
    </row>
    <row r="1807" spans="1:115" s="3" customFormat="1" ht="51" x14ac:dyDescent="0.2">
      <c r="A1807" s="295">
        <v>1803</v>
      </c>
      <c r="B1807" s="448" t="s">
        <v>8191</v>
      </c>
      <c r="C1807" s="546" t="s">
        <v>8170</v>
      </c>
      <c r="D1807" s="504"/>
      <c r="E1807" s="710" t="s">
        <v>8027</v>
      </c>
      <c r="F1807" s="432" t="s">
        <v>1340</v>
      </c>
      <c r="G1807" s="448" t="s">
        <v>1675</v>
      </c>
      <c r="H1807" s="448" t="s">
        <v>8031</v>
      </c>
      <c r="I1807" s="402"/>
      <c r="J1807" s="448" t="s">
        <v>1675</v>
      </c>
      <c r="K1807" s="448"/>
      <c r="L1807" s="448" t="s">
        <v>8032</v>
      </c>
      <c r="M1807" s="448" t="s">
        <v>8033</v>
      </c>
      <c r="N1807" s="448" t="s">
        <v>33</v>
      </c>
      <c r="O1807" s="390" t="s">
        <v>34</v>
      </c>
      <c r="P1807" s="390" t="s">
        <v>34</v>
      </c>
      <c r="Q1807" s="448" t="s">
        <v>255</v>
      </c>
      <c r="R1807" s="390"/>
      <c r="S1807" s="448" t="s">
        <v>8145</v>
      </c>
      <c r="T1807" s="501">
        <v>1</v>
      </c>
      <c r="U1807" s="505">
        <v>14</v>
      </c>
      <c r="V1807" s="505"/>
      <c r="W1807" s="547">
        <v>42552</v>
      </c>
      <c r="X1807" s="501">
        <v>28</v>
      </c>
      <c r="Y1807" s="501"/>
      <c r="Z1807" s="501"/>
      <c r="AA1807" s="505"/>
      <c r="AB1807" s="481"/>
      <c r="AC1807" s="506">
        <v>0</v>
      </c>
      <c r="AD1807" s="506">
        <v>56</v>
      </c>
      <c r="AE1807" s="448" t="s">
        <v>225</v>
      </c>
      <c r="AF1807" s="507"/>
      <c r="AG1807" s="507"/>
      <c r="AH1807" s="507">
        <v>0</v>
      </c>
      <c r="AI1807" s="501"/>
      <c r="AJ1807" s="508"/>
      <c r="AK1807" s="508"/>
      <c r="AL1807" s="402"/>
      <c r="AM1807" s="402"/>
      <c r="AN1807" s="507"/>
      <c r="AO1807" s="402"/>
      <c r="AP1807" s="448" t="s">
        <v>55</v>
      </c>
      <c r="AQ1807" s="448"/>
      <c r="AR1807" s="448" t="s">
        <v>8037</v>
      </c>
      <c r="AS1807" s="481">
        <v>42544</v>
      </c>
      <c r="AT1807" s="508"/>
      <c r="AU1807" s="509" t="s">
        <v>8028</v>
      </c>
      <c r="AV1807" s="508"/>
      <c r="AW1807" s="508"/>
      <c r="AX1807" s="508"/>
      <c r="AY1807" s="508"/>
      <c r="AZ1807" s="508"/>
      <c r="BA1807" s="402"/>
      <c r="BB1807" s="448" t="s">
        <v>3116</v>
      </c>
      <c r="BC1807" s="432" t="b">
        <v>0</v>
      </c>
      <c r="BD1807" s="432" t="s">
        <v>3116</v>
      </c>
      <c r="BE1807" s="402"/>
      <c r="BF1807" s="501">
        <v>10</v>
      </c>
      <c r="BG1807" s="501">
        <v>8</v>
      </c>
      <c r="BH1807" s="501"/>
      <c r="BI1807" s="501"/>
      <c r="BJ1807" s="501"/>
      <c r="BK1807" s="501"/>
      <c r="BL1807" s="510" t="s">
        <v>6981</v>
      </c>
      <c r="BM1807" s="402"/>
      <c r="BN1807" s="402"/>
      <c r="BO1807" s="402"/>
      <c r="BP1807" s="511"/>
      <c r="BQ1807" s="512"/>
      <c r="BR1807" s="513"/>
      <c r="BS1807" s="511">
        <v>0</v>
      </c>
      <c r="BT1807" s="501"/>
      <c r="BU1807" s="507"/>
      <c r="BV1807" s="511"/>
      <c r="BW1807" s="448" t="s">
        <v>3117</v>
      </c>
      <c r="BX1807" s="402"/>
      <c r="BY1807" s="402"/>
      <c r="BZ1807" s="402"/>
      <c r="CA1807" s="442"/>
      <c r="CB1807" s="512"/>
      <c r="CC1807" s="506"/>
      <c r="CD1807" s="506"/>
      <c r="CE1807" s="506"/>
      <c r="CF1807" s="506"/>
      <c r="CG1807" s="506"/>
      <c r="CH1807" s="506"/>
      <c r="CI1807" s="506"/>
      <c r="CJ1807" s="506"/>
      <c r="CK1807" s="914"/>
      <c r="CL1807" s="506"/>
      <c r="CM1807" s="506"/>
      <c r="CN1807" s="506"/>
      <c r="CO1807" s="506"/>
      <c r="CP1807" s="506"/>
      <c r="CQ1807" s="506"/>
      <c r="CR1807" s="506"/>
      <c r="CS1807" s="506"/>
      <c r="CT1807" s="506"/>
      <c r="CU1807" s="506"/>
      <c r="CV1807" s="506"/>
      <c r="CW1807" s="506"/>
      <c r="CX1807" s="506"/>
      <c r="CY1807" s="506"/>
      <c r="CZ1807" s="506"/>
      <c r="DA1807" s="506"/>
      <c r="DB1807" s="506"/>
      <c r="DC1807" s="506"/>
      <c r="DD1807" s="506"/>
      <c r="DE1807" s="402"/>
      <c r="DF1807" s="402"/>
      <c r="DG1807" s="402"/>
      <c r="DH1807" s="402"/>
      <c r="DI1807" s="402"/>
      <c r="DJ1807" s="402"/>
      <c r="DK1807" s="897"/>
    </row>
    <row r="1808" spans="1:115" s="3" customFormat="1" ht="51" x14ac:dyDescent="0.2">
      <c r="A1808" s="295">
        <v>1804</v>
      </c>
      <c r="B1808" s="502" t="s">
        <v>8192</v>
      </c>
      <c r="C1808" s="448"/>
      <c r="D1808" s="504"/>
      <c r="E1808" s="710" t="s">
        <v>8030</v>
      </c>
      <c r="F1808" s="432" t="s">
        <v>1340</v>
      </c>
      <c r="G1808" s="448" t="s">
        <v>1675</v>
      </c>
      <c r="H1808" s="448" t="s">
        <v>8031</v>
      </c>
      <c r="I1808" s="402"/>
      <c r="J1808" s="402"/>
      <c r="K1808" s="448" t="s">
        <v>8031</v>
      </c>
      <c r="L1808" s="448" t="s">
        <v>8032</v>
      </c>
      <c r="M1808" s="402"/>
      <c r="N1808" s="448" t="s">
        <v>33</v>
      </c>
      <c r="O1808" s="390" t="s">
        <v>34</v>
      </c>
      <c r="P1808" s="390" t="s">
        <v>34</v>
      </c>
      <c r="Q1808" s="448" t="s">
        <v>255</v>
      </c>
      <c r="R1808" s="448" t="s">
        <v>8034</v>
      </c>
      <c r="S1808" s="448" t="s">
        <v>8145</v>
      </c>
      <c r="T1808" s="501">
        <v>1</v>
      </c>
      <c r="U1808" s="505">
        <v>14</v>
      </c>
      <c r="V1808" s="505"/>
      <c r="W1808" s="508"/>
      <c r="X1808" s="501"/>
      <c r="Y1808" s="501">
        <v>7</v>
      </c>
      <c r="Z1808" s="501">
        <v>25</v>
      </c>
      <c r="AA1808" s="505"/>
      <c r="AB1808" s="483">
        <v>42736</v>
      </c>
      <c r="AC1808" s="506">
        <v>0</v>
      </c>
      <c r="AD1808" s="506">
        <v>56</v>
      </c>
      <c r="AE1808" s="448" t="s">
        <v>225</v>
      </c>
      <c r="AF1808" s="507"/>
      <c r="AG1808" s="507"/>
      <c r="AH1808" s="507"/>
      <c r="AI1808" s="501"/>
      <c r="AJ1808" s="508"/>
      <c r="AK1808" s="508"/>
      <c r="AL1808" s="402"/>
      <c r="AM1808" s="402"/>
      <c r="AN1808" s="507"/>
      <c r="AO1808" s="402"/>
      <c r="AP1808" s="448" t="s">
        <v>55</v>
      </c>
      <c r="AQ1808" s="448"/>
      <c r="AR1808" s="448" t="s">
        <v>8037</v>
      </c>
      <c r="AS1808" s="481">
        <v>42544</v>
      </c>
      <c r="AT1808" s="508"/>
      <c r="AU1808" s="509" t="s">
        <v>8029</v>
      </c>
      <c r="AV1808" s="508"/>
      <c r="AW1808" s="508"/>
      <c r="AX1808" s="508"/>
      <c r="AY1808" s="508"/>
      <c r="AZ1808" s="508"/>
      <c r="BA1808" s="402"/>
      <c r="BB1808" s="402"/>
      <c r="BC1808" s="432" t="b">
        <v>0</v>
      </c>
      <c r="BD1808" s="402"/>
      <c r="BE1808" s="402"/>
      <c r="BF1808" s="501">
        <v>10</v>
      </c>
      <c r="BG1808" s="501">
        <v>8</v>
      </c>
      <c r="BH1808" s="501"/>
      <c r="BI1808" s="501"/>
      <c r="BJ1808" s="501"/>
      <c r="BK1808" s="501"/>
      <c r="BL1808" s="510" t="s">
        <v>6981</v>
      </c>
      <c r="BM1808" s="402"/>
      <c r="BN1808" s="402"/>
      <c r="BO1808" s="402"/>
      <c r="BP1808" s="511"/>
      <c r="BQ1808" s="512"/>
      <c r="BR1808" s="513"/>
      <c r="BS1808" s="511"/>
      <c r="BT1808" s="501"/>
      <c r="BU1808" s="507"/>
      <c r="BV1808" s="511"/>
      <c r="BW1808" s="448" t="s">
        <v>3117</v>
      </c>
      <c r="BX1808" s="402"/>
      <c r="BY1808" s="402"/>
      <c r="BZ1808" s="402"/>
      <c r="CA1808" s="442"/>
      <c r="CB1808" s="512"/>
      <c r="CC1808" s="506"/>
      <c r="CD1808" s="506"/>
      <c r="CE1808" s="506"/>
      <c r="CF1808" s="506"/>
      <c r="CG1808" s="506"/>
      <c r="CH1808" s="506"/>
      <c r="CI1808" s="506"/>
      <c r="CJ1808" s="506"/>
      <c r="CK1808" s="506"/>
      <c r="CL1808" s="506"/>
      <c r="CM1808" s="506">
        <v>1.4E-2</v>
      </c>
      <c r="CN1808" s="506">
        <v>1.4E-2</v>
      </c>
      <c r="CO1808" s="506">
        <v>1.4E-2</v>
      </c>
      <c r="CP1808" s="506">
        <v>1.4E-2</v>
      </c>
      <c r="CQ1808" s="506">
        <v>1.4E-2</v>
      </c>
      <c r="CR1808" s="506">
        <v>1.4E-2</v>
      </c>
      <c r="CS1808" s="506">
        <v>1.4E-2</v>
      </c>
      <c r="CT1808" s="506"/>
      <c r="CU1808" s="506"/>
      <c r="CV1808" s="506"/>
      <c r="CW1808" s="506"/>
      <c r="CX1808" s="506"/>
      <c r="CY1808" s="506"/>
      <c r="CZ1808" s="506"/>
      <c r="DA1808" s="506"/>
      <c r="DB1808" s="506"/>
      <c r="DC1808" s="506"/>
      <c r="DD1808" s="506"/>
      <c r="DE1808" s="402"/>
      <c r="DF1808" s="402"/>
      <c r="DG1808" s="402"/>
      <c r="DH1808" s="402"/>
      <c r="DI1808" s="402"/>
      <c r="DJ1808" s="402"/>
      <c r="DK1808" s="897"/>
    </row>
    <row r="1809" spans="1:115" s="3" customFormat="1" ht="51" x14ac:dyDescent="0.2">
      <c r="A1809" s="295">
        <v>1805</v>
      </c>
      <c r="B1809" s="448" t="s">
        <v>8193</v>
      </c>
      <c r="C1809" s="432" t="s">
        <v>8380</v>
      </c>
      <c r="D1809" s="713">
        <v>10355</v>
      </c>
      <c r="E1809" s="712" t="s">
        <v>8196</v>
      </c>
      <c r="F1809" s="688" t="s">
        <v>1352</v>
      </c>
      <c r="G1809" s="688" t="s">
        <v>1673</v>
      </c>
      <c r="H1809" s="688" t="s">
        <v>67</v>
      </c>
      <c r="I1809" s="688"/>
      <c r="J1809" s="688" t="s">
        <v>67</v>
      </c>
      <c r="K1809" s="688"/>
      <c r="L1809" s="688" t="s">
        <v>8198</v>
      </c>
      <c r="M1809" s="688" t="s">
        <v>8199</v>
      </c>
      <c r="N1809" s="428" t="s">
        <v>44</v>
      </c>
      <c r="O1809" s="392" t="s">
        <v>93</v>
      </c>
      <c r="P1809" s="392" t="s">
        <v>93</v>
      </c>
      <c r="Q1809" s="392" t="s">
        <v>94</v>
      </c>
      <c r="R1809" s="688"/>
      <c r="S1809" s="688" t="s">
        <v>95</v>
      </c>
      <c r="T1809" s="700">
        <v>1</v>
      </c>
      <c r="U1809" s="718">
        <v>19.353000000000002</v>
      </c>
      <c r="V1809" s="688"/>
      <c r="W1809" s="480">
        <v>42570</v>
      </c>
      <c r="X1809" s="695">
        <v>28</v>
      </c>
      <c r="Y1809" s="688"/>
      <c r="Z1809" s="694"/>
      <c r="AA1809" s="688"/>
      <c r="AB1809" s="694"/>
      <c r="AC1809" s="695">
        <v>0</v>
      </c>
      <c r="AD1809" s="695">
        <v>73.541399999999996</v>
      </c>
      <c r="AE1809" s="688" t="s">
        <v>7354</v>
      </c>
      <c r="AF1809" s="697"/>
      <c r="AG1809" s="697"/>
      <c r="AH1809" s="697">
        <v>0</v>
      </c>
      <c r="AI1809" s="694"/>
      <c r="AJ1809" s="698"/>
      <c r="AK1809" s="698"/>
      <c r="AL1809" s="688"/>
      <c r="AM1809" s="688"/>
      <c r="AN1809" s="697"/>
      <c r="AO1809" s="688"/>
      <c r="AP1809" s="428" t="s">
        <v>7048</v>
      </c>
      <c r="AQ1809" s="688"/>
      <c r="AR1809" s="688" t="s">
        <v>368</v>
      </c>
      <c r="AS1809" s="479">
        <v>42570</v>
      </c>
      <c r="AT1809" s="699"/>
      <c r="AU1809" s="688"/>
      <c r="AV1809" s="688">
        <v>42219</v>
      </c>
      <c r="AW1809" s="688">
        <v>42819</v>
      </c>
      <c r="AX1809" s="688">
        <v>42838</v>
      </c>
      <c r="AY1809" s="698">
        <v>42809</v>
      </c>
      <c r="AZ1809" s="698"/>
      <c r="BA1809" s="699"/>
      <c r="BB1809" s="428" t="s">
        <v>3116</v>
      </c>
      <c r="BC1809" s="392" t="b">
        <v>1</v>
      </c>
      <c r="BD1809" s="688" t="s">
        <v>3116</v>
      </c>
      <c r="BE1809" s="688"/>
      <c r="BF1809" s="700">
        <v>6</v>
      </c>
      <c r="BG1809" s="700">
        <v>9</v>
      </c>
      <c r="BH1809" s="700">
        <v>1</v>
      </c>
      <c r="BI1809" s="700">
        <v>5</v>
      </c>
      <c r="BJ1809" s="694">
        <v>8</v>
      </c>
      <c r="BK1809" s="694"/>
      <c r="BL1809" s="721" t="s">
        <v>6981</v>
      </c>
      <c r="BM1809" s="694"/>
      <c r="BN1809" s="688"/>
      <c r="BO1809" s="688"/>
      <c r="BP1809" s="688"/>
      <c r="BQ1809" s="688"/>
      <c r="BR1809" s="688"/>
      <c r="BS1809" s="695">
        <v>0</v>
      </c>
      <c r="BT1809" s="694"/>
      <c r="BU1809" s="697"/>
      <c r="BV1809" s="695"/>
      <c r="BW1809" s="428" t="s">
        <v>3117</v>
      </c>
      <c r="BX1809" s="701"/>
      <c r="BY1809" s="688"/>
      <c r="BZ1809" s="702"/>
      <c r="CA1809" s="702"/>
      <c r="CB1809" s="688"/>
      <c r="CC1809" s="688"/>
      <c r="CD1809" s="688"/>
      <c r="CE1809" s="688"/>
      <c r="CF1809" s="688"/>
      <c r="CG1809" s="688"/>
      <c r="CH1809" s="688"/>
      <c r="CI1809" s="688"/>
      <c r="CJ1809" s="688"/>
      <c r="CK1809" s="688"/>
      <c r="CL1809" s="688"/>
      <c r="CM1809" s="688"/>
      <c r="CN1809" s="688"/>
      <c r="CO1809" s="688"/>
      <c r="CP1809" s="688"/>
      <c r="CQ1809" s="688"/>
      <c r="CR1809" s="688"/>
      <c r="CS1809" s="688"/>
      <c r="CT1809" s="688"/>
      <c r="CU1809" s="688"/>
      <c r="CV1809" s="688"/>
      <c r="CW1809" s="688"/>
      <c r="CX1809" s="688"/>
      <c r="CY1809" s="688"/>
      <c r="CZ1809" s="688"/>
      <c r="DA1809" s="688"/>
      <c r="DB1809" s="688"/>
      <c r="DC1809" s="688"/>
      <c r="DD1809" s="688"/>
      <c r="DE1809" s="688"/>
      <c r="DF1809" s="688"/>
      <c r="DG1809" s="688"/>
      <c r="DH1809" s="688"/>
      <c r="DI1809" s="688"/>
      <c r="DJ1809" s="688"/>
      <c r="DK1809" s="896" t="s">
        <v>9752</v>
      </c>
    </row>
    <row r="1810" spans="1:115" s="3" customFormat="1" ht="51" x14ac:dyDescent="0.2">
      <c r="A1810" s="295">
        <v>1806</v>
      </c>
      <c r="B1810" s="502" t="s">
        <v>8194</v>
      </c>
      <c r="C1810" s="432"/>
      <c r="D1810" s="744" t="s">
        <v>9004</v>
      </c>
      <c r="E1810" s="712" t="s">
        <v>8197</v>
      </c>
      <c r="F1810" s="688" t="s">
        <v>1352</v>
      </c>
      <c r="G1810" s="688" t="s">
        <v>1673</v>
      </c>
      <c r="H1810" s="688" t="s">
        <v>67</v>
      </c>
      <c r="I1810" s="688"/>
      <c r="J1810" s="688"/>
      <c r="K1810" s="688" t="s">
        <v>67</v>
      </c>
      <c r="L1810" s="688" t="s">
        <v>8198</v>
      </c>
      <c r="M1810" s="688"/>
      <c r="N1810" s="428" t="s">
        <v>44</v>
      </c>
      <c r="O1810" s="392" t="s">
        <v>93</v>
      </c>
      <c r="P1810" s="392" t="s">
        <v>93</v>
      </c>
      <c r="Q1810" s="392" t="s">
        <v>94</v>
      </c>
      <c r="R1810" s="688" t="s">
        <v>8200</v>
      </c>
      <c r="S1810" s="688" t="s">
        <v>95</v>
      </c>
      <c r="T1810" s="700">
        <v>1</v>
      </c>
      <c r="U1810" s="718">
        <v>19.353000000000002</v>
      </c>
      <c r="V1810" s="688"/>
      <c r="W1810" s="695"/>
      <c r="X1810" s="695"/>
      <c r="Y1810" s="700">
        <v>7</v>
      </c>
      <c r="Z1810" s="694">
        <v>21</v>
      </c>
      <c r="AA1810" s="688"/>
      <c r="AB1810" s="479">
        <v>42809</v>
      </c>
      <c r="AC1810" s="695">
        <v>0</v>
      </c>
      <c r="AD1810" s="695">
        <v>73.541399999999996</v>
      </c>
      <c r="AE1810" s="688" t="s">
        <v>7354</v>
      </c>
      <c r="AF1810" s="697"/>
      <c r="AG1810" s="697"/>
      <c r="AH1810" s="697"/>
      <c r="AI1810" s="694"/>
      <c r="AJ1810" s="698"/>
      <c r="AK1810" s="698"/>
      <c r="AL1810" s="688"/>
      <c r="AM1810" s="688"/>
      <c r="AN1810" s="697"/>
      <c r="AO1810" s="688"/>
      <c r="AP1810" s="428" t="s">
        <v>7048</v>
      </c>
      <c r="AQ1810" s="688"/>
      <c r="AR1810" s="688" t="s">
        <v>368</v>
      </c>
      <c r="AS1810" s="479">
        <v>42570</v>
      </c>
      <c r="AT1810" s="699"/>
      <c r="AU1810" s="688"/>
      <c r="AV1810" s="688"/>
      <c r="AW1810" s="688"/>
      <c r="AX1810" s="688"/>
      <c r="AY1810" s="698"/>
      <c r="AZ1810" s="698">
        <v>42809</v>
      </c>
      <c r="BA1810" s="699"/>
      <c r="BB1810" s="688"/>
      <c r="BC1810" s="688" t="b">
        <v>0</v>
      </c>
      <c r="BD1810" s="688"/>
      <c r="BE1810" s="688"/>
      <c r="BF1810" s="700">
        <v>6</v>
      </c>
      <c r="BG1810" s="700">
        <v>9</v>
      </c>
      <c r="BH1810" s="700">
        <v>1</v>
      </c>
      <c r="BI1810" s="700">
        <v>5</v>
      </c>
      <c r="BJ1810" s="694">
        <v>8</v>
      </c>
      <c r="BK1810" s="694"/>
      <c r="BL1810" s="721" t="s">
        <v>6981</v>
      </c>
      <c r="BM1810" s="694"/>
      <c r="BN1810" s="688"/>
      <c r="BO1810" s="688"/>
      <c r="BP1810" s="688"/>
      <c r="BQ1810" s="688"/>
      <c r="BR1810" s="688"/>
      <c r="BS1810" s="695"/>
      <c r="BT1810" s="694"/>
      <c r="BU1810" s="697"/>
      <c r="BV1810" s="695"/>
      <c r="BW1810" s="428" t="s">
        <v>3117</v>
      </c>
      <c r="BX1810" s="701"/>
      <c r="BY1810" s="688"/>
      <c r="BZ1810" s="702"/>
      <c r="CA1810" s="702"/>
      <c r="CB1810" s="688"/>
      <c r="CC1810" s="688"/>
      <c r="CD1810" s="688"/>
      <c r="CE1810" s="688"/>
      <c r="CF1810" s="688"/>
      <c r="CG1810" s="688"/>
      <c r="CH1810" s="688"/>
      <c r="CI1810" s="688"/>
      <c r="CJ1810" s="688"/>
      <c r="CK1810" s="688"/>
      <c r="CL1810" s="688"/>
      <c r="CM1810" s="719">
        <v>19.353000000000002</v>
      </c>
      <c r="CN1810" s="719">
        <v>19.353000000000002</v>
      </c>
      <c r="CO1810" s="719">
        <v>19.353000000000002</v>
      </c>
      <c r="CP1810" s="719">
        <v>19.353000000000002</v>
      </c>
      <c r="CQ1810" s="719">
        <v>19.353000000000002</v>
      </c>
      <c r="CR1810" s="719">
        <v>19.353000000000002</v>
      </c>
      <c r="CS1810" s="719">
        <v>19.353000000000002</v>
      </c>
      <c r="CT1810" s="688"/>
      <c r="CU1810" s="688"/>
      <c r="CV1810" s="688"/>
      <c r="CW1810" s="688"/>
      <c r="CX1810" s="688"/>
      <c r="CY1810" s="688"/>
      <c r="CZ1810" s="688"/>
      <c r="DA1810" s="688"/>
      <c r="DB1810" s="688"/>
      <c r="DC1810" s="688"/>
      <c r="DD1810" s="688"/>
      <c r="DE1810" s="688"/>
      <c r="DF1810" s="688"/>
      <c r="DG1810" s="688"/>
      <c r="DH1810" s="688"/>
      <c r="DI1810" s="688"/>
      <c r="DJ1810" s="688"/>
      <c r="DK1810" s="897"/>
    </row>
    <row r="1811" spans="1:115" s="3" customFormat="1" ht="63.75" x14ac:dyDescent="0.2">
      <c r="A1811" s="295">
        <v>1807</v>
      </c>
      <c r="B1811" s="448" t="s">
        <v>8244</v>
      </c>
      <c r="C1811" s="432" t="s">
        <v>8230</v>
      </c>
      <c r="D1811" s="713">
        <v>10429</v>
      </c>
      <c r="E1811" s="712" t="s">
        <v>8231</v>
      </c>
      <c r="F1811" s="393" t="s">
        <v>1375</v>
      </c>
      <c r="G1811" s="393" t="s">
        <v>1670</v>
      </c>
      <c r="H1811" s="393" t="s">
        <v>1385</v>
      </c>
      <c r="I1811" s="688"/>
      <c r="J1811" s="688" t="s">
        <v>1385</v>
      </c>
      <c r="K1811" s="688"/>
      <c r="L1811" s="688" t="s">
        <v>8239</v>
      </c>
      <c r="M1811" s="688" t="s">
        <v>8240</v>
      </c>
      <c r="N1811" s="428" t="s">
        <v>44</v>
      </c>
      <c r="O1811" s="392" t="s">
        <v>827</v>
      </c>
      <c r="P1811" s="392" t="s">
        <v>827</v>
      </c>
      <c r="Q1811" s="392" t="s">
        <v>836</v>
      </c>
      <c r="R1811" s="688"/>
      <c r="S1811" s="688" t="s">
        <v>8330</v>
      </c>
      <c r="T1811" s="700">
        <v>2</v>
      </c>
      <c r="U1811" s="718">
        <v>65.084000000000003</v>
      </c>
      <c r="V1811" s="688"/>
      <c r="W1811" s="480">
        <v>41920</v>
      </c>
      <c r="X1811" s="695">
        <v>28</v>
      </c>
      <c r="Y1811" s="688"/>
      <c r="Z1811" s="694"/>
      <c r="AA1811" s="688"/>
      <c r="AB1811" s="694"/>
      <c r="AC1811" s="695">
        <v>0</v>
      </c>
      <c r="AD1811" s="695">
        <v>650.84</v>
      </c>
      <c r="AE1811" s="392" t="s">
        <v>47</v>
      </c>
      <c r="AF1811" s="697"/>
      <c r="AG1811" s="697"/>
      <c r="AH1811" s="697">
        <v>0</v>
      </c>
      <c r="AI1811" s="694"/>
      <c r="AJ1811" s="698"/>
      <c r="AK1811" s="698"/>
      <c r="AL1811" s="688"/>
      <c r="AM1811" s="688"/>
      <c r="AN1811" s="697"/>
      <c r="AO1811" s="688"/>
      <c r="AP1811" s="428" t="s">
        <v>7053</v>
      </c>
      <c r="AQ1811" s="688"/>
      <c r="AR1811" s="688" t="s">
        <v>274</v>
      </c>
      <c r="AS1811" s="479">
        <v>42593</v>
      </c>
      <c r="AT1811" s="699"/>
      <c r="AU1811" s="688"/>
      <c r="AV1811" s="688">
        <v>42682</v>
      </c>
      <c r="AW1811" s="688">
        <v>43174</v>
      </c>
      <c r="AX1811" s="688"/>
      <c r="AY1811" s="698">
        <v>43253</v>
      </c>
      <c r="AZ1811" s="698"/>
      <c r="BA1811" s="699"/>
      <c r="BB1811" s="428" t="s">
        <v>3116</v>
      </c>
      <c r="BC1811" s="392" t="b">
        <v>1</v>
      </c>
      <c r="BD1811" s="688" t="s">
        <v>3116</v>
      </c>
      <c r="BE1811" s="688"/>
      <c r="BF1811" s="700">
        <v>10</v>
      </c>
      <c r="BG1811" s="700">
        <v>8</v>
      </c>
      <c r="BH1811" s="700">
        <v>5</v>
      </c>
      <c r="BI1811" s="700">
        <v>1</v>
      </c>
      <c r="BJ1811" s="694"/>
      <c r="BK1811" s="694"/>
      <c r="BL1811" s="721" t="s">
        <v>6981</v>
      </c>
      <c r="BM1811" s="694"/>
      <c r="BN1811" s="688"/>
      <c r="BO1811" s="688"/>
      <c r="BP1811" s="688"/>
      <c r="BQ1811" s="688"/>
      <c r="BR1811" s="688"/>
      <c r="BS1811" s="695">
        <v>0</v>
      </c>
      <c r="BT1811" s="694"/>
      <c r="BU1811" s="697"/>
      <c r="BV1811" s="695"/>
      <c r="BW1811" s="428" t="s">
        <v>3165</v>
      </c>
      <c r="BX1811" s="392" t="s">
        <v>3172</v>
      </c>
      <c r="BY1811" s="688"/>
      <c r="BZ1811" s="702"/>
      <c r="CA1811" s="702"/>
      <c r="CB1811" s="688"/>
      <c r="CC1811" s="688"/>
      <c r="CD1811" s="688"/>
      <c r="CE1811" s="688"/>
      <c r="CF1811" s="688"/>
      <c r="CG1811" s="688"/>
      <c r="CH1811" s="688"/>
      <c r="CI1811" s="688"/>
      <c r="CJ1811" s="688"/>
      <c r="CK1811" s="688"/>
      <c r="CL1811" s="688"/>
      <c r="CM1811" s="688"/>
      <c r="CN1811" s="688"/>
      <c r="CO1811" s="688"/>
      <c r="CP1811" s="688"/>
      <c r="CQ1811" s="688"/>
      <c r="CR1811" s="688"/>
      <c r="CS1811" s="688"/>
      <c r="CT1811" s="688"/>
      <c r="CU1811" s="688"/>
      <c r="CV1811" s="688"/>
      <c r="CW1811" s="688"/>
      <c r="CX1811" s="688"/>
      <c r="CY1811" s="688"/>
      <c r="CZ1811" s="688"/>
      <c r="DA1811" s="688"/>
      <c r="DB1811" s="688"/>
      <c r="DC1811" s="688"/>
      <c r="DD1811" s="688"/>
      <c r="DE1811" s="688"/>
      <c r="DF1811" s="688"/>
      <c r="DG1811" s="688"/>
      <c r="DH1811" s="688"/>
      <c r="DI1811" s="688"/>
      <c r="DJ1811" s="688"/>
      <c r="DK1811" s="896" t="s">
        <v>9703</v>
      </c>
    </row>
    <row r="1812" spans="1:115" s="3" customFormat="1" ht="38.25" x14ac:dyDescent="0.2">
      <c r="A1812" s="295">
        <v>1808</v>
      </c>
      <c r="B1812" s="502" t="s">
        <v>8245</v>
      </c>
      <c r="C1812" s="432"/>
      <c r="D1812" s="744" t="s">
        <v>9527</v>
      </c>
      <c r="E1812" s="712" t="s">
        <v>9550</v>
      </c>
      <c r="F1812" s="393" t="s">
        <v>1375</v>
      </c>
      <c r="G1812" s="393" t="s">
        <v>1670</v>
      </c>
      <c r="H1812" s="393" t="s">
        <v>1385</v>
      </c>
      <c r="I1812" s="688"/>
      <c r="J1812" s="688"/>
      <c r="K1812" s="688" t="s">
        <v>1385</v>
      </c>
      <c r="L1812" s="688" t="s">
        <v>8239</v>
      </c>
      <c r="M1812" s="688"/>
      <c r="N1812" s="428" t="s">
        <v>44</v>
      </c>
      <c r="O1812" s="428" t="s">
        <v>827</v>
      </c>
      <c r="P1812" s="428" t="s">
        <v>827</v>
      </c>
      <c r="Q1812" s="428" t="s">
        <v>836</v>
      </c>
      <c r="R1812" s="688" t="s">
        <v>8241</v>
      </c>
      <c r="S1812" s="688" t="s">
        <v>8330</v>
      </c>
      <c r="T1812" s="700">
        <v>1</v>
      </c>
      <c r="U1812" s="718">
        <v>32.542000000000002</v>
      </c>
      <c r="V1812" s="688"/>
      <c r="W1812" s="695"/>
      <c r="X1812" s="695"/>
      <c r="Y1812" s="700">
        <v>10</v>
      </c>
      <c r="Z1812" s="694">
        <v>10</v>
      </c>
      <c r="AA1812" s="688"/>
      <c r="AB1812" s="479">
        <v>43256</v>
      </c>
      <c r="AC1812" s="695">
        <v>0</v>
      </c>
      <c r="AD1812" s="695">
        <v>325.42</v>
      </c>
      <c r="AE1812" s="392" t="s">
        <v>47</v>
      </c>
      <c r="AF1812" s="697"/>
      <c r="AG1812" s="697"/>
      <c r="AH1812" s="697"/>
      <c r="AI1812" s="694"/>
      <c r="AJ1812" s="698"/>
      <c r="AK1812" s="698"/>
      <c r="AL1812" s="688"/>
      <c r="AM1812" s="688"/>
      <c r="AN1812" s="697"/>
      <c r="AO1812" s="688"/>
      <c r="AP1812" s="428" t="s">
        <v>7053</v>
      </c>
      <c r="AQ1812" s="688"/>
      <c r="AR1812" s="688" t="s">
        <v>274</v>
      </c>
      <c r="AS1812" s="479">
        <v>42593</v>
      </c>
      <c r="AT1812" s="699"/>
      <c r="AU1812" s="688"/>
      <c r="AV1812" s="688"/>
      <c r="AW1812" s="688"/>
      <c r="AX1812" s="688"/>
      <c r="AY1812" s="698"/>
      <c r="AZ1812" s="698">
        <v>43256</v>
      </c>
      <c r="BA1812" s="699"/>
      <c r="BB1812" s="688"/>
      <c r="BC1812" s="688" t="b">
        <v>0</v>
      </c>
      <c r="BD1812" s="688"/>
      <c r="BE1812" s="688"/>
      <c r="BF1812" s="700">
        <v>10</v>
      </c>
      <c r="BG1812" s="700">
        <v>8</v>
      </c>
      <c r="BH1812" s="700">
        <v>5</v>
      </c>
      <c r="BI1812" s="700">
        <v>1</v>
      </c>
      <c r="BJ1812" s="694"/>
      <c r="BK1812" s="694"/>
      <c r="BL1812" s="721" t="s">
        <v>6981</v>
      </c>
      <c r="BM1812" s="694"/>
      <c r="BN1812" s="688"/>
      <c r="BO1812" s="688"/>
      <c r="BP1812" s="688"/>
      <c r="BQ1812" s="688"/>
      <c r="BR1812" s="688"/>
      <c r="BS1812" s="695"/>
      <c r="BT1812" s="694"/>
      <c r="BU1812" s="697"/>
      <c r="BV1812" s="695"/>
      <c r="BW1812" s="428" t="s">
        <v>3117</v>
      </c>
      <c r="BX1812" s="392" t="s">
        <v>3172</v>
      </c>
      <c r="BY1812" s="688"/>
      <c r="BZ1812" s="702"/>
      <c r="CA1812" s="702"/>
      <c r="CB1812" s="688"/>
      <c r="CC1812" s="688"/>
      <c r="CD1812" s="688"/>
      <c r="CE1812" s="688"/>
      <c r="CF1812" s="688"/>
      <c r="CG1812" s="688"/>
      <c r="CH1812" s="688"/>
      <c r="CI1812" s="688"/>
      <c r="CJ1812" s="688"/>
      <c r="CK1812" s="688"/>
      <c r="CL1812" s="719"/>
      <c r="CM1812" s="719"/>
      <c r="CN1812" s="719">
        <v>7.5659999999999998</v>
      </c>
      <c r="CO1812" s="719">
        <v>27.683</v>
      </c>
      <c r="CP1812" s="719">
        <v>44.131999999999998</v>
      </c>
      <c r="CQ1812" s="719">
        <v>44.131999999999998</v>
      </c>
      <c r="CR1812" s="719">
        <v>44.131999999999998</v>
      </c>
      <c r="CS1812" s="719">
        <v>44.131999999999998</v>
      </c>
      <c r="CT1812" s="719">
        <v>44.131999999999998</v>
      </c>
      <c r="CU1812" s="719">
        <v>44.131999999999998</v>
      </c>
      <c r="CV1812" s="719">
        <v>44.131999999999998</v>
      </c>
      <c r="CW1812" s="719">
        <v>44.131999999999998</v>
      </c>
      <c r="CX1812" s="719">
        <v>18.388000000000002</v>
      </c>
      <c r="CY1812" s="688"/>
      <c r="CZ1812" s="688"/>
      <c r="DA1812" s="688"/>
      <c r="DB1812" s="688"/>
      <c r="DC1812" s="688"/>
      <c r="DD1812" s="688"/>
      <c r="DE1812" s="688"/>
      <c r="DF1812" s="688"/>
      <c r="DG1812" s="688"/>
      <c r="DH1812" s="688"/>
      <c r="DI1812" s="688"/>
      <c r="DJ1812" s="688"/>
      <c r="DK1812" s="897"/>
    </row>
    <row r="1813" spans="1:115" s="3" customFormat="1" ht="38.25" x14ac:dyDescent="0.2">
      <c r="A1813" s="295">
        <v>1809</v>
      </c>
      <c r="B1813" s="502" t="s">
        <v>9549</v>
      </c>
      <c r="C1813" s="432"/>
      <c r="D1813" s="744" t="s">
        <v>9551</v>
      </c>
      <c r="E1813" s="712" t="s">
        <v>9552</v>
      </c>
      <c r="F1813" s="393" t="s">
        <v>1375</v>
      </c>
      <c r="G1813" s="393" t="s">
        <v>1670</v>
      </c>
      <c r="H1813" s="393" t="s">
        <v>1385</v>
      </c>
      <c r="I1813" s="688"/>
      <c r="J1813" s="688"/>
      <c r="K1813" s="688" t="s">
        <v>1385</v>
      </c>
      <c r="L1813" s="688" t="s">
        <v>8239</v>
      </c>
      <c r="M1813" s="688"/>
      <c r="N1813" s="428" t="s">
        <v>44</v>
      </c>
      <c r="O1813" s="428" t="s">
        <v>827</v>
      </c>
      <c r="P1813" s="428" t="s">
        <v>827</v>
      </c>
      <c r="Q1813" s="428" t="s">
        <v>836</v>
      </c>
      <c r="R1813" s="688" t="s">
        <v>8241</v>
      </c>
      <c r="S1813" s="688" t="s">
        <v>8330</v>
      </c>
      <c r="T1813" s="700">
        <v>1</v>
      </c>
      <c r="U1813" s="718">
        <v>32.542000000000002</v>
      </c>
      <c r="V1813" s="688"/>
      <c r="W1813" s="695"/>
      <c r="X1813" s="695"/>
      <c r="Y1813" s="700">
        <v>10</v>
      </c>
      <c r="Z1813" s="694">
        <v>10</v>
      </c>
      <c r="AA1813" s="688"/>
      <c r="AB1813" s="479">
        <v>43256</v>
      </c>
      <c r="AC1813" s="695">
        <v>0</v>
      </c>
      <c r="AD1813" s="695">
        <v>325.42</v>
      </c>
      <c r="AE1813" s="392" t="s">
        <v>47</v>
      </c>
      <c r="AF1813" s="697"/>
      <c r="AG1813" s="697"/>
      <c r="AH1813" s="697"/>
      <c r="AI1813" s="694"/>
      <c r="AJ1813" s="698"/>
      <c r="AK1813" s="698"/>
      <c r="AL1813" s="688"/>
      <c r="AM1813" s="688"/>
      <c r="AN1813" s="697"/>
      <c r="AO1813" s="688"/>
      <c r="AP1813" s="428" t="s">
        <v>7053</v>
      </c>
      <c r="AQ1813" s="688"/>
      <c r="AR1813" s="688" t="s">
        <v>274</v>
      </c>
      <c r="AS1813" s="479">
        <v>42593</v>
      </c>
      <c r="AT1813" s="699"/>
      <c r="AU1813" s="688"/>
      <c r="AV1813" s="688"/>
      <c r="AW1813" s="688"/>
      <c r="AX1813" s="688"/>
      <c r="AY1813" s="698"/>
      <c r="AZ1813" s="698">
        <v>43256</v>
      </c>
      <c r="BA1813" s="699"/>
      <c r="BB1813" s="688"/>
      <c r="BC1813" s="688" t="b">
        <v>0</v>
      </c>
      <c r="BD1813" s="688"/>
      <c r="BE1813" s="688"/>
      <c r="BF1813" s="700">
        <v>10</v>
      </c>
      <c r="BG1813" s="700">
        <v>8</v>
      </c>
      <c r="BH1813" s="700">
        <v>5</v>
      </c>
      <c r="BI1813" s="700">
        <v>1</v>
      </c>
      <c r="BJ1813" s="694"/>
      <c r="BK1813" s="694"/>
      <c r="BL1813" s="721" t="s">
        <v>6981</v>
      </c>
      <c r="BM1813" s="694"/>
      <c r="BN1813" s="688"/>
      <c r="BO1813" s="688"/>
      <c r="BP1813" s="688"/>
      <c r="BQ1813" s="688"/>
      <c r="BR1813" s="688"/>
      <c r="BS1813" s="695"/>
      <c r="BT1813" s="694"/>
      <c r="BU1813" s="697"/>
      <c r="BV1813" s="695"/>
      <c r="BW1813" s="428" t="s">
        <v>3117</v>
      </c>
      <c r="BX1813" s="392" t="s">
        <v>3172</v>
      </c>
      <c r="BY1813" s="688"/>
      <c r="BZ1813" s="702"/>
      <c r="CA1813" s="702"/>
      <c r="CB1813" s="688"/>
      <c r="CC1813" s="688"/>
      <c r="CD1813" s="688"/>
      <c r="CE1813" s="688"/>
      <c r="CF1813" s="688"/>
      <c r="CG1813" s="688"/>
      <c r="CH1813" s="688"/>
      <c r="CI1813" s="688"/>
      <c r="CJ1813" s="688"/>
      <c r="CK1813" s="688"/>
      <c r="CL1813" s="719"/>
      <c r="CM1813" s="719"/>
      <c r="CN1813" s="719">
        <v>7.5659999999999998</v>
      </c>
      <c r="CO1813" s="719">
        <v>27.683</v>
      </c>
      <c r="CP1813" s="719">
        <v>44.131999999999998</v>
      </c>
      <c r="CQ1813" s="719">
        <v>44.131999999999998</v>
      </c>
      <c r="CR1813" s="719">
        <v>44.131999999999998</v>
      </c>
      <c r="CS1813" s="719">
        <v>44.131999999999998</v>
      </c>
      <c r="CT1813" s="719">
        <v>44.131999999999998</v>
      </c>
      <c r="CU1813" s="719">
        <v>44.131999999999998</v>
      </c>
      <c r="CV1813" s="719">
        <v>44.131999999999998</v>
      </c>
      <c r="CW1813" s="719">
        <v>44.131999999999998</v>
      </c>
      <c r="CX1813" s="719">
        <v>18.388000000000002</v>
      </c>
      <c r="CY1813" s="688"/>
      <c r="CZ1813" s="688"/>
      <c r="DA1813" s="688"/>
      <c r="DB1813" s="688"/>
      <c r="DC1813" s="688"/>
      <c r="DD1813" s="688"/>
      <c r="DE1813" s="688"/>
      <c r="DF1813" s="688"/>
      <c r="DG1813" s="688"/>
      <c r="DH1813" s="688"/>
      <c r="DI1813" s="688"/>
      <c r="DJ1813" s="688"/>
      <c r="DK1813" s="897"/>
    </row>
    <row r="1814" spans="1:115" s="3" customFormat="1" ht="51" x14ac:dyDescent="0.2">
      <c r="A1814" s="295">
        <v>1810</v>
      </c>
      <c r="B1814" s="448" t="s">
        <v>8283</v>
      </c>
      <c r="C1814" s="432" t="s">
        <v>8246</v>
      </c>
      <c r="D1814" s="713">
        <v>10341</v>
      </c>
      <c r="E1814" s="712" t="s">
        <v>8247</v>
      </c>
      <c r="F1814" s="393" t="s">
        <v>1375</v>
      </c>
      <c r="G1814" s="393" t="s">
        <v>998</v>
      </c>
      <c r="H1814" s="393" t="s">
        <v>218</v>
      </c>
      <c r="I1814" s="688"/>
      <c r="J1814" s="688" t="s">
        <v>218</v>
      </c>
      <c r="K1814" s="688"/>
      <c r="L1814" s="688" t="s">
        <v>8291</v>
      </c>
      <c r="M1814" s="688" t="s">
        <v>8292</v>
      </c>
      <c r="N1814" s="428" t="s">
        <v>44</v>
      </c>
      <c r="O1814" s="688" t="s">
        <v>51</v>
      </c>
      <c r="P1814" s="688" t="s">
        <v>51</v>
      </c>
      <c r="Q1814" s="688" t="s">
        <v>976</v>
      </c>
      <c r="R1814" s="688"/>
      <c r="S1814" s="428" t="s">
        <v>8332</v>
      </c>
      <c r="T1814" s="700">
        <v>1</v>
      </c>
      <c r="U1814" s="718">
        <v>62.637</v>
      </c>
      <c r="V1814" s="718"/>
      <c r="W1814" s="480">
        <v>42331</v>
      </c>
      <c r="X1814" s="695">
        <v>28</v>
      </c>
      <c r="Y1814" s="688"/>
      <c r="Z1814" s="694"/>
      <c r="AA1814" s="688"/>
      <c r="AB1814" s="694"/>
      <c r="AC1814" s="695">
        <v>0</v>
      </c>
      <c r="AD1814" s="695">
        <v>241.79598082191779</v>
      </c>
      <c r="AE1814" s="392" t="s">
        <v>47</v>
      </c>
      <c r="AF1814" s="697"/>
      <c r="AG1814" s="697"/>
      <c r="AH1814" s="697">
        <v>0</v>
      </c>
      <c r="AI1814" s="694"/>
      <c r="AJ1814" s="698"/>
      <c r="AK1814" s="698"/>
      <c r="AL1814" s="688"/>
      <c r="AM1814" s="688"/>
      <c r="AN1814" s="697"/>
      <c r="AO1814" s="688"/>
      <c r="AP1814" s="428" t="s">
        <v>55</v>
      </c>
      <c r="AQ1814" s="688"/>
      <c r="AR1814" s="688" t="s">
        <v>50</v>
      </c>
      <c r="AS1814" s="479">
        <v>42787</v>
      </c>
      <c r="AT1814" s="699"/>
      <c r="AU1814" s="688" t="s">
        <v>9018</v>
      </c>
      <c r="AV1814" s="688">
        <v>42706</v>
      </c>
      <c r="AW1814" s="688">
        <v>42754</v>
      </c>
      <c r="AX1814" s="688">
        <v>42824</v>
      </c>
      <c r="AY1814" s="698">
        <v>42787</v>
      </c>
      <c r="AZ1814" s="698"/>
      <c r="BA1814" s="699"/>
      <c r="BB1814" s="428" t="s">
        <v>3116</v>
      </c>
      <c r="BC1814" s="392" t="b">
        <v>1</v>
      </c>
      <c r="BD1814" s="428" t="s">
        <v>3116</v>
      </c>
      <c r="BE1814" s="688"/>
      <c r="BF1814" s="700">
        <v>11</v>
      </c>
      <c r="BG1814" s="700">
        <v>10</v>
      </c>
      <c r="BH1814" s="700">
        <v>8</v>
      </c>
      <c r="BI1814" s="700">
        <v>4</v>
      </c>
      <c r="BJ1814" s="694">
        <v>1</v>
      </c>
      <c r="BK1814" s="694"/>
      <c r="BL1814" s="778">
        <v>3</v>
      </c>
      <c r="BM1814" s="694"/>
      <c r="BN1814" s="688"/>
      <c r="BO1814" s="688"/>
      <c r="BP1814" s="688"/>
      <c r="BQ1814" s="688"/>
      <c r="BR1814" s="688"/>
      <c r="BS1814" s="695">
        <v>0</v>
      </c>
      <c r="BT1814" s="694"/>
      <c r="BU1814" s="697"/>
      <c r="BV1814" s="695"/>
      <c r="BW1814" s="428" t="s">
        <v>3117</v>
      </c>
      <c r="BX1814" s="392" t="s">
        <v>3172</v>
      </c>
      <c r="BY1814" s="688"/>
      <c r="BZ1814" s="702"/>
      <c r="CA1814" s="702"/>
      <c r="CB1814" s="688"/>
      <c r="CC1814" s="688"/>
      <c r="CD1814" s="688"/>
      <c r="CE1814" s="688"/>
      <c r="CF1814" s="688"/>
      <c r="CG1814" s="688"/>
      <c r="CH1814" s="688"/>
      <c r="CI1814" s="688"/>
      <c r="CJ1814" s="688"/>
      <c r="CK1814" s="688"/>
      <c r="CL1814" s="688"/>
      <c r="CM1814" s="688"/>
      <c r="CN1814" s="688"/>
      <c r="CO1814" s="688"/>
      <c r="CP1814" s="688"/>
      <c r="CQ1814" s="688"/>
      <c r="CR1814" s="688"/>
      <c r="CS1814" s="688"/>
      <c r="CT1814" s="688"/>
      <c r="CU1814" s="688"/>
      <c r="CV1814" s="688"/>
      <c r="CW1814" s="688"/>
      <c r="CX1814" s="688"/>
      <c r="CY1814" s="688"/>
      <c r="CZ1814" s="688"/>
      <c r="DA1814" s="688"/>
      <c r="DB1814" s="688"/>
      <c r="DC1814" s="688"/>
      <c r="DD1814" s="688"/>
      <c r="DE1814" s="688"/>
      <c r="DF1814" s="688"/>
      <c r="DG1814" s="688"/>
      <c r="DH1814" s="688"/>
      <c r="DI1814" s="688"/>
      <c r="DJ1814" s="688"/>
      <c r="DK1814" s="896" t="s">
        <v>9727</v>
      </c>
    </row>
    <row r="1815" spans="1:115" s="3" customFormat="1" ht="51" x14ac:dyDescent="0.2">
      <c r="A1815" s="295">
        <v>1811</v>
      </c>
      <c r="B1815" s="502" t="s">
        <v>8287</v>
      </c>
      <c r="C1815" s="432"/>
      <c r="D1815" s="744" t="s">
        <v>8971</v>
      </c>
      <c r="E1815" s="712" t="s">
        <v>8248</v>
      </c>
      <c r="F1815" s="393" t="s">
        <v>1375</v>
      </c>
      <c r="G1815" s="393" t="s">
        <v>998</v>
      </c>
      <c r="H1815" s="393" t="s">
        <v>218</v>
      </c>
      <c r="I1815" s="688"/>
      <c r="J1815" s="688"/>
      <c r="K1815" s="688" t="s">
        <v>218</v>
      </c>
      <c r="L1815" s="688" t="s">
        <v>8291</v>
      </c>
      <c r="M1815" s="688"/>
      <c r="N1815" s="428" t="s">
        <v>44</v>
      </c>
      <c r="O1815" s="688" t="s">
        <v>51</v>
      </c>
      <c r="P1815" s="688" t="s">
        <v>51</v>
      </c>
      <c r="Q1815" s="688" t="s">
        <v>976</v>
      </c>
      <c r="R1815" s="688" t="s">
        <v>8293</v>
      </c>
      <c r="S1815" s="428" t="s">
        <v>8332</v>
      </c>
      <c r="T1815" s="700">
        <v>1</v>
      </c>
      <c r="U1815" s="718">
        <v>62.637</v>
      </c>
      <c r="V1815" s="718"/>
      <c r="W1815" s="695"/>
      <c r="X1815" s="695"/>
      <c r="Y1815" s="700">
        <v>7</v>
      </c>
      <c r="Z1815" s="694">
        <v>10</v>
      </c>
      <c r="AA1815" s="688"/>
      <c r="AB1815" s="479">
        <v>42787</v>
      </c>
      <c r="AC1815" s="695">
        <v>0</v>
      </c>
      <c r="AD1815" s="695">
        <v>241.79598082191779</v>
      </c>
      <c r="AE1815" s="392" t="s">
        <v>47</v>
      </c>
      <c r="AF1815" s="697"/>
      <c r="AG1815" s="697"/>
      <c r="AH1815" s="697"/>
      <c r="AI1815" s="694"/>
      <c r="AJ1815" s="698"/>
      <c r="AK1815" s="698"/>
      <c r="AL1815" s="688"/>
      <c r="AM1815" s="688"/>
      <c r="AN1815" s="697"/>
      <c r="AO1815" s="688"/>
      <c r="AP1815" s="428" t="s">
        <v>55</v>
      </c>
      <c r="AQ1815" s="688"/>
      <c r="AR1815" s="688" t="s">
        <v>50</v>
      </c>
      <c r="AS1815" s="479">
        <v>42787</v>
      </c>
      <c r="AT1815" s="699"/>
      <c r="AU1815" s="688" t="s">
        <v>9019</v>
      </c>
      <c r="AV1815" s="688"/>
      <c r="AW1815" s="688"/>
      <c r="AX1815" s="688"/>
      <c r="AY1815" s="698"/>
      <c r="AZ1815" s="698">
        <v>42787</v>
      </c>
      <c r="BA1815" s="699"/>
      <c r="BB1815" s="688"/>
      <c r="BC1815" s="688" t="b">
        <v>0</v>
      </c>
      <c r="BD1815" s="688"/>
      <c r="BE1815" s="688"/>
      <c r="BF1815" s="700">
        <v>11</v>
      </c>
      <c r="BG1815" s="700">
        <v>10</v>
      </c>
      <c r="BH1815" s="700">
        <v>8</v>
      </c>
      <c r="BI1815" s="700">
        <v>4</v>
      </c>
      <c r="BJ1815" s="694">
        <v>1</v>
      </c>
      <c r="BK1815" s="694"/>
      <c r="BL1815" s="778">
        <v>3</v>
      </c>
      <c r="BM1815" s="694"/>
      <c r="BN1815" s="688"/>
      <c r="BO1815" s="688"/>
      <c r="BP1815" s="688"/>
      <c r="BQ1815" s="688"/>
      <c r="BR1815" s="688"/>
      <c r="BS1815" s="695"/>
      <c r="BT1815" s="694"/>
      <c r="BU1815" s="697"/>
      <c r="BV1815" s="695"/>
      <c r="BW1815" s="428" t="s">
        <v>3117</v>
      </c>
      <c r="BX1815" s="392" t="s">
        <v>3172</v>
      </c>
      <c r="BY1815" s="688"/>
      <c r="BZ1815" s="702"/>
      <c r="CA1815" s="702"/>
      <c r="CB1815" s="688"/>
      <c r="CC1815" s="688"/>
      <c r="CD1815" s="688"/>
      <c r="CE1815" s="688"/>
      <c r="CF1815" s="688"/>
      <c r="CG1815" s="688"/>
      <c r="CH1815" s="688"/>
      <c r="CI1815" s="688"/>
      <c r="CJ1815" s="688"/>
      <c r="CK1815" s="688"/>
      <c r="CL1815" s="719">
        <v>52.563000000000002</v>
      </c>
      <c r="CM1815" s="719">
        <v>61.762999999999998</v>
      </c>
      <c r="CN1815" s="719">
        <v>52.563000000000002</v>
      </c>
      <c r="CO1815" s="719">
        <v>43.363</v>
      </c>
      <c r="CP1815" s="719">
        <v>43.363</v>
      </c>
      <c r="CQ1815" s="719">
        <v>43.363</v>
      </c>
      <c r="CR1815" s="719">
        <v>43.363</v>
      </c>
      <c r="CS1815" s="719"/>
      <c r="CT1815" s="719"/>
      <c r="CU1815" s="719"/>
      <c r="CV1815" s="719"/>
      <c r="CW1815" s="688"/>
      <c r="CX1815" s="688"/>
      <c r="CY1815" s="688"/>
      <c r="CZ1815" s="688"/>
      <c r="DA1815" s="688"/>
      <c r="DB1815" s="688"/>
      <c r="DC1815" s="688"/>
      <c r="DD1815" s="688"/>
      <c r="DE1815" s="688"/>
      <c r="DF1815" s="688"/>
      <c r="DG1815" s="688"/>
      <c r="DH1815" s="688"/>
      <c r="DI1815" s="688"/>
      <c r="DJ1815" s="688"/>
      <c r="DK1815" s="897"/>
    </row>
    <row r="1816" spans="1:115" s="3" customFormat="1" ht="51" x14ac:dyDescent="0.2">
      <c r="A1816" s="295">
        <v>1812</v>
      </c>
      <c r="B1816" s="448" t="s">
        <v>8284</v>
      </c>
      <c r="C1816" s="432" t="s">
        <v>8289</v>
      </c>
      <c r="D1816" s="713">
        <v>10375</v>
      </c>
      <c r="E1816" s="712" t="s">
        <v>8285</v>
      </c>
      <c r="F1816" s="393" t="s">
        <v>1352</v>
      </c>
      <c r="G1816" s="393" t="s">
        <v>1673</v>
      </c>
      <c r="H1816" s="393" t="s">
        <v>42</v>
      </c>
      <c r="I1816" s="688"/>
      <c r="J1816" s="688" t="s">
        <v>42</v>
      </c>
      <c r="K1816" s="688"/>
      <c r="L1816" s="688" t="s">
        <v>8294</v>
      </c>
      <c r="M1816" s="688" t="s">
        <v>8295</v>
      </c>
      <c r="N1816" s="428" t="s">
        <v>44</v>
      </c>
      <c r="O1816" s="428" t="s">
        <v>5491</v>
      </c>
      <c r="P1816" s="428" t="s">
        <v>5491</v>
      </c>
      <c r="Q1816" s="428" t="s">
        <v>1835</v>
      </c>
      <c r="R1816" s="688"/>
      <c r="S1816" s="688" t="s">
        <v>8297</v>
      </c>
      <c r="T1816" s="700">
        <v>1</v>
      </c>
      <c r="U1816" s="718">
        <v>1.845</v>
      </c>
      <c r="V1816" s="718"/>
      <c r="W1816" s="480"/>
      <c r="X1816" s="695"/>
      <c r="Y1816" s="688"/>
      <c r="Z1816" s="694"/>
      <c r="AA1816" s="688"/>
      <c r="AB1816" s="694"/>
      <c r="AC1816" s="695">
        <v>0</v>
      </c>
      <c r="AD1816" s="695">
        <v>6.4650821917808221</v>
      </c>
      <c r="AE1816" s="393" t="s">
        <v>133</v>
      </c>
      <c r="AF1816" s="697"/>
      <c r="AG1816" s="697"/>
      <c r="AH1816" s="697">
        <v>0</v>
      </c>
      <c r="AI1816" s="694"/>
      <c r="AJ1816" s="698"/>
      <c r="AK1816" s="698"/>
      <c r="AL1816" s="688"/>
      <c r="AM1816" s="688"/>
      <c r="AN1816" s="697"/>
      <c r="AO1816" s="688"/>
      <c r="AP1816" s="428" t="s">
        <v>55</v>
      </c>
      <c r="AQ1816" s="688"/>
      <c r="AR1816" s="688" t="s">
        <v>8333</v>
      </c>
      <c r="AS1816" s="479">
        <v>42635</v>
      </c>
      <c r="AT1816" s="699"/>
      <c r="AU1816" s="688"/>
      <c r="AV1816" s="688">
        <v>42774</v>
      </c>
      <c r="AW1816" s="688">
        <v>43132</v>
      </c>
      <c r="AX1816" s="688">
        <v>43168</v>
      </c>
      <c r="AY1816" s="698">
        <v>43196</v>
      </c>
      <c r="AZ1816" s="698"/>
      <c r="BA1816" s="699"/>
      <c r="BB1816" s="428" t="s">
        <v>3116</v>
      </c>
      <c r="BC1816" s="392" t="b">
        <v>1</v>
      </c>
      <c r="BD1816" s="428" t="s">
        <v>3116</v>
      </c>
      <c r="BE1816" s="688"/>
      <c r="BF1816" s="700">
        <v>11</v>
      </c>
      <c r="BG1816" s="700">
        <v>9</v>
      </c>
      <c r="BH1816" s="700">
        <v>8</v>
      </c>
      <c r="BI1816" s="700">
        <v>5</v>
      </c>
      <c r="BJ1816" s="694">
        <v>4</v>
      </c>
      <c r="BK1816" s="694"/>
      <c r="BL1816" s="778">
        <v>3</v>
      </c>
      <c r="BM1816" s="694"/>
      <c r="BN1816" s="688"/>
      <c r="BO1816" s="688"/>
      <c r="BP1816" s="688"/>
      <c r="BQ1816" s="688"/>
      <c r="BR1816" s="688"/>
      <c r="BS1816" s="695">
        <v>1</v>
      </c>
      <c r="BT1816" s="694"/>
      <c r="BU1816" s="697"/>
      <c r="BV1816" s="695"/>
      <c r="BW1816" s="428" t="s">
        <v>3117</v>
      </c>
      <c r="BX1816" s="392"/>
      <c r="BY1816" s="688"/>
      <c r="BZ1816" s="702"/>
      <c r="CA1816" s="702"/>
      <c r="CB1816" s="688"/>
      <c r="CC1816" s="688"/>
      <c r="CD1816" s="688"/>
      <c r="CE1816" s="688"/>
      <c r="CF1816" s="688"/>
      <c r="CG1816" s="688"/>
      <c r="CH1816" s="688"/>
      <c r="CI1816" s="688"/>
      <c r="CJ1816" s="688"/>
      <c r="CK1816" s="688"/>
      <c r="CL1816" s="688"/>
      <c r="CM1816" s="688"/>
      <c r="CN1816" s="688"/>
      <c r="CO1816" s="688"/>
      <c r="CP1816" s="688"/>
      <c r="CQ1816" s="688"/>
      <c r="CR1816" s="688"/>
      <c r="CS1816" s="688"/>
      <c r="CT1816" s="688"/>
      <c r="CU1816" s="688"/>
      <c r="CV1816" s="688"/>
      <c r="CW1816" s="688"/>
      <c r="CX1816" s="688"/>
      <c r="CY1816" s="688"/>
      <c r="CZ1816" s="688"/>
      <c r="DA1816" s="688"/>
      <c r="DB1816" s="688"/>
      <c r="DC1816" s="688"/>
      <c r="DD1816" s="688"/>
      <c r="DE1816" s="688"/>
      <c r="DF1816" s="688"/>
      <c r="DG1816" s="688"/>
      <c r="DH1816" s="688"/>
      <c r="DI1816" s="688"/>
      <c r="DJ1816" s="688"/>
      <c r="DK1816" s="896" t="s">
        <v>9699</v>
      </c>
    </row>
    <row r="1817" spans="1:115" s="3" customFormat="1" ht="25.5" x14ac:dyDescent="0.2">
      <c r="A1817" s="295">
        <v>1813</v>
      </c>
      <c r="B1817" s="502" t="s">
        <v>8288</v>
      </c>
      <c r="C1817" s="432"/>
      <c r="D1817" s="744" t="s">
        <v>9477</v>
      </c>
      <c r="E1817" s="712" t="s">
        <v>8298</v>
      </c>
      <c r="F1817" s="393" t="s">
        <v>1352</v>
      </c>
      <c r="G1817" s="393" t="s">
        <v>1673</v>
      </c>
      <c r="H1817" s="393" t="s">
        <v>42</v>
      </c>
      <c r="I1817" s="688"/>
      <c r="J1817" s="688"/>
      <c r="K1817" s="688" t="s">
        <v>2252</v>
      </c>
      <c r="L1817" s="688" t="s">
        <v>8294</v>
      </c>
      <c r="M1817" s="688"/>
      <c r="N1817" s="428" t="s">
        <v>44</v>
      </c>
      <c r="O1817" s="428" t="s">
        <v>827</v>
      </c>
      <c r="P1817" s="428" t="s">
        <v>827</v>
      </c>
      <c r="Q1817" s="428" t="s">
        <v>836</v>
      </c>
      <c r="R1817" s="688" t="s">
        <v>8296</v>
      </c>
      <c r="S1817" s="688" t="s">
        <v>8331</v>
      </c>
      <c r="T1817" s="700">
        <v>1</v>
      </c>
      <c r="U1817" s="718">
        <v>1.845</v>
      </c>
      <c r="V1817" s="718"/>
      <c r="W1817" s="695"/>
      <c r="X1817" s="695"/>
      <c r="Y1817" s="700">
        <v>7</v>
      </c>
      <c r="Z1817" s="694">
        <v>25</v>
      </c>
      <c r="AA1817" s="688"/>
      <c r="AB1817" s="479">
        <v>42917</v>
      </c>
      <c r="AC1817" s="695">
        <v>0</v>
      </c>
      <c r="AD1817" s="695">
        <v>6.4650821917808221</v>
      </c>
      <c r="AE1817" s="393" t="s">
        <v>133</v>
      </c>
      <c r="AF1817" s="697"/>
      <c r="AG1817" s="697"/>
      <c r="AH1817" s="697"/>
      <c r="AI1817" s="694"/>
      <c r="AJ1817" s="698"/>
      <c r="AK1817" s="698"/>
      <c r="AL1817" s="688"/>
      <c r="AM1817" s="688"/>
      <c r="AN1817" s="697"/>
      <c r="AO1817" s="688"/>
      <c r="AP1817" s="428" t="s">
        <v>55</v>
      </c>
      <c r="AQ1817" s="688"/>
      <c r="AR1817" s="688" t="s">
        <v>8333</v>
      </c>
      <c r="AS1817" s="479">
        <v>42635</v>
      </c>
      <c r="AT1817" s="699"/>
      <c r="AU1817" s="688"/>
      <c r="AV1817" s="688"/>
      <c r="AW1817" s="688"/>
      <c r="AX1817" s="688"/>
      <c r="AY1817" s="698"/>
      <c r="AZ1817" s="698">
        <v>43196</v>
      </c>
      <c r="BA1817" s="699"/>
      <c r="BB1817" s="688"/>
      <c r="BC1817" s="688" t="b">
        <v>0</v>
      </c>
      <c r="BD1817" s="688"/>
      <c r="BE1817" s="688"/>
      <c r="BF1817" s="700">
        <v>11</v>
      </c>
      <c r="BG1817" s="700">
        <v>9</v>
      </c>
      <c r="BH1817" s="700">
        <v>8</v>
      </c>
      <c r="BI1817" s="700">
        <v>5</v>
      </c>
      <c r="BJ1817" s="694">
        <v>4</v>
      </c>
      <c r="BK1817" s="694"/>
      <c r="BL1817" s="778">
        <v>3</v>
      </c>
      <c r="BM1817" s="694"/>
      <c r="BN1817" s="688"/>
      <c r="BO1817" s="688"/>
      <c r="BP1817" s="688"/>
      <c r="BQ1817" s="688"/>
      <c r="BR1817" s="688"/>
      <c r="BS1817" s="695">
        <v>1</v>
      </c>
      <c r="BT1817" s="694"/>
      <c r="BU1817" s="697"/>
      <c r="BV1817" s="695"/>
      <c r="BW1817" s="428" t="s">
        <v>3117</v>
      </c>
      <c r="BX1817" s="392"/>
      <c r="BY1817" s="688"/>
      <c r="BZ1817" s="702"/>
      <c r="CA1817" s="702"/>
      <c r="CB1817" s="688"/>
      <c r="CC1817" s="688"/>
      <c r="CD1817" s="688"/>
      <c r="CE1817" s="688"/>
      <c r="CF1817" s="688"/>
      <c r="CG1817" s="688"/>
      <c r="CH1817" s="688"/>
      <c r="CI1817" s="688"/>
      <c r="CJ1817" s="688"/>
      <c r="CK1817" s="688"/>
      <c r="CL1817" s="719">
        <v>1.845</v>
      </c>
      <c r="CM1817" s="719">
        <v>1.845</v>
      </c>
      <c r="CN1817" s="719">
        <v>1.845</v>
      </c>
      <c r="CO1817" s="719">
        <v>1.845</v>
      </c>
      <c r="CP1817" s="719">
        <v>1.845</v>
      </c>
      <c r="CQ1817" s="719">
        <v>1.845</v>
      </c>
      <c r="CR1817" s="719">
        <v>1.845</v>
      </c>
      <c r="CS1817" s="719"/>
      <c r="CT1817" s="719"/>
      <c r="CU1817" s="719"/>
      <c r="CV1817" s="719"/>
      <c r="CW1817" s="688"/>
      <c r="CX1817" s="688"/>
      <c r="CY1817" s="688"/>
      <c r="CZ1817" s="688"/>
      <c r="DA1817" s="688"/>
      <c r="DB1817" s="688"/>
      <c r="DC1817" s="688"/>
      <c r="DD1817" s="688"/>
      <c r="DE1817" s="688"/>
      <c r="DF1817" s="688"/>
      <c r="DG1817" s="688"/>
      <c r="DH1817" s="688"/>
      <c r="DI1817" s="688"/>
      <c r="DJ1817" s="688"/>
      <c r="DK1817" s="897"/>
    </row>
    <row r="1818" spans="1:115" s="3" customFormat="1" ht="63.75" x14ac:dyDescent="0.2">
      <c r="A1818" s="295">
        <v>1814</v>
      </c>
      <c r="B1818" s="448" t="s">
        <v>8324</v>
      </c>
      <c r="C1818" s="432" t="s">
        <v>8290</v>
      </c>
      <c r="D1818" s="432"/>
      <c r="E1818" s="713" t="s">
        <v>8286</v>
      </c>
      <c r="F1818" s="461" t="s">
        <v>1352</v>
      </c>
      <c r="G1818" s="461" t="s">
        <v>1673</v>
      </c>
      <c r="H1818" s="461" t="s">
        <v>42</v>
      </c>
      <c r="I1818" s="502"/>
      <c r="J1818" s="502" t="s">
        <v>42</v>
      </c>
      <c r="K1818" s="432"/>
      <c r="L1818" s="432" t="s">
        <v>8301</v>
      </c>
      <c r="M1818" s="432" t="s">
        <v>8302</v>
      </c>
      <c r="N1818" s="448" t="s">
        <v>33</v>
      </c>
      <c r="O1818" s="448" t="s">
        <v>5491</v>
      </c>
      <c r="P1818" s="448" t="s">
        <v>5491</v>
      </c>
      <c r="Q1818" s="448" t="s">
        <v>1831</v>
      </c>
      <c r="R1818" s="432"/>
      <c r="S1818" s="402" t="s">
        <v>291</v>
      </c>
      <c r="T1818" s="501">
        <v>1</v>
      </c>
      <c r="U1818" s="505">
        <v>7.7080000000000002</v>
      </c>
      <c r="V1818" s="505"/>
      <c r="W1818" s="547"/>
      <c r="X1818" s="498"/>
      <c r="Y1818" s="432"/>
      <c r="Z1818" s="497"/>
      <c r="AA1818" s="432"/>
      <c r="AB1818" s="497"/>
      <c r="AC1818" s="498">
        <v>0</v>
      </c>
      <c r="AD1818" s="498">
        <v>30.853117808219181</v>
      </c>
      <c r="AE1818" s="448" t="s">
        <v>2064</v>
      </c>
      <c r="AF1818" s="499"/>
      <c r="AG1818" s="499"/>
      <c r="AH1818" s="499">
        <v>0</v>
      </c>
      <c r="AI1818" s="497"/>
      <c r="AJ1818" s="491"/>
      <c r="AK1818" s="491"/>
      <c r="AL1818" s="432"/>
      <c r="AM1818" s="432"/>
      <c r="AN1818" s="499"/>
      <c r="AO1818" s="432"/>
      <c r="AP1818" s="448" t="s">
        <v>55</v>
      </c>
      <c r="AQ1818" s="432"/>
      <c r="AR1818" s="432" t="s">
        <v>8334</v>
      </c>
      <c r="AS1818" s="481">
        <v>42642</v>
      </c>
      <c r="AT1818" s="500"/>
      <c r="AU1818" s="432"/>
      <c r="AV1818" s="432"/>
      <c r="AW1818" s="432"/>
      <c r="AX1818" s="432"/>
      <c r="AY1818" s="491"/>
      <c r="AZ1818" s="491"/>
      <c r="BA1818" s="500"/>
      <c r="BB1818" s="448" t="s">
        <v>3117</v>
      </c>
      <c r="BC1818" s="432" t="b">
        <v>0</v>
      </c>
      <c r="BD1818" s="432" t="s">
        <v>3147</v>
      </c>
      <c r="BE1818" s="432"/>
      <c r="BF1818" s="501">
        <v>10</v>
      </c>
      <c r="BG1818" s="501">
        <v>9</v>
      </c>
      <c r="BH1818" s="501">
        <v>5</v>
      </c>
      <c r="BI1818" s="501"/>
      <c r="BJ1818" s="497"/>
      <c r="BK1818" s="497"/>
      <c r="BL1818" s="510"/>
      <c r="BM1818" s="497"/>
      <c r="BN1818" s="432"/>
      <c r="BO1818" s="432"/>
      <c r="BP1818" s="432"/>
      <c r="BQ1818" s="432"/>
      <c r="BR1818" s="432"/>
      <c r="BS1818" s="498">
        <v>5</v>
      </c>
      <c r="BT1818" s="497"/>
      <c r="BU1818" s="499"/>
      <c r="BV1818" s="498"/>
      <c r="BW1818" s="448" t="s">
        <v>3117</v>
      </c>
      <c r="BX1818" s="448" t="s">
        <v>8304</v>
      </c>
      <c r="BY1818" s="432"/>
      <c r="BZ1818" s="493"/>
      <c r="CA1818" s="493"/>
      <c r="CB1818" s="432"/>
      <c r="CC1818" s="432"/>
      <c r="CD1818" s="432"/>
      <c r="CE1818" s="432"/>
      <c r="CF1818" s="432"/>
      <c r="CG1818" s="432"/>
      <c r="CH1818" s="432"/>
      <c r="CI1818" s="432"/>
      <c r="CJ1818" s="432"/>
      <c r="CK1818" s="432"/>
      <c r="CL1818" s="432"/>
      <c r="CM1818" s="432"/>
      <c r="CN1818" s="432"/>
      <c r="CO1818" s="432"/>
      <c r="CP1818" s="432"/>
      <c r="CQ1818" s="432"/>
      <c r="CR1818" s="432"/>
      <c r="CS1818" s="432"/>
      <c r="CT1818" s="432"/>
      <c r="CU1818" s="432"/>
      <c r="CV1818" s="432"/>
      <c r="CW1818" s="432"/>
      <c r="CX1818" s="432"/>
      <c r="CY1818" s="432"/>
      <c r="CZ1818" s="432"/>
      <c r="DA1818" s="432"/>
      <c r="DB1818" s="432"/>
      <c r="DC1818" s="432"/>
      <c r="DD1818" s="432"/>
      <c r="DE1818" s="432"/>
      <c r="DF1818" s="432"/>
      <c r="DG1818" s="432"/>
      <c r="DH1818" s="432"/>
      <c r="DI1818" s="432"/>
      <c r="DJ1818" s="432"/>
      <c r="DK1818" s="897"/>
    </row>
    <row r="1819" spans="1:115" s="3" customFormat="1" ht="25.5" x14ac:dyDescent="0.2">
      <c r="A1819" s="295">
        <v>1815</v>
      </c>
      <c r="B1819" s="502" t="s">
        <v>8325</v>
      </c>
      <c r="C1819" s="432"/>
      <c r="D1819" s="432"/>
      <c r="E1819" s="713" t="s">
        <v>8299</v>
      </c>
      <c r="F1819" s="461" t="s">
        <v>1352</v>
      </c>
      <c r="G1819" s="461" t="s">
        <v>1673</v>
      </c>
      <c r="H1819" s="461" t="s">
        <v>42</v>
      </c>
      <c r="I1819" s="502"/>
      <c r="J1819" s="432"/>
      <c r="K1819" s="502" t="s">
        <v>8300</v>
      </c>
      <c r="L1819" s="432" t="s">
        <v>8301</v>
      </c>
      <c r="M1819" s="432"/>
      <c r="N1819" s="448" t="s">
        <v>33</v>
      </c>
      <c r="O1819" s="448" t="s">
        <v>827</v>
      </c>
      <c r="P1819" s="448" t="s">
        <v>827</v>
      </c>
      <c r="Q1819" s="448" t="s">
        <v>836</v>
      </c>
      <c r="R1819" s="432" t="s">
        <v>8303</v>
      </c>
      <c r="S1819" s="402" t="s">
        <v>291</v>
      </c>
      <c r="T1819" s="501">
        <v>1</v>
      </c>
      <c r="U1819" s="505">
        <v>7.7080000000000002</v>
      </c>
      <c r="V1819" s="505"/>
      <c r="W1819" s="498"/>
      <c r="X1819" s="498"/>
      <c r="Y1819" s="501">
        <v>7</v>
      </c>
      <c r="Z1819" s="497">
        <v>25</v>
      </c>
      <c r="AA1819" s="432"/>
      <c r="AB1819" s="483">
        <v>42735</v>
      </c>
      <c r="AC1819" s="498">
        <v>0</v>
      </c>
      <c r="AD1819" s="498">
        <v>30.853117808219181</v>
      </c>
      <c r="AE1819" s="448" t="s">
        <v>2064</v>
      </c>
      <c r="AF1819" s="499"/>
      <c r="AG1819" s="499"/>
      <c r="AH1819" s="499"/>
      <c r="AI1819" s="497"/>
      <c r="AJ1819" s="491"/>
      <c r="AK1819" s="491"/>
      <c r="AL1819" s="432"/>
      <c r="AM1819" s="432"/>
      <c r="AN1819" s="499"/>
      <c r="AO1819" s="432"/>
      <c r="AP1819" s="448" t="s">
        <v>55</v>
      </c>
      <c r="AQ1819" s="432"/>
      <c r="AR1819" s="432" t="s">
        <v>8334</v>
      </c>
      <c r="AS1819" s="481">
        <v>42642</v>
      </c>
      <c r="AT1819" s="500"/>
      <c r="AU1819" s="432"/>
      <c r="AV1819" s="432"/>
      <c r="AW1819" s="432"/>
      <c r="AX1819" s="432"/>
      <c r="AY1819" s="491"/>
      <c r="AZ1819" s="491"/>
      <c r="BA1819" s="500"/>
      <c r="BB1819" s="432"/>
      <c r="BC1819" s="432" t="b">
        <v>0</v>
      </c>
      <c r="BD1819" s="432"/>
      <c r="BE1819" s="432"/>
      <c r="BF1819" s="501">
        <v>10</v>
      </c>
      <c r="BG1819" s="501">
        <v>9</v>
      </c>
      <c r="BH1819" s="501">
        <v>5</v>
      </c>
      <c r="BI1819" s="501"/>
      <c r="BJ1819" s="497"/>
      <c r="BK1819" s="497"/>
      <c r="BL1819" s="510"/>
      <c r="BM1819" s="497"/>
      <c r="BN1819" s="432"/>
      <c r="BO1819" s="432"/>
      <c r="BP1819" s="432"/>
      <c r="BQ1819" s="432"/>
      <c r="BR1819" s="432"/>
      <c r="BS1819" s="498">
        <v>5</v>
      </c>
      <c r="BT1819" s="497"/>
      <c r="BU1819" s="499"/>
      <c r="BV1819" s="498"/>
      <c r="BW1819" s="448" t="s">
        <v>3117</v>
      </c>
      <c r="BX1819" s="448" t="s">
        <v>8304</v>
      </c>
      <c r="BY1819" s="432"/>
      <c r="BZ1819" s="493"/>
      <c r="CA1819" s="493"/>
      <c r="CB1819" s="432"/>
      <c r="CC1819" s="432"/>
      <c r="CD1819" s="432"/>
      <c r="CE1819" s="432"/>
      <c r="CF1819" s="432"/>
      <c r="CG1819" s="432"/>
      <c r="CH1819" s="432"/>
      <c r="CI1819" s="432"/>
      <c r="CJ1819" s="432"/>
      <c r="CK1819" s="432"/>
      <c r="CL1819" s="506"/>
      <c r="CM1819" s="506">
        <v>7.7080000000000002</v>
      </c>
      <c r="CN1819" s="506">
        <v>7.7080000000000002</v>
      </c>
      <c r="CO1819" s="506">
        <v>7.7080000000000002</v>
      </c>
      <c r="CP1819" s="506">
        <v>7.7080000000000002</v>
      </c>
      <c r="CQ1819" s="506">
        <v>7.7080000000000002</v>
      </c>
      <c r="CR1819" s="506">
        <v>7.7080000000000002</v>
      </c>
      <c r="CS1819" s="506">
        <v>7.7080000000000002</v>
      </c>
      <c r="CT1819" s="506"/>
      <c r="CU1819" s="506"/>
      <c r="CV1819" s="506"/>
      <c r="CW1819" s="432"/>
      <c r="CX1819" s="432"/>
      <c r="CY1819" s="432"/>
      <c r="CZ1819" s="432"/>
      <c r="DA1819" s="432"/>
      <c r="DB1819" s="432"/>
      <c r="DC1819" s="432"/>
      <c r="DD1819" s="432"/>
      <c r="DE1819" s="432"/>
      <c r="DF1819" s="432"/>
      <c r="DG1819" s="432"/>
      <c r="DH1819" s="432"/>
      <c r="DI1819" s="432"/>
      <c r="DJ1819" s="432"/>
      <c r="DK1819" s="897"/>
    </row>
    <row r="1820" spans="1:115" s="3" customFormat="1" ht="63.75" x14ac:dyDescent="0.2">
      <c r="A1820" s="295">
        <v>1816</v>
      </c>
      <c r="B1820" s="448" t="s">
        <v>8337</v>
      </c>
      <c r="C1820" s="432" t="s">
        <v>8326</v>
      </c>
      <c r="D1820" s="713">
        <v>10411</v>
      </c>
      <c r="E1820" s="712" t="s">
        <v>8323</v>
      </c>
      <c r="F1820" s="393" t="s">
        <v>1375</v>
      </c>
      <c r="G1820" s="393" t="s">
        <v>1670</v>
      </c>
      <c r="H1820" s="393" t="s">
        <v>523</v>
      </c>
      <c r="I1820" s="688"/>
      <c r="J1820" s="688" t="s">
        <v>523</v>
      </c>
      <c r="K1820" s="688"/>
      <c r="L1820" s="688" t="s">
        <v>8327</v>
      </c>
      <c r="M1820" s="688" t="s">
        <v>8328</v>
      </c>
      <c r="N1820" s="428" t="s">
        <v>44</v>
      </c>
      <c r="O1820" s="428" t="s">
        <v>827</v>
      </c>
      <c r="P1820" s="428" t="s">
        <v>827</v>
      </c>
      <c r="Q1820" s="428" t="s">
        <v>836</v>
      </c>
      <c r="R1820" s="688"/>
      <c r="S1820" s="688" t="s">
        <v>8330</v>
      </c>
      <c r="T1820" s="700">
        <v>3</v>
      </c>
      <c r="U1820" s="718">
        <v>67.555000000000007</v>
      </c>
      <c r="V1820" s="718"/>
      <c r="W1820" s="480">
        <v>40701</v>
      </c>
      <c r="X1820" s="695"/>
      <c r="Y1820" s="688"/>
      <c r="Z1820" s="694"/>
      <c r="AA1820" s="688"/>
      <c r="AB1820" s="694"/>
      <c r="AC1820" s="695">
        <v>0</v>
      </c>
      <c r="AD1820" s="695">
        <v>210.11888219178081</v>
      </c>
      <c r="AE1820" s="428" t="s">
        <v>225</v>
      </c>
      <c r="AF1820" s="697"/>
      <c r="AG1820" s="697"/>
      <c r="AH1820" s="697">
        <v>19.992000000000001</v>
      </c>
      <c r="AI1820" s="694"/>
      <c r="AJ1820" s="698"/>
      <c r="AK1820" s="698"/>
      <c r="AL1820" s="688"/>
      <c r="AM1820" s="688"/>
      <c r="AN1820" s="697"/>
      <c r="AO1820" s="688"/>
      <c r="AP1820" s="428" t="s">
        <v>55</v>
      </c>
      <c r="AQ1820" s="688"/>
      <c r="AR1820" s="688" t="s">
        <v>274</v>
      </c>
      <c r="AS1820" s="479">
        <v>42644</v>
      </c>
      <c r="AT1820" s="699"/>
      <c r="AU1820" s="688"/>
      <c r="AV1820" s="688">
        <v>42937</v>
      </c>
      <c r="AW1820" s="688">
        <v>43159</v>
      </c>
      <c r="AX1820" s="688"/>
      <c r="AY1820" s="698">
        <v>43237</v>
      </c>
      <c r="AZ1820" s="698"/>
      <c r="BA1820" s="699"/>
      <c r="BB1820" s="428" t="s">
        <v>3116</v>
      </c>
      <c r="BC1820" s="688" t="b">
        <v>1</v>
      </c>
      <c r="BD1820" s="428" t="s">
        <v>3116</v>
      </c>
      <c r="BE1820" s="688"/>
      <c r="BF1820" s="700">
        <v>10</v>
      </c>
      <c r="BG1820" s="700">
        <v>8</v>
      </c>
      <c r="BH1820" s="700">
        <v>7</v>
      </c>
      <c r="BI1820" s="700">
        <v>5</v>
      </c>
      <c r="BJ1820" s="694"/>
      <c r="BK1820" s="694"/>
      <c r="BL1820" s="721"/>
      <c r="BM1820" s="694"/>
      <c r="BN1820" s="688"/>
      <c r="BO1820" s="688"/>
      <c r="BP1820" s="688"/>
      <c r="BQ1820" s="688"/>
      <c r="BR1820" s="688"/>
      <c r="BS1820" s="695">
        <v>3.2</v>
      </c>
      <c r="BT1820" s="694"/>
      <c r="BU1820" s="697"/>
      <c r="BV1820" s="695"/>
      <c r="BW1820" s="428" t="s">
        <v>3117</v>
      </c>
      <c r="BX1820" s="428"/>
      <c r="BY1820" s="688"/>
      <c r="BZ1820" s="702"/>
      <c r="CA1820" s="702"/>
      <c r="CB1820" s="688"/>
      <c r="CC1820" s="688"/>
      <c r="CD1820" s="688"/>
      <c r="CE1820" s="688"/>
      <c r="CF1820" s="688"/>
      <c r="CG1820" s="688"/>
      <c r="CH1820" s="688"/>
      <c r="CI1820" s="688"/>
      <c r="CJ1820" s="688"/>
      <c r="CK1820" s="688"/>
      <c r="CL1820" s="688"/>
      <c r="CM1820" s="688"/>
      <c r="CN1820" s="688"/>
      <c r="CO1820" s="688"/>
      <c r="CP1820" s="688"/>
      <c r="CQ1820" s="688"/>
      <c r="CR1820" s="688"/>
      <c r="CS1820" s="688"/>
      <c r="CT1820" s="688"/>
      <c r="CU1820" s="688"/>
      <c r="CV1820" s="688"/>
      <c r="CW1820" s="688"/>
      <c r="CX1820" s="688"/>
      <c r="CY1820" s="688"/>
      <c r="CZ1820" s="688"/>
      <c r="DA1820" s="688"/>
      <c r="DB1820" s="688"/>
      <c r="DC1820" s="688"/>
      <c r="DD1820" s="688"/>
      <c r="DE1820" s="688"/>
      <c r="DF1820" s="688"/>
      <c r="DG1820" s="688"/>
      <c r="DH1820" s="688"/>
      <c r="DI1820" s="688"/>
      <c r="DJ1820" s="688"/>
      <c r="DK1820" s="896" t="s">
        <v>9724</v>
      </c>
    </row>
    <row r="1821" spans="1:115" s="3" customFormat="1" ht="38.25" x14ac:dyDescent="0.2">
      <c r="A1821" s="295">
        <v>1817</v>
      </c>
      <c r="B1821" s="502" t="s">
        <v>8338</v>
      </c>
      <c r="C1821" s="432"/>
      <c r="D1821" s="744" t="s">
        <v>9523</v>
      </c>
      <c r="E1821" s="712" t="s">
        <v>8377</v>
      </c>
      <c r="F1821" s="393" t="s">
        <v>1375</v>
      </c>
      <c r="G1821" s="393" t="s">
        <v>1670</v>
      </c>
      <c r="H1821" s="393" t="s">
        <v>523</v>
      </c>
      <c r="I1821" s="688"/>
      <c r="J1821" s="688"/>
      <c r="K1821" s="688" t="s">
        <v>5627</v>
      </c>
      <c r="L1821" s="688" t="s">
        <v>8327</v>
      </c>
      <c r="M1821" s="688"/>
      <c r="N1821" s="428" t="s">
        <v>44</v>
      </c>
      <c r="O1821" s="428" t="s">
        <v>827</v>
      </c>
      <c r="P1821" s="428" t="s">
        <v>827</v>
      </c>
      <c r="Q1821" s="428" t="s">
        <v>836</v>
      </c>
      <c r="R1821" s="688" t="s">
        <v>8329</v>
      </c>
      <c r="S1821" s="688" t="s">
        <v>8242</v>
      </c>
      <c r="T1821" s="700">
        <v>1</v>
      </c>
      <c r="U1821" s="718">
        <v>27.081</v>
      </c>
      <c r="V1821" s="718"/>
      <c r="W1821" s="695"/>
      <c r="X1821" s="695"/>
      <c r="Y1821" s="700">
        <v>7</v>
      </c>
      <c r="Z1821" s="694">
        <v>20</v>
      </c>
      <c r="AA1821" s="688"/>
      <c r="AB1821" s="479">
        <v>43252</v>
      </c>
      <c r="AC1821" s="695"/>
      <c r="AD1821" s="695">
        <v>70.039627397260276</v>
      </c>
      <c r="AE1821" s="428" t="s">
        <v>225</v>
      </c>
      <c r="AF1821" s="697"/>
      <c r="AG1821" s="697">
        <v>19.992000000000001</v>
      </c>
      <c r="AH1821" s="697">
        <v>19.992000000000001</v>
      </c>
      <c r="AI1821" s="694"/>
      <c r="AJ1821" s="698"/>
      <c r="AK1821" s="698"/>
      <c r="AL1821" s="688"/>
      <c r="AM1821" s="688"/>
      <c r="AN1821" s="697"/>
      <c r="AO1821" s="688"/>
      <c r="AP1821" s="428" t="s">
        <v>55</v>
      </c>
      <c r="AQ1821" s="688"/>
      <c r="AR1821" s="688" t="s">
        <v>274</v>
      </c>
      <c r="AS1821" s="479">
        <v>42644</v>
      </c>
      <c r="AT1821" s="699"/>
      <c r="AU1821" s="688"/>
      <c r="AV1821" s="688"/>
      <c r="AW1821" s="688"/>
      <c r="AX1821" s="688"/>
      <c r="AY1821" s="698"/>
      <c r="AZ1821" s="698">
        <v>43237</v>
      </c>
      <c r="BA1821" s="699"/>
      <c r="BB1821" s="688"/>
      <c r="BC1821" s="688" t="b">
        <v>0</v>
      </c>
      <c r="BD1821" s="688"/>
      <c r="BE1821" s="688"/>
      <c r="BF1821" s="700">
        <v>10</v>
      </c>
      <c r="BG1821" s="700">
        <v>8</v>
      </c>
      <c r="BH1821" s="700">
        <v>7</v>
      </c>
      <c r="BI1821" s="700">
        <v>5</v>
      </c>
      <c r="BJ1821" s="694"/>
      <c r="BK1821" s="694"/>
      <c r="BL1821" s="721"/>
      <c r="BM1821" s="694"/>
      <c r="BN1821" s="688"/>
      <c r="BO1821" s="688"/>
      <c r="BP1821" s="688"/>
      <c r="BQ1821" s="688"/>
      <c r="BR1821" s="688"/>
      <c r="BS1821" s="695"/>
      <c r="BT1821" s="694">
        <v>9.9499999999999993</v>
      </c>
      <c r="BU1821" s="697"/>
      <c r="BV1821" s="695"/>
      <c r="BW1821" s="428" t="s">
        <v>3117</v>
      </c>
      <c r="BX1821" s="428"/>
      <c r="BY1821" s="688"/>
      <c r="BZ1821" s="702"/>
      <c r="CA1821" s="702"/>
      <c r="CB1821" s="688"/>
      <c r="CC1821" s="688"/>
      <c r="CD1821" s="688"/>
      <c r="CE1821" s="688"/>
      <c r="CF1821" s="688"/>
      <c r="CG1821" s="688"/>
      <c r="CH1821" s="688"/>
      <c r="CI1821" s="688"/>
      <c r="CJ1821" s="688"/>
      <c r="CK1821" s="688"/>
      <c r="CL1821" s="719"/>
      <c r="CM1821" s="719"/>
      <c r="CN1821" s="719">
        <v>5.008</v>
      </c>
      <c r="CO1821" s="719">
        <v>16.376999999999999</v>
      </c>
      <c r="CP1821" s="719">
        <v>21.888000000000002</v>
      </c>
      <c r="CQ1821" s="719">
        <v>21.888000000000002</v>
      </c>
      <c r="CR1821" s="719">
        <v>21.888000000000002</v>
      </c>
      <c r="CS1821" s="719">
        <v>21.888000000000002</v>
      </c>
      <c r="CT1821" s="719">
        <v>21.888000000000002</v>
      </c>
      <c r="CU1821" s="719">
        <v>9.1110000000000007</v>
      </c>
      <c r="CV1821" s="719"/>
      <c r="CW1821" s="688"/>
      <c r="CX1821" s="688"/>
      <c r="CY1821" s="688"/>
      <c r="CZ1821" s="688"/>
      <c r="DA1821" s="688"/>
      <c r="DB1821" s="688"/>
      <c r="DC1821" s="688"/>
      <c r="DD1821" s="688"/>
      <c r="DE1821" s="688"/>
      <c r="DF1821" s="688"/>
      <c r="DG1821" s="688"/>
      <c r="DH1821" s="688"/>
      <c r="DI1821" s="688"/>
      <c r="DJ1821" s="688"/>
      <c r="DK1821" s="897"/>
    </row>
    <row r="1822" spans="1:115" ht="63.75" x14ac:dyDescent="0.2">
      <c r="A1822" s="295">
        <v>1818</v>
      </c>
      <c r="B1822" s="502" t="s">
        <v>8390</v>
      </c>
      <c r="C1822" s="432"/>
      <c r="D1822" s="744" t="s">
        <v>9524</v>
      </c>
      <c r="E1822" s="712" t="s">
        <v>8387</v>
      </c>
      <c r="F1822" s="393" t="s">
        <v>1375</v>
      </c>
      <c r="G1822" s="393" t="s">
        <v>1670</v>
      </c>
      <c r="H1822" s="393" t="s">
        <v>523</v>
      </c>
      <c r="I1822" s="688"/>
      <c r="J1822" s="688"/>
      <c r="K1822" s="688" t="s">
        <v>5627</v>
      </c>
      <c r="L1822" s="688" t="s">
        <v>8327</v>
      </c>
      <c r="M1822" s="688"/>
      <c r="N1822" s="428" t="s">
        <v>44</v>
      </c>
      <c r="O1822" s="428" t="s">
        <v>8392</v>
      </c>
      <c r="P1822" s="428" t="s">
        <v>271</v>
      </c>
      <c r="Q1822" s="428" t="s">
        <v>1234</v>
      </c>
      <c r="R1822" s="688" t="s">
        <v>8388</v>
      </c>
      <c r="S1822" s="688" t="s">
        <v>8242</v>
      </c>
      <c r="T1822" s="700">
        <v>1</v>
      </c>
      <c r="U1822" s="718">
        <v>13.393000000000001</v>
      </c>
      <c r="V1822" s="718"/>
      <c r="W1822" s="695"/>
      <c r="X1822" s="695"/>
      <c r="Y1822" s="700"/>
      <c r="Z1822" s="694">
        <v>20</v>
      </c>
      <c r="AA1822" s="688"/>
      <c r="AB1822" s="479">
        <v>43237</v>
      </c>
      <c r="AC1822" s="695"/>
      <c r="AD1822" s="695">
        <v>70.039627397260276</v>
      </c>
      <c r="AE1822" s="428" t="s">
        <v>225</v>
      </c>
      <c r="AF1822" s="697"/>
      <c r="AG1822" s="697"/>
      <c r="AH1822" s="697"/>
      <c r="AI1822" s="694"/>
      <c r="AJ1822" s="698"/>
      <c r="AK1822" s="698"/>
      <c r="AL1822" s="688"/>
      <c r="AM1822" s="688"/>
      <c r="AN1822" s="697"/>
      <c r="AO1822" s="688"/>
      <c r="AP1822" s="428" t="s">
        <v>55</v>
      </c>
      <c r="AQ1822" s="688"/>
      <c r="AR1822" s="688" t="s">
        <v>274</v>
      </c>
      <c r="AS1822" s="479">
        <v>42644</v>
      </c>
      <c r="AT1822" s="699"/>
      <c r="AU1822" s="688"/>
      <c r="AV1822" s="688"/>
      <c r="AW1822" s="688"/>
      <c r="AX1822" s="688"/>
      <c r="AY1822" s="698"/>
      <c r="AZ1822" s="698">
        <v>43237</v>
      </c>
      <c r="BA1822" s="699"/>
      <c r="BB1822" s="688"/>
      <c r="BC1822" s="688" t="b">
        <v>0</v>
      </c>
      <c r="BD1822" s="688"/>
      <c r="BE1822" s="688"/>
      <c r="BF1822" s="700">
        <v>10</v>
      </c>
      <c r="BG1822" s="700">
        <v>8</v>
      </c>
      <c r="BH1822" s="700">
        <v>7</v>
      </c>
      <c r="BI1822" s="700">
        <v>5</v>
      </c>
      <c r="BJ1822" s="694"/>
      <c r="BK1822" s="694"/>
      <c r="BL1822" s="721"/>
      <c r="BM1822" s="694"/>
      <c r="BN1822" s="688"/>
      <c r="BO1822" s="688"/>
      <c r="BP1822" s="688"/>
      <c r="BQ1822" s="688"/>
      <c r="BR1822" s="688"/>
      <c r="BS1822" s="695"/>
      <c r="BT1822" s="694"/>
      <c r="BU1822" s="697"/>
      <c r="BV1822" s="695"/>
      <c r="BW1822" s="428" t="s">
        <v>3117</v>
      </c>
      <c r="BX1822" s="428"/>
      <c r="BY1822" s="688"/>
      <c r="BZ1822" s="702"/>
      <c r="CA1822" s="702"/>
      <c r="CB1822" s="688"/>
      <c r="CC1822" s="688"/>
      <c r="CD1822" s="688"/>
      <c r="CE1822" s="688"/>
      <c r="CF1822" s="688"/>
      <c r="CG1822" s="688"/>
      <c r="CH1822" s="688"/>
      <c r="CI1822" s="688"/>
      <c r="CJ1822" s="688"/>
      <c r="CK1822" s="688"/>
      <c r="CL1822" s="719"/>
      <c r="CM1822" s="719"/>
      <c r="CN1822" s="719">
        <v>7.4240000000000004</v>
      </c>
      <c r="CO1822" s="719">
        <v>23.295000000000002</v>
      </c>
      <c r="CP1822" s="719">
        <v>31.135000000000002</v>
      </c>
      <c r="CQ1822" s="719">
        <v>31.135000000000002</v>
      </c>
      <c r="CR1822" s="719">
        <v>31.135000000000002</v>
      </c>
      <c r="CS1822" s="719">
        <v>31.135000000000002</v>
      </c>
      <c r="CT1822" s="719">
        <v>31.135000000000002</v>
      </c>
      <c r="CU1822" s="719">
        <v>12.972</v>
      </c>
      <c r="CV1822" s="719"/>
      <c r="CW1822" s="688"/>
      <c r="CX1822" s="688"/>
      <c r="CY1822" s="688"/>
      <c r="CZ1822" s="688"/>
      <c r="DA1822" s="688"/>
      <c r="DB1822" s="688"/>
      <c r="DC1822" s="688"/>
      <c r="DD1822" s="688"/>
      <c r="DE1822" s="688"/>
      <c r="DF1822" s="688"/>
      <c r="DG1822" s="688"/>
      <c r="DH1822" s="688"/>
      <c r="DI1822" s="688"/>
      <c r="DJ1822" s="688"/>
      <c r="DK1822" s="897"/>
    </row>
    <row r="1823" spans="1:115" ht="38.25" x14ac:dyDescent="0.2">
      <c r="A1823" s="295">
        <v>1819</v>
      </c>
      <c r="B1823" s="502" t="s">
        <v>8391</v>
      </c>
      <c r="C1823" s="432"/>
      <c r="D1823" s="744" t="s">
        <v>9528</v>
      </c>
      <c r="E1823" s="712" t="s">
        <v>8386</v>
      </c>
      <c r="F1823" s="393" t="s">
        <v>1375</v>
      </c>
      <c r="G1823" s="393" t="s">
        <v>1670</v>
      </c>
      <c r="H1823" s="393" t="s">
        <v>523</v>
      </c>
      <c r="I1823" s="688"/>
      <c r="J1823" s="688"/>
      <c r="K1823" s="688" t="s">
        <v>5627</v>
      </c>
      <c r="L1823" s="688" t="s">
        <v>8327</v>
      </c>
      <c r="M1823" s="688"/>
      <c r="N1823" s="428" t="s">
        <v>44</v>
      </c>
      <c r="O1823" s="428" t="s">
        <v>827</v>
      </c>
      <c r="P1823" s="428" t="s">
        <v>827</v>
      </c>
      <c r="Q1823" s="428" t="s">
        <v>836</v>
      </c>
      <c r="R1823" s="688" t="s">
        <v>8389</v>
      </c>
      <c r="S1823" s="688" t="s">
        <v>8242</v>
      </c>
      <c r="T1823" s="700">
        <v>1</v>
      </c>
      <c r="U1823" s="718">
        <v>27.081</v>
      </c>
      <c r="V1823" s="718"/>
      <c r="W1823" s="695"/>
      <c r="X1823" s="695"/>
      <c r="Y1823" s="700"/>
      <c r="Z1823" s="694">
        <v>20</v>
      </c>
      <c r="AA1823" s="688"/>
      <c r="AB1823" s="479">
        <v>43237</v>
      </c>
      <c r="AC1823" s="695"/>
      <c r="AD1823" s="695">
        <v>70.039627397260276</v>
      </c>
      <c r="AE1823" s="428" t="s">
        <v>225</v>
      </c>
      <c r="AF1823" s="697"/>
      <c r="AG1823" s="697"/>
      <c r="AH1823" s="697"/>
      <c r="AI1823" s="694"/>
      <c r="AJ1823" s="698"/>
      <c r="AK1823" s="698"/>
      <c r="AL1823" s="688"/>
      <c r="AM1823" s="688"/>
      <c r="AN1823" s="697"/>
      <c r="AO1823" s="688"/>
      <c r="AP1823" s="428" t="s">
        <v>55</v>
      </c>
      <c r="AQ1823" s="688"/>
      <c r="AR1823" s="688" t="s">
        <v>274</v>
      </c>
      <c r="AS1823" s="479">
        <v>42644</v>
      </c>
      <c r="AT1823" s="699"/>
      <c r="AU1823" s="688"/>
      <c r="AV1823" s="688"/>
      <c r="AW1823" s="688"/>
      <c r="AX1823" s="688"/>
      <c r="AY1823" s="698"/>
      <c r="AZ1823" s="698">
        <v>43237</v>
      </c>
      <c r="BA1823" s="699"/>
      <c r="BB1823" s="688"/>
      <c r="BC1823" s="688" t="b">
        <v>0</v>
      </c>
      <c r="BD1823" s="688"/>
      <c r="BE1823" s="688"/>
      <c r="BF1823" s="700">
        <v>10</v>
      </c>
      <c r="BG1823" s="700">
        <v>8</v>
      </c>
      <c r="BH1823" s="700">
        <v>7</v>
      </c>
      <c r="BI1823" s="700">
        <v>5</v>
      </c>
      <c r="BJ1823" s="694"/>
      <c r="BK1823" s="694"/>
      <c r="BL1823" s="721"/>
      <c r="BM1823" s="694"/>
      <c r="BN1823" s="688"/>
      <c r="BO1823" s="688"/>
      <c r="BP1823" s="688"/>
      <c r="BQ1823" s="688"/>
      <c r="BR1823" s="688"/>
      <c r="BS1823" s="695">
        <v>3.2</v>
      </c>
      <c r="BT1823" s="694"/>
      <c r="BU1823" s="697"/>
      <c r="BV1823" s="695"/>
      <c r="BW1823" s="428" t="s">
        <v>3117</v>
      </c>
      <c r="BX1823" s="428"/>
      <c r="BY1823" s="688"/>
      <c r="BZ1823" s="702"/>
      <c r="CA1823" s="702"/>
      <c r="CB1823" s="688"/>
      <c r="CC1823" s="688"/>
      <c r="CD1823" s="688"/>
      <c r="CE1823" s="688"/>
      <c r="CF1823" s="688"/>
      <c r="CG1823" s="688"/>
      <c r="CH1823" s="688"/>
      <c r="CI1823" s="688"/>
      <c r="CJ1823" s="688"/>
      <c r="CK1823" s="688"/>
      <c r="CL1823" s="719"/>
      <c r="CM1823" s="719"/>
      <c r="CN1823" s="719">
        <v>11.763999999999999</v>
      </c>
      <c r="CO1823" s="719">
        <v>54.094999999999999</v>
      </c>
      <c r="CP1823" s="719">
        <v>54.094999999999999</v>
      </c>
      <c r="CQ1823" s="719">
        <v>54.094999999999999</v>
      </c>
      <c r="CR1823" s="719">
        <v>54.094999999999999</v>
      </c>
      <c r="CS1823" s="719">
        <v>54.094999999999999</v>
      </c>
      <c r="CT1823" s="719">
        <v>54.094999999999999</v>
      </c>
      <c r="CU1823" s="719">
        <v>22.539000000000001</v>
      </c>
      <c r="CV1823" s="719"/>
      <c r="CW1823" s="688"/>
      <c r="CX1823" s="688"/>
      <c r="CY1823" s="688"/>
      <c r="CZ1823" s="688"/>
      <c r="DA1823" s="688"/>
      <c r="DB1823" s="688"/>
      <c r="DC1823" s="688"/>
      <c r="DD1823" s="688"/>
      <c r="DE1823" s="688"/>
      <c r="DF1823" s="688"/>
      <c r="DG1823" s="688"/>
      <c r="DH1823" s="688"/>
      <c r="DI1823" s="688"/>
      <c r="DJ1823" s="688"/>
      <c r="DK1823" s="897"/>
    </row>
    <row r="1824" spans="1:115" ht="63.75" x14ac:dyDescent="0.2">
      <c r="A1824" s="295">
        <v>1820</v>
      </c>
      <c r="B1824" s="448" t="s">
        <v>8378</v>
      </c>
      <c r="C1824" s="432" t="s">
        <v>8195</v>
      </c>
      <c r="D1824" s="432"/>
      <c r="E1824" s="780" t="s">
        <v>8196</v>
      </c>
      <c r="F1824" s="404" t="s">
        <v>1352</v>
      </c>
      <c r="G1824" s="404" t="s">
        <v>1673</v>
      </c>
      <c r="H1824" s="404" t="s">
        <v>67</v>
      </c>
      <c r="I1824" s="534"/>
      <c r="J1824" s="404" t="s">
        <v>67</v>
      </c>
      <c r="K1824" s="534"/>
      <c r="L1824" s="534" t="s">
        <v>8198</v>
      </c>
      <c r="M1824" s="534" t="s">
        <v>8383</v>
      </c>
      <c r="N1824" s="404" t="s">
        <v>2412</v>
      </c>
      <c r="O1824" s="486" t="s">
        <v>93</v>
      </c>
      <c r="P1824" s="486" t="s">
        <v>93</v>
      </c>
      <c r="Q1824" s="403" t="s">
        <v>94</v>
      </c>
      <c r="R1824" s="534"/>
      <c r="S1824" s="534" t="s">
        <v>95</v>
      </c>
      <c r="T1824" s="535"/>
      <c r="U1824" s="536"/>
      <c r="V1824" s="536"/>
      <c r="W1824" s="537"/>
      <c r="X1824" s="781"/>
      <c r="Y1824" s="534"/>
      <c r="Z1824" s="782"/>
      <c r="AA1824" s="534"/>
      <c r="AB1824" s="782"/>
      <c r="AC1824" s="781"/>
      <c r="AD1824" s="781"/>
      <c r="AE1824" s="486" t="s">
        <v>7354</v>
      </c>
      <c r="AF1824" s="783"/>
      <c r="AG1824" s="783"/>
      <c r="AH1824" s="783"/>
      <c r="AI1824" s="782"/>
      <c r="AJ1824" s="784"/>
      <c r="AK1824" s="784"/>
      <c r="AL1824" s="534"/>
      <c r="AM1824" s="534"/>
      <c r="AN1824" s="783"/>
      <c r="AO1824" s="534"/>
      <c r="AP1824" s="486" t="s">
        <v>55</v>
      </c>
      <c r="AQ1824" s="534"/>
      <c r="AR1824" s="534" t="s">
        <v>368</v>
      </c>
      <c r="AS1824" s="482">
        <v>42648</v>
      </c>
      <c r="AT1824" s="785">
        <v>42787</v>
      </c>
      <c r="AU1824" s="534"/>
      <c r="AV1824" s="534"/>
      <c r="AW1824" s="534"/>
      <c r="AX1824" s="534"/>
      <c r="AY1824" s="784"/>
      <c r="AZ1824" s="784"/>
      <c r="BA1824" s="785"/>
      <c r="BB1824" s="486" t="s">
        <v>3116</v>
      </c>
      <c r="BC1824" s="534" t="b">
        <v>0</v>
      </c>
      <c r="BD1824" s="486" t="s">
        <v>8385</v>
      </c>
      <c r="BE1824" s="534"/>
      <c r="BF1824" s="535">
        <v>9</v>
      </c>
      <c r="BG1824" s="535">
        <v>8</v>
      </c>
      <c r="BH1824" s="535">
        <v>7</v>
      </c>
      <c r="BI1824" s="535">
        <v>6</v>
      </c>
      <c r="BJ1824" s="782">
        <v>5</v>
      </c>
      <c r="BK1824" s="782">
        <v>1</v>
      </c>
      <c r="BL1824" s="786">
        <v>3</v>
      </c>
      <c r="BM1824" s="782"/>
      <c r="BN1824" s="534"/>
      <c r="BO1824" s="534"/>
      <c r="BP1824" s="534"/>
      <c r="BQ1824" s="534"/>
      <c r="BR1824" s="534"/>
      <c r="BS1824" s="781"/>
      <c r="BT1824" s="782"/>
      <c r="BU1824" s="783"/>
      <c r="BV1824" s="781"/>
      <c r="BW1824" s="486" t="s">
        <v>3117</v>
      </c>
      <c r="BX1824" s="486"/>
      <c r="BY1824" s="534"/>
      <c r="BZ1824" s="787"/>
      <c r="CA1824" s="787"/>
      <c r="CB1824" s="534"/>
      <c r="CC1824" s="534"/>
      <c r="CD1824" s="534"/>
      <c r="CE1824" s="534"/>
      <c r="CF1824" s="534"/>
      <c r="CG1824" s="534"/>
      <c r="CH1824" s="534"/>
      <c r="CI1824" s="534"/>
      <c r="CJ1824" s="534"/>
      <c r="CK1824" s="534"/>
      <c r="CL1824" s="534"/>
      <c r="CM1824" s="534"/>
      <c r="CN1824" s="534"/>
      <c r="CO1824" s="534"/>
      <c r="CP1824" s="534"/>
      <c r="CQ1824" s="534"/>
      <c r="CR1824" s="534"/>
      <c r="CS1824" s="534"/>
      <c r="CT1824" s="534"/>
      <c r="CU1824" s="534"/>
      <c r="CV1824" s="534"/>
      <c r="CW1824" s="534"/>
      <c r="CX1824" s="534"/>
      <c r="CY1824" s="534"/>
      <c r="CZ1824" s="534"/>
      <c r="DA1824" s="534"/>
      <c r="DB1824" s="534"/>
      <c r="DC1824" s="534"/>
      <c r="DD1824" s="534"/>
      <c r="DE1824" s="534"/>
      <c r="DF1824" s="534"/>
      <c r="DG1824" s="534"/>
      <c r="DH1824" s="534"/>
      <c r="DI1824" s="534"/>
      <c r="DJ1824" s="534"/>
      <c r="DK1824" s="897"/>
    </row>
    <row r="1825" spans="1:115" ht="25.5" x14ac:dyDescent="0.2">
      <c r="A1825" s="295">
        <v>1821</v>
      </c>
      <c r="B1825" s="502" t="s">
        <v>8379</v>
      </c>
      <c r="C1825" s="840"/>
      <c r="D1825" s="432"/>
      <c r="E1825" s="780" t="s">
        <v>8381</v>
      </c>
      <c r="F1825" s="404" t="s">
        <v>1352</v>
      </c>
      <c r="G1825" s="404" t="s">
        <v>1673</v>
      </c>
      <c r="H1825" s="404" t="s">
        <v>67</v>
      </c>
      <c r="I1825" s="534"/>
      <c r="J1825" s="534"/>
      <c r="K1825" s="534" t="s">
        <v>8382</v>
      </c>
      <c r="L1825" s="534" t="s">
        <v>8198</v>
      </c>
      <c r="M1825" s="534"/>
      <c r="N1825" s="404" t="s">
        <v>2412</v>
      </c>
      <c r="O1825" s="486" t="s">
        <v>93</v>
      </c>
      <c r="P1825" s="486" t="s">
        <v>93</v>
      </c>
      <c r="Q1825" s="403" t="s">
        <v>94</v>
      </c>
      <c r="R1825" s="534" t="s">
        <v>8384</v>
      </c>
      <c r="S1825" s="534" t="s">
        <v>95</v>
      </c>
      <c r="T1825" s="535">
        <v>1</v>
      </c>
      <c r="U1825" s="536">
        <v>19.666</v>
      </c>
      <c r="V1825" s="536"/>
      <c r="W1825" s="537"/>
      <c r="X1825" s="781"/>
      <c r="Y1825" s="535">
        <v>7</v>
      </c>
      <c r="Z1825" s="782">
        <v>21</v>
      </c>
      <c r="AA1825" s="534"/>
      <c r="AB1825" s="482">
        <v>42648</v>
      </c>
      <c r="AC1825" s="781"/>
      <c r="AD1825" s="781">
        <v>83.405391780821915</v>
      </c>
      <c r="AE1825" s="486" t="s">
        <v>7354</v>
      </c>
      <c r="AF1825" s="783"/>
      <c r="AG1825" s="783"/>
      <c r="AH1825" s="783"/>
      <c r="AI1825" s="782"/>
      <c r="AJ1825" s="784"/>
      <c r="AK1825" s="784"/>
      <c r="AL1825" s="534"/>
      <c r="AM1825" s="534"/>
      <c r="AN1825" s="783"/>
      <c r="AO1825" s="534"/>
      <c r="AP1825" s="486" t="s">
        <v>55</v>
      </c>
      <c r="AQ1825" s="534"/>
      <c r="AR1825" s="534" t="s">
        <v>368</v>
      </c>
      <c r="AS1825" s="482">
        <v>42648</v>
      </c>
      <c r="AT1825" s="785">
        <v>42787</v>
      </c>
      <c r="AU1825" s="534"/>
      <c r="AV1825" s="534"/>
      <c r="AW1825" s="534"/>
      <c r="AX1825" s="534"/>
      <c r="AY1825" s="784"/>
      <c r="AZ1825" s="784"/>
      <c r="BA1825" s="785"/>
      <c r="BB1825" s="486"/>
      <c r="BC1825" s="534" t="b">
        <v>0</v>
      </c>
      <c r="BD1825" s="486"/>
      <c r="BE1825" s="534"/>
      <c r="BF1825" s="535">
        <v>9</v>
      </c>
      <c r="BG1825" s="535">
        <v>8</v>
      </c>
      <c r="BH1825" s="535">
        <v>7</v>
      </c>
      <c r="BI1825" s="535">
        <v>6</v>
      </c>
      <c r="BJ1825" s="782">
        <v>5</v>
      </c>
      <c r="BK1825" s="782">
        <v>1</v>
      </c>
      <c r="BL1825" s="786">
        <v>3</v>
      </c>
      <c r="BM1825" s="782"/>
      <c r="BN1825" s="534"/>
      <c r="BO1825" s="534"/>
      <c r="BP1825" s="534"/>
      <c r="BQ1825" s="534"/>
      <c r="BR1825" s="534"/>
      <c r="BS1825" s="781"/>
      <c r="BT1825" s="782"/>
      <c r="BU1825" s="783"/>
      <c r="BV1825" s="781"/>
      <c r="BW1825" s="486" t="s">
        <v>3117</v>
      </c>
      <c r="BX1825" s="486"/>
      <c r="BY1825" s="534"/>
      <c r="BZ1825" s="787"/>
      <c r="CA1825" s="787"/>
      <c r="CB1825" s="534"/>
      <c r="CC1825" s="534"/>
      <c r="CD1825" s="534"/>
      <c r="CE1825" s="534"/>
      <c r="CF1825" s="534"/>
      <c r="CG1825" s="534"/>
      <c r="CH1825" s="534"/>
      <c r="CI1825" s="534"/>
      <c r="CJ1825" s="534"/>
      <c r="CK1825" s="534"/>
      <c r="CL1825" s="788">
        <v>19.666</v>
      </c>
      <c r="CM1825" s="788">
        <v>19.666</v>
      </c>
      <c r="CN1825" s="788">
        <v>19.666</v>
      </c>
      <c r="CO1825" s="788">
        <v>19.666</v>
      </c>
      <c r="CP1825" s="788">
        <v>19.666</v>
      </c>
      <c r="CQ1825" s="788">
        <v>19.666</v>
      </c>
      <c r="CR1825" s="788">
        <v>19.666</v>
      </c>
      <c r="CS1825" s="534"/>
      <c r="CT1825" s="534"/>
      <c r="CU1825" s="534"/>
      <c r="CV1825" s="534"/>
      <c r="CW1825" s="534"/>
      <c r="CX1825" s="534"/>
      <c r="CY1825" s="534"/>
      <c r="CZ1825" s="534"/>
      <c r="DA1825" s="534"/>
      <c r="DB1825" s="534"/>
      <c r="DC1825" s="534"/>
      <c r="DD1825" s="534"/>
      <c r="DE1825" s="534"/>
      <c r="DF1825" s="534"/>
      <c r="DG1825" s="534"/>
      <c r="DH1825" s="534"/>
      <c r="DI1825" s="534"/>
      <c r="DJ1825" s="534"/>
      <c r="DK1825" s="897"/>
    </row>
    <row r="1826" spans="1:115" ht="51" x14ac:dyDescent="0.2">
      <c r="A1826" s="295">
        <v>1822</v>
      </c>
      <c r="B1826" s="448" t="s">
        <v>8838</v>
      </c>
      <c r="C1826" s="432" t="s">
        <v>8842</v>
      </c>
      <c r="D1826" s="435">
        <v>10352</v>
      </c>
      <c r="E1826" s="712" t="s">
        <v>8840</v>
      </c>
      <c r="F1826" s="393" t="s">
        <v>1375</v>
      </c>
      <c r="G1826" s="393" t="s">
        <v>998</v>
      </c>
      <c r="H1826" s="393" t="s">
        <v>1038</v>
      </c>
      <c r="I1826" s="688"/>
      <c r="J1826" s="475" t="s">
        <v>1038</v>
      </c>
      <c r="K1826" s="688"/>
      <c r="L1826" s="688" t="s">
        <v>8846</v>
      </c>
      <c r="M1826" s="688" t="s">
        <v>8844</v>
      </c>
      <c r="N1826" s="428" t="s">
        <v>44</v>
      </c>
      <c r="O1826" s="688" t="s">
        <v>51</v>
      </c>
      <c r="P1826" s="688" t="s">
        <v>51</v>
      </c>
      <c r="Q1826" s="688" t="s">
        <v>976</v>
      </c>
      <c r="R1826" s="688"/>
      <c r="S1826" s="428" t="s">
        <v>977</v>
      </c>
      <c r="T1826" s="700">
        <v>3</v>
      </c>
      <c r="U1826" s="718">
        <v>140.142</v>
      </c>
      <c r="V1826" s="718"/>
      <c r="W1826" s="480">
        <v>42691</v>
      </c>
      <c r="X1826" s="695"/>
      <c r="Y1826" s="688"/>
      <c r="Z1826" s="694"/>
      <c r="AA1826" s="688"/>
      <c r="AB1826" s="694"/>
      <c r="AC1826" s="695">
        <v>0</v>
      </c>
      <c r="AD1826" s="695">
        <v>524.86058630136984</v>
      </c>
      <c r="AE1826" s="428" t="s">
        <v>82</v>
      </c>
      <c r="AF1826" s="697"/>
      <c r="AG1826" s="697"/>
      <c r="AH1826" s="697">
        <v>0</v>
      </c>
      <c r="AI1826" s="694"/>
      <c r="AJ1826" s="698"/>
      <c r="AK1826" s="698"/>
      <c r="AL1826" s="688"/>
      <c r="AM1826" s="688"/>
      <c r="AN1826" s="697"/>
      <c r="AO1826" s="688"/>
      <c r="AP1826" s="428" t="s">
        <v>8398</v>
      </c>
      <c r="AQ1826" s="688"/>
      <c r="AR1826" s="688" t="s">
        <v>8846</v>
      </c>
      <c r="AS1826" s="479">
        <v>42691</v>
      </c>
      <c r="AT1826" s="699"/>
      <c r="AU1826" s="688"/>
      <c r="AV1826" s="688">
        <v>42765</v>
      </c>
      <c r="AW1826" s="688">
        <v>42798</v>
      </c>
      <c r="AX1826" s="688">
        <v>42845</v>
      </c>
      <c r="AY1826" s="698">
        <v>42829</v>
      </c>
      <c r="AZ1826" s="698"/>
      <c r="BA1826" s="699"/>
      <c r="BB1826" s="428" t="s">
        <v>3116</v>
      </c>
      <c r="BC1826" s="688" t="b">
        <v>0</v>
      </c>
      <c r="BD1826" s="428" t="s">
        <v>3116</v>
      </c>
      <c r="BE1826" s="688"/>
      <c r="BF1826" s="700">
        <v>8</v>
      </c>
      <c r="BG1826" s="700">
        <v>6</v>
      </c>
      <c r="BH1826" s="700">
        <v>5</v>
      </c>
      <c r="BI1826" s="700">
        <v>4</v>
      </c>
      <c r="BJ1826" s="694">
        <v>1</v>
      </c>
      <c r="BK1826" s="694"/>
      <c r="BL1826" s="778">
        <v>0</v>
      </c>
      <c r="BM1826" s="694"/>
      <c r="BN1826" s="688"/>
      <c r="BO1826" s="688"/>
      <c r="BP1826" s="688"/>
      <c r="BQ1826" s="688"/>
      <c r="BR1826" s="688"/>
      <c r="BS1826" s="695">
        <v>0</v>
      </c>
      <c r="BT1826" s="694"/>
      <c r="BU1826" s="697"/>
      <c r="BV1826" s="695"/>
      <c r="BW1826" s="428" t="s">
        <v>3117</v>
      </c>
      <c r="BX1826" s="428"/>
      <c r="BY1826" s="688"/>
      <c r="BZ1826" s="702"/>
      <c r="CA1826" s="702"/>
      <c r="CB1826" s="688"/>
      <c r="CC1826" s="688"/>
      <c r="CD1826" s="688"/>
      <c r="CE1826" s="688"/>
      <c r="CF1826" s="688"/>
      <c r="CG1826" s="688"/>
      <c r="CH1826" s="688"/>
      <c r="CI1826" s="688"/>
      <c r="CJ1826" s="688"/>
      <c r="CK1826" s="688"/>
      <c r="CL1826" s="688"/>
      <c r="CM1826" s="688"/>
      <c r="CN1826" s="688"/>
      <c r="CO1826" s="688"/>
      <c r="CP1826" s="688"/>
      <c r="CQ1826" s="688"/>
      <c r="CR1826" s="688"/>
      <c r="CS1826" s="688"/>
      <c r="CT1826" s="688"/>
      <c r="CU1826" s="688"/>
      <c r="CV1826" s="688"/>
      <c r="CW1826" s="688"/>
      <c r="CX1826" s="688"/>
      <c r="CY1826" s="688"/>
      <c r="CZ1826" s="688"/>
      <c r="DA1826" s="688"/>
      <c r="DB1826" s="688"/>
      <c r="DC1826" s="688"/>
      <c r="DD1826" s="688"/>
      <c r="DE1826" s="688"/>
      <c r="DF1826" s="688"/>
      <c r="DG1826" s="688"/>
      <c r="DH1826" s="688"/>
      <c r="DI1826" s="688"/>
      <c r="DJ1826" s="688"/>
      <c r="DK1826" s="896" t="s">
        <v>9714</v>
      </c>
    </row>
    <row r="1827" spans="1:115" ht="51" x14ac:dyDescent="0.2">
      <c r="A1827" s="295">
        <v>1823</v>
      </c>
      <c r="B1827" s="502" t="s">
        <v>8839</v>
      </c>
      <c r="C1827" s="432"/>
      <c r="D1827" s="436" t="s">
        <v>8996</v>
      </c>
      <c r="E1827" s="712" t="s">
        <v>8841</v>
      </c>
      <c r="F1827" s="393" t="s">
        <v>1375</v>
      </c>
      <c r="G1827" s="393" t="s">
        <v>998</v>
      </c>
      <c r="H1827" s="393" t="s">
        <v>1038</v>
      </c>
      <c r="I1827" s="688"/>
      <c r="J1827" s="688"/>
      <c r="K1827" s="749" t="s">
        <v>8843</v>
      </c>
      <c r="L1827" s="688" t="s">
        <v>8846</v>
      </c>
      <c r="M1827" s="688"/>
      <c r="N1827" s="428" t="s">
        <v>44</v>
      </c>
      <c r="O1827" s="688" t="s">
        <v>51</v>
      </c>
      <c r="P1827" s="688" t="s">
        <v>51</v>
      </c>
      <c r="Q1827" s="688" t="s">
        <v>976</v>
      </c>
      <c r="R1827" s="688" t="s">
        <v>8845</v>
      </c>
      <c r="S1827" s="688" t="s">
        <v>977</v>
      </c>
      <c r="T1827" s="700">
        <v>1</v>
      </c>
      <c r="U1827" s="718">
        <v>46.415999999999997</v>
      </c>
      <c r="V1827" s="718"/>
      <c r="W1827" s="480"/>
      <c r="X1827" s="695"/>
      <c r="Y1827" s="700">
        <v>7</v>
      </c>
      <c r="Z1827" s="694">
        <v>10</v>
      </c>
      <c r="AA1827" s="688"/>
      <c r="AB1827" s="479">
        <v>42829</v>
      </c>
      <c r="AC1827" s="695"/>
      <c r="AD1827" s="695">
        <v>173.83745753424657</v>
      </c>
      <c r="AE1827" s="428" t="s">
        <v>82</v>
      </c>
      <c r="AF1827" s="697"/>
      <c r="AG1827" s="697"/>
      <c r="AH1827" s="697"/>
      <c r="AI1827" s="694"/>
      <c r="AJ1827" s="698"/>
      <c r="AK1827" s="698"/>
      <c r="AL1827" s="688"/>
      <c r="AM1827" s="688"/>
      <c r="AN1827" s="697"/>
      <c r="AO1827" s="688"/>
      <c r="AP1827" s="428" t="s">
        <v>8398</v>
      </c>
      <c r="AQ1827" s="688"/>
      <c r="AR1827" s="688" t="s">
        <v>8846</v>
      </c>
      <c r="AS1827" s="479">
        <v>42691</v>
      </c>
      <c r="AT1827" s="699"/>
      <c r="AU1827" s="688"/>
      <c r="AV1827" s="688"/>
      <c r="AW1827" s="688"/>
      <c r="AX1827" s="688"/>
      <c r="AY1827" s="698"/>
      <c r="AZ1827" s="698">
        <v>42829</v>
      </c>
      <c r="BA1827" s="699"/>
      <c r="BB1827" s="428"/>
      <c r="BC1827" s="688" t="b">
        <v>0</v>
      </c>
      <c r="BD1827" s="428"/>
      <c r="BE1827" s="688"/>
      <c r="BF1827" s="700">
        <v>8</v>
      </c>
      <c r="BG1827" s="700">
        <v>6</v>
      </c>
      <c r="BH1827" s="700">
        <v>5</v>
      </c>
      <c r="BI1827" s="700">
        <v>4</v>
      </c>
      <c r="BJ1827" s="694">
        <v>1</v>
      </c>
      <c r="BK1827" s="694"/>
      <c r="BL1827" s="778">
        <v>0</v>
      </c>
      <c r="BM1827" s="694"/>
      <c r="BN1827" s="688"/>
      <c r="BO1827" s="688"/>
      <c r="BP1827" s="688"/>
      <c r="BQ1827" s="688"/>
      <c r="BR1827" s="688"/>
      <c r="BS1827" s="695"/>
      <c r="BT1827" s="694"/>
      <c r="BU1827" s="697"/>
      <c r="BV1827" s="695"/>
      <c r="BW1827" s="428" t="s">
        <v>3117</v>
      </c>
      <c r="BX1827" s="428"/>
      <c r="BY1827" s="688"/>
      <c r="BZ1827" s="702"/>
      <c r="CA1827" s="702"/>
      <c r="CB1827" s="688"/>
      <c r="CC1827" s="688"/>
      <c r="CD1827" s="688"/>
      <c r="CE1827" s="688"/>
      <c r="CF1827" s="688"/>
      <c r="CG1827" s="688"/>
      <c r="CH1827" s="688"/>
      <c r="CI1827" s="688"/>
      <c r="CJ1827" s="688"/>
      <c r="CK1827" s="688"/>
      <c r="CL1827" s="701"/>
      <c r="CM1827" s="701"/>
      <c r="CN1827" s="701">
        <v>46.415999999999997</v>
      </c>
      <c r="CO1827" s="701">
        <v>46.415999999999997</v>
      </c>
      <c r="CP1827" s="701">
        <v>46.415999999999997</v>
      </c>
      <c r="CQ1827" s="701">
        <v>46.415999999999997</v>
      </c>
      <c r="CR1827" s="701">
        <v>46.415999999999997</v>
      </c>
      <c r="CS1827" s="701">
        <v>46.415999999999997</v>
      </c>
      <c r="CT1827" s="701">
        <v>46.415999999999997</v>
      </c>
      <c r="CU1827" s="688"/>
      <c r="CV1827" s="688"/>
      <c r="CW1827" s="688"/>
      <c r="CX1827" s="688"/>
      <c r="CY1827" s="688"/>
      <c r="CZ1827" s="688"/>
      <c r="DA1827" s="688"/>
      <c r="DB1827" s="688"/>
      <c r="DC1827" s="688"/>
      <c r="DD1827" s="688"/>
      <c r="DE1827" s="688"/>
      <c r="DF1827" s="688"/>
      <c r="DG1827" s="688"/>
      <c r="DH1827" s="688"/>
      <c r="DI1827" s="688"/>
      <c r="DJ1827" s="688"/>
      <c r="DK1827" s="897"/>
    </row>
    <row r="1828" spans="1:115" ht="51" x14ac:dyDescent="0.2">
      <c r="A1828" s="295">
        <v>1824</v>
      </c>
      <c r="B1828" s="502" t="s">
        <v>8997</v>
      </c>
      <c r="C1828" s="585"/>
      <c r="D1828" s="436" t="s">
        <v>8999</v>
      </c>
      <c r="E1828" s="748" t="s">
        <v>9001</v>
      </c>
      <c r="F1828" s="393" t="s">
        <v>1375</v>
      </c>
      <c r="G1828" s="393" t="s">
        <v>998</v>
      </c>
      <c r="H1828" s="393" t="s">
        <v>1038</v>
      </c>
      <c r="I1828" s="749"/>
      <c r="J1828" s="749"/>
      <c r="K1828" s="749" t="s">
        <v>8843</v>
      </c>
      <c r="L1828" s="688" t="s">
        <v>8846</v>
      </c>
      <c r="M1828" s="749"/>
      <c r="N1828" s="428" t="s">
        <v>44</v>
      </c>
      <c r="O1828" s="688" t="s">
        <v>51</v>
      </c>
      <c r="P1828" s="688" t="s">
        <v>51</v>
      </c>
      <c r="Q1828" s="688" t="s">
        <v>976</v>
      </c>
      <c r="R1828" s="749" t="s">
        <v>8845</v>
      </c>
      <c r="S1828" s="688" t="s">
        <v>977</v>
      </c>
      <c r="T1828" s="817">
        <v>1</v>
      </c>
      <c r="U1828" s="818">
        <v>47.31</v>
      </c>
      <c r="V1828" s="818"/>
      <c r="W1828" s="576"/>
      <c r="X1828" s="751"/>
      <c r="Y1828" s="817">
        <v>7</v>
      </c>
      <c r="Z1828" s="750">
        <v>10</v>
      </c>
      <c r="AA1828" s="749"/>
      <c r="AB1828" s="479">
        <v>42829</v>
      </c>
      <c r="AC1828" s="751"/>
      <c r="AD1828" s="751">
        <v>177.18567123287673</v>
      </c>
      <c r="AE1828" s="428" t="s">
        <v>82</v>
      </c>
      <c r="AF1828" s="752"/>
      <c r="AG1828" s="752"/>
      <c r="AH1828" s="752"/>
      <c r="AI1828" s="750"/>
      <c r="AJ1828" s="753"/>
      <c r="AK1828" s="753"/>
      <c r="AL1828" s="749"/>
      <c r="AM1828" s="749"/>
      <c r="AN1828" s="752"/>
      <c r="AO1828" s="749"/>
      <c r="AP1828" s="428" t="s">
        <v>8398</v>
      </c>
      <c r="AQ1828" s="749"/>
      <c r="AR1828" s="688" t="s">
        <v>8846</v>
      </c>
      <c r="AS1828" s="479">
        <v>42691</v>
      </c>
      <c r="AT1828" s="754"/>
      <c r="AU1828" s="749"/>
      <c r="AV1828" s="749"/>
      <c r="AW1828" s="749"/>
      <c r="AX1828" s="749"/>
      <c r="AY1828" s="753"/>
      <c r="AZ1828" s="698">
        <v>42829</v>
      </c>
      <c r="BA1828" s="754"/>
      <c r="BB1828" s="560"/>
      <c r="BC1828" s="688" t="b">
        <v>0</v>
      </c>
      <c r="BD1828" s="560"/>
      <c r="BE1828" s="749"/>
      <c r="BF1828" s="700">
        <v>8</v>
      </c>
      <c r="BG1828" s="700">
        <v>6</v>
      </c>
      <c r="BH1828" s="700">
        <v>5</v>
      </c>
      <c r="BI1828" s="700">
        <v>4</v>
      </c>
      <c r="BJ1828" s="750">
        <v>1</v>
      </c>
      <c r="BK1828" s="750"/>
      <c r="BL1828" s="874">
        <v>0</v>
      </c>
      <c r="BM1828" s="750"/>
      <c r="BN1828" s="749"/>
      <c r="BO1828" s="749"/>
      <c r="BP1828" s="749"/>
      <c r="BQ1828" s="749"/>
      <c r="BR1828" s="749"/>
      <c r="BS1828" s="751"/>
      <c r="BT1828" s="750"/>
      <c r="BU1828" s="752"/>
      <c r="BV1828" s="751"/>
      <c r="BW1828" s="428" t="s">
        <v>3117</v>
      </c>
      <c r="BX1828" s="560"/>
      <c r="BY1828" s="749"/>
      <c r="BZ1828" s="756"/>
      <c r="CA1828" s="756"/>
      <c r="CB1828" s="749"/>
      <c r="CC1828" s="749"/>
      <c r="CD1828" s="749"/>
      <c r="CE1828" s="749"/>
      <c r="CF1828" s="749"/>
      <c r="CG1828" s="749"/>
      <c r="CH1828" s="749"/>
      <c r="CI1828" s="749"/>
      <c r="CJ1828" s="749"/>
      <c r="CK1828" s="749"/>
      <c r="CL1828" s="755"/>
      <c r="CM1828" s="755"/>
      <c r="CN1828" s="755">
        <v>47.31</v>
      </c>
      <c r="CO1828" s="755">
        <v>47.31</v>
      </c>
      <c r="CP1828" s="755">
        <v>47.31</v>
      </c>
      <c r="CQ1828" s="755">
        <v>47.31</v>
      </c>
      <c r="CR1828" s="755">
        <v>47.31</v>
      </c>
      <c r="CS1828" s="755">
        <v>47.31</v>
      </c>
      <c r="CT1828" s="755">
        <v>47.31</v>
      </c>
      <c r="CU1828" s="749"/>
      <c r="CV1828" s="749"/>
      <c r="CW1828" s="749"/>
      <c r="CX1828" s="749"/>
      <c r="CY1828" s="749"/>
      <c r="CZ1828" s="749"/>
      <c r="DA1828" s="749"/>
      <c r="DB1828" s="749"/>
      <c r="DC1828" s="749"/>
      <c r="DD1828" s="749"/>
      <c r="DE1828" s="749"/>
      <c r="DF1828" s="749"/>
      <c r="DG1828" s="749"/>
      <c r="DH1828" s="749"/>
      <c r="DI1828" s="749"/>
      <c r="DJ1828" s="749"/>
      <c r="DK1828" s="897"/>
    </row>
    <row r="1829" spans="1:115" ht="51" x14ac:dyDescent="0.2">
      <c r="A1829" s="295">
        <v>1825</v>
      </c>
      <c r="B1829" s="502" t="s">
        <v>8998</v>
      </c>
      <c r="C1829" s="585"/>
      <c r="D1829" s="436" t="s">
        <v>9000</v>
      </c>
      <c r="E1829" s="748" t="s">
        <v>9002</v>
      </c>
      <c r="F1829" s="393" t="s">
        <v>1375</v>
      </c>
      <c r="G1829" s="393" t="s">
        <v>998</v>
      </c>
      <c r="H1829" s="393" t="s">
        <v>1038</v>
      </c>
      <c r="I1829" s="749"/>
      <c r="J1829" s="749"/>
      <c r="K1829" s="749" t="s">
        <v>9003</v>
      </c>
      <c r="L1829" s="688" t="s">
        <v>8846</v>
      </c>
      <c r="M1829" s="749"/>
      <c r="N1829" s="428" t="s">
        <v>44</v>
      </c>
      <c r="O1829" s="688" t="s">
        <v>51</v>
      </c>
      <c r="P1829" s="688" t="s">
        <v>51</v>
      </c>
      <c r="Q1829" s="688" t="s">
        <v>976</v>
      </c>
      <c r="R1829" s="749" t="s">
        <v>8845</v>
      </c>
      <c r="S1829" s="688" t="s">
        <v>977</v>
      </c>
      <c r="T1829" s="817">
        <v>1</v>
      </c>
      <c r="U1829" s="818">
        <v>46.415999999999997</v>
      </c>
      <c r="V1829" s="818"/>
      <c r="W1829" s="576"/>
      <c r="X1829" s="751"/>
      <c r="Y1829" s="817">
        <v>7</v>
      </c>
      <c r="Z1829" s="750">
        <v>10</v>
      </c>
      <c r="AA1829" s="749"/>
      <c r="AB1829" s="479">
        <v>42829</v>
      </c>
      <c r="AC1829" s="751"/>
      <c r="AD1829" s="751">
        <v>173.83745753424657</v>
      </c>
      <c r="AE1829" s="428" t="s">
        <v>82</v>
      </c>
      <c r="AF1829" s="752"/>
      <c r="AG1829" s="752"/>
      <c r="AH1829" s="752"/>
      <c r="AI1829" s="750"/>
      <c r="AJ1829" s="753"/>
      <c r="AK1829" s="753"/>
      <c r="AL1829" s="749"/>
      <c r="AM1829" s="749"/>
      <c r="AN1829" s="752"/>
      <c r="AO1829" s="749"/>
      <c r="AP1829" s="428" t="s">
        <v>8398</v>
      </c>
      <c r="AQ1829" s="749"/>
      <c r="AR1829" s="688" t="s">
        <v>8846</v>
      </c>
      <c r="AS1829" s="479">
        <v>42691</v>
      </c>
      <c r="AT1829" s="754"/>
      <c r="AU1829" s="749"/>
      <c r="AV1829" s="749"/>
      <c r="AW1829" s="749"/>
      <c r="AX1829" s="749"/>
      <c r="AY1829" s="753"/>
      <c r="AZ1829" s="698">
        <v>42829</v>
      </c>
      <c r="BA1829" s="754"/>
      <c r="BB1829" s="560"/>
      <c r="BC1829" s="688" t="b">
        <v>0</v>
      </c>
      <c r="BD1829" s="560"/>
      <c r="BE1829" s="749"/>
      <c r="BF1829" s="700">
        <v>8</v>
      </c>
      <c r="BG1829" s="700">
        <v>6</v>
      </c>
      <c r="BH1829" s="700">
        <v>5</v>
      </c>
      <c r="BI1829" s="700">
        <v>4</v>
      </c>
      <c r="BJ1829" s="750">
        <v>1</v>
      </c>
      <c r="BK1829" s="750"/>
      <c r="BL1829" s="874">
        <v>0</v>
      </c>
      <c r="BM1829" s="750"/>
      <c r="BN1829" s="749"/>
      <c r="BO1829" s="749"/>
      <c r="BP1829" s="749"/>
      <c r="BQ1829" s="749"/>
      <c r="BR1829" s="749"/>
      <c r="BS1829" s="751"/>
      <c r="BT1829" s="750"/>
      <c r="BU1829" s="752"/>
      <c r="BV1829" s="751"/>
      <c r="BW1829" s="428" t="s">
        <v>3117</v>
      </c>
      <c r="BX1829" s="560"/>
      <c r="BY1829" s="749"/>
      <c r="BZ1829" s="756"/>
      <c r="CA1829" s="756"/>
      <c r="CB1829" s="749"/>
      <c r="CC1829" s="749"/>
      <c r="CD1829" s="749"/>
      <c r="CE1829" s="749"/>
      <c r="CF1829" s="749"/>
      <c r="CG1829" s="749"/>
      <c r="CH1829" s="749"/>
      <c r="CI1829" s="749"/>
      <c r="CJ1829" s="749"/>
      <c r="CK1829" s="749"/>
      <c r="CL1829" s="755"/>
      <c r="CM1829" s="755"/>
      <c r="CN1829" s="755">
        <v>46.415999999999997</v>
      </c>
      <c r="CO1829" s="755">
        <v>46.415999999999997</v>
      </c>
      <c r="CP1829" s="755">
        <v>46.415999999999997</v>
      </c>
      <c r="CQ1829" s="755">
        <v>46.415999999999997</v>
      </c>
      <c r="CR1829" s="755">
        <v>46.415999999999997</v>
      </c>
      <c r="CS1829" s="755">
        <v>46.415999999999997</v>
      </c>
      <c r="CT1829" s="755">
        <v>46.415999999999997</v>
      </c>
      <c r="CU1829" s="749"/>
      <c r="CV1829" s="749"/>
      <c r="CW1829" s="749"/>
      <c r="CX1829" s="749"/>
      <c r="CY1829" s="749"/>
      <c r="CZ1829" s="749"/>
      <c r="DA1829" s="749"/>
      <c r="DB1829" s="749"/>
      <c r="DC1829" s="749"/>
      <c r="DD1829" s="749"/>
      <c r="DE1829" s="749"/>
      <c r="DF1829" s="749"/>
      <c r="DG1829" s="749"/>
      <c r="DH1829" s="749"/>
      <c r="DI1829" s="749"/>
      <c r="DJ1829" s="749"/>
      <c r="DK1829" s="897"/>
    </row>
    <row r="1830" spans="1:115" ht="51" x14ac:dyDescent="0.2">
      <c r="A1830" s="295">
        <v>1826</v>
      </c>
      <c r="B1830" s="448" t="s">
        <v>8956</v>
      </c>
      <c r="C1830" s="432" t="s">
        <v>8959</v>
      </c>
      <c r="D1830" s="432"/>
      <c r="E1830" s="780" t="s">
        <v>8957</v>
      </c>
      <c r="F1830" s="404" t="s">
        <v>1375</v>
      </c>
      <c r="G1830" s="404" t="s">
        <v>7340</v>
      </c>
      <c r="H1830" s="404" t="s">
        <v>504</v>
      </c>
      <c r="I1830" s="534"/>
      <c r="J1830" s="404" t="s">
        <v>504</v>
      </c>
      <c r="K1830" s="534"/>
      <c r="L1830" s="534" t="s">
        <v>5926</v>
      </c>
      <c r="M1830" s="534" t="s">
        <v>8961</v>
      </c>
      <c r="N1830" s="404" t="s">
        <v>2412</v>
      </c>
      <c r="O1830" s="486" t="s">
        <v>5491</v>
      </c>
      <c r="P1830" s="486" t="s">
        <v>5491</v>
      </c>
      <c r="Q1830" s="486" t="s">
        <v>1835</v>
      </c>
      <c r="R1830" s="534"/>
      <c r="S1830" s="534" t="s">
        <v>8963</v>
      </c>
      <c r="T1830" s="535"/>
      <c r="U1830" s="536"/>
      <c r="V1830" s="536"/>
      <c r="W1830" s="537"/>
      <c r="X1830" s="781"/>
      <c r="Y1830" s="535"/>
      <c r="Z1830" s="782"/>
      <c r="AA1830" s="534"/>
      <c r="AB1830" s="482"/>
      <c r="AC1830" s="781"/>
      <c r="AD1830" s="781"/>
      <c r="AE1830" s="486" t="s">
        <v>7354</v>
      </c>
      <c r="AF1830" s="783"/>
      <c r="AG1830" s="783"/>
      <c r="AH1830" s="783"/>
      <c r="AI1830" s="782"/>
      <c r="AJ1830" s="784"/>
      <c r="AK1830" s="784"/>
      <c r="AL1830" s="534"/>
      <c r="AM1830" s="534"/>
      <c r="AN1830" s="783"/>
      <c r="AO1830" s="534"/>
      <c r="AP1830" s="486" t="s">
        <v>55</v>
      </c>
      <c r="AQ1830" s="534"/>
      <c r="AR1830" s="534" t="s">
        <v>8964</v>
      </c>
      <c r="AS1830" s="482">
        <v>42784</v>
      </c>
      <c r="AT1830" s="785">
        <v>42830</v>
      </c>
      <c r="AU1830" s="534"/>
      <c r="AV1830" s="534"/>
      <c r="AW1830" s="534"/>
      <c r="AX1830" s="534"/>
      <c r="AY1830" s="784"/>
      <c r="AZ1830" s="784"/>
      <c r="BA1830" s="785"/>
      <c r="BB1830" s="486" t="s">
        <v>3147</v>
      </c>
      <c r="BC1830" s="534" t="b">
        <v>0</v>
      </c>
      <c r="BD1830" s="486" t="s">
        <v>3147</v>
      </c>
      <c r="BE1830" s="534"/>
      <c r="BF1830" s="535">
        <v>10</v>
      </c>
      <c r="BG1830" s="535">
        <v>8</v>
      </c>
      <c r="BH1830" s="535">
        <v>5</v>
      </c>
      <c r="BI1830" s="535">
        <v>9</v>
      </c>
      <c r="BJ1830" s="782"/>
      <c r="BK1830" s="782"/>
      <c r="BL1830" s="786">
        <v>0</v>
      </c>
      <c r="BM1830" s="782"/>
      <c r="BN1830" s="534"/>
      <c r="BO1830" s="534"/>
      <c r="BP1830" s="534"/>
      <c r="BQ1830" s="534"/>
      <c r="BR1830" s="534"/>
      <c r="BS1830" s="781"/>
      <c r="BT1830" s="782"/>
      <c r="BU1830" s="783"/>
      <c r="BV1830" s="781"/>
      <c r="BW1830" s="486" t="s">
        <v>3117</v>
      </c>
      <c r="BX1830" s="486"/>
      <c r="BY1830" s="534"/>
      <c r="BZ1830" s="787"/>
      <c r="CA1830" s="787"/>
      <c r="CB1830" s="534"/>
      <c r="CC1830" s="534"/>
      <c r="CD1830" s="534"/>
      <c r="CE1830" s="534"/>
      <c r="CF1830" s="534"/>
      <c r="CG1830" s="534"/>
      <c r="CH1830" s="534"/>
      <c r="CI1830" s="534"/>
      <c r="CJ1830" s="534"/>
      <c r="CK1830" s="534"/>
      <c r="CL1830" s="788"/>
      <c r="CM1830" s="788"/>
      <c r="CN1830" s="788"/>
      <c r="CO1830" s="788"/>
      <c r="CP1830" s="788"/>
      <c r="CQ1830" s="788"/>
      <c r="CR1830" s="788"/>
      <c r="CS1830" s="788"/>
      <c r="CT1830" s="788"/>
      <c r="CU1830" s="534"/>
      <c r="CV1830" s="534"/>
      <c r="CW1830" s="534"/>
      <c r="CX1830" s="534"/>
      <c r="CY1830" s="534"/>
      <c r="CZ1830" s="534"/>
      <c r="DA1830" s="534"/>
      <c r="DB1830" s="534"/>
      <c r="DC1830" s="534"/>
      <c r="DD1830" s="534"/>
      <c r="DE1830" s="534"/>
      <c r="DF1830" s="534"/>
      <c r="DG1830" s="534"/>
      <c r="DH1830" s="534"/>
      <c r="DI1830" s="534"/>
      <c r="DJ1830" s="534"/>
      <c r="DK1830" s="897"/>
    </row>
    <row r="1831" spans="1:115" ht="25.5" x14ac:dyDescent="0.2">
      <c r="A1831" s="295">
        <v>1827</v>
      </c>
      <c r="B1831" s="502" t="s">
        <v>8982</v>
      </c>
      <c r="C1831" s="496"/>
      <c r="D1831" s="432"/>
      <c r="E1831" s="780" t="s">
        <v>8958</v>
      </c>
      <c r="F1831" s="404" t="s">
        <v>1375</v>
      </c>
      <c r="G1831" s="404" t="s">
        <v>7340</v>
      </c>
      <c r="H1831" s="404" t="s">
        <v>504</v>
      </c>
      <c r="I1831" s="534"/>
      <c r="J1831" s="534"/>
      <c r="K1831" s="534" t="s">
        <v>8960</v>
      </c>
      <c r="L1831" s="534" t="s">
        <v>5926</v>
      </c>
      <c r="M1831" s="534"/>
      <c r="N1831" s="404" t="s">
        <v>2412</v>
      </c>
      <c r="O1831" s="534" t="s">
        <v>289</v>
      </c>
      <c r="P1831" s="534" t="s">
        <v>289</v>
      </c>
      <c r="Q1831" s="534" t="s">
        <v>721</v>
      </c>
      <c r="R1831" s="534" t="s">
        <v>8962</v>
      </c>
      <c r="S1831" s="534" t="s">
        <v>8963</v>
      </c>
      <c r="T1831" s="535">
        <v>1</v>
      </c>
      <c r="U1831" s="536">
        <v>53.353999999999999</v>
      </c>
      <c r="V1831" s="536"/>
      <c r="W1831" s="537"/>
      <c r="X1831" s="781"/>
      <c r="Y1831" s="535">
        <v>7</v>
      </c>
      <c r="Z1831" s="782">
        <v>21</v>
      </c>
      <c r="AA1831" s="534"/>
      <c r="AB1831" s="482">
        <v>43282</v>
      </c>
      <c r="AC1831" s="781"/>
      <c r="AD1831" s="781">
        <v>133.60426301369861</v>
      </c>
      <c r="AE1831" s="486" t="s">
        <v>7354</v>
      </c>
      <c r="AF1831" s="783"/>
      <c r="AG1831" s="783"/>
      <c r="AH1831" s="783"/>
      <c r="AI1831" s="782"/>
      <c r="AJ1831" s="784"/>
      <c r="AK1831" s="784"/>
      <c r="AL1831" s="534"/>
      <c r="AM1831" s="534"/>
      <c r="AN1831" s="783"/>
      <c r="AO1831" s="534"/>
      <c r="AP1831" s="486" t="s">
        <v>55</v>
      </c>
      <c r="AQ1831" s="534"/>
      <c r="AR1831" s="534" t="s">
        <v>8964</v>
      </c>
      <c r="AS1831" s="482">
        <v>42784</v>
      </c>
      <c r="AT1831" s="785">
        <v>42830</v>
      </c>
      <c r="AU1831" s="534"/>
      <c r="AV1831" s="534"/>
      <c r="AW1831" s="534"/>
      <c r="AX1831" s="534"/>
      <c r="AY1831" s="784"/>
      <c r="AZ1831" s="784"/>
      <c r="BA1831" s="785"/>
      <c r="BB1831" s="486"/>
      <c r="BC1831" s="534" t="b">
        <v>1</v>
      </c>
      <c r="BD1831" s="486"/>
      <c r="BE1831" s="534"/>
      <c r="BF1831" s="535">
        <v>10</v>
      </c>
      <c r="BG1831" s="535">
        <v>8</v>
      </c>
      <c r="BH1831" s="535">
        <v>5</v>
      </c>
      <c r="BI1831" s="535">
        <v>9</v>
      </c>
      <c r="BJ1831" s="782"/>
      <c r="BK1831" s="782"/>
      <c r="BL1831" s="786">
        <v>0</v>
      </c>
      <c r="BM1831" s="782"/>
      <c r="BN1831" s="534"/>
      <c r="BO1831" s="534"/>
      <c r="BP1831" s="534"/>
      <c r="BQ1831" s="534"/>
      <c r="BR1831" s="534"/>
      <c r="BS1831" s="781"/>
      <c r="BT1831" s="782"/>
      <c r="BU1831" s="783"/>
      <c r="BV1831" s="781"/>
      <c r="BW1831" s="486" t="s">
        <v>3117</v>
      </c>
      <c r="BX1831" s="486"/>
      <c r="BY1831" s="534"/>
      <c r="BZ1831" s="787"/>
      <c r="CA1831" s="787"/>
      <c r="CB1831" s="534"/>
      <c r="CC1831" s="534"/>
      <c r="CD1831" s="534"/>
      <c r="CE1831" s="534"/>
      <c r="CF1831" s="534"/>
      <c r="CG1831" s="534"/>
      <c r="CH1831" s="534"/>
      <c r="CI1831" s="534"/>
      <c r="CJ1831" s="534"/>
      <c r="CK1831" s="534"/>
      <c r="CL1831" s="788"/>
      <c r="CM1831" s="788"/>
      <c r="CN1831" s="788">
        <v>26.677</v>
      </c>
      <c r="CO1831" s="788">
        <v>53.353999999999999</v>
      </c>
      <c r="CP1831" s="788">
        <v>53.353999999999999</v>
      </c>
      <c r="CQ1831" s="788">
        <v>53.353999999999999</v>
      </c>
      <c r="CR1831" s="788">
        <v>53.353999999999999</v>
      </c>
      <c r="CS1831" s="788">
        <v>53.353999999999999</v>
      </c>
      <c r="CT1831" s="788">
        <v>53.353999999999999</v>
      </c>
      <c r="CU1831" s="788">
        <v>26.677</v>
      </c>
      <c r="CV1831" s="534"/>
      <c r="CW1831" s="534"/>
      <c r="CX1831" s="534"/>
      <c r="CY1831" s="534"/>
      <c r="CZ1831" s="534"/>
      <c r="DA1831" s="534"/>
      <c r="DB1831" s="534"/>
      <c r="DC1831" s="534"/>
      <c r="DD1831" s="534"/>
      <c r="DE1831" s="534"/>
      <c r="DF1831" s="534"/>
      <c r="DG1831" s="534"/>
      <c r="DH1831" s="534"/>
      <c r="DI1831" s="534"/>
      <c r="DJ1831" s="534"/>
      <c r="DK1831" s="897"/>
    </row>
    <row r="1832" spans="1:115" ht="38.25" x14ac:dyDescent="0.2">
      <c r="A1832" s="295">
        <v>1828</v>
      </c>
      <c r="B1832" s="448" t="s">
        <v>8983</v>
      </c>
      <c r="C1832" s="432" t="s">
        <v>8990</v>
      </c>
      <c r="D1832" s="432"/>
      <c r="E1832" s="713" t="s">
        <v>8975</v>
      </c>
      <c r="F1832" s="461" t="s">
        <v>1375</v>
      </c>
      <c r="G1832" s="461" t="s">
        <v>998</v>
      </c>
      <c r="H1832" s="461" t="s">
        <v>1392</v>
      </c>
      <c r="I1832" s="502"/>
      <c r="J1832" s="461" t="s">
        <v>1392</v>
      </c>
      <c r="K1832" s="432"/>
      <c r="L1832" s="432" t="s">
        <v>8978</v>
      </c>
      <c r="M1832" s="432" t="s">
        <v>8979</v>
      </c>
      <c r="N1832" s="448" t="s">
        <v>33</v>
      </c>
      <c r="O1832" s="432" t="s">
        <v>51</v>
      </c>
      <c r="P1832" s="432" t="s">
        <v>51</v>
      </c>
      <c r="Q1832" s="432" t="s">
        <v>426</v>
      </c>
      <c r="R1832" s="432"/>
      <c r="S1832" s="448" t="s">
        <v>427</v>
      </c>
      <c r="T1832" s="501">
        <v>1</v>
      </c>
      <c r="U1832" s="505">
        <v>77.923000000000002</v>
      </c>
      <c r="V1832" s="505"/>
      <c r="W1832" s="547"/>
      <c r="X1832" s="498"/>
      <c r="Y1832" s="501"/>
      <c r="Z1832" s="497"/>
      <c r="AA1832" s="432"/>
      <c r="AB1832" s="483"/>
      <c r="AC1832" s="498">
        <v>0</v>
      </c>
      <c r="AD1832" s="498">
        <v>294.82647397260274</v>
      </c>
      <c r="AE1832" s="448" t="s">
        <v>7354</v>
      </c>
      <c r="AF1832" s="499"/>
      <c r="AG1832" s="499"/>
      <c r="AH1832" s="499">
        <v>0</v>
      </c>
      <c r="AI1832" s="497"/>
      <c r="AJ1832" s="491"/>
      <c r="AK1832" s="491"/>
      <c r="AL1832" s="432"/>
      <c r="AM1832" s="432"/>
      <c r="AN1832" s="499"/>
      <c r="AO1832" s="432"/>
      <c r="AP1832" s="448" t="s">
        <v>55</v>
      </c>
      <c r="AQ1832" s="432"/>
      <c r="AR1832" s="432" t="s">
        <v>8985</v>
      </c>
      <c r="AS1832" s="481">
        <v>42815</v>
      </c>
      <c r="AT1832" s="500"/>
      <c r="AU1832" s="432"/>
      <c r="AV1832" s="432"/>
      <c r="AW1832" s="432"/>
      <c r="AX1832" s="432"/>
      <c r="AY1832" s="491"/>
      <c r="AZ1832" s="491"/>
      <c r="BA1832" s="500"/>
      <c r="BB1832" s="448" t="s">
        <v>3147</v>
      </c>
      <c r="BC1832" s="432" t="b">
        <v>0</v>
      </c>
      <c r="BD1832" s="448" t="s">
        <v>3116</v>
      </c>
      <c r="BE1832" s="432"/>
      <c r="BF1832" s="501">
        <v>6</v>
      </c>
      <c r="BG1832" s="501">
        <v>5</v>
      </c>
      <c r="BH1832" s="501">
        <v>1</v>
      </c>
      <c r="BI1832" s="501">
        <v>8</v>
      </c>
      <c r="BJ1832" s="497">
        <v>10</v>
      </c>
      <c r="BK1832" s="497">
        <v>11</v>
      </c>
      <c r="BL1832" s="580">
        <v>2</v>
      </c>
      <c r="BM1832" s="497"/>
      <c r="BN1832" s="432"/>
      <c r="BO1832" s="432"/>
      <c r="BP1832" s="432"/>
      <c r="BQ1832" s="432"/>
      <c r="BR1832" s="432"/>
      <c r="BS1832" s="498">
        <v>0</v>
      </c>
      <c r="BT1832" s="497"/>
      <c r="BU1832" s="499"/>
      <c r="BV1832" s="498"/>
      <c r="BW1832" s="448" t="s">
        <v>3117</v>
      </c>
      <c r="BX1832" s="448"/>
      <c r="BY1832" s="432"/>
      <c r="BZ1832" s="493"/>
      <c r="CA1832" s="493"/>
      <c r="CB1832" s="432"/>
      <c r="CC1832" s="432"/>
      <c r="CD1832" s="432"/>
      <c r="CE1832" s="432"/>
      <c r="CF1832" s="432"/>
      <c r="CG1832" s="432"/>
      <c r="CH1832" s="432"/>
      <c r="CI1832" s="432"/>
      <c r="CJ1832" s="432"/>
      <c r="CK1832" s="432"/>
      <c r="CL1832" s="492"/>
      <c r="CM1832" s="492"/>
      <c r="CN1832" s="492"/>
      <c r="CO1832" s="492"/>
      <c r="CP1832" s="492"/>
      <c r="CQ1832" s="492"/>
      <c r="CR1832" s="492"/>
      <c r="CS1832" s="492"/>
      <c r="CT1832" s="492"/>
      <c r="CU1832" s="492"/>
      <c r="CV1832" s="432"/>
      <c r="CW1832" s="432"/>
      <c r="CX1832" s="432"/>
      <c r="CY1832" s="432"/>
      <c r="CZ1832" s="432"/>
      <c r="DA1832" s="432"/>
      <c r="DB1832" s="432"/>
      <c r="DC1832" s="432"/>
      <c r="DD1832" s="432"/>
      <c r="DE1832" s="432"/>
      <c r="DF1832" s="432"/>
      <c r="DG1832" s="432"/>
      <c r="DH1832" s="432"/>
      <c r="DI1832" s="432"/>
      <c r="DJ1832" s="432"/>
      <c r="DK1832" s="897"/>
    </row>
    <row r="1833" spans="1:115" ht="51" x14ac:dyDescent="0.2">
      <c r="A1833" s="295">
        <v>1829</v>
      </c>
      <c r="B1833" s="502" t="s">
        <v>8984</v>
      </c>
      <c r="C1833" s="432"/>
      <c r="D1833" s="432"/>
      <c r="E1833" s="713" t="s">
        <v>8976</v>
      </c>
      <c r="F1833" s="461" t="s">
        <v>1375</v>
      </c>
      <c r="G1833" s="461" t="s">
        <v>998</v>
      </c>
      <c r="H1833" s="461" t="s">
        <v>1392</v>
      </c>
      <c r="I1833" s="502"/>
      <c r="J1833" s="502"/>
      <c r="K1833" s="432" t="s">
        <v>8977</v>
      </c>
      <c r="L1833" s="432" t="s">
        <v>8978</v>
      </c>
      <c r="M1833" s="432"/>
      <c r="N1833" s="448" t="s">
        <v>33</v>
      </c>
      <c r="O1833" s="432" t="s">
        <v>51</v>
      </c>
      <c r="P1833" s="432" t="s">
        <v>51</v>
      </c>
      <c r="Q1833" s="432" t="s">
        <v>426</v>
      </c>
      <c r="R1833" s="432" t="s">
        <v>8980</v>
      </c>
      <c r="S1833" s="502" t="s">
        <v>427</v>
      </c>
      <c r="T1833" s="501">
        <v>1</v>
      </c>
      <c r="U1833" s="505">
        <v>77.923000000000002</v>
      </c>
      <c r="V1833" s="505"/>
      <c r="W1833" s="547"/>
      <c r="X1833" s="498"/>
      <c r="Y1833" s="501">
        <v>7</v>
      </c>
      <c r="Z1833" s="497">
        <v>21</v>
      </c>
      <c r="AA1833" s="432"/>
      <c r="AB1833" s="483">
        <v>42815</v>
      </c>
      <c r="AC1833" s="498"/>
      <c r="AD1833" s="498">
        <v>294.82647397260274</v>
      </c>
      <c r="AE1833" s="448" t="s">
        <v>7354</v>
      </c>
      <c r="AF1833" s="499"/>
      <c r="AG1833" s="499"/>
      <c r="AH1833" s="499"/>
      <c r="AI1833" s="497"/>
      <c r="AJ1833" s="491"/>
      <c r="AK1833" s="491"/>
      <c r="AL1833" s="432"/>
      <c r="AM1833" s="432"/>
      <c r="AN1833" s="499"/>
      <c r="AO1833" s="432"/>
      <c r="AP1833" s="448" t="s">
        <v>55</v>
      </c>
      <c r="AQ1833" s="432"/>
      <c r="AR1833" s="432" t="s">
        <v>8985</v>
      </c>
      <c r="AS1833" s="481">
        <v>42815</v>
      </c>
      <c r="AT1833" s="500"/>
      <c r="AU1833" s="432"/>
      <c r="AV1833" s="432"/>
      <c r="AW1833" s="432"/>
      <c r="AX1833" s="432"/>
      <c r="AY1833" s="491"/>
      <c r="AZ1833" s="491"/>
      <c r="BA1833" s="500"/>
      <c r="BB1833" s="448"/>
      <c r="BC1833" s="432" t="b">
        <v>0</v>
      </c>
      <c r="BD1833" s="448"/>
      <c r="BE1833" s="432"/>
      <c r="BF1833" s="501">
        <v>6</v>
      </c>
      <c r="BG1833" s="501">
        <v>5</v>
      </c>
      <c r="BH1833" s="501">
        <v>1</v>
      </c>
      <c r="BI1833" s="501">
        <v>8</v>
      </c>
      <c r="BJ1833" s="497">
        <v>10</v>
      </c>
      <c r="BK1833" s="497">
        <v>11</v>
      </c>
      <c r="BL1833" s="580">
        <v>2</v>
      </c>
      <c r="BM1833" s="497"/>
      <c r="BN1833" s="432"/>
      <c r="BO1833" s="432"/>
      <c r="BP1833" s="432"/>
      <c r="BQ1833" s="432"/>
      <c r="BR1833" s="432"/>
      <c r="BS1833" s="498"/>
      <c r="BT1833" s="497"/>
      <c r="BU1833" s="499"/>
      <c r="BV1833" s="498"/>
      <c r="BW1833" s="448" t="s">
        <v>3117</v>
      </c>
      <c r="BX1833" s="448"/>
      <c r="BY1833" s="432"/>
      <c r="BZ1833" s="493"/>
      <c r="CA1833" s="493"/>
      <c r="CB1833" s="432"/>
      <c r="CC1833" s="432"/>
      <c r="CD1833" s="432"/>
      <c r="CE1833" s="432"/>
      <c r="CF1833" s="432"/>
      <c r="CG1833" s="432"/>
      <c r="CH1833" s="432"/>
      <c r="CI1833" s="432"/>
      <c r="CJ1833" s="432"/>
      <c r="CK1833" s="432"/>
      <c r="CL1833" s="492">
        <v>77.923000000000002</v>
      </c>
      <c r="CM1833" s="492">
        <v>77.923000000000002</v>
      </c>
      <c r="CN1833" s="492">
        <v>77.923000000000002</v>
      </c>
      <c r="CO1833" s="492">
        <v>77.923000000000002</v>
      </c>
      <c r="CP1833" s="492">
        <v>77.923000000000002</v>
      </c>
      <c r="CQ1833" s="492">
        <v>77.923000000000002</v>
      </c>
      <c r="CR1833" s="492">
        <v>77.923000000000002</v>
      </c>
      <c r="CS1833" s="492"/>
      <c r="CT1833" s="492"/>
      <c r="CU1833" s="492"/>
      <c r="CV1833" s="432"/>
      <c r="CW1833" s="432"/>
      <c r="CX1833" s="432"/>
      <c r="CY1833" s="432"/>
      <c r="CZ1833" s="432"/>
      <c r="DA1833" s="432"/>
      <c r="DB1833" s="432"/>
      <c r="DC1833" s="432"/>
      <c r="DD1833" s="432"/>
      <c r="DE1833" s="432"/>
      <c r="DF1833" s="432"/>
      <c r="DG1833" s="432"/>
      <c r="DH1833" s="432"/>
      <c r="DI1833" s="432"/>
      <c r="DJ1833" s="432"/>
      <c r="DK1833" s="897"/>
    </row>
    <row r="1834" spans="1:115" ht="51" x14ac:dyDescent="0.2">
      <c r="A1834" s="295">
        <v>1830</v>
      </c>
      <c r="B1834" s="448" t="s">
        <v>8987</v>
      </c>
      <c r="C1834" s="432" t="s">
        <v>8986</v>
      </c>
      <c r="D1834" s="432"/>
      <c r="E1834" s="713" t="s">
        <v>8957</v>
      </c>
      <c r="F1834" s="461" t="s">
        <v>1375</v>
      </c>
      <c r="G1834" s="461" t="s">
        <v>7340</v>
      </c>
      <c r="H1834" s="461" t="s">
        <v>504</v>
      </c>
      <c r="I1834" s="502"/>
      <c r="J1834" s="461" t="s">
        <v>504</v>
      </c>
      <c r="K1834" s="432"/>
      <c r="L1834" s="432" t="s">
        <v>5926</v>
      </c>
      <c r="M1834" s="432" t="s">
        <v>8961</v>
      </c>
      <c r="N1834" s="448" t="s">
        <v>33</v>
      </c>
      <c r="O1834" s="448" t="s">
        <v>5491</v>
      </c>
      <c r="P1834" s="448" t="s">
        <v>5491</v>
      </c>
      <c r="Q1834" s="448" t="s">
        <v>1835</v>
      </c>
      <c r="R1834" s="432"/>
      <c r="S1834" s="502" t="s">
        <v>8963</v>
      </c>
      <c r="T1834" s="501">
        <v>1</v>
      </c>
      <c r="U1834" s="505">
        <v>53.353999999999999</v>
      </c>
      <c r="V1834" s="505"/>
      <c r="W1834" s="547"/>
      <c r="X1834" s="498"/>
      <c r="Y1834" s="501"/>
      <c r="Z1834" s="497"/>
      <c r="AA1834" s="432"/>
      <c r="AB1834" s="483"/>
      <c r="AC1834" s="498">
        <v>0</v>
      </c>
      <c r="AD1834" s="498">
        <v>133.60426301369861</v>
      </c>
      <c r="AE1834" s="448" t="s">
        <v>7354</v>
      </c>
      <c r="AF1834" s="499"/>
      <c r="AG1834" s="499"/>
      <c r="AH1834" s="499">
        <v>0</v>
      </c>
      <c r="AI1834" s="497"/>
      <c r="AJ1834" s="491"/>
      <c r="AK1834" s="491"/>
      <c r="AL1834" s="432"/>
      <c r="AM1834" s="432"/>
      <c r="AN1834" s="499"/>
      <c r="AO1834" s="432"/>
      <c r="AP1834" s="448" t="s">
        <v>55</v>
      </c>
      <c r="AQ1834" s="432"/>
      <c r="AR1834" s="432" t="s">
        <v>8964</v>
      </c>
      <c r="AS1834" s="481">
        <v>42830</v>
      </c>
      <c r="AT1834" s="500"/>
      <c r="AU1834" s="432" t="s">
        <v>8956</v>
      </c>
      <c r="AV1834" s="432"/>
      <c r="AW1834" s="432"/>
      <c r="AX1834" s="432"/>
      <c r="AY1834" s="491"/>
      <c r="AZ1834" s="491"/>
      <c r="BA1834" s="500"/>
      <c r="BB1834" s="448" t="s">
        <v>3147</v>
      </c>
      <c r="BC1834" s="432" t="b">
        <v>0</v>
      </c>
      <c r="BD1834" s="448" t="s">
        <v>3147</v>
      </c>
      <c r="BE1834" s="432"/>
      <c r="BF1834" s="501">
        <v>10</v>
      </c>
      <c r="BG1834" s="501">
        <v>8</v>
      </c>
      <c r="BH1834" s="501">
        <v>5</v>
      </c>
      <c r="BI1834" s="501">
        <v>9</v>
      </c>
      <c r="BJ1834" s="497"/>
      <c r="BK1834" s="497"/>
      <c r="BL1834" s="580">
        <v>0</v>
      </c>
      <c r="BM1834" s="497"/>
      <c r="BN1834" s="432"/>
      <c r="BO1834" s="432"/>
      <c r="BP1834" s="432"/>
      <c r="BQ1834" s="432"/>
      <c r="BR1834" s="432"/>
      <c r="BS1834" s="498">
        <v>0</v>
      </c>
      <c r="BT1834" s="497"/>
      <c r="BU1834" s="499"/>
      <c r="BV1834" s="498"/>
      <c r="BW1834" s="448" t="s">
        <v>3117</v>
      </c>
      <c r="BX1834" s="448"/>
      <c r="BY1834" s="432"/>
      <c r="BZ1834" s="493"/>
      <c r="CA1834" s="493"/>
      <c r="CB1834" s="432"/>
      <c r="CC1834" s="432"/>
      <c r="CD1834" s="432"/>
      <c r="CE1834" s="432"/>
      <c r="CF1834" s="432"/>
      <c r="CG1834" s="432"/>
      <c r="CH1834" s="432"/>
      <c r="CI1834" s="432"/>
      <c r="CJ1834" s="432"/>
      <c r="CK1834" s="432"/>
      <c r="CL1834" s="492"/>
      <c r="CM1834" s="492"/>
      <c r="CN1834" s="492"/>
      <c r="CO1834" s="492"/>
      <c r="CP1834" s="492"/>
      <c r="CQ1834" s="492"/>
      <c r="CR1834" s="492"/>
      <c r="CS1834" s="492"/>
      <c r="CT1834" s="492"/>
      <c r="CU1834" s="432"/>
      <c r="CV1834" s="432"/>
      <c r="CW1834" s="432"/>
      <c r="CX1834" s="432"/>
      <c r="CY1834" s="432"/>
      <c r="CZ1834" s="432"/>
      <c r="DA1834" s="432"/>
      <c r="DB1834" s="432"/>
      <c r="DC1834" s="432"/>
      <c r="DD1834" s="432"/>
      <c r="DE1834" s="432"/>
      <c r="DF1834" s="432"/>
      <c r="DG1834" s="432"/>
      <c r="DH1834" s="432"/>
      <c r="DI1834" s="432"/>
      <c r="DJ1834" s="432"/>
      <c r="DK1834" s="897"/>
    </row>
    <row r="1835" spans="1:115" ht="25.5" x14ac:dyDescent="0.2">
      <c r="A1835" s="295">
        <v>1831</v>
      </c>
      <c r="B1835" s="502" t="s">
        <v>8988</v>
      </c>
      <c r="C1835" s="432"/>
      <c r="D1835" s="432"/>
      <c r="E1835" s="713" t="s">
        <v>8958</v>
      </c>
      <c r="F1835" s="461" t="s">
        <v>1375</v>
      </c>
      <c r="G1835" s="461" t="s">
        <v>7340</v>
      </c>
      <c r="H1835" s="461" t="s">
        <v>504</v>
      </c>
      <c r="I1835" s="502"/>
      <c r="J1835" s="502"/>
      <c r="K1835" s="432" t="s">
        <v>8960</v>
      </c>
      <c r="L1835" s="432" t="s">
        <v>5926</v>
      </c>
      <c r="M1835" s="432"/>
      <c r="N1835" s="448" t="s">
        <v>33</v>
      </c>
      <c r="O1835" s="432" t="s">
        <v>289</v>
      </c>
      <c r="P1835" s="432" t="s">
        <v>289</v>
      </c>
      <c r="Q1835" s="432" t="s">
        <v>721</v>
      </c>
      <c r="R1835" s="432" t="s">
        <v>8962</v>
      </c>
      <c r="S1835" s="502" t="s">
        <v>8963</v>
      </c>
      <c r="T1835" s="501">
        <v>1</v>
      </c>
      <c r="U1835" s="505">
        <v>53.353999999999999</v>
      </c>
      <c r="V1835" s="505"/>
      <c r="W1835" s="547"/>
      <c r="X1835" s="498"/>
      <c r="Y1835" s="501">
        <v>7</v>
      </c>
      <c r="Z1835" s="497">
        <v>21</v>
      </c>
      <c r="AA1835" s="432"/>
      <c r="AB1835" s="483">
        <v>43282</v>
      </c>
      <c r="AC1835" s="498"/>
      <c r="AD1835" s="498">
        <v>133.60426301369861</v>
      </c>
      <c r="AE1835" s="448" t="s">
        <v>7354</v>
      </c>
      <c r="AF1835" s="499"/>
      <c r="AG1835" s="499"/>
      <c r="AH1835" s="499"/>
      <c r="AI1835" s="497"/>
      <c r="AJ1835" s="491"/>
      <c r="AK1835" s="491"/>
      <c r="AL1835" s="432"/>
      <c r="AM1835" s="432"/>
      <c r="AN1835" s="499"/>
      <c r="AO1835" s="432"/>
      <c r="AP1835" s="448" t="s">
        <v>55</v>
      </c>
      <c r="AQ1835" s="432"/>
      <c r="AR1835" s="432" t="s">
        <v>8964</v>
      </c>
      <c r="AS1835" s="481">
        <v>42830</v>
      </c>
      <c r="AT1835" s="500"/>
      <c r="AU1835" s="432" t="s">
        <v>8989</v>
      </c>
      <c r="AV1835" s="432"/>
      <c r="AW1835" s="432"/>
      <c r="AX1835" s="432"/>
      <c r="AY1835" s="491"/>
      <c r="AZ1835" s="491"/>
      <c r="BA1835" s="500"/>
      <c r="BB1835" s="448"/>
      <c r="BC1835" s="432" t="b">
        <v>1</v>
      </c>
      <c r="BD1835" s="448"/>
      <c r="BE1835" s="432"/>
      <c r="BF1835" s="501">
        <v>10</v>
      </c>
      <c r="BG1835" s="501">
        <v>8</v>
      </c>
      <c r="BH1835" s="501">
        <v>5</v>
      </c>
      <c r="BI1835" s="501">
        <v>9</v>
      </c>
      <c r="BJ1835" s="497"/>
      <c r="BK1835" s="497"/>
      <c r="BL1835" s="580">
        <v>0</v>
      </c>
      <c r="BM1835" s="497"/>
      <c r="BN1835" s="432"/>
      <c r="BO1835" s="432"/>
      <c r="BP1835" s="432"/>
      <c r="BQ1835" s="432"/>
      <c r="BR1835" s="432"/>
      <c r="BS1835" s="498"/>
      <c r="BT1835" s="497"/>
      <c r="BU1835" s="499"/>
      <c r="BV1835" s="498"/>
      <c r="BW1835" s="448" t="s">
        <v>3117</v>
      </c>
      <c r="BX1835" s="448"/>
      <c r="BY1835" s="432"/>
      <c r="BZ1835" s="493"/>
      <c r="CA1835" s="493"/>
      <c r="CB1835" s="432"/>
      <c r="CC1835" s="432"/>
      <c r="CD1835" s="432"/>
      <c r="CE1835" s="432"/>
      <c r="CF1835" s="432"/>
      <c r="CG1835" s="432"/>
      <c r="CH1835" s="432"/>
      <c r="CI1835" s="432"/>
      <c r="CJ1835" s="432"/>
      <c r="CK1835" s="432"/>
      <c r="CL1835" s="492"/>
      <c r="CM1835" s="492"/>
      <c r="CN1835" s="492">
        <v>26.677</v>
      </c>
      <c r="CO1835" s="492">
        <v>53.353999999999999</v>
      </c>
      <c r="CP1835" s="492">
        <v>53.353999999999999</v>
      </c>
      <c r="CQ1835" s="492">
        <v>53.353999999999999</v>
      </c>
      <c r="CR1835" s="492">
        <v>53.353999999999999</v>
      </c>
      <c r="CS1835" s="492">
        <v>53.353999999999999</v>
      </c>
      <c r="CT1835" s="492">
        <v>53.353999999999999</v>
      </c>
      <c r="CU1835" s="492">
        <v>26.677</v>
      </c>
      <c r="CV1835" s="432"/>
      <c r="CW1835" s="432"/>
      <c r="CX1835" s="432"/>
      <c r="CY1835" s="432"/>
      <c r="CZ1835" s="432"/>
      <c r="DA1835" s="432"/>
      <c r="DB1835" s="432"/>
      <c r="DC1835" s="432"/>
      <c r="DD1835" s="432"/>
      <c r="DE1835" s="432"/>
      <c r="DF1835" s="432"/>
      <c r="DG1835" s="432"/>
      <c r="DH1835" s="432"/>
      <c r="DI1835" s="432"/>
      <c r="DJ1835" s="432"/>
      <c r="DK1835" s="897"/>
    </row>
    <row r="1836" spans="1:115" ht="38.25" x14ac:dyDescent="0.2">
      <c r="A1836" s="295">
        <v>1832</v>
      </c>
      <c r="B1836" s="448" t="s">
        <v>8992</v>
      </c>
      <c r="C1836" s="585" t="s">
        <v>8994</v>
      </c>
      <c r="D1836" s="590">
        <v>10415</v>
      </c>
      <c r="E1836" s="748" t="s">
        <v>8991</v>
      </c>
      <c r="F1836" s="561" t="s">
        <v>1352</v>
      </c>
      <c r="G1836" s="561" t="s">
        <v>1671</v>
      </c>
      <c r="H1836" s="562" t="s">
        <v>1357</v>
      </c>
      <c r="I1836" s="749"/>
      <c r="J1836" s="749" t="s">
        <v>1357</v>
      </c>
      <c r="K1836" s="749"/>
      <c r="L1836" s="749" t="s">
        <v>9005</v>
      </c>
      <c r="M1836" s="749" t="s">
        <v>9006</v>
      </c>
      <c r="N1836" s="428" t="s">
        <v>44</v>
      </c>
      <c r="O1836" s="688" t="s">
        <v>51</v>
      </c>
      <c r="P1836" s="688" t="s">
        <v>51</v>
      </c>
      <c r="Q1836" s="688" t="s">
        <v>976</v>
      </c>
      <c r="R1836" s="749"/>
      <c r="S1836" s="749" t="s">
        <v>977</v>
      </c>
      <c r="T1836" s="817">
        <v>1</v>
      </c>
      <c r="U1836" s="818">
        <v>25.515000000000001</v>
      </c>
      <c r="V1836" s="818"/>
      <c r="W1836" s="576">
        <v>42838</v>
      </c>
      <c r="X1836" s="751"/>
      <c r="Y1836" s="817"/>
      <c r="Z1836" s="750"/>
      <c r="AA1836" s="749"/>
      <c r="AB1836" s="578"/>
      <c r="AC1836" s="751">
        <v>0</v>
      </c>
      <c r="AD1836" s="751">
        <v>255.15</v>
      </c>
      <c r="AE1836" s="688" t="s">
        <v>82</v>
      </c>
      <c r="AF1836" s="752"/>
      <c r="AG1836" s="752"/>
      <c r="AH1836" s="752">
        <v>0</v>
      </c>
      <c r="AI1836" s="750"/>
      <c r="AJ1836" s="753"/>
      <c r="AK1836" s="753"/>
      <c r="AL1836" s="749"/>
      <c r="AM1836" s="749"/>
      <c r="AN1836" s="752"/>
      <c r="AO1836" s="749"/>
      <c r="AP1836" s="428" t="s">
        <v>55</v>
      </c>
      <c r="AQ1836" s="749"/>
      <c r="AR1836" s="749" t="s">
        <v>9005</v>
      </c>
      <c r="AS1836" s="578">
        <v>42838</v>
      </c>
      <c r="AT1836" s="754"/>
      <c r="AU1836" s="749"/>
      <c r="AV1836" s="749">
        <v>43060</v>
      </c>
      <c r="AW1836" s="749">
        <v>43278</v>
      </c>
      <c r="AX1836" s="749">
        <v>43312</v>
      </c>
      <c r="AY1836" s="753">
        <v>43340</v>
      </c>
      <c r="AZ1836" s="753"/>
      <c r="BA1836" s="754"/>
      <c r="BB1836" s="560" t="s">
        <v>3147</v>
      </c>
      <c r="BC1836" s="749" t="b">
        <v>0</v>
      </c>
      <c r="BD1836" s="560" t="s">
        <v>3147</v>
      </c>
      <c r="BE1836" s="749"/>
      <c r="BF1836" s="817">
        <v>8</v>
      </c>
      <c r="BG1836" s="817">
        <v>6</v>
      </c>
      <c r="BH1836" s="817">
        <v>5</v>
      </c>
      <c r="BI1836" s="817">
        <v>4</v>
      </c>
      <c r="BJ1836" s="750">
        <v>1</v>
      </c>
      <c r="BK1836" s="750"/>
      <c r="BL1836" s="874">
        <v>0</v>
      </c>
      <c r="BM1836" s="750"/>
      <c r="BN1836" s="749"/>
      <c r="BO1836" s="749"/>
      <c r="BP1836" s="749"/>
      <c r="BQ1836" s="749"/>
      <c r="BR1836" s="749"/>
      <c r="BS1836" s="751">
        <v>0</v>
      </c>
      <c r="BT1836" s="750"/>
      <c r="BU1836" s="752"/>
      <c r="BV1836" s="751"/>
      <c r="BW1836" s="428" t="s">
        <v>3117</v>
      </c>
      <c r="BX1836" s="560"/>
      <c r="BY1836" s="749"/>
      <c r="BZ1836" s="756"/>
      <c r="CA1836" s="756"/>
      <c r="CB1836" s="749"/>
      <c r="CC1836" s="749"/>
      <c r="CD1836" s="749"/>
      <c r="CE1836" s="749"/>
      <c r="CF1836" s="749"/>
      <c r="CG1836" s="749"/>
      <c r="CH1836" s="749"/>
      <c r="CI1836" s="749"/>
      <c r="CJ1836" s="749"/>
      <c r="CK1836" s="749"/>
      <c r="CL1836" s="755"/>
      <c r="CM1836" s="755"/>
      <c r="CN1836" s="755"/>
      <c r="CO1836" s="755"/>
      <c r="CP1836" s="755"/>
      <c r="CQ1836" s="755"/>
      <c r="CR1836" s="755"/>
      <c r="CS1836" s="755"/>
      <c r="CT1836" s="755"/>
      <c r="CU1836" s="755"/>
      <c r="CV1836" s="749"/>
      <c r="CW1836" s="749"/>
      <c r="CX1836" s="749"/>
      <c r="CY1836" s="749"/>
      <c r="CZ1836" s="749"/>
      <c r="DA1836" s="749"/>
      <c r="DB1836" s="749"/>
      <c r="DC1836" s="749"/>
      <c r="DD1836" s="749"/>
      <c r="DE1836" s="749"/>
      <c r="DF1836" s="749"/>
      <c r="DG1836" s="749"/>
      <c r="DH1836" s="749"/>
      <c r="DI1836" s="749"/>
      <c r="DJ1836" s="749"/>
      <c r="DK1836" s="896" t="s">
        <v>9698</v>
      </c>
    </row>
    <row r="1837" spans="1:115" ht="25.5" x14ac:dyDescent="0.2">
      <c r="A1837" s="295">
        <v>1833</v>
      </c>
      <c r="B1837" s="502" t="s">
        <v>8993</v>
      </c>
      <c r="C1837" s="585"/>
      <c r="D1837" s="827" t="s">
        <v>9653</v>
      </c>
      <c r="E1837" s="748" t="s">
        <v>8995</v>
      </c>
      <c r="F1837" s="561" t="s">
        <v>1352</v>
      </c>
      <c r="G1837" s="561" t="s">
        <v>1671</v>
      </c>
      <c r="H1837" s="562" t="s">
        <v>1357</v>
      </c>
      <c r="I1837" s="749"/>
      <c r="J1837" s="749"/>
      <c r="K1837" s="749" t="s">
        <v>1357</v>
      </c>
      <c r="L1837" s="749" t="s">
        <v>9005</v>
      </c>
      <c r="M1837" s="749"/>
      <c r="N1837" s="428" t="s">
        <v>44</v>
      </c>
      <c r="O1837" s="749" t="s">
        <v>51</v>
      </c>
      <c r="P1837" s="749" t="s">
        <v>51</v>
      </c>
      <c r="Q1837" s="749" t="s">
        <v>976</v>
      </c>
      <c r="R1837" s="749" t="s">
        <v>9007</v>
      </c>
      <c r="S1837" s="749" t="s">
        <v>977</v>
      </c>
      <c r="T1837" s="817">
        <v>1</v>
      </c>
      <c r="U1837" s="818">
        <v>25.515000000000001</v>
      </c>
      <c r="V1837" s="818"/>
      <c r="W1837" s="576"/>
      <c r="X1837" s="751"/>
      <c r="Y1837" s="817">
        <v>10</v>
      </c>
      <c r="Z1837" s="750"/>
      <c r="AA1837" s="749"/>
      <c r="AB1837" s="578">
        <v>43340</v>
      </c>
      <c r="AC1837" s="751"/>
      <c r="AD1837" s="751">
        <v>255.15</v>
      </c>
      <c r="AE1837" s="688" t="s">
        <v>82</v>
      </c>
      <c r="AF1837" s="752"/>
      <c r="AG1837" s="752"/>
      <c r="AH1837" s="752"/>
      <c r="AI1837" s="750"/>
      <c r="AJ1837" s="753"/>
      <c r="AK1837" s="753"/>
      <c r="AL1837" s="749"/>
      <c r="AM1837" s="749"/>
      <c r="AN1837" s="752"/>
      <c r="AO1837" s="749"/>
      <c r="AP1837" s="428" t="s">
        <v>55</v>
      </c>
      <c r="AQ1837" s="749"/>
      <c r="AR1837" s="749" t="s">
        <v>9005</v>
      </c>
      <c r="AS1837" s="578">
        <v>42838</v>
      </c>
      <c r="AT1837" s="754"/>
      <c r="AU1837" s="749"/>
      <c r="AV1837" s="749"/>
      <c r="AW1837" s="749"/>
      <c r="AX1837" s="749"/>
      <c r="AY1837" s="753"/>
      <c r="AZ1837" s="753">
        <v>43340</v>
      </c>
      <c r="BA1837" s="754"/>
      <c r="BB1837" s="560"/>
      <c r="BC1837" s="749" t="b">
        <v>0</v>
      </c>
      <c r="BD1837" s="560"/>
      <c r="BE1837" s="749"/>
      <c r="BF1837" s="817">
        <v>8</v>
      </c>
      <c r="BG1837" s="817">
        <v>6</v>
      </c>
      <c r="BH1837" s="817">
        <v>5</v>
      </c>
      <c r="BI1837" s="817">
        <v>4</v>
      </c>
      <c r="BJ1837" s="750">
        <v>1</v>
      </c>
      <c r="BK1837" s="750"/>
      <c r="BL1837" s="874">
        <v>0</v>
      </c>
      <c r="BM1837" s="750"/>
      <c r="BN1837" s="749"/>
      <c r="BO1837" s="749"/>
      <c r="BP1837" s="749"/>
      <c r="BQ1837" s="749"/>
      <c r="BR1837" s="749"/>
      <c r="BS1837" s="751">
        <v>0</v>
      </c>
      <c r="BT1837" s="750"/>
      <c r="BU1837" s="752"/>
      <c r="BV1837" s="751"/>
      <c r="BW1837" s="428" t="s">
        <v>3117</v>
      </c>
      <c r="BX1837" s="560"/>
      <c r="BY1837" s="749"/>
      <c r="BZ1837" s="756"/>
      <c r="CA1837" s="756"/>
      <c r="CB1837" s="749"/>
      <c r="CC1837" s="749"/>
      <c r="CD1837" s="749"/>
      <c r="CE1837" s="749"/>
      <c r="CF1837" s="749"/>
      <c r="CG1837" s="749"/>
      <c r="CH1837" s="749"/>
      <c r="CI1837" s="749"/>
      <c r="CJ1837" s="749"/>
      <c r="CK1837" s="749"/>
      <c r="CL1837" s="755"/>
      <c r="CM1837" s="755"/>
      <c r="CN1837" s="755">
        <v>4.9450000000000003</v>
      </c>
      <c r="CO1837" s="755">
        <v>11.868</v>
      </c>
      <c r="CP1837" s="755">
        <v>20.768000000000001</v>
      </c>
      <c r="CQ1837" s="755">
        <v>27.690999999999999</v>
      </c>
      <c r="CR1837" s="755">
        <v>31.646999999999998</v>
      </c>
      <c r="CS1837" s="755">
        <v>31.646999999999998</v>
      </c>
      <c r="CT1837" s="755">
        <v>31.646999999999998</v>
      </c>
      <c r="CU1837" s="755">
        <v>31.646999999999998</v>
      </c>
      <c r="CV1837" s="755">
        <v>31.646999999999998</v>
      </c>
      <c r="CW1837" s="755">
        <v>31.646999999999998</v>
      </c>
      <c r="CX1837" s="755">
        <v>25.515000000000001</v>
      </c>
      <c r="CY1837" s="749"/>
      <c r="CZ1837" s="749"/>
      <c r="DA1837" s="749"/>
      <c r="DB1837" s="749"/>
      <c r="DC1837" s="749"/>
      <c r="DD1837" s="749"/>
      <c r="DE1837" s="749"/>
      <c r="DF1837" s="749"/>
      <c r="DG1837" s="749"/>
      <c r="DH1837" s="749"/>
      <c r="DI1837" s="749"/>
      <c r="DJ1837" s="749"/>
      <c r="DK1837" s="897"/>
    </row>
    <row r="1838" spans="1:115" ht="68.25" customHeight="1" x14ac:dyDescent="0.2">
      <c r="A1838" s="295">
        <v>1834</v>
      </c>
      <c r="B1838" s="448" t="s">
        <v>9020</v>
      </c>
      <c r="C1838" s="585" t="s">
        <v>9022</v>
      </c>
      <c r="D1838" s="590">
        <v>10430</v>
      </c>
      <c r="E1838" s="748" t="s">
        <v>9023</v>
      </c>
      <c r="F1838" s="561" t="s">
        <v>1375</v>
      </c>
      <c r="G1838" s="561" t="s">
        <v>1670</v>
      </c>
      <c r="H1838" s="562" t="s">
        <v>1008</v>
      </c>
      <c r="I1838" s="749"/>
      <c r="J1838" s="749" t="s">
        <v>1008</v>
      </c>
      <c r="K1838" s="749"/>
      <c r="L1838" s="749" t="s">
        <v>9063</v>
      </c>
      <c r="M1838" s="749" t="s">
        <v>9026</v>
      </c>
      <c r="N1838" s="428" t="s">
        <v>44</v>
      </c>
      <c r="O1838" s="749" t="s">
        <v>51</v>
      </c>
      <c r="P1838" s="749" t="s">
        <v>51</v>
      </c>
      <c r="Q1838" s="749" t="s">
        <v>976</v>
      </c>
      <c r="R1838" s="749"/>
      <c r="S1838" s="688" t="s">
        <v>977</v>
      </c>
      <c r="T1838" s="817">
        <v>1</v>
      </c>
      <c r="U1838" s="828">
        <v>9.9990000000000006</v>
      </c>
      <c r="V1838" s="818"/>
      <c r="W1838" s="576">
        <v>42851</v>
      </c>
      <c r="X1838" s="751"/>
      <c r="Y1838" s="817"/>
      <c r="Z1838" s="750"/>
      <c r="AA1838" s="749"/>
      <c r="AB1838" s="578"/>
      <c r="AC1838" s="751">
        <v>0</v>
      </c>
      <c r="AD1838" s="751">
        <v>25.887821917808221</v>
      </c>
      <c r="AE1838" s="749" t="s">
        <v>7418</v>
      </c>
      <c r="AF1838" s="752"/>
      <c r="AG1838" s="752"/>
      <c r="AH1838" s="752">
        <v>0</v>
      </c>
      <c r="AI1838" s="750"/>
      <c r="AJ1838" s="753"/>
      <c r="AK1838" s="753"/>
      <c r="AL1838" s="749"/>
      <c r="AM1838" s="749"/>
      <c r="AN1838" s="752"/>
      <c r="AO1838" s="749"/>
      <c r="AP1838" s="428" t="s">
        <v>55</v>
      </c>
      <c r="AQ1838" s="749"/>
      <c r="AR1838" s="749" t="s">
        <v>9063</v>
      </c>
      <c r="AS1838" s="578">
        <v>42916</v>
      </c>
      <c r="AT1838" s="754"/>
      <c r="AU1838" s="749"/>
      <c r="AV1838" s="749">
        <v>43087</v>
      </c>
      <c r="AW1838" s="749">
        <v>43357</v>
      </c>
      <c r="AX1838" s="749">
        <v>43365</v>
      </c>
      <c r="AY1838" s="753"/>
      <c r="AZ1838" s="753"/>
      <c r="BA1838" s="754"/>
      <c r="BB1838" s="560" t="s">
        <v>3116</v>
      </c>
      <c r="BC1838" s="749" t="b">
        <v>0</v>
      </c>
      <c r="BD1838" s="560" t="s">
        <v>3116</v>
      </c>
      <c r="BE1838" s="749"/>
      <c r="BF1838" s="817">
        <v>6</v>
      </c>
      <c r="BG1838" s="817">
        <v>10</v>
      </c>
      <c r="BH1838" s="817">
        <v>9</v>
      </c>
      <c r="BI1838" s="817">
        <v>2</v>
      </c>
      <c r="BJ1838" s="750"/>
      <c r="BK1838" s="750"/>
      <c r="BL1838" s="874">
        <v>0</v>
      </c>
      <c r="BM1838" s="750"/>
      <c r="BN1838" s="749"/>
      <c r="BO1838" s="749"/>
      <c r="BP1838" s="749"/>
      <c r="BQ1838" s="749"/>
      <c r="BR1838" s="749"/>
      <c r="BS1838" s="751">
        <v>0</v>
      </c>
      <c r="BT1838" s="750"/>
      <c r="BU1838" s="752"/>
      <c r="BV1838" s="751"/>
      <c r="BW1838" s="560" t="s">
        <v>3117</v>
      </c>
      <c r="BX1838" s="560"/>
      <c r="BY1838" s="749"/>
      <c r="BZ1838" s="756"/>
      <c r="CA1838" s="756"/>
      <c r="CB1838" s="749"/>
      <c r="CC1838" s="749"/>
      <c r="CD1838" s="749"/>
      <c r="CE1838" s="749"/>
      <c r="CF1838" s="749"/>
      <c r="CG1838" s="749"/>
      <c r="CH1838" s="749"/>
      <c r="CI1838" s="749"/>
      <c r="CJ1838" s="749"/>
      <c r="CK1838" s="749"/>
      <c r="CL1838" s="755"/>
      <c r="CM1838" s="755"/>
      <c r="CN1838" s="755"/>
      <c r="CO1838" s="755"/>
      <c r="CP1838" s="755"/>
      <c r="CQ1838" s="755"/>
      <c r="CR1838" s="755"/>
      <c r="CS1838" s="755"/>
      <c r="CT1838" s="755"/>
      <c r="CU1838" s="755"/>
      <c r="CV1838" s="755"/>
      <c r="CW1838" s="755"/>
      <c r="CX1838" s="755"/>
      <c r="CY1838" s="749"/>
      <c r="CZ1838" s="749"/>
      <c r="DA1838" s="749"/>
      <c r="DB1838" s="749"/>
      <c r="DC1838" s="749"/>
      <c r="DD1838" s="749"/>
      <c r="DE1838" s="749"/>
      <c r="DF1838" s="749"/>
      <c r="DG1838" s="749"/>
      <c r="DH1838" s="749"/>
      <c r="DI1838" s="749"/>
      <c r="DJ1838" s="749"/>
      <c r="DK1838" s="896" t="s">
        <v>9834</v>
      </c>
    </row>
    <row r="1839" spans="1:115" ht="30" customHeight="1" x14ac:dyDescent="0.2">
      <c r="A1839" s="295">
        <v>1835</v>
      </c>
      <c r="B1839" s="502" t="s">
        <v>9021</v>
      </c>
      <c r="C1839" s="585"/>
      <c r="D1839" s="827" t="s">
        <v>9762</v>
      </c>
      <c r="E1839" s="748" t="s">
        <v>9024</v>
      </c>
      <c r="F1839" s="561" t="s">
        <v>1375</v>
      </c>
      <c r="G1839" s="561" t="s">
        <v>1670</v>
      </c>
      <c r="H1839" s="562" t="s">
        <v>1008</v>
      </c>
      <c r="I1839" s="749"/>
      <c r="J1839" s="749"/>
      <c r="K1839" s="749" t="s">
        <v>9025</v>
      </c>
      <c r="L1839" s="749" t="s">
        <v>9063</v>
      </c>
      <c r="M1839" s="749"/>
      <c r="N1839" s="428" t="s">
        <v>44</v>
      </c>
      <c r="O1839" s="749" t="s">
        <v>51</v>
      </c>
      <c r="P1839" s="749" t="s">
        <v>51</v>
      </c>
      <c r="Q1839" s="749" t="s">
        <v>976</v>
      </c>
      <c r="R1839" s="749" t="s">
        <v>9027</v>
      </c>
      <c r="S1839" s="749" t="s">
        <v>977</v>
      </c>
      <c r="T1839" s="817">
        <v>1</v>
      </c>
      <c r="U1839" s="828">
        <v>9.9990000000000006</v>
      </c>
      <c r="V1839" s="818"/>
      <c r="W1839" s="576"/>
      <c r="X1839" s="751"/>
      <c r="Y1839" s="817">
        <v>7</v>
      </c>
      <c r="Z1839" s="750">
        <v>21</v>
      </c>
      <c r="AA1839" s="749"/>
      <c r="AB1839" s="578">
        <v>43251</v>
      </c>
      <c r="AC1839" s="751"/>
      <c r="AD1839" s="751">
        <v>25.887821917808221</v>
      </c>
      <c r="AE1839" s="749" t="s">
        <v>7418</v>
      </c>
      <c r="AF1839" s="752"/>
      <c r="AG1839" s="752"/>
      <c r="AH1839" s="752"/>
      <c r="AI1839" s="750"/>
      <c r="AJ1839" s="753"/>
      <c r="AK1839" s="753"/>
      <c r="AL1839" s="749"/>
      <c r="AM1839" s="749"/>
      <c r="AN1839" s="752"/>
      <c r="AO1839" s="749"/>
      <c r="AP1839" s="428" t="s">
        <v>55</v>
      </c>
      <c r="AQ1839" s="749"/>
      <c r="AR1839" s="749" t="s">
        <v>9063</v>
      </c>
      <c r="AS1839" s="578">
        <v>42916</v>
      </c>
      <c r="AT1839" s="754"/>
      <c r="AU1839" s="749"/>
      <c r="AV1839" s="749"/>
      <c r="AW1839" s="749"/>
      <c r="AX1839" s="749"/>
      <c r="AY1839" s="753"/>
      <c r="AZ1839" s="753"/>
      <c r="BA1839" s="754"/>
      <c r="BB1839" s="560"/>
      <c r="BC1839" s="749" t="b">
        <v>0</v>
      </c>
      <c r="BD1839" s="560"/>
      <c r="BE1839" s="749"/>
      <c r="BF1839" s="817">
        <v>6</v>
      </c>
      <c r="BG1839" s="817">
        <v>10</v>
      </c>
      <c r="BH1839" s="817">
        <v>9</v>
      </c>
      <c r="BI1839" s="817">
        <v>2</v>
      </c>
      <c r="BJ1839" s="750"/>
      <c r="BK1839" s="750"/>
      <c r="BL1839" s="874">
        <v>0</v>
      </c>
      <c r="BM1839" s="750"/>
      <c r="BN1839" s="749"/>
      <c r="BO1839" s="749"/>
      <c r="BP1839" s="749"/>
      <c r="BQ1839" s="749"/>
      <c r="BR1839" s="749"/>
      <c r="BS1839" s="751"/>
      <c r="BT1839" s="750"/>
      <c r="BU1839" s="752"/>
      <c r="BV1839" s="751"/>
      <c r="BW1839" s="560" t="s">
        <v>3117</v>
      </c>
      <c r="BX1839" s="560"/>
      <c r="BY1839" s="749"/>
      <c r="BZ1839" s="756"/>
      <c r="CA1839" s="756"/>
      <c r="CB1839" s="749"/>
      <c r="CC1839" s="749"/>
      <c r="CD1839" s="749"/>
      <c r="CE1839" s="749"/>
      <c r="CF1839" s="749"/>
      <c r="CG1839" s="749"/>
      <c r="CH1839" s="749"/>
      <c r="CI1839" s="749"/>
      <c r="CJ1839" s="749"/>
      <c r="CK1839" s="749"/>
      <c r="CL1839" s="755"/>
      <c r="CM1839" s="755"/>
      <c r="CN1839" s="755">
        <v>8.9309999999999992</v>
      </c>
      <c r="CO1839" s="755">
        <v>12.154999999999999</v>
      </c>
      <c r="CP1839" s="755">
        <v>11.397</v>
      </c>
      <c r="CQ1839" s="755">
        <v>7.6429999999999998</v>
      </c>
      <c r="CR1839" s="755">
        <v>4.851</v>
      </c>
      <c r="CS1839" s="755">
        <v>12.861000000000001</v>
      </c>
      <c r="CT1839" s="755">
        <v>12.154999999999999</v>
      </c>
      <c r="CU1839" s="755"/>
      <c r="CV1839" s="755"/>
      <c r="CW1839" s="755"/>
      <c r="CX1839" s="755"/>
      <c r="CY1839" s="749"/>
      <c r="CZ1839" s="749"/>
      <c r="DA1839" s="749"/>
      <c r="DB1839" s="749"/>
      <c r="DC1839" s="749"/>
      <c r="DD1839" s="749"/>
      <c r="DE1839" s="749"/>
      <c r="DF1839" s="749"/>
      <c r="DG1839" s="749"/>
      <c r="DH1839" s="749"/>
      <c r="DI1839" s="749"/>
      <c r="DJ1839" s="749"/>
      <c r="DK1839" s="897"/>
    </row>
    <row r="1840" spans="1:115" ht="76.5" x14ac:dyDescent="0.2">
      <c r="A1840" s="295">
        <v>1836</v>
      </c>
      <c r="B1840" s="448" t="s">
        <v>9074</v>
      </c>
      <c r="C1840" s="585" t="s">
        <v>9076</v>
      </c>
      <c r="D1840" s="585"/>
      <c r="E1840" s="714" t="s">
        <v>9077</v>
      </c>
      <c r="F1840" s="577" t="s">
        <v>1340</v>
      </c>
      <c r="G1840" s="577" t="s">
        <v>1677</v>
      </c>
      <c r="H1840" s="577" t="s">
        <v>667</v>
      </c>
      <c r="I1840" s="584"/>
      <c r="J1840" s="584" t="s">
        <v>667</v>
      </c>
      <c r="K1840" s="584"/>
      <c r="L1840" s="585" t="s">
        <v>9080</v>
      </c>
      <c r="M1840" s="585" t="s">
        <v>9081</v>
      </c>
      <c r="N1840" s="586" t="s">
        <v>33</v>
      </c>
      <c r="O1840" s="448" t="s">
        <v>5491</v>
      </c>
      <c r="P1840" s="448" t="s">
        <v>5491</v>
      </c>
      <c r="Q1840" s="448" t="s">
        <v>1835</v>
      </c>
      <c r="R1840" s="585"/>
      <c r="S1840" s="584" t="s">
        <v>650</v>
      </c>
      <c r="T1840" s="587">
        <v>1</v>
      </c>
      <c r="U1840" s="775">
        <v>51.746000000000002</v>
      </c>
      <c r="V1840" s="588"/>
      <c r="W1840" s="727">
        <v>42326</v>
      </c>
      <c r="X1840" s="589"/>
      <c r="Y1840" s="587"/>
      <c r="Z1840" s="590"/>
      <c r="AA1840" s="585"/>
      <c r="AB1840" s="591"/>
      <c r="AC1840" s="589">
        <v>0</v>
      </c>
      <c r="AD1840" s="589">
        <v>155.238</v>
      </c>
      <c r="AE1840" s="402" t="s">
        <v>47</v>
      </c>
      <c r="AF1840" s="592"/>
      <c r="AG1840" s="592"/>
      <c r="AH1840" s="592">
        <v>0</v>
      </c>
      <c r="AI1840" s="590"/>
      <c r="AJ1840" s="593"/>
      <c r="AK1840" s="593"/>
      <c r="AL1840" s="585"/>
      <c r="AM1840" s="585"/>
      <c r="AN1840" s="592"/>
      <c r="AO1840" s="585"/>
      <c r="AP1840" s="448" t="s">
        <v>55</v>
      </c>
      <c r="AQ1840" s="585"/>
      <c r="AR1840" s="585" t="s">
        <v>9083</v>
      </c>
      <c r="AS1840" s="728">
        <v>42935</v>
      </c>
      <c r="AT1840" s="594"/>
      <c r="AU1840" s="585"/>
      <c r="AV1840" s="585"/>
      <c r="AW1840" s="585"/>
      <c r="AX1840" s="585"/>
      <c r="AY1840" s="593"/>
      <c r="AZ1840" s="593"/>
      <c r="BA1840" s="594"/>
      <c r="BB1840" s="586" t="s">
        <v>3147</v>
      </c>
      <c r="BC1840" s="585" t="b">
        <v>0</v>
      </c>
      <c r="BD1840" s="586" t="s">
        <v>3116</v>
      </c>
      <c r="BE1840" s="585"/>
      <c r="BF1840" s="789">
        <v>10</v>
      </c>
      <c r="BG1840" s="789">
        <v>1</v>
      </c>
      <c r="BH1840" s="789">
        <v>5</v>
      </c>
      <c r="BI1840" s="789">
        <v>11</v>
      </c>
      <c r="BJ1840" s="790"/>
      <c r="BK1840" s="790"/>
      <c r="BL1840" s="793">
        <v>3</v>
      </c>
      <c r="BM1840" s="590"/>
      <c r="BN1840" s="585"/>
      <c r="BO1840" s="585"/>
      <c r="BP1840" s="585"/>
      <c r="BQ1840" s="585"/>
      <c r="BR1840" s="585"/>
      <c r="BS1840" s="589">
        <v>40</v>
      </c>
      <c r="BT1840" s="590"/>
      <c r="BU1840" s="592"/>
      <c r="BV1840" s="589"/>
      <c r="BW1840" s="448" t="s">
        <v>3117</v>
      </c>
      <c r="BX1840" s="586"/>
      <c r="BY1840" s="585"/>
      <c r="BZ1840" s="595"/>
      <c r="CA1840" s="595"/>
      <c r="CB1840" s="585"/>
      <c r="CC1840" s="585"/>
      <c r="CD1840" s="585"/>
      <c r="CE1840" s="585"/>
      <c r="CF1840" s="585"/>
      <c r="CG1840" s="585"/>
      <c r="CH1840" s="585"/>
      <c r="CI1840" s="585"/>
      <c r="CJ1840" s="585"/>
      <c r="CK1840" s="585"/>
      <c r="CL1840" s="596"/>
      <c r="CM1840" s="596"/>
      <c r="CN1840" s="596"/>
      <c r="CO1840" s="596"/>
      <c r="CP1840" s="596"/>
      <c r="CQ1840" s="596"/>
      <c r="CR1840" s="596"/>
      <c r="CS1840" s="596"/>
      <c r="CT1840" s="596"/>
      <c r="CU1840" s="596"/>
      <c r="CV1840" s="596"/>
      <c r="CW1840" s="596"/>
      <c r="CX1840" s="596"/>
      <c r="CY1840" s="585"/>
      <c r="CZ1840" s="585"/>
      <c r="DA1840" s="585"/>
      <c r="DB1840" s="585"/>
      <c r="DC1840" s="585"/>
      <c r="DD1840" s="585"/>
      <c r="DE1840" s="585"/>
      <c r="DF1840" s="585"/>
      <c r="DG1840" s="585"/>
      <c r="DH1840" s="585"/>
      <c r="DI1840" s="585"/>
      <c r="DJ1840" s="585"/>
      <c r="DK1840" s="897"/>
    </row>
    <row r="1841" spans="1:126" ht="25.5" x14ac:dyDescent="0.2">
      <c r="A1841" s="295">
        <v>1837</v>
      </c>
      <c r="B1841" s="502" t="s">
        <v>9075</v>
      </c>
      <c r="C1841" s="585"/>
      <c r="D1841" s="585"/>
      <c r="E1841" s="714" t="s">
        <v>9078</v>
      </c>
      <c r="F1841" s="577" t="s">
        <v>1340</v>
      </c>
      <c r="G1841" s="577" t="s">
        <v>1677</v>
      </c>
      <c r="H1841" s="577" t="s">
        <v>667</v>
      </c>
      <c r="I1841" s="584"/>
      <c r="J1841" s="584"/>
      <c r="K1841" s="584" t="s">
        <v>9079</v>
      </c>
      <c r="L1841" s="585" t="s">
        <v>9080</v>
      </c>
      <c r="M1841" s="585"/>
      <c r="N1841" s="586" t="s">
        <v>33</v>
      </c>
      <c r="O1841" s="586" t="s">
        <v>5491</v>
      </c>
      <c r="P1841" s="586" t="s">
        <v>5491</v>
      </c>
      <c r="Q1841" s="586" t="s">
        <v>1835</v>
      </c>
      <c r="R1841" s="585" t="s">
        <v>9082</v>
      </c>
      <c r="S1841" s="584" t="s">
        <v>650</v>
      </c>
      <c r="T1841" s="587">
        <v>1</v>
      </c>
      <c r="U1841" s="775">
        <v>51.746000000000002</v>
      </c>
      <c r="V1841" s="588"/>
      <c r="W1841" s="727"/>
      <c r="X1841" s="589"/>
      <c r="Y1841" s="587">
        <v>7</v>
      </c>
      <c r="Z1841" s="590">
        <v>30</v>
      </c>
      <c r="AA1841" s="585"/>
      <c r="AB1841" s="591">
        <v>43101</v>
      </c>
      <c r="AC1841" s="589"/>
      <c r="AD1841" s="589">
        <v>155.238</v>
      </c>
      <c r="AE1841" s="402" t="s">
        <v>47</v>
      </c>
      <c r="AF1841" s="592"/>
      <c r="AG1841" s="592"/>
      <c r="AH1841" s="592"/>
      <c r="AI1841" s="590"/>
      <c r="AJ1841" s="593"/>
      <c r="AK1841" s="593"/>
      <c r="AL1841" s="585"/>
      <c r="AM1841" s="585"/>
      <c r="AN1841" s="592"/>
      <c r="AO1841" s="585"/>
      <c r="AP1841" s="448" t="s">
        <v>55</v>
      </c>
      <c r="AQ1841" s="585"/>
      <c r="AR1841" s="585" t="s">
        <v>9083</v>
      </c>
      <c r="AS1841" s="728">
        <v>42935</v>
      </c>
      <c r="AT1841" s="594"/>
      <c r="AU1841" s="585"/>
      <c r="AV1841" s="585"/>
      <c r="AW1841" s="585"/>
      <c r="AX1841" s="585"/>
      <c r="AY1841" s="593"/>
      <c r="AZ1841" s="593"/>
      <c r="BA1841" s="594"/>
      <c r="BB1841" s="586"/>
      <c r="BC1841" s="585" t="b">
        <v>0</v>
      </c>
      <c r="BD1841" s="586"/>
      <c r="BE1841" s="585"/>
      <c r="BF1841" s="789">
        <v>10</v>
      </c>
      <c r="BG1841" s="789">
        <v>1</v>
      </c>
      <c r="BH1841" s="789">
        <v>5</v>
      </c>
      <c r="BI1841" s="789">
        <v>11</v>
      </c>
      <c r="BJ1841" s="790"/>
      <c r="BK1841" s="790"/>
      <c r="BL1841" s="793">
        <v>3</v>
      </c>
      <c r="BM1841" s="590"/>
      <c r="BN1841" s="585"/>
      <c r="BO1841" s="585"/>
      <c r="BP1841" s="585"/>
      <c r="BQ1841" s="585"/>
      <c r="BR1841" s="585"/>
      <c r="BS1841" s="589">
        <v>40</v>
      </c>
      <c r="BT1841" s="590">
        <v>108404</v>
      </c>
      <c r="BU1841" s="592">
        <v>0.45639999999999997</v>
      </c>
      <c r="BV1841" s="589"/>
      <c r="BW1841" s="448" t="s">
        <v>3117</v>
      </c>
      <c r="BX1841" s="586"/>
      <c r="BY1841" s="585"/>
      <c r="BZ1841" s="595"/>
      <c r="CA1841" s="595"/>
      <c r="CB1841" s="585"/>
      <c r="CC1841" s="585"/>
      <c r="CD1841" s="585"/>
      <c r="CE1841" s="585"/>
      <c r="CF1841" s="585"/>
      <c r="CG1841" s="585"/>
      <c r="CH1841" s="585"/>
      <c r="CI1841" s="585"/>
      <c r="CJ1841" s="585"/>
      <c r="CK1841" s="585"/>
      <c r="CL1841" s="596"/>
      <c r="CM1841" s="596"/>
      <c r="CN1841" s="596">
        <v>52.448999999999998</v>
      </c>
      <c r="CO1841" s="596">
        <v>52.448999999999998</v>
      </c>
      <c r="CP1841" s="596">
        <v>52.448999999999998</v>
      </c>
      <c r="CQ1841" s="596">
        <v>52.448999999999998</v>
      </c>
      <c r="CR1841" s="596">
        <v>52.448999999999998</v>
      </c>
      <c r="CS1841" s="596">
        <v>52.448999999999998</v>
      </c>
      <c r="CT1841" s="596">
        <v>52.448999999999998</v>
      </c>
      <c r="CU1841" s="596"/>
      <c r="CV1841" s="596"/>
      <c r="CW1841" s="596"/>
      <c r="CX1841" s="596"/>
      <c r="CY1841" s="585"/>
      <c r="CZ1841" s="585"/>
      <c r="DA1841" s="585"/>
      <c r="DB1841" s="585"/>
      <c r="DC1841" s="585"/>
      <c r="DD1841" s="585"/>
      <c r="DE1841" s="585"/>
      <c r="DF1841" s="585"/>
      <c r="DG1841" s="585"/>
      <c r="DH1841" s="585"/>
      <c r="DI1841" s="585"/>
      <c r="DJ1841" s="585"/>
      <c r="DK1841" s="897"/>
    </row>
    <row r="1842" spans="1:126" ht="51" x14ac:dyDescent="0.2">
      <c r="A1842" s="295">
        <v>1838</v>
      </c>
      <c r="B1842" s="448" t="s">
        <v>9086</v>
      </c>
      <c r="C1842" s="585" t="s">
        <v>9088</v>
      </c>
      <c r="D1842" s="585"/>
      <c r="E1842" s="714" t="s">
        <v>9084</v>
      </c>
      <c r="F1842" s="390" t="s">
        <v>1375</v>
      </c>
      <c r="G1842" s="390" t="s">
        <v>7340</v>
      </c>
      <c r="H1842" s="577" t="s">
        <v>504</v>
      </c>
      <c r="I1842" s="584"/>
      <c r="J1842" s="794" t="s">
        <v>9092</v>
      </c>
      <c r="K1842" s="584"/>
      <c r="L1842" s="585" t="s">
        <v>9089</v>
      </c>
      <c r="M1842" s="585" t="s">
        <v>9090</v>
      </c>
      <c r="N1842" s="448" t="s">
        <v>33</v>
      </c>
      <c r="O1842" s="774" t="s">
        <v>51</v>
      </c>
      <c r="P1842" s="774" t="s">
        <v>51</v>
      </c>
      <c r="Q1842" s="774" t="s">
        <v>976</v>
      </c>
      <c r="R1842" s="585"/>
      <c r="S1842" s="584" t="s">
        <v>8232</v>
      </c>
      <c r="T1842" s="587">
        <v>1</v>
      </c>
      <c r="U1842" s="775">
        <v>39.768000000000001</v>
      </c>
      <c r="V1842" s="588"/>
      <c r="W1842" s="727"/>
      <c r="X1842" s="589"/>
      <c r="Y1842" s="587"/>
      <c r="Z1842" s="590"/>
      <c r="AA1842" s="585"/>
      <c r="AB1842" s="591"/>
      <c r="AC1842" s="589">
        <v>0</v>
      </c>
      <c r="AD1842" s="589">
        <v>135.97387397260275</v>
      </c>
      <c r="AE1842" s="586" t="s">
        <v>72</v>
      </c>
      <c r="AF1842" s="592"/>
      <c r="AG1842" s="592"/>
      <c r="AH1842" s="592">
        <v>0</v>
      </c>
      <c r="AI1842" s="590"/>
      <c r="AJ1842" s="593"/>
      <c r="AK1842" s="593"/>
      <c r="AL1842" s="585"/>
      <c r="AM1842" s="585"/>
      <c r="AN1842" s="592"/>
      <c r="AO1842" s="585"/>
      <c r="AP1842" s="448" t="s">
        <v>55</v>
      </c>
      <c r="AQ1842" s="585"/>
      <c r="AR1842" s="585" t="s">
        <v>8964</v>
      </c>
      <c r="AS1842" s="728">
        <v>42953</v>
      </c>
      <c r="AT1842" s="594"/>
      <c r="AU1842" s="585"/>
      <c r="AV1842" s="585"/>
      <c r="AW1842" s="585"/>
      <c r="AX1842" s="585"/>
      <c r="AY1842" s="593"/>
      <c r="AZ1842" s="593"/>
      <c r="BA1842" s="594"/>
      <c r="BB1842" s="586" t="s">
        <v>3116</v>
      </c>
      <c r="BC1842" s="585" t="b">
        <v>0</v>
      </c>
      <c r="BD1842" s="586" t="s">
        <v>3116</v>
      </c>
      <c r="BE1842" s="585"/>
      <c r="BF1842" s="850">
        <v>1</v>
      </c>
      <c r="BG1842" s="850">
        <v>6</v>
      </c>
      <c r="BH1842" s="850">
        <v>5</v>
      </c>
      <c r="BI1842" s="850">
        <v>8</v>
      </c>
      <c r="BJ1842" s="861">
        <v>10</v>
      </c>
      <c r="BK1842" s="861"/>
      <c r="BL1842" s="776">
        <v>3</v>
      </c>
      <c r="BM1842" s="590"/>
      <c r="BN1842" s="585"/>
      <c r="BO1842" s="585"/>
      <c r="BP1842" s="585"/>
      <c r="BQ1842" s="585"/>
      <c r="BR1842" s="585"/>
      <c r="BS1842" s="589">
        <v>0</v>
      </c>
      <c r="BT1842" s="590"/>
      <c r="BU1842" s="592"/>
      <c r="BV1842" s="589"/>
      <c r="BW1842" s="448" t="s">
        <v>3117</v>
      </c>
      <c r="BX1842" s="586"/>
      <c r="BY1842" s="585"/>
      <c r="BZ1842" s="595"/>
      <c r="CA1842" s="595"/>
      <c r="CB1842" s="585"/>
      <c r="CC1842" s="585"/>
      <c r="CD1842" s="585"/>
      <c r="CE1842" s="585"/>
      <c r="CF1842" s="585"/>
      <c r="CG1842" s="585"/>
      <c r="CH1842" s="585"/>
      <c r="CI1842" s="585"/>
      <c r="CJ1842" s="585"/>
      <c r="CK1842" s="585"/>
      <c r="CL1842" s="596"/>
      <c r="CM1842" s="596"/>
      <c r="CN1842" s="596"/>
      <c r="CO1842" s="596"/>
      <c r="CP1842" s="596"/>
      <c r="CQ1842" s="596"/>
      <c r="CR1842" s="596"/>
      <c r="CS1842" s="596"/>
      <c r="CT1842" s="596"/>
      <c r="CU1842" s="596"/>
      <c r="CV1842" s="596"/>
      <c r="CW1842" s="596"/>
      <c r="CX1842" s="596"/>
      <c r="CY1842" s="585"/>
      <c r="CZ1842" s="585"/>
      <c r="DA1842" s="585"/>
      <c r="DB1842" s="585"/>
      <c r="DC1842" s="585"/>
      <c r="DD1842" s="585"/>
      <c r="DE1842" s="585"/>
      <c r="DF1842" s="585"/>
      <c r="DG1842" s="585"/>
      <c r="DH1842" s="585"/>
      <c r="DI1842" s="585"/>
      <c r="DJ1842" s="585"/>
      <c r="DK1842" s="897"/>
    </row>
    <row r="1843" spans="1:126" ht="76.5" x14ac:dyDescent="0.2">
      <c r="A1843" s="295">
        <v>1839</v>
      </c>
      <c r="B1843" s="502" t="s">
        <v>9085</v>
      </c>
      <c r="C1843" s="585"/>
      <c r="D1843" s="585"/>
      <c r="E1843" s="714" t="s">
        <v>9087</v>
      </c>
      <c r="F1843" s="390" t="s">
        <v>1375</v>
      </c>
      <c r="G1843" s="390" t="s">
        <v>7340</v>
      </c>
      <c r="H1843" s="577" t="s">
        <v>504</v>
      </c>
      <c r="I1843" s="584"/>
      <c r="J1843" s="584"/>
      <c r="K1843" s="577" t="s">
        <v>504</v>
      </c>
      <c r="L1843" s="585" t="s">
        <v>9089</v>
      </c>
      <c r="M1843" s="585"/>
      <c r="N1843" s="448" t="s">
        <v>33</v>
      </c>
      <c r="O1843" s="774" t="s">
        <v>51</v>
      </c>
      <c r="P1843" s="774" t="s">
        <v>51</v>
      </c>
      <c r="Q1843" s="774" t="s">
        <v>976</v>
      </c>
      <c r="R1843" s="585" t="s">
        <v>9091</v>
      </c>
      <c r="S1843" s="584" t="s">
        <v>8232</v>
      </c>
      <c r="T1843" s="587">
        <v>1</v>
      </c>
      <c r="U1843" s="775">
        <v>39.768000000000001</v>
      </c>
      <c r="V1843" s="588"/>
      <c r="W1843" s="727"/>
      <c r="X1843" s="589"/>
      <c r="Y1843" s="587">
        <v>7</v>
      </c>
      <c r="Z1843" s="590">
        <v>21</v>
      </c>
      <c r="AA1843" s="585"/>
      <c r="AB1843" s="591">
        <v>42948</v>
      </c>
      <c r="AC1843" s="589"/>
      <c r="AD1843" s="589">
        <v>135.97387397260275</v>
      </c>
      <c r="AE1843" s="586" t="s">
        <v>72</v>
      </c>
      <c r="AF1843" s="592"/>
      <c r="AG1843" s="592"/>
      <c r="AH1843" s="592"/>
      <c r="AI1843" s="590"/>
      <c r="AJ1843" s="593"/>
      <c r="AK1843" s="593"/>
      <c r="AL1843" s="585"/>
      <c r="AM1843" s="585"/>
      <c r="AN1843" s="592"/>
      <c r="AO1843" s="585"/>
      <c r="AP1843" s="448" t="s">
        <v>55</v>
      </c>
      <c r="AQ1843" s="585"/>
      <c r="AR1843" s="585" t="s">
        <v>8964</v>
      </c>
      <c r="AS1843" s="728">
        <v>42953</v>
      </c>
      <c r="AT1843" s="594"/>
      <c r="AU1843" s="585"/>
      <c r="AV1843" s="585"/>
      <c r="AW1843" s="585"/>
      <c r="AX1843" s="585"/>
      <c r="AY1843" s="593"/>
      <c r="AZ1843" s="593"/>
      <c r="BA1843" s="594"/>
      <c r="BB1843" s="586"/>
      <c r="BC1843" s="585" t="b">
        <v>0</v>
      </c>
      <c r="BD1843" s="586"/>
      <c r="BE1843" s="585"/>
      <c r="BF1843" s="850">
        <v>1</v>
      </c>
      <c r="BG1843" s="850">
        <v>6</v>
      </c>
      <c r="BH1843" s="850">
        <v>5</v>
      </c>
      <c r="BI1843" s="850">
        <v>8</v>
      </c>
      <c r="BJ1843" s="861">
        <v>10</v>
      </c>
      <c r="BK1843" s="861"/>
      <c r="BL1843" s="776">
        <v>3</v>
      </c>
      <c r="BM1843" s="590"/>
      <c r="BN1843" s="585"/>
      <c r="BO1843" s="585"/>
      <c r="BP1843" s="585"/>
      <c r="BQ1843" s="585"/>
      <c r="BR1843" s="585"/>
      <c r="BS1843" s="589"/>
      <c r="BT1843" s="590"/>
      <c r="BU1843" s="592"/>
      <c r="BV1843" s="589"/>
      <c r="BW1843" s="448" t="s">
        <v>3117</v>
      </c>
      <c r="BX1843" s="586"/>
      <c r="BY1843" s="585"/>
      <c r="BZ1843" s="595"/>
      <c r="CA1843" s="595"/>
      <c r="CB1843" s="585"/>
      <c r="CC1843" s="585"/>
      <c r="CD1843" s="585"/>
      <c r="CE1843" s="585"/>
      <c r="CF1843" s="585"/>
      <c r="CG1843" s="585"/>
      <c r="CH1843" s="585"/>
      <c r="CI1843" s="585"/>
      <c r="CJ1843" s="585"/>
      <c r="CK1843" s="585"/>
      <c r="CL1843" s="596"/>
      <c r="CM1843" s="596">
        <v>21.413</v>
      </c>
      <c r="CN1843" s="596">
        <v>42.826999999999998</v>
      </c>
      <c r="CO1843" s="596">
        <v>42.826999999999998</v>
      </c>
      <c r="CP1843" s="596">
        <v>42.826999999999998</v>
      </c>
      <c r="CQ1843" s="596">
        <v>42.826999999999998</v>
      </c>
      <c r="CR1843" s="596">
        <v>42.826999999999998</v>
      </c>
      <c r="CS1843" s="596">
        <v>42.826999999999998</v>
      </c>
      <c r="CT1843" s="596"/>
      <c r="CU1843" s="596"/>
      <c r="CV1843" s="596"/>
      <c r="CW1843" s="596"/>
      <c r="CX1843" s="596"/>
      <c r="CY1843" s="585"/>
      <c r="CZ1843" s="585"/>
      <c r="DA1843" s="585"/>
      <c r="DB1843" s="585"/>
      <c r="DC1843" s="585"/>
      <c r="DD1843" s="585"/>
      <c r="DE1843" s="585"/>
      <c r="DF1843" s="585"/>
      <c r="DG1843" s="585"/>
      <c r="DH1843" s="585"/>
      <c r="DI1843" s="585"/>
      <c r="DJ1843" s="585"/>
      <c r="DK1843" s="897"/>
    </row>
    <row r="1844" spans="1:126" ht="38.25" x14ac:dyDescent="0.2">
      <c r="A1844" s="295">
        <v>1840</v>
      </c>
      <c r="B1844" s="448" t="s">
        <v>9219</v>
      </c>
      <c r="C1844" s="585" t="s">
        <v>9221</v>
      </c>
      <c r="D1844" s="585"/>
      <c r="E1844" s="714" t="s">
        <v>9222</v>
      </c>
      <c r="F1844" s="726" t="s">
        <v>1375</v>
      </c>
      <c r="G1844" s="726" t="s">
        <v>998</v>
      </c>
      <c r="H1844" s="726" t="s">
        <v>1059</v>
      </c>
      <c r="I1844" s="584"/>
      <c r="J1844" s="584" t="s">
        <v>1059</v>
      </c>
      <c r="K1844" s="577"/>
      <c r="L1844" s="585" t="s">
        <v>9494</v>
      </c>
      <c r="M1844" s="585" t="s">
        <v>9317</v>
      </c>
      <c r="N1844" s="586" t="s">
        <v>33</v>
      </c>
      <c r="O1844" s="774" t="s">
        <v>51</v>
      </c>
      <c r="P1844" s="774" t="s">
        <v>51</v>
      </c>
      <c r="Q1844" s="774" t="s">
        <v>976</v>
      </c>
      <c r="R1844" s="585"/>
      <c r="S1844" s="584" t="s">
        <v>9495</v>
      </c>
      <c r="T1844" s="587">
        <v>2</v>
      </c>
      <c r="U1844" s="775">
        <v>88.073999999999998</v>
      </c>
      <c r="V1844" s="588"/>
      <c r="W1844" s="727">
        <v>42908</v>
      </c>
      <c r="X1844" s="589">
        <v>28</v>
      </c>
      <c r="Y1844" s="587"/>
      <c r="Z1844" s="590"/>
      <c r="AA1844" s="585"/>
      <c r="AB1844" s="591"/>
      <c r="AC1844" s="589">
        <v>0</v>
      </c>
      <c r="AD1844" s="775">
        <v>880.74</v>
      </c>
      <c r="AE1844" s="586" t="s">
        <v>5613</v>
      </c>
      <c r="AF1844" s="592"/>
      <c r="AG1844" s="592"/>
      <c r="AH1844" s="592">
        <v>0</v>
      </c>
      <c r="AI1844" s="590"/>
      <c r="AJ1844" s="593"/>
      <c r="AK1844" s="593"/>
      <c r="AL1844" s="585"/>
      <c r="AM1844" s="585"/>
      <c r="AN1844" s="592"/>
      <c r="AO1844" s="585"/>
      <c r="AP1844" s="586" t="s">
        <v>55</v>
      </c>
      <c r="AQ1844" s="585"/>
      <c r="AR1844" s="585" t="s">
        <v>9319</v>
      </c>
      <c r="AS1844" s="728">
        <v>43021</v>
      </c>
      <c r="AT1844" s="594">
        <v>43112</v>
      </c>
      <c r="AU1844" s="585"/>
      <c r="AV1844" s="585"/>
      <c r="AW1844" s="585"/>
      <c r="AX1844" s="585"/>
      <c r="AY1844" s="593"/>
      <c r="AZ1844" s="593"/>
      <c r="BA1844" s="594"/>
      <c r="BB1844" s="586" t="s">
        <v>3116</v>
      </c>
      <c r="BC1844" s="585" t="b">
        <v>0</v>
      </c>
      <c r="BD1844" s="586" t="s">
        <v>3116</v>
      </c>
      <c r="BE1844" s="585"/>
      <c r="BF1844" s="789">
        <v>6</v>
      </c>
      <c r="BG1844" s="789">
        <v>2</v>
      </c>
      <c r="BH1844" s="789">
        <v>8</v>
      </c>
      <c r="BI1844" s="789">
        <v>1</v>
      </c>
      <c r="BJ1844" s="790"/>
      <c r="BK1844" s="790"/>
      <c r="BL1844" s="776">
        <v>0</v>
      </c>
      <c r="BM1844" s="590"/>
      <c r="BN1844" s="585"/>
      <c r="BO1844" s="585"/>
      <c r="BP1844" s="585"/>
      <c r="BQ1844" s="585"/>
      <c r="BR1844" s="585"/>
      <c r="BS1844" s="589">
        <v>0</v>
      </c>
      <c r="BT1844" s="590"/>
      <c r="BU1844" s="592"/>
      <c r="BV1844" s="589"/>
      <c r="BW1844" s="586" t="s">
        <v>3117</v>
      </c>
      <c r="BX1844" s="586"/>
      <c r="BY1844" s="585"/>
      <c r="BZ1844" s="595"/>
      <c r="CA1844" s="595"/>
      <c r="CB1844" s="585"/>
      <c r="CC1844" s="585"/>
      <c r="CD1844" s="585"/>
      <c r="CE1844" s="585"/>
      <c r="CF1844" s="585"/>
      <c r="CG1844" s="585"/>
      <c r="CH1844" s="585"/>
      <c r="CI1844" s="585"/>
      <c r="CJ1844" s="585"/>
      <c r="CK1844" s="585"/>
      <c r="CL1844" s="596"/>
      <c r="CM1844" s="596"/>
      <c r="CN1844" s="596"/>
      <c r="CO1844" s="596"/>
      <c r="CP1844" s="596"/>
      <c r="CQ1844" s="596"/>
      <c r="CR1844" s="596"/>
      <c r="CS1844" s="596"/>
      <c r="CT1844" s="596"/>
      <c r="CU1844" s="596"/>
      <c r="CV1844" s="596"/>
      <c r="CW1844" s="596"/>
      <c r="CX1844" s="596"/>
      <c r="CY1844" s="585"/>
      <c r="CZ1844" s="585"/>
      <c r="DA1844" s="585"/>
      <c r="DB1844" s="585"/>
      <c r="DC1844" s="585"/>
      <c r="DD1844" s="585"/>
      <c r="DE1844" s="585"/>
      <c r="DF1844" s="585"/>
      <c r="DG1844" s="585"/>
      <c r="DH1844" s="585"/>
      <c r="DI1844" s="585"/>
      <c r="DJ1844" s="585"/>
      <c r="DK1844" s="897"/>
    </row>
    <row r="1845" spans="1:126" ht="38.25" x14ac:dyDescent="0.2">
      <c r="A1845" s="295">
        <v>1841</v>
      </c>
      <c r="B1845" s="502" t="s">
        <v>9220</v>
      </c>
      <c r="C1845" s="585"/>
      <c r="D1845" s="585"/>
      <c r="E1845" s="714" t="s">
        <v>9223</v>
      </c>
      <c r="F1845" s="726" t="s">
        <v>1375</v>
      </c>
      <c r="G1845" s="726" t="s">
        <v>998</v>
      </c>
      <c r="H1845" s="726" t="s">
        <v>1059</v>
      </c>
      <c r="I1845" s="584"/>
      <c r="J1845" s="584"/>
      <c r="K1845" s="794" t="s">
        <v>9316</v>
      </c>
      <c r="L1845" s="585" t="s">
        <v>9494</v>
      </c>
      <c r="M1845" s="585"/>
      <c r="N1845" s="586" t="s">
        <v>33</v>
      </c>
      <c r="O1845" s="774" t="s">
        <v>51</v>
      </c>
      <c r="P1845" s="774" t="s">
        <v>51</v>
      </c>
      <c r="Q1845" s="774" t="s">
        <v>976</v>
      </c>
      <c r="R1845" s="585" t="s">
        <v>9318</v>
      </c>
      <c r="S1845" s="584" t="s">
        <v>9495</v>
      </c>
      <c r="T1845" s="587">
        <v>1</v>
      </c>
      <c r="U1845" s="775">
        <v>44.036999999999999</v>
      </c>
      <c r="V1845" s="588"/>
      <c r="W1845" s="727"/>
      <c r="X1845" s="589"/>
      <c r="Y1845" s="587">
        <v>10</v>
      </c>
      <c r="Z1845" s="590">
        <v>5</v>
      </c>
      <c r="AA1845" s="585"/>
      <c r="AB1845" s="591">
        <v>43070</v>
      </c>
      <c r="AC1845" s="589"/>
      <c r="AD1845" s="589">
        <v>440.37</v>
      </c>
      <c r="AE1845" s="586" t="s">
        <v>5613</v>
      </c>
      <c r="AF1845" s="592"/>
      <c r="AG1845" s="592"/>
      <c r="AH1845" s="592"/>
      <c r="AI1845" s="590"/>
      <c r="AJ1845" s="593"/>
      <c r="AK1845" s="593"/>
      <c r="AL1845" s="585"/>
      <c r="AM1845" s="585"/>
      <c r="AN1845" s="592"/>
      <c r="AO1845" s="585"/>
      <c r="AP1845" s="586" t="s">
        <v>55</v>
      </c>
      <c r="AQ1845" s="585"/>
      <c r="AR1845" s="585" t="s">
        <v>9319</v>
      </c>
      <c r="AS1845" s="728">
        <v>43021</v>
      </c>
      <c r="AT1845" s="594">
        <v>43112</v>
      </c>
      <c r="AU1845" s="585"/>
      <c r="AV1845" s="585"/>
      <c r="AW1845" s="585"/>
      <c r="AX1845" s="585"/>
      <c r="AY1845" s="593"/>
      <c r="AZ1845" s="593"/>
      <c r="BA1845" s="594"/>
      <c r="BB1845" s="586"/>
      <c r="BC1845" s="585" t="b">
        <v>0</v>
      </c>
      <c r="BD1845" s="586"/>
      <c r="BE1845" s="585"/>
      <c r="BF1845" s="789">
        <v>6</v>
      </c>
      <c r="BG1845" s="789">
        <v>2</v>
      </c>
      <c r="BH1845" s="789">
        <v>8</v>
      </c>
      <c r="BI1845" s="789">
        <v>1</v>
      </c>
      <c r="BJ1845" s="790"/>
      <c r="BK1845" s="790"/>
      <c r="BL1845" s="776">
        <v>0</v>
      </c>
      <c r="BM1845" s="590"/>
      <c r="BN1845" s="585"/>
      <c r="BO1845" s="585"/>
      <c r="BP1845" s="585"/>
      <c r="BQ1845" s="585"/>
      <c r="BR1845" s="585"/>
      <c r="BS1845" s="589"/>
      <c r="BT1845" s="590"/>
      <c r="BU1845" s="592"/>
      <c r="BV1845" s="589"/>
      <c r="BW1845" s="586" t="s">
        <v>3117</v>
      </c>
      <c r="BX1845" s="586"/>
      <c r="BY1845" s="585"/>
      <c r="BZ1845" s="595"/>
      <c r="CA1845" s="595"/>
      <c r="CB1845" s="585"/>
      <c r="CC1845" s="585"/>
      <c r="CD1845" s="585"/>
      <c r="CE1845" s="585"/>
      <c r="CF1845" s="585"/>
      <c r="CG1845" s="585"/>
      <c r="CH1845" s="585"/>
      <c r="CI1845" s="585"/>
      <c r="CJ1845" s="585"/>
      <c r="CK1845" s="585"/>
      <c r="CL1845" s="596"/>
      <c r="CM1845" s="596"/>
      <c r="CN1845" s="596">
        <v>44.036999999999999</v>
      </c>
      <c r="CO1845" s="596">
        <v>44.036999999999999</v>
      </c>
      <c r="CP1845" s="596">
        <v>44.036999999999999</v>
      </c>
      <c r="CQ1845" s="596">
        <v>44.036999999999999</v>
      </c>
      <c r="CR1845" s="596">
        <v>44.036999999999999</v>
      </c>
      <c r="CS1845" s="596">
        <v>44.036999999999999</v>
      </c>
      <c r="CT1845" s="596">
        <v>44.036999999999999</v>
      </c>
      <c r="CU1845" s="596">
        <v>44.036999999999999</v>
      </c>
      <c r="CV1845" s="596">
        <v>44.036999999999999</v>
      </c>
      <c r="CW1845" s="596">
        <v>44.036999999999999</v>
      </c>
      <c r="CX1845" s="596"/>
      <c r="CY1845" s="585"/>
      <c r="CZ1845" s="585"/>
      <c r="DA1845" s="585"/>
      <c r="DB1845" s="585"/>
      <c r="DC1845" s="585"/>
      <c r="DD1845" s="585"/>
      <c r="DE1845" s="585"/>
      <c r="DF1845" s="585"/>
      <c r="DG1845" s="585"/>
      <c r="DH1845" s="585"/>
      <c r="DI1845" s="585"/>
      <c r="DJ1845" s="585"/>
      <c r="DK1845" s="897"/>
    </row>
    <row r="1846" spans="1:126" ht="38.25" x14ac:dyDescent="0.2">
      <c r="A1846" s="295">
        <v>1842</v>
      </c>
      <c r="B1846" s="502" t="s">
        <v>9224</v>
      </c>
      <c r="C1846" s="585"/>
      <c r="D1846" s="585"/>
      <c r="E1846" s="714" t="s">
        <v>9225</v>
      </c>
      <c r="F1846" s="461" t="s">
        <v>1375</v>
      </c>
      <c r="G1846" s="461" t="s">
        <v>998</v>
      </c>
      <c r="H1846" s="461" t="s">
        <v>1059</v>
      </c>
      <c r="I1846" s="584"/>
      <c r="J1846" s="584"/>
      <c r="K1846" s="794" t="s">
        <v>9316</v>
      </c>
      <c r="L1846" s="585" t="s">
        <v>9494</v>
      </c>
      <c r="M1846" s="585"/>
      <c r="N1846" s="586" t="s">
        <v>33</v>
      </c>
      <c r="O1846" s="774" t="s">
        <v>51</v>
      </c>
      <c r="P1846" s="774" t="s">
        <v>51</v>
      </c>
      <c r="Q1846" s="774" t="s">
        <v>976</v>
      </c>
      <c r="R1846" s="585" t="s">
        <v>9318</v>
      </c>
      <c r="S1846" s="584" t="s">
        <v>9495</v>
      </c>
      <c r="T1846" s="587">
        <v>1</v>
      </c>
      <c r="U1846" s="775">
        <v>44.036999999999999</v>
      </c>
      <c r="V1846" s="588"/>
      <c r="W1846" s="727"/>
      <c r="X1846" s="589"/>
      <c r="Y1846" s="587">
        <v>10</v>
      </c>
      <c r="Z1846" s="590">
        <v>5</v>
      </c>
      <c r="AA1846" s="585"/>
      <c r="AB1846" s="591">
        <v>43070</v>
      </c>
      <c r="AC1846" s="589"/>
      <c r="AD1846" s="589">
        <v>440.37</v>
      </c>
      <c r="AE1846" s="448" t="s">
        <v>5613</v>
      </c>
      <c r="AF1846" s="592"/>
      <c r="AG1846" s="592"/>
      <c r="AH1846" s="592"/>
      <c r="AI1846" s="590"/>
      <c r="AJ1846" s="593"/>
      <c r="AK1846" s="593"/>
      <c r="AL1846" s="585"/>
      <c r="AM1846" s="585"/>
      <c r="AN1846" s="592"/>
      <c r="AO1846" s="585"/>
      <c r="AP1846" s="586" t="s">
        <v>55</v>
      </c>
      <c r="AQ1846" s="585"/>
      <c r="AR1846" s="585" t="s">
        <v>9319</v>
      </c>
      <c r="AS1846" s="728">
        <v>43021</v>
      </c>
      <c r="AT1846" s="594">
        <v>43112</v>
      </c>
      <c r="AU1846" s="585"/>
      <c r="AV1846" s="585"/>
      <c r="AW1846" s="585"/>
      <c r="AX1846" s="585"/>
      <c r="AY1846" s="593"/>
      <c r="AZ1846" s="593"/>
      <c r="BA1846" s="594"/>
      <c r="BB1846" s="586"/>
      <c r="BC1846" s="585" t="b">
        <v>0</v>
      </c>
      <c r="BD1846" s="586"/>
      <c r="BE1846" s="585"/>
      <c r="BF1846" s="789">
        <v>6</v>
      </c>
      <c r="BG1846" s="789">
        <v>2</v>
      </c>
      <c r="BH1846" s="789">
        <v>8</v>
      </c>
      <c r="BI1846" s="789">
        <v>1</v>
      </c>
      <c r="BJ1846" s="790"/>
      <c r="BK1846" s="790"/>
      <c r="BL1846" s="793">
        <v>0</v>
      </c>
      <c r="BM1846" s="590"/>
      <c r="BN1846" s="585"/>
      <c r="BO1846" s="585"/>
      <c r="BP1846" s="585"/>
      <c r="BQ1846" s="585"/>
      <c r="BR1846" s="585"/>
      <c r="BS1846" s="589"/>
      <c r="BT1846" s="590"/>
      <c r="BU1846" s="592"/>
      <c r="BV1846" s="589"/>
      <c r="BW1846" s="586" t="s">
        <v>3117</v>
      </c>
      <c r="BX1846" s="586"/>
      <c r="BY1846" s="585"/>
      <c r="BZ1846" s="595"/>
      <c r="CA1846" s="595"/>
      <c r="CB1846" s="585"/>
      <c r="CC1846" s="585"/>
      <c r="CD1846" s="585"/>
      <c r="CE1846" s="585"/>
      <c r="CF1846" s="585"/>
      <c r="CG1846" s="585"/>
      <c r="CH1846" s="585"/>
      <c r="CI1846" s="585"/>
      <c r="CJ1846" s="585"/>
      <c r="CK1846" s="585"/>
      <c r="CL1846" s="596"/>
      <c r="CM1846" s="596"/>
      <c r="CN1846" s="596">
        <v>44.036999999999999</v>
      </c>
      <c r="CO1846" s="596">
        <v>44.036999999999999</v>
      </c>
      <c r="CP1846" s="596">
        <v>44.036999999999999</v>
      </c>
      <c r="CQ1846" s="596">
        <v>44.036999999999999</v>
      </c>
      <c r="CR1846" s="596">
        <v>44.036999999999999</v>
      </c>
      <c r="CS1846" s="596">
        <v>44.036999999999999</v>
      </c>
      <c r="CT1846" s="596">
        <v>44.036999999999999</v>
      </c>
      <c r="CU1846" s="596">
        <v>44.036999999999999</v>
      </c>
      <c r="CV1846" s="596">
        <v>44.036999999999999</v>
      </c>
      <c r="CW1846" s="596">
        <v>44.036999999999999</v>
      </c>
      <c r="CX1846" s="596"/>
      <c r="CY1846" s="585"/>
      <c r="CZ1846" s="585"/>
      <c r="DA1846" s="585"/>
      <c r="DB1846" s="585"/>
      <c r="DC1846" s="585"/>
      <c r="DD1846" s="585"/>
      <c r="DE1846" s="585"/>
      <c r="DF1846" s="585"/>
      <c r="DG1846" s="585"/>
      <c r="DH1846" s="585"/>
      <c r="DI1846" s="585"/>
      <c r="DJ1846" s="585"/>
      <c r="DK1846" s="897"/>
    </row>
    <row r="1847" spans="1:126" ht="38.25" x14ac:dyDescent="0.2">
      <c r="A1847" s="295">
        <v>1843</v>
      </c>
      <c r="B1847" s="502" t="s">
        <v>9454</v>
      </c>
      <c r="C1847" s="759" t="s">
        <v>9322</v>
      </c>
      <c r="D1847" s="759"/>
      <c r="E1847" s="757" t="s">
        <v>9321</v>
      </c>
      <c r="F1847" s="404" t="s">
        <v>1375</v>
      </c>
      <c r="G1847" s="404" t="s">
        <v>998</v>
      </c>
      <c r="H1847" s="404" t="s">
        <v>1392</v>
      </c>
      <c r="I1847" s="759"/>
      <c r="J1847" s="758" t="s">
        <v>1392</v>
      </c>
      <c r="K1847" s="800"/>
      <c r="L1847" s="759" t="s">
        <v>8985</v>
      </c>
      <c r="M1847" s="759" t="s">
        <v>9324</v>
      </c>
      <c r="N1847" s="758" t="s">
        <v>3142</v>
      </c>
      <c r="O1847" s="534" t="s">
        <v>51</v>
      </c>
      <c r="P1847" s="534" t="s">
        <v>51</v>
      </c>
      <c r="Q1847" s="534" t="s">
        <v>426</v>
      </c>
      <c r="R1847" s="759"/>
      <c r="S1847" s="759" t="s">
        <v>9373</v>
      </c>
      <c r="T1847" s="760">
        <v>1</v>
      </c>
      <c r="U1847" s="801">
        <v>53.195</v>
      </c>
      <c r="V1847" s="761"/>
      <c r="W1847" s="762"/>
      <c r="X1847" s="763"/>
      <c r="Y1847" s="760">
        <v>7</v>
      </c>
      <c r="Z1847" s="764"/>
      <c r="AA1847" s="759"/>
      <c r="AB1847" s="765"/>
      <c r="AC1847" s="763">
        <v>0</v>
      </c>
      <c r="AD1847" s="763">
        <v>248.77771232876714</v>
      </c>
      <c r="AE1847" s="486" t="s">
        <v>7354</v>
      </c>
      <c r="AF1847" s="766"/>
      <c r="AG1847" s="766"/>
      <c r="AH1847" s="766">
        <v>0</v>
      </c>
      <c r="AI1847" s="764"/>
      <c r="AJ1847" s="767"/>
      <c r="AK1847" s="767"/>
      <c r="AL1847" s="759"/>
      <c r="AM1847" s="759"/>
      <c r="AN1847" s="766"/>
      <c r="AO1847" s="759"/>
      <c r="AP1847" s="769" t="s">
        <v>55</v>
      </c>
      <c r="AQ1847" s="759"/>
      <c r="AR1847" s="759" t="s">
        <v>8985</v>
      </c>
      <c r="AS1847" s="765">
        <v>43063</v>
      </c>
      <c r="AT1847" s="768"/>
      <c r="AU1847" s="759"/>
      <c r="AV1847" s="759"/>
      <c r="AW1847" s="759"/>
      <c r="AX1847" s="759"/>
      <c r="AY1847" s="767"/>
      <c r="AZ1847" s="767"/>
      <c r="BA1847" s="768"/>
      <c r="BB1847" s="769" t="s">
        <v>3116</v>
      </c>
      <c r="BC1847" s="759" t="b">
        <v>0</v>
      </c>
      <c r="BD1847" s="769" t="s">
        <v>3116</v>
      </c>
      <c r="BE1847" s="759"/>
      <c r="BF1847" s="760">
        <v>1</v>
      </c>
      <c r="BG1847" s="760">
        <v>10</v>
      </c>
      <c r="BH1847" s="760">
        <v>5</v>
      </c>
      <c r="BI1847" s="760">
        <v>8</v>
      </c>
      <c r="BJ1847" s="764"/>
      <c r="BK1847" s="764"/>
      <c r="BL1847" s="770">
        <v>2</v>
      </c>
      <c r="BM1847" s="764"/>
      <c r="BN1847" s="759"/>
      <c r="BO1847" s="759"/>
      <c r="BP1847" s="759"/>
      <c r="BQ1847" s="759"/>
      <c r="BR1847" s="759"/>
      <c r="BS1847" s="763">
        <v>0</v>
      </c>
      <c r="BT1847" s="764"/>
      <c r="BU1847" s="766"/>
      <c r="BV1847" s="763"/>
      <c r="BW1847" s="769" t="s">
        <v>3117</v>
      </c>
      <c r="BX1847" s="769"/>
      <c r="BY1847" s="759"/>
      <c r="BZ1847" s="771"/>
      <c r="CA1847" s="771"/>
      <c r="CB1847" s="759"/>
      <c r="CC1847" s="759"/>
      <c r="CD1847" s="759"/>
      <c r="CE1847" s="759"/>
      <c r="CF1847" s="759"/>
      <c r="CG1847" s="759"/>
      <c r="CH1847" s="759"/>
      <c r="CI1847" s="759"/>
      <c r="CJ1847" s="759"/>
      <c r="CK1847" s="759"/>
      <c r="CL1847" s="772"/>
      <c r="CM1847" s="772"/>
      <c r="CN1847" s="772"/>
      <c r="CO1847" s="772"/>
      <c r="CP1847" s="772"/>
      <c r="CQ1847" s="772"/>
      <c r="CR1847" s="772"/>
      <c r="CS1847" s="772"/>
      <c r="CT1847" s="772"/>
      <c r="CU1847" s="772"/>
      <c r="CV1847" s="772"/>
      <c r="CW1847" s="772"/>
      <c r="CX1847" s="772"/>
      <c r="CY1847" s="759"/>
      <c r="CZ1847" s="759"/>
      <c r="DA1847" s="759"/>
      <c r="DB1847" s="759"/>
      <c r="DC1847" s="759"/>
      <c r="DD1847" s="759"/>
      <c r="DE1847" s="759"/>
      <c r="DF1847" s="759"/>
      <c r="DG1847" s="759"/>
      <c r="DH1847" s="759"/>
      <c r="DI1847" s="759"/>
      <c r="DJ1847" s="759"/>
      <c r="DK1847" s="897"/>
    </row>
    <row r="1848" spans="1:126" ht="51" x14ac:dyDescent="0.2">
      <c r="A1848" s="295">
        <v>1844</v>
      </c>
      <c r="B1848" s="502" t="s">
        <v>9320</v>
      </c>
      <c r="C1848" s="759"/>
      <c r="D1848" s="759"/>
      <c r="E1848" s="757" t="s">
        <v>9323</v>
      </c>
      <c r="F1848" s="758" t="s">
        <v>1375</v>
      </c>
      <c r="G1848" s="758" t="s">
        <v>998</v>
      </c>
      <c r="H1848" s="758" t="s">
        <v>1392</v>
      </c>
      <c r="I1848" s="759"/>
      <c r="J1848" s="759"/>
      <c r="K1848" s="800"/>
      <c r="L1848" s="759" t="s">
        <v>8985</v>
      </c>
      <c r="M1848" s="759"/>
      <c r="N1848" s="758" t="s">
        <v>3142</v>
      </c>
      <c r="O1848" s="534" t="s">
        <v>51</v>
      </c>
      <c r="P1848" s="534" t="s">
        <v>51</v>
      </c>
      <c r="Q1848" s="534" t="s">
        <v>426</v>
      </c>
      <c r="R1848" s="759" t="s">
        <v>9325</v>
      </c>
      <c r="S1848" s="759" t="s">
        <v>9373</v>
      </c>
      <c r="T1848" s="760">
        <v>1</v>
      </c>
      <c r="U1848" s="801">
        <v>53.195</v>
      </c>
      <c r="V1848" s="761"/>
      <c r="W1848" s="762"/>
      <c r="X1848" s="763"/>
      <c r="Y1848" s="760">
        <v>7</v>
      </c>
      <c r="Z1848" s="764"/>
      <c r="AA1848" s="759"/>
      <c r="AB1848" s="765">
        <v>42489</v>
      </c>
      <c r="AC1848" s="763"/>
      <c r="AD1848" s="763">
        <v>248.77771232876714</v>
      </c>
      <c r="AE1848" s="769" t="s">
        <v>7354</v>
      </c>
      <c r="AF1848" s="766"/>
      <c r="AG1848" s="766"/>
      <c r="AH1848" s="766"/>
      <c r="AI1848" s="764"/>
      <c r="AJ1848" s="767"/>
      <c r="AK1848" s="767"/>
      <c r="AL1848" s="759"/>
      <c r="AM1848" s="759"/>
      <c r="AN1848" s="766"/>
      <c r="AO1848" s="759"/>
      <c r="AP1848" s="769" t="s">
        <v>55</v>
      </c>
      <c r="AQ1848" s="759"/>
      <c r="AR1848" s="759" t="s">
        <v>8985</v>
      </c>
      <c r="AS1848" s="765">
        <v>43063</v>
      </c>
      <c r="AT1848" s="768"/>
      <c r="AU1848" s="759"/>
      <c r="AV1848" s="759"/>
      <c r="AW1848" s="759"/>
      <c r="AX1848" s="759"/>
      <c r="AY1848" s="767"/>
      <c r="AZ1848" s="767"/>
      <c r="BA1848" s="768"/>
      <c r="BB1848" s="769"/>
      <c r="BC1848" s="759" t="b">
        <v>0</v>
      </c>
      <c r="BD1848" s="769"/>
      <c r="BE1848" s="759"/>
      <c r="BF1848" s="760">
        <v>1</v>
      </c>
      <c r="BG1848" s="760">
        <v>10</v>
      </c>
      <c r="BH1848" s="760">
        <v>5</v>
      </c>
      <c r="BI1848" s="760">
        <v>8</v>
      </c>
      <c r="BJ1848" s="764"/>
      <c r="BK1848" s="764"/>
      <c r="BL1848" s="770">
        <v>2</v>
      </c>
      <c r="BM1848" s="764"/>
      <c r="BN1848" s="759"/>
      <c r="BO1848" s="759"/>
      <c r="BP1848" s="759"/>
      <c r="BQ1848" s="759"/>
      <c r="BR1848" s="759"/>
      <c r="BS1848" s="763"/>
      <c r="BT1848" s="764"/>
      <c r="BU1848" s="766"/>
      <c r="BV1848" s="763"/>
      <c r="BW1848" s="769" t="s">
        <v>3117</v>
      </c>
      <c r="BX1848" s="769"/>
      <c r="BY1848" s="759"/>
      <c r="BZ1848" s="771"/>
      <c r="CA1848" s="771"/>
      <c r="CB1848" s="759"/>
      <c r="CC1848" s="759"/>
      <c r="CD1848" s="759"/>
      <c r="CE1848" s="759"/>
      <c r="CF1848" s="759"/>
      <c r="CG1848" s="759"/>
      <c r="CH1848" s="759"/>
      <c r="CI1848" s="759"/>
      <c r="CJ1848" s="759"/>
      <c r="CK1848" s="759"/>
      <c r="CL1848" s="772">
        <v>53.195</v>
      </c>
      <c r="CM1848" s="772">
        <v>53.195</v>
      </c>
      <c r="CN1848" s="772">
        <v>53.195</v>
      </c>
      <c r="CO1848" s="772">
        <v>53.195</v>
      </c>
      <c r="CP1848" s="772">
        <v>53.195</v>
      </c>
      <c r="CQ1848" s="772">
        <v>53.195</v>
      </c>
      <c r="CR1848" s="772">
        <v>53.195</v>
      </c>
      <c r="CS1848" s="772"/>
      <c r="CT1848" s="772"/>
      <c r="CU1848" s="772"/>
      <c r="CV1848" s="772"/>
      <c r="CW1848" s="772"/>
      <c r="CX1848" s="772"/>
      <c r="CY1848" s="759"/>
      <c r="CZ1848" s="759"/>
      <c r="DA1848" s="759"/>
      <c r="DB1848" s="759"/>
      <c r="DC1848" s="759"/>
      <c r="DD1848" s="759"/>
      <c r="DE1848" s="759"/>
      <c r="DF1848" s="759"/>
      <c r="DG1848" s="759"/>
      <c r="DH1848" s="759"/>
      <c r="DI1848" s="759"/>
      <c r="DJ1848" s="759"/>
      <c r="DK1848" s="897"/>
    </row>
    <row r="1849" spans="1:126" ht="25.5" x14ac:dyDescent="0.2">
      <c r="A1849" s="295">
        <v>1845</v>
      </c>
      <c r="B1849" s="502" t="s">
        <v>9453</v>
      </c>
      <c r="C1849" s="749" t="s">
        <v>9428</v>
      </c>
      <c r="D1849" s="750">
        <v>10431</v>
      </c>
      <c r="E1849" s="748" t="s">
        <v>9427</v>
      </c>
      <c r="F1849" s="561" t="s">
        <v>1352</v>
      </c>
      <c r="G1849" s="561" t="s">
        <v>1673</v>
      </c>
      <c r="H1849" s="561" t="s">
        <v>67</v>
      </c>
      <c r="I1849" s="749"/>
      <c r="J1849" s="749"/>
      <c r="K1849" s="562"/>
      <c r="L1849" s="749" t="s">
        <v>9447</v>
      </c>
      <c r="M1849" s="749" t="s">
        <v>9448</v>
      </c>
      <c r="N1849" s="560" t="s">
        <v>44</v>
      </c>
      <c r="O1849" s="688" t="s">
        <v>51</v>
      </c>
      <c r="P1849" s="688" t="s">
        <v>51</v>
      </c>
      <c r="Q1849" s="688" t="s">
        <v>976</v>
      </c>
      <c r="R1849" s="749"/>
      <c r="S1849" s="749" t="s">
        <v>977</v>
      </c>
      <c r="T1849" s="817">
        <v>1</v>
      </c>
      <c r="U1849" s="828">
        <v>7930.7209999999995</v>
      </c>
      <c r="V1849" s="818"/>
      <c r="W1849" s="576"/>
      <c r="X1849" s="751"/>
      <c r="Y1849" s="817"/>
      <c r="Z1849" s="750"/>
      <c r="AA1849" s="749"/>
      <c r="AB1849" s="578"/>
      <c r="AC1849" s="751">
        <v>0</v>
      </c>
      <c r="AD1849" s="751">
        <v>248.77771232876714</v>
      </c>
      <c r="AE1849" s="560" t="s">
        <v>9449</v>
      </c>
      <c r="AF1849" s="752"/>
      <c r="AG1849" s="752"/>
      <c r="AH1849" s="752">
        <v>0</v>
      </c>
      <c r="AI1849" s="750"/>
      <c r="AJ1849" s="753"/>
      <c r="AK1849" s="753"/>
      <c r="AL1849" s="749"/>
      <c r="AM1849" s="749"/>
      <c r="AN1849" s="752"/>
      <c r="AO1849" s="749"/>
      <c r="AP1849" s="560" t="s">
        <v>55</v>
      </c>
      <c r="AQ1849" s="749"/>
      <c r="AR1849" s="749" t="s">
        <v>9005</v>
      </c>
      <c r="AS1849" s="578">
        <v>43146</v>
      </c>
      <c r="AT1849" s="754"/>
      <c r="AU1849" s="749"/>
      <c r="AV1849" s="749">
        <v>43272</v>
      </c>
      <c r="AW1849" s="749">
        <v>43274</v>
      </c>
      <c r="AX1849" s="749">
        <v>43305</v>
      </c>
      <c r="AY1849" s="749">
        <v>43274</v>
      </c>
      <c r="AZ1849" s="753"/>
      <c r="BA1849" s="754"/>
      <c r="BB1849" s="560" t="s">
        <v>3116</v>
      </c>
      <c r="BC1849" s="749" t="b">
        <v>0</v>
      </c>
      <c r="BD1849" s="560"/>
      <c r="BE1849" s="749"/>
      <c r="BF1849" s="817">
        <v>6</v>
      </c>
      <c r="BG1849" s="817">
        <v>10</v>
      </c>
      <c r="BH1849" s="817">
        <v>9</v>
      </c>
      <c r="BI1849" s="817">
        <v>2</v>
      </c>
      <c r="BJ1849" s="750"/>
      <c r="BK1849" s="750"/>
      <c r="BL1849" s="874">
        <v>0</v>
      </c>
      <c r="BM1849" s="750"/>
      <c r="BN1849" s="749"/>
      <c r="BO1849" s="749"/>
      <c r="BP1849" s="749"/>
      <c r="BQ1849" s="749"/>
      <c r="BR1849" s="749"/>
      <c r="BS1849" s="751">
        <v>0</v>
      </c>
      <c r="BT1849" s="750"/>
      <c r="BU1849" s="752"/>
      <c r="BV1849" s="751"/>
      <c r="BW1849" s="560" t="s">
        <v>3117</v>
      </c>
      <c r="BX1849" s="560"/>
      <c r="BY1849" s="749"/>
      <c r="BZ1849" s="756"/>
      <c r="CA1849" s="756"/>
      <c r="CB1849" s="749"/>
      <c r="CC1849" s="749"/>
      <c r="CD1849" s="749"/>
      <c r="CE1849" s="749"/>
      <c r="CF1849" s="749"/>
      <c r="CG1849" s="749"/>
      <c r="CH1849" s="749"/>
      <c r="CI1849" s="749"/>
      <c r="CJ1849" s="749"/>
      <c r="CK1849" s="749"/>
      <c r="CL1849" s="755"/>
      <c r="CM1849" s="755"/>
      <c r="CN1849" s="755"/>
      <c r="CO1849" s="755"/>
      <c r="CP1849" s="755"/>
      <c r="CQ1849" s="755"/>
      <c r="CR1849" s="755"/>
      <c r="CS1849" s="755"/>
      <c r="CT1849" s="755"/>
      <c r="CU1849" s="755"/>
      <c r="CV1849" s="755"/>
      <c r="CW1849" s="755"/>
      <c r="CX1849" s="755"/>
      <c r="CY1849" s="749"/>
      <c r="CZ1849" s="749"/>
      <c r="DA1849" s="749"/>
      <c r="DB1849" s="749"/>
      <c r="DC1849" s="749"/>
      <c r="DD1849" s="749"/>
      <c r="DE1849" s="749"/>
      <c r="DF1849" s="749"/>
      <c r="DG1849" s="749"/>
      <c r="DH1849" s="749"/>
      <c r="DI1849" s="749"/>
      <c r="DJ1849" s="749"/>
      <c r="DK1849" s="896" t="s">
        <v>9698</v>
      </c>
    </row>
    <row r="1850" spans="1:126" ht="25.5" x14ac:dyDescent="0.2">
      <c r="A1850" s="295">
        <v>1846</v>
      </c>
      <c r="B1850" s="502" t="s">
        <v>9426</v>
      </c>
      <c r="C1850" s="749"/>
      <c r="D1850" s="829" t="s">
        <v>9687</v>
      </c>
      <c r="E1850" s="748" t="s">
        <v>9429</v>
      </c>
      <c r="F1850" s="393" t="s">
        <v>1352</v>
      </c>
      <c r="G1850" s="393" t="s">
        <v>1673</v>
      </c>
      <c r="H1850" s="393" t="s">
        <v>67</v>
      </c>
      <c r="I1850" s="749"/>
      <c r="J1850" s="749"/>
      <c r="K1850" s="562"/>
      <c r="L1850" s="749" t="s">
        <v>9447</v>
      </c>
      <c r="M1850" s="749"/>
      <c r="N1850" s="560" t="s">
        <v>44</v>
      </c>
      <c r="O1850" s="688" t="s">
        <v>51</v>
      </c>
      <c r="P1850" s="688" t="s">
        <v>51</v>
      </c>
      <c r="Q1850" s="688" t="s">
        <v>976</v>
      </c>
      <c r="R1850" s="749"/>
      <c r="S1850" s="749" t="s">
        <v>977</v>
      </c>
      <c r="T1850" s="817">
        <v>1</v>
      </c>
      <c r="U1850" s="828">
        <v>7930.7209999999995</v>
      </c>
      <c r="V1850" s="818"/>
      <c r="W1850" s="576"/>
      <c r="X1850" s="751"/>
      <c r="Y1850" s="817"/>
      <c r="Z1850" s="750"/>
      <c r="AA1850" s="749"/>
      <c r="AB1850" s="578">
        <v>43333</v>
      </c>
      <c r="AC1850" s="751"/>
      <c r="AD1850" s="751">
        <v>248.77771232876714</v>
      </c>
      <c r="AE1850" s="560" t="s">
        <v>9449</v>
      </c>
      <c r="AF1850" s="752"/>
      <c r="AG1850" s="752"/>
      <c r="AH1850" s="752"/>
      <c r="AI1850" s="750"/>
      <c r="AJ1850" s="753"/>
      <c r="AK1850" s="753"/>
      <c r="AL1850" s="749"/>
      <c r="AM1850" s="749"/>
      <c r="AN1850" s="752"/>
      <c r="AO1850" s="749"/>
      <c r="AP1850" s="560" t="s">
        <v>55</v>
      </c>
      <c r="AQ1850" s="749"/>
      <c r="AR1850" s="749" t="s">
        <v>9005</v>
      </c>
      <c r="AS1850" s="578">
        <v>43146</v>
      </c>
      <c r="AT1850" s="754"/>
      <c r="AU1850" s="749"/>
      <c r="AV1850" s="749"/>
      <c r="AW1850" s="749"/>
      <c r="AX1850" s="749"/>
      <c r="AY1850" s="753"/>
      <c r="AZ1850" s="749">
        <v>43343</v>
      </c>
      <c r="BA1850" s="754"/>
      <c r="BB1850" s="560"/>
      <c r="BC1850" s="749" t="b">
        <v>0</v>
      </c>
      <c r="BD1850" s="560"/>
      <c r="BE1850" s="749"/>
      <c r="BF1850" s="817">
        <v>6</v>
      </c>
      <c r="BG1850" s="817">
        <v>10</v>
      </c>
      <c r="BH1850" s="817">
        <v>9</v>
      </c>
      <c r="BI1850" s="817">
        <v>2</v>
      </c>
      <c r="BJ1850" s="750"/>
      <c r="BK1850" s="750"/>
      <c r="BL1850" s="874">
        <v>0</v>
      </c>
      <c r="BM1850" s="750"/>
      <c r="BN1850" s="749"/>
      <c r="BO1850" s="749"/>
      <c r="BP1850" s="749"/>
      <c r="BQ1850" s="749"/>
      <c r="BR1850" s="749"/>
      <c r="BS1850" s="751"/>
      <c r="BT1850" s="750"/>
      <c r="BU1850" s="752"/>
      <c r="BV1850" s="751"/>
      <c r="BW1850" s="560" t="s">
        <v>3117</v>
      </c>
      <c r="BX1850" s="560"/>
      <c r="BY1850" s="749"/>
      <c r="BZ1850" s="756"/>
      <c r="CA1850" s="756"/>
      <c r="CB1850" s="749"/>
      <c r="CC1850" s="749"/>
      <c r="CD1850" s="749"/>
      <c r="CE1850" s="749"/>
      <c r="CF1850" s="749"/>
      <c r="CG1850" s="749"/>
      <c r="CH1850" s="749"/>
      <c r="CI1850" s="749"/>
      <c r="CJ1850" s="749"/>
      <c r="CK1850" s="749"/>
      <c r="CL1850" s="755"/>
      <c r="CM1850" s="755"/>
      <c r="CN1850" s="755">
        <v>1525.1389999999999</v>
      </c>
      <c r="CO1850" s="755">
        <v>4575.4160000000002</v>
      </c>
      <c r="CP1850" s="755">
        <v>9150.8320000000003</v>
      </c>
      <c r="CQ1850" s="755">
        <v>9150.8320000000003</v>
      </c>
      <c r="CR1850" s="755">
        <v>9150.8320000000003</v>
      </c>
      <c r="CS1850" s="755">
        <v>9150.8320000000003</v>
      </c>
      <c r="CT1850" s="755">
        <v>9150.8320000000003</v>
      </c>
      <c r="CU1850" s="755">
        <v>9150.8320000000003</v>
      </c>
      <c r="CV1850" s="755">
        <v>9150.8320000000003</v>
      </c>
      <c r="CW1850" s="755">
        <v>9150.8320000000003</v>
      </c>
      <c r="CX1850" s="755"/>
      <c r="CY1850" s="749"/>
      <c r="CZ1850" s="749"/>
      <c r="DA1850" s="749"/>
      <c r="DB1850" s="749"/>
      <c r="DC1850" s="749"/>
      <c r="DD1850" s="749"/>
      <c r="DE1850" s="749"/>
      <c r="DF1850" s="749"/>
      <c r="DG1850" s="749"/>
      <c r="DH1850" s="749"/>
      <c r="DI1850" s="749"/>
      <c r="DJ1850" s="749"/>
      <c r="DK1850" s="897"/>
    </row>
    <row r="1851" spans="1:126" ht="38.25" x14ac:dyDescent="0.2">
      <c r="A1851" s="295">
        <v>1847</v>
      </c>
      <c r="B1851" s="502" t="s">
        <v>9455</v>
      </c>
      <c r="C1851" s="803" t="s">
        <v>9458</v>
      </c>
      <c r="D1851" s="803"/>
      <c r="E1851" s="804" t="s">
        <v>9457</v>
      </c>
      <c r="F1851" s="461" t="s">
        <v>1340</v>
      </c>
      <c r="G1851" s="461" t="s">
        <v>1677</v>
      </c>
      <c r="H1851" s="524" t="s">
        <v>253</v>
      </c>
      <c r="I1851" s="803"/>
      <c r="J1851" s="803"/>
      <c r="K1851" s="773"/>
      <c r="L1851" s="803" t="s">
        <v>9478</v>
      </c>
      <c r="M1851" s="803" t="s">
        <v>9479</v>
      </c>
      <c r="N1851" s="586" t="s">
        <v>33</v>
      </c>
      <c r="O1851" s="448" t="s">
        <v>827</v>
      </c>
      <c r="P1851" s="448" t="s">
        <v>827</v>
      </c>
      <c r="Q1851" s="448" t="s">
        <v>836</v>
      </c>
      <c r="R1851" s="803"/>
      <c r="S1851" s="803" t="s">
        <v>9489</v>
      </c>
      <c r="T1851" s="789">
        <v>1</v>
      </c>
      <c r="U1851" s="805">
        <v>7.39</v>
      </c>
      <c r="V1851" s="806"/>
      <c r="W1851" s="727"/>
      <c r="X1851" s="807"/>
      <c r="Y1851" s="789">
        <v>7</v>
      </c>
      <c r="Z1851" s="790"/>
      <c r="AA1851" s="803"/>
      <c r="AB1851" s="591"/>
      <c r="AC1851" s="807">
        <v>0</v>
      </c>
      <c r="AD1851" s="807">
        <v>22.169999999999998</v>
      </c>
      <c r="AE1851" s="808" t="s">
        <v>9449</v>
      </c>
      <c r="AF1851" s="809"/>
      <c r="AG1851" s="809"/>
      <c r="AH1851" s="809">
        <v>0</v>
      </c>
      <c r="AI1851" s="790"/>
      <c r="AJ1851" s="810"/>
      <c r="AK1851" s="810"/>
      <c r="AL1851" s="803"/>
      <c r="AM1851" s="803"/>
      <c r="AN1851" s="809"/>
      <c r="AO1851" s="803"/>
      <c r="AP1851" s="586" t="s">
        <v>55</v>
      </c>
      <c r="AQ1851" s="803"/>
      <c r="AR1851" s="585" t="s">
        <v>409</v>
      </c>
      <c r="AS1851" s="591">
        <v>43165</v>
      </c>
      <c r="AT1851" s="811"/>
      <c r="AU1851" s="803"/>
      <c r="AV1851" s="803"/>
      <c r="AW1851" s="803"/>
      <c r="AX1851" s="803"/>
      <c r="AY1851" s="810"/>
      <c r="AZ1851" s="810"/>
      <c r="BA1851" s="811"/>
      <c r="BB1851" s="808" t="s">
        <v>3116</v>
      </c>
      <c r="BC1851" s="803" t="b">
        <v>0</v>
      </c>
      <c r="BD1851" s="808" t="s">
        <v>3116</v>
      </c>
      <c r="BE1851" s="803"/>
      <c r="BF1851" s="789">
        <v>1</v>
      </c>
      <c r="BG1851" s="789">
        <v>10</v>
      </c>
      <c r="BH1851" s="789">
        <v>5</v>
      </c>
      <c r="BI1851" s="789"/>
      <c r="BJ1851" s="790"/>
      <c r="BK1851" s="790"/>
      <c r="BL1851" s="793">
        <v>0</v>
      </c>
      <c r="BM1851" s="790"/>
      <c r="BN1851" s="803"/>
      <c r="BO1851" s="803"/>
      <c r="BP1851" s="803"/>
      <c r="BQ1851" s="803"/>
      <c r="BR1851" s="803"/>
      <c r="BS1851" s="807">
        <v>0</v>
      </c>
      <c r="BT1851" s="790"/>
      <c r="BU1851" s="809"/>
      <c r="BV1851" s="807"/>
      <c r="BW1851" s="586" t="s">
        <v>3117</v>
      </c>
      <c r="BX1851" s="808"/>
      <c r="BY1851" s="803"/>
      <c r="BZ1851" s="812"/>
      <c r="CA1851" s="812"/>
      <c r="CB1851" s="803"/>
      <c r="CC1851" s="803"/>
      <c r="CD1851" s="803"/>
      <c r="CE1851" s="803"/>
      <c r="CF1851" s="803"/>
      <c r="CG1851" s="803"/>
      <c r="CH1851" s="803"/>
      <c r="CI1851" s="803"/>
      <c r="CJ1851" s="803"/>
      <c r="CK1851" s="803"/>
      <c r="CL1851" s="813"/>
      <c r="CM1851" s="813"/>
      <c r="CN1851" s="813"/>
      <c r="CO1851" s="813"/>
      <c r="CP1851" s="813"/>
      <c r="CQ1851" s="813"/>
      <c r="CR1851" s="813"/>
      <c r="CS1851" s="813"/>
      <c r="CT1851" s="813"/>
      <c r="CU1851" s="813"/>
      <c r="CV1851" s="813"/>
      <c r="CW1851" s="813"/>
      <c r="CX1851" s="813"/>
      <c r="CY1851" s="803"/>
      <c r="CZ1851" s="803"/>
      <c r="DA1851" s="803"/>
      <c r="DB1851" s="803"/>
      <c r="DC1851" s="803"/>
      <c r="DD1851" s="803"/>
      <c r="DE1851" s="803"/>
      <c r="DF1851" s="803"/>
      <c r="DG1851" s="803"/>
      <c r="DH1851" s="803"/>
      <c r="DI1851" s="803"/>
      <c r="DJ1851" s="803"/>
      <c r="DK1851" s="897"/>
    </row>
    <row r="1852" spans="1:126" ht="25.5" x14ac:dyDescent="0.2">
      <c r="A1852" s="295">
        <v>1848</v>
      </c>
      <c r="B1852" s="502" t="s">
        <v>9456</v>
      </c>
      <c r="C1852" s="803"/>
      <c r="D1852" s="803"/>
      <c r="E1852" s="804" t="s">
        <v>9459</v>
      </c>
      <c r="F1852" s="461" t="s">
        <v>1340</v>
      </c>
      <c r="G1852" s="461" t="s">
        <v>1677</v>
      </c>
      <c r="H1852" s="524" t="s">
        <v>253</v>
      </c>
      <c r="I1852" s="803"/>
      <c r="J1852" s="803"/>
      <c r="K1852" s="773"/>
      <c r="L1852" s="803" t="s">
        <v>9478</v>
      </c>
      <c r="M1852" s="803"/>
      <c r="N1852" s="586" t="s">
        <v>33</v>
      </c>
      <c r="O1852" s="448" t="s">
        <v>827</v>
      </c>
      <c r="P1852" s="448" t="s">
        <v>827</v>
      </c>
      <c r="Q1852" s="448" t="s">
        <v>836</v>
      </c>
      <c r="R1852" s="803" t="s">
        <v>9480</v>
      </c>
      <c r="S1852" s="803" t="s">
        <v>9489</v>
      </c>
      <c r="T1852" s="789">
        <v>1</v>
      </c>
      <c r="U1852" s="805">
        <v>7.39</v>
      </c>
      <c r="V1852" s="806"/>
      <c r="W1852" s="727"/>
      <c r="X1852" s="807"/>
      <c r="Y1852" s="789">
        <v>7</v>
      </c>
      <c r="Z1852" s="790">
        <v>21</v>
      </c>
      <c r="AA1852" s="803"/>
      <c r="AB1852" s="591">
        <v>43101</v>
      </c>
      <c r="AC1852" s="807"/>
      <c r="AD1852" s="807">
        <v>22.169999999999998</v>
      </c>
      <c r="AE1852" s="808" t="s">
        <v>9449</v>
      </c>
      <c r="AF1852" s="809"/>
      <c r="AG1852" s="809"/>
      <c r="AH1852" s="809"/>
      <c r="AI1852" s="790"/>
      <c r="AJ1852" s="810"/>
      <c r="AK1852" s="810"/>
      <c r="AL1852" s="803"/>
      <c r="AM1852" s="803"/>
      <c r="AN1852" s="809"/>
      <c r="AO1852" s="803"/>
      <c r="AP1852" s="586" t="s">
        <v>55</v>
      </c>
      <c r="AQ1852" s="803"/>
      <c r="AR1852" s="585" t="s">
        <v>409</v>
      </c>
      <c r="AS1852" s="591">
        <v>43165</v>
      </c>
      <c r="AT1852" s="811"/>
      <c r="AU1852" s="803"/>
      <c r="AV1852" s="803"/>
      <c r="AW1852" s="803"/>
      <c r="AX1852" s="803"/>
      <c r="AY1852" s="810"/>
      <c r="AZ1852" s="810"/>
      <c r="BA1852" s="811"/>
      <c r="BB1852" s="808"/>
      <c r="BC1852" s="803" t="b">
        <v>0</v>
      </c>
      <c r="BD1852" s="808"/>
      <c r="BE1852" s="803"/>
      <c r="BF1852" s="789">
        <v>1</v>
      </c>
      <c r="BG1852" s="789">
        <v>10</v>
      </c>
      <c r="BH1852" s="789">
        <v>5</v>
      </c>
      <c r="BI1852" s="789"/>
      <c r="BJ1852" s="790"/>
      <c r="BK1852" s="790"/>
      <c r="BL1852" s="793">
        <v>0</v>
      </c>
      <c r="BM1852" s="790"/>
      <c r="BN1852" s="803"/>
      <c r="BO1852" s="803"/>
      <c r="BP1852" s="803"/>
      <c r="BQ1852" s="803"/>
      <c r="BR1852" s="803"/>
      <c r="BS1852" s="807"/>
      <c r="BT1852" s="790"/>
      <c r="BU1852" s="809"/>
      <c r="BV1852" s="807"/>
      <c r="BW1852" s="586" t="s">
        <v>3117</v>
      </c>
      <c r="BX1852" s="808"/>
      <c r="BY1852" s="803"/>
      <c r="BZ1852" s="812"/>
      <c r="CA1852" s="812"/>
      <c r="CB1852" s="803"/>
      <c r="CC1852" s="803"/>
      <c r="CD1852" s="803"/>
      <c r="CE1852" s="803"/>
      <c r="CF1852" s="803"/>
      <c r="CG1852" s="803"/>
      <c r="CH1852" s="803"/>
      <c r="CI1852" s="803"/>
      <c r="CJ1852" s="803"/>
      <c r="CK1852" s="803"/>
      <c r="CL1852" s="813"/>
      <c r="CM1852" s="813"/>
      <c r="CN1852" s="813">
        <v>7.39</v>
      </c>
      <c r="CO1852" s="813">
        <v>7.39</v>
      </c>
      <c r="CP1852" s="813">
        <v>7.39</v>
      </c>
      <c r="CQ1852" s="813">
        <v>7.39</v>
      </c>
      <c r="CR1852" s="813">
        <v>7.39</v>
      </c>
      <c r="CS1852" s="813">
        <v>7.39</v>
      </c>
      <c r="CT1852" s="813">
        <v>7.39</v>
      </c>
      <c r="CU1852" s="813"/>
      <c r="CV1852" s="813"/>
      <c r="CW1852" s="813"/>
      <c r="CX1852" s="813"/>
      <c r="CY1852" s="803"/>
      <c r="CZ1852" s="803"/>
      <c r="DA1852" s="803"/>
      <c r="DB1852" s="803"/>
      <c r="DC1852" s="803"/>
      <c r="DD1852" s="803"/>
      <c r="DE1852" s="803"/>
      <c r="DF1852" s="803"/>
      <c r="DG1852" s="803"/>
      <c r="DH1852" s="803"/>
      <c r="DI1852" s="803"/>
      <c r="DJ1852" s="803"/>
      <c r="DK1852" s="897"/>
    </row>
    <row r="1853" spans="1:126" ht="25.5" x14ac:dyDescent="0.2">
      <c r="A1853" s="295">
        <v>1849</v>
      </c>
      <c r="B1853" s="502" t="s">
        <v>9460</v>
      </c>
      <c r="C1853" s="803" t="s">
        <v>9463</v>
      </c>
      <c r="D1853" s="803"/>
      <c r="E1853" s="804" t="s">
        <v>9462</v>
      </c>
      <c r="F1853" s="726" t="s">
        <v>1352</v>
      </c>
      <c r="G1853" s="726" t="s">
        <v>1673</v>
      </c>
      <c r="H1853" s="773" t="s">
        <v>313</v>
      </c>
      <c r="I1853" s="803"/>
      <c r="J1853" s="803"/>
      <c r="K1853" s="773"/>
      <c r="L1853" s="803" t="s">
        <v>9481</v>
      </c>
      <c r="M1853" s="803" t="s">
        <v>9482</v>
      </c>
      <c r="N1853" s="448" t="s">
        <v>33</v>
      </c>
      <c r="O1853" s="586" t="s">
        <v>5491</v>
      </c>
      <c r="P1853" s="586" t="s">
        <v>5491</v>
      </c>
      <c r="Q1853" s="586" t="s">
        <v>1831</v>
      </c>
      <c r="R1853" s="803"/>
      <c r="S1853" s="803" t="s">
        <v>291</v>
      </c>
      <c r="T1853" s="789">
        <v>4</v>
      </c>
      <c r="U1853" s="805">
        <v>58.044999999999995</v>
      </c>
      <c r="V1853" s="806"/>
      <c r="W1853" s="727"/>
      <c r="X1853" s="807"/>
      <c r="Y1853" s="789"/>
      <c r="Z1853" s="790"/>
      <c r="AA1853" s="803"/>
      <c r="AB1853" s="591"/>
      <c r="AC1853" s="807">
        <v>0</v>
      </c>
      <c r="AD1853" s="805">
        <v>150.12186301369863</v>
      </c>
      <c r="AE1853" s="808" t="s">
        <v>9476</v>
      </c>
      <c r="AF1853" s="809"/>
      <c r="AG1853" s="809"/>
      <c r="AH1853" s="809">
        <v>0</v>
      </c>
      <c r="AI1853" s="790"/>
      <c r="AJ1853" s="810"/>
      <c r="AK1853" s="810"/>
      <c r="AL1853" s="803"/>
      <c r="AM1853" s="803"/>
      <c r="AN1853" s="809"/>
      <c r="AO1853" s="803"/>
      <c r="AP1853" s="586" t="s">
        <v>55</v>
      </c>
      <c r="AQ1853" s="803"/>
      <c r="AR1853" s="585" t="s">
        <v>112</v>
      </c>
      <c r="AS1853" s="591">
        <v>43175</v>
      </c>
      <c r="AT1853" s="811"/>
      <c r="AU1853" s="803"/>
      <c r="AV1853" s="803"/>
      <c r="AW1853" s="803"/>
      <c r="AX1853" s="803"/>
      <c r="AY1853" s="810"/>
      <c r="AZ1853" s="810"/>
      <c r="BA1853" s="811"/>
      <c r="BB1853" s="808" t="s">
        <v>3147</v>
      </c>
      <c r="BC1853" s="803" t="b">
        <v>1</v>
      </c>
      <c r="BD1853" s="808" t="s">
        <v>3147</v>
      </c>
      <c r="BE1853" s="803"/>
      <c r="BF1853" s="789">
        <v>1</v>
      </c>
      <c r="BG1853" s="789">
        <v>10</v>
      </c>
      <c r="BH1853" s="789">
        <v>5</v>
      </c>
      <c r="BI1853" s="789">
        <v>11</v>
      </c>
      <c r="BJ1853" s="790">
        <v>8</v>
      </c>
      <c r="BK1853" s="790"/>
      <c r="BL1853" s="793">
        <v>0</v>
      </c>
      <c r="BM1853" s="790"/>
      <c r="BN1853" s="803"/>
      <c r="BO1853" s="803"/>
      <c r="BP1853" s="803"/>
      <c r="BQ1853" s="803"/>
      <c r="BR1853" s="803"/>
      <c r="BS1853" s="807">
        <v>40</v>
      </c>
      <c r="BT1853" s="790"/>
      <c r="BU1853" s="809"/>
      <c r="BV1853" s="807"/>
      <c r="BW1853" s="586" t="s">
        <v>3117</v>
      </c>
      <c r="BX1853" s="808"/>
      <c r="BY1853" s="803"/>
      <c r="BZ1853" s="812"/>
      <c r="CA1853" s="812"/>
      <c r="CB1853" s="803"/>
      <c r="CC1853" s="803"/>
      <c r="CD1853" s="803"/>
      <c r="CE1853" s="803"/>
      <c r="CF1853" s="803"/>
      <c r="CG1853" s="803"/>
      <c r="CH1853" s="803"/>
      <c r="CI1853" s="803"/>
      <c r="CJ1853" s="803"/>
      <c r="CK1853" s="803"/>
      <c r="CL1853" s="813"/>
      <c r="CM1853" s="813"/>
      <c r="CN1853" s="813"/>
      <c r="CO1853" s="813"/>
      <c r="CP1853" s="813"/>
      <c r="CQ1853" s="813"/>
      <c r="CR1853" s="813"/>
      <c r="CS1853" s="813"/>
      <c r="CT1853" s="813"/>
      <c r="CU1853" s="813"/>
      <c r="CV1853" s="813"/>
      <c r="CW1853" s="813"/>
      <c r="CX1853" s="813"/>
      <c r="CY1853" s="803"/>
      <c r="CZ1853" s="803"/>
      <c r="DA1853" s="803"/>
      <c r="DB1853" s="803"/>
      <c r="DC1853" s="803"/>
      <c r="DD1853" s="803"/>
      <c r="DE1853" s="803"/>
      <c r="DF1853" s="803"/>
      <c r="DG1853" s="803"/>
      <c r="DH1853" s="803"/>
      <c r="DI1853" s="803"/>
      <c r="DJ1853" s="803"/>
      <c r="DK1853" s="897"/>
    </row>
    <row r="1854" spans="1:126" ht="38.25" x14ac:dyDescent="0.2">
      <c r="A1854" s="295">
        <v>1850</v>
      </c>
      <c r="B1854" s="502" t="s">
        <v>9461</v>
      </c>
      <c r="C1854" s="803"/>
      <c r="D1854" s="803"/>
      <c r="E1854" s="804" t="s">
        <v>9464</v>
      </c>
      <c r="F1854" s="726" t="s">
        <v>1352</v>
      </c>
      <c r="G1854" s="726" t="s">
        <v>1673</v>
      </c>
      <c r="H1854" s="773" t="s">
        <v>313</v>
      </c>
      <c r="I1854" s="803"/>
      <c r="J1854" s="803"/>
      <c r="K1854" s="773"/>
      <c r="L1854" s="803" t="s">
        <v>9481</v>
      </c>
      <c r="M1854" s="803"/>
      <c r="N1854" s="448" t="s">
        <v>33</v>
      </c>
      <c r="O1854" s="586" t="s">
        <v>827</v>
      </c>
      <c r="P1854" s="586" t="s">
        <v>827</v>
      </c>
      <c r="Q1854" s="586" t="s">
        <v>836</v>
      </c>
      <c r="R1854" s="803" t="s">
        <v>9483</v>
      </c>
      <c r="S1854" s="803" t="s">
        <v>291</v>
      </c>
      <c r="T1854" s="789">
        <v>1</v>
      </c>
      <c r="U1854" s="805">
        <v>14.978</v>
      </c>
      <c r="V1854" s="806"/>
      <c r="W1854" s="727"/>
      <c r="X1854" s="807"/>
      <c r="Y1854" s="789">
        <v>7</v>
      </c>
      <c r="Z1854" s="790">
        <v>30</v>
      </c>
      <c r="AA1854" s="803"/>
      <c r="AB1854" s="591">
        <v>43252</v>
      </c>
      <c r="AC1854" s="807"/>
      <c r="AD1854" s="807">
        <v>38.73762191780822</v>
      </c>
      <c r="AE1854" s="808" t="s">
        <v>9476</v>
      </c>
      <c r="AF1854" s="809"/>
      <c r="AG1854" s="809"/>
      <c r="AH1854" s="809"/>
      <c r="AI1854" s="790"/>
      <c r="AJ1854" s="810"/>
      <c r="AK1854" s="810"/>
      <c r="AL1854" s="803"/>
      <c r="AM1854" s="803"/>
      <c r="AN1854" s="809"/>
      <c r="AO1854" s="803"/>
      <c r="AP1854" s="586" t="s">
        <v>55</v>
      </c>
      <c r="AQ1854" s="803"/>
      <c r="AR1854" s="585" t="s">
        <v>112</v>
      </c>
      <c r="AS1854" s="591">
        <v>43175</v>
      </c>
      <c r="AT1854" s="811"/>
      <c r="AU1854" s="803"/>
      <c r="AV1854" s="803"/>
      <c r="AW1854" s="803"/>
      <c r="AX1854" s="803"/>
      <c r="AY1854" s="810"/>
      <c r="AZ1854" s="810"/>
      <c r="BA1854" s="811"/>
      <c r="BB1854" s="808"/>
      <c r="BC1854" s="803" t="b">
        <v>1</v>
      </c>
      <c r="BD1854" s="808"/>
      <c r="BE1854" s="803"/>
      <c r="BF1854" s="789">
        <v>1</v>
      </c>
      <c r="BG1854" s="789">
        <v>10</v>
      </c>
      <c r="BH1854" s="789">
        <v>5</v>
      </c>
      <c r="BI1854" s="789">
        <v>11</v>
      </c>
      <c r="BJ1854" s="790">
        <v>8</v>
      </c>
      <c r="BK1854" s="790"/>
      <c r="BL1854" s="793">
        <v>0</v>
      </c>
      <c r="BM1854" s="790"/>
      <c r="BN1854" s="803"/>
      <c r="BO1854" s="803"/>
      <c r="BP1854" s="803"/>
      <c r="BQ1854" s="803"/>
      <c r="BR1854" s="803"/>
      <c r="BS1854" s="807">
        <v>10</v>
      </c>
      <c r="BT1854" s="790">
        <v>19727</v>
      </c>
      <c r="BU1854" s="809">
        <v>0.75929999999999997</v>
      </c>
      <c r="BV1854" s="807"/>
      <c r="BW1854" s="586" t="s">
        <v>3117</v>
      </c>
      <c r="BX1854" s="808"/>
      <c r="BY1854" s="803"/>
      <c r="BZ1854" s="812"/>
      <c r="CA1854" s="812"/>
      <c r="CB1854" s="803"/>
      <c r="CC1854" s="803"/>
      <c r="CD1854" s="803"/>
      <c r="CE1854" s="803"/>
      <c r="CF1854" s="803"/>
      <c r="CG1854" s="803"/>
      <c r="CH1854" s="803"/>
      <c r="CI1854" s="803"/>
      <c r="CJ1854" s="803"/>
      <c r="CK1854" s="803"/>
      <c r="CL1854" s="813"/>
      <c r="CM1854" s="813"/>
      <c r="CN1854" s="813">
        <v>14.978</v>
      </c>
      <c r="CO1854" s="813">
        <v>14.978</v>
      </c>
      <c r="CP1854" s="813">
        <v>14.978</v>
      </c>
      <c r="CQ1854" s="813">
        <v>14.978</v>
      </c>
      <c r="CR1854" s="813">
        <v>14.978</v>
      </c>
      <c r="CS1854" s="813">
        <v>14.978</v>
      </c>
      <c r="CT1854" s="813">
        <v>14.978</v>
      </c>
      <c r="CU1854" s="813"/>
      <c r="CV1854" s="813"/>
      <c r="CW1854" s="813"/>
      <c r="CX1854" s="813"/>
      <c r="CY1854" s="803"/>
      <c r="CZ1854" s="803"/>
      <c r="DA1854" s="803"/>
      <c r="DB1854" s="803"/>
      <c r="DC1854" s="803"/>
      <c r="DD1854" s="803"/>
      <c r="DE1854" s="803"/>
      <c r="DF1854" s="803"/>
      <c r="DG1854" s="803"/>
      <c r="DH1854" s="803"/>
      <c r="DI1854" s="803"/>
      <c r="DJ1854" s="803"/>
      <c r="DK1854" s="897"/>
    </row>
    <row r="1855" spans="1:126" ht="38.25" x14ac:dyDescent="0.2">
      <c r="A1855" s="295">
        <v>1851</v>
      </c>
      <c r="B1855" s="502" t="s">
        <v>9468</v>
      </c>
      <c r="C1855" s="803"/>
      <c r="D1855" s="803"/>
      <c r="E1855" s="804" t="s">
        <v>9465</v>
      </c>
      <c r="F1855" s="461" t="s">
        <v>1352</v>
      </c>
      <c r="G1855" s="461" t="s">
        <v>1673</v>
      </c>
      <c r="H1855" s="524" t="s">
        <v>313</v>
      </c>
      <c r="I1855" s="803"/>
      <c r="J1855" s="803"/>
      <c r="K1855" s="773"/>
      <c r="L1855" s="803" t="s">
        <v>9481</v>
      </c>
      <c r="M1855" s="803"/>
      <c r="N1855" s="586" t="s">
        <v>33</v>
      </c>
      <c r="O1855" s="448" t="s">
        <v>827</v>
      </c>
      <c r="P1855" s="448" t="s">
        <v>827</v>
      </c>
      <c r="Q1855" s="448" t="s">
        <v>836</v>
      </c>
      <c r="R1855" s="803" t="s">
        <v>9483</v>
      </c>
      <c r="S1855" s="803" t="s">
        <v>291</v>
      </c>
      <c r="T1855" s="789">
        <v>1</v>
      </c>
      <c r="U1855" s="805">
        <v>12.936999999999999</v>
      </c>
      <c r="V1855" s="806"/>
      <c r="W1855" s="727"/>
      <c r="X1855" s="807"/>
      <c r="Y1855" s="789">
        <v>7</v>
      </c>
      <c r="Z1855" s="790">
        <v>30</v>
      </c>
      <c r="AA1855" s="803"/>
      <c r="AB1855" s="591">
        <v>43252</v>
      </c>
      <c r="AC1855" s="807"/>
      <c r="AD1855" s="807">
        <v>33.458980821917812</v>
      </c>
      <c r="AE1855" s="808" t="s">
        <v>9476</v>
      </c>
      <c r="AF1855" s="809"/>
      <c r="AG1855" s="809"/>
      <c r="AH1855" s="809"/>
      <c r="AI1855" s="790"/>
      <c r="AJ1855" s="810"/>
      <c r="AK1855" s="810"/>
      <c r="AL1855" s="803"/>
      <c r="AM1855" s="803"/>
      <c r="AN1855" s="809"/>
      <c r="AO1855" s="803"/>
      <c r="AP1855" s="586" t="s">
        <v>55</v>
      </c>
      <c r="AQ1855" s="803"/>
      <c r="AR1855" s="585" t="s">
        <v>112</v>
      </c>
      <c r="AS1855" s="591">
        <v>43175</v>
      </c>
      <c r="AT1855" s="811"/>
      <c r="AU1855" s="803"/>
      <c r="AV1855" s="803"/>
      <c r="AW1855" s="803"/>
      <c r="AX1855" s="803"/>
      <c r="AY1855" s="810"/>
      <c r="AZ1855" s="810"/>
      <c r="BA1855" s="811"/>
      <c r="BB1855" s="808"/>
      <c r="BC1855" s="803" t="b">
        <v>1</v>
      </c>
      <c r="BD1855" s="808"/>
      <c r="BE1855" s="803"/>
      <c r="BF1855" s="789">
        <v>1</v>
      </c>
      <c r="BG1855" s="789">
        <v>10</v>
      </c>
      <c r="BH1855" s="789">
        <v>5</v>
      </c>
      <c r="BI1855" s="789">
        <v>11</v>
      </c>
      <c r="BJ1855" s="790">
        <v>8</v>
      </c>
      <c r="BK1855" s="790"/>
      <c r="BL1855" s="776">
        <v>0</v>
      </c>
      <c r="BM1855" s="790"/>
      <c r="BN1855" s="803"/>
      <c r="BO1855" s="803"/>
      <c r="BP1855" s="803"/>
      <c r="BQ1855" s="803"/>
      <c r="BR1855" s="803"/>
      <c r="BS1855" s="807">
        <v>10</v>
      </c>
      <c r="BT1855" s="790">
        <v>17038</v>
      </c>
      <c r="BU1855" s="809">
        <v>0.75929999999999997</v>
      </c>
      <c r="BV1855" s="807"/>
      <c r="BW1855" s="586" t="s">
        <v>3117</v>
      </c>
      <c r="BX1855" s="808"/>
      <c r="BY1855" s="803"/>
      <c r="BZ1855" s="812"/>
      <c r="CA1855" s="812"/>
      <c r="CB1855" s="803"/>
      <c r="CC1855" s="803"/>
      <c r="CD1855" s="803"/>
      <c r="CE1855" s="803"/>
      <c r="CF1855" s="803"/>
      <c r="CG1855" s="803"/>
      <c r="CH1855" s="803"/>
      <c r="CI1855" s="803"/>
      <c r="CJ1855" s="803"/>
      <c r="CK1855" s="803"/>
      <c r="CL1855" s="813"/>
      <c r="CM1855" s="813"/>
      <c r="CN1855" s="813">
        <v>12.936999999999999</v>
      </c>
      <c r="CO1855" s="813">
        <v>12.936999999999999</v>
      </c>
      <c r="CP1855" s="813">
        <v>12.936999999999999</v>
      </c>
      <c r="CQ1855" s="813">
        <v>12.936999999999999</v>
      </c>
      <c r="CR1855" s="813">
        <v>12.936999999999999</v>
      </c>
      <c r="CS1855" s="813">
        <v>12.936999999999999</v>
      </c>
      <c r="CT1855" s="813">
        <v>12.936999999999999</v>
      </c>
      <c r="CU1855" s="813"/>
      <c r="CV1855" s="813"/>
      <c r="CW1855" s="813"/>
      <c r="CX1855" s="813"/>
      <c r="CY1855" s="803"/>
      <c r="CZ1855" s="803"/>
      <c r="DA1855" s="803"/>
      <c r="DB1855" s="803"/>
      <c r="DC1855" s="803"/>
      <c r="DD1855" s="803"/>
      <c r="DE1855" s="803"/>
      <c r="DF1855" s="803"/>
      <c r="DG1855" s="803"/>
      <c r="DH1855" s="803"/>
      <c r="DI1855" s="803"/>
      <c r="DJ1855" s="803"/>
      <c r="DK1855" s="897"/>
      <c r="DL1855" s="814"/>
      <c r="DM1855" s="814"/>
      <c r="DN1855" s="814"/>
      <c r="DO1855" s="814"/>
      <c r="DP1855" s="814"/>
      <c r="DQ1855" s="814"/>
      <c r="DR1855" s="814"/>
      <c r="DS1855" s="814"/>
      <c r="DT1855" s="814"/>
      <c r="DU1855" s="814"/>
      <c r="DV1855" s="814"/>
    </row>
    <row r="1856" spans="1:126" ht="38.25" x14ac:dyDescent="0.2">
      <c r="A1856" s="295">
        <v>1852</v>
      </c>
      <c r="B1856" s="502" t="s">
        <v>9469</v>
      </c>
      <c r="C1856" s="803"/>
      <c r="D1856" s="803"/>
      <c r="E1856" s="804" t="s">
        <v>9466</v>
      </c>
      <c r="F1856" s="461" t="s">
        <v>1352</v>
      </c>
      <c r="G1856" s="461" t="s">
        <v>1673</v>
      </c>
      <c r="H1856" s="524" t="s">
        <v>313</v>
      </c>
      <c r="I1856" s="803"/>
      <c r="J1856" s="803"/>
      <c r="K1856" s="773"/>
      <c r="L1856" s="803" t="s">
        <v>9481</v>
      </c>
      <c r="M1856" s="803"/>
      <c r="N1856" s="586" t="s">
        <v>33</v>
      </c>
      <c r="O1856" s="448" t="s">
        <v>827</v>
      </c>
      <c r="P1856" s="448" t="s">
        <v>827</v>
      </c>
      <c r="Q1856" s="448" t="s">
        <v>836</v>
      </c>
      <c r="R1856" s="803" t="s">
        <v>9483</v>
      </c>
      <c r="S1856" s="803" t="s">
        <v>291</v>
      </c>
      <c r="T1856" s="789">
        <v>1</v>
      </c>
      <c r="U1856" s="805">
        <v>15.065</v>
      </c>
      <c r="V1856" s="806"/>
      <c r="W1856" s="727"/>
      <c r="X1856" s="807"/>
      <c r="Y1856" s="789">
        <v>7</v>
      </c>
      <c r="Z1856" s="790">
        <v>30</v>
      </c>
      <c r="AA1856" s="803"/>
      <c r="AB1856" s="591">
        <v>43252</v>
      </c>
      <c r="AC1856" s="807"/>
      <c r="AD1856" s="807">
        <v>38.962630136986299</v>
      </c>
      <c r="AE1856" s="808" t="s">
        <v>9476</v>
      </c>
      <c r="AF1856" s="809"/>
      <c r="AG1856" s="809"/>
      <c r="AH1856" s="809"/>
      <c r="AI1856" s="790"/>
      <c r="AJ1856" s="810"/>
      <c r="AK1856" s="810"/>
      <c r="AL1856" s="803"/>
      <c r="AM1856" s="803"/>
      <c r="AN1856" s="809"/>
      <c r="AO1856" s="803"/>
      <c r="AP1856" s="586" t="s">
        <v>55</v>
      </c>
      <c r="AQ1856" s="803"/>
      <c r="AR1856" s="585" t="s">
        <v>112</v>
      </c>
      <c r="AS1856" s="591">
        <v>43175</v>
      </c>
      <c r="AT1856" s="811"/>
      <c r="AU1856" s="803"/>
      <c r="AV1856" s="803"/>
      <c r="AW1856" s="803"/>
      <c r="AX1856" s="803"/>
      <c r="AY1856" s="810"/>
      <c r="AZ1856" s="810"/>
      <c r="BA1856" s="811"/>
      <c r="BB1856" s="808"/>
      <c r="BC1856" s="803" t="b">
        <v>1</v>
      </c>
      <c r="BD1856" s="808"/>
      <c r="BE1856" s="803"/>
      <c r="BF1856" s="789">
        <v>1</v>
      </c>
      <c r="BG1856" s="789">
        <v>10</v>
      </c>
      <c r="BH1856" s="789">
        <v>5</v>
      </c>
      <c r="BI1856" s="789">
        <v>11</v>
      </c>
      <c r="BJ1856" s="790">
        <v>8</v>
      </c>
      <c r="BK1856" s="790"/>
      <c r="BL1856" s="776">
        <v>0</v>
      </c>
      <c r="BM1856" s="790"/>
      <c r="BN1856" s="803"/>
      <c r="BO1856" s="803"/>
      <c r="BP1856" s="803"/>
      <c r="BQ1856" s="803"/>
      <c r="BR1856" s="803"/>
      <c r="BS1856" s="807">
        <v>10</v>
      </c>
      <c r="BT1856" s="790">
        <v>19841</v>
      </c>
      <c r="BU1856" s="809">
        <v>0.75929999999999997</v>
      </c>
      <c r="BV1856" s="807"/>
      <c r="BW1856" s="586" t="s">
        <v>3117</v>
      </c>
      <c r="BX1856" s="808"/>
      <c r="BY1856" s="803"/>
      <c r="BZ1856" s="812"/>
      <c r="CA1856" s="812"/>
      <c r="CB1856" s="803"/>
      <c r="CC1856" s="803"/>
      <c r="CD1856" s="803"/>
      <c r="CE1856" s="803"/>
      <c r="CF1856" s="803"/>
      <c r="CG1856" s="803"/>
      <c r="CH1856" s="803"/>
      <c r="CI1856" s="803"/>
      <c r="CJ1856" s="803"/>
      <c r="CK1856" s="803"/>
      <c r="CL1856" s="813"/>
      <c r="CM1856" s="813"/>
      <c r="CN1856" s="813">
        <v>15.065</v>
      </c>
      <c r="CO1856" s="813">
        <v>15.065</v>
      </c>
      <c r="CP1856" s="813">
        <v>15.065</v>
      </c>
      <c r="CQ1856" s="813">
        <v>15.065</v>
      </c>
      <c r="CR1856" s="813">
        <v>15.065</v>
      </c>
      <c r="CS1856" s="813">
        <v>15.065</v>
      </c>
      <c r="CT1856" s="813">
        <v>15.065</v>
      </c>
      <c r="CU1856" s="813"/>
      <c r="CV1856" s="813"/>
      <c r="CW1856" s="813"/>
      <c r="CX1856" s="813"/>
      <c r="CY1856" s="803"/>
      <c r="CZ1856" s="803"/>
      <c r="DA1856" s="803"/>
      <c r="DB1856" s="803"/>
      <c r="DC1856" s="803"/>
      <c r="DD1856" s="803"/>
      <c r="DE1856" s="803"/>
      <c r="DF1856" s="803"/>
      <c r="DG1856" s="803"/>
      <c r="DH1856" s="803"/>
      <c r="DI1856" s="803"/>
      <c r="DJ1856" s="803"/>
      <c r="DK1856" s="897"/>
      <c r="DL1856" s="814"/>
      <c r="DM1856" s="814"/>
      <c r="DN1856" s="814"/>
      <c r="DO1856" s="814"/>
      <c r="DP1856" s="814"/>
      <c r="DQ1856" s="814"/>
      <c r="DR1856" s="814"/>
      <c r="DS1856" s="814"/>
      <c r="DT1856" s="814"/>
      <c r="DU1856" s="814"/>
      <c r="DV1856" s="814"/>
    </row>
    <row r="1857" spans="1:126" ht="38.25" x14ac:dyDescent="0.2">
      <c r="A1857" s="295">
        <v>1853</v>
      </c>
      <c r="B1857" s="502" t="s">
        <v>9470</v>
      </c>
      <c r="C1857" s="803"/>
      <c r="D1857" s="803"/>
      <c r="E1857" s="804" t="s">
        <v>9467</v>
      </c>
      <c r="F1857" s="726" t="s">
        <v>1352</v>
      </c>
      <c r="G1857" s="726" t="s">
        <v>1673</v>
      </c>
      <c r="H1857" s="773" t="s">
        <v>313</v>
      </c>
      <c r="I1857" s="803"/>
      <c r="J1857" s="803"/>
      <c r="K1857" s="773"/>
      <c r="L1857" s="803" t="s">
        <v>9481</v>
      </c>
      <c r="M1857" s="803"/>
      <c r="N1857" s="586" t="s">
        <v>33</v>
      </c>
      <c r="O1857" s="448" t="s">
        <v>827</v>
      </c>
      <c r="P1857" s="448" t="s">
        <v>827</v>
      </c>
      <c r="Q1857" s="448" t="s">
        <v>836</v>
      </c>
      <c r="R1857" s="803" t="s">
        <v>9483</v>
      </c>
      <c r="S1857" s="803" t="s">
        <v>291</v>
      </c>
      <c r="T1857" s="789">
        <v>1</v>
      </c>
      <c r="U1857" s="805">
        <v>15.065</v>
      </c>
      <c r="V1857" s="806"/>
      <c r="W1857" s="727"/>
      <c r="X1857" s="807"/>
      <c r="Y1857" s="789">
        <v>7</v>
      </c>
      <c r="Z1857" s="790">
        <v>30</v>
      </c>
      <c r="AA1857" s="803"/>
      <c r="AB1857" s="591">
        <v>43252</v>
      </c>
      <c r="AC1857" s="807"/>
      <c r="AD1857" s="807">
        <v>38.962630136986299</v>
      </c>
      <c r="AE1857" s="808" t="s">
        <v>9476</v>
      </c>
      <c r="AF1857" s="809"/>
      <c r="AG1857" s="809"/>
      <c r="AH1857" s="809"/>
      <c r="AI1857" s="790"/>
      <c r="AJ1857" s="810"/>
      <c r="AK1857" s="810"/>
      <c r="AL1857" s="803"/>
      <c r="AM1857" s="803"/>
      <c r="AN1857" s="809"/>
      <c r="AO1857" s="803"/>
      <c r="AP1857" s="586" t="s">
        <v>55</v>
      </c>
      <c r="AQ1857" s="803"/>
      <c r="AR1857" s="585" t="s">
        <v>112</v>
      </c>
      <c r="AS1857" s="591">
        <v>43175</v>
      </c>
      <c r="AT1857" s="811"/>
      <c r="AU1857" s="803"/>
      <c r="AV1857" s="803"/>
      <c r="AW1857" s="803"/>
      <c r="AX1857" s="803"/>
      <c r="AY1857" s="810"/>
      <c r="AZ1857" s="810"/>
      <c r="BA1857" s="811"/>
      <c r="BB1857" s="808"/>
      <c r="BC1857" s="803" t="b">
        <v>1</v>
      </c>
      <c r="BD1857" s="808"/>
      <c r="BE1857" s="803"/>
      <c r="BF1857" s="789">
        <v>1</v>
      </c>
      <c r="BG1857" s="789">
        <v>10</v>
      </c>
      <c r="BH1857" s="789">
        <v>5</v>
      </c>
      <c r="BI1857" s="789">
        <v>11</v>
      </c>
      <c r="BJ1857" s="790">
        <v>8</v>
      </c>
      <c r="BK1857" s="790"/>
      <c r="BL1857" s="793">
        <v>0</v>
      </c>
      <c r="BM1857" s="790"/>
      <c r="BN1857" s="803"/>
      <c r="BO1857" s="803"/>
      <c r="BP1857" s="803"/>
      <c r="BQ1857" s="803"/>
      <c r="BR1857" s="803"/>
      <c r="BS1857" s="807">
        <v>10</v>
      </c>
      <c r="BT1857" s="790">
        <v>19841</v>
      </c>
      <c r="BU1857" s="809">
        <v>0.75929999999999997</v>
      </c>
      <c r="BV1857" s="807"/>
      <c r="BW1857" s="586" t="s">
        <v>3117</v>
      </c>
      <c r="BX1857" s="808"/>
      <c r="BY1857" s="803"/>
      <c r="BZ1857" s="812"/>
      <c r="CA1857" s="812"/>
      <c r="CB1857" s="803"/>
      <c r="CC1857" s="803"/>
      <c r="CD1857" s="803"/>
      <c r="CE1857" s="803"/>
      <c r="CF1857" s="803"/>
      <c r="CG1857" s="803"/>
      <c r="CH1857" s="803"/>
      <c r="CI1857" s="803"/>
      <c r="CJ1857" s="803"/>
      <c r="CK1857" s="803"/>
      <c r="CL1857" s="813"/>
      <c r="CM1857" s="813"/>
      <c r="CN1857" s="813">
        <v>15.065</v>
      </c>
      <c r="CO1857" s="813">
        <v>15.065</v>
      </c>
      <c r="CP1857" s="813">
        <v>15.065</v>
      </c>
      <c r="CQ1857" s="813">
        <v>15.065</v>
      </c>
      <c r="CR1857" s="813">
        <v>15.065</v>
      </c>
      <c r="CS1857" s="813">
        <v>15.065</v>
      </c>
      <c r="CT1857" s="813">
        <v>15.065</v>
      </c>
      <c r="CU1857" s="813"/>
      <c r="CV1857" s="813"/>
      <c r="CW1857" s="813"/>
      <c r="CX1857" s="813"/>
      <c r="CY1857" s="803"/>
      <c r="CZ1857" s="803"/>
      <c r="DA1857" s="803"/>
      <c r="DB1857" s="803"/>
      <c r="DC1857" s="803"/>
      <c r="DD1857" s="803"/>
      <c r="DE1857" s="803"/>
      <c r="DF1857" s="803"/>
      <c r="DG1857" s="803"/>
      <c r="DH1857" s="803"/>
      <c r="DI1857" s="803"/>
      <c r="DJ1857" s="803"/>
      <c r="DK1857" s="897"/>
      <c r="DL1857" s="814"/>
      <c r="DM1857" s="814"/>
      <c r="DN1857" s="814"/>
      <c r="DO1857" s="814"/>
      <c r="DP1857" s="814"/>
      <c r="DQ1857" s="814"/>
      <c r="DR1857" s="814"/>
      <c r="DS1857" s="814"/>
      <c r="DT1857" s="814"/>
      <c r="DU1857" s="814"/>
      <c r="DV1857" s="814"/>
    </row>
    <row r="1858" spans="1:126" ht="38.25" x14ac:dyDescent="0.2">
      <c r="A1858" s="295">
        <v>1854</v>
      </c>
      <c r="B1858" s="502" t="s">
        <v>9471</v>
      </c>
      <c r="C1858" s="803" t="s">
        <v>9474</v>
      </c>
      <c r="D1858" s="803"/>
      <c r="E1858" s="804" t="s">
        <v>9473</v>
      </c>
      <c r="F1858" s="726" t="s">
        <v>1375</v>
      </c>
      <c r="G1858" s="726" t="s">
        <v>1670</v>
      </c>
      <c r="H1858" s="773" t="s">
        <v>523</v>
      </c>
      <c r="I1858" s="803" t="s">
        <v>9485</v>
      </c>
      <c r="J1858" s="803"/>
      <c r="K1858" s="773"/>
      <c r="L1858" s="803" t="s">
        <v>9484</v>
      </c>
      <c r="M1858" s="803" t="s">
        <v>9486</v>
      </c>
      <c r="N1858" s="586" t="s">
        <v>33</v>
      </c>
      <c r="O1858" s="390" t="s">
        <v>713</v>
      </c>
      <c r="P1858" s="390" t="s">
        <v>713</v>
      </c>
      <c r="Q1858" s="402" t="s">
        <v>713</v>
      </c>
      <c r="R1858" s="803"/>
      <c r="S1858" s="803" t="s">
        <v>3763</v>
      </c>
      <c r="T1858" s="789">
        <v>1</v>
      </c>
      <c r="U1858" s="805">
        <v>233.16</v>
      </c>
      <c r="V1858" s="806"/>
      <c r="W1858" s="727"/>
      <c r="X1858" s="807"/>
      <c r="Y1858" s="789">
        <v>10</v>
      </c>
      <c r="Z1858" s="790">
        <v>30</v>
      </c>
      <c r="AA1858" s="803"/>
      <c r="AB1858" s="591"/>
      <c r="AC1858" s="807">
        <v>0</v>
      </c>
      <c r="AD1858" s="807">
        <v>2331.6</v>
      </c>
      <c r="AE1858" s="808" t="s">
        <v>7354</v>
      </c>
      <c r="AF1858" s="809"/>
      <c r="AG1858" s="809"/>
      <c r="AH1858" s="809">
        <v>0</v>
      </c>
      <c r="AI1858" s="790"/>
      <c r="AJ1858" s="810"/>
      <c r="AK1858" s="810"/>
      <c r="AL1858" s="803"/>
      <c r="AM1858" s="803"/>
      <c r="AN1858" s="809"/>
      <c r="AO1858" s="803"/>
      <c r="AP1858" s="586" t="s">
        <v>55</v>
      </c>
      <c r="AQ1858" s="803"/>
      <c r="AR1858" s="585" t="s">
        <v>9488</v>
      </c>
      <c r="AS1858" s="591">
        <v>43179</v>
      </c>
      <c r="AT1858" s="811"/>
      <c r="AU1858" s="803"/>
      <c r="AV1858" s="803"/>
      <c r="AW1858" s="803"/>
      <c r="AX1858" s="803"/>
      <c r="AY1858" s="810"/>
      <c r="AZ1858" s="810"/>
      <c r="BA1858" s="811"/>
      <c r="BB1858" s="808" t="s">
        <v>3116</v>
      </c>
      <c r="BC1858" s="803" t="b">
        <v>0</v>
      </c>
      <c r="BD1858" s="808" t="s">
        <v>3116</v>
      </c>
      <c r="BE1858" s="803"/>
      <c r="BF1858" s="789">
        <v>5</v>
      </c>
      <c r="BG1858" s="789">
        <v>7</v>
      </c>
      <c r="BH1858" s="789">
        <v>3</v>
      </c>
      <c r="BI1858" s="789"/>
      <c r="BJ1858" s="790"/>
      <c r="BK1858" s="790"/>
      <c r="BL1858" s="793">
        <v>0</v>
      </c>
      <c r="BM1858" s="790"/>
      <c r="BN1858" s="803"/>
      <c r="BO1858" s="803"/>
      <c r="BP1858" s="803"/>
      <c r="BQ1858" s="803"/>
      <c r="BR1858" s="803"/>
      <c r="BS1858" s="807">
        <v>0</v>
      </c>
      <c r="BT1858" s="790"/>
      <c r="BU1858" s="809"/>
      <c r="BV1858" s="807"/>
      <c r="BW1858" s="586" t="s">
        <v>3117</v>
      </c>
      <c r="BX1858" s="808"/>
      <c r="BY1858" s="803"/>
      <c r="BZ1858" s="812"/>
      <c r="CA1858" s="812"/>
      <c r="CB1858" s="803"/>
      <c r="CC1858" s="803"/>
      <c r="CD1858" s="803"/>
      <c r="CE1858" s="803"/>
      <c r="CF1858" s="803"/>
      <c r="CG1858" s="803"/>
      <c r="CH1858" s="803"/>
      <c r="CI1858" s="803"/>
      <c r="CJ1858" s="803"/>
      <c r="CK1858" s="803"/>
      <c r="CL1858" s="813"/>
      <c r="CM1858" s="813"/>
      <c r="CN1858" s="813"/>
      <c r="CO1858" s="813"/>
      <c r="CP1858" s="813"/>
      <c r="CQ1858" s="813"/>
      <c r="CR1858" s="813"/>
      <c r="CS1858" s="813"/>
      <c r="CT1858" s="813"/>
      <c r="CU1858" s="813"/>
      <c r="CV1858" s="813"/>
      <c r="CW1858" s="813"/>
      <c r="CX1858" s="813"/>
      <c r="CY1858" s="803"/>
      <c r="CZ1858" s="803"/>
      <c r="DA1858" s="803"/>
      <c r="DB1858" s="803"/>
      <c r="DC1858" s="803"/>
      <c r="DD1858" s="803"/>
      <c r="DE1858" s="803"/>
      <c r="DF1858" s="803"/>
      <c r="DG1858" s="803"/>
      <c r="DH1858" s="803"/>
      <c r="DI1858" s="803"/>
      <c r="DJ1858" s="803"/>
      <c r="DK1858" s="897"/>
      <c r="DL1858" s="814"/>
      <c r="DM1858" s="814"/>
      <c r="DN1858" s="814"/>
      <c r="DO1858" s="814"/>
      <c r="DP1858" s="814"/>
      <c r="DQ1858" s="814"/>
      <c r="DR1858" s="814"/>
      <c r="DS1858" s="814"/>
      <c r="DT1858" s="814"/>
      <c r="DU1858" s="814"/>
      <c r="DV1858" s="814"/>
    </row>
    <row r="1859" spans="1:126" ht="25.5" x14ac:dyDescent="0.2">
      <c r="A1859" s="295">
        <v>1855</v>
      </c>
      <c r="B1859" s="502" t="s">
        <v>9472</v>
      </c>
      <c r="C1859" s="803"/>
      <c r="D1859" s="803"/>
      <c r="E1859" s="804" t="s">
        <v>9475</v>
      </c>
      <c r="F1859" s="726" t="s">
        <v>1375</v>
      </c>
      <c r="G1859" s="726" t="s">
        <v>1670</v>
      </c>
      <c r="H1859" s="773" t="s">
        <v>523</v>
      </c>
      <c r="I1859" s="803"/>
      <c r="J1859" s="803"/>
      <c r="K1859" s="773"/>
      <c r="L1859" s="803" t="s">
        <v>9484</v>
      </c>
      <c r="M1859" s="803"/>
      <c r="N1859" s="586" t="s">
        <v>33</v>
      </c>
      <c r="O1859" s="390" t="s">
        <v>713</v>
      </c>
      <c r="P1859" s="390" t="s">
        <v>713</v>
      </c>
      <c r="Q1859" s="402" t="s">
        <v>713</v>
      </c>
      <c r="R1859" s="803" t="s">
        <v>9487</v>
      </c>
      <c r="S1859" s="803" t="s">
        <v>3763</v>
      </c>
      <c r="T1859" s="789">
        <v>1</v>
      </c>
      <c r="U1859" s="805">
        <v>233.16</v>
      </c>
      <c r="V1859" s="806"/>
      <c r="W1859" s="727"/>
      <c r="X1859" s="807"/>
      <c r="Y1859" s="789">
        <v>10</v>
      </c>
      <c r="Z1859" s="790">
        <v>30</v>
      </c>
      <c r="AA1859" s="803"/>
      <c r="AB1859" s="591">
        <v>43282</v>
      </c>
      <c r="AC1859" s="807"/>
      <c r="AD1859" s="807">
        <v>2331.6</v>
      </c>
      <c r="AE1859" s="808" t="s">
        <v>7354</v>
      </c>
      <c r="AF1859" s="809"/>
      <c r="AG1859" s="809"/>
      <c r="AH1859" s="809"/>
      <c r="AI1859" s="790"/>
      <c r="AJ1859" s="810"/>
      <c r="AK1859" s="810"/>
      <c r="AL1859" s="803"/>
      <c r="AM1859" s="803"/>
      <c r="AN1859" s="809"/>
      <c r="AO1859" s="803"/>
      <c r="AP1859" s="586" t="s">
        <v>55</v>
      </c>
      <c r="AQ1859" s="803"/>
      <c r="AR1859" s="585" t="s">
        <v>9488</v>
      </c>
      <c r="AS1859" s="591">
        <v>43179</v>
      </c>
      <c r="AT1859" s="811"/>
      <c r="AU1859" s="803"/>
      <c r="AV1859" s="803"/>
      <c r="AW1859" s="803"/>
      <c r="AX1859" s="803"/>
      <c r="AY1859" s="810"/>
      <c r="AZ1859" s="810"/>
      <c r="BA1859" s="811"/>
      <c r="BB1859" s="808"/>
      <c r="BC1859" s="803" t="b">
        <v>0</v>
      </c>
      <c r="BD1859" s="808"/>
      <c r="BE1859" s="803"/>
      <c r="BF1859" s="789">
        <v>5</v>
      </c>
      <c r="BG1859" s="789">
        <v>7</v>
      </c>
      <c r="BH1859" s="789">
        <v>3</v>
      </c>
      <c r="BI1859" s="789"/>
      <c r="BJ1859" s="790"/>
      <c r="BK1859" s="790"/>
      <c r="BL1859" s="793">
        <v>0</v>
      </c>
      <c r="BM1859" s="790"/>
      <c r="BN1859" s="803"/>
      <c r="BO1859" s="803"/>
      <c r="BP1859" s="803"/>
      <c r="BQ1859" s="803"/>
      <c r="BR1859" s="803"/>
      <c r="BS1859" s="807"/>
      <c r="BT1859" s="790"/>
      <c r="BU1859" s="809"/>
      <c r="BV1859" s="807"/>
      <c r="BW1859" s="586" t="s">
        <v>3117</v>
      </c>
      <c r="BX1859" s="808"/>
      <c r="BY1859" s="803"/>
      <c r="BZ1859" s="812"/>
      <c r="CA1859" s="812"/>
      <c r="CB1859" s="803"/>
      <c r="CC1859" s="803"/>
      <c r="CD1859" s="803"/>
      <c r="CE1859" s="803"/>
      <c r="CF1859" s="803"/>
      <c r="CG1859" s="803"/>
      <c r="CH1859" s="803"/>
      <c r="CI1859" s="803"/>
      <c r="CJ1859" s="803"/>
      <c r="CK1859" s="803"/>
      <c r="CL1859" s="813"/>
      <c r="CM1859" s="813"/>
      <c r="CN1859" s="813"/>
      <c r="CO1859" s="813"/>
      <c r="CP1859" s="813">
        <v>10</v>
      </c>
      <c r="CQ1859" s="813">
        <v>80</v>
      </c>
      <c r="CR1859" s="813">
        <v>338</v>
      </c>
      <c r="CS1859" s="813">
        <v>958</v>
      </c>
      <c r="CT1859" s="813">
        <v>2146</v>
      </c>
      <c r="CU1859" s="813">
        <v>3954</v>
      </c>
      <c r="CV1859" s="813">
        <v>6386</v>
      </c>
      <c r="CW1859" s="813">
        <v>9444</v>
      </c>
      <c r="CX1859" s="813"/>
      <c r="CY1859" s="803"/>
      <c r="CZ1859" s="803"/>
      <c r="DA1859" s="803"/>
      <c r="DB1859" s="803"/>
      <c r="DC1859" s="803"/>
      <c r="DD1859" s="803"/>
      <c r="DE1859" s="803"/>
      <c r="DF1859" s="803"/>
      <c r="DG1859" s="803"/>
      <c r="DH1859" s="803"/>
      <c r="DI1859" s="803"/>
      <c r="DJ1859" s="803"/>
      <c r="DK1859" s="897"/>
      <c r="DL1859" s="814"/>
      <c r="DM1859" s="814"/>
      <c r="DN1859" s="814"/>
      <c r="DO1859" s="814"/>
      <c r="DP1859" s="814"/>
      <c r="DQ1859" s="814"/>
      <c r="DR1859" s="814"/>
      <c r="DS1859" s="814"/>
      <c r="DT1859" s="814"/>
      <c r="DU1859" s="814"/>
      <c r="DV1859" s="814"/>
    </row>
    <row r="1860" spans="1:126" ht="51" x14ac:dyDescent="0.2">
      <c r="A1860" s="295">
        <v>1856</v>
      </c>
      <c r="B1860" s="502" t="s">
        <v>9497</v>
      </c>
      <c r="C1860" s="803" t="s">
        <v>9499</v>
      </c>
      <c r="D1860" s="803"/>
      <c r="E1860" s="804" t="s">
        <v>9496</v>
      </c>
      <c r="F1860" s="577" t="s">
        <v>1340</v>
      </c>
      <c r="G1860" s="577" t="s">
        <v>1677</v>
      </c>
      <c r="H1860" s="577" t="s">
        <v>151</v>
      </c>
      <c r="I1860" s="803"/>
      <c r="J1860" s="803" t="s">
        <v>151</v>
      </c>
      <c r="K1860" s="773"/>
      <c r="L1860" s="803" t="s">
        <v>9514</v>
      </c>
      <c r="M1860" s="803" t="s">
        <v>9515</v>
      </c>
      <c r="N1860" s="586" t="s">
        <v>33</v>
      </c>
      <c r="O1860" s="390" t="s">
        <v>80</v>
      </c>
      <c r="P1860" s="390" t="s">
        <v>80</v>
      </c>
      <c r="Q1860" s="448" t="s">
        <v>403</v>
      </c>
      <c r="R1860" s="803"/>
      <c r="S1860" s="803" t="s">
        <v>81</v>
      </c>
      <c r="T1860" s="789">
        <v>1</v>
      </c>
      <c r="U1860" s="805">
        <v>0</v>
      </c>
      <c r="V1860" s="806"/>
      <c r="W1860" s="727"/>
      <c r="X1860" s="807"/>
      <c r="Y1860" s="789">
        <v>7</v>
      </c>
      <c r="Z1860" s="790"/>
      <c r="AA1860" s="803"/>
      <c r="AB1860" s="591"/>
      <c r="AC1860" s="807">
        <v>0</v>
      </c>
      <c r="AD1860" s="807">
        <v>0</v>
      </c>
      <c r="AE1860" s="808" t="s">
        <v>9449</v>
      </c>
      <c r="AF1860" s="809"/>
      <c r="AG1860" s="809"/>
      <c r="AH1860" s="809">
        <v>0</v>
      </c>
      <c r="AI1860" s="790"/>
      <c r="AJ1860" s="810"/>
      <c r="AK1860" s="810"/>
      <c r="AL1860" s="803"/>
      <c r="AM1860" s="803"/>
      <c r="AN1860" s="809"/>
      <c r="AO1860" s="803"/>
      <c r="AP1860" s="586" t="s">
        <v>55</v>
      </c>
      <c r="AQ1860" s="803"/>
      <c r="AR1860" s="585" t="s">
        <v>9522</v>
      </c>
      <c r="AS1860" s="591">
        <v>43196</v>
      </c>
      <c r="AT1860" s="811"/>
      <c r="AU1860" s="803"/>
      <c r="AV1860" s="803"/>
      <c r="AW1860" s="803"/>
      <c r="AX1860" s="803"/>
      <c r="AY1860" s="810"/>
      <c r="AZ1860" s="810"/>
      <c r="BA1860" s="811"/>
      <c r="BB1860" s="808" t="s">
        <v>3147</v>
      </c>
      <c r="BC1860" s="803" t="b">
        <v>0</v>
      </c>
      <c r="BD1860" s="808" t="s">
        <v>3116</v>
      </c>
      <c r="BE1860" s="803"/>
      <c r="BF1860" s="789">
        <v>5</v>
      </c>
      <c r="BG1860" s="789">
        <v>10</v>
      </c>
      <c r="BH1860" s="789"/>
      <c r="BI1860" s="789"/>
      <c r="BJ1860" s="790"/>
      <c r="BK1860" s="790"/>
      <c r="BL1860" s="793">
        <v>0</v>
      </c>
      <c r="BM1860" s="790"/>
      <c r="BN1860" s="803"/>
      <c r="BO1860" s="803"/>
      <c r="BP1860" s="803"/>
      <c r="BQ1860" s="803"/>
      <c r="BR1860" s="803"/>
      <c r="BS1860" s="807">
        <v>0</v>
      </c>
      <c r="BT1860" s="790"/>
      <c r="BU1860" s="809"/>
      <c r="BV1860" s="807"/>
      <c r="BW1860" s="586" t="s">
        <v>3117</v>
      </c>
      <c r="BX1860" s="808"/>
      <c r="BY1860" s="803"/>
      <c r="BZ1860" s="812"/>
      <c r="CA1860" s="812"/>
      <c r="CB1860" s="803"/>
      <c r="CC1860" s="803"/>
      <c r="CD1860" s="803"/>
      <c r="CE1860" s="803"/>
      <c r="CF1860" s="803"/>
      <c r="CG1860" s="803"/>
      <c r="CH1860" s="803"/>
      <c r="CI1860" s="803"/>
      <c r="CJ1860" s="803"/>
      <c r="CK1860" s="803"/>
      <c r="CL1860" s="813"/>
      <c r="CM1860" s="813"/>
      <c r="CN1860" s="813"/>
      <c r="CO1860" s="813"/>
      <c r="CP1860" s="813"/>
      <c r="CQ1860" s="813"/>
      <c r="CR1860" s="813"/>
      <c r="CS1860" s="813"/>
      <c r="CT1860" s="813"/>
      <c r="CU1860" s="813"/>
      <c r="CV1860" s="813"/>
      <c r="CW1860" s="813"/>
      <c r="CX1860" s="813"/>
      <c r="CY1860" s="803"/>
      <c r="CZ1860" s="803"/>
      <c r="DA1860" s="803"/>
      <c r="DB1860" s="803"/>
      <c r="DC1860" s="803"/>
      <c r="DD1860" s="803"/>
      <c r="DE1860" s="803"/>
      <c r="DF1860" s="803"/>
      <c r="DG1860" s="803"/>
      <c r="DH1860" s="803"/>
      <c r="DI1860" s="803"/>
      <c r="DJ1860" s="803"/>
      <c r="DK1860" s="897"/>
      <c r="DL1860" s="814"/>
      <c r="DM1860" s="814"/>
      <c r="DN1860" s="814"/>
      <c r="DO1860" s="814"/>
      <c r="DP1860" s="814"/>
      <c r="DQ1860" s="814"/>
      <c r="DR1860" s="814"/>
      <c r="DS1860" s="814"/>
      <c r="DT1860" s="814"/>
      <c r="DU1860" s="814"/>
      <c r="DV1860" s="814"/>
    </row>
    <row r="1861" spans="1:126" ht="15" x14ac:dyDescent="0.2">
      <c r="A1861" s="295">
        <v>1857</v>
      </c>
      <c r="B1861" s="502" t="s">
        <v>9498</v>
      </c>
      <c r="C1861" s="803"/>
      <c r="D1861" s="803"/>
      <c r="E1861" s="804" t="s">
        <v>9520</v>
      </c>
      <c r="F1861" s="577" t="s">
        <v>1340</v>
      </c>
      <c r="G1861" s="577" t="s">
        <v>1677</v>
      </c>
      <c r="H1861" s="577" t="s">
        <v>151</v>
      </c>
      <c r="I1861" s="803"/>
      <c r="J1861" s="803"/>
      <c r="K1861" s="773"/>
      <c r="L1861" s="803" t="s">
        <v>9514</v>
      </c>
      <c r="M1861" s="803"/>
      <c r="N1861" s="586" t="s">
        <v>33</v>
      </c>
      <c r="O1861" s="390" t="s">
        <v>80</v>
      </c>
      <c r="P1861" s="390" t="s">
        <v>80</v>
      </c>
      <c r="Q1861" s="402" t="s">
        <v>403</v>
      </c>
      <c r="R1861" s="803"/>
      <c r="S1861" s="803" t="s">
        <v>81</v>
      </c>
      <c r="T1861" s="789">
        <v>1</v>
      </c>
      <c r="U1861" s="805">
        <v>0</v>
      </c>
      <c r="V1861" s="806"/>
      <c r="W1861" s="727"/>
      <c r="X1861" s="807"/>
      <c r="Y1861" s="789">
        <v>7</v>
      </c>
      <c r="Z1861" s="790"/>
      <c r="AA1861" s="803"/>
      <c r="AB1861" s="591">
        <v>43252</v>
      </c>
      <c r="AC1861" s="807"/>
      <c r="AD1861" s="807">
        <v>0</v>
      </c>
      <c r="AE1861" s="808" t="s">
        <v>9449</v>
      </c>
      <c r="AF1861" s="809"/>
      <c r="AG1861" s="809"/>
      <c r="AH1861" s="809"/>
      <c r="AI1861" s="790"/>
      <c r="AJ1861" s="810"/>
      <c r="AK1861" s="810"/>
      <c r="AL1861" s="803"/>
      <c r="AM1861" s="803"/>
      <c r="AN1861" s="809"/>
      <c r="AO1861" s="803"/>
      <c r="AP1861" s="586" t="s">
        <v>55</v>
      </c>
      <c r="AQ1861" s="803"/>
      <c r="AR1861" s="585" t="s">
        <v>9521</v>
      </c>
      <c r="AS1861" s="591">
        <v>43196</v>
      </c>
      <c r="AT1861" s="811"/>
      <c r="AU1861" s="803"/>
      <c r="AV1861" s="803"/>
      <c r="AW1861" s="803"/>
      <c r="AX1861" s="803"/>
      <c r="AY1861" s="810"/>
      <c r="AZ1861" s="810"/>
      <c r="BA1861" s="811"/>
      <c r="BB1861" s="808"/>
      <c r="BC1861" s="803" t="b">
        <v>0</v>
      </c>
      <c r="BD1861" s="808"/>
      <c r="BE1861" s="803"/>
      <c r="BF1861" s="789">
        <v>5</v>
      </c>
      <c r="BG1861" s="789">
        <v>10</v>
      </c>
      <c r="BH1861" s="789"/>
      <c r="BI1861" s="789"/>
      <c r="BJ1861" s="790"/>
      <c r="BK1861" s="790"/>
      <c r="BL1861" s="793">
        <v>0</v>
      </c>
      <c r="BM1861" s="790"/>
      <c r="BN1861" s="803"/>
      <c r="BO1861" s="803"/>
      <c r="BP1861" s="803"/>
      <c r="BQ1861" s="803"/>
      <c r="BR1861" s="803"/>
      <c r="BS1861" s="807"/>
      <c r="BT1861" s="790"/>
      <c r="BU1861" s="809"/>
      <c r="BV1861" s="807"/>
      <c r="BW1861" s="586" t="s">
        <v>3117</v>
      </c>
      <c r="BX1861" s="808"/>
      <c r="BY1861" s="803"/>
      <c r="BZ1861" s="812"/>
      <c r="CA1861" s="812"/>
      <c r="CB1861" s="803"/>
      <c r="CC1861" s="803"/>
      <c r="CD1861" s="803"/>
      <c r="CE1861" s="803"/>
      <c r="CF1861" s="803"/>
      <c r="CG1861" s="803"/>
      <c r="CH1861" s="803"/>
      <c r="CI1861" s="803"/>
      <c r="CJ1861" s="803"/>
      <c r="CK1861" s="803"/>
      <c r="CL1861" s="813"/>
      <c r="CM1861" s="813"/>
      <c r="CN1861" s="813"/>
      <c r="CO1861" s="813"/>
      <c r="CP1861" s="813"/>
      <c r="CQ1861" s="813"/>
      <c r="CR1861" s="813"/>
      <c r="CS1861" s="813"/>
      <c r="CT1861" s="813"/>
      <c r="CU1861" s="813"/>
      <c r="CV1861" s="813"/>
      <c r="CW1861" s="813"/>
      <c r="CX1861" s="813"/>
      <c r="CY1861" s="803"/>
      <c r="CZ1861" s="803"/>
      <c r="DA1861" s="803"/>
      <c r="DB1861" s="803"/>
      <c r="DC1861" s="803"/>
      <c r="DD1861" s="803"/>
      <c r="DE1861" s="803"/>
      <c r="DF1861" s="803"/>
      <c r="DG1861" s="803"/>
      <c r="DH1861" s="803"/>
      <c r="DI1861" s="803"/>
      <c r="DJ1861" s="803"/>
      <c r="DK1861" s="897"/>
      <c r="DL1861" s="814"/>
      <c r="DM1861" s="814"/>
      <c r="DN1861" s="814"/>
      <c r="DO1861" s="814"/>
      <c r="DP1861" s="814"/>
      <c r="DQ1861" s="814"/>
      <c r="DR1861" s="814"/>
      <c r="DS1861" s="814"/>
      <c r="DT1861" s="814"/>
      <c r="DU1861" s="814"/>
      <c r="DV1861" s="814"/>
    </row>
    <row r="1862" spans="1:126" ht="38.25" x14ac:dyDescent="0.2">
      <c r="A1862" s="295">
        <v>1858</v>
      </c>
      <c r="B1862" s="502" t="s">
        <v>9500</v>
      </c>
      <c r="C1862" s="803" t="s">
        <v>9503</v>
      </c>
      <c r="D1862" s="803"/>
      <c r="E1862" s="804" t="s">
        <v>9502</v>
      </c>
      <c r="F1862" s="726" t="s">
        <v>1352</v>
      </c>
      <c r="G1862" s="726" t="s">
        <v>1673</v>
      </c>
      <c r="H1862" s="726" t="s">
        <v>42</v>
      </c>
      <c r="I1862" s="803"/>
      <c r="J1862" s="808" t="s">
        <v>42</v>
      </c>
      <c r="K1862" s="808"/>
      <c r="L1862" s="803" t="s">
        <v>9516</v>
      </c>
      <c r="M1862" s="803" t="s">
        <v>9517</v>
      </c>
      <c r="N1862" s="586" t="s">
        <v>33</v>
      </c>
      <c r="O1862" s="390" t="s">
        <v>51</v>
      </c>
      <c r="P1862" s="390" t="s">
        <v>51</v>
      </c>
      <c r="Q1862" s="448" t="s">
        <v>426</v>
      </c>
      <c r="R1862" s="803"/>
      <c r="S1862" s="803" t="s">
        <v>256</v>
      </c>
      <c r="T1862" s="789">
        <v>1</v>
      </c>
      <c r="U1862" s="805">
        <v>400.04</v>
      </c>
      <c r="V1862" s="806"/>
      <c r="W1862" s="727"/>
      <c r="X1862" s="807"/>
      <c r="Y1862" s="789">
        <v>7</v>
      </c>
      <c r="Z1862" s="790">
        <v>16</v>
      </c>
      <c r="AA1862" s="803"/>
      <c r="AB1862" s="591"/>
      <c r="AC1862" s="807">
        <v>0</v>
      </c>
      <c r="AD1862" s="807">
        <v>1034.624</v>
      </c>
      <c r="AE1862" s="808" t="s">
        <v>133</v>
      </c>
      <c r="AF1862" s="809"/>
      <c r="AG1862" s="809"/>
      <c r="AH1862" s="809">
        <v>0</v>
      </c>
      <c r="AI1862" s="790"/>
      <c r="AJ1862" s="810"/>
      <c r="AK1862" s="810"/>
      <c r="AL1862" s="803"/>
      <c r="AM1862" s="803"/>
      <c r="AN1862" s="809"/>
      <c r="AO1862" s="803"/>
      <c r="AP1862" s="586" t="s">
        <v>55</v>
      </c>
      <c r="AQ1862" s="803"/>
      <c r="AR1862" s="585" t="s">
        <v>9526</v>
      </c>
      <c r="AS1862" s="591">
        <v>43214</v>
      </c>
      <c r="AT1862" s="811"/>
      <c r="AU1862" s="803"/>
      <c r="AV1862" s="803"/>
      <c r="AW1862" s="803"/>
      <c r="AX1862" s="803"/>
      <c r="AY1862" s="810"/>
      <c r="AZ1862" s="810"/>
      <c r="BA1862" s="811"/>
      <c r="BB1862" s="808" t="s">
        <v>3116</v>
      </c>
      <c r="BC1862" s="803" t="b">
        <v>1</v>
      </c>
      <c r="BD1862" s="808" t="s">
        <v>3116</v>
      </c>
      <c r="BE1862" s="803"/>
      <c r="BF1862" s="789">
        <v>5</v>
      </c>
      <c r="BG1862" s="789">
        <v>6</v>
      </c>
      <c r="BH1862" s="789">
        <v>10</v>
      </c>
      <c r="BI1862" s="789"/>
      <c r="BJ1862" s="790"/>
      <c r="BK1862" s="790"/>
      <c r="BL1862" s="793">
        <v>0</v>
      </c>
      <c r="BM1862" s="790"/>
      <c r="BN1862" s="803"/>
      <c r="BO1862" s="803"/>
      <c r="BP1862" s="803"/>
      <c r="BQ1862" s="803"/>
      <c r="BR1862" s="803"/>
      <c r="BS1862" s="807">
        <v>0</v>
      </c>
      <c r="BT1862" s="790"/>
      <c r="BU1862" s="809"/>
      <c r="BV1862" s="807"/>
      <c r="BW1862" s="586" t="s">
        <v>3117</v>
      </c>
      <c r="BX1862" s="808"/>
      <c r="BY1862" s="803"/>
      <c r="BZ1862" s="812"/>
      <c r="CA1862" s="812"/>
      <c r="CB1862" s="803"/>
      <c r="CC1862" s="803"/>
      <c r="CD1862" s="803"/>
      <c r="CE1862" s="803"/>
      <c r="CF1862" s="803"/>
      <c r="CG1862" s="803"/>
      <c r="CH1862" s="803"/>
      <c r="CI1862" s="803"/>
      <c r="CJ1862" s="803"/>
      <c r="CK1862" s="803"/>
      <c r="CL1862" s="813"/>
      <c r="CM1862" s="813"/>
      <c r="CN1862" s="813"/>
      <c r="CO1862" s="813"/>
      <c r="CP1862" s="813"/>
      <c r="CQ1862" s="813"/>
      <c r="CR1862" s="813"/>
      <c r="CS1862" s="813"/>
      <c r="CT1862" s="813"/>
      <c r="CU1862" s="813"/>
      <c r="CV1862" s="813"/>
      <c r="CW1862" s="813"/>
      <c r="CX1862" s="813"/>
      <c r="CY1862" s="803"/>
      <c r="CZ1862" s="803"/>
      <c r="DA1862" s="803"/>
      <c r="DB1862" s="803"/>
      <c r="DC1862" s="803"/>
      <c r="DD1862" s="803"/>
      <c r="DE1862" s="803"/>
      <c r="DF1862" s="803"/>
      <c r="DG1862" s="803"/>
      <c r="DH1862" s="803"/>
      <c r="DI1862" s="803"/>
      <c r="DJ1862" s="803"/>
      <c r="DK1862" s="897"/>
      <c r="DL1862" s="814"/>
      <c r="DM1862" s="814"/>
      <c r="DN1862" s="814"/>
      <c r="DO1862" s="814"/>
      <c r="DP1862" s="814"/>
      <c r="DQ1862" s="814"/>
      <c r="DR1862" s="814"/>
      <c r="DS1862" s="814"/>
      <c r="DT1862" s="814"/>
      <c r="DU1862" s="814"/>
      <c r="DV1862" s="814"/>
    </row>
    <row r="1863" spans="1:126" ht="38.25" x14ac:dyDescent="0.2">
      <c r="A1863" s="295">
        <v>1859</v>
      </c>
      <c r="B1863" s="502" t="s">
        <v>9501</v>
      </c>
      <c r="C1863" s="803"/>
      <c r="D1863" s="803"/>
      <c r="E1863" s="804" t="s">
        <v>9504</v>
      </c>
      <c r="F1863" s="726" t="s">
        <v>1352</v>
      </c>
      <c r="G1863" s="726" t="s">
        <v>1673</v>
      </c>
      <c r="H1863" s="726" t="s">
        <v>42</v>
      </c>
      <c r="I1863" s="803"/>
      <c r="J1863" s="803"/>
      <c r="K1863" s="773" t="s">
        <v>9519</v>
      </c>
      <c r="L1863" s="803" t="s">
        <v>9516</v>
      </c>
      <c r="M1863" s="803"/>
      <c r="N1863" s="586" t="s">
        <v>33</v>
      </c>
      <c r="O1863" s="390" t="s">
        <v>51</v>
      </c>
      <c r="P1863" s="390" t="s">
        <v>51</v>
      </c>
      <c r="Q1863" s="448" t="s">
        <v>426</v>
      </c>
      <c r="R1863" s="803" t="s">
        <v>9518</v>
      </c>
      <c r="S1863" s="803" t="s">
        <v>256</v>
      </c>
      <c r="T1863" s="789">
        <v>1</v>
      </c>
      <c r="U1863" s="805">
        <v>400.04</v>
      </c>
      <c r="V1863" s="806"/>
      <c r="W1863" s="727"/>
      <c r="X1863" s="807"/>
      <c r="Y1863" s="789">
        <v>7</v>
      </c>
      <c r="Z1863" s="790">
        <v>16</v>
      </c>
      <c r="AA1863" s="803"/>
      <c r="AB1863" s="591">
        <v>43252</v>
      </c>
      <c r="AC1863" s="807"/>
      <c r="AD1863" s="807">
        <v>1034.624</v>
      </c>
      <c r="AE1863" s="808" t="s">
        <v>133</v>
      </c>
      <c r="AF1863" s="809"/>
      <c r="AG1863" s="809"/>
      <c r="AH1863" s="809"/>
      <c r="AI1863" s="790"/>
      <c r="AJ1863" s="810"/>
      <c r="AK1863" s="810"/>
      <c r="AL1863" s="803"/>
      <c r="AM1863" s="803"/>
      <c r="AN1863" s="809"/>
      <c r="AO1863" s="803"/>
      <c r="AP1863" s="586" t="s">
        <v>55</v>
      </c>
      <c r="AQ1863" s="803"/>
      <c r="AR1863" s="585" t="s">
        <v>9526</v>
      </c>
      <c r="AS1863" s="591">
        <v>43214</v>
      </c>
      <c r="AT1863" s="811"/>
      <c r="AU1863" s="803"/>
      <c r="AV1863" s="803"/>
      <c r="AW1863" s="803"/>
      <c r="AX1863" s="803"/>
      <c r="AY1863" s="810"/>
      <c r="AZ1863" s="810"/>
      <c r="BA1863" s="811"/>
      <c r="BB1863" s="808"/>
      <c r="BC1863" s="803" t="b">
        <v>0</v>
      </c>
      <c r="BD1863" s="808"/>
      <c r="BE1863" s="803"/>
      <c r="BF1863" s="789">
        <v>5</v>
      </c>
      <c r="BG1863" s="789">
        <v>6</v>
      </c>
      <c r="BH1863" s="789">
        <v>10</v>
      </c>
      <c r="BI1863" s="789"/>
      <c r="BJ1863" s="790"/>
      <c r="BK1863" s="790"/>
      <c r="BL1863" s="793">
        <v>0</v>
      </c>
      <c r="BM1863" s="790"/>
      <c r="BN1863" s="803"/>
      <c r="BO1863" s="803"/>
      <c r="BP1863" s="803"/>
      <c r="BQ1863" s="803"/>
      <c r="BR1863" s="803"/>
      <c r="BS1863" s="807"/>
      <c r="BT1863" s="790"/>
      <c r="BU1863" s="809"/>
      <c r="BV1863" s="807"/>
      <c r="BW1863" s="586" t="s">
        <v>3117</v>
      </c>
      <c r="BX1863" s="808"/>
      <c r="BY1863" s="803"/>
      <c r="BZ1863" s="812"/>
      <c r="CA1863" s="812"/>
      <c r="CB1863" s="803"/>
      <c r="CC1863" s="803"/>
      <c r="CD1863" s="803"/>
      <c r="CE1863" s="803"/>
      <c r="CF1863" s="803"/>
      <c r="CG1863" s="803"/>
      <c r="CH1863" s="803"/>
      <c r="CI1863" s="803"/>
      <c r="CJ1863" s="803"/>
      <c r="CK1863" s="803"/>
      <c r="CL1863" s="813"/>
      <c r="CM1863" s="813"/>
      <c r="CN1863" s="813">
        <v>400.04</v>
      </c>
      <c r="CO1863" s="813">
        <v>400.04</v>
      </c>
      <c r="CP1863" s="813">
        <v>400.04</v>
      </c>
      <c r="CQ1863" s="813">
        <v>400.04</v>
      </c>
      <c r="CR1863" s="813">
        <v>400.04</v>
      </c>
      <c r="CS1863" s="813">
        <v>400.04</v>
      </c>
      <c r="CT1863" s="813">
        <v>400.04</v>
      </c>
      <c r="CU1863" s="813"/>
      <c r="CV1863" s="813"/>
      <c r="CW1863" s="813"/>
      <c r="CX1863" s="813"/>
      <c r="CY1863" s="803"/>
      <c r="CZ1863" s="803"/>
      <c r="DA1863" s="803"/>
      <c r="DB1863" s="803"/>
      <c r="DC1863" s="803"/>
      <c r="DD1863" s="803"/>
      <c r="DE1863" s="803"/>
      <c r="DF1863" s="803"/>
      <c r="DG1863" s="803"/>
      <c r="DH1863" s="803"/>
      <c r="DI1863" s="803"/>
      <c r="DJ1863" s="803"/>
      <c r="DK1863" s="897"/>
      <c r="DL1863" s="814"/>
      <c r="DM1863" s="814"/>
      <c r="DN1863" s="814"/>
      <c r="DO1863" s="814"/>
      <c r="DP1863" s="814"/>
      <c r="DQ1863" s="814"/>
      <c r="DR1863" s="814"/>
      <c r="DS1863" s="814"/>
      <c r="DT1863" s="814"/>
      <c r="DU1863" s="814"/>
      <c r="DV1863" s="814"/>
    </row>
    <row r="1864" spans="1:126" ht="25.5" x14ac:dyDescent="0.2">
      <c r="A1864" s="295">
        <v>1860</v>
      </c>
      <c r="B1864" s="502" t="s">
        <v>9602</v>
      </c>
      <c r="C1864" s="803" t="s">
        <v>9604</v>
      </c>
      <c r="D1864" s="803"/>
      <c r="E1864" s="804" t="s">
        <v>9605</v>
      </c>
      <c r="F1864" s="726" t="s">
        <v>1375</v>
      </c>
      <c r="G1864" s="726" t="s">
        <v>998</v>
      </c>
      <c r="H1864" s="726" t="s">
        <v>1038</v>
      </c>
      <c r="I1864" s="803"/>
      <c r="J1864" s="803" t="s">
        <v>1038</v>
      </c>
      <c r="K1864" s="773"/>
      <c r="L1864" s="803" t="s">
        <v>9610</v>
      </c>
      <c r="M1864" s="803" t="s">
        <v>9607</v>
      </c>
      <c r="N1864" s="586" t="s">
        <v>33</v>
      </c>
      <c r="O1864" s="774" t="s">
        <v>51</v>
      </c>
      <c r="P1864" s="774" t="s">
        <v>51</v>
      </c>
      <c r="Q1864" s="774" t="s">
        <v>976</v>
      </c>
      <c r="R1864" s="803"/>
      <c r="S1864" s="803" t="s">
        <v>977</v>
      </c>
      <c r="T1864" s="789">
        <v>1</v>
      </c>
      <c r="U1864" s="805">
        <v>36.9</v>
      </c>
      <c r="V1864" s="806"/>
      <c r="W1864" s="727"/>
      <c r="X1864" s="807"/>
      <c r="Y1864" s="789">
        <v>10</v>
      </c>
      <c r="Z1864" s="790">
        <v>10</v>
      </c>
      <c r="AA1864" s="803"/>
      <c r="AB1864" s="591"/>
      <c r="AC1864" s="807">
        <v>0</v>
      </c>
      <c r="AD1864" s="807">
        <v>369</v>
      </c>
      <c r="AE1864" s="808" t="s">
        <v>82</v>
      </c>
      <c r="AF1864" s="809"/>
      <c r="AG1864" s="809"/>
      <c r="AH1864" s="809">
        <v>0</v>
      </c>
      <c r="AI1864" s="790"/>
      <c r="AJ1864" s="810"/>
      <c r="AK1864" s="810"/>
      <c r="AL1864" s="803"/>
      <c r="AM1864" s="803"/>
      <c r="AN1864" s="809"/>
      <c r="AO1864" s="803"/>
      <c r="AP1864" s="586" t="s">
        <v>55</v>
      </c>
      <c r="AQ1864" s="803"/>
      <c r="AR1864" s="585" t="s">
        <v>9611</v>
      </c>
      <c r="AS1864" s="591">
        <v>43279</v>
      </c>
      <c r="AT1864" s="811"/>
      <c r="AU1864" s="803"/>
      <c r="AV1864" s="803"/>
      <c r="AW1864" s="803"/>
      <c r="AX1864" s="803"/>
      <c r="AY1864" s="810"/>
      <c r="AZ1864" s="810"/>
      <c r="BA1864" s="811"/>
      <c r="BB1864" s="808" t="s">
        <v>3116</v>
      </c>
      <c r="BC1864" s="803" t="b">
        <v>0</v>
      </c>
      <c r="BD1864" s="808" t="s">
        <v>3116</v>
      </c>
      <c r="BE1864" s="803"/>
      <c r="BF1864" s="789">
        <v>4</v>
      </c>
      <c r="BG1864" s="789">
        <v>1</v>
      </c>
      <c r="BH1864" s="789">
        <v>3</v>
      </c>
      <c r="BI1864" s="789">
        <v>6</v>
      </c>
      <c r="BJ1864" s="790">
        <v>7</v>
      </c>
      <c r="BK1864" s="790"/>
      <c r="BL1864" s="793">
        <v>0</v>
      </c>
      <c r="BM1864" s="790"/>
      <c r="BN1864" s="803"/>
      <c r="BO1864" s="803"/>
      <c r="BP1864" s="803"/>
      <c r="BQ1864" s="803"/>
      <c r="BR1864" s="803"/>
      <c r="BS1864" s="807">
        <v>0</v>
      </c>
      <c r="BT1864" s="790"/>
      <c r="BU1864" s="809"/>
      <c r="BV1864" s="807"/>
      <c r="BW1864" s="586" t="s">
        <v>3117</v>
      </c>
      <c r="BX1864" s="808"/>
      <c r="BY1864" s="803"/>
      <c r="BZ1864" s="812"/>
      <c r="CA1864" s="812"/>
      <c r="CB1864" s="803"/>
      <c r="CC1864" s="803"/>
      <c r="CD1864" s="803"/>
      <c r="CE1864" s="803"/>
      <c r="CF1864" s="803"/>
      <c r="CG1864" s="803"/>
      <c r="CH1864" s="803"/>
      <c r="CI1864" s="803"/>
      <c r="CJ1864" s="803"/>
      <c r="CK1864" s="803"/>
      <c r="CL1864" s="813"/>
      <c r="CM1864" s="813"/>
      <c r="CN1864" s="813"/>
      <c r="CO1864" s="813"/>
      <c r="CP1864" s="813"/>
      <c r="CQ1864" s="813"/>
      <c r="CR1864" s="813"/>
      <c r="CS1864" s="813"/>
      <c r="CT1864" s="813"/>
      <c r="CU1864" s="813"/>
      <c r="CV1864" s="813"/>
      <c r="CW1864" s="813"/>
      <c r="CX1864" s="813"/>
      <c r="CY1864" s="803"/>
      <c r="CZ1864" s="803"/>
      <c r="DA1864" s="803"/>
      <c r="DB1864" s="803"/>
      <c r="DC1864" s="803"/>
      <c r="DD1864" s="803"/>
      <c r="DE1864" s="803"/>
      <c r="DF1864" s="803"/>
      <c r="DG1864" s="803"/>
      <c r="DH1864" s="803"/>
      <c r="DI1864" s="803"/>
      <c r="DJ1864" s="803"/>
      <c r="DK1864" s="898"/>
      <c r="DL1864" s="814"/>
      <c r="DM1864" s="814"/>
      <c r="DN1864" s="814"/>
      <c r="DO1864" s="814"/>
      <c r="DP1864" s="814"/>
      <c r="DQ1864" s="814"/>
      <c r="DR1864" s="814"/>
      <c r="DS1864" s="814"/>
      <c r="DT1864" s="814"/>
      <c r="DU1864" s="814"/>
      <c r="DV1864" s="814"/>
    </row>
    <row r="1865" spans="1:126" ht="38.25" x14ac:dyDescent="0.2">
      <c r="A1865" s="295">
        <v>1861</v>
      </c>
      <c r="B1865" s="502" t="s">
        <v>9603</v>
      </c>
      <c r="C1865" s="803"/>
      <c r="D1865" s="803"/>
      <c r="E1865" s="804" t="s">
        <v>9606</v>
      </c>
      <c r="F1865" s="726" t="s">
        <v>1375</v>
      </c>
      <c r="G1865" s="726" t="s">
        <v>998</v>
      </c>
      <c r="H1865" s="726" t="s">
        <v>1038</v>
      </c>
      <c r="I1865" s="803"/>
      <c r="J1865" s="803"/>
      <c r="K1865" s="773" t="s">
        <v>9609</v>
      </c>
      <c r="L1865" s="803" t="s">
        <v>9610</v>
      </c>
      <c r="M1865" s="803"/>
      <c r="N1865" s="586" t="s">
        <v>33</v>
      </c>
      <c r="O1865" s="774" t="s">
        <v>51</v>
      </c>
      <c r="P1865" s="774" t="s">
        <v>51</v>
      </c>
      <c r="Q1865" s="774" t="s">
        <v>976</v>
      </c>
      <c r="R1865" s="803" t="s">
        <v>9608</v>
      </c>
      <c r="S1865" s="803" t="s">
        <v>977</v>
      </c>
      <c r="T1865" s="789">
        <v>1</v>
      </c>
      <c r="U1865" s="805">
        <v>36.9</v>
      </c>
      <c r="V1865" s="806"/>
      <c r="W1865" s="727"/>
      <c r="X1865" s="807"/>
      <c r="Y1865" s="789">
        <v>10</v>
      </c>
      <c r="Z1865" s="790">
        <v>10</v>
      </c>
      <c r="AA1865" s="803"/>
      <c r="AB1865" s="591">
        <v>43405</v>
      </c>
      <c r="AC1865" s="807"/>
      <c r="AD1865" s="807">
        <v>369</v>
      </c>
      <c r="AE1865" s="808" t="s">
        <v>82</v>
      </c>
      <c r="AF1865" s="809"/>
      <c r="AG1865" s="809"/>
      <c r="AH1865" s="809"/>
      <c r="AI1865" s="790"/>
      <c r="AJ1865" s="810"/>
      <c r="AK1865" s="810"/>
      <c r="AL1865" s="803"/>
      <c r="AM1865" s="803"/>
      <c r="AN1865" s="809"/>
      <c r="AO1865" s="803"/>
      <c r="AP1865" s="586" t="s">
        <v>55</v>
      </c>
      <c r="AQ1865" s="803"/>
      <c r="AR1865" s="585" t="s">
        <v>9611</v>
      </c>
      <c r="AS1865" s="591">
        <v>43279</v>
      </c>
      <c r="AT1865" s="811"/>
      <c r="AU1865" s="803"/>
      <c r="AV1865" s="803"/>
      <c r="AW1865" s="803"/>
      <c r="AX1865" s="803"/>
      <c r="AY1865" s="810"/>
      <c r="AZ1865" s="810"/>
      <c r="BA1865" s="811"/>
      <c r="BB1865" s="808"/>
      <c r="BC1865" s="803" t="b">
        <v>0</v>
      </c>
      <c r="BD1865" s="808"/>
      <c r="BE1865" s="803"/>
      <c r="BF1865" s="789">
        <v>4</v>
      </c>
      <c r="BG1865" s="789">
        <v>1</v>
      </c>
      <c r="BH1865" s="789">
        <v>3</v>
      </c>
      <c r="BI1865" s="789">
        <v>6</v>
      </c>
      <c r="BJ1865" s="790">
        <v>7</v>
      </c>
      <c r="BK1865" s="790"/>
      <c r="BL1865" s="793">
        <v>0</v>
      </c>
      <c r="BM1865" s="790"/>
      <c r="BN1865" s="803"/>
      <c r="BO1865" s="803"/>
      <c r="BP1865" s="803"/>
      <c r="BQ1865" s="803"/>
      <c r="BR1865" s="803"/>
      <c r="BS1865" s="807"/>
      <c r="BT1865" s="790"/>
      <c r="BU1865" s="809"/>
      <c r="BV1865" s="807"/>
      <c r="BW1865" s="586" t="s">
        <v>3117</v>
      </c>
      <c r="BX1865" s="808"/>
      <c r="BY1865" s="803"/>
      <c r="BZ1865" s="812"/>
      <c r="CA1865" s="812"/>
      <c r="CB1865" s="803"/>
      <c r="CC1865" s="803"/>
      <c r="CD1865" s="803"/>
      <c r="CE1865" s="803"/>
      <c r="CF1865" s="803"/>
      <c r="CG1865" s="803"/>
      <c r="CH1865" s="803"/>
      <c r="CI1865" s="803"/>
      <c r="CJ1865" s="803"/>
      <c r="CK1865" s="803"/>
      <c r="CL1865" s="813"/>
      <c r="CM1865" s="813"/>
      <c r="CN1865" s="813">
        <v>36.9</v>
      </c>
      <c r="CO1865" s="813">
        <v>36.9</v>
      </c>
      <c r="CP1865" s="813">
        <v>36.9</v>
      </c>
      <c r="CQ1865" s="813">
        <v>36.9</v>
      </c>
      <c r="CR1865" s="813">
        <v>36.9</v>
      </c>
      <c r="CS1865" s="813">
        <v>36.9</v>
      </c>
      <c r="CT1865" s="813">
        <v>36.9</v>
      </c>
      <c r="CU1865" s="813">
        <v>36.9</v>
      </c>
      <c r="CV1865" s="813">
        <v>36.9</v>
      </c>
      <c r="CW1865" s="813">
        <v>36.9</v>
      </c>
      <c r="CX1865" s="813"/>
      <c r="CY1865" s="803"/>
      <c r="CZ1865" s="803"/>
      <c r="DA1865" s="803"/>
      <c r="DB1865" s="803"/>
      <c r="DC1865" s="803"/>
      <c r="DD1865" s="803"/>
      <c r="DE1865" s="803"/>
      <c r="DF1865" s="803"/>
      <c r="DG1865" s="803"/>
      <c r="DH1865" s="803"/>
      <c r="DI1865" s="803"/>
      <c r="DJ1865" s="803"/>
      <c r="DK1865" s="897"/>
      <c r="DL1865" s="814"/>
      <c r="DM1865" s="814"/>
      <c r="DN1865" s="814"/>
      <c r="DO1865" s="814"/>
      <c r="DP1865" s="814"/>
      <c r="DQ1865" s="814"/>
      <c r="DR1865" s="814"/>
      <c r="DS1865" s="814"/>
      <c r="DT1865" s="814"/>
      <c r="DU1865" s="814"/>
      <c r="DV1865" s="814"/>
    </row>
    <row r="1866" spans="1:126" ht="25.5" x14ac:dyDescent="0.2">
      <c r="A1866" s="295">
        <v>1862</v>
      </c>
      <c r="B1866" s="502" t="s">
        <v>9645</v>
      </c>
      <c r="C1866" s="803" t="s">
        <v>9648</v>
      </c>
      <c r="D1866" s="803"/>
      <c r="E1866" s="804" t="s">
        <v>9647</v>
      </c>
      <c r="F1866" s="461" t="s">
        <v>1352</v>
      </c>
      <c r="G1866" s="461" t="s">
        <v>1671</v>
      </c>
      <c r="H1866" s="461" t="s">
        <v>1357</v>
      </c>
      <c r="I1866" s="803"/>
      <c r="J1866" s="803" t="s">
        <v>1357</v>
      </c>
      <c r="K1866" s="773"/>
      <c r="L1866" s="803" t="s">
        <v>9650</v>
      </c>
      <c r="M1866" s="803" t="s">
        <v>9651</v>
      </c>
      <c r="N1866" s="586" t="s">
        <v>33</v>
      </c>
      <c r="O1866" s="803" t="s">
        <v>51</v>
      </c>
      <c r="P1866" s="803" t="s">
        <v>51</v>
      </c>
      <c r="Q1866" s="803" t="s">
        <v>976</v>
      </c>
      <c r="R1866" s="803"/>
      <c r="S1866" s="803" t="s">
        <v>977</v>
      </c>
      <c r="T1866" s="789">
        <v>1</v>
      </c>
      <c r="U1866" s="805">
        <v>34.149000000000001</v>
      </c>
      <c r="V1866" s="806"/>
      <c r="W1866" s="727"/>
      <c r="X1866" s="807"/>
      <c r="Y1866" s="789">
        <v>7</v>
      </c>
      <c r="Z1866" s="790">
        <v>21</v>
      </c>
      <c r="AA1866" s="803"/>
      <c r="AB1866" s="591"/>
      <c r="AC1866" s="807">
        <v>0</v>
      </c>
      <c r="AD1866" s="807">
        <v>84.109454794520545</v>
      </c>
      <c r="AE1866" s="808" t="s">
        <v>111</v>
      </c>
      <c r="AF1866" s="809"/>
      <c r="AG1866" s="809"/>
      <c r="AH1866" s="809">
        <v>0</v>
      </c>
      <c r="AI1866" s="790"/>
      <c r="AJ1866" s="810"/>
      <c r="AK1866" s="810"/>
      <c r="AL1866" s="803"/>
      <c r="AM1866" s="803"/>
      <c r="AN1866" s="809"/>
      <c r="AO1866" s="803"/>
      <c r="AP1866" s="586" t="s">
        <v>55</v>
      </c>
      <c r="AQ1866" s="803"/>
      <c r="AR1866" s="585" t="s">
        <v>55</v>
      </c>
      <c r="AS1866" s="591">
        <v>43294</v>
      </c>
      <c r="AT1866" s="811"/>
      <c r="AU1866" s="803"/>
      <c r="AV1866" s="803"/>
      <c r="AW1866" s="803"/>
      <c r="AX1866" s="803"/>
      <c r="AY1866" s="810"/>
      <c r="AZ1866" s="810"/>
      <c r="BA1866" s="811"/>
      <c r="BB1866" s="808" t="s">
        <v>3116</v>
      </c>
      <c r="BC1866" s="803" t="b">
        <v>0</v>
      </c>
      <c r="BD1866" s="808" t="s">
        <v>3147</v>
      </c>
      <c r="BE1866" s="803"/>
      <c r="BF1866" s="789">
        <v>1</v>
      </c>
      <c r="BG1866" s="789">
        <v>6</v>
      </c>
      <c r="BH1866" s="789">
        <v>8</v>
      </c>
      <c r="BI1866" s="789">
        <v>5</v>
      </c>
      <c r="BJ1866" s="790"/>
      <c r="BK1866" s="790"/>
      <c r="BL1866" s="793">
        <v>0</v>
      </c>
      <c r="BM1866" s="790"/>
      <c r="BN1866" s="803"/>
      <c r="BO1866" s="803"/>
      <c r="BP1866" s="803"/>
      <c r="BQ1866" s="803"/>
      <c r="BR1866" s="803"/>
      <c r="BS1866" s="807">
        <v>0</v>
      </c>
      <c r="BT1866" s="790"/>
      <c r="BU1866" s="809"/>
      <c r="BV1866" s="807"/>
      <c r="BW1866" s="586" t="s">
        <v>3117</v>
      </c>
      <c r="BX1866" s="808"/>
      <c r="BY1866" s="803"/>
      <c r="BZ1866" s="812"/>
      <c r="CA1866" s="812"/>
      <c r="CB1866" s="803"/>
      <c r="CC1866" s="803"/>
      <c r="CD1866" s="803"/>
      <c r="CE1866" s="803"/>
      <c r="CF1866" s="803"/>
      <c r="CG1866" s="803"/>
      <c r="CH1866" s="803"/>
      <c r="CI1866" s="803"/>
      <c r="CJ1866" s="803"/>
      <c r="CK1866" s="803"/>
      <c r="CL1866" s="813"/>
      <c r="CM1866" s="813"/>
      <c r="CN1866" s="813"/>
      <c r="CO1866" s="813"/>
      <c r="CP1866" s="813"/>
      <c r="CQ1866" s="813"/>
      <c r="CR1866" s="813"/>
      <c r="CS1866" s="813"/>
      <c r="CT1866" s="813"/>
      <c r="CU1866" s="813"/>
      <c r="CV1866" s="813"/>
      <c r="CW1866" s="813"/>
      <c r="CX1866" s="813"/>
      <c r="CY1866" s="803"/>
      <c r="CZ1866" s="803"/>
      <c r="DA1866" s="803"/>
      <c r="DB1866" s="803"/>
      <c r="DC1866" s="803"/>
      <c r="DD1866" s="803"/>
      <c r="DE1866" s="803"/>
      <c r="DF1866" s="803"/>
      <c r="DG1866" s="803"/>
      <c r="DH1866" s="803"/>
      <c r="DI1866" s="803"/>
      <c r="DJ1866" s="803"/>
      <c r="DK1866" s="898"/>
      <c r="DL1866" s="814"/>
      <c r="DM1866" s="814"/>
      <c r="DN1866" s="814"/>
      <c r="DO1866" s="814"/>
      <c r="DP1866" s="814"/>
      <c r="DQ1866" s="814"/>
      <c r="DR1866" s="814"/>
      <c r="DS1866" s="814"/>
      <c r="DT1866" s="814"/>
      <c r="DU1866" s="814"/>
      <c r="DV1866" s="814"/>
    </row>
    <row r="1867" spans="1:126" ht="38.25" x14ac:dyDescent="0.2">
      <c r="A1867" s="295">
        <v>1863</v>
      </c>
      <c r="B1867" s="502" t="s">
        <v>9646</v>
      </c>
      <c r="C1867" s="803"/>
      <c r="D1867" s="803"/>
      <c r="E1867" s="804" t="s">
        <v>9649</v>
      </c>
      <c r="F1867" s="461" t="s">
        <v>1352</v>
      </c>
      <c r="G1867" s="461" t="s">
        <v>1671</v>
      </c>
      <c r="H1867" s="461" t="s">
        <v>1357</v>
      </c>
      <c r="I1867" s="803"/>
      <c r="J1867" s="803"/>
      <c r="K1867" s="773" t="s">
        <v>9654</v>
      </c>
      <c r="L1867" s="803" t="s">
        <v>9650</v>
      </c>
      <c r="M1867" s="803"/>
      <c r="N1867" s="586" t="s">
        <v>33</v>
      </c>
      <c r="O1867" s="803" t="s">
        <v>51</v>
      </c>
      <c r="P1867" s="803" t="s">
        <v>51</v>
      </c>
      <c r="Q1867" s="803" t="s">
        <v>976</v>
      </c>
      <c r="R1867" s="803" t="s">
        <v>9652</v>
      </c>
      <c r="S1867" s="803" t="s">
        <v>977</v>
      </c>
      <c r="T1867" s="789">
        <v>1</v>
      </c>
      <c r="U1867" s="805">
        <v>34.149000000000001</v>
      </c>
      <c r="V1867" s="806"/>
      <c r="W1867" s="727"/>
      <c r="X1867" s="807"/>
      <c r="Y1867" s="789">
        <v>7</v>
      </c>
      <c r="Z1867" s="790">
        <v>21</v>
      </c>
      <c r="AA1867" s="803"/>
      <c r="AB1867" s="826">
        <v>43297</v>
      </c>
      <c r="AC1867" s="807"/>
      <c r="AD1867" s="807">
        <v>84.109454794520545</v>
      </c>
      <c r="AE1867" s="808" t="s">
        <v>111</v>
      </c>
      <c r="AF1867" s="809"/>
      <c r="AG1867" s="809"/>
      <c r="AH1867" s="809"/>
      <c r="AI1867" s="790"/>
      <c r="AJ1867" s="810"/>
      <c r="AK1867" s="810"/>
      <c r="AL1867" s="803"/>
      <c r="AM1867" s="803"/>
      <c r="AN1867" s="809"/>
      <c r="AO1867" s="803"/>
      <c r="AP1867" s="586" t="s">
        <v>55</v>
      </c>
      <c r="AQ1867" s="803"/>
      <c r="AR1867" s="585" t="s">
        <v>55</v>
      </c>
      <c r="AS1867" s="591">
        <v>43294</v>
      </c>
      <c r="AT1867" s="811"/>
      <c r="AU1867" s="803"/>
      <c r="AV1867" s="803"/>
      <c r="AW1867" s="803"/>
      <c r="AX1867" s="803"/>
      <c r="AY1867" s="810"/>
      <c r="AZ1867" s="810"/>
      <c r="BA1867" s="811"/>
      <c r="BB1867" s="808"/>
      <c r="BC1867" s="803" t="b">
        <v>0</v>
      </c>
      <c r="BD1867" s="808"/>
      <c r="BE1867" s="803"/>
      <c r="BF1867" s="789">
        <v>1</v>
      </c>
      <c r="BG1867" s="789">
        <v>6</v>
      </c>
      <c r="BH1867" s="789">
        <v>8</v>
      </c>
      <c r="BI1867" s="789">
        <v>5</v>
      </c>
      <c r="BJ1867" s="790"/>
      <c r="BK1867" s="790"/>
      <c r="BL1867" s="793">
        <v>0</v>
      </c>
      <c r="BM1867" s="790"/>
      <c r="BN1867" s="803"/>
      <c r="BO1867" s="803"/>
      <c r="BP1867" s="803"/>
      <c r="BQ1867" s="803"/>
      <c r="BR1867" s="803"/>
      <c r="BS1867" s="807"/>
      <c r="BT1867" s="790"/>
      <c r="BU1867" s="809"/>
      <c r="BV1867" s="807"/>
      <c r="BW1867" s="586" t="s">
        <v>3117</v>
      </c>
      <c r="BX1867" s="808"/>
      <c r="BY1867" s="803"/>
      <c r="BZ1867" s="812"/>
      <c r="CA1867" s="812"/>
      <c r="CB1867" s="803"/>
      <c r="CC1867" s="803"/>
      <c r="CD1867" s="803"/>
      <c r="CE1867" s="803"/>
      <c r="CF1867" s="803"/>
      <c r="CG1867" s="803"/>
      <c r="CH1867" s="803"/>
      <c r="CI1867" s="803"/>
      <c r="CJ1867" s="803"/>
      <c r="CK1867" s="803"/>
      <c r="CL1867" s="813"/>
      <c r="CM1867" s="813"/>
      <c r="CN1867" s="813">
        <v>34.149000000000001</v>
      </c>
      <c r="CO1867" s="813">
        <v>34.149000000000001</v>
      </c>
      <c r="CP1867" s="813">
        <v>34.149000000000001</v>
      </c>
      <c r="CQ1867" s="813">
        <v>34.149000000000001</v>
      </c>
      <c r="CR1867" s="813">
        <v>34.149000000000001</v>
      </c>
      <c r="CS1867" s="813">
        <v>34.149000000000001</v>
      </c>
      <c r="CT1867" s="813">
        <v>34.149000000000001</v>
      </c>
      <c r="CU1867" s="813"/>
      <c r="CV1867" s="813"/>
      <c r="CW1867" s="813"/>
      <c r="CX1867" s="813"/>
      <c r="CY1867" s="803"/>
      <c r="CZ1867" s="803"/>
      <c r="DA1867" s="803"/>
      <c r="DB1867" s="803"/>
      <c r="DC1867" s="803"/>
      <c r="DD1867" s="803"/>
      <c r="DE1867" s="803"/>
      <c r="DF1867" s="803"/>
      <c r="DG1867" s="803"/>
      <c r="DH1867" s="803"/>
      <c r="DI1867" s="803"/>
      <c r="DJ1867" s="803"/>
      <c r="DK1867" s="897"/>
      <c r="DL1867" s="814"/>
      <c r="DM1867" s="814"/>
      <c r="DN1867" s="814"/>
      <c r="DO1867" s="814"/>
      <c r="DP1867" s="814"/>
      <c r="DQ1867" s="814"/>
      <c r="DR1867" s="814"/>
      <c r="DS1867" s="814"/>
      <c r="DT1867" s="814"/>
      <c r="DU1867" s="814"/>
      <c r="DV1867" s="814"/>
    </row>
    <row r="1868" spans="1:126" ht="15" x14ac:dyDescent="0.2">
      <c r="A1868" s="295">
        <v>1864</v>
      </c>
      <c r="B1868" s="502" t="s">
        <v>9655</v>
      </c>
      <c r="C1868" s="803" t="s">
        <v>9657</v>
      </c>
      <c r="D1868" s="803"/>
      <c r="E1868" s="804" t="s">
        <v>9659</v>
      </c>
      <c r="F1868" s="461" t="s">
        <v>1375</v>
      </c>
      <c r="G1868" s="461" t="s">
        <v>998</v>
      </c>
      <c r="H1868" s="524" t="s">
        <v>1381</v>
      </c>
      <c r="I1868" s="803"/>
      <c r="J1868" s="803"/>
      <c r="K1868" s="773"/>
      <c r="L1868" s="803" t="s">
        <v>9658</v>
      </c>
      <c r="M1868" s="803" t="s">
        <v>9660</v>
      </c>
      <c r="N1868" s="586" t="s">
        <v>33</v>
      </c>
      <c r="O1868" s="803" t="s">
        <v>820</v>
      </c>
      <c r="P1868" s="803" t="s">
        <v>820</v>
      </c>
      <c r="Q1868" s="813" t="s">
        <v>1833</v>
      </c>
      <c r="R1868" s="803"/>
      <c r="S1868" s="803" t="s">
        <v>822</v>
      </c>
      <c r="T1868" s="789">
        <v>1</v>
      </c>
      <c r="U1868" s="805">
        <v>183.03</v>
      </c>
      <c r="V1868" s="806"/>
      <c r="W1868" s="727"/>
      <c r="X1868" s="807"/>
      <c r="Y1868" s="789">
        <v>7</v>
      </c>
      <c r="Z1868" s="790"/>
      <c r="AA1868" s="803"/>
      <c r="AB1868" s="826"/>
      <c r="AC1868" s="807">
        <v>0</v>
      </c>
      <c r="AD1868" s="807">
        <v>1830.3</v>
      </c>
      <c r="AE1868" s="808" t="s">
        <v>7354</v>
      </c>
      <c r="AF1868" s="809"/>
      <c r="AG1868" s="809"/>
      <c r="AH1868" s="809">
        <v>0</v>
      </c>
      <c r="AI1868" s="790"/>
      <c r="AJ1868" s="810"/>
      <c r="AK1868" s="810"/>
      <c r="AL1868" s="803"/>
      <c r="AM1868" s="803"/>
      <c r="AN1868" s="809"/>
      <c r="AO1868" s="803"/>
      <c r="AP1868" s="586" t="s">
        <v>55</v>
      </c>
      <c r="AQ1868" s="803"/>
      <c r="AR1868" s="585" t="s">
        <v>55</v>
      </c>
      <c r="AS1868" s="591">
        <v>43333</v>
      </c>
      <c r="AT1868" s="811"/>
      <c r="AU1868" s="803"/>
      <c r="AV1868" s="803"/>
      <c r="AW1868" s="803"/>
      <c r="AX1868" s="803"/>
      <c r="AY1868" s="810"/>
      <c r="AZ1868" s="810"/>
      <c r="BA1868" s="811"/>
      <c r="BB1868" s="808" t="s">
        <v>3116</v>
      </c>
      <c r="BC1868" s="803" t="b">
        <v>0</v>
      </c>
      <c r="BD1868" s="808" t="s">
        <v>3147</v>
      </c>
      <c r="BE1868" s="803"/>
      <c r="BF1868" s="789">
        <v>1</v>
      </c>
      <c r="BG1868" s="789">
        <v>11</v>
      </c>
      <c r="BH1868" s="789"/>
      <c r="BI1868" s="789"/>
      <c r="BJ1868" s="790"/>
      <c r="BK1868" s="790"/>
      <c r="BL1868" s="793">
        <v>0</v>
      </c>
      <c r="BM1868" s="790"/>
      <c r="BN1868" s="803"/>
      <c r="BO1868" s="803"/>
      <c r="BP1868" s="803"/>
      <c r="BQ1868" s="803"/>
      <c r="BR1868" s="803"/>
      <c r="BS1868" s="807">
        <v>0</v>
      </c>
      <c r="BT1868" s="790"/>
      <c r="BU1868" s="809"/>
      <c r="BV1868" s="807"/>
      <c r="BW1868" s="586" t="s">
        <v>3117</v>
      </c>
      <c r="BX1868" s="808"/>
      <c r="BY1868" s="803"/>
      <c r="BZ1868" s="812"/>
      <c r="CA1868" s="812"/>
      <c r="CB1868" s="803"/>
      <c r="CC1868" s="803"/>
      <c r="CD1868" s="803"/>
      <c r="CE1868" s="803"/>
      <c r="CF1868" s="803"/>
      <c r="CG1868" s="803"/>
      <c r="CH1868" s="803"/>
      <c r="CI1868" s="803"/>
      <c r="CJ1868" s="803"/>
      <c r="CK1868" s="803"/>
      <c r="CL1868" s="813"/>
      <c r="CM1868" s="813"/>
      <c r="CN1868" s="813"/>
      <c r="CO1868" s="813"/>
      <c r="CP1868" s="813"/>
      <c r="CQ1868" s="813"/>
      <c r="CR1868" s="813"/>
      <c r="CS1868" s="813"/>
      <c r="CT1868" s="813"/>
      <c r="CU1868" s="813"/>
      <c r="CV1868" s="813"/>
      <c r="CW1868" s="813"/>
      <c r="CX1868" s="813"/>
      <c r="CY1868" s="803"/>
      <c r="CZ1868" s="803"/>
      <c r="DA1868" s="803"/>
      <c r="DB1868" s="803"/>
      <c r="DC1868" s="803"/>
      <c r="DD1868" s="803"/>
      <c r="DE1868" s="803"/>
      <c r="DF1868" s="803"/>
      <c r="DG1868" s="803"/>
      <c r="DH1868" s="803"/>
      <c r="DI1868" s="803"/>
      <c r="DJ1868" s="803"/>
      <c r="DK1868" s="898"/>
      <c r="DL1868" s="814"/>
      <c r="DM1868" s="814"/>
      <c r="DN1868" s="814"/>
      <c r="DO1868" s="814"/>
      <c r="DP1868" s="814"/>
      <c r="DQ1868" s="814"/>
      <c r="DR1868" s="814"/>
      <c r="DS1868" s="814"/>
      <c r="DT1868" s="814"/>
      <c r="DU1868" s="814"/>
      <c r="DV1868" s="814"/>
    </row>
    <row r="1869" spans="1:126" ht="95.25" customHeight="1" x14ac:dyDescent="0.2">
      <c r="A1869" s="295">
        <v>1865</v>
      </c>
      <c r="B1869" s="527" t="s">
        <v>9656</v>
      </c>
      <c r="C1869" s="813"/>
      <c r="D1869" s="813"/>
      <c r="E1869" s="813" t="s">
        <v>9661</v>
      </c>
      <c r="F1869" s="472" t="s">
        <v>1375</v>
      </c>
      <c r="G1869" s="472" t="s">
        <v>998</v>
      </c>
      <c r="H1869" s="847" t="s">
        <v>1381</v>
      </c>
      <c r="I1869" s="813"/>
      <c r="J1869" s="813"/>
      <c r="K1869" s="831"/>
      <c r="L1869" s="813" t="s">
        <v>9658</v>
      </c>
      <c r="M1869" s="813"/>
      <c r="N1869" s="832" t="s">
        <v>33</v>
      </c>
      <c r="O1869" s="813" t="s">
        <v>820</v>
      </c>
      <c r="P1869" s="813" t="s">
        <v>820</v>
      </c>
      <c r="Q1869" s="813" t="s">
        <v>1833</v>
      </c>
      <c r="R1869" s="813" t="s">
        <v>9809</v>
      </c>
      <c r="S1869" s="813" t="s">
        <v>822</v>
      </c>
      <c r="T1869" s="789">
        <v>1</v>
      </c>
      <c r="U1869" s="838">
        <v>183.03</v>
      </c>
      <c r="V1869" s="833"/>
      <c r="W1869" s="833"/>
      <c r="X1869" s="813"/>
      <c r="Y1869" s="789">
        <v>10</v>
      </c>
      <c r="Z1869" s="813"/>
      <c r="AA1869" s="813"/>
      <c r="AB1869" s="826">
        <v>43342</v>
      </c>
      <c r="AC1869" s="813"/>
      <c r="AD1869" s="813">
        <v>1830.3</v>
      </c>
      <c r="AE1869" s="834" t="s">
        <v>7354</v>
      </c>
      <c r="AF1869" s="813"/>
      <c r="AG1869" s="813"/>
      <c r="AH1869" s="813"/>
      <c r="AI1869" s="813"/>
      <c r="AJ1869" s="813"/>
      <c r="AK1869" s="813"/>
      <c r="AL1869" s="813"/>
      <c r="AM1869" s="813"/>
      <c r="AN1869" s="813"/>
      <c r="AO1869" s="813"/>
      <c r="AP1869" s="832" t="s">
        <v>55</v>
      </c>
      <c r="AQ1869" s="813"/>
      <c r="AR1869" s="596" t="s">
        <v>55</v>
      </c>
      <c r="AS1869" s="591">
        <v>43333</v>
      </c>
      <c r="AT1869" s="835"/>
      <c r="AU1869" s="813"/>
      <c r="AV1869" s="813"/>
      <c r="AW1869" s="813"/>
      <c r="AX1869" s="813"/>
      <c r="AY1869" s="813"/>
      <c r="AZ1869" s="813"/>
      <c r="BA1869" s="835"/>
      <c r="BB1869" s="834"/>
      <c r="BC1869" s="813" t="b">
        <v>0</v>
      </c>
      <c r="BD1869" s="834"/>
      <c r="BE1869" s="813"/>
      <c r="BF1869" s="789">
        <v>1</v>
      </c>
      <c r="BG1869" s="789">
        <v>11</v>
      </c>
      <c r="BH1869" s="833"/>
      <c r="BI1869" s="833"/>
      <c r="BJ1869" s="813"/>
      <c r="BK1869" s="813"/>
      <c r="BL1869" s="793">
        <v>0</v>
      </c>
      <c r="BM1869" s="813"/>
      <c r="BN1869" s="813"/>
      <c r="BO1869" s="813"/>
      <c r="BP1869" s="813"/>
      <c r="BQ1869" s="813"/>
      <c r="BR1869" s="813"/>
      <c r="BS1869" s="813"/>
      <c r="BT1869" s="813"/>
      <c r="BU1869" s="813"/>
      <c r="BV1869" s="813"/>
      <c r="BW1869" s="832" t="s">
        <v>3117</v>
      </c>
      <c r="BX1869" s="834"/>
      <c r="BY1869" s="813"/>
      <c r="BZ1869" s="835"/>
      <c r="CA1869" s="835"/>
      <c r="CB1869" s="813"/>
      <c r="CC1869" s="813"/>
      <c r="CD1869" s="813"/>
      <c r="CE1869" s="813"/>
      <c r="CF1869" s="813"/>
      <c r="CG1869" s="813"/>
      <c r="CH1869" s="813"/>
      <c r="CI1869" s="813"/>
      <c r="CJ1869" s="813"/>
      <c r="CK1869" s="813"/>
      <c r="CL1869" s="813"/>
      <c r="CM1869" s="813"/>
      <c r="CN1869" s="813"/>
      <c r="CO1869" s="915">
        <v>13.84</v>
      </c>
      <c r="CP1869" s="813">
        <v>44.95</v>
      </c>
      <c r="CQ1869" s="813">
        <v>70.42</v>
      </c>
      <c r="CR1869" s="813">
        <v>112.44</v>
      </c>
      <c r="CS1869" s="813">
        <v>152.06</v>
      </c>
      <c r="CT1869" s="813">
        <v>197.14</v>
      </c>
      <c r="CU1869" s="813">
        <v>242.23</v>
      </c>
      <c r="CV1869" s="813">
        <v>287.32</v>
      </c>
      <c r="CW1869" s="813">
        <v>332.4</v>
      </c>
      <c r="CX1869" s="813">
        <v>377.49</v>
      </c>
      <c r="CY1869" s="813"/>
      <c r="CZ1869" s="813"/>
      <c r="DA1869" s="813"/>
      <c r="DB1869" s="813"/>
      <c r="DC1869" s="813"/>
      <c r="DD1869" s="813"/>
      <c r="DE1869" s="813"/>
      <c r="DF1869" s="813"/>
      <c r="DG1869" s="813"/>
      <c r="DH1869" s="813"/>
      <c r="DI1869" s="813"/>
      <c r="DJ1869" s="813"/>
      <c r="DK1869" s="897"/>
      <c r="DL1869" s="814"/>
      <c r="DM1869" s="814"/>
      <c r="DN1869" s="814"/>
      <c r="DO1869" s="814"/>
      <c r="DP1869" s="814"/>
      <c r="DQ1869" s="814"/>
      <c r="DR1869" s="814"/>
      <c r="DS1869" s="814"/>
      <c r="DT1869" s="814"/>
      <c r="DU1869" s="814"/>
      <c r="DV1869" s="814"/>
    </row>
    <row r="1870" spans="1:126" ht="67.5" customHeight="1" x14ac:dyDescent="0.2">
      <c r="A1870" s="295">
        <v>1866</v>
      </c>
      <c r="B1870" s="502" t="s">
        <v>9688</v>
      </c>
      <c r="C1870" s="813" t="s">
        <v>9692</v>
      </c>
      <c r="D1870" s="813"/>
      <c r="E1870" s="813" t="s">
        <v>9693</v>
      </c>
      <c r="F1870" s="726" t="s">
        <v>1352</v>
      </c>
      <c r="G1870" s="726" t="s">
        <v>1672</v>
      </c>
      <c r="H1870" s="726" t="s">
        <v>89</v>
      </c>
      <c r="I1870" s="813"/>
      <c r="J1870" s="813" t="s">
        <v>89</v>
      </c>
      <c r="K1870" s="831"/>
      <c r="L1870" s="813" t="s">
        <v>9763</v>
      </c>
      <c r="M1870" s="813" t="s">
        <v>9764</v>
      </c>
      <c r="N1870" s="832" t="s">
        <v>33</v>
      </c>
      <c r="O1870" s="774" t="s">
        <v>51</v>
      </c>
      <c r="P1870" s="774" t="s">
        <v>51</v>
      </c>
      <c r="Q1870" s="774" t="s">
        <v>976</v>
      </c>
      <c r="R1870" s="813" t="s">
        <v>9808</v>
      </c>
      <c r="S1870" s="803" t="s">
        <v>977</v>
      </c>
      <c r="T1870" s="789">
        <v>1</v>
      </c>
      <c r="U1870" s="838">
        <v>0</v>
      </c>
      <c r="V1870" s="833"/>
      <c r="W1870" s="833"/>
      <c r="X1870" s="790">
        <v>28</v>
      </c>
      <c r="Y1870" s="789">
        <v>7</v>
      </c>
      <c r="Z1870" s="813"/>
      <c r="AA1870" s="813"/>
      <c r="AB1870" s="826"/>
      <c r="AC1870" s="813">
        <v>0</v>
      </c>
      <c r="AD1870" s="813">
        <v>0</v>
      </c>
      <c r="AE1870" s="834" t="s">
        <v>7354</v>
      </c>
      <c r="AF1870" s="813"/>
      <c r="AG1870" s="813"/>
      <c r="AH1870" s="813">
        <v>0</v>
      </c>
      <c r="AI1870" s="813"/>
      <c r="AJ1870" s="813"/>
      <c r="AK1870" s="813"/>
      <c r="AL1870" s="813"/>
      <c r="AM1870" s="813"/>
      <c r="AN1870" s="813"/>
      <c r="AO1870" s="813"/>
      <c r="AP1870" s="832" t="s">
        <v>55</v>
      </c>
      <c r="AQ1870" s="813"/>
      <c r="AR1870" s="596" t="s">
        <v>55</v>
      </c>
      <c r="AS1870" s="591">
        <v>43356</v>
      </c>
      <c r="AT1870" s="835"/>
      <c r="AU1870" s="813"/>
      <c r="AV1870" s="813"/>
      <c r="AW1870" s="813"/>
      <c r="AX1870" s="813"/>
      <c r="AY1870" s="813"/>
      <c r="AZ1870" s="813"/>
      <c r="BA1870" s="835"/>
      <c r="BB1870" s="834" t="s">
        <v>3116</v>
      </c>
      <c r="BC1870" s="813" t="b">
        <v>0</v>
      </c>
      <c r="BD1870" s="834" t="s">
        <v>3147</v>
      </c>
      <c r="BE1870" s="813"/>
      <c r="BF1870" s="789">
        <v>1</v>
      </c>
      <c r="BG1870" s="789">
        <v>2</v>
      </c>
      <c r="BH1870" s="789">
        <v>8</v>
      </c>
      <c r="BI1870" s="789">
        <v>6</v>
      </c>
      <c r="BJ1870" s="790"/>
      <c r="BK1870" s="790"/>
      <c r="BL1870" s="793">
        <v>3</v>
      </c>
      <c r="BM1870" s="813"/>
      <c r="BN1870" s="813"/>
      <c r="BO1870" s="813"/>
      <c r="BP1870" s="813"/>
      <c r="BQ1870" s="813"/>
      <c r="BR1870" s="813"/>
      <c r="BS1870" s="813">
        <v>0</v>
      </c>
      <c r="BT1870" s="813"/>
      <c r="BU1870" s="813"/>
      <c r="BV1870" s="813"/>
      <c r="BW1870" s="832" t="s">
        <v>3117</v>
      </c>
      <c r="BX1870" s="834"/>
      <c r="BY1870" s="813"/>
      <c r="BZ1870" s="835"/>
      <c r="CA1870" s="835"/>
      <c r="CB1870" s="813"/>
      <c r="CC1870" s="813"/>
      <c r="CD1870" s="813"/>
      <c r="CE1870" s="813"/>
      <c r="CF1870" s="813"/>
      <c r="CG1870" s="813"/>
      <c r="CH1870" s="813"/>
      <c r="CI1870" s="813"/>
      <c r="CJ1870" s="813"/>
      <c r="CK1870" s="813"/>
      <c r="CL1870" s="813"/>
      <c r="CM1870" s="813"/>
      <c r="CN1870" s="813"/>
      <c r="CO1870" s="915"/>
      <c r="CP1870" s="813"/>
      <c r="CQ1870" s="813"/>
      <c r="CR1870" s="813"/>
      <c r="CS1870" s="813"/>
      <c r="CT1870" s="813"/>
      <c r="CU1870" s="813"/>
      <c r="CV1870" s="813"/>
      <c r="CW1870" s="813"/>
      <c r="CX1870" s="813"/>
      <c r="CY1870" s="813"/>
      <c r="CZ1870" s="813"/>
      <c r="DA1870" s="813"/>
      <c r="DB1870" s="813"/>
      <c r="DC1870" s="813"/>
      <c r="DD1870" s="813"/>
      <c r="DE1870" s="813"/>
      <c r="DF1870" s="813"/>
      <c r="DG1870" s="813"/>
      <c r="DH1870" s="813"/>
      <c r="DI1870" s="813"/>
      <c r="DJ1870" s="813"/>
      <c r="DK1870" s="898"/>
      <c r="DL1870" s="814"/>
      <c r="DM1870" s="814"/>
      <c r="DN1870" s="814"/>
      <c r="DO1870" s="814"/>
      <c r="DP1870" s="814"/>
      <c r="DQ1870" s="814"/>
      <c r="DR1870" s="814"/>
      <c r="DS1870" s="814"/>
      <c r="DT1870" s="814"/>
      <c r="DU1870" s="814"/>
      <c r="DV1870" s="814"/>
    </row>
    <row r="1871" spans="1:126" ht="25.5" x14ac:dyDescent="0.2">
      <c r="A1871" s="295">
        <v>1867</v>
      </c>
      <c r="B1871" s="527" t="s">
        <v>9690</v>
      </c>
      <c r="C1871" s="813"/>
      <c r="D1871" s="813"/>
      <c r="E1871" s="813" t="s">
        <v>9694</v>
      </c>
      <c r="F1871" s="726" t="s">
        <v>1352</v>
      </c>
      <c r="G1871" s="726" t="s">
        <v>1672</v>
      </c>
      <c r="H1871" s="726" t="s">
        <v>89</v>
      </c>
      <c r="I1871" s="813"/>
      <c r="J1871" s="813"/>
      <c r="K1871" s="831"/>
      <c r="L1871" s="813" t="s">
        <v>9763</v>
      </c>
      <c r="M1871" s="813"/>
      <c r="N1871" s="832" t="s">
        <v>33</v>
      </c>
      <c r="O1871" s="774" t="s">
        <v>51</v>
      </c>
      <c r="P1871" s="774" t="s">
        <v>51</v>
      </c>
      <c r="Q1871" s="774" t="s">
        <v>976</v>
      </c>
      <c r="R1871" s="813"/>
      <c r="S1871" s="803" t="s">
        <v>977</v>
      </c>
      <c r="T1871" s="789">
        <v>1</v>
      </c>
      <c r="U1871" s="838"/>
      <c r="V1871" s="833"/>
      <c r="W1871" s="833"/>
      <c r="X1871" s="790"/>
      <c r="Y1871" s="789">
        <v>7</v>
      </c>
      <c r="Z1871" s="813"/>
      <c r="AA1871" s="813"/>
      <c r="AB1871" s="826"/>
      <c r="AC1871" s="813"/>
      <c r="AD1871" s="813">
        <v>0</v>
      </c>
      <c r="AE1871" s="834" t="s">
        <v>7354</v>
      </c>
      <c r="AF1871" s="813"/>
      <c r="AG1871" s="813"/>
      <c r="AH1871" s="813"/>
      <c r="AI1871" s="813"/>
      <c r="AJ1871" s="813"/>
      <c r="AK1871" s="813"/>
      <c r="AL1871" s="813"/>
      <c r="AM1871" s="813"/>
      <c r="AN1871" s="813"/>
      <c r="AO1871" s="813"/>
      <c r="AP1871" s="832" t="s">
        <v>55</v>
      </c>
      <c r="AQ1871" s="813"/>
      <c r="AR1871" s="596" t="s">
        <v>55</v>
      </c>
      <c r="AS1871" s="591">
        <v>43356</v>
      </c>
      <c r="AT1871" s="835"/>
      <c r="AU1871" s="813"/>
      <c r="AV1871" s="813"/>
      <c r="AW1871" s="813"/>
      <c r="AX1871" s="813"/>
      <c r="AY1871" s="813"/>
      <c r="AZ1871" s="813"/>
      <c r="BA1871" s="835"/>
      <c r="BB1871" s="834"/>
      <c r="BC1871" s="813"/>
      <c r="BD1871" s="834"/>
      <c r="BE1871" s="813"/>
      <c r="BF1871" s="789">
        <v>1</v>
      </c>
      <c r="BG1871" s="789">
        <v>2</v>
      </c>
      <c r="BH1871" s="789">
        <v>8</v>
      </c>
      <c r="BI1871" s="789">
        <v>6</v>
      </c>
      <c r="BJ1871" s="790"/>
      <c r="BK1871" s="790"/>
      <c r="BL1871" s="793">
        <v>3</v>
      </c>
      <c r="BM1871" s="813"/>
      <c r="BN1871" s="813"/>
      <c r="BO1871" s="813"/>
      <c r="BP1871" s="813"/>
      <c r="BQ1871" s="813"/>
      <c r="BR1871" s="813"/>
      <c r="BS1871" s="813"/>
      <c r="BT1871" s="813"/>
      <c r="BU1871" s="813"/>
      <c r="BV1871" s="813"/>
      <c r="BW1871" s="832" t="s">
        <v>3117</v>
      </c>
      <c r="BX1871" s="834"/>
      <c r="BY1871" s="813"/>
      <c r="BZ1871" s="835"/>
      <c r="CA1871" s="835"/>
      <c r="CB1871" s="813"/>
      <c r="CC1871" s="813"/>
      <c r="CD1871" s="813"/>
      <c r="CE1871" s="813"/>
      <c r="CF1871" s="813"/>
      <c r="CG1871" s="813"/>
      <c r="CH1871" s="813"/>
      <c r="CI1871" s="813"/>
      <c r="CJ1871" s="813"/>
      <c r="CK1871" s="813"/>
      <c r="CL1871" s="813"/>
      <c r="CM1871" s="813"/>
      <c r="CN1871" s="813"/>
      <c r="CO1871" s="915"/>
      <c r="CP1871" s="813"/>
      <c r="CQ1871" s="813"/>
      <c r="CR1871" s="813"/>
      <c r="CS1871" s="813"/>
      <c r="CT1871" s="813"/>
      <c r="CU1871" s="813"/>
      <c r="CV1871" s="813"/>
      <c r="CW1871" s="813"/>
      <c r="CX1871" s="813"/>
      <c r="CY1871" s="813"/>
      <c r="CZ1871" s="813"/>
      <c r="DA1871" s="813"/>
      <c r="DB1871" s="813"/>
      <c r="DC1871" s="813"/>
      <c r="DD1871" s="813"/>
      <c r="DE1871" s="813"/>
      <c r="DF1871" s="813"/>
      <c r="DG1871" s="813"/>
      <c r="DH1871" s="813"/>
      <c r="DI1871" s="813"/>
      <c r="DJ1871" s="813"/>
      <c r="DK1871" s="897"/>
      <c r="DL1871" s="814"/>
      <c r="DM1871" s="814"/>
      <c r="DN1871" s="814"/>
      <c r="DO1871" s="814"/>
      <c r="DP1871" s="814"/>
      <c r="DQ1871" s="814"/>
      <c r="DR1871" s="814"/>
      <c r="DS1871" s="814"/>
      <c r="DT1871" s="814"/>
      <c r="DU1871" s="814"/>
      <c r="DV1871" s="814"/>
    </row>
    <row r="1872" spans="1:126" ht="69.75" customHeight="1" x14ac:dyDescent="0.2">
      <c r="A1872" s="295">
        <v>1868</v>
      </c>
      <c r="B1872" s="502" t="s">
        <v>9689</v>
      </c>
      <c r="C1872" s="813" t="s">
        <v>9696</v>
      </c>
      <c r="D1872" s="813"/>
      <c r="E1872" s="813" t="s">
        <v>9695</v>
      </c>
      <c r="F1872" s="773" t="s">
        <v>8026</v>
      </c>
      <c r="G1872" s="726" t="s">
        <v>1678</v>
      </c>
      <c r="H1872" s="726" t="s">
        <v>918</v>
      </c>
      <c r="I1872" s="813"/>
      <c r="J1872" s="917" t="s">
        <v>918</v>
      </c>
      <c r="K1872" s="831"/>
      <c r="L1872" s="813" t="s">
        <v>9765</v>
      </c>
      <c r="M1872" s="813" t="s">
        <v>9811</v>
      </c>
      <c r="N1872" s="832" t="s">
        <v>33</v>
      </c>
      <c r="O1872" s="841" t="s">
        <v>93</v>
      </c>
      <c r="P1872" s="841" t="s">
        <v>9812</v>
      </c>
      <c r="Q1872" s="841" t="s">
        <v>338</v>
      </c>
      <c r="R1872" s="813" t="s">
        <v>9810</v>
      </c>
      <c r="S1872" s="803" t="s">
        <v>256</v>
      </c>
      <c r="T1872" s="789">
        <v>1</v>
      </c>
      <c r="U1872" s="838">
        <v>0</v>
      </c>
      <c r="V1872" s="833"/>
      <c r="W1872" s="833"/>
      <c r="X1872" s="790"/>
      <c r="Y1872" s="789">
        <v>7</v>
      </c>
      <c r="Z1872" s="813"/>
      <c r="AA1872" s="813"/>
      <c r="AB1872" s="826"/>
      <c r="AC1872" s="813">
        <v>0</v>
      </c>
      <c r="AD1872" s="813">
        <v>0</v>
      </c>
      <c r="AE1872" s="834" t="s">
        <v>225</v>
      </c>
      <c r="AF1872" s="813"/>
      <c r="AG1872" s="813"/>
      <c r="AH1872" s="813">
        <v>0</v>
      </c>
      <c r="AI1872" s="813"/>
      <c r="AJ1872" s="813"/>
      <c r="AK1872" s="813"/>
      <c r="AL1872" s="813"/>
      <c r="AM1872" s="813"/>
      <c r="AN1872" s="813"/>
      <c r="AO1872" s="813"/>
      <c r="AP1872" s="832" t="s">
        <v>55</v>
      </c>
      <c r="AQ1872" s="813"/>
      <c r="AR1872" s="596" t="s">
        <v>9807</v>
      </c>
      <c r="AS1872" s="591">
        <v>43362</v>
      </c>
      <c r="AT1872" s="835"/>
      <c r="AU1872" s="813"/>
      <c r="AV1872" s="813"/>
      <c r="AW1872" s="813"/>
      <c r="AX1872" s="813"/>
      <c r="AY1872" s="813"/>
      <c r="AZ1872" s="813"/>
      <c r="BA1872" s="835"/>
      <c r="BB1872" s="834" t="s">
        <v>3147</v>
      </c>
      <c r="BC1872" s="813" t="b">
        <v>1</v>
      </c>
      <c r="BD1872" s="834" t="s">
        <v>3147</v>
      </c>
      <c r="BE1872" s="813"/>
      <c r="BF1872" s="789">
        <v>5</v>
      </c>
      <c r="BG1872" s="789">
        <v>8</v>
      </c>
      <c r="BH1872" s="789">
        <v>9</v>
      </c>
      <c r="BI1872" s="789"/>
      <c r="BJ1872" s="790"/>
      <c r="BK1872" s="790"/>
      <c r="BL1872" s="793">
        <v>0</v>
      </c>
      <c r="BM1872" s="813"/>
      <c r="BN1872" s="813"/>
      <c r="BO1872" s="813"/>
      <c r="BP1872" s="813"/>
      <c r="BQ1872" s="813"/>
      <c r="BR1872" s="813"/>
      <c r="BS1872" s="813">
        <v>0</v>
      </c>
      <c r="BT1872" s="813"/>
      <c r="BU1872" s="813"/>
      <c r="BV1872" s="813"/>
      <c r="BW1872" s="832" t="s">
        <v>3117</v>
      </c>
      <c r="BX1872" s="834"/>
      <c r="BY1872" s="813"/>
      <c r="BZ1872" s="835"/>
      <c r="CA1872" s="835"/>
      <c r="CB1872" s="813"/>
      <c r="CC1872" s="813"/>
      <c r="CD1872" s="813"/>
      <c r="CE1872" s="813"/>
      <c r="CF1872" s="813"/>
      <c r="CG1872" s="813"/>
      <c r="CH1872" s="813"/>
      <c r="CI1872" s="813"/>
      <c r="CJ1872" s="813"/>
      <c r="CK1872" s="813"/>
      <c r="CL1872" s="813"/>
      <c r="CM1872" s="813"/>
      <c r="CN1872" s="813"/>
      <c r="CO1872" s="915"/>
      <c r="CP1872" s="813"/>
      <c r="CQ1872" s="813"/>
      <c r="CR1872" s="813"/>
      <c r="CS1872" s="813"/>
      <c r="CT1872" s="813"/>
      <c r="CU1872" s="813"/>
      <c r="CV1872" s="813"/>
      <c r="CW1872" s="813"/>
      <c r="CX1872" s="813"/>
      <c r="CY1872" s="813"/>
      <c r="CZ1872" s="813"/>
      <c r="DA1872" s="813"/>
      <c r="DB1872" s="813"/>
      <c r="DC1872" s="813"/>
      <c r="DD1872" s="813"/>
      <c r="DE1872" s="813"/>
      <c r="DF1872" s="813"/>
      <c r="DG1872" s="813"/>
      <c r="DH1872" s="813"/>
      <c r="DI1872" s="813"/>
      <c r="DJ1872" s="813"/>
      <c r="DK1872" s="898"/>
      <c r="DL1872" s="814"/>
      <c r="DM1872" s="814"/>
      <c r="DN1872" s="814"/>
      <c r="DO1872" s="814"/>
      <c r="DP1872" s="814"/>
      <c r="DQ1872" s="814"/>
      <c r="DR1872" s="814"/>
      <c r="DS1872" s="814"/>
      <c r="DT1872" s="814"/>
      <c r="DU1872" s="814"/>
      <c r="DV1872" s="814"/>
    </row>
    <row r="1873" spans="1:126" ht="25.5" x14ac:dyDescent="0.2">
      <c r="A1873" s="295">
        <v>1869</v>
      </c>
      <c r="B1873" s="527" t="s">
        <v>9691</v>
      </c>
      <c r="C1873" s="813"/>
      <c r="D1873" s="813"/>
      <c r="E1873" s="813" t="s">
        <v>9694</v>
      </c>
      <c r="F1873" s="773" t="s">
        <v>8026</v>
      </c>
      <c r="G1873" s="726" t="s">
        <v>1678</v>
      </c>
      <c r="H1873" s="726" t="s">
        <v>918</v>
      </c>
      <c r="I1873" s="813"/>
      <c r="J1873" s="813"/>
      <c r="K1873" s="831"/>
      <c r="L1873" s="813" t="s">
        <v>9765</v>
      </c>
      <c r="M1873" s="813"/>
      <c r="N1873" s="832" t="s">
        <v>33</v>
      </c>
      <c r="O1873" s="841" t="s">
        <v>9813</v>
      </c>
      <c r="P1873" s="841" t="s">
        <v>9812</v>
      </c>
      <c r="Q1873" s="841" t="s">
        <v>338</v>
      </c>
      <c r="R1873" s="813" t="s">
        <v>9766</v>
      </c>
      <c r="S1873" s="803" t="s">
        <v>256</v>
      </c>
      <c r="T1873" s="789">
        <v>1</v>
      </c>
      <c r="U1873" s="838"/>
      <c r="V1873" s="833"/>
      <c r="W1873" s="833"/>
      <c r="X1873" s="790"/>
      <c r="Y1873" s="789">
        <v>7</v>
      </c>
      <c r="Z1873" s="813"/>
      <c r="AA1873" s="813"/>
      <c r="AB1873" s="826"/>
      <c r="AC1873" s="813"/>
      <c r="AD1873" s="813">
        <v>0</v>
      </c>
      <c r="AE1873" s="834" t="s">
        <v>225</v>
      </c>
      <c r="AF1873" s="813"/>
      <c r="AG1873" s="813"/>
      <c r="AH1873" s="813"/>
      <c r="AI1873" s="813"/>
      <c r="AJ1873" s="813"/>
      <c r="AK1873" s="813"/>
      <c r="AL1873" s="813"/>
      <c r="AM1873" s="813"/>
      <c r="AN1873" s="813"/>
      <c r="AO1873" s="813"/>
      <c r="AP1873" s="832" t="s">
        <v>55</v>
      </c>
      <c r="AQ1873" s="813"/>
      <c r="AR1873" s="596" t="s">
        <v>9807</v>
      </c>
      <c r="AS1873" s="591">
        <v>43362</v>
      </c>
      <c r="AT1873" s="835"/>
      <c r="AU1873" s="813"/>
      <c r="AV1873" s="813"/>
      <c r="AW1873" s="813"/>
      <c r="AX1873" s="813"/>
      <c r="AY1873" s="813"/>
      <c r="AZ1873" s="813"/>
      <c r="BA1873" s="835"/>
      <c r="BB1873" s="834"/>
      <c r="BC1873" s="813"/>
      <c r="BD1873" s="834"/>
      <c r="BE1873" s="813"/>
      <c r="BF1873" s="789">
        <v>5</v>
      </c>
      <c r="BG1873" s="789">
        <v>8</v>
      </c>
      <c r="BH1873" s="789">
        <v>9</v>
      </c>
      <c r="BI1873" s="789"/>
      <c r="BJ1873" s="790"/>
      <c r="BK1873" s="790"/>
      <c r="BL1873" s="793">
        <v>0</v>
      </c>
      <c r="BM1873" s="813"/>
      <c r="BN1873" s="813"/>
      <c r="BO1873" s="813"/>
      <c r="BP1873" s="813"/>
      <c r="BQ1873" s="813"/>
      <c r="BR1873" s="813"/>
      <c r="BS1873" s="813"/>
      <c r="BT1873" s="813"/>
      <c r="BU1873" s="813"/>
      <c r="BV1873" s="813"/>
      <c r="BW1873" s="832" t="s">
        <v>3117</v>
      </c>
      <c r="BX1873" s="834"/>
      <c r="BY1873" s="813"/>
      <c r="BZ1873" s="835"/>
      <c r="CA1873" s="835"/>
      <c r="CB1873" s="813"/>
      <c r="CC1873" s="813"/>
      <c r="CD1873" s="813"/>
      <c r="CE1873" s="813"/>
      <c r="CF1873" s="813"/>
      <c r="CG1873" s="813"/>
      <c r="CH1873" s="813"/>
      <c r="CI1873" s="813"/>
      <c r="CJ1873" s="813"/>
      <c r="CK1873" s="813"/>
      <c r="CL1873" s="813"/>
      <c r="CM1873" s="813"/>
      <c r="CN1873" s="813"/>
      <c r="CO1873" s="915"/>
      <c r="CP1873" s="813"/>
      <c r="CQ1873" s="813"/>
      <c r="CR1873" s="813"/>
      <c r="CS1873" s="813"/>
      <c r="CT1873" s="813"/>
      <c r="CU1873" s="813"/>
      <c r="CV1873" s="813"/>
      <c r="CW1873" s="813"/>
      <c r="CX1873" s="813"/>
      <c r="CY1873" s="813"/>
      <c r="CZ1873" s="813"/>
      <c r="DA1873" s="813"/>
      <c r="DB1873" s="813"/>
      <c r="DC1873" s="813"/>
      <c r="DD1873" s="813"/>
      <c r="DE1873" s="813"/>
      <c r="DF1873" s="813"/>
      <c r="DG1873" s="813"/>
      <c r="DH1873" s="813"/>
      <c r="DI1873" s="813"/>
      <c r="DJ1873" s="813"/>
      <c r="DK1873" s="897"/>
      <c r="DL1873" s="814"/>
      <c r="DM1873" s="814"/>
      <c r="DN1873" s="814"/>
      <c r="DO1873" s="814"/>
      <c r="DP1873" s="814"/>
      <c r="DQ1873" s="814"/>
      <c r="DR1873" s="814"/>
      <c r="DS1873" s="814"/>
      <c r="DT1873" s="814"/>
      <c r="DU1873" s="814"/>
      <c r="DV1873" s="814"/>
    </row>
    <row r="1874" spans="1:126" ht="30" customHeight="1" x14ac:dyDescent="0.2">
      <c r="A1874" s="295">
        <v>1870</v>
      </c>
      <c r="B1874" s="502" t="s">
        <v>9819</v>
      </c>
      <c r="C1874" s="813" t="s">
        <v>9822</v>
      </c>
      <c r="D1874" s="813"/>
      <c r="E1874" s="813" t="s">
        <v>9821</v>
      </c>
      <c r="F1874" s="502" t="s">
        <v>1352</v>
      </c>
      <c r="G1874" s="502" t="s">
        <v>1673</v>
      </c>
      <c r="H1874" s="773" t="s">
        <v>67</v>
      </c>
      <c r="I1874" s="813"/>
      <c r="J1874" s="813"/>
      <c r="K1874" s="831"/>
      <c r="L1874" s="813" t="s">
        <v>9824</v>
      </c>
      <c r="M1874" s="813"/>
      <c r="N1874" s="832" t="s">
        <v>33</v>
      </c>
      <c r="O1874" s="461" t="s">
        <v>34</v>
      </c>
      <c r="P1874" s="461" t="s">
        <v>34</v>
      </c>
      <c r="Q1874" s="460" t="s">
        <v>1145</v>
      </c>
      <c r="R1874" s="813" t="s">
        <v>9825</v>
      </c>
      <c r="S1874" s="803" t="s">
        <v>912</v>
      </c>
      <c r="T1874" s="789">
        <v>1</v>
      </c>
      <c r="U1874" s="838">
        <v>17.696000000000002</v>
      </c>
      <c r="V1874" s="833"/>
      <c r="W1874" s="833"/>
      <c r="X1874" s="790"/>
      <c r="Y1874" s="789">
        <v>10</v>
      </c>
      <c r="Z1874" s="813"/>
      <c r="AA1874" s="813"/>
      <c r="AB1874" s="826"/>
      <c r="AC1874" s="813">
        <v>0</v>
      </c>
      <c r="AD1874" s="813">
        <v>176.96</v>
      </c>
      <c r="AE1874" s="834" t="s">
        <v>9823</v>
      </c>
      <c r="AF1874" s="813"/>
      <c r="AG1874" s="813"/>
      <c r="AH1874" s="813">
        <v>0</v>
      </c>
      <c r="AI1874" s="813"/>
      <c r="AJ1874" s="813"/>
      <c r="AK1874" s="813"/>
      <c r="AL1874" s="813"/>
      <c r="AM1874" s="813"/>
      <c r="AN1874" s="813"/>
      <c r="AO1874" s="813"/>
      <c r="AP1874" s="832" t="s">
        <v>55</v>
      </c>
      <c r="AQ1874" s="813"/>
      <c r="AR1874" s="596" t="s">
        <v>55</v>
      </c>
      <c r="AS1874" s="591">
        <v>43386</v>
      </c>
      <c r="AT1874" s="835"/>
      <c r="AU1874" s="813"/>
      <c r="AV1874" s="813"/>
      <c r="AW1874" s="813"/>
      <c r="AX1874" s="813"/>
      <c r="AY1874" s="813"/>
      <c r="AZ1874" s="813"/>
      <c r="BA1874" s="835"/>
      <c r="BB1874" s="834" t="s">
        <v>3147</v>
      </c>
      <c r="BC1874" s="813" t="b">
        <v>0</v>
      </c>
      <c r="BD1874" s="834" t="s">
        <v>3116</v>
      </c>
      <c r="BE1874" s="813"/>
      <c r="BF1874" s="789">
        <v>3</v>
      </c>
      <c r="BG1874" s="789">
        <v>6</v>
      </c>
      <c r="BH1874" s="789">
        <v>8</v>
      </c>
      <c r="BI1874" s="789">
        <v>1</v>
      </c>
      <c r="BJ1874" s="790"/>
      <c r="BK1874" s="790"/>
      <c r="BL1874" s="793">
        <v>3</v>
      </c>
      <c r="BM1874" s="813"/>
      <c r="BN1874" s="813"/>
      <c r="BO1874" s="813"/>
      <c r="BP1874" s="813"/>
      <c r="BQ1874" s="813"/>
      <c r="BR1874" s="813"/>
      <c r="BS1874" s="813">
        <v>0</v>
      </c>
      <c r="BT1874" s="813"/>
      <c r="BU1874" s="813"/>
      <c r="BV1874" s="813"/>
      <c r="BW1874" s="832" t="s">
        <v>3117</v>
      </c>
      <c r="BX1874" s="834"/>
      <c r="BY1874" s="813"/>
      <c r="BZ1874" s="835"/>
      <c r="CA1874" s="835"/>
      <c r="CB1874" s="813"/>
      <c r="CC1874" s="813"/>
      <c r="CD1874" s="813"/>
      <c r="CE1874" s="813"/>
      <c r="CF1874" s="813"/>
      <c r="CG1874" s="813"/>
      <c r="CH1874" s="813"/>
      <c r="CI1874" s="813"/>
      <c r="CJ1874" s="813"/>
      <c r="CK1874" s="813"/>
      <c r="CL1874" s="813"/>
      <c r="CM1874" s="813"/>
      <c r="CN1874" s="813"/>
      <c r="CO1874" s="915"/>
      <c r="CP1874" s="813"/>
      <c r="CQ1874" s="813"/>
      <c r="CR1874" s="813"/>
      <c r="CS1874" s="813"/>
      <c r="CT1874" s="813"/>
      <c r="CU1874" s="813"/>
      <c r="CV1874" s="813"/>
      <c r="CW1874" s="813"/>
      <c r="CX1874" s="813"/>
      <c r="CY1874" s="813"/>
      <c r="CZ1874" s="813"/>
      <c r="DA1874" s="813"/>
      <c r="DB1874" s="813"/>
      <c r="DC1874" s="813"/>
      <c r="DD1874" s="813"/>
      <c r="DE1874" s="813"/>
      <c r="DF1874" s="813"/>
      <c r="DG1874" s="813"/>
      <c r="DH1874" s="813"/>
      <c r="DI1874" s="813"/>
      <c r="DJ1874" s="813"/>
      <c r="DK1874" s="897"/>
      <c r="DL1874" s="814"/>
      <c r="DM1874" s="814"/>
      <c r="DN1874" s="814"/>
      <c r="DO1874" s="814"/>
      <c r="DP1874" s="814"/>
      <c r="DQ1874" s="814"/>
      <c r="DR1874" s="814"/>
      <c r="DS1874" s="814"/>
      <c r="DT1874" s="814"/>
      <c r="DU1874" s="814"/>
      <c r="DV1874" s="814"/>
    </row>
    <row r="1875" spans="1:126" ht="29.25" customHeight="1" x14ac:dyDescent="0.2">
      <c r="A1875" s="295">
        <v>1871</v>
      </c>
      <c r="B1875" s="527" t="s">
        <v>9820</v>
      </c>
      <c r="C1875" s="813"/>
      <c r="D1875" s="813"/>
      <c r="E1875" s="813" t="s">
        <v>9826</v>
      </c>
      <c r="F1875" s="502" t="s">
        <v>1352</v>
      </c>
      <c r="G1875" s="502" t="s">
        <v>1673</v>
      </c>
      <c r="H1875" s="773" t="s">
        <v>67</v>
      </c>
      <c r="I1875" s="813"/>
      <c r="J1875" s="813"/>
      <c r="K1875" s="831"/>
      <c r="L1875" s="813" t="s">
        <v>9824</v>
      </c>
      <c r="M1875" s="813"/>
      <c r="N1875" s="832" t="s">
        <v>33</v>
      </c>
      <c r="O1875" s="461" t="s">
        <v>34</v>
      </c>
      <c r="P1875" s="461" t="s">
        <v>34</v>
      </c>
      <c r="Q1875" s="460" t="s">
        <v>1145</v>
      </c>
      <c r="R1875" s="813"/>
      <c r="S1875" s="803" t="s">
        <v>912</v>
      </c>
      <c r="T1875" s="789">
        <v>1</v>
      </c>
      <c r="U1875" s="838">
        <v>17.696000000000002</v>
      </c>
      <c r="V1875" s="833"/>
      <c r="W1875" s="833"/>
      <c r="X1875" s="790"/>
      <c r="Y1875" s="789">
        <v>10</v>
      </c>
      <c r="Z1875" s="813"/>
      <c r="AA1875" s="813">
        <v>0</v>
      </c>
      <c r="AB1875" s="826">
        <v>43495</v>
      </c>
      <c r="AC1875" s="813"/>
      <c r="AD1875" s="813">
        <v>176.96</v>
      </c>
      <c r="AE1875" s="834" t="s">
        <v>9823</v>
      </c>
      <c r="AF1875" s="813"/>
      <c r="AG1875" s="813"/>
      <c r="AH1875" s="813"/>
      <c r="AI1875" s="813"/>
      <c r="AJ1875" s="813"/>
      <c r="AK1875" s="813"/>
      <c r="AL1875" s="813"/>
      <c r="AM1875" s="813"/>
      <c r="AN1875" s="813"/>
      <c r="AO1875" s="813"/>
      <c r="AP1875" s="832" t="s">
        <v>55</v>
      </c>
      <c r="AQ1875" s="813"/>
      <c r="AR1875" s="596" t="s">
        <v>55</v>
      </c>
      <c r="AS1875" s="591">
        <v>43386</v>
      </c>
      <c r="AT1875" s="835"/>
      <c r="AU1875" s="813"/>
      <c r="AV1875" s="813"/>
      <c r="AW1875" s="813"/>
      <c r="AX1875" s="813"/>
      <c r="AY1875" s="813"/>
      <c r="AZ1875" s="813"/>
      <c r="BA1875" s="835"/>
      <c r="BB1875" s="834"/>
      <c r="BC1875" s="813"/>
      <c r="BD1875" s="834"/>
      <c r="BE1875" s="813"/>
      <c r="BF1875" s="789">
        <v>3</v>
      </c>
      <c r="BG1875" s="789">
        <v>6</v>
      </c>
      <c r="BH1875" s="789">
        <v>8</v>
      </c>
      <c r="BI1875" s="789">
        <v>1</v>
      </c>
      <c r="BJ1875" s="790"/>
      <c r="BK1875" s="790"/>
      <c r="BL1875" s="793">
        <v>3</v>
      </c>
      <c r="BM1875" s="813"/>
      <c r="BN1875" s="813"/>
      <c r="BO1875" s="813"/>
      <c r="BP1875" s="813"/>
      <c r="BQ1875" s="813"/>
      <c r="BR1875" s="813"/>
      <c r="BS1875" s="813"/>
      <c r="BT1875" s="813"/>
      <c r="BU1875" s="813"/>
      <c r="BV1875" s="813"/>
      <c r="BW1875" s="832" t="s">
        <v>3165</v>
      </c>
      <c r="BX1875" s="834"/>
      <c r="BY1875" s="813"/>
      <c r="BZ1875" s="835"/>
      <c r="CA1875" s="835"/>
      <c r="CB1875" s="813"/>
      <c r="CC1875" s="813"/>
      <c r="CD1875" s="813"/>
      <c r="CE1875" s="813"/>
      <c r="CF1875" s="813"/>
      <c r="CG1875" s="813"/>
      <c r="CH1875" s="813"/>
      <c r="CI1875" s="813"/>
      <c r="CJ1875" s="813"/>
      <c r="CK1875" s="813"/>
      <c r="CL1875" s="813"/>
      <c r="CM1875" s="813"/>
      <c r="CN1875" s="813"/>
      <c r="CO1875" s="915">
        <v>17.696000000000002</v>
      </c>
      <c r="CP1875" s="915">
        <v>17.696000000000002</v>
      </c>
      <c r="CQ1875" s="915">
        <v>17.696000000000002</v>
      </c>
      <c r="CR1875" s="915">
        <v>17.696000000000002</v>
      </c>
      <c r="CS1875" s="915">
        <v>17.696000000000002</v>
      </c>
      <c r="CT1875" s="915">
        <v>17.696000000000002</v>
      </c>
      <c r="CU1875" s="915">
        <v>17.696000000000002</v>
      </c>
      <c r="CV1875" s="915">
        <v>17.696000000000002</v>
      </c>
      <c r="CW1875" s="915">
        <v>17.696000000000002</v>
      </c>
      <c r="CX1875" s="915">
        <v>17.696000000000002</v>
      </c>
      <c r="CY1875" s="813"/>
      <c r="CZ1875" s="813"/>
      <c r="DA1875" s="813"/>
      <c r="DB1875" s="813"/>
      <c r="DC1875" s="813"/>
      <c r="DD1875" s="813"/>
      <c r="DE1875" s="813"/>
      <c r="DF1875" s="813"/>
      <c r="DG1875" s="813"/>
      <c r="DH1875" s="813"/>
      <c r="DI1875" s="813"/>
      <c r="DJ1875" s="813"/>
      <c r="DK1875" s="897"/>
      <c r="DL1875" s="814"/>
      <c r="DM1875" s="814"/>
      <c r="DN1875" s="814"/>
      <c r="DO1875" s="814"/>
      <c r="DP1875" s="814"/>
      <c r="DQ1875" s="814"/>
      <c r="DR1875" s="814"/>
      <c r="DS1875" s="814"/>
      <c r="DT1875" s="814"/>
      <c r="DU1875" s="814"/>
      <c r="DV1875" s="814"/>
    </row>
    <row r="1876" spans="1:126" ht="15" x14ac:dyDescent="0.2">
      <c r="A1876" s="295">
        <v>1872</v>
      </c>
      <c r="B1876" s="502" t="s">
        <v>9827</v>
      </c>
      <c r="C1876" s="813" t="s">
        <v>9829</v>
      </c>
      <c r="D1876" s="813"/>
      <c r="E1876" s="813" t="s">
        <v>9833</v>
      </c>
      <c r="F1876" s="461" t="s">
        <v>1375</v>
      </c>
      <c r="G1876" s="461" t="s">
        <v>1361</v>
      </c>
      <c r="H1876" s="461" t="s">
        <v>1085</v>
      </c>
      <c r="I1876" s="813" t="s">
        <v>1392</v>
      </c>
      <c r="J1876" s="813"/>
      <c r="K1876" s="831"/>
      <c r="L1876" s="813" t="s">
        <v>9830</v>
      </c>
      <c r="M1876" s="813"/>
      <c r="N1876" s="832" t="s">
        <v>33</v>
      </c>
      <c r="O1876" s="774" t="s">
        <v>51</v>
      </c>
      <c r="P1876" s="774" t="s">
        <v>51</v>
      </c>
      <c r="Q1876" s="774" t="s">
        <v>976</v>
      </c>
      <c r="R1876" s="813"/>
      <c r="S1876" s="803" t="s">
        <v>977</v>
      </c>
      <c r="T1876" s="789">
        <v>0</v>
      </c>
      <c r="U1876" s="838">
        <v>0</v>
      </c>
      <c r="V1876" s="833"/>
      <c r="W1876" s="727">
        <v>43367</v>
      </c>
      <c r="X1876" s="790">
        <v>28</v>
      </c>
      <c r="Y1876" s="789"/>
      <c r="Z1876" s="813"/>
      <c r="AA1876" s="813"/>
      <c r="AB1876" s="826"/>
      <c r="AC1876" s="813">
        <v>0</v>
      </c>
      <c r="AD1876" s="813">
        <v>353.92</v>
      </c>
      <c r="AE1876" s="834" t="s">
        <v>9831</v>
      </c>
      <c r="AF1876" s="813"/>
      <c r="AG1876" s="813"/>
      <c r="AH1876" s="813">
        <v>0</v>
      </c>
      <c r="AI1876" s="813"/>
      <c r="AJ1876" s="813"/>
      <c r="AK1876" s="813"/>
      <c r="AL1876" s="813"/>
      <c r="AM1876" s="813"/>
      <c r="AN1876" s="813"/>
      <c r="AO1876" s="813"/>
      <c r="AP1876" s="832" t="s">
        <v>55</v>
      </c>
      <c r="AQ1876" s="813"/>
      <c r="AR1876" s="596" t="s">
        <v>55</v>
      </c>
      <c r="AS1876" s="591">
        <v>43391</v>
      </c>
      <c r="AT1876" s="835"/>
      <c r="AU1876" s="813"/>
      <c r="AV1876" s="813"/>
      <c r="AW1876" s="813"/>
      <c r="AX1876" s="813"/>
      <c r="AY1876" s="813"/>
      <c r="AZ1876" s="813"/>
      <c r="BA1876" s="835"/>
      <c r="BB1876" s="834" t="s">
        <v>3147</v>
      </c>
      <c r="BC1876" s="813" t="b">
        <v>0</v>
      </c>
      <c r="BD1876" s="834" t="s">
        <v>3147</v>
      </c>
      <c r="BE1876" s="813"/>
      <c r="BF1876" s="789">
        <v>1</v>
      </c>
      <c r="BG1876" s="789">
        <v>2</v>
      </c>
      <c r="BH1876" s="789">
        <v>5</v>
      </c>
      <c r="BI1876" s="789">
        <v>8</v>
      </c>
      <c r="BJ1876" s="790"/>
      <c r="BK1876" s="790"/>
      <c r="BL1876" s="793">
        <v>0</v>
      </c>
      <c r="BM1876" s="813"/>
      <c r="BN1876" s="813"/>
      <c r="BO1876" s="813"/>
      <c r="BP1876" s="813"/>
      <c r="BQ1876" s="813"/>
      <c r="BR1876" s="813"/>
      <c r="BS1876" s="813">
        <v>0</v>
      </c>
      <c r="BT1876" s="813"/>
      <c r="BU1876" s="813"/>
      <c r="BV1876" s="813"/>
      <c r="BW1876" s="832" t="s">
        <v>3117</v>
      </c>
      <c r="BX1876" s="834"/>
      <c r="BY1876" s="813"/>
      <c r="BZ1876" s="835"/>
      <c r="CA1876" s="835"/>
      <c r="CB1876" s="813"/>
      <c r="CC1876" s="813"/>
      <c r="CD1876" s="813"/>
      <c r="CE1876" s="813"/>
      <c r="CF1876" s="813"/>
      <c r="CG1876" s="813"/>
      <c r="CH1876" s="813"/>
      <c r="CI1876" s="813"/>
      <c r="CJ1876" s="813"/>
      <c r="CK1876" s="813"/>
      <c r="CL1876" s="813"/>
      <c r="CM1876" s="813"/>
      <c r="CN1876" s="813"/>
      <c r="CO1876" s="915"/>
      <c r="CP1876" s="813"/>
      <c r="CQ1876" s="813"/>
      <c r="CR1876" s="813"/>
      <c r="CS1876" s="813"/>
      <c r="CT1876" s="813"/>
      <c r="CU1876" s="813"/>
      <c r="CV1876" s="813"/>
      <c r="CW1876" s="813"/>
      <c r="CX1876" s="813"/>
      <c r="CY1876" s="813"/>
      <c r="CZ1876" s="813"/>
      <c r="DA1876" s="813"/>
      <c r="DB1876" s="813"/>
      <c r="DC1876" s="813"/>
      <c r="DD1876" s="813"/>
      <c r="DE1876" s="813"/>
      <c r="DF1876" s="813"/>
      <c r="DG1876" s="813"/>
      <c r="DH1876" s="813"/>
      <c r="DI1876" s="813"/>
      <c r="DJ1876" s="813"/>
      <c r="DK1876" s="897"/>
      <c r="DL1876" s="814"/>
      <c r="DM1876" s="814"/>
      <c r="DN1876" s="814"/>
      <c r="DO1876" s="814"/>
      <c r="DP1876" s="814"/>
      <c r="DQ1876" s="814"/>
      <c r="DR1876" s="814"/>
      <c r="DS1876" s="814"/>
      <c r="DT1876" s="814"/>
      <c r="DU1876" s="814"/>
      <c r="DV1876" s="814"/>
    </row>
    <row r="1877" spans="1:126" ht="15" x14ac:dyDescent="0.2">
      <c r="A1877" s="295">
        <v>1873</v>
      </c>
      <c r="B1877" s="527" t="s">
        <v>9828</v>
      </c>
      <c r="C1877" s="813"/>
      <c r="D1877" s="813"/>
      <c r="E1877" s="813" t="s">
        <v>9694</v>
      </c>
      <c r="F1877" s="461" t="s">
        <v>1375</v>
      </c>
      <c r="G1877" s="461" t="s">
        <v>1361</v>
      </c>
      <c r="H1877" s="461" t="s">
        <v>1085</v>
      </c>
      <c r="I1877" s="813"/>
      <c r="J1877" s="813"/>
      <c r="K1877" s="831"/>
      <c r="L1877" s="813" t="s">
        <v>9830</v>
      </c>
      <c r="M1877" s="813"/>
      <c r="N1877" s="832" t="s">
        <v>33</v>
      </c>
      <c r="O1877" s="774" t="s">
        <v>51</v>
      </c>
      <c r="P1877" s="774" t="s">
        <v>51</v>
      </c>
      <c r="Q1877" s="774" t="s">
        <v>976</v>
      </c>
      <c r="R1877" s="813"/>
      <c r="S1877" s="803" t="s">
        <v>977</v>
      </c>
      <c r="T1877" s="789"/>
      <c r="U1877" s="838"/>
      <c r="V1877" s="833"/>
      <c r="W1877" s="833"/>
      <c r="X1877" s="790"/>
      <c r="Y1877" s="789"/>
      <c r="Z1877" s="813"/>
      <c r="AA1877" s="813"/>
      <c r="AB1877" s="826">
        <v>43390</v>
      </c>
      <c r="AC1877" s="813"/>
      <c r="AD1877" s="813">
        <v>176.96</v>
      </c>
      <c r="AE1877" s="834" t="s">
        <v>9831</v>
      </c>
      <c r="AF1877" s="813"/>
      <c r="AG1877" s="813"/>
      <c r="AH1877" s="813"/>
      <c r="AI1877" s="813"/>
      <c r="AJ1877" s="813"/>
      <c r="AK1877" s="813"/>
      <c r="AL1877" s="813"/>
      <c r="AM1877" s="813"/>
      <c r="AN1877" s="813"/>
      <c r="AO1877" s="813"/>
      <c r="AP1877" s="832" t="s">
        <v>55</v>
      </c>
      <c r="AQ1877" s="813"/>
      <c r="AR1877" s="596" t="s">
        <v>55</v>
      </c>
      <c r="AS1877" s="591">
        <v>43391</v>
      </c>
      <c r="AT1877" s="835"/>
      <c r="AU1877" s="813"/>
      <c r="AV1877" s="813"/>
      <c r="AW1877" s="813"/>
      <c r="AX1877" s="813"/>
      <c r="AY1877" s="813"/>
      <c r="AZ1877" s="813"/>
      <c r="BA1877" s="835"/>
      <c r="BB1877" s="834"/>
      <c r="BC1877" s="813"/>
      <c r="BD1877" s="834"/>
      <c r="BE1877" s="813"/>
      <c r="BF1877" s="789">
        <v>1</v>
      </c>
      <c r="BG1877" s="789">
        <v>2</v>
      </c>
      <c r="BH1877" s="789">
        <v>5</v>
      </c>
      <c r="BI1877" s="789">
        <v>8</v>
      </c>
      <c r="BJ1877" s="790"/>
      <c r="BK1877" s="790"/>
      <c r="BL1877" s="793"/>
      <c r="BM1877" s="813"/>
      <c r="BN1877" s="813"/>
      <c r="BO1877" s="813"/>
      <c r="BP1877" s="813"/>
      <c r="BQ1877" s="813"/>
      <c r="BR1877" s="813"/>
      <c r="BS1877" s="813"/>
      <c r="BT1877" s="813"/>
      <c r="BU1877" s="813"/>
      <c r="BV1877" s="813"/>
      <c r="BW1877" s="832" t="s">
        <v>3117</v>
      </c>
      <c r="BX1877" s="834"/>
      <c r="BY1877" s="813"/>
      <c r="BZ1877" s="835"/>
      <c r="CA1877" s="835"/>
      <c r="CB1877" s="813"/>
      <c r="CC1877" s="813"/>
      <c r="CD1877" s="813"/>
      <c r="CE1877" s="813"/>
      <c r="CF1877" s="813"/>
      <c r="CG1877" s="813"/>
      <c r="CH1877" s="813"/>
      <c r="CI1877" s="813"/>
      <c r="CJ1877" s="813"/>
      <c r="CK1877" s="813"/>
      <c r="CL1877" s="813"/>
      <c r="CM1877" s="813"/>
      <c r="CN1877" s="813"/>
      <c r="CO1877" s="915"/>
      <c r="CP1877" s="813"/>
      <c r="CQ1877" s="813"/>
      <c r="CR1877" s="813"/>
      <c r="CS1877" s="813"/>
      <c r="CT1877" s="813"/>
      <c r="CU1877" s="813"/>
      <c r="CV1877" s="813"/>
      <c r="CW1877" s="813"/>
      <c r="CX1877" s="813"/>
      <c r="CY1877" s="813"/>
      <c r="CZ1877" s="813"/>
      <c r="DA1877" s="813"/>
      <c r="DB1877" s="813"/>
      <c r="DC1877" s="813"/>
      <c r="DD1877" s="813"/>
      <c r="DE1877" s="813"/>
      <c r="DF1877" s="813"/>
      <c r="DG1877" s="813"/>
      <c r="DH1877" s="813"/>
      <c r="DI1877" s="813"/>
      <c r="DJ1877" s="813"/>
      <c r="DK1877" s="897"/>
      <c r="DL1877" s="814"/>
      <c r="DM1877" s="814"/>
      <c r="DN1877" s="814"/>
      <c r="DO1877" s="814"/>
      <c r="DP1877" s="814"/>
      <c r="DQ1877" s="814"/>
      <c r="DR1877" s="814"/>
      <c r="DS1877" s="814"/>
      <c r="DT1877" s="814"/>
      <c r="DU1877" s="814"/>
      <c r="DV1877" s="814"/>
    </row>
    <row r="1878" spans="1:126" ht="15" x14ac:dyDescent="0.2">
      <c r="A1878" s="295">
        <v>1874</v>
      </c>
      <c r="B1878" s="527" t="s">
        <v>9832</v>
      </c>
      <c r="C1878" s="813"/>
      <c r="D1878" s="813"/>
      <c r="E1878" s="813" t="s">
        <v>9694</v>
      </c>
      <c r="F1878" s="461" t="s">
        <v>1375</v>
      </c>
      <c r="G1878" s="461" t="s">
        <v>1361</v>
      </c>
      <c r="H1878" s="773" t="s">
        <v>1392</v>
      </c>
      <c r="I1878" s="813"/>
      <c r="J1878" s="813"/>
      <c r="K1878" s="831"/>
      <c r="L1878" s="813" t="s">
        <v>9830</v>
      </c>
      <c r="M1878" s="813"/>
      <c r="N1878" s="832" t="s">
        <v>33</v>
      </c>
      <c r="O1878" s="774" t="s">
        <v>51</v>
      </c>
      <c r="P1878" s="774" t="s">
        <v>51</v>
      </c>
      <c r="Q1878" s="774" t="s">
        <v>976</v>
      </c>
      <c r="R1878" s="813"/>
      <c r="S1878" s="803" t="s">
        <v>977</v>
      </c>
      <c r="T1878" s="789"/>
      <c r="U1878" s="838"/>
      <c r="V1878" s="833"/>
      <c r="W1878" s="833"/>
      <c r="X1878" s="790"/>
      <c r="Y1878" s="789"/>
      <c r="Z1878" s="813"/>
      <c r="AA1878" s="813"/>
      <c r="AB1878" s="826">
        <v>43390</v>
      </c>
      <c r="AC1878" s="813"/>
      <c r="AD1878" s="813">
        <v>176.96</v>
      </c>
      <c r="AE1878" s="834" t="s">
        <v>9831</v>
      </c>
      <c r="AF1878" s="813"/>
      <c r="AG1878" s="813"/>
      <c r="AH1878" s="813"/>
      <c r="AI1878" s="813"/>
      <c r="AJ1878" s="813"/>
      <c r="AK1878" s="813"/>
      <c r="AL1878" s="813"/>
      <c r="AM1878" s="813"/>
      <c r="AN1878" s="813"/>
      <c r="AO1878" s="813"/>
      <c r="AP1878" s="832" t="s">
        <v>55</v>
      </c>
      <c r="AQ1878" s="813"/>
      <c r="AR1878" s="596" t="s">
        <v>55</v>
      </c>
      <c r="AS1878" s="591">
        <v>43391</v>
      </c>
      <c r="AT1878" s="835"/>
      <c r="AU1878" s="813"/>
      <c r="AV1878" s="813"/>
      <c r="AW1878" s="813"/>
      <c r="AX1878" s="813"/>
      <c r="AY1878" s="813"/>
      <c r="AZ1878" s="813"/>
      <c r="BA1878" s="835"/>
      <c r="BB1878" s="834"/>
      <c r="BC1878" s="813"/>
      <c r="BD1878" s="834"/>
      <c r="BE1878" s="813"/>
      <c r="BF1878" s="789">
        <v>1</v>
      </c>
      <c r="BG1878" s="789">
        <v>2</v>
      </c>
      <c r="BH1878" s="789">
        <v>5</v>
      </c>
      <c r="BI1878" s="789">
        <v>8</v>
      </c>
      <c r="BJ1878" s="790"/>
      <c r="BK1878" s="790"/>
      <c r="BL1878" s="793"/>
      <c r="BM1878" s="813"/>
      <c r="BN1878" s="813"/>
      <c r="BO1878" s="813"/>
      <c r="BP1878" s="813"/>
      <c r="BQ1878" s="813"/>
      <c r="BR1878" s="813"/>
      <c r="BS1878" s="813"/>
      <c r="BT1878" s="813"/>
      <c r="BU1878" s="813"/>
      <c r="BV1878" s="813"/>
      <c r="BW1878" s="832" t="s">
        <v>3117</v>
      </c>
      <c r="BX1878" s="834"/>
      <c r="BY1878" s="813"/>
      <c r="BZ1878" s="835"/>
      <c r="CA1878" s="835"/>
      <c r="CB1878" s="813"/>
      <c r="CC1878" s="813"/>
      <c r="CD1878" s="813"/>
      <c r="CE1878" s="813"/>
      <c r="CF1878" s="813"/>
      <c r="CG1878" s="813"/>
      <c r="CH1878" s="813"/>
      <c r="CI1878" s="813"/>
      <c r="CJ1878" s="813"/>
      <c r="CK1878" s="813"/>
      <c r="CL1878" s="813"/>
      <c r="CM1878" s="813"/>
      <c r="CN1878" s="813"/>
      <c r="CO1878" s="915"/>
      <c r="CP1878" s="813"/>
      <c r="CQ1878" s="813"/>
      <c r="CR1878" s="813"/>
      <c r="CS1878" s="813"/>
      <c r="CT1878" s="813"/>
      <c r="CU1878" s="813"/>
      <c r="CV1878" s="813"/>
      <c r="CW1878" s="813"/>
      <c r="CX1878" s="813"/>
      <c r="CY1878" s="813"/>
      <c r="CZ1878" s="813"/>
      <c r="DA1878" s="813"/>
      <c r="DB1878" s="813"/>
      <c r="DC1878" s="813"/>
      <c r="DD1878" s="813"/>
      <c r="DE1878" s="813"/>
      <c r="DF1878" s="813"/>
      <c r="DG1878" s="813"/>
      <c r="DH1878" s="813"/>
      <c r="DI1878" s="813"/>
      <c r="DJ1878" s="813"/>
      <c r="DK1878" s="897"/>
      <c r="DL1878" s="814"/>
      <c r="DM1878" s="814"/>
      <c r="DN1878" s="814"/>
      <c r="DO1878" s="814"/>
      <c r="DP1878" s="814"/>
      <c r="DQ1878" s="814"/>
      <c r="DR1878" s="814"/>
      <c r="DS1878" s="814"/>
      <c r="DT1878" s="814"/>
      <c r="DU1878" s="814"/>
      <c r="DV1878" s="814"/>
    </row>
    <row r="1879" spans="1:126" ht="15" x14ac:dyDescent="0.2">
      <c r="A1879" s="830"/>
      <c r="B1879" s="918"/>
      <c r="C1879" s="813"/>
      <c r="D1879" s="813"/>
      <c r="E1879" s="813"/>
      <c r="F1879" s="773"/>
      <c r="G1879" s="726"/>
      <c r="H1879" s="726"/>
      <c r="I1879" s="813"/>
      <c r="J1879" s="813"/>
      <c r="K1879" s="831"/>
      <c r="L1879" s="813"/>
      <c r="M1879" s="813"/>
      <c r="N1879" s="832"/>
      <c r="O1879" s="813"/>
      <c r="P1879" s="813"/>
      <c r="Q1879" s="813"/>
      <c r="R1879" s="813"/>
      <c r="S1879" s="803"/>
      <c r="T1879" s="789"/>
      <c r="U1879" s="838"/>
      <c r="V1879" s="833"/>
      <c r="W1879" s="833"/>
      <c r="X1879" s="790"/>
      <c r="Y1879" s="789"/>
      <c r="Z1879" s="813"/>
      <c r="AA1879" s="813"/>
      <c r="AB1879" s="826"/>
      <c r="AC1879" s="813"/>
      <c r="AD1879" s="813"/>
      <c r="AE1879" s="834"/>
      <c r="AF1879" s="813"/>
      <c r="AG1879" s="813"/>
      <c r="AH1879" s="813"/>
      <c r="AI1879" s="813"/>
      <c r="AJ1879" s="813"/>
      <c r="AK1879" s="813"/>
      <c r="AL1879" s="813"/>
      <c r="AM1879" s="813"/>
      <c r="AN1879" s="813"/>
      <c r="AO1879" s="813"/>
      <c r="AP1879" s="832"/>
      <c r="AQ1879" s="813"/>
      <c r="AR1879" s="596"/>
      <c r="AS1879" s="591"/>
      <c r="AT1879" s="835"/>
      <c r="AU1879" s="813"/>
      <c r="AV1879" s="813"/>
      <c r="AW1879" s="813"/>
      <c r="AX1879" s="813"/>
      <c r="AY1879" s="813"/>
      <c r="AZ1879" s="813"/>
      <c r="BA1879" s="835"/>
      <c r="BB1879" s="834"/>
      <c r="BC1879" s="813"/>
      <c r="BD1879" s="834"/>
      <c r="BE1879" s="813"/>
      <c r="BF1879" s="789"/>
      <c r="BG1879" s="789"/>
      <c r="BH1879" s="789"/>
      <c r="BI1879" s="789"/>
      <c r="BJ1879" s="790"/>
      <c r="BK1879" s="790"/>
      <c r="BL1879" s="793"/>
      <c r="BM1879" s="813"/>
      <c r="BN1879" s="813"/>
      <c r="BO1879" s="813"/>
      <c r="BP1879" s="813"/>
      <c r="BQ1879" s="813"/>
      <c r="BR1879" s="813"/>
      <c r="BS1879" s="813"/>
      <c r="BT1879" s="813"/>
      <c r="BU1879" s="813"/>
      <c r="BV1879" s="813"/>
      <c r="BW1879" s="832"/>
      <c r="BX1879" s="834"/>
      <c r="BY1879" s="813"/>
      <c r="BZ1879" s="835"/>
      <c r="CA1879" s="835"/>
      <c r="CB1879" s="813"/>
      <c r="CC1879" s="813"/>
      <c r="CD1879" s="813"/>
      <c r="CE1879" s="813"/>
      <c r="CF1879" s="813"/>
      <c r="CG1879" s="813"/>
      <c r="CH1879" s="813"/>
      <c r="CI1879" s="813"/>
      <c r="CJ1879" s="813"/>
      <c r="CK1879" s="813"/>
      <c r="CL1879" s="813"/>
      <c r="CM1879" s="813"/>
      <c r="CN1879" s="813"/>
      <c r="CO1879" s="915"/>
      <c r="CP1879" s="813"/>
      <c r="CQ1879" s="813"/>
      <c r="CR1879" s="813"/>
      <c r="CS1879" s="813"/>
      <c r="CT1879" s="813"/>
      <c r="CU1879" s="813"/>
      <c r="CV1879" s="813"/>
      <c r="CW1879" s="813"/>
      <c r="CX1879" s="813"/>
      <c r="CY1879" s="813"/>
      <c r="CZ1879" s="813"/>
      <c r="DA1879" s="813"/>
      <c r="DB1879" s="813"/>
      <c r="DC1879" s="813"/>
      <c r="DD1879" s="813"/>
      <c r="DE1879" s="813"/>
      <c r="DF1879" s="813"/>
      <c r="DG1879" s="813"/>
      <c r="DH1879" s="813"/>
      <c r="DI1879" s="813"/>
      <c r="DJ1879" s="813"/>
      <c r="DK1879" s="897"/>
      <c r="DL1879" s="814"/>
      <c r="DM1879" s="814"/>
      <c r="DN1879" s="814"/>
      <c r="DO1879" s="814"/>
      <c r="DP1879" s="814"/>
      <c r="DQ1879" s="814"/>
      <c r="DR1879" s="814"/>
      <c r="DS1879" s="814"/>
      <c r="DT1879" s="814"/>
      <c r="DU1879" s="814"/>
      <c r="DV1879" s="814"/>
    </row>
    <row r="1880" spans="1:126" x14ac:dyDescent="0.2">
      <c r="A1880" s="296"/>
      <c r="V1880" s="426"/>
      <c r="AJ1880" s="374"/>
      <c r="AK1880" s="374"/>
      <c r="AS1880" s="485"/>
      <c r="AT1880" s="297"/>
      <c r="AZ1880" s="374"/>
      <c r="BA1880" s="297"/>
      <c r="BE1880" s="3"/>
      <c r="BM1880" s="229"/>
      <c r="BN1880" s="3"/>
      <c r="BW1880" s="26"/>
      <c r="BX1880" s="389"/>
      <c r="BY1880" s="3"/>
      <c r="BZ1880" s="4"/>
      <c r="CA1880" s="219"/>
      <c r="CB1880" s="3"/>
    </row>
    <row r="1881" spans="1:126" x14ac:dyDescent="0.2">
      <c r="A1881" s="296"/>
      <c r="AJ1881" s="374"/>
      <c r="AK1881" s="374"/>
      <c r="AM1881" s="294"/>
      <c r="AN1881" s="294">
        <f>SUM(AN5:AN1880)</f>
        <v>350.92999998712537</v>
      </c>
      <c r="AS1881" s="485"/>
      <c r="AT1881" s="297"/>
      <c r="AZ1881" s="374"/>
      <c r="BA1881" s="297"/>
      <c r="BE1881" s="3"/>
      <c r="BM1881" s="229"/>
      <c r="BN1881" s="3"/>
      <c r="BW1881" s="26"/>
      <c r="BX1881" s="389"/>
      <c r="BY1881" s="3"/>
      <c r="BZ1881" s="4"/>
      <c r="CA1881" s="219"/>
      <c r="CB1881" s="3"/>
    </row>
    <row r="1882" spans="1:126" x14ac:dyDescent="0.2">
      <c r="A1882" s="296"/>
      <c r="AJ1882" s="374"/>
      <c r="AK1882" s="374"/>
      <c r="AS1882" s="485"/>
      <c r="AT1882" s="297"/>
      <c r="AZ1882" s="374"/>
      <c r="BA1882" s="297"/>
      <c r="BE1882" s="3"/>
      <c r="BM1882" s="229"/>
      <c r="BN1882" s="3"/>
      <c r="BW1882" s="26"/>
      <c r="BX1882" s="389"/>
      <c r="BY1882" s="3"/>
      <c r="BZ1882" s="4"/>
      <c r="CA1882" s="219"/>
      <c r="CB1882" s="3"/>
    </row>
    <row r="1883" spans="1:126" x14ac:dyDescent="0.2">
      <c r="A1883" s="296"/>
      <c r="AJ1883" s="374"/>
      <c r="AK1883" s="374"/>
      <c r="AS1883" s="485"/>
      <c r="AT1883" s="297"/>
      <c r="AZ1883" s="374"/>
      <c r="BA1883" s="297"/>
      <c r="BE1883" s="3"/>
      <c r="BM1883" s="229"/>
      <c r="BN1883" s="3"/>
      <c r="BW1883" s="26"/>
      <c r="BX1883" s="389"/>
      <c r="BY1883" s="3"/>
      <c r="BZ1883" s="4"/>
      <c r="CA1883" s="219"/>
      <c r="CB1883" s="3"/>
    </row>
    <row r="1884" spans="1:126" x14ac:dyDescent="0.2">
      <c r="A1884" s="296"/>
      <c r="AJ1884" s="374"/>
      <c r="AK1884" s="374"/>
      <c r="AS1884" s="485"/>
      <c r="AT1884" s="297"/>
      <c r="AZ1884" s="374"/>
      <c r="BA1884" s="297"/>
      <c r="BE1884" s="3"/>
      <c r="BM1884" s="229"/>
      <c r="BN1884" s="3"/>
      <c r="BW1884" s="26"/>
      <c r="BX1884" s="389"/>
      <c r="BY1884" s="3"/>
      <c r="BZ1884" s="4"/>
      <c r="CA1884" s="219"/>
      <c r="CB1884" s="3"/>
      <c r="CU1884" s="426"/>
    </row>
    <row r="1885" spans="1:126" x14ac:dyDescent="0.2">
      <c r="A1885" s="296"/>
      <c r="AJ1885" s="374"/>
      <c r="AK1885" s="374"/>
      <c r="AS1885" s="485"/>
      <c r="AT1885" s="297"/>
      <c r="AZ1885" s="374"/>
      <c r="BA1885" s="297"/>
      <c r="BE1885" s="3"/>
      <c r="BM1885" s="229"/>
      <c r="BN1885" s="3"/>
      <c r="BW1885" s="26"/>
      <c r="BX1885" s="389"/>
      <c r="BY1885" s="3"/>
      <c r="BZ1885" s="4"/>
      <c r="CA1885" s="219"/>
      <c r="CB1885" s="3"/>
    </row>
    <row r="1886" spans="1:126" x14ac:dyDescent="0.2">
      <c r="A1886" s="296"/>
      <c r="AJ1886" s="374"/>
      <c r="AK1886" s="374"/>
      <c r="AS1886" s="485"/>
      <c r="AT1886" s="297"/>
      <c r="AZ1886" s="374"/>
      <c r="BA1886" s="297"/>
      <c r="BE1886" s="3"/>
      <c r="BM1886" s="229"/>
      <c r="BN1886" s="3"/>
      <c r="BW1886" s="26"/>
      <c r="BX1886" s="389"/>
      <c r="BY1886" s="3"/>
      <c r="BZ1886" s="4"/>
      <c r="CA1886" s="219"/>
      <c r="CB1886" s="3"/>
    </row>
    <row r="1887" spans="1:126" x14ac:dyDescent="0.2">
      <c r="A1887" s="296"/>
      <c r="AJ1887" s="374"/>
      <c r="AK1887" s="374"/>
      <c r="AS1887" s="485"/>
      <c r="AT1887" s="297"/>
      <c r="AZ1887" s="374"/>
      <c r="BA1887" s="297"/>
      <c r="BE1887" s="3"/>
      <c r="BM1887" s="229"/>
      <c r="BN1887" s="3"/>
      <c r="BW1887" s="26"/>
      <c r="BX1887" s="389"/>
      <c r="BY1887" s="3"/>
      <c r="BZ1887" s="4"/>
      <c r="CA1887" s="219"/>
      <c r="CB1887" s="3"/>
    </row>
    <row r="1888" spans="1:126" x14ac:dyDescent="0.2">
      <c r="A1888" s="296"/>
      <c r="AJ1888" s="374"/>
      <c r="AK1888" s="374"/>
      <c r="AS1888" s="485"/>
      <c r="AT1888" s="297"/>
      <c r="AZ1888" s="374"/>
      <c r="BA1888" s="297"/>
      <c r="BE1888" s="3"/>
      <c r="BM1888" s="229"/>
      <c r="BN1888" s="3"/>
      <c r="BW1888" s="26"/>
      <c r="BX1888" s="389"/>
      <c r="BY1888" s="3"/>
      <c r="BZ1888" s="4"/>
      <c r="CA1888" s="219"/>
      <c r="CB1888" s="3"/>
    </row>
    <row r="1889" spans="1:80" x14ac:dyDescent="0.2">
      <c r="A1889" s="296"/>
      <c r="AJ1889" s="374"/>
      <c r="AK1889" s="374"/>
      <c r="AS1889" s="485"/>
      <c r="AT1889" s="297"/>
      <c r="AZ1889" s="374"/>
      <c r="BA1889" s="297"/>
      <c r="BE1889" s="3"/>
      <c r="BM1889" s="229"/>
      <c r="BN1889" s="3"/>
      <c r="BW1889" s="26"/>
      <c r="BX1889" s="389"/>
      <c r="BY1889" s="3"/>
      <c r="BZ1889" s="4"/>
      <c r="CA1889" s="219"/>
      <c r="CB1889" s="3"/>
    </row>
    <row r="1890" spans="1:80" x14ac:dyDescent="0.2">
      <c r="A1890" s="296"/>
      <c r="AJ1890" s="374"/>
      <c r="AK1890" s="374"/>
      <c r="AS1890" s="485"/>
      <c r="AT1890" s="297"/>
      <c r="AZ1890" s="374"/>
      <c r="BA1890" s="297"/>
      <c r="BE1890" s="3"/>
      <c r="BM1890" s="229"/>
      <c r="BN1890" s="3"/>
      <c r="BW1890" s="26"/>
      <c r="BX1890" s="389"/>
      <c r="BY1890" s="3"/>
      <c r="BZ1890" s="4"/>
      <c r="CA1890" s="219"/>
      <c r="CB1890" s="3"/>
    </row>
    <row r="1891" spans="1:80" x14ac:dyDescent="0.2">
      <c r="A1891" s="296"/>
      <c r="AJ1891" s="374"/>
      <c r="AK1891" s="374"/>
      <c r="AS1891" s="485"/>
      <c r="AT1891" s="297"/>
      <c r="AZ1891" s="374"/>
      <c r="BA1891" s="297"/>
      <c r="BE1891" s="3"/>
      <c r="BM1891" s="229"/>
      <c r="BN1891" s="3"/>
      <c r="BW1891" s="26"/>
      <c r="BX1891" s="389"/>
      <c r="BY1891" s="3"/>
      <c r="BZ1891" s="4"/>
      <c r="CA1891" s="219"/>
      <c r="CB1891" s="3"/>
    </row>
    <row r="1892" spans="1:80" x14ac:dyDescent="0.2">
      <c r="A1892" s="296"/>
      <c r="AJ1892" s="374"/>
      <c r="AK1892" s="374"/>
      <c r="AS1892" s="485"/>
      <c r="AT1892" s="297"/>
      <c r="AZ1892" s="374"/>
      <c r="BA1892" s="297"/>
      <c r="BE1892" s="3"/>
      <c r="BM1892" s="229"/>
      <c r="BN1892" s="3"/>
      <c r="BW1892" s="26"/>
      <c r="BX1892" s="389"/>
      <c r="BY1892" s="3"/>
      <c r="BZ1892" s="4"/>
      <c r="CA1892" s="219"/>
      <c r="CB1892" s="3"/>
    </row>
    <row r="1893" spans="1:80" x14ac:dyDescent="0.2">
      <c r="A1893" s="296"/>
      <c r="AJ1893" s="374"/>
      <c r="AK1893" s="374"/>
      <c r="AS1893" s="485"/>
      <c r="AT1893" s="297"/>
      <c r="AZ1893" s="374"/>
      <c r="BA1893" s="297"/>
      <c r="BE1893" s="3"/>
      <c r="BM1893" s="229"/>
      <c r="BN1893" s="3"/>
      <c r="BW1893" s="26"/>
      <c r="BX1893" s="389"/>
      <c r="BY1893" s="3"/>
      <c r="BZ1893" s="4"/>
      <c r="CA1893" s="219"/>
      <c r="CB1893" s="3"/>
    </row>
    <row r="1894" spans="1:80" x14ac:dyDescent="0.2">
      <c r="A1894" s="296"/>
      <c r="AJ1894" s="374"/>
      <c r="AK1894" s="374"/>
      <c r="AS1894" s="485"/>
      <c r="AT1894" s="297"/>
      <c r="AZ1894" s="374"/>
      <c r="BA1894" s="297"/>
      <c r="BE1894" s="3"/>
      <c r="BM1894" s="229"/>
      <c r="BN1894" s="3"/>
      <c r="BW1894" s="26"/>
      <c r="BX1894" s="389"/>
      <c r="BY1894" s="3"/>
      <c r="BZ1894" s="4"/>
      <c r="CA1894" s="219"/>
      <c r="CB1894" s="3"/>
    </row>
    <row r="1895" spans="1:80" x14ac:dyDescent="0.2">
      <c r="A1895" s="296"/>
      <c r="AJ1895" s="374"/>
      <c r="AK1895" s="374"/>
      <c r="AS1895" s="485"/>
      <c r="AT1895" s="297"/>
      <c r="AZ1895" s="374"/>
      <c r="BA1895" s="297"/>
      <c r="BE1895" s="3"/>
      <c r="BM1895" s="229"/>
      <c r="BN1895" s="3"/>
      <c r="BW1895" s="26"/>
      <c r="BX1895" s="389"/>
      <c r="BY1895" s="3"/>
      <c r="BZ1895" s="4"/>
      <c r="CA1895" s="219"/>
      <c r="CB1895" s="3"/>
    </row>
    <row r="1896" spans="1:80" x14ac:dyDescent="0.2">
      <c r="A1896" s="296"/>
      <c r="AJ1896" s="374"/>
      <c r="AK1896" s="374"/>
      <c r="AS1896" s="485"/>
      <c r="AT1896" s="297"/>
      <c r="AZ1896" s="374"/>
      <c r="BA1896" s="297"/>
      <c r="BE1896" s="3"/>
      <c r="BM1896" s="229"/>
      <c r="BN1896" s="3"/>
      <c r="BW1896" s="26"/>
      <c r="BX1896" s="389"/>
      <c r="BY1896" s="3"/>
      <c r="BZ1896" s="4"/>
      <c r="CA1896" s="219"/>
      <c r="CB1896" s="3"/>
    </row>
    <row r="1897" spans="1:80" x14ac:dyDescent="0.2">
      <c r="A1897" s="296"/>
      <c r="AJ1897" s="374"/>
      <c r="AK1897" s="374"/>
      <c r="AS1897" s="485"/>
      <c r="AT1897" s="297"/>
      <c r="AZ1897" s="374"/>
      <c r="BA1897" s="297"/>
      <c r="BE1897" s="3"/>
      <c r="BM1897" s="229"/>
      <c r="BN1897" s="3"/>
      <c r="BW1897" s="26"/>
      <c r="BX1897" s="389"/>
      <c r="BY1897" s="3"/>
      <c r="BZ1897" s="4"/>
      <c r="CA1897" s="219"/>
      <c r="CB1897" s="3"/>
    </row>
    <row r="1898" spans="1:80" x14ac:dyDescent="0.2">
      <c r="A1898" s="296"/>
      <c r="AJ1898" s="374"/>
      <c r="AK1898" s="374"/>
      <c r="AS1898" s="485"/>
      <c r="AT1898" s="297"/>
      <c r="AZ1898" s="374"/>
      <c r="BA1898" s="297"/>
      <c r="BE1898" s="3"/>
      <c r="BM1898" s="229"/>
      <c r="BN1898" s="3"/>
      <c r="BW1898" s="26"/>
      <c r="BX1898" s="389"/>
      <c r="BY1898" s="3"/>
      <c r="BZ1898" s="4"/>
      <c r="CA1898" s="219"/>
      <c r="CB1898" s="3"/>
    </row>
    <row r="1899" spans="1:80" x14ac:dyDescent="0.2">
      <c r="A1899" s="296"/>
      <c r="AJ1899" s="374"/>
      <c r="AK1899" s="374"/>
      <c r="AS1899" s="485"/>
      <c r="AT1899" s="297"/>
      <c r="AZ1899" s="374"/>
      <c r="BA1899" s="297"/>
      <c r="BE1899" s="3"/>
      <c r="BM1899" s="229"/>
      <c r="BN1899" s="3"/>
      <c r="BW1899" s="26"/>
      <c r="BX1899" s="389"/>
      <c r="BY1899" s="3"/>
      <c r="BZ1899" s="4"/>
      <c r="CA1899" s="219"/>
      <c r="CB1899" s="3"/>
    </row>
    <row r="1900" spans="1:80" x14ac:dyDescent="0.2">
      <c r="A1900" s="296"/>
      <c r="AJ1900" s="374"/>
      <c r="AK1900" s="374"/>
      <c r="AS1900" s="485"/>
      <c r="AT1900" s="297"/>
      <c r="AZ1900" s="374"/>
      <c r="BA1900" s="297"/>
      <c r="BE1900" s="3"/>
      <c r="BM1900" s="229"/>
      <c r="BN1900" s="3"/>
      <c r="BW1900" s="26"/>
      <c r="BX1900" s="389"/>
      <c r="BY1900" s="3"/>
      <c r="BZ1900" s="4"/>
      <c r="CA1900" s="219"/>
      <c r="CB1900" s="3"/>
    </row>
    <row r="1901" spans="1:80" x14ac:dyDescent="0.2">
      <c r="A1901" s="296"/>
      <c r="AJ1901" s="374"/>
      <c r="AK1901" s="374"/>
      <c r="AS1901" s="485"/>
      <c r="AT1901" s="297"/>
      <c r="AZ1901" s="374"/>
      <c r="BA1901" s="297"/>
      <c r="BE1901" s="3"/>
      <c r="BM1901" s="229"/>
      <c r="BN1901" s="3"/>
      <c r="BW1901" s="26"/>
      <c r="BX1901" s="389"/>
      <c r="BY1901" s="3"/>
      <c r="BZ1901" s="4"/>
      <c r="CA1901" s="219"/>
      <c r="CB1901" s="3"/>
    </row>
    <row r="1902" spans="1:80" x14ac:dyDescent="0.2">
      <c r="A1902" s="296"/>
      <c r="AJ1902" s="374"/>
      <c r="AK1902" s="374"/>
      <c r="AS1902" s="485"/>
      <c r="AT1902" s="297"/>
      <c r="AZ1902" s="374"/>
      <c r="BA1902" s="297"/>
      <c r="BE1902" s="3"/>
      <c r="BM1902" s="229"/>
      <c r="BN1902" s="3"/>
      <c r="BW1902" s="26"/>
      <c r="BX1902" s="389"/>
      <c r="BY1902" s="3"/>
      <c r="BZ1902" s="4"/>
      <c r="CA1902" s="219"/>
      <c r="CB1902" s="3"/>
    </row>
    <row r="1903" spans="1:80" x14ac:dyDescent="0.2">
      <c r="A1903" s="296"/>
      <c r="AJ1903" s="374"/>
      <c r="AK1903" s="374"/>
      <c r="AS1903" s="485"/>
      <c r="AT1903" s="297"/>
      <c r="AZ1903" s="374"/>
      <c r="BA1903" s="297"/>
      <c r="BE1903" s="3"/>
      <c r="BM1903" s="229"/>
      <c r="BN1903" s="3"/>
      <c r="BW1903" s="26"/>
      <c r="BX1903" s="389"/>
      <c r="BY1903" s="3"/>
      <c r="BZ1903" s="4"/>
      <c r="CA1903" s="219"/>
      <c r="CB1903" s="3"/>
    </row>
    <row r="1904" spans="1:80" x14ac:dyDescent="0.2">
      <c r="A1904" s="296"/>
      <c r="AJ1904" s="374"/>
      <c r="AK1904" s="374"/>
      <c r="AS1904" s="485"/>
      <c r="AT1904" s="297"/>
      <c r="AZ1904" s="374"/>
      <c r="BA1904" s="297"/>
      <c r="BE1904" s="3"/>
      <c r="BM1904" s="229"/>
      <c r="BN1904" s="3"/>
      <c r="BW1904" s="26"/>
      <c r="BX1904" s="389"/>
      <c r="BY1904" s="3"/>
      <c r="BZ1904" s="4"/>
      <c r="CA1904" s="219"/>
      <c r="CB1904" s="3"/>
    </row>
    <row r="1905" spans="1:80" x14ac:dyDescent="0.2">
      <c r="A1905" s="296"/>
      <c r="AJ1905" s="374"/>
      <c r="AK1905" s="374"/>
      <c r="AS1905" s="485"/>
      <c r="AT1905" s="297"/>
      <c r="AZ1905" s="374"/>
      <c r="BA1905" s="297"/>
      <c r="BE1905" s="3"/>
      <c r="BM1905" s="229"/>
      <c r="BN1905" s="3"/>
      <c r="BW1905" s="26"/>
      <c r="BX1905" s="389"/>
      <c r="BY1905" s="3"/>
      <c r="BZ1905" s="4"/>
      <c r="CA1905" s="219"/>
      <c r="CB1905" s="3"/>
    </row>
    <row r="1906" spans="1:80" x14ac:dyDescent="0.2">
      <c r="A1906" s="296"/>
      <c r="AJ1906" s="374"/>
      <c r="AK1906" s="374"/>
      <c r="AS1906" s="485"/>
      <c r="AT1906" s="297"/>
      <c r="AZ1906" s="374"/>
      <c r="BA1906" s="297"/>
      <c r="BE1906" s="3"/>
      <c r="BM1906" s="229"/>
      <c r="BN1906" s="3"/>
      <c r="BW1906" s="26"/>
      <c r="BX1906" s="389"/>
      <c r="BY1906" s="3"/>
      <c r="BZ1906" s="4"/>
      <c r="CA1906" s="219"/>
      <c r="CB1906" s="3"/>
    </row>
    <row r="1907" spans="1:80" x14ac:dyDescent="0.2">
      <c r="A1907" s="296"/>
      <c r="AJ1907" s="374"/>
      <c r="AK1907" s="374"/>
      <c r="AS1907" s="485"/>
      <c r="AT1907" s="297"/>
      <c r="AZ1907" s="374"/>
      <c r="BA1907" s="297"/>
      <c r="BE1907" s="3"/>
      <c r="BM1907" s="229"/>
      <c r="BN1907" s="3"/>
      <c r="BW1907" s="26"/>
      <c r="BX1907" s="389"/>
      <c r="BY1907" s="3"/>
      <c r="BZ1907" s="4"/>
      <c r="CA1907" s="219"/>
      <c r="CB1907" s="3"/>
    </row>
    <row r="1908" spans="1:80" x14ac:dyDescent="0.2">
      <c r="A1908" s="296"/>
      <c r="AJ1908" s="374"/>
      <c r="AK1908" s="374"/>
      <c r="AS1908" s="485"/>
      <c r="AT1908" s="297"/>
      <c r="AZ1908" s="374"/>
      <c r="BA1908" s="297"/>
      <c r="BE1908" s="3"/>
      <c r="BM1908" s="229"/>
      <c r="BN1908" s="3"/>
      <c r="BW1908" s="26"/>
      <c r="BX1908" s="389"/>
      <c r="BY1908" s="3"/>
      <c r="BZ1908" s="4"/>
      <c r="CA1908" s="219"/>
      <c r="CB1908" s="3"/>
    </row>
    <row r="1909" spans="1:80" x14ac:dyDescent="0.2">
      <c r="A1909" s="296"/>
      <c r="AJ1909" s="374"/>
      <c r="AK1909" s="374"/>
      <c r="AS1909" s="485"/>
      <c r="AT1909" s="297"/>
      <c r="AZ1909" s="374"/>
      <c r="BA1909" s="297"/>
      <c r="BE1909" s="3"/>
      <c r="BM1909" s="229"/>
      <c r="BN1909" s="3"/>
      <c r="BW1909" s="26"/>
      <c r="BX1909" s="389"/>
      <c r="BY1909" s="3"/>
      <c r="BZ1909" s="4"/>
      <c r="CA1909" s="219"/>
      <c r="CB1909" s="3"/>
    </row>
    <row r="1910" spans="1:80" x14ac:dyDescent="0.2">
      <c r="A1910" s="296"/>
      <c r="AJ1910" s="374"/>
      <c r="AK1910" s="374"/>
      <c r="AS1910" s="485"/>
      <c r="AT1910" s="297"/>
      <c r="AZ1910" s="374"/>
      <c r="BA1910" s="297"/>
      <c r="BE1910" s="3"/>
      <c r="BM1910" s="229"/>
      <c r="BN1910" s="3"/>
      <c r="BW1910" s="26"/>
      <c r="BX1910" s="389"/>
      <c r="BY1910" s="3"/>
      <c r="BZ1910" s="4"/>
      <c r="CA1910" s="219"/>
      <c r="CB1910" s="3"/>
    </row>
    <row r="1911" spans="1:80" x14ac:dyDescent="0.2">
      <c r="A1911" s="296"/>
      <c r="AJ1911" s="374"/>
      <c r="AK1911" s="374"/>
      <c r="AS1911" s="485"/>
      <c r="AT1911" s="297"/>
      <c r="AZ1911" s="374"/>
      <c r="BA1911" s="297"/>
      <c r="BE1911" s="3"/>
      <c r="BM1911" s="229"/>
      <c r="BN1911" s="3"/>
      <c r="BW1911" s="26"/>
      <c r="BX1911" s="389"/>
      <c r="BY1911" s="3"/>
      <c r="BZ1911" s="4"/>
      <c r="CA1911" s="219"/>
      <c r="CB1911" s="3"/>
    </row>
    <row r="1912" spans="1:80" x14ac:dyDescent="0.2">
      <c r="A1912" s="296"/>
      <c r="AJ1912" s="374"/>
      <c r="AK1912" s="374"/>
      <c r="AS1912" s="485"/>
      <c r="AT1912" s="297"/>
      <c r="AZ1912" s="374"/>
      <c r="BA1912" s="297"/>
      <c r="BE1912" s="3"/>
      <c r="BM1912" s="229"/>
      <c r="BN1912" s="3"/>
      <c r="BW1912" s="26"/>
      <c r="BX1912" s="389"/>
      <c r="BY1912" s="3"/>
      <c r="BZ1912" s="4"/>
      <c r="CA1912" s="219"/>
      <c r="CB1912" s="3"/>
    </row>
    <row r="1913" spans="1:80" x14ac:dyDescent="0.2">
      <c r="A1913" s="296"/>
      <c r="AJ1913" s="374"/>
      <c r="AK1913" s="374"/>
      <c r="AS1913" s="485"/>
      <c r="AT1913" s="297"/>
      <c r="AZ1913" s="374"/>
      <c r="BA1913" s="297"/>
      <c r="BE1913" s="3"/>
      <c r="BM1913" s="229"/>
      <c r="BN1913" s="3"/>
      <c r="BW1913" s="26"/>
      <c r="BX1913" s="389"/>
      <c r="BY1913" s="3"/>
      <c r="BZ1913" s="4"/>
      <c r="CA1913" s="219"/>
      <c r="CB1913" s="3"/>
    </row>
    <row r="1914" spans="1:80" x14ac:dyDescent="0.2">
      <c r="A1914" s="296"/>
      <c r="AJ1914" s="374"/>
      <c r="AK1914" s="374"/>
      <c r="AS1914" s="485"/>
      <c r="AT1914" s="297"/>
      <c r="AZ1914" s="374"/>
      <c r="BA1914" s="297"/>
      <c r="BE1914" s="3"/>
      <c r="BM1914" s="229"/>
      <c r="BN1914" s="3"/>
      <c r="BW1914" s="26"/>
      <c r="BX1914" s="389"/>
      <c r="BY1914" s="3"/>
      <c r="BZ1914" s="4"/>
      <c r="CA1914" s="219"/>
      <c r="CB1914" s="3"/>
    </row>
    <row r="1915" spans="1:80" x14ac:dyDescent="0.2">
      <c r="A1915" s="296"/>
      <c r="AJ1915" s="374"/>
      <c r="AK1915" s="374"/>
      <c r="AS1915" s="485"/>
      <c r="AT1915" s="297"/>
      <c r="AZ1915" s="374"/>
      <c r="BA1915" s="297"/>
      <c r="BE1915" s="3"/>
      <c r="BM1915" s="229"/>
      <c r="BN1915" s="3"/>
      <c r="BW1915" s="26"/>
      <c r="BX1915" s="389"/>
      <c r="BY1915" s="3"/>
      <c r="BZ1915" s="4"/>
      <c r="CA1915" s="219"/>
      <c r="CB1915" s="3"/>
    </row>
    <row r="1916" spans="1:80" x14ac:dyDescent="0.2">
      <c r="A1916" s="296"/>
      <c r="AJ1916" s="374"/>
      <c r="AK1916" s="374"/>
      <c r="AS1916" s="485"/>
      <c r="AT1916" s="297"/>
      <c r="AZ1916" s="374"/>
      <c r="BA1916" s="297"/>
      <c r="BE1916" s="3"/>
      <c r="BM1916" s="229"/>
      <c r="BN1916" s="3"/>
      <c r="BW1916" s="26"/>
      <c r="BX1916" s="389"/>
      <c r="BY1916" s="3"/>
      <c r="BZ1916" s="4"/>
      <c r="CA1916" s="219"/>
      <c r="CB1916" s="3"/>
    </row>
    <row r="1917" spans="1:80" x14ac:dyDescent="0.2">
      <c r="A1917" s="296"/>
      <c r="AJ1917" s="374"/>
      <c r="AK1917" s="374"/>
      <c r="AS1917" s="485"/>
      <c r="AT1917" s="297"/>
      <c r="AZ1917" s="374"/>
      <c r="BA1917" s="297"/>
      <c r="BE1917" s="3"/>
      <c r="BM1917" s="229"/>
      <c r="BN1917" s="3"/>
      <c r="BW1917" s="26"/>
      <c r="BX1917" s="389"/>
      <c r="BY1917" s="3"/>
      <c r="BZ1917" s="4"/>
      <c r="CA1917" s="219"/>
      <c r="CB1917" s="3"/>
    </row>
    <row r="1918" spans="1:80" x14ac:dyDescent="0.2">
      <c r="A1918" s="296"/>
      <c r="AJ1918" s="374"/>
      <c r="AK1918" s="374"/>
      <c r="AS1918" s="485"/>
      <c r="AT1918" s="297"/>
      <c r="AZ1918" s="374"/>
      <c r="BA1918" s="297"/>
      <c r="BE1918" s="3"/>
      <c r="BM1918" s="229"/>
      <c r="BN1918" s="3"/>
      <c r="BW1918" s="26"/>
      <c r="BX1918" s="389"/>
      <c r="BY1918" s="3"/>
      <c r="BZ1918" s="4"/>
      <c r="CA1918" s="219"/>
      <c r="CB1918" s="3"/>
    </row>
    <row r="1919" spans="1:80" x14ac:dyDescent="0.2">
      <c r="A1919" s="296"/>
      <c r="AJ1919" s="374"/>
      <c r="AK1919" s="374"/>
      <c r="AS1919" s="485"/>
      <c r="AT1919" s="297"/>
      <c r="AZ1919" s="374"/>
      <c r="BA1919" s="297"/>
      <c r="BE1919" s="3"/>
      <c r="BM1919" s="229"/>
      <c r="BN1919" s="3"/>
      <c r="BW1919" s="26"/>
      <c r="BX1919" s="389"/>
      <c r="BY1919" s="3"/>
      <c r="BZ1919" s="4"/>
      <c r="CA1919" s="219"/>
      <c r="CB1919" s="3"/>
    </row>
    <row r="1920" spans="1:80" x14ac:dyDescent="0.2">
      <c r="A1920" s="296"/>
      <c r="AJ1920" s="374"/>
      <c r="AK1920" s="374"/>
      <c r="AS1920" s="485"/>
      <c r="AT1920" s="297"/>
      <c r="AZ1920" s="374"/>
      <c r="BA1920" s="297"/>
      <c r="BE1920" s="3"/>
      <c r="BM1920" s="229"/>
      <c r="BN1920" s="3"/>
      <c r="BW1920" s="26"/>
      <c r="BX1920" s="389"/>
      <c r="BY1920" s="3"/>
      <c r="BZ1920" s="4"/>
      <c r="CA1920" s="219"/>
      <c r="CB1920" s="3"/>
    </row>
    <row r="1921" spans="1:80" x14ac:dyDescent="0.2">
      <c r="A1921" s="296"/>
      <c r="AJ1921" s="374"/>
      <c r="AK1921" s="374"/>
      <c r="AS1921" s="485"/>
      <c r="AT1921" s="297"/>
      <c r="AZ1921" s="374"/>
      <c r="BA1921" s="297"/>
      <c r="BE1921" s="3"/>
      <c r="BM1921" s="229"/>
      <c r="BN1921" s="3"/>
      <c r="BW1921" s="26"/>
      <c r="BX1921" s="389"/>
      <c r="BY1921" s="3"/>
      <c r="BZ1921" s="4"/>
      <c r="CA1921" s="219"/>
      <c r="CB1921" s="3"/>
    </row>
    <row r="1922" spans="1:80" x14ac:dyDescent="0.2">
      <c r="A1922" s="296"/>
      <c r="AJ1922" s="374"/>
      <c r="AK1922" s="374"/>
      <c r="AS1922" s="485"/>
      <c r="AT1922" s="297"/>
      <c r="AZ1922" s="374"/>
      <c r="BA1922" s="297"/>
      <c r="BE1922" s="3"/>
      <c r="BM1922" s="229"/>
      <c r="BN1922" s="3"/>
      <c r="BW1922" s="26"/>
      <c r="BX1922" s="389"/>
      <c r="BY1922" s="3"/>
      <c r="BZ1922" s="4"/>
      <c r="CA1922" s="219"/>
      <c r="CB1922" s="3"/>
    </row>
    <row r="1923" spans="1:80" x14ac:dyDescent="0.2">
      <c r="A1923" s="296"/>
      <c r="AJ1923" s="374"/>
      <c r="AK1923" s="374"/>
      <c r="AS1923" s="485"/>
      <c r="AT1923" s="297"/>
      <c r="AZ1923" s="374"/>
      <c r="BA1923" s="297"/>
      <c r="BE1923" s="3"/>
      <c r="BM1923" s="229"/>
      <c r="BN1923" s="3"/>
      <c r="BW1923" s="26"/>
      <c r="BX1923" s="389"/>
      <c r="BY1923" s="3"/>
      <c r="BZ1923" s="4"/>
      <c r="CA1923" s="219"/>
      <c r="CB1923" s="3"/>
    </row>
    <row r="1924" spans="1:80" x14ac:dyDescent="0.2">
      <c r="A1924" s="296"/>
      <c r="AJ1924" s="374"/>
      <c r="AK1924" s="374"/>
      <c r="AS1924" s="485"/>
      <c r="AT1924" s="297"/>
      <c r="AZ1924" s="374"/>
      <c r="BA1924" s="297"/>
      <c r="BE1924" s="3"/>
      <c r="BM1924" s="229"/>
      <c r="BN1924" s="3"/>
      <c r="BW1924" s="26"/>
      <c r="BX1924" s="389"/>
      <c r="BY1924" s="3"/>
      <c r="BZ1924" s="4"/>
      <c r="CA1924" s="219"/>
      <c r="CB1924" s="3"/>
    </row>
    <row r="1925" spans="1:80" x14ac:dyDescent="0.2">
      <c r="A1925" s="296"/>
      <c r="AJ1925" s="374"/>
      <c r="AK1925" s="374"/>
      <c r="AS1925" s="485"/>
      <c r="AT1925" s="297"/>
      <c r="AZ1925" s="374"/>
      <c r="BA1925" s="297"/>
      <c r="BE1925" s="3"/>
      <c r="BM1925" s="229"/>
      <c r="BN1925" s="3"/>
      <c r="BW1925" s="26"/>
      <c r="BX1925" s="389"/>
      <c r="BY1925" s="3"/>
      <c r="BZ1925" s="4"/>
      <c r="CA1925" s="219"/>
      <c r="CB1925" s="3"/>
    </row>
    <row r="1926" spans="1:80" x14ac:dyDescent="0.2">
      <c r="A1926" s="296"/>
      <c r="AJ1926" s="374"/>
      <c r="AK1926" s="374"/>
      <c r="AS1926" s="485"/>
      <c r="AT1926" s="297"/>
      <c r="AZ1926" s="374"/>
      <c r="BA1926" s="297"/>
      <c r="BE1926" s="3"/>
      <c r="BM1926" s="229"/>
      <c r="BN1926" s="3"/>
      <c r="BW1926" s="26"/>
      <c r="BX1926" s="389"/>
      <c r="BY1926" s="3"/>
      <c r="BZ1926" s="4"/>
      <c r="CA1926" s="219"/>
      <c r="CB1926" s="3"/>
    </row>
    <row r="1927" spans="1:80" x14ac:dyDescent="0.2">
      <c r="A1927" s="296"/>
      <c r="AJ1927" s="374"/>
      <c r="AK1927" s="374"/>
      <c r="AS1927" s="485"/>
      <c r="AT1927" s="297"/>
      <c r="AZ1927" s="374"/>
      <c r="BA1927" s="297"/>
      <c r="BE1927" s="3"/>
      <c r="BM1927" s="229"/>
      <c r="BN1927" s="3"/>
      <c r="BW1927" s="26"/>
      <c r="BX1927" s="389"/>
      <c r="BY1927" s="3"/>
      <c r="BZ1927" s="4"/>
      <c r="CA1927" s="219"/>
      <c r="CB1927" s="3"/>
    </row>
    <row r="1928" spans="1:80" x14ac:dyDescent="0.2">
      <c r="A1928" s="296"/>
      <c r="AJ1928" s="374"/>
      <c r="AK1928" s="374"/>
      <c r="AS1928" s="485"/>
      <c r="AT1928" s="297"/>
      <c r="AZ1928" s="374"/>
      <c r="BA1928" s="297"/>
      <c r="BE1928" s="3"/>
      <c r="BM1928" s="229"/>
      <c r="BN1928" s="3"/>
      <c r="BW1928" s="26"/>
      <c r="BX1928" s="389"/>
      <c r="BY1928" s="3"/>
      <c r="BZ1928" s="4"/>
      <c r="CA1928" s="219"/>
      <c r="CB1928" s="3"/>
    </row>
    <row r="1929" spans="1:80" x14ac:dyDescent="0.2">
      <c r="A1929" s="296"/>
      <c r="AJ1929" s="374"/>
      <c r="AK1929" s="374"/>
      <c r="AS1929" s="485"/>
      <c r="AT1929" s="297"/>
      <c r="AZ1929" s="374"/>
      <c r="BA1929" s="297"/>
      <c r="BE1929" s="3"/>
      <c r="BM1929" s="229"/>
      <c r="BN1929" s="3"/>
      <c r="BW1929" s="26"/>
      <c r="BX1929" s="389"/>
      <c r="BY1929" s="3"/>
      <c r="BZ1929" s="4"/>
      <c r="CA1929" s="219"/>
      <c r="CB1929" s="3"/>
    </row>
    <row r="1930" spans="1:80" x14ac:dyDescent="0.2">
      <c r="A1930" s="296"/>
      <c r="AJ1930" s="374"/>
      <c r="AK1930" s="374"/>
      <c r="AS1930" s="485"/>
      <c r="AT1930" s="297"/>
      <c r="AZ1930" s="374"/>
      <c r="BA1930" s="297"/>
      <c r="BE1930" s="3"/>
      <c r="BM1930" s="229"/>
      <c r="BN1930" s="3"/>
      <c r="BW1930" s="26"/>
      <c r="BX1930" s="389"/>
      <c r="BY1930" s="3"/>
      <c r="BZ1930" s="4"/>
      <c r="CA1930" s="219"/>
      <c r="CB1930" s="3"/>
    </row>
    <row r="1931" spans="1:80" x14ac:dyDescent="0.2">
      <c r="A1931" s="296"/>
      <c r="AJ1931" s="374"/>
      <c r="AK1931" s="374"/>
      <c r="AS1931" s="485"/>
      <c r="AT1931" s="297"/>
      <c r="AZ1931" s="374"/>
      <c r="BA1931" s="297"/>
      <c r="BE1931" s="3"/>
      <c r="BM1931" s="229"/>
      <c r="BN1931" s="3"/>
      <c r="BW1931" s="26"/>
      <c r="BX1931" s="389"/>
      <c r="BY1931" s="3"/>
      <c r="BZ1931" s="4"/>
      <c r="CA1931" s="219"/>
      <c r="CB1931" s="3"/>
    </row>
    <row r="1932" spans="1:80" x14ac:dyDescent="0.2">
      <c r="A1932" s="296"/>
      <c r="AJ1932" s="374"/>
      <c r="AK1932" s="374"/>
      <c r="AS1932" s="485"/>
      <c r="AT1932" s="297"/>
      <c r="AZ1932" s="374"/>
      <c r="BA1932" s="297"/>
      <c r="BE1932" s="3"/>
      <c r="BM1932" s="229"/>
      <c r="BN1932" s="3"/>
      <c r="BW1932" s="26"/>
      <c r="BX1932" s="389"/>
      <c r="BY1932" s="3"/>
      <c r="BZ1932" s="4"/>
      <c r="CA1932" s="219"/>
      <c r="CB1932" s="3"/>
    </row>
    <row r="1933" spans="1:80" x14ac:dyDescent="0.2">
      <c r="A1933" s="296"/>
      <c r="AJ1933" s="374"/>
      <c r="AK1933" s="374"/>
      <c r="AS1933" s="485"/>
      <c r="AT1933" s="297"/>
      <c r="AZ1933" s="374"/>
      <c r="BA1933" s="297"/>
      <c r="BE1933" s="3"/>
      <c r="BM1933" s="229"/>
      <c r="BN1933" s="3"/>
      <c r="BW1933" s="26"/>
      <c r="BX1933" s="389"/>
      <c r="BY1933" s="3"/>
      <c r="BZ1933" s="4"/>
      <c r="CA1933" s="219"/>
      <c r="CB1933" s="3"/>
    </row>
    <row r="1934" spans="1:80" x14ac:dyDescent="0.2">
      <c r="A1934" s="296"/>
      <c r="AJ1934" s="374"/>
      <c r="AK1934" s="374"/>
      <c r="AS1934" s="485"/>
      <c r="AT1934" s="297"/>
      <c r="AZ1934" s="374"/>
      <c r="BA1934" s="297"/>
      <c r="BE1934" s="3"/>
      <c r="BM1934" s="229"/>
      <c r="BN1934" s="3"/>
      <c r="BW1934" s="26"/>
      <c r="BX1934" s="389"/>
      <c r="BY1934" s="3"/>
      <c r="BZ1934" s="4"/>
      <c r="CA1934" s="219"/>
      <c r="CB1934" s="3"/>
    </row>
    <row r="1935" spans="1:80" x14ac:dyDescent="0.2">
      <c r="A1935" s="296"/>
      <c r="AJ1935" s="374"/>
      <c r="AK1935" s="374"/>
      <c r="AS1935" s="485"/>
      <c r="AT1935" s="297"/>
      <c r="AZ1935" s="374"/>
      <c r="BA1935" s="297"/>
      <c r="BE1935" s="3"/>
      <c r="BM1935" s="229"/>
      <c r="BN1935" s="3"/>
      <c r="BW1935" s="26"/>
      <c r="BX1935" s="389"/>
      <c r="BY1935" s="3"/>
      <c r="BZ1935" s="4"/>
      <c r="CA1935" s="219"/>
      <c r="CB1935" s="3"/>
    </row>
    <row r="1936" spans="1:80" x14ac:dyDescent="0.2">
      <c r="A1936" s="296"/>
      <c r="AJ1936" s="374"/>
      <c r="AK1936" s="374"/>
      <c r="AS1936" s="485"/>
      <c r="AT1936" s="297"/>
      <c r="AZ1936" s="374"/>
      <c r="BA1936" s="297"/>
      <c r="BE1936" s="3"/>
      <c r="BM1936" s="229"/>
      <c r="BN1936" s="3"/>
      <c r="BW1936" s="26"/>
      <c r="BX1936" s="389"/>
      <c r="BY1936" s="3"/>
      <c r="BZ1936" s="4"/>
      <c r="CA1936" s="219"/>
      <c r="CB1936" s="3"/>
    </row>
    <row r="1937" spans="1:80" x14ac:dyDescent="0.2">
      <c r="A1937" s="296"/>
      <c r="AJ1937" s="374"/>
      <c r="AK1937" s="374"/>
      <c r="AS1937" s="485"/>
      <c r="AT1937" s="297"/>
      <c r="AZ1937" s="374"/>
      <c r="BA1937" s="297"/>
      <c r="BE1937" s="3"/>
      <c r="BM1937" s="229"/>
      <c r="BN1937" s="3"/>
      <c r="BW1937" s="26"/>
      <c r="BX1937" s="389"/>
      <c r="BY1937" s="3"/>
      <c r="BZ1937" s="4"/>
      <c r="CA1937" s="219"/>
      <c r="CB1937" s="3"/>
    </row>
    <row r="1938" spans="1:80" x14ac:dyDescent="0.2">
      <c r="A1938" s="296"/>
      <c r="AJ1938" s="374"/>
      <c r="AK1938" s="374"/>
      <c r="AS1938" s="485"/>
      <c r="AT1938" s="297"/>
      <c r="AZ1938" s="374"/>
      <c r="BA1938" s="297"/>
      <c r="BE1938" s="3"/>
      <c r="BM1938" s="229"/>
      <c r="BN1938" s="3"/>
      <c r="BW1938" s="26"/>
      <c r="BX1938" s="389"/>
      <c r="BY1938" s="3"/>
      <c r="BZ1938" s="4"/>
      <c r="CA1938" s="219"/>
      <c r="CB1938" s="3"/>
    </row>
    <row r="1939" spans="1:80" x14ac:dyDescent="0.2">
      <c r="A1939" s="296"/>
      <c r="AJ1939" s="374"/>
      <c r="AK1939" s="374"/>
      <c r="AS1939" s="485"/>
      <c r="AT1939" s="297"/>
      <c r="AZ1939" s="374"/>
      <c r="BA1939" s="297"/>
      <c r="BE1939" s="3"/>
      <c r="BM1939" s="229"/>
      <c r="BN1939" s="3"/>
      <c r="BW1939" s="26"/>
      <c r="BX1939" s="389"/>
      <c r="BY1939" s="3"/>
      <c r="BZ1939" s="4"/>
      <c r="CA1939" s="219"/>
      <c r="CB1939" s="3"/>
    </row>
    <row r="1940" spans="1:80" x14ac:dyDescent="0.2">
      <c r="A1940" s="296"/>
      <c r="AJ1940" s="374"/>
      <c r="AK1940" s="374"/>
      <c r="AS1940" s="485"/>
      <c r="AT1940" s="297"/>
      <c r="AZ1940" s="374"/>
      <c r="BA1940" s="297"/>
      <c r="BE1940" s="3"/>
      <c r="BM1940" s="229"/>
      <c r="BN1940" s="3"/>
      <c r="BW1940" s="26"/>
      <c r="BX1940" s="389"/>
      <c r="BY1940" s="3"/>
      <c r="BZ1940" s="4"/>
      <c r="CA1940" s="219"/>
      <c r="CB1940" s="3"/>
    </row>
    <row r="1941" spans="1:80" x14ac:dyDescent="0.2">
      <c r="A1941" s="296"/>
      <c r="AJ1941" s="374"/>
      <c r="AK1941" s="374"/>
      <c r="AS1941" s="485"/>
      <c r="AT1941" s="297"/>
      <c r="AZ1941" s="374"/>
      <c r="BA1941" s="297"/>
      <c r="BE1941" s="3"/>
      <c r="BM1941" s="229"/>
      <c r="BN1941" s="3"/>
      <c r="BW1941" s="26"/>
      <c r="BX1941" s="389"/>
      <c r="BY1941" s="3"/>
      <c r="BZ1941" s="4"/>
      <c r="CA1941" s="219"/>
      <c r="CB1941" s="3"/>
    </row>
    <row r="1942" spans="1:80" x14ac:dyDescent="0.2">
      <c r="A1942" s="296"/>
      <c r="AJ1942" s="374"/>
      <c r="AK1942" s="374"/>
      <c r="AS1942" s="485"/>
      <c r="AT1942" s="297"/>
      <c r="AZ1942" s="374"/>
      <c r="BA1942" s="297"/>
      <c r="BE1942" s="3"/>
      <c r="BM1942" s="229"/>
      <c r="BN1942" s="3"/>
      <c r="BW1942" s="26"/>
      <c r="BX1942" s="389"/>
      <c r="BY1942" s="3"/>
      <c r="BZ1942" s="4"/>
      <c r="CA1942" s="219"/>
      <c r="CB1942" s="3"/>
    </row>
    <row r="1943" spans="1:80" x14ac:dyDescent="0.2">
      <c r="A1943" s="296"/>
      <c r="AJ1943" s="374"/>
      <c r="AK1943" s="374"/>
      <c r="AS1943" s="485"/>
      <c r="AT1943" s="297"/>
      <c r="AZ1943" s="374"/>
      <c r="BA1943" s="297"/>
      <c r="BE1943" s="3"/>
      <c r="BM1943" s="229"/>
      <c r="BN1943" s="3"/>
      <c r="BW1943" s="26"/>
      <c r="BX1943" s="389"/>
      <c r="BY1943" s="3"/>
      <c r="BZ1943" s="4"/>
      <c r="CA1943" s="219"/>
      <c r="CB1943" s="3"/>
    </row>
    <row r="1944" spans="1:80" x14ac:dyDescent="0.2">
      <c r="A1944" s="296"/>
      <c r="AJ1944" s="374"/>
      <c r="AK1944" s="374"/>
      <c r="AS1944" s="485"/>
      <c r="AT1944" s="297"/>
      <c r="AZ1944" s="374"/>
      <c r="BA1944" s="297"/>
      <c r="BE1944" s="3"/>
      <c r="BM1944" s="229"/>
      <c r="BN1944" s="3"/>
      <c r="BW1944" s="26"/>
      <c r="BX1944" s="389"/>
      <c r="BY1944" s="3"/>
      <c r="BZ1944" s="4"/>
      <c r="CA1944" s="219"/>
      <c r="CB1944" s="3"/>
    </row>
    <row r="1945" spans="1:80" x14ac:dyDescent="0.2">
      <c r="A1945" s="296"/>
      <c r="AJ1945" s="374"/>
      <c r="AK1945" s="374"/>
      <c r="AS1945" s="485"/>
      <c r="AT1945" s="297"/>
      <c r="AZ1945" s="374"/>
      <c r="BA1945" s="297"/>
      <c r="BE1945" s="3"/>
      <c r="BM1945" s="229"/>
      <c r="BN1945" s="3"/>
      <c r="BW1945" s="26"/>
      <c r="BX1945" s="389"/>
      <c r="BY1945" s="3"/>
      <c r="BZ1945" s="4"/>
      <c r="CA1945" s="219"/>
      <c r="CB1945" s="3"/>
    </row>
    <row r="1946" spans="1:80" x14ac:dyDescent="0.2">
      <c r="A1946" s="296"/>
      <c r="AJ1946" s="374"/>
      <c r="AK1946" s="374"/>
      <c r="AS1946" s="485"/>
      <c r="AT1946" s="297"/>
      <c r="AZ1946" s="374"/>
      <c r="BA1946" s="297"/>
      <c r="BE1946" s="3"/>
      <c r="BM1946" s="229"/>
      <c r="BN1946" s="3"/>
      <c r="BW1946" s="26"/>
      <c r="BX1946" s="389"/>
      <c r="BY1946" s="3"/>
      <c r="BZ1946" s="4"/>
      <c r="CA1946" s="219"/>
      <c r="CB1946" s="3"/>
    </row>
    <row r="1947" spans="1:80" x14ac:dyDescent="0.2">
      <c r="A1947" s="296"/>
      <c r="AJ1947" s="374"/>
      <c r="AK1947" s="374"/>
      <c r="AS1947" s="485"/>
      <c r="AT1947" s="297"/>
      <c r="AZ1947" s="374"/>
      <c r="BA1947" s="297"/>
      <c r="BE1947" s="3"/>
      <c r="BM1947" s="229"/>
      <c r="BN1947" s="3"/>
      <c r="BW1947" s="26"/>
      <c r="BX1947" s="389"/>
      <c r="BY1947" s="3"/>
      <c r="BZ1947" s="4"/>
      <c r="CA1947" s="219"/>
      <c r="CB1947" s="3"/>
    </row>
    <row r="1948" spans="1:80" x14ac:dyDescent="0.2">
      <c r="A1948" s="296"/>
      <c r="AJ1948" s="374"/>
      <c r="AK1948" s="374"/>
      <c r="AS1948" s="485"/>
      <c r="AT1948" s="297"/>
      <c r="AZ1948" s="374"/>
      <c r="BA1948" s="297"/>
      <c r="BE1948" s="3"/>
      <c r="BM1948" s="229"/>
      <c r="BN1948" s="3"/>
      <c r="BW1948" s="26"/>
      <c r="BX1948" s="389"/>
      <c r="BY1948" s="3"/>
      <c r="BZ1948" s="4"/>
      <c r="CA1948" s="219"/>
      <c r="CB1948" s="3"/>
    </row>
    <row r="1949" spans="1:80" x14ac:dyDescent="0.2">
      <c r="A1949" s="296"/>
      <c r="AJ1949" s="374"/>
      <c r="AK1949" s="374"/>
      <c r="AS1949" s="485"/>
      <c r="AT1949" s="297"/>
      <c r="AZ1949" s="374"/>
      <c r="BA1949" s="297"/>
      <c r="BE1949" s="3"/>
      <c r="BM1949" s="229"/>
      <c r="BN1949" s="3"/>
      <c r="BW1949" s="26"/>
      <c r="BX1949" s="389"/>
      <c r="BY1949" s="3"/>
      <c r="BZ1949" s="4"/>
      <c r="CA1949" s="219"/>
      <c r="CB1949" s="3"/>
    </row>
    <row r="1950" spans="1:80" x14ac:dyDescent="0.2">
      <c r="A1950" s="296"/>
      <c r="AJ1950" s="374"/>
      <c r="AK1950" s="374"/>
      <c r="AS1950" s="485"/>
      <c r="AT1950" s="297"/>
      <c r="AZ1950" s="374"/>
      <c r="BA1950" s="297"/>
      <c r="BE1950" s="3"/>
      <c r="BM1950" s="229"/>
      <c r="BN1950" s="3"/>
      <c r="BW1950" s="26"/>
      <c r="BX1950" s="389"/>
      <c r="BY1950" s="3"/>
      <c r="BZ1950" s="4"/>
      <c r="CA1950" s="219"/>
      <c r="CB1950" s="3"/>
    </row>
    <row r="1951" spans="1:80" x14ac:dyDescent="0.2">
      <c r="A1951" s="296"/>
      <c r="AJ1951" s="374"/>
      <c r="AK1951" s="374"/>
      <c r="AS1951" s="485"/>
      <c r="AT1951" s="297"/>
      <c r="AZ1951" s="374"/>
      <c r="BA1951" s="297"/>
      <c r="BE1951" s="3"/>
      <c r="BM1951" s="229"/>
      <c r="BN1951" s="3"/>
      <c r="BW1951" s="26"/>
      <c r="BX1951" s="389"/>
      <c r="BY1951" s="3"/>
      <c r="BZ1951" s="4"/>
      <c r="CA1951" s="219"/>
      <c r="CB1951" s="3"/>
    </row>
    <row r="1952" spans="1:80" x14ac:dyDescent="0.2">
      <c r="A1952" s="296"/>
      <c r="AJ1952" s="374"/>
      <c r="AK1952" s="374"/>
      <c r="AS1952" s="485"/>
      <c r="AT1952" s="297"/>
      <c r="AZ1952" s="374"/>
      <c r="BA1952" s="297"/>
      <c r="BE1952" s="3"/>
      <c r="BM1952" s="229"/>
      <c r="BN1952" s="3"/>
      <c r="BW1952" s="26"/>
      <c r="BX1952" s="389"/>
      <c r="BY1952" s="3"/>
      <c r="BZ1952" s="4"/>
      <c r="CA1952" s="219"/>
      <c r="CB1952" s="3"/>
    </row>
    <row r="1953" spans="1:80" x14ac:dyDescent="0.2">
      <c r="A1953" s="296"/>
      <c r="AJ1953" s="374"/>
      <c r="AK1953" s="374"/>
      <c r="AS1953" s="485"/>
      <c r="AT1953" s="297"/>
      <c r="AZ1953" s="374"/>
      <c r="BA1953" s="297"/>
      <c r="BE1953" s="3"/>
      <c r="BM1953" s="229"/>
      <c r="BN1953" s="3"/>
      <c r="BW1953" s="26"/>
      <c r="BX1953" s="389"/>
      <c r="BY1953" s="3"/>
      <c r="BZ1953" s="4"/>
      <c r="CA1953" s="219"/>
      <c r="CB1953" s="3"/>
    </row>
    <row r="1954" spans="1:80" x14ac:dyDescent="0.2">
      <c r="A1954" s="296"/>
      <c r="AJ1954" s="374"/>
      <c r="AK1954" s="374"/>
      <c r="AS1954" s="485"/>
      <c r="AT1954" s="297"/>
      <c r="AZ1954" s="374"/>
      <c r="BA1954" s="297"/>
      <c r="BE1954" s="3"/>
      <c r="BM1954" s="229"/>
      <c r="BN1954" s="3"/>
      <c r="BW1954" s="26"/>
      <c r="BX1954" s="389"/>
      <c r="BY1954" s="3"/>
      <c r="BZ1954" s="4"/>
      <c r="CA1954" s="219"/>
      <c r="CB1954" s="3"/>
    </row>
    <row r="1955" spans="1:80" x14ac:dyDescent="0.2">
      <c r="A1955" s="296"/>
      <c r="AJ1955" s="374"/>
      <c r="AK1955" s="374"/>
      <c r="AS1955" s="485"/>
      <c r="AT1955" s="297"/>
      <c r="AZ1955" s="374"/>
      <c r="BA1955" s="297"/>
      <c r="BE1955" s="3"/>
      <c r="BM1955" s="229"/>
      <c r="BN1955" s="3"/>
      <c r="BW1955" s="26"/>
      <c r="BX1955" s="389"/>
      <c r="BY1955" s="3"/>
      <c r="BZ1955" s="4"/>
      <c r="CA1955" s="219"/>
      <c r="CB1955" s="3"/>
    </row>
    <row r="1956" spans="1:80" x14ac:dyDescent="0.2">
      <c r="A1956" s="296"/>
      <c r="AJ1956" s="374"/>
      <c r="AK1956" s="374"/>
      <c r="AS1956" s="485"/>
      <c r="AT1956" s="297"/>
      <c r="AZ1956" s="374"/>
      <c r="BA1956" s="297"/>
      <c r="BE1956" s="3"/>
      <c r="BM1956" s="229"/>
      <c r="BN1956" s="3"/>
      <c r="BW1956" s="26"/>
      <c r="BX1956" s="389"/>
      <c r="BY1956" s="3"/>
      <c r="BZ1956" s="4"/>
      <c r="CA1956" s="219"/>
      <c r="CB1956" s="3"/>
    </row>
    <row r="1957" spans="1:80" x14ac:dyDescent="0.2">
      <c r="A1957" s="296"/>
      <c r="AJ1957" s="374"/>
      <c r="AK1957" s="374"/>
      <c r="AS1957" s="485"/>
      <c r="AT1957" s="297"/>
      <c r="AZ1957" s="374"/>
      <c r="BA1957" s="297"/>
      <c r="BE1957" s="3"/>
      <c r="BM1957" s="229"/>
      <c r="BN1957" s="3"/>
      <c r="BW1957" s="26"/>
      <c r="BX1957" s="389"/>
      <c r="BY1957" s="3"/>
      <c r="BZ1957" s="4"/>
      <c r="CA1957" s="219"/>
      <c r="CB1957" s="3"/>
    </row>
    <row r="1958" spans="1:80" x14ac:dyDescent="0.2">
      <c r="A1958" s="296"/>
      <c r="AJ1958" s="374"/>
      <c r="AK1958" s="374"/>
      <c r="AS1958" s="485"/>
      <c r="AT1958" s="297"/>
      <c r="AZ1958" s="374"/>
      <c r="BA1958" s="297"/>
      <c r="BE1958" s="3"/>
      <c r="BM1958" s="229"/>
      <c r="BN1958" s="3"/>
      <c r="BW1958" s="26"/>
      <c r="BX1958" s="389"/>
      <c r="BY1958" s="3"/>
      <c r="BZ1958" s="4"/>
      <c r="CA1958" s="219"/>
      <c r="CB1958" s="3"/>
    </row>
    <row r="1959" spans="1:80" x14ac:dyDescent="0.2">
      <c r="A1959" s="296"/>
      <c r="AJ1959" s="374"/>
      <c r="AK1959" s="374"/>
      <c r="AS1959" s="485"/>
      <c r="AT1959" s="297"/>
      <c r="AZ1959" s="374"/>
      <c r="BA1959" s="297"/>
      <c r="BE1959" s="3"/>
      <c r="BM1959" s="229"/>
      <c r="BN1959" s="3"/>
      <c r="BW1959" s="26"/>
      <c r="BX1959" s="389"/>
      <c r="BY1959" s="3"/>
      <c r="BZ1959" s="4"/>
      <c r="CA1959" s="219"/>
      <c r="CB1959" s="3"/>
    </row>
    <row r="1960" spans="1:80" x14ac:dyDescent="0.2">
      <c r="A1960" s="296"/>
      <c r="AJ1960" s="374"/>
      <c r="AK1960" s="374"/>
      <c r="AS1960" s="485"/>
      <c r="AT1960" s="297"/>
      <c r="AZ1960" s="374"/>
      <c r="BA1960" s="297"/>
      <c r="BE1960" s="3"/>
      <c r="BM1960" s="229"/>
      <c r="BN1960" s="3"/>
      <c r="BW1960" s="26"/>
      <c r="BX1960" s="389"/>
      <c r="BY1960" s="3"/>
      <c r="BZ1960" s="4"/>
      <c r="CA1960" s="219"/>
      <c r="CB1960" s="3"/>
    </row>
    <row r="1961" spans="1:80" x14ac:dyDescent="0.2">
      <c r="A1961" s="296"/>
      <c r="AJ1961" s="374"/>
      <c r="AK1961" s="374"/>
      <c r="AS1961" s="485"/>
      <c r="AT1961" s="297"/>
      <c r="AZ1961" s="374"/>
      <c r="BA1961" s="297"/>
      <c r="BE1961" s="3"/>
      <c r="BM1961" s="229"/>
      <c r="BN1961" s="3"/>
      <c r="BW1961" s="26"/>
      <c r="BX1961" s="389"/>
      <c r="BY1961" s="3"/>
      <c r="BZ1961" s="4"/>
      <c r="CA1961" s="219"/>
      <c r="CB1961" s="3"/>
    </row>
    <row r="1962" spans="1:80" x14ac:dyDescent="0.2">
      <c r="A1962" s="296"/>
      <c r="AJ1962" s="374"/>
      <c r="AK1962" s="374"/>
      <c r="AS1962" s="485"/>
      <c r="AT1962" s="297"/>
      <c r="AZ1962" s="374"/>
      <c r="BA1962" s="297"/>
      <c r="BE1962" s="3"/>
      <c r="BM1962" s="229"/>
      <c r="BN1962" s="3"/>
      <c r="BW1962" s="26"/>
      <c r="BX1962" s="389"/>
      <c r="BY1962" s="3"/>
      <c r="BZ1962" s="4"/>
      <c r="CA1962" s="219"/>
      <c r="CB1962" s="3"/>
    </row>
    <row r="1963" spans="1:80" x14ac:dyDescent="0.2">
      <c r="A1963" s="296"/>
      <c r="AJ1963" s="374"/>
      <c r="AK1963" s="374"/>
      <c r="AS1963" s="485"/>
      <c r="AT1963" s="297"/>
      <c r="AZ1963" s="374"/>
      <c r="BA1963" s="297"/>
      <c r="BE1963" s="3"/>
      <c r="BM1963" s="229"/>
      <c r="BN1963" s="3"/>
      <c r="BW1963" s="26"/>
      <c r="BX1963" s="389"/>
      <c r="BY1963" s="3"/>
      <c r="BZ1963" s="4"/>
      <c r="CA1963" s="219"/>
      <c r="CB1963" s="3"/>
    </row>
    <row r="1964" spans="1:80" x14ac:dyDescent="0.2">
      <c r="A1964" s="296"/>
      <c r="AJ1964" s="374"/>
      <c r="AK1964" s="374"/>
      <c r="AS1964" s="485"/>
      <c r="AT1964" s="297"/>
      <c r="AZ1964" s="374"/>
      <c r="BA1964" s="297"/>
      <c r="BE1964" s="3"/>
      <c r="BM1964" s="229"/>
      <c r="BN1964" s="3"/>
      <c r="BW1964" s="26"/>
      <c r="BX1964" s="389"/>
      <c r="BY1964" s="3"/>
      <c r="BZ1964" s="4"/>
      <c r="CA1964" s="219"/>
      <c r="CB1964" s="3"/>
    </row>
    <row r="1965" spans="1:80" x14ac:dyDescent="0.2">
      <c r="A1965" s="296"/>
      <c r="AJ1965" s="374"/>
      <c r="AK1965" s="374"/>
      <c r="AS1965" s="485"/>
      <c r="AT1965" s="297"/>
      <c r="AZ1965" s="374"/>
      <c r="BA1965" s="297"/>
      <c r="BE1965" s="3"/>
      <c r="BM1965" s="229"/>
      <c r="BN1965" s="3"/>
      <c r="BW1965" s="26"/>
      <c r="BX1965" s="389"/>
      <c r="BY1965" s="3"/>
      <c r="BZ1965" s="4"/>
      <c r="CA1965" s="219"/>
      <c r="CB1965" s="3"/>
    </row>
    <row r="1966" spans="1:80" x14ac:dyDescent="0.2">
      <c r="A1966" s="296"/>
      <c r="AJ1966" s="374"/>
      <c r="AK1966" s="374"/>
      <c r="AS1966" s="485"/>
      <c r="AT1966" s="297"/>
      <c r="AZ1966" s="374"/>
      <c r="BA1966" s="297"/>
      <c r="BE1966" s="3"/>
      <c r="BM1966" s="229"/>
      <c r="BN1966" s="3"/>
      <c r="BW1966" s="26"/>
      <c r="BX1966" s="389"/>
      <c r="BY1966" s="3"/>
      <c r="BZ1966" s="4"/>
      <c r="CA1966" s="219"/>
      <c r="CB1966" s="3"/>
    </row>
    <row r="1967" spans="1:80" x14ac:dyDescent="0.2">
      <c r="A1967" s="296"/>
      <c r="AJ1967" s="374"/>
      <c r="AK1967" s="374"/>
      <c r="AS1967" s="485"/>
      <c r="AT1967" s="297"/>
      <c r="AZ1967" s="374"/>
      <c r="BA1967" s="297"/>
      <c r="BE1967" s="3"/>
      <c r="BM1967" s="229"/>
      <c r="BN1967" s="3"/>
      <c r="BW1967" s="26"/>
      <c r="BX1967" s="389"/>
      <c r="BY1967" s="3"/>
      <c r="BZ1967" s="4"/>
      <c r="CA1967" s="219"/>
      <c r="CB1967" s="3"/>
    </row>
    <row r="1968" spans="1:80" x14ac:dyDescent="0.2">
      <c r="A1968" s="296"/>
      <c r="AJ1968" s="374"/>
      <c r="AK1968" s="374"/>
      <c r="AS1968" s="485"/>
      <c r="AT1968" s="297"/>
      <c r="AZ1968" s="374"/>
      <c r="BA1968" s="297"/>
      <c r="BE1968" s="3"/>
      <c r="BM1968" s="229"/>
      <c r="BN1968" s="3"/>
      <c r="BW1968" s="26"/>
      <c r="BX1968" s="389"/>
      <c r="BY1968" s="3"/>
      <c r="BZ1968" s="4"/>
      <c r="CA1968" s="219"/>
      <c r="CB1968" s="3"/>
    </row>
    <row r="1969" spans="1:80" x14ac:dyDescent="0.2">
      <c r="A1969" s="296"/>
      <c r="AJ1969" s="374"/>
      <c r="AK1969" s="374"/>
      <c r="AS1969" s="485"/>
      <c r="AT1969" s="297"/>
      <c r="AZ1969" s="374"/>
      <c r="BA1969" s="297"/>
      <c r="BE1969" s="3"/>
      <c r="BM1969" s="229"/>
      <c r="BN1969" s="3"/>
      <c r="BW1969" s="26"/>
      <c r="BX1969" s="389"/>
      <c r="BY1969" s="3"/>
      <c r="BZ1969" s="4"/>
      <c r="CA1969" s="219"/>
      <c r="CB1969" s="3"/>
    </row>
    <row r="1970" spans="1:80" x14ac:dyDescent="0.2">
      <c r="A1970" s="296"/>
      <c r="AJ1970" s="374"/>
      <c r="AK1970" s="374"/>
      <c r="AS1970" s="485"/>
      <c r="AT1970" s="297"/>
      <c r="AZ1970" s="374"/>
      <c r="BA1970" s="297"/>
      <c r="BE1970" s="3"/>
      <c r="BM1970" s="229"/>
      <c r="BN1970" s="3"/>
      <c r="BW1970" s="26"/>
      <c r="BX1970" s="389"/>
      <c r="BY1970" s="3"/>
      <c r="BZ1970" s="4"/>
      <c r="CA1970" s="219"/>
      <c r="CB1970" s="3"/>
    </row>
    <row r="1971" spans="1:80" x14ac:dyDescent="0.2">
      <c r="A1971" s="296"/>
      <c r="AJ1971" s="374"/>
      <c r="AK1971" s="374"/>
      <c r="AS1971" s="485"/>
      <c r="AT1971" s="297"/>
      <c r="AZ1971" s="374"/>
      <c r="BA1971" s="297"/>
      <c r="BE1971" s="3"/>
      <c r="BM1971" s="229"/>
      <c r="BN1971" s="3"/>
      <c r="BW1971" s="26"/>
      <c r="BX1971" s="389"/>
      <c r="BY1971" s="3"/>
      <c r="BZ1971" s="4"/>
      <c r="CA1971" s="219"/>
      <c r="CB1971" s="3"/>
    </row>
    <row r="1972" spans="1:80" x14ac:dyDescent="0.2">
      <c r="A1972" s="296"/>
      <c r="AJ1972" s="374"/>
      <c r="AK1972" s="374"/>
      <c r="AS1972" s="485"/>
      <c r="AT1972" s="297"/>
      <c r="AZ1972" s="374"/>
      <c r="BA1972" s="297"/>
      <c r="BE1972" s="3"/>
      <c r="BM1972" s="229"/>
      <c r="BN1972" s="3"/>
      <c r="BW1972" s="26"/>
      <c r="BX1972" s="389"/>
      <c r="BY1972" s="3"/>
      <c r="BZ1972" s="4"/>
      <c r="CA1972" s="219"/>
      <c r="CB1972" s="3"/>
    </row>
    <row r="1973" spans="1:80" x14ac:dyDescent="0.2">
      <c r="A1973" s="296"/>
      <c r="AJ1973" s="374"/>
      <c r="AK1973" s="374"/>
      <c r="AS1973" s="485"/>
      <c r="AT1973" s="297"/>
      <c r="AZ1973" s="374"/>
      <c r="BA1973" s="297"/>
      <c r="BE1973" s="3"/>
      <c r="BM1973" s="229"/>
      <c r="BN1973" s="3"/>
      <c r="BW1973" s="26"/>
      <c r="BX1973" s="389"/>
      <c r="BY1973" s="3"/>
      <c r="BZ1973" s="4"/>
      <c r="CA1973" s="219"/>
      <c r="CB1973" s="3"/>
    </row>
    <row r="1974" spans="1:80" x14ac:dyDescent="0.2">
      <c r="A1974" s="296"/>
      <c r="AJ1974" s="374"/>
      <c r="AK1974" s="374"/>
      <c r="AS1974" s="485"/>
      <c r="AT1974" s="297"/>
      <c r="AZ1974" s="374"/>
      <c r="BA1974" s="297"/>
      <c r="BE1974" s="3"/>
      <c r="BM1974" s="229"/>
      <c r="BN1974" s="3"/>
      <c r="BW1974" s="26"/>
      <c r="BX1974" s="389"/>
      <c r="BY1974" s="3"/>
      <c r="BZ1974" s="4"/>
      <c r="CA1974" s="219"/>
      <c r="CB1974" s="3"/>
    </row>
    <row r="1975" spans="1:80" x14ac:dyDescent="0.2">
      <c r="A1975" s="296"/>
      <c r="AJ1975" s="374"/>
      <c r="AK1975" s="374"/>
      <c r="AS1975" s="485"/>
      <c r="AT1975" s="297"/>
      <c r="AZ1975" s="374"/>
      <c r="BA1975" s="297"/>
      <c r="BE1975" s="3"/>
      <c r="BM1975" s="229"/>
      <c r="BN1975" s="3"/>
      <c r="BW1975" s="26"/>
      <c r="BX1975" s="389"/>
      <c r="BY1975" s="3"/>
      <c r="BZ1975" s="4"/>
      <c r="CA1975" s="219"/>
      <c r="CB1975" s="3"/>
    </row>
    <row r="1976" spans="1:80" x14ac:dyDescent="0.2">
      <c r="A1976" s="296"/>
      <c r="AJ1976" s="374"/>
      <c r="AK1976" s="374"/>
      <c r="AS1976" s="485"/>
      <c r="AT1976" s="297"/>
      <c r="AZ1976" s="374"/>
      <c r="BA1976" s="297"/>
      <c r="BE1976" s="3"/>
      <c r="BM1976" s="229"/>
      <c r="BN1976" s="3"/>
      <c r="BW1976" s="26"/>
      <c r="BX1976" s="389"/>
      <c r="BY1976" s="3"/>
      <c r="BZ1976" s="4"/>
      <c r="CA1976" s="219"/>
      <c r="CB1976" s="3"/>
    </row>
    <row r="1977" spans="1:80" x14ac:dyDescent="0.2">
      <c r="A1977" s="296"/>
      <c r="AJ1977" s="374"/>
      <c r="AK1977" s="374"/>
      <c r="AS1977" s="485"/>
      <c r="AT1977" s="297"/>
      <c r="AZ1977" s="374"/>
      <c r="BA1977" s="297"/>
      <c r="BE1977" s="3"/>
      <c r="BM1977" s="229"/>
      <c r="BN1977" s="3"/>
      <c r="BW1977" s="26"/>
      <c r="BX1977" s="389"/>
      <c r="BY1977" s="3"/>
      <c r="BZ1977" s="4"/>
      <c r="CA1977" s="219"/>
      <c r="CB1977" s="3"/>
    </row>
    <row r="1978" spans="1:80" x14ac:dyDescent="0.2">
      <c r="A1978" s="296"/>
      <c r="AJ1978" s="374"/>
      <c r="AK1978" s="374"/>
      <c r="AS1978" s="485"/>
      <c r="AT1978" s="297"/>
      <c r="AZ1978" s="374"/>
      <c r="BA1978" s="297"/>
      <c r="BE1978" s="3"/>
      <c r="BM1978" s="229"/>
      <c r="BN1978" s="3"/>
      <c r="BW1978" s="26"/>
      <c r="BX1978" s="389"/>
      <c r="BY1978" s="3"/>
      <c r="BZ1978" s="4"/>
      <c r="CA1978" s="219"/>
      <c r="CB1978" s="3"/>
    </row>
    <row r="1979" spans="1:80" x14ac:dyDescent="0.2">
      <c r="A1979" s="296"/>
      <c r="AJ1979" s="374"/>
      <c r="AK1979" s="374"/>
      <c r="AS1979" s="485"/>
      <c r="AT1979" s="297"/>
      <c r="AZ1979" s="374"/>
      <c r="BA1979" s="297"/>
      <c r="BE1979" s="3"/>
      <c r="BM1979" s="229"/>
      <c r="BN1979" s="3"/>
      <c r="BW1979" s="26"/>
      <c r="BX1979" s="389"/>
      <c r="BY1979" s="3"/>
      <c r="BZ1979" s="4"/>
      <c r="CA1979" s="219"/>
      <c r="CB1979" s="3"/>
    </row>
    <row r="1980" spans="1:80" x14ac:dyDescent="0.2">
      <c r="A1980" s="296"/>
      <c r="AJ1980" s="374"/>
      <c r="AK1980" s="374"/>
      <c r="AS1980" s="485"/>
      <c r="AT1980" s="297"/>
      <c r="AZ1980" s="374"/>
      <c r="BA1980" s="297"/>
      <c r="BE1980" s="3"/>
      <c r="BM1980" s="229"/>
      <c r="BN1980" s="3"/>
      <c r="BW1980" s="26"/>
      <c r="BX1980" s="389"/>
      <c r="BY1980" s="3"/>
      <c r="BZ1980" s="4"/>
      <c r="CA1980" s="219"/>
      <c r="CB1980" s="3"/>
    </row>
    <row r="1981" spans="1:80" x14ac:dyDescent="0.2">
      <c r="A1981" s="296"/>
      <c r="AJ1981" s="374"/>
      <c r="AK1981" s="374"/>
      <c r="AS1981" s="485"/>
      <c r="AT1981" s="297"/>
      <c r="AZ1981" s="374"/>
      <c r="BA1981" s="297"/>
      <c r="BE1981" s="3"/>
      <c r="BM1981" s="229"/>
      <c r="BN1981" s="3"/>
      <c r="BW1981" s="26"/>
      <c r="BX1981" s="389"/>
      <c r="BY1981" s="3"/>
      <c r="BZ1981" s="4"/>
      <c r="CA1981" s="219"/>
      <c r="CB1981" s="3"/>
    </row>
    <row r="1982" spans="1:80" x14ac:dyDescent="0.2">
      <c r="A1982" s="296"/>
      <c r="AJ1982" s="374"/>
      <c r="AK1982" s="374"/>
      <c r="AS1982" s="485"/>
      <c r="AT1982" s="297"/>
      <c r="AZ1982" s="374"/>
      <c r="BA1982" s="297"/>
      <c r="BE1982" s="3"/>
      <c r="BM1982" s="229"/>
      <c r="BN1982" s="3"/>
      <c r="BW1982" s="26"/>
      <c r="BX1982" s="389"/>
      <c r="BY1982" s="3"/>
      <c r="BZ1982" s="4"/>
      <c r="CA1982" s="219"/>
      <c r="CB1982" s="3"/>
    </row>
    <row r="1983" spans="1:80" x14ac:dyDescent="0.2">
      <c r="A1983" s="296"/>
      <c r="AJ1983" s="374"/>
      <c r="AK1983" s="374"/>
      <c r="AS1983" s="485"/>
      <c r="AT1983" s="297"/>
      <c r="AZ1983" s="374"/>
      <c r="BA1983" s="297"/>
      <c r="BE1983" s="3"/>
      <c r="BM1983" s="229"/>
      <c r="BN1983" s="3"/>
      <c r="BW1983" s="26"/>
      <c r="BX1983" s="389"/>
      <c r="BY1983" s="3"/>
      <c r="BZ1983" s="4"/>
      <c r="CA1983" s="219"/>
      <c r="CB1983" s="3"/>
    </row>
    <row r="1984" spans="1:80" x14ac:dyDescent="0.2">
      <c r="A1984" s="296"/>
      <c r="AJ1984" s="374"/>
      <c r="AK1984" s="374"/>
      <c r="AS1984" s="485"/>
      <c r="AT1984" s="297"/>
      <c r="AZ1984" s="374"/>
      <c r="BA1984" s="297"/>
      <c r="BE1984" s="3"/>
      <c r="BM1984" s="229"/>
      <c r="BN1984" s="3"/>
      <c r="BW1984" s="26"/>
      <c r="BX1984" s="389"/>
      <c r="BY1984" s="3"/>
      <c r="BZ1984" s="4"/>
      <c r="CA1984" s="219"/>
      <c r="CB1984" s="3"/>
    </row>
    <row r="1985" spans="1:80" x14ac:dyDescent="0.2">
      <c r="A1985" s="296"/>
      <c r="AJ1985" s="374"/>
      <c r="AK1985" s="374"/>
      <c r="AS1985" s="485"/>
      <c r="AT1985" s="297"/>
      <c r="AZ1985" s="374"/>
      <c r="BA1985" s="297"/>
      <c r="BE1985" s="3"/>
      <c r="BM1985" s="229"/>
      <c r="BN1985" s="3"/>
      <c r="BW1985" s="26"/>
      <c r="BX1985" s="389"/>
      <c r="BY1985" s="3"/>
      <c r="BZ1985" s="4"/>
      <c r="CA1985" s="219"/>
      <c r="CB1985" s="3"/>
    </row>
    <row r="1986" spans="1:80" x14ac:dyDescent="0.2">
      <c r="A1986" s="296"/>
      <c r="AJ1986" s="374"/>
      <c r="AK1986" s="374"/>
      <c r="AS1986" s="485"/>
      <c r="AT1986" s="297"/>
      <c r="AZ1986" s="374"/>
      <c r="BA1986" s="297"/>
      <c r="BE1986" s="3"/>
      <c r="BM1986" s="229"/>
      <c r="BN1986" s="3"/>
      <c r="BW1986" s="26"/>
      <c r="BX1986" s="389"/>
      <c r="BY1986" s="3"/>
      <c r="BZ1986" s="4"/>
      <c r="CA1986" s="219"/>
      <c r="CB1986" s="3"/>
    </row>
    <row r="1987" spans="1:80" x14ac:dyDescent="0.2">
      <c r="A1987" s="296"/>
      <c r="AJ1987" s="374"/>
      <c r="AK1987" s="374"/>
      <c r="AS1987" s="485"/>
      <c r="AT1987" s="297"/>
      <c r="AZ1987" s="374"/>
      <c r="BA1987" s="297"/>
      <c r="BE1987" s="3"/>
      <c r="BM1987" s="229"/>
      <c r="BN1987" s="3"/>
      <c r="BW1987" s="26"/>
      <c r="BX1987" s="389"/>
      <c r="BY1987" s="3"/>
      <c r="BZ1987" s="4"/>
      <c r="CA1987" s="219"/>
      <c r="CB1987" s="3"/>
    </row>
    <row r="1988" spans="1:80" x14ac:dyDescent="0.2">
      <c r="A1988" s="296"/>
      <c r="AJ1988" s="374"/>
      <c r="AK1988" s="374"/>
      <c r="AS1988" s="485"/>
      <c r="AT1988" s="297"/>
      <c r="AZ1988" s="374"/>
      <c r="BA1988" s="297"/>
      <c r="BE1988" s="3"/>
      <c r="BM1988" s="229"/>
      <c r="BN1988" s="3"/>
      <c r="BW1988" s="26"/>
      <c r="BX1988" s="389"/>
      <c r="BY1988" s="3"/>
      <c r="BZ1988" s="4"/>
      <c r="CA1988" s="219"/>
      <c r="CB1988" s="3"/>
    </row>
    <row r="1989" spans="1:80" x14ac:dyDescent="0.2">
      <c r="A1989" s="296"/>
      <c r="AJ1989" s="374"/>
      <c r="AK1989" s="374"/>
      <c r="AS1989" s="485"/>
      <c r="AT1989" s="297"/>
      <c r="AZ1989" s="374"/>
      <c r="BA1989" s="297"/>
      <c r="BE1989" s="3"/>
      <c r="BM1989" s="229"/>
      <c r="BN1989" s="3"/>
      <c r="BW1989" s="26"/>
      <c r="BX1989" s="389"/>
      <c r="BY1989" s="3"/>
      <c r="BZ1989" s="4"/>
      <c r="CA1989" s="219"/>
      <c r="CB1989" s="3"/>
    </row>
    <row r="1990" spans="1:80" x14ac:dyDescent="0.2">
      <c r="A1990" s="296"/>
      <c r="AJ1990" s="374"/>
      <c r="AK1990" s="374"/>
      <c r="AS1990" s="485"/>
      <c r="AT1990" s="297"/>
      <c r="AZ1990" s="374"/>
      <c r="BA1990" s="297"/>
      <c r="BE1990" s="3"/>
      <c r="BM1990" s="229"/>
      <c r="BN1990" s="3"/>
      <c r="BW1990" s="26"/>
      <c r="BX1990" s="389"/>
      <c r="BY1990" s="3"/>
      <c r="BZ1990" s="4"/>
      <c r="CA1990" s="219"/>
      <c r="CB1990" s="3"/>
    </row>
    <row r="1991" spans="1:80" x14ac:dyDescent="0.2">
      <c r="A1991" s="296"/>
      <c r="AJ1991" s="374"/>
      <c r="AK1991" s="374"/>
      <c r="AS1991" s="485"/>
      <c r="AT1991" s="297"/>
      <c r="AZ1991" s="374"/>
      <c r="BA1991" s="297"/>
      <c r="BE1991" s="3"/>
      <c r="BM1991" s="229"/>
      <c r="BN1991" s="3"/>
      <c r="BW1991" s="26"/>
      <c r="BX1991" s="389"/>
      <c r="BY1991" s="3"/>
      <c r="BZ1991" s="4"/>
      <c r="CA1991" s="219"/>
      <c r="CB1991" s="3"/>
    </row>
    <row r="1992" spans="1:80" x14ac:dyDescent="0.2">
      <c r="A1992" s="296"/>
      <c r="AJ1992" s="374"/>
      <c r="AK1992" s="374"/>
      <c r="AS1992" s="485"/>
      <c r="AT1992" s="297"/>
      <c r="AZ1992" s="374"/>
      <c r="BA1992" s="297"/>
      <c r="BE1992" s="3"/>
      <c r="BM1992" s="229"/>
      <c r="BN1992" s="3"/>
      <c r="BW1992" s="26"/>
      <c r="BX1992" s="389"/>
      <c r="BY1992" s="3"/>
      <c r="BZ1992" s="4"/>
      <c r="CA1992" s="219"/>
      <c r="CB1992" s="3"/>
    </row>
    <row r="1993" spans="1:80" x14ac:dyDescent="0.2">
      <c r="A1993" s="296"/>
      <c r="AJ1993" s="374"/>
      <c r="AK1993" s="374"/>
      <c r="AS1993" s="485"/>
      <c r="AT1993" s="297"/>
      <c r="AZ1993" s="374"/>
      <c r="BA1993" s="297"/>
      <c r="BE1993" s="3"/>
      <c r="BM1993" s="229"/>
      <c r="BN1993" s="3"/>
      <c r="BW1993" s="26"/>
      <c r="BX1993" s="389"/>
      <c r="BY1993" s="3"/>
      <c r="BZ1993" s="4"/>
      <c r="CA1993" s="219"/>
      <c r="CB1993" s="3"/>
    </row>
    <row r="1994" spans="1:80" x14ac:dyDescent="0.2">
      <c r="A1994" s="296"/>
      <c r="AJ1994" s="374"/>
      <c r="AK1994" s="374"/>
      <c r="AS1994" s="485"/>
      <c r="AT1994" s="297"/>
      <c r="AZ1994" s="374"/>
      <c r="BA1994" s="297"/>
      <c r="BE1994" s="3"/>
      <c r="BM1994" s="229"/>
      <c r="BN1994" s="3"/>
      <c r="BW1994" s="26"/>
      <c r="BX1994" s="389"/>
      <c r="BY1994" s="3"/>
      <c r="BZ1994" s="4"/>
      <c r="CA1994" s="219"/>
      <c r="CB1994" s="3"/>
    </row>
    <row r="1995" spans="1:80" x14ac:dyDescent="0.2">
      <c r="A1995" s="296"/>
      <c r="AJ1995" s="374"/>
      <c r="AK1995" s="374"/>
      <c r="AS1995" s="485"/>
      <c r="AT1995" s="297"/>
      <c r="AZ1995" s="374"/>
      <c r="BA1995" s="297"/>
      <c r="BE1995" s="3"/>
      <c r="BM1995" s="229"/>
      <c r="BN1995" s="3"/>
      <c r="BW1995" s="26"/>
      <c r="BX1995" s="389"/>
      <c r="BY1995" s="3"/>
      <c r="BZ1995" s="4"/>
      <c r="CA1995" s="219"/>
      <c r="CB1995" s="3"/>
    </row>
    <row r="1996" spans="1:80" x14ac:dyDescent="0.2">
      <c r="A1996" s="296"/>
      <c r="AJ1996" s="374"/>
      <c r="AK1996" s="374"/>
      <c r="AS1996" s="485"/>
      <c r="AT1996" s="297"/>
      <c r="AZ1996" s="374"/>
      <c r="BA1996" s="297"/>
      <c r="BE1996" s="3"/>
      <c r="BM1996" s="229"/>
      <c r="BN1996" s="3"/>
      <c r="BW1996" s="26"/>
      <c r="BX1996" s="389"/>
      <c r="BY1996" s="3"/>
      <c r="BZ1996" s="4"/>
      <c r="CA1996" s="219"/>
      <c r="CB1996" s="3"/>
    </row>
    <row r="1997" spans="1:80" x14ac:dyDescent="0.2">
      <c r="A1997" s="296"/>
      <c r="AJ1997" s="374"/>
      <c r="AK1997" s="374"/>
      <c r="AS1997" s="485"/>
      <c r="AT1997" s="297"/>
      <c r="AZ1997" s="374"/>
      <c r="BA1997" s="297"/>
      <c r="BE1997" s="3"/>
      <c r="BM1997" s="229"/>
      <c r="BN1997" s="3"/>
      <c r="BW1997" s="26"/>
      <c r="BX1997" s="389"/>
      <c r="BY1997" s="3"/>
      <c r="BZ1997" s="4"/>
      <c r="CA1997" s="219"/>
      <c r="CB1997" s="3"/>
    </row>
    <row r="1998" spans="1:80" x14ac:dyDescent="0.2">
      <c r="A1998" s="296"/>
      <c r="AJ1998" s="374"/>
      <c r="AK1998" s="374"/>
      <c r="AS1998" s="485"/>
      <c r="AT1998" s="297"/>
      <c r="AZ1998" s="374"/>
      <c r="BA1998" s="297"/>
      <c r="BE1998" s="3"/>
      <c r="BM1998" s="229"/>
      <c r="BN1998" s="3"/>
      <c r="BW1998" s="26"/>
      <c r="BX1998" s="389"/>
      <c r="BY1998" s="3"/>
      <c r="BZ1998" s="4"/>
      <c r="CA1998" s="219"/>
      <c r="CB1998" s="3"/>
    </row>
    <row r="1999" spans="1:80" x14ac:dyDescent="0.2">
      <c r="A1999" s="296"/>
      <c r="AJ1999" s="374"/>
      <c r="AK1999" s="374"/>
      <c r="AS1999" s="485"/>
      <c r="AT1999" s="297"/>
      <c r="AZ1999" s="374"/>
      <c r="BA1999" s="297"/>
      <c r="BE1999" s="3"/>
      <c r="BM1999" s="229"/>
      <c r="BN1999" s="3"/>
      <c r="BW1999" s="26"/>
      <c r="BX1999" s="389"/>
      <c r="BY1999" s="3"/>
      <c r="BZ1999" s="4"/>
      <c r="CA1999" s="219"/>
      <c r="CB1999" s="3"/>
    </row>
    <row r="2000" spans="1:80" x14ac:dyDescent="0.2">
      <c r="A2000" s="296"/>
      <c r="AJ2000" s="374"/>
      <c r="AK2000" s="374"/>
      <c r="AS2000" s="485"/>
      <c r="AT2000" s="297"/>
      <c r="AZ2000" s="374"/>
      <c r="BA2000" s="297"/>
      <c r="BE2000" s="3"/>
      <c r="BM2000" s="229"/>
      <c r="BN2000" s="3"/>
      <c r="BW2000" s="26"/>
      <c r="BX2000" s="389"/>
      <c r="BY2000" s="3"/>
      <c r="BZ2000" s="4"/>
      <c r="CA2000" s="219"/>
      <c r="CB2000" s="3"/>
    </row>
    <row r="2001" spans="1:80" x14ac:dyDescent="0.2">
      <c r="A2001" s="296"/>
      <c r="AJ2001" s="374"/>
      <c r="AK2001" s="374"/>
      <c r="AS2001" s="485"/>
      <c r="AT2001" s="297"/>
      <c r="AZ2001" s="374"/>
      <c r="BA2001" s="297"/>
      <c r="BE2001" s="3"/>
      <c r="BM2001" s="229"/>
      <c r="BN2001" s="3"/>
      <c r="BW2001" s="26"/>
      <c r="BX2001" s="389"/>
      <c r="BY2001" s="3"/>
      <c r="BZ2001" s="4"/>
      <c r="CA2001" s="219"/>
      <c r="CB2001" s="3"/>
    </row>
    <row r="2002" spans="1:80" x14ac:dyDescent="0.2">
      <c r="A2002" s="296"/>
      <c r="AJ2002" s="374"/>
      <c r="AK2002" s="374"/>
      <c r="AS2002" s="485"/>
      <c r="AT2002" s="297"/>
      <c r="AZ2002" s="374"/>
      <c r="BA2002" s="297"/>
      <c r="BE2002" s="3"/>
      <c r="BM2002" s="229"/>
      <c r="BN2002" s="3"/>
      <c r="BW2002" s="26"/>
      <c r="BX2002" s="389"/>
      <c r="BY2002" s="3"/>
      <c r="BZ2002" s="4"/>
      <c r="CA2002" s="219"/>
      <c r="CB2002" s="3"/>
    </row>
    <row r="2003" spans="1:80" x14ac:dyDescent="0.2">
      <c r="A2003" s="296"/>
      <c r="AJ2003" s="374"/>
      <c r="AK2003" s="374"/>
      <c r="AS2003" s="485"/>
      <c r="AT2003" s="297"/>
      <c r="AZ2003" s="374"/>
      <c r="BA2003" s="297"/>
      <c r="BE2003" s="3"/>
      <c r="BM2003" s="229"/>
      <c r="BN2003" s="3"/>
      <c r="BW2003" s="26"/>
      <c r="BX2003" s="389"/>
      <c r="BY2003" s="3"/>
      <c r="BZ2003" s="4"/>
      <c r="CA2003" s="219"/>
      <c r="CB2003" s="3"/>
    </row>
    <row r="2004" spans="1:80" x14ac:dyDescent="0.2">
      <c r="A2004" s="296"/>
      <c r="AJ2004" s="374"/>
      <c r="AK2004" s="374"/>
      <c r="AS2004" s="485"/>
      <c r="AT2004" s="297"/>
      <c r="AZ2004" s="374"/>
      <c r="BA2004" s="297"/>
      <c r="BE2004" s="3"/>
      <c r="BM2004" s="229"/>
      <c r="BN2004" s="3"/>
      <c r="BW2004" s="26"/>
      <c r="BX2004" s="389"/>
      <c r="BY2004" s="3"/>
      <c r="BZ2004" s="4"/>
      <c r="CA2004" s="219"/>
      <c r="CB2004" s="3"/>
    </row>
    <row r="2005" spans="1:80" x14ac:dyDescent="0.2">
      <c r="A2005" s="296"/>
      <c r="AJ2005" s="374"/>
      <c r="AK2005" s="374"/>
      <c r="AS2005" s="485"/>
      <c r="AT2005" s="297"/>
      <c r="AZ2005" s="374"/>
      <c r="BA2005" s="297"/>
      <c r="BE2005" s="3"/>
      <c r="BM2005" s="229"/>
      <c r="BN2005" s="3"/>
      <c r="BW2005" s="26"/>
      <c r="BX2005" s="389"/>
      <c r="BY2005" s="3"/>
      <c r="BZ2005" s="4"/>
      <c r="CA2005" s="219"/>
      <c r="CB2005" s="3"/>
    </row>
    <row r="2006" spans="1:80" x14ac:dyDescent="0.2">
      <c r="A2006" s="296"/>
      <c r="AJ2006" s="374"/>
      <c r="AK2006" s="374"/>
      <c r="AS2006" s="485"/>
      <c r="AT2006" s="297"/>
      <c r="AZ2006" s="374"/>
      <c r="BA2006" s="297"/>
      <c r="BE2006" s="3"/>
      <c r="BM2006" s="229"/>
      <c r="BN2006" s="3"/>
      <c r="BW2006" s="26"/>
      <c r="BX2006" s="389"/>
      <c r="BY2006" s="3"/>
      <c r="BZ2006" s="4"/>
      <c r="CA2006" s="219"/>
      <c r="CB2006" s="3"/>
    </row>
    <row r="2007" spans="1:80" x14ac:dyDescent="0.2">
      <c r="A2007" s="296"/>
      <c r="AJ2007" s="374"/>
      <c r="AK2007" s="374"/>
      <c r="AS2007" s="485"/>
      <c r="AT2007" s="297"/>
      <c r="AZ2007" s="374"/>
      <c r="BA2007" s="297"/>
      <c r="BE2007" s="3"/>
      <c r="BM2007" s="229"/>
      <c r="BN2007" s="3"/>
      <c r="BW2007" s="26"/>
      <c r="BX2007" s="389"/>
      <c r="BY2007" s="3"/>
      <c r="BZ2007" s="4"/>
      <c r="CA2007" s="219"/>
      <c r="CB2007" s="3"/>
    </row>
    <row r="2008" spans="1:80" x14ac:dyDescent="0.2">
      <c r="A2008" s="296"/>
      <c r="AJ2008" s="374"/>
      <c r="AK2008" s="374"/>
      <c r="AS2008" s="485"/>
      <c r="AT2008" s="297"/>
      <c r="AZ2008" s="374"/>
      <c r="BA2008" s="297"/>
      <c r="BE2008" s="3"/>
      <c r="BM2008" s="229"/>
      <c r="BN2008" s="3"/>
      <c r="BW2008" s="26"/>
      <c r="BX2008" s="389"/>
      <c r="BY2008" s="3"/>
      <c r="BZ2008" s="4"/>
      <c r="CA2008" s="219"/>
      <c r="CB2008" s="3"/>
    </row>
    <row r="2009" spans="1:80" x14ac:dyDescent="0.2">
      <c r="A2009" s="296"/>
      <c r="AJ2009" s="374"/>
      <c r="AK2009" s="374"/>
      <c r="AS2009" s="485"/>
      <c r="AT2009" s="297"/>
      <c r="AZ2009" s="374"/>
      <c r="BA2009" s="297"/>
      <c r="BE2009" s="3"/>
      <c r="BM2009" s="229"/>
      <c r="BN2009" s="3"/>
      <c r="BW2009" s="26"/>
      <c r="BX2009" s="389"/>
      <c r="BY2009" s="3"/>
      <c r="BZ2009" s="4"/>
      <c r="CA2009" s="219"/>
      <c r="CB2009" s="3"/>
    </row>
    <row r="2010" spans="1:80" x14ac:dyDescent="0.2">
      <c r="A2010" s="296"/>
      <c r="AJ2010" s="374"/>
      <c r="AK2010" s="374"/>
      <c r="AS2010" s="485"/>
      <c r="AT2010" s="297"/>
      <c r="AZ2010" s="374"/>
      <c r="BA2010" s="297"/>
      <c r="BE2010" s="3"/>
      <c r="BM2010" s="229"/>
      <c r="BN2010" s="3"/>
      <c r="BW2010" s="26"/>
      <c r="BX2010" s="389"/>
      <c r="BY2010" s="3"/>
      <c r="BZ2010" s="4"/>
      <c r="CA2010" s="219"/>
      <c r="CB2010" s="3"/>
    </row>
    <row r="2011" spans="1:80" x14ac:dyDescent="0.2">
      <c r="A2011" s="296"/>
      <c r="AJ2011" s="374"/>
      <c r="AK2011" s="374"/>
      <c r="AS2011" s="485"/>
      <c r="AT2011" s="297"/>
      <c r="AZ2011" s="374"/>
      <c r="BA2011" s="297"/>
      <c r="BE2011" s="3"/>
      <c r="BM2011" s="229"/>
      <c r="BN2011" s="3"/>
      <c r="BW2011" s="26"/>
      <c r="BX2011" s="389"/>
      <c r="BY2011" s="3"/>
      <c r="BZ2011" s="4"/>
      <c r="CA2011" s="219"/>
      <c r="CB2011" s="3"/>
    </row>
    <row r="2012" spans="1:80" x14ac:dyDescent="0.2">
      <c r="A2012" s="296"/>
      <c r="AJ2012" s="374"/>
      <c r="AK2012" s="374"/>
      <c r="AS2012" s="485"/>
      <c r="AT2012" s="297"/>
      <c r="AZ2012" s="374"/>
      <c r="BA2012" s="297"/>
      <c r="BE2012" s="3"/>
      <c r="BM2012" s="229"/>
      <c r="BN2012" s="3"/>
      <c r="BW2012" s="26"/>
      <c r="BX2012" s="389"/>
      <c r="BY2012" s="3"/>
      <c r="BZ2012" s="4"/>
      <c r="CA2012" s="219"/>
      <c r="CB2012" s="3"/>
    </row>
    <row r="2013" spans="1:80" x14ac:dyDescent="0.2">
      <c r="A2013" s="296"/>
      <c r="AJ2013" s="374"/>
      <c r="AK2013" s="374"/>
      <c r="AS2013" s="485"/>
      <c r="AT2013" s="297"/>
      <c r="AZ2013" s="374"/>
      <c r="BA2013" s="297"/>
      <c r="BE2013" s="3"/>
      <c r="BM2013" s="229"/>
      <c r="BN2013" s="3"/>
      <c r="BW2013" s="26"/>
      <c r="BX2013" s="389"/>
      <c r="BY2013" s="3"/>
      <c r="BZ2013" s="4"/>
      <c r="CA2013" s="219"/>
      <c r="CB2013" s="3"/>
    </row>
    <row r="2014" spans="1:80" x14ac:dyDescent="0.2">
      <c r="A2014" s="296"/>
      <c r="AJ2014" s="374"/>
      <c r="AK2014" s="374"/>
      <c r="AS2014" s="485"/>
      <c r="AT2014" s="297"/>
      <c r="AZ2014" s="374"/>
      <c r="BA2014" s="297"/>
      <c r="BE2014" s="3"/>
      <c r="BM2014" s="229"/>
      <c r="BN2014" s="3"/>
      <c r="BW2014" s="26"/>
      <c r="BX2014" s="389"/>
      <c r="BY2014" s="3"/>
      <c r="BZ2014" s="4"/>
      <c r="CA2014" s="219"/>
      <c r="CB2014" s="3"/>
    </row>
    <row r="2015" spans="1:80" x14ac:dyDescent="0.2">
      <c r="A2015" s="296"/>
      <c r="AJ2015" s="374"/>
      <c r="AK2015" s="374"/>
      <c r="AS2015" s="485"/>
      <c r="AT2015" s="297"/>
      <c r="AZ2015" s="374"/>
      <c r="BA2015" s="297"/>
      <c r="BE2015" s="3"/>
      <c r="BM2015" s="229"/>
      <c r="BN2015" s="3"/>
      <c r="BW2015" s="26"/>
      <c r="BX2015" s="389"/>
      <c r="BY2015" s="3"/>
      <c r="BZ2015" s="4"/>
      <c r="CA2015" s="219"/>
      <c r="CB2015" s="3"/>
    </row>
    <row r="2016" spans="1:80" x14ac:dyDescent="0.2">
      <c r="A2016" s="296"/>
      <c r="AJ2016" s="374"/>
      <c r="AK2016" s="374"/>
      <c r="AS2016" s="485"/>
      <c r="AT2016" s="297"/>
      <c r="AZ2016" s="374"/>
      <c r="BA2016" s="297"/>
      <c r="BE2016" s="3"/>
      <c r="BM2016" s="229"/>
      <c r="BN2016" s="3"/>
      <c r="BW2016" s="26"/>
      <c r="BX2016" s="389"/>
      <c r="BY2016" s="3"/>
      <c r="BZ2016" s="4"/>
      <c r="CA2016" s="219"/>
      <c r="CB2016" s="3"/>
    </row>
    <row r="2017" spans="1:80" x14ac:dyDescent="0.2">
      <c r="A2017" s="296"/>
      <c r="AJ2017" s="374"/>
      <c r="AK2017" s="374"/>
      <c r="AS2017" s="485"/>
      <c r="AT2017" s="297"/>
      <c r="AZ2017" s="374"/>
      <c r="BA2017" s="297"/>
      <c r="BE2017" s="3"/>
      <c r="BM2017" s="229"/>
      <c r="BN2017" s="3"/>
      <c r="BW2017" s="26"/>
      <c r="BX2017" s="389"/>
      <c r="BY2017" s="3"/>
      <c r="BZ2017" s="4"/>
      <c r="CA2017" s="219"/>
      <c r="CB2017" s="3"/>
    </row>
    <row r="2018" spans="1:80" x14ac:dyDescent="0.2">
      <c r="A2018" s="296"/>
      <c r="AJ2018" s="374"/>
      <c r="AK2018" s="374"/>
      <c r="AS2018" s="485"/>
      <c r="AT2018" s="297"/>
      <c r="AZ2018" s="374"/>
      <c r="BA2018" s="297"/>
      <c r="BE2018" s="3"/>
      <c r="BM2018" s="229"/>
      <c r="BN2018" s="3"/>
      <c r="BW2018" s="26"/>
      <c r="BX2018" s="389"/>
      <c r="BY2018" s="3"/>
      <c r="BZ2018" s="4"/>
      <c r="CA2018" s="219"/>
      <c r="CB2018" s="3"/>
    </row>
    <row r="2019" spans="1:80" x14ac:dyDescent="0.2">
      <c r="A2019" s="296"/>
      <c r="AJ2019" s="374"/>
      <c r="AK2019" s="374"/>
      <c r="AS2019" s="485"/>
      <c r="AT2019" s="297"/>
      <c r="AZ2019" s="374"/>
      <c r="BA2019" s="297"/>
      <c r="BE2019" s="3"/>
      <c r="BM2019" s="229"/>
      <c r="BN2019" s="3"/>
      <c r="BW2019" s="26"/>
      <c r="BX2019" s="389"/>
      <c r="BY2019" s="3"/>
      <c r="BZ2019" s="4"/>
      <c r="CA2019" s="219"/>
      <c r="CB2019" s="3"/>
    </row>
    <row r="2020" spans="1:80" x14ac:dyDescent="0.2">
      <c r="A2020" s="296"/>
      <c r="AJ2020" s="374"/>
      <c r="AK2020" s="374"/>
      <c r="AS2020" s="485"/>
      <c r="AT2020" s="297"/>
      <c r="AZ2020" s="374"/>
      <c r="BA2020" s="297"/>
      <c r="BE2020" s="3"/>
      <c r="BM2020" s="229"/>
      <c r="BN2020" s="3"/>
      <c r="BW2020" s="26"/>
      <c r="BX2020" s="389"/>
      <c r="BY2020" s="3"/>
      <c r="BZ2020" s="4"/>
      <c r="CA2020" s="219"/>
      <c r="CB2020" s="3"/>
    </row>
    <row r="2021" spans="1:80" x14ac:dyDescent="0.2">
      <c r="A2021" s="296"/>
      <c r="AJ2021" s="374"/>
      <c r="AK2021" s="374"/>
      <c r="AS2021" s="485"/>
      <c r="AT2021" s="297"/>
      <c r="AZ2021" s="374"/>
      <c r="BA2021" s="297"/>
      <c r="BE2021" s="3"/>
      <c r="BM2021" s="229"/>
      <c r="BN2021" s="3"/>
      <c r="BW2021" s="26"/>
      <c r="BX2021" s="389"/>
      <c r="BY2021" s="3"/>
      <c r="BZ2021" s="4"/>
      <c r="CA2021" s="219"/>
      <c r="CB2021" s="3"/>
    </row>
    <row r="2022" spans="1:80" x14ac:dyDescent="0.2">
      <c r="A2022" s="296"/>
      <c r="AJ2022" s="374"/>
      <c r="AK2022" s="374"/>
      <c r="AS2022" s="485"/>
      <c r="AT2022" s="297"/>
      <c r="AZ2022" s="374"/>
      <c r="BA2022" s="297"/>
      <c r="BE2022" s="3"/>
      <c r="BM2022" s="229"/>
      <c r="BN2022" s="3"/>
      <c r="BW2022" s="26"/>
      <c r="BX2022" s="389"/>
      <c r="BY2022" s="3"/>
      <c r="BZ2022" s="4"/>
      <c r="CA2022" s="219"/>
      <c r="CB2022" s="3"/>
    </row>
    <row r="2023" spans="1:80" x14ac:dyDescent="0.2">
      <c r="A2023" s="296"/>
      <c r="AJ2023" s="374"/>
      <c r="AK2023" s="374"/>
      <c r="AS2023" s="485"/>
      <c r="AT2023" s="297"/>
      <c r="AZ2023" s="374"/>
      <c r="BA2023" s="297"/>
      <c r="BE2023" s="3"/>
      <c r="BM2023" s="229"/>
      <c r="BN2023" s="3"/>
      <c r="BW2023" s="26"/>
      <c r="BX2023" s="389"/>
      <c r="BY2023" s="3"/>
      <c r="BZ2023" s="4"/>
      <c r="CA2023" s="219"/>
      <c r="CB2023" s="3"/>
    </row>
    <row r="2024" spans="1:80" x14ac:dyDescent="0.2">
      <c r="A2024" s="296"/>
      <c r="AJ2024" s="374"/>
      <c r="AK2024" s="374"/>
      <c r="AS2024" s="485"/>
      <c r="AT2024" s="297"/>
      <c r="AZ2024" s="374"/>
      <c r="BA2024" s="297"/>
      <c r="BE2024" s="3"/>
      <c r="BM2024" s="229"/>
      <c r="BN2024" s="3"/>
      <c r="BW2024" s="26"/>
      <c r="BX2024" s="389"/>
      <c r="BY2024" s="3"/>
      <c r="BZ2024" s="4"/>
      <c r="CA2024" s="219"/>
      <c r="CB2024" s="3"/>
    </row>
    <row r="2025" spans="1:80" x14ac:dyDescent="0.2">
      <c r="A2025" s="296"/>
      <c r="AJ2025" s="374"/>
      <c r="AK2025" s="374"/>
      <c r="AS2025" s="485"/>
      <c r="AT2025" s="297"/>
      <c r="AZ2025" s="374"/>
      <c r="BA2025" s="297"/>
      <c r="BE2025" s="3"/>
      <c r="BM2025" s="229"/>
      <c r="BN2025" s="3"/>
      <c r="BW2025" s="26"/>
      <c r="BX2025" s="389"/>
      <c r="BY2025" s="3"/>
      <c r="BZ2025" s="4"/>
      <c r="CA2025" s="219"/>
      <c r="CB2025" s="3"/>
    </row>
    <row r="2026" spans="1:80" x14ac:dyDescent="0.2">
      <c r="A2026" s="296"/>
      <c r="AJ2026" s="374"/>
      <c r="AK2026" s="374"/>
      <c r="AS2026" s="485"/>
      <c r="AT2026" s="297"/>
      <c r="AZ2026" s="374"/>
      <c r="BA2026" s="297"/>
      <c r="BE2026" s="3"/>
      <c r="BM2026" s="229"/>
      <c r="BN2026" s="3"/>
      <c r="BW2026" s="26"/>
      <c r="BX2026" s="389"/>
      <c r="BY2026" s="3"/>
      <c r="BZ2026" s="4"/>
      <c r="CA2026" s="219"/>
      <c r="CB2026" s="3"/>
    </row>
    <row r="2027" spans="1:80" x14ac:dyDescent="0.2">
      <c r="A2027" s="296"/>
      <c r="AJ2027" s="374"/>
      <c r="AK2027" s="374"/>
      <c r="AS2027" s="485"/>
      <c r="AT2027" s="297"/>
      <c r="AZ2027" s="374"/>
      <c r="BA2027" s="297"/>
      <c r="BE2027" s="3"/>
      <c r="BM2027" s="229"/>
      <c r="BN2027" s="3"/>
      <c r="BW2027" s="26"/>
      <c r="BX2027" s="389"/>
      <c r="BY2027" s="3"/>
      <c r="BZ2027" s="4"/>
      <c r="CA2027" s="219"/>
      <c r="CB2027" s="3"/>
    </row>
    <row r="2028" spans="1:80" x14ac:dyDescent="0.2">
      <c r="A2028" s="296"/>
      <c r="AJ2028" s="374"/>
      <c r="AK2028" s="374"/>
      <c r="AS2028" s="485"/>
      <c r="AT2028" s="297"/>
      <c r="AZ2028" s="374"/>
      <c r="BA2028" s="297"/>
      <c r="BE2028" s="3"/>
      <c r="BM2028" s="229"/>
      <c r="BN2028" s="3"/>
      <c r="BW2028" s="26"/>
      <c r="BX2028" s="389"/>
      <c r="BY2028" s="3"/>
      <c r="BZ2028" s="4"/>
      <c r="CA2028" s="219"/>
      <c r="CB2028" s="3"/>
    </row>
    <row r="2029" spans="1:80" x14ac:dyDescent="0.2">
      <c r="A2029" s="296"/>
      <c r="AJ2029" s="374"/>
      <c r="AK2029" s="374"/>
      <c r="AS2029" s="485"/>
      <c r="AT2029" s="297"/>
      <c r="AZ2029" s="374"/>
      <c r="BA2029" s="297"/>
      <c r="BE2029" s="3"/>
      <c r="BM2029" s="229"/>
      <c r="BN2029" s="3"/>
      <c r="BW2029" s="26"/>
      <c r="BX2029" s="389"/>
      <c r="BY2029" s="3"/>
      <c r="BZ2029" s="4"/>
      <c r="CA2029" s="219"/>
      <c r="CB2029" s="3"/>
    </row>
    <row r="2030" spans="1:80" x14ac:dyDescent="0.2">
      <c r="A2030" s="296"/>
      <c r="AJ2030" s="374"/>
      <c r="AK2030" s="374"/>
      <c r="AS2030" s="485"/>
      <c r="AT2030" s="297"/>
      <c r="AZ2030" s="374"/>
      <c r="BA2030" s="297"/>
      <c r="BE2030" s="3"/>
      <c r="BM2030" s="229"/>
      <c r="BN2030" s="3"/>
      <c r="BW2030" s="26"/>
      <c r="BX2030" s="389"/>
      <c r="BY2030" s="3"/>
      <c r="BZ2030" s="4"/>
      <c r="CA2030" s="219"/>
      <c r="CB2030" s="3"/>
    </row>
    <row r="2031" spans="1:80" x14ac:dyDescent="0.2">
      <c r="A2031" s="296"/>
      <c r="AJ2031" s="374"/>
      <c r="AK2031" s="374"/>
      <c r="AS2031" s="485"/>
      <c r="AT2031" s="297"/>
      <c r="AZ2031" s="374"/>
      <c r="BA2031" s="297"/>
      <c r="BE2031" s="3"/>
      <c r="BM2031" s="229"/>
      <c r="BN2031" s="3"/>
      <c r="BW2031" s="26"/>
      <c r="BX2031" s="389"/>
      <c r="BY2031" s="3"/>
      <c r="BZ2031" s="4"/>
      <c r="CA2031" s="219"/>
      <c r="CB2031" s="3"/>
    </row>
    <row r="2032" spans="1:80" x14ac:dyDescent="0.2">
      <c r="A2032" s="296"/>
      <c r="AJ2032" s="374"/>
      <c r="AK2032" s="374"/>
      <c r="AS2032" s="485"/>
      <c r="AT2032" s="297"/>
      <c r="AZ2032" s="374"/>
      <c r="BA2032" s="297"/>
      <c r="BE2032" s="3"/>
      <c r="BM2032" s="229"/>
      <c r="BN2032" s="3"/>
      <c r="BW2032" s="26"/>
      <c r="BX2032" s="389"/>
      <c r="BY2032" s="3"/>
      <c r="BZ2032" s="4"/>
      <c r="CA2032" s="219"/>
      <c r="CB2032" s="3"/>
    </row>
    <row r="2033" spans="1:80" x14ac:dyDescent="0.2">
      <c r="A2033" s="296"/>
      <c r="AJ2033" s="374"/>
      <c r="AK2033" s="374"/>
      <c r="AS2033" s="485"/>
      <c r="AT2033" s="297"/>
      <c r="AZ2033" s="374"/>
      <c r="BA2033" s="297"/>
      <c r="BE2033" s="3"/>
      <c r="BM2033" s="229"/>
      <c r="BN2033" s="3"/>
      <c r="BW2033" s="26"/>
      <c r="BX2033" s="389"/>
      <c r="BY2033" s="3"/>
      <c r="BZ2033" s="4"/>
      <c r="CA2033" s="219"/>
      <c r="CB2033" s="3"/>
    </row>
    <row r="2034" spans="1:80" x14ac:dyDescent="0.2">
      <c r="A2034" s="296"/>
      <c r="AJ2034" s="374"/>
      <c r="AK2034" s="374"/>
      <c r="AS2034" s="485"/>
      <c r="AT2034" s="297"/>
      <c r="AZ2034" s="374"/>
      <c r="BA2034" s="297"/>
      <c r="BE2034" s="3"/>
      <c r="BM2034" s="229"/>
      <c r="BN2034" s="3"/>
      <c r="BW2034" s="26"/>
      <c r="BX2034" s="389"/>
      <c r="BY2034" s="3"/>
      <c r="BZ2034" s="4"/>
      <c r="CA2034" s="219"/>
      <c r="CB2034" s="3"/>
    </row>
    <row r="2035" spans="1:80" x14ac:dyDescent="0.2">
      <c r="A2035" s="296"/>
      <c r="AJ2035" s="374"/>
      <c r="AK2035" s="374"/>
      <c r="AS2035" s="485"/>
      <c r="AT2035" s="297"/>
      <c r="AZ2035" s="374"/>
      <c r="BA2035" s="297"/>
      <c r="BE2035" s="3"/>
      <c r="BM2035" s="229"/>
      <c r="BN2035" s="3"/>
      <c r="BW2035" s="26"/>
      <c r="BX2035" s="389"/>
      <c r="BY2035" s="3"/>
      <c r="BZ2035" s="4"/>
      <c r="CA2035" s="219"/>
      <c r="CB2035" s="3"/>
    </row>
    <row r="2036" spans="1:80" x14ac:dyDescent="0.2">
      <c r="A2036" s="296"/>
      <c r="AJ2036" s="374"/>
      <c r="AK2036" s="374"/>
      <c r="AS2036" s="485"/>
      <c r="AT2036" s="297"/>
      <c r="AZ2036" s="374"/>
      <c r="BA2036" s="297"/>
      <c r="BE2036" s="3"/>
      <c r="BM2036" s="229"/>
      <c r="BN2036" s="3"/>
      <c r="BW2036" s="26"/>
      <c r="BX2036" s="389"/>
      <c r="BY2036" s="3"/>
      <c r="BZ2036" s="4"/>
      <c r="CA2036" s="219"/>
      <c r="CB2036" s="3"/>
    </row>
    <row r="2037" spans="1:80" x14ac:dyDescent="0.2">
      <c r="A2037" s="296"/>
      <c r="AJ2037" s="374"/>
      <c r="AK2037" s="374"/>
      <c r="AS2037" s="485"/>
      <c r="AT2037" s="297"/>
      <c r="AZ2037" s="374"/>
      <c r="BA2037" s="297"/>
      <c r="BE2037" s="3"/>
      <c r="BM2037" s="229"/>
      <c r="BN2037" s="3"/>
      <c r="BW2037" s="26"/>
      <c r="BX2037" s="389"/>
      <c r="BY2037" s="3"/>
      <c r="BZ2037" s="4"/>
      <c r="CA2037" s="219"/>
      <c r="CB2037" s="3"/>
    </row>
    <row r="2038" spans="1:80" x14ac:dyDescent="0.2">
      <c r="A2038" s="296"/>
      <c r="AJ2038" s="374"/>
      <c r="AK2038" s="374"/>
      <c r="AS2038" s="485"/>
      <c r="AT2038" s="297"/>
      <c r="AZ2038" s="374"/>
      <c r="BA2038" s="297"/>
      <c r="BE2038" s="3"/>
      <c r="BM2038" s="229"/>
      <c r="BN2038" s="3"/>
      <c r="BW2038" s="26"/>
      <c r="BX2038" s="389"/>
      <c r="BY2038" s="3"/>
      <c r="BZ2038" s="4"/>
      <c r="CA2038" s="219"/>
      <c r="CB2038" s="3"/>
    </row>
    <row r="2039" spans="1:80" x14ac:dyDescent="0.2">
      <c r="A2039" s="296"/>
      <c r="AJ2039" s="374"/>
      <c r="AK2039" s="374"/>
      <c r="AS2039" s="485"/>
      <c r="AT2039" s="297"/>
      <c r="AZ2039" s="374"/>
      <c r="BA2039" s="297"/>
      <c r="BE2039" s="3"/>
      <c r="BM2039" s="229"/>
      <c r="BN2039" s="3"/>
      <c r="BW2039" s="26"/>
      <c r="BX2039" s="389"/>
      <c r="BY2039" s="3"/>
      <c r="BZ2039" s="4"/>
      <c r="CA2039" s="219"/>
      <c r="CB2039" s="3"/>
    </row>
    <row r="2040" spans="1:80" x14ac:dyDescent="0.2">
      <c r="A2040" s="296"/>
      <c r="AJ2040" s="374"/>
      <c r="AK2040" s="374"/>
      <c r="AS2040" s="485"/>
      <c r="AT2040" s="297"/>
      <c r="AZ2040" s="374"/>
      <c r="BA2040" s="297"/>
      <c r="BE2040" s="3"/>
      <c r="BM2040" s="229"/>
      <c r="BN2040" s="3"/>
      <c r="BW2040" s="26"/>
      <c r="BX2040" s="389"/>
      <c r="BY2040" s="3"/>
      <c r="BZ2040" s="4"/>
      <c r="CA2040" s="219"/>
      <c r="CB2040" s="3"/>
    </row>
    <row r="2041" spans="1:80" x14ac:dyDescent="0.2">
      <c r="A2041" s="296"/>
      <c r="AJ2041" s="374"/>
      <c r="AK2041" s="374"/>
      <c r="AS2041" s="485"/>
      <c r="AT2041" s="297"/>
      <c r="AZ2041" s="374"/>
      <c r="BA2041" s="297"/>
      <c r="BE2041" s="3"/>
      <c r="BM2041" s="229"/>
      <c r="BN2041" s="3"/>
      <c r="BW2041" s="26"/>
      <c r="BX2041" s="389"/>
      <c r="BY2041" s="3"/>
      <c r="BZ2041" s="4"/>
      <c r="CA2041" s="219"/>
      <c r="CB2041" s="3"/>
    </row>
    <row r="2042" spans="1:80" x14ac:dyDescent="0.2">
      <c r="A2042" s="296"/>
      <c r="AJ2042" s="374"/>
      <c r="AK2042" s="374"/>
      <c r="AS2042" s="485"/>
      <c r="AT2042" s="297"/>
      <c r="AZ2042" s="374"/>
      <c r="BA2042" s="297"/>
      <c r="BE2042" s="3"/>
      <c r="BM2042" s="229"/>
      <c r="BN2042" s="3"/>
      <c r="BW2042" s="26"/>
      <c r="BX2042" s="389"/>
      <c r="BY2042" s="3"/>
      <c r="BZ2042" s="4"/>
      <c r="CA2042" s="219"/>
      <c r="CB2042" s="3"/>
    </row>
    <row r="2043" spans="1:80" x14ac:dyDescent="0.2">
      <c r="A2043" s="296"/>
      <c r="AJ2043" s="374"/>
      <c r="AK2043" s="374"/>
      <c r="AS2043" s="485"/>
      <c r="AT2043" s="297"/>
      <c r="AZ2043" s="374"/>
      <c r="BA2043" s="297"/>
      <c r="BE2043" s="3"/>
      <c r="BM2043" s="229"/>
      <c r="BN2043" s="3"/>
      <c r="BW2043" s="26"/>
      <c r="BX2043" s="389"/>
      <c r="BY2043" s="3"/>
      <c r="BZ2043" s="4"/>
      <c r="CA2043" s="219"/>
      <c r="CB2043" s="3"/>
    </row>
    <row r="2044" spans="1:80" x14ac:dyDescent="0.2">
      <c r="A2044" s="296"/>
      <c r="AJ2044" s="374"/>
      <c r="AK2044" s="374"/>
      <c r="AS2044" s="485"/>
      <c r="AT2044" s="297"/>
      <c r="AZ2044" s="374"/>
      <c r="BA2044" s="297"/>
      <c r="BE2044" s="3"/>
      <c r="BM2044" s="229"/>
      <c r="BN2044" s="3"/>
      <c r="BW2044" s="26"/>
      <c r="BX2044" s="389"/>
      <c r="BY2044" s="3"/>
      <c r="BZ2044" s="4"/>
      <c r="CA2044" s="219"/>
      <c r="CB2044" s="3"/>
    </row>
    <row r="2045" spans="1:80" x14ac:dyDescent="0.2">
      <c r="A2045" s="296"/>
      <c r="AJ2045" s="374"/>
      <c r="AK2045" s="374"/>
      <c r="AS2045" s="485"/>
      <c r="AT2045" s="297"/>
      <c r="AZ2045" s="374"/>
      <c r="BA2045" s="297"/>
      <c r="BE2045" s="3"/>
      <c r="BM2045" s="229"/>
      <c r="BN2045" s="3"/>
      <c r="BW2045" s="26"/>
      <c r="BX2045" s="389"/>
      <c r="BY2045" s="3"/>
      <c r="BZ2045" s="4"/>
      <c r="CA2045" s="219"/>
      <c r="CB2045" s="3"/>
    </row>
    <row r="2046" spans="1:80" x14ac:dyDescent="0.2">
      <c r="A2046" s="296"/>
      <c r="AJ2046" s="374"/>
      <c r="AK2046" s="374"/>
      <c r="AS2046" s="485"/>
      <c r="AT2046" s="297"/>
      <c r="AZ2046" s="374"/>
      <c r="BA2046" s="297"/>
      <c r="BE2046" s="3"/>
      <c r="BM2046" s="229"/>
      <c r="BN2046" s="3"/>
      <c r="BW2046" s="26"/>
      <c r="BX2046" s="389"/>
      <c r="BY2046" s="3"/>
      <c r="BZ2046" s="4"/>
      <c r="CA2046" s="219"/>
      <c r="CB2046" s="3"/>
    </row>
    <row r="2047" spans="1:80" x14ac:dyDescent="0.2">
      <c r="A2047" s="296"/>
      <c r="AJ2047" s="374"/>
      <c r="AK2047" s="374"/>
      <c r="AS2047" s="485"/>
      <c r="AT2047" s="297"/>
      <c r="AZ2047" s="374"/>
      <c r="BA2047" s="297"/>
      <c r="BE2047" s="3"/>
      <c r="BM2047" s="229"/>
      <c r="BN2047" s="3"/>
      <c r="BW2047" s="26"/>
      <c r="BX2047" s="389"/>
      <c r="BY2047" s="3"/>
      <c r="BZ2047" s="4"/>
      <c r="CA2047" s="219"/>
      <c r="CB2047" s="3"/>
    </row>
    <row r="2048" spans="1:80" x14ac:dyDescent="0.2">
      <c r="A2048" s="296"/>
      <c r="AJ2048" s="374"/>
      <c r="AK2048" s="374"/>
      <c r="AS2048" s="485"/>
      <c r="AT2048" s="297"/>
      <c r="AZ2048" s="374"/>
      <c r="BA2048" s="297"/>
      <c r="BE2048" s="3"/>
      <c r="BM2048" s="229"/>
      <c r="BN2048" s="3"/>
      <c r="BW2048" s="26"/>
      <c r="BX2048" s="389"/>
      <c r="BY2048" s="3"/>
      <c r="BZ2048" s="4"/>
      <c r="CA2048" s="219"/>
      <c r="CB2048" s="3"/>
    </row>
    <row r="2049" spans="1:80" x14ac:dyDescent="0.2">
      <c r="A2049" s="296"/>
      <c r="AJ2049" s="374"/>
      <c r="AK2049" s="374"/>
      <c r="AS2049" s="485"/>
      <c r="AT2049" s="297"/>
      <c r="AZ2049" s="374"/>
      <c r="BA2049" s="297"/>
      <c r="BE2049" s="3"/>
      <c r="BM2049" s="229"/>
      <c r="BN2049" s="3"/>
      <c r="BW2049" s="26"/>
      <c r="BX2049" s="389"/>
      <c r="BY2049" s="3"/>
      <c r="BZ2049" s="4"/>
      <c r="CA2049" s="219"/>
      <c r="CB2049" s="3"/>
    </row>
    <row r="2050" spans="1:80" x14ac:dyDescent="0.2">
      <c r="A2050" s="296"/>
      <c r="AJ2050" s="374"/>
      <c r="AK2050" s="374"/>
      <c r="AS2050" s="485"/>
      <c r="AT2050" s="297"/>
      <c r="AZ2050" s="374"/>
      <c r="BA2050" s="297"/>
      <c r="BE2050" s="3"/>
      <c r="BM2050" s="229"/>
      <c r="BN2050" s="3"/>
      <c r="BW2050" s="26"/>
      <c r="BX2050" s="389"/>
      <c r="BY2050" s="3"/>
      <c r="BZ2050" s="4"/>
      <c r="CA2050" s="219"/>
      <c r="CB2050" s="3"/>
    </row>
    <row r="2051" spans="1:80" x14ac:dyDescent="0.2">
      <c r="A2051" s="296"/>
      <c r="AJ2051" s="374"/>
      <c r="AK2051" s="374"/>
      <c r="AS2051" s="485"/>
      <c r="AT2051" s="297"/>
      <c r="AZ2051" s="374"/>
      <c r="BA2051" s="297"/>
      <c r="BE2051" s="3"/>
      <c r="BM2051" s="229"/>
      <c r="BN2051" s="3"/>
      <c r="BW2051" s="26"/>
      <c r="BX2051" s="389"/>
      <c r="BY2051" s="3"/>
      <c r="BZ2051" s="4"/>
      <c r="CA2051" s="219"/>
      <c r="CB2051" s="3"/>
    </row>
    <row r="2052" spans="1:80" x14ac:dyDescent="0.2">
      <c r="A2052" s="296"/>
      <c r="AJ2052" s="374"/>
      <c r="AK2052" s="374"/>
      <c r="AS2052" s="485"/>
      <c r="AT2052" s="297"/>
      <c r="AZ2052" s="374"/>
      <c r="BA2052" s="297"/>
      <c r="BE2052" s="3"/>
      <c r="BM2052" s="229"/>
      <c r="BN2052" s="3"/>
      <c r="BW2052" s="26"/>
      <c r="BX2052" s="389"/>
      <c r="BY2052" s="3"/>
      <c r="BZ2052" s="4"/>
      <c r="CA2052" s="219"/>
      <c r="CB2052" s="3"/>
    </row>
    <row r="2053" spans="1:80" x14ac:dyDescent="0.2">
      <c r="A2053" s="296"/>
      <c r="AJ2053" s="374"/>
      <c r="AK2053" s="374"/>
      <c r="AS2053" s="485"/>
      <c r="AT2053" s="297"/>
      <c r="AZ2053" s="374"/>
      <c r="BA2053" s="297"/>
      <c r="BE2053" s="3"/>
      <c r="BM2053" s="229"/>
      <c r="BN2053" s="3"/>
      <c r="BW2053" s="26"/>
      <c r="BX2053" s="389"/>
      <c r="BY2053" s="3"/>
      <c r="BZ2053" s="4"/>
      <c r="CA2053" s="219"/>
      <c r="CB2053" s="3"/>
    </row>
    <row r="2054" spans="1:80" x14ac:dyDescent="0.2">
      <c r="A2054" s="296"/>
      <c r="AJ2054" s="374"/>
      <c r="AK2054" s="374"/>
      <c r="AS2054" s="485"/>
      <c r="AT2054" s="297"/>
      <c r="AZ2054" s="374"/>
      <c r="BA2054" s="297"/>
      <c r="BE2054" s="3"/>
      <c r="BM2054" s="229"/>
      <c r="BN2054" s="3"/>
      <c r="BW2054" s="26"/>
      <c r="BX2054" s="389"/>
      <c r="BY2054" s="3"/>
      <c r="BZ2054" s="4"/>
      <c r="CA2054" s="219"/>
      <c r="CB2054" s="3"/>
    </row>
    <row r="2055" spans="1:80" x14ac:dyDescent="0.2">
      <c r="A2055" s="296"/>
      <c r="AJ2055" s="374"/>
      <c r="AK2055" s="374"/>
      <c r="AS2055" s="485"/>
      <c r="AT2055" s="297"/>
      <c r="AZ2055" s="374"/>
      <c r="BA2055" s="297"/>
      <c r="BE2055" s="3"/>
      <c r="BM2055" s="229"/>
      <c r="BN2055" s="3"/>
      <c r="BW2055" s="26"/>
      <c r="BX2055" s="389"/>
      <c r="BY2055" s="3"/>
      <c r="BZ2055" s="4"/>
      <c r="CA2055" s="219"/>
      <c r="CB2055" s="3"/>
    </row>
    <row r="2056" spans="1:80" x14ac:dyDescent="0.2">
      <c r="A2056" s="296"/>
      <c r="AJ2056" s="374"/>
      <c r="AK2056" s="374"/>
      <c r="AS2056" s="485"/>
      <c r="AT2056" s="297"/>
      <c r="AZ2056" s="374"/>
      <c r="BA2056" s="297"/>
      <c r="BE2056" s="3"/>
      <c r="BM2056" s="229"/>
      <c r="BN2056" s="3"/>
      <c r="BW2056" s="26"/>
      <c r="BX2056" s="389"/>
      <c r="BY2056" s="3"/>
      <c r="BZ2056" s="4"/>
      <c r="CA2056" s="219"/>
      <c r="CB2056" s="3"/>
    </row>
    <row r="2057" spans="1:80" x14ac:dyDescent="0.2">
      <c r="A2057" s="296"/>
      <c r="AJ2057" s="374"/>
      <c r="AK2057" s="374"/>
      <c r="AS2057" s="485"/>
      <c r="AT2057" s="297"/>
      <c r="AZ2057" s="374"/>
      <c r="BA2057" s="297"/>
      <c r="BE2057" s="3"/>
      <c r="BM2057" s="229"/>
      <c r="BN2057" s="3"/>
      <c r="BW2057" s="26"/>
      <c r="BX2057" s="389"/>
      <c r="BY2057" s="3"/>
      <c r="BZ2057" s="4"/>
      <c r="CA2057" s="219"/>
      <c r="CB2057" s="3"/>
    </row>
    <row r="2058" spans="1:80" x14ac:dyDescent="0.2">
      <c r="A2058" s="296"/>
      <c r="AJ2058" s="374"/>
      <c r="AK2058" s="374"/>
      <c r="AS2058" s="485"/>
      <c r="AT2058" s="297"/>
      <c r="AZ2058" s="374"/>
      <c r="BA2058" s="297"/>
      <c r="BE2058" s="3"/>
      <c r="BM2058" s="229"/>
      <c r="BN2058" s="3"/>
      <c r="BW2058" s="26"/>
      <c r="BX2058" s="389"/>
      <c r="BY2058" s="3"/>
      <c r="BZ2058" s="4"/>
      <c r="CA2058" s="219"/>
      <c r="CB2058" s="3"/>
    </row>
    <row r="2059" spans="1:80" x14ac:dyDescent="0.2">
      <c r="A2059" s="296"/>
      <c r="AJ2059" s="374"/>
      <c r="AK2059" s="374"/>
      <c r="AS2059" s="485"/>
      <c r="AT2059" s="297"/>
      <c r="AZ2059" s="374"/>
      <c r="BA2059" s="297"/>
      <c r="BE2059" s="3"/>
      <c r="BM2059" s="229"/>
      <c r="BN2059" s="3"/>
      <c r="BW2059" s="26"/>
      <c r="BX2059" s="389"/>
      <c r="BY2059" s="3"/>
      <c r="BZ2059" s="4"/>
      <c r="CA2059" s="219"/>
      <c r="CB2059" s="3"/>
    </row>
    <row r="2060" spans="1:80" x14ac:dyDescent="0.2">
      <c r="A2060" s="296"/>
      <c r="AJ2060" s="374"/>
      <c r="AK2060" s="374"/>
      <c r="AS2060" s="485"/>
      <c r="AT2060" s="297"/>
      <c r="AZ2060" s="374"/>
      <c r="BA2060" s="297"/>
      <c r="BE2060" s="3"/>
      <c r="BM2060" s="229"/>
      <c r="BN2060" s="3"/>
      <c r="BW2060" s="26"/>
      <c r="BX2060" s="389"/>
      <c r="BY2060" s="3"/>
      <c r="BZ2060" s="4"/>
      <c r="CA2060" s="219"/>
      <c r="CB2060" s="3"/>
    </row>
    <row r="2061" spans="1:80" x14ac:dyDescent="0.2">
      <c r="A2061" s="296"/>
      <c r="AJ2061" s="374"/>
      <c r="AK2061" s="374"/>
      <c r="AS2061" s="485"/>
      <c r="AT2061" s="297"/>
      <c r="AZ2061" s="374"/>
      <c r="BA2061" s="297"/>
      <c r="BE2061" s="3"/>
      <c r="BM2061" s="229"/>
      <c r="BN2061" s="3"/>
      <c r="BW2061" s="26"/>
      <c r="BX2061" s="389"/>
      <c r="BY2061" s="3"/>
      <c r="BZ2061" s="4"/>
      <c r="CA2061" s="219"/>
      <c r="CB2061" s="3"/>
    </row>
    <row r="2062" spans="1:80" x14ac:dyDescent="0.2">
      <c r="A2062" s="296"/>
      <c r="AJ2062" s="374"/>
      <c r="AK2062" s="374"/>
      <c r="AS2062" s="485"/>
      <c r="AT2062" s="297"/>
      <c r="AZ2062" s="374"/>
      <c r="BA2062" s="297"/>
      <c r="BE2062" s="3"/>
      <c r="BM2062" s="229"/>
      <c r="BN2062" s="3"/>
      <c r="BW2062" s="26"/>
      <c r="BX2062" s="389"/>
      <c r="BY2062" s="3"/>
      <c r="BZ2062" s="4"/>
      <c r="CA2062" s="219"/>
      <c r="CB2062" s="3"/>
    </row>
    <row r="2063" spans="1:80" x14ac:dyDescent="0.2">
      <c r="A2063" s="296"/>
      <c r="AJ2063" s="374"/>
      <c r="AK2063" s="374"/>
      <c r="AS2063" s="485"/>
      <c r="AT2063" s="297"/>
      <c r="AZ2063" s="374"/>
      <c r="BA2063" s="297"/>
      <c r="BE2063" s="3"/>
      <c r="BM2063" s="229"/>
      <c r="BN2063" s="3"/>
      <c r="BW2063" s="26"/>
      <c r="BX2063" s="389"/>
      <c r="BY2063" s="3"/>
      <c r="BZ2063" s="4"/>
      <c r="CA2063" s="219"/>
      <c r="CB2063" s="3"/>
    </row>
    <row r="2064" spans="1:80" x14ac:dyDescent="0.2">
      <c r="A2064" s="296"/>
      <c r="AJ2064" s="374"/>
      <c r="AK2064" s="374"/>
      <c r="AS2064" s="485"/>
      <c r="AT2064" s="297"/>
      <c r="AZ2064" s="374"/>
      <c r="BA2064" s="297"/>
      <c r="BE2064" s="3"/>
      <c r="BM2064" s="229"/>
      <c r="BN2064" s="3"/>
      <c r="BW2064" s="26"/>
      <c r="BX2064" s="389"/>
      <c r="BY2064" s="3"/>
      <c r="BZ2064" s="4"/>
      <c r="CA2064" s="219"/>
      <c r="CB2064" s="3"/>
    </row>
    <row r="2065" spans="1:80" x14ac:dyDescent="0.2">
      <c r="A2065" s="296"/>
      <c r="AJ2065" s="374"/>
      <c r="AK2065" s="374"/>
      <c r="AS2065" s="485"/>
      <c r="AT2065" s="297"/>
      <c r="AZ2065" s="374"/>
      <c r="BA2065" s="297"/>
      <c r="BE2065" s="3"/>
      <c r="BM2065" s="229"/>
      <c r="BN2065" s="3"/>
      <c r="BW2065" s="26"/>
      <c r="BX2065" s="389"/>
      <c r="BY2065" s="3"/>
      <c r="BZ2065" s="4"/>
      <c r="CA2065" s="219"/>
      <c r="CB2065" s="3"/>
    </row>
    <row r="2066" spans="1:80" x14ac:dyDescent="0.2">
      <c r="A2066" s="296"/>
      <c r="AJ2066" s="374"/>
      <c r="AK2066" s="374"/>
      <c r="AS2066" s="485"/>
      <c r="AT2066" s="297"/>
      <c r="AZ2066" s="374"/>
      <c r="BA2066" s="297"/>
      <c r="BE2066" s="3"/>
      <c r="BM2066" s="229"/>
      <c r="BN2066" s="3"/>
      <c r="BW2066" s="26"/>
      <c r="BX2066" s="389"/>
      <c r="BY2066" s="3"/>
      <c r="BZ2066" s="4"/>
      <c r="CA2066" s="219"/>
      <c r="CB2066" s="3"/>
    </row>
    <row r="2067" spans="1:80" x14ac:dyDescent="0.2">
      <c r="A2067" s="296"/>
      <c r="AJ2067" s="374"/>
      <c r="AK2067" s="374"/>
      <c r="AS2067" s="485"/>
      <c r="AT2067" s="297"/>
      <c r="AZ2067" s="374"/>
      <c r="BA2067" s="297"/>
      <c r="BE2067" s="3"/>
      <c r="BM2067" s="229"/>
      <c r="BN2067" s="3"/>
      <c r="BW2067" s="26"/>
      <c r="BX2067" s="389"/>
      <c r="BY2067" s="3"/>
      <c r="BZ2067" s="4"/>
      <c r="CA2067" s="219"/>
      <c r="CB2067" s="3"/>
    </row>
    <row r="2068" spans="1:80" x14ac:dyDescent="0.2">
      <c r="A2068" s="296"/>
      <c r="AJ2068" s="374"/>
      <c r="AK2068" s="374"/>
      <c r="AS2068" s="485"/>
      <c r="AT2068" s="297"/>
      <c r="AZ2068" s="374"/>
      <c r="BA2068" s="297"/>
      <c r="BE2068" s="3"/>
      <c r="BM2068" s="229"/>
      <c r="BN2068" s="3"/>
      <c r="BW2068" s="26"/>
      <c r="BX2068" s="389"/>
      <c r="BY2068" s="3"/>
      <c r="BZ2068" s="4"/>
      <c r="CA2068" s="219"/>
      <c r="CB2068" s="3"/>
    </row>
    <row r="2069" spans="1:80" x14ac:dyDescent="0.2">
      <c r="A2069" s="296"/>
      <c r="AJ2069" s="374"/>
      <c r="AK2069" s="374"/>
      <c r="AS2069" s="485"/>
      <c r="AT2069" s="297"/>
      <c r="AZ2069" s="374"/>
      <c r="BA2069" s="297"/>
      <c r="BE2069" s="3"/>
      <c r="BM2069" s="229"/>
      <c r="BN2069" s="3"/>
      <c r="BW2069" s="26"/>
      <c r="BX2069" s="389"/>
      <c r="BY2069" s="3"/>
      <c r="BZ2069" s="4"/>
      <c r="CA2069" s="219"/>
      <c r="CB2069" s="3"/>
    </row>
    <row r="2070" spans="1:80" x14ac:dyDescent="0.2">
      <c r="A2070" s="296"/>
      <c r="AJ2070" s="374"/>
      <c r="AK2070" s="374"/>
      <c r="AS2070" s="485"/>
      <c r="AT2070" s="297"/>
      <c r="AZ2070" s="374"/>
      <c r="BA2070" s="297"/>
      <c r="BE2070" s="3"/>
      <c r="BM2070" s="229"/>
      <c r="BN2070" s="3"/>
      <c r="BW2070" s="26"/>
      <c r="BX2070" s="389"/>
      <c r="BY2070" s="3"/>
      <c r="BZ2070" s="4"/>
      <c r="CA2070" s="219"/>
      <c r="CB2070" s="3"/>
    </row>
    <row r="2071" spans="1:80" x14ac:dyDescent="0.2">
      <c r="A2071" s="296"/>
      <c r="AJ2071" s="374"/>
      <c r="AK2071" s="374"/>
      <c r="AS2071" s="485"/>
      <c r="AT2071" s="297"/>
      <c r="AZ2071" s="374"/>
      <c r="BA2071" s="297"/>
      <c r="BE2071" s="3"/>
      <c r="BM2071" s="229"/>
      <c r="BN2071" s="3"/>
      <c r="BW2071" s="26"/>
      <c r="BX2071" s="389"/>
      <c r="BY2071" s="3"/>
      <c r="BZ2071" s="4"/>
      <c r="CA2071" s="219"/>
      <c r="CB2071" s="3"/>
    </row>
    <row r="2072" spans="1:80" x14ac:dyDescent="0.2">
      <c r="A2072" s="296"/>
      <c r="AJ2072" s="374"/>
      <c r="AK2072" s="374"/>
      <c r="AS2072" s="485"/>
      <c r="AT2072" s="297"/>
      <c r="AZ2072" s="374"/>
      <c r="BA2072" s="297"/>
      <c r="BE2072" s="3"/>
      <c r="BM2072" s="229"/>
      <c r="BN2072" s="3"/>
      <c r="BW2072" s="26"/>
      <c r="BX2072" s="389"/>
      <c r="BY2072" s="3"/>
      <c r="BZ2072" s="4"/>
      <c r="CA2072" s="219"/>
      <c r="CB2072" s="3"/>
    </row>
    <row r="2073" spans="1:80" x14ac:dyDescent="0.2">
      <c r="A2073" s="296"/>
      <c r="AJ2073" s="374"/>
      <c r="AK2073" s="374"/>
      <c r="AS2073" s="485"/>
      <c r="AT2073" s="297"/>
      <c r="AZ2073" s="374"/>
      <c r="BA2073" s="297"/>
      <c r="BE2073" s="3"/>
      <c r="BM2073" s="229"/>
      <c r="BN2073" s="3"/>
      <c r="BW2073" s="26"/>
      <c r="BX2073" s="389"/>
      <c r="BY2073" s="3"/>
      <c r="BZ2073" s="4"/>
      <c r="CA2073" s="219"/>
      <c r="CB2073" s="3"/>
    </row>
    <row r="2074" spans="1:80" x14ac:dyDescent="0.2">
      <c r="A2074" s="296"/>
      <c r="AJ2074" s="374"/>
      <c r="AK2074" s="374"/>
      <c r="AS2074" s="485"/>
      <c r="AT2074" s="297"/>
      <c r="AZ2074" s="374"/>
      <c r="BA2074" s="297"/>
      <c r="BE2074" s="3"/>
      <c r="BM2074" s="229"/>
      <c r="BN2074" s="3"/>
      <c r="BW2074" s="26"/>
      <c r="BX2074" s="389"/>
      <c r="BY2074" s="3"/>
      <c r="BZ2074" s="4"/>
      <c r="CA2074" s="219"/>
      <c r="CB2074" s="3"/>
    </row>
    <row r="2075" spans="1:80" x14ac:dyDescent="0.2">
      <c r="A2075" s="296"/>
      <c r="AJ2075" s="374"/>
      <c r="AK2075" s="374"/>
      <c r="AS2075" s="485"/>
      <c r="AT2075" s="297"/>
      <c r="AZ2075" s="374"/>
      <c r="BA2075" s="297"/>
      <c r="BE2075" s="3"/>
      <c r="BM2075" s="229"/>
      <c r="BN2075" s="3"/>
      <c r="BW2075" s="26"/>
      <c r="BX2075" s="389"/>
      <c r="BY2075" s="3"/>
      <c r="BZ2075" s="4"/>
      <c r="CA2075" s="219"/>
      <c r="CB2075" s="3"/>
    </row>
    <row r="2076" spans="1:80" x14ac:dyDescent="0.2">
      <c r="A2076" s="296"/>
      <c r="AJ2076" s="374"/>
      <c r="AK2076" s="374"/>
      <c r="AS2076" s="485"/>
      <c r="AT2076" s="297"/>
      <c r="AZ2076" s="374"/>
      <c r="BA2076" s="297"/>
      <c r="BE2076" s="3"/>
      <c r="BM2076" s="229"/>
      <c r="BN2076" s="3"/>
      <c r="BW2076" s="26"/>
      <c r="BX2076" s="389"/>
      <c r="BY2076" s="3"/>
      <c r="BZ2076" s="4"/>
      <c r="CA2076" s="219"/>
      <c r="CB2076" s="3"/>
    </row>
    <row r="2077" spans="1:80" x14ac:dyDescent="0.2">
      <c r="A2077" s="296"/>
      <c r="AJ2077" s="374"/>
      <c r="AK2077" s="374"/>
      <c r="AS2077" s="485"/>
      <c r="AT2077" s="297"/>
      <c r="AZ2077" s="374"/>
      <c r="BA2077" s="297"/>
      <c r="BE2077" s="3"/>
      <c r="BM2077" s="229"/>
      <c r="BN2077" s="3"/>
      <c r="BW2077" s="26"/>
      <c r="BX2077" s="389"/>
      <c r="BY2077" s="3"/>
      <c r="BZ2077" s="4"/>
      <c r="CA2077" s="219"/>
      <c r="CB2077" s="3"/>
    </row>
    <row r="2078" spans="1:80" x14ac:dyDescent="0.2">
      <c r="A2078" s="296"/>
      <c r="AJ2078" s="374"/>
      <c r="AK2078" s="374"/>
      <c r="AS2078" s="485"/>
      <c r="AT2078" s="297"/>
      <c r="AZ2078" s="374"/>
      <c r="BA2078" s="297"/>
      <c r="BE2078" s="3"/>
      <c r="BM2078" s="229"/>
      <c r="BN2078" s="3"/>
      <c r="BW2078" s="26"/>
      <c r="BX2078" s="389"/>
      <c r="BY2078" s="3"/>
      <c r="BZ2078" s="4"/>
      <c r="CA2078" s="219"/>
      <c r="CB2078" s="3"/>
    </row>
    <row r="2079" spans="1:80" x14ac:dyDescent="0.2">
      <c r="A2079" s="296"/>
      <c r="AJ2079" s="374"/>
      <c r="AK2079" s="374"/>
      <c r="AS2079" s="485"/>
      <c r="AT2079" s="297"/>
      <c r="AZ2079" s="374"/>
      <c r="BA2079" s="297"/>
      <c r="BE2079" s="3"/>
      <c r="BM2079" s="229"/>
      <c r="BN2079" s="3"/>
      <c r="BW2079" s="26"/>
      <c r="BX2079" s="389"/>
      <c r="BY2079" s="3"/>
      <c r="BZ2079" s="4"/>
      <c r="CA2079" s="219"/>
      <c r="CB2079" s="3"/>
    </row>
    <row r="2080" spans="1:80" x14ac:dyDescent="0.2">
      <c r="A2080" s="296"/>
      <c r="AJ2080" s="374"/>
      <c r="AK2080" s="374"/>
      <c r="AS2080" s="485"/>
      <c r="AT2080" s="297"/>
      <c r="AZ2080" s="374"/>
      <c r="BA2080" s="297"/>
      <c r="BE2080" s="3"/>
      <c r="BM2080" s="229"/>
      <c r="BN2080" s="3"/>
      <c r="BW2080" s="26"/>
      <c r="BX2080" s="389"/>
      <c r="BY2080" s="3"/>
      <c r="BZ2080" s="4"/>
      <c r="CA2080" s="219"/>
      <c r="CB2080" s="3"/>
    </row>
    <row r="2081" spans="1:80" x14ac:dyDescent="0.2">
      <c r="A2081" s="296"/>
      <c r="AJ2081" s="374"/>
      <c r="AK2081" s="374"/>
      <c r="AS2081" s="485"/>
      <c r="AT2081" s="297"/>
      <c r="AZ2081" s="374"/>
      <c r="BA2081" s="297"/>
      <c r="BE2081" s="3"/>
      <c r="BM2081" s="229"/>
      <c r="BN2081" s="3"/>
      <c r="BW2081" s="26"/>
      <c r="BX2081" s="389"/>
      <c r="BY2081" s="3"/>
      <c r="BZ2081" s="4"/>
      <c r="CA2081" s="219"/>
      <c r="CB2081" s="3"/>
    </row>
    <row r="2082" spans="1:80" x14ac:dyDescent="0.2">
      <c r="A2082" s="296"/>
      <c r="AJ2082" s="374"/>
      <c r="AK2082" s="374"/>
      <c r="AS2082" s="485"/>
      <c r="AT2082" s="297"/>
      <c r="AZ2082" s="374"/>
      <c r="BA2082" s="297"/>
      <c r="BE2082" s="3"/>
      <c r="BM2082" s="229"/>
      <c r="BN2082" s="3"/>
      <c r="BW2082" s="26"/>
      <c r="BX2082" s="389"/>
      <c r="BY2082" s="3"/>
      <c r="BZ2082" s="4"/>
      <c r="CA2082" s="219"/>
      <c r="CB2082" s="3"/>
    </row>
    <row r="2083" spans="1:80" x14ac:dyDescent="0.2">
      <c r="A2083" s="296"/>
      <c r="AJ2083" s="374"/>
      <c r="AK2083" s="374"/>
      <c r="AS2083" s="485"/>
      <c r="AT2083" s="297"/>
      <c r="AZ2083" s="374"/>
      <c r="BA2083" s="297"/>
      <c r="BE2083" s="3"/>
      <c r="BM2083" s="229"/>
      <c r="BN2083" s="3"/>
      <c r="BW2083" s="26"/>
      <c r="BX2083" s="389"/>
      <c r="BY2083" s="3"/>
      <c r="BZ2083" s="4"/>
      <c r="CA2083" s="219"/>
      <c r="CB2083" s="3"/>
    </row>
    <row r="2084" spans="1:80" x14ac:dyDescent="0.2">
      <c r="A2084" s="296"/>
      <c r="AJ2084" s="374"/>
      <c r="AK2084" s="374"/>
      <c r="AS2084" s="485"/>
      <c r="AT2084" s="297"/>
      <c r="AZ2084" s="374"/>
      <c r="BA2084" s="297"/>
      <c r="BE2084" s="3"/>
      <c r="BM2084" s="229"/>
      <c r="BN2084" s="3"/>
      <c r="BW2084" s="26"/>
      <c r="BX2084" s="389"/>
      <c r="BY2084" s="3"/>
      <c r="BZ2084" s="4"/>
      <c r="CA2084" s="219"/>
      <c r="CB2084" s="3"/>
    </row>
    <row r="2085" spans="1:80" x14ac:dyDescent="0.2">
      <c r="A2085" s="296"/>
      <c r="AJ2085" s="374"/>
      <c r="AK2085" s="374"/>
      <c r="AS2085" s="485"/>
      <c r="AT2085" s="297"/>
      <c r="AZ2085" s="374"/>
      <c r="BA2085" s="297"/>
      <c r="BE2085" s="3"/>
      <c r="BM2085" s="229"/>
      <c r="BN2085" s="3"/>
      <c r="BW2085" s="26"/>
      <c r="BX2085" s="389"/>
      <c r="BY2085" s="3"/>
      <c r="BZ2085" s="4"/>
      <c r="CA2085" s="219"/>
      <c r="CB2085" s="3"/>
    </row>
    <row r="2086" spans="1:80" x14ac:dyDescent="0.2">
      <c r="A2086" s="296"/>
      <c r="AJ2086" s="374"/>
      <c r="AK2086" s="374"/>
      <c r="AS2086" s="485"/>
      <c r="AT2086" s="297"/>
      <c r="AZ2086" s="374"/>
      <c r="BA2086" s="297"/>
      <c r="BE2086" s="3"/>
      <c r="BM2086" s="229"/>
      <c r="BN2086" s="3"/>
      <c r="BW2086" s="26"/>
      <c r="BX2086" s="389"/>
      <c r="BY2086" s="3"/>
      <c r="BZ2086" s="4"/>
      <c r="CA2086" s="219"/>
      <c r="CB2086" s="3"/>
    </row>
    <row r="2087" spans="1:80" x14ac:dyDescent="0.2">
      <c r="A2087" s="296"/>
      <c r="AJ2087" s="374"/>
      <c r="AK2087" s="374"/>
      <c r="AS2087" s="485"/>
      <c r="AT2087" s="297"/>
      <c r="AZ2087" s="374"/>
      <c r="BA2087" s="297"/>
      <c r="BE2087" s="3"/>
      <c r="BM2087" s="229"/>
      <c r="BN2087" s="3"/>
      <c r="BW2087" s="26"/>
      <c r="BX2087" s="389"/>
      <c r="BY2087" s="3"/>
      <c r="BZ2087" s="4"/>
      <c r="CA2087" s="219"/>
      <c r="CB2087" s="3"/>
    </row>
    <row r="2088" spans="1:80" x14ac:dyDescent="0.2">
      <c r="A2088" s="296"/>
      <c r="AJ2088" s="374"/>
      <c r="AK2088" s="374"/>
      <c r="AS2088" s="485"/>
      <c r="AT2088" s="297"/>
      <c r="AZ2088" s="374"/>
      <c r="BA2088" s="297"/>
      <c r="BE2088" s="3"/>
      <c r="BM2088" s="229"/>
      <c r="BN2088" s="3"/>
      <c r="BW2088" s="26"/>
      <c r="BX2088" s="389"/>
      <c r="BY2088" s="3"/>
      <c r="BZ2088" s="4"/>
      <c r="CA2088" s="219"/>
      <c r="CB2088" s="3"/>
    </row>
    <row r="2089" spans="1:80" x14ac:dyDescent="0.2">
      <c r="A2089" s="296"/>
      <c r="AJ2089" s="374"/>
      <c r="AK2089" s="374"/>
      <c r="AS2089" s="485"/>
      <c r="AT2089" s="297"/>
      <c r="AZ2089" s="374"/>
      <c r="BA2089" s="297"/>
      <c r="BE2089" s="3"/>
      <c r="BM2089" s="229"/>
      <c r="BN2089" s="3"/>
      <c r="BW2089" s="26"/>
      <c r="BX2089" s="389"/>
      <c r="BY2089" s="3"/>
      <c r="BZ2089" s="4"/>
      <c r="CA2089" s="219"/>
      <c r="CB2089" s="3"/>
    </row>
    <row r="2090" spans="1:80" x14ac:dyDescent="0.2">
      <c r="A2090" s="296"/>
      <c r="AJ2090" s="374"/>
      <c r="AK2090" s="374"/>
      <c r="AS2090" s="485"/>
      <c r="AT2090" s="297"/>
      <c r="AZ2090" s="374"/>
      <c r="BA2090" s="297"/>
      <c r="BE2090" s="3"/>
      <c r="BM2090" s="229"/>
      <c r="BN2090" s="3"/>
      <c r="BW2090" s="26"/>
      <c r="BX2090" s="389"/>
      <c r="BY2090" s="3"/>
      <c r="BZ2090" s="4"/>
      <c r="CA2090" s="219"/>
      <c r="CB2090" s="3"/>
    </row>
    <row r="2091" spans="1:80" x14ac:dyDescent="0.2">
      <c r="A2091" s="296"/>
      <c r="AJ2091" s="374"/>
      <c r="AK2091" s="374"/>
      <c r="AS2091" s="485"/>
      <c r="AT2091" s="297"/>
      <c r="AZ2091" s="374"/>
      <c r="BA2091" s="297"/>
      <c r="BE2091" s="3"/>
      <c r="BM2091" s="229"/>
      <c r="BN2091" s="3"/>
      <c r="BW2091" s="26"/>
      <c r="BX2091" s="389"/>
      <c r="BY2091" s="3"/>
      <c r="BZ2091" s="4"/>
      <c r="CA2091" s="219"/>
      <c r="CB2091" s="3"/>
    </row>
    <row r="2092" spans="1:80" x14ac:dyDescent="0.2">
      <c r="A2092" s="296"/>
      <c r="AJ2092" s="374"/>
      <c r="AK2092" s="374"/>
      <c r="AS2092" s="485"/>
      <c r="AT2092" s="297"/>
      <c r="AZ2092" s="374"/>
      <c r="BA2092" s="297"/>
      <c r="BE2092" s="3"/>
      <c r="BM2092" s="229"/>
      <c r="BN2092" s="3"/>
      <c r="BW2092" s="26"/>
      <c r="BX2092" s="389"/>
      <c r="BY2092" s="3"/>
      <c r="BZ2092" s="4"/>
      <c r="CA2092" s="219"/>
      <c r="CB2092" s="3"/>
    </row>
    <row r="2093" spans="1:80" x14ac:dyDescent="0.2">
      <c r="A2093" s="296"/>
      <c r="AJ2093" s="374"/>
      <c r="AK2093" s="374"/>
      <c r="AS2093" s="485"/>
      <c r="AT2093" s="297"/>
      <c r="AZ2093" s="374"/>
      <c r="BA2093" s="297"/>
      <c r="BE2093" s="3"/>
      <c r="BM2093" s="229"/>
      <c r="BN2093" s="3"/>
      <c r="BW2093" s="26"/>
      <c r="BX2093" s="389"/>
      <c r="BY2093" s="3"/>
      <c r="BZ2093" s="4"/>
      <c r="CA2093" s="219"/>
      <c r="CB2093" s="3"/>
    </row>
    <row r="2094" spans="1:80" x14ac:dyDescent="0.2">
      <c r="A2094" s="296"/>
      <c r="AJ2094" s="374"/>
      <c r="AK2094" s="374"/>
      <c r="AS2094" s="485"/>
      <c r="AT2094" s="297"/>
      <c r="AZ2094" s="374"/>
      <c r="BA2094" s="297"/>
      <c r="BE2094" s="3"/>
      <c r="BM2094" s="229"/>
      <c r="BN2094" s="3"/>
      <c r="BW2094" s="26"/>
      <c r="BX2094" s="389"/>
      <c r="BY2094" s="3"/>
      <c r="BZ2094" s="4"/>
      <c r="CA2094" s="219"/>
      <c r="CB2094" s="3"/>
    </row>
    <row r="2095" spans="1:80" x14ac:dyDescent="0.2">
      <c r="A2095" s="296"/>
      <c r="AJ2095" s="374"/>
      <c r="AK2095" s="374"/>
      <c r="AS2095" s="485"/>
      <c r="AT2095" s="297"/>
      <c r="AZ2095" s="374"/>
      <c r="BA2095" s="297"/>
      <c r="BE2095" s="3"/>
      <c r="BM2095" s="229"/>
      <c r="BN2095" s="3"/>
      <c r="BW2095" s="26"/>
      <c r="BX2095" s="389"/>
      <c r="BY2095" s="3"/>
      <c r="BZ2095" s="4"/>
      <c r="CA2095" s="219"/>
      <c r="CB2095" s="3"/>
    </row>
    <row r="2096" spans="1:80" x14ac:dyDescent="0.2">
      <c r="A2096" s="296"/>
      <c r="AJ2096" s="374"/>
      <c r="AK2096" s="374"/>
      <c r="AS2096" s="485"/>
      <c r="AT2096" s="297"/>
      <c r="AZ2096" s="374"/>
      <c r="BA2096" s="297"/>
      <c r="BE2096" s="3"/>
      <c r="BM2096" s="229"/>
      <c r="BN2096" s="3"/>
      <c r="BW2096" s="26"/>
      <c r="BX2096" s="389"/>
      <c r="BY2096" s="3"/>
      <c r="BZ2096" s="4"/>
      <c r="CA2096" s="219"/>
      <c r="CB2096" s="3"/>
    </row>
    <row r="2097" spans="1:80" x14ac:dyDescent="0.2">
      <c r="A2097" s="296"/>
      <c r="AJ2097" s="374"/>
      <c r="AK2097" s="374"/>
      <c r="AS2097" s="485"/>
      <c r="AT2097" s="297"/>
      <c r="AZ2097" s="374"/>
      <c r="BA2097" s="297"/>
      <c r="BE2097" s="3"/>
      <c r="BM2097" s="229"/>
      <c r="BN2097" s="3"/>
      <c r="BW2097" s="26"/>
      <c r="BX2097" s="389"/>
      <c r="BY2097" s="3"/>
      <c r="BZ2097" s="4"/>
      <c r="CA2097" s="219"/>
      <c r="CB2097" s="3"/>
    </row>
    <row r="2098" spans="1:80" x14ac:dyDescent="0.2">
      <c r="A2098" s="296"/>
      <c r="AJ2098" s="374"/>
      <c r="AK2098" s="374"/>
      <c r="AS2098" s="485"/>
      <c r="AT2098" s="297"/>
      <c r="AZ2098" s="374"/>
      <c r="BA2098" s="297"/>
      <c r="BE2098" s="3"/>
      <c r="BM2098" s="229"/>
      <c r="BN2098" s="3"/>
      <c r="BW2098" s="26"/>
      <c r="BX2098" s="389"/>
      <c r="BY2098" s="3"/>
      <c r="BZ2098" s="4"/>
      <c r="CA2098" s="219"/>
      <c r="CB2098" s="3"/>
    </row>
    <row r="2099" spans="1:80" x14ac:dyDescent="0.2">
      <c r="A2099" s="296"/>
      <c r="AJ2099" s="374"/>
      <c r="AK2099" s="374"/>
      <c r="AS2099" s="485"/>
      <c r="AT2099" s="297"/>
      <c r="AZ2099" s="374"/>
      <c r="BA2099" s="297"/>
      <c r="BE2099" s="3"/>
      <c r="BM2099" s="229"/>
      <c r="BN2099" s="3"/>
      <c r="BW2099" s="26"/>
      <c r="BX2099" s="389"/>
      <c r="BY2099" s="3"/>
      <c r="BZ2099" s="4"/>
      <c r="CA2099" s="219"/>
      <c r="CB2099" s="3"/>
    </row>
    <row r="2100" spans="1:80" x14ac:dyDescent="0.2">
      <c r="A2100" s="296"/>
      <c r="AJ2100" s="374"/>
      <c r="AK2100" s="374"/>
      <c r="AS2100" s="485"/>
      <c r="AT2100" s="297"/>
      <c r="AZ2100" s="374"/>
      <c r="BA2100" s="297"/>
      <c r="BE2100" s="3"/>
      <c r="BM2100" s="229"/>
      <c r="BN2100" s="3"/>
      <c r="BW2100" s="26"/>
      <c r="BX2100" s="389"/>
      <c r="BY2100" s="3"/>
      <c r="BZ2100" s="4"/>
      <c r="CA2100" s="219"/>
      <c r="CB2100" s="3"/>
    </row>
    <row r="2101" spans="1:80" x14ac:dyDescent="0.2">
      <c r="A2101" s="296"/>
      <c r="AJ2101" s="374"/>
      <c r="AK2101" s="374"/>
      <c r="AS2101" s="485"/>
      <c r="AT2101" s="297"/>
      <c r="AZ2101" s="374"/>
      <c r="BA2101" s="297"/>
      <c r="BE2101" s="3"/>
      <c r="BM2101" s="229"/>
      <c r="BN2101" s="3"/>
      <c r="BW2101" s="26"/>
      <c r="BX2101" s="389"/>
      <c r="BY2101" s="3"/>
      <c r="BZ2101" s="4"/>
      <c r="CA2101" s="219"/>
      <c r="CB2101" s="3"/>
    </row>
    <row r="2102" spans="1:80" x14ac:dyDescent="0.2">
      <c r="A2102" s="296"/>
      <c r="AJ2102" s="374"/>
      <c r="AK2102" s="374"/>
      <c r="AS2102" s="485"/>
      <c r="AT2102" s="297"/>
      <c r="AZ2102" s="374"/>
      <c r="BA2102" s="297"/>
      <c r="BE2102" s="3"/>
      <c r="BM2102" s="229"/>
      <c r="BN2102" s="3"/>
      <c r="BW2102" s="26"/>
      <c r="BX2102" s="389"/>
      <c r="BY2102" s="3"/>
      <c r="BZ2102" s="4"/>
      <c r="CA2102" s="219"/>
      <c r="CB2102" s="3"/>
    </row>
    <row r="2103" spans="1:80" x14ac:dyDescent="0.2">
      <c r="A2103" s="296"/>
      <c r="AJ2103" s="374"/>
      <c r="AK2103" s="374"/>
      <c r="AS2103" s="485"/>
      <c r="AT2103" s="297"/>
      <c r="AZ2103" s="374"/>
      <c r="BA2103" s="297"/>
      <c r="BE2103" s="3"/>
      <c r="BM2103" s="229"/>
      <c r="BN2103" s="3"/>
      <c r="BW2103" s="26"/>
      <c r="BX2103" s="389"/>
      <c r="BY2103" s="3"/>
      <c r="BZ2103" s="4"/>
      <c r="CA2103" s="219"/>
      <c r="CB2103" s="3"/>
    </row>
    <row r="2104" spans="1:80" x14ac:dyDescent="0.2">
      <c r="A2104" s="296"/>
      <c r="AJ2104" s="374"/>
      <c r="AK2104" s="374"/>
      <c r="AS2104" s="485"/>
      <c r="AT2104" s="297"/>
      <c r="AZ2104" s="374"/>
      <c r="BA2104" s="297"/>
      <c r="BE2104" s="3"/>
      <c r="BM2104" s="229"/>
      <c r="BN2104" s="3"/>
      <c r="BW2104" s="26"/>
      <c r="BX2104" s="389"/>
      <c r="BY2104" s="3"/>
      <c r="BZ2104" s="4"/>
      <c r="CA2104" s="219"/>
      <c r="CB2104" s="3"/>
    </row>
    <row r="2105" spans="1:80" x14ac:dyDescent="0.2">
      <c r="A2105" s="296"/>
      <c r="AJ2105" s="374"/>
      <c r="AK2105" s="374"/>
      <c r="AS2105" s="485"/>
      <c r="AT2105" s="297"/>
      <c r="AZ2105" s="374"/>
      <c r="BA2105" s="297"/>
      <c r="BE2105" s="3"/>
      <c r="BM2105" s="229"/>
      <c r="BN2105" s="3"/>
      <c r="BW2105" s="26"/>
      <c r="BX2105" s="389"/>
      <c r="BY2105" s="3"/>
      <c r="BZ2105" s="4"/>
      <c r="CA2105" s="219"/>
      <c r="CB2105" s="3"/>
    </row>
    <row r="2106" spans="1:80" x14ac:dyDescent="0.2">
      <c r="A2106" s="296"/>
      <c r="AJ2106" s="374"/>
      <c r="AK2106" s="374"/>
      <c r="AS2106" s="485"/>
      <c r="AT2106" s="297"/>
      <c r="AZ2106" s="374"/>
      <c r="BA2106" s="297"/>
      <c r="BE2106" s="3"/>
      <c r="BM2106" s="229"/>
      <c r="BN2106" s="3"/>
      <c r="BW2106" s="26"/>
      <c r="BX2106" s="389"/>
      <c r="BY2106" s="3"/>
      <c r="BZ2106" s="4"/>
      <c r="CA2106" s="219"/>
      <c r="CB2106" s="3"/>
    </row>
    <row r="2107" spans="1:80" x14ac:dyDescent="0.2">
      <c r="A2107" s="296"/>
      <c r="AJ2107" s="374"/>
      <c r="AK2107" s="374"/>
      <c r="AS2107" s="485"/>
      <c r="AT2107" s="297"/>
      <c r="AZ2107" s="374"/>
      <c r="BA2107" s="297"/>
      <c r="BE2107" s="3"/>
      <c r="BM2107" s="229"/>
      <c r="BN2107" s="3"/>
      <c r="BW2107" s="26"/>
      <c r="BX2107" s="389"/>
      <c r="BY2107" s="3"/>
      <c r="BZ2107" s="4"/>
      <c r="CA2107" s="219"/>
      <c r="CB2107" s="3"/>
    </row>
    <row r="2108" spans="1:80" x14ac:dyDescent="0.2">
      <c r="A2108" s="296"/>
      <c r="AJ2108" s="374"/>
      <c r="AK2108" s="374"/>
      <c r="AS2108" s="485"/>
      <c r="AT2108" s="297"/>
      <c r="AZ2108" s="374"/>
      <c r="BA2108" s="297"/>
      <c r="BE2108" s="3"/>
      <c r="BM2108" s="229"/>
      <c r="BN2108" s="3"/>
      <c r="BW2108" s="26"/>
      <c r="BX2108" s="389"/>
      <c r="BY2108" s="3"/>
      <c r="BZ2108" s="4"/>
      <c r="CA2108" s="219"/>
      <c r="CB2108" s="3"/>
    </row>
    <row r="2109" spans="1:80" x14ac:dyDescent="0.2">
      <c r="A2109" s="296"/>
      <c r="AJ2109" s="374"/>
      <c r="AK2109" s="374"/>
      <c r="AS2109" s="485"/>
      <c r="AT2109" s="297"/>
      <c r="AZ2109" s="374"/>
      <c r="BA2109" s="297"/>
      <c r="BE2109" s="3"/>
      <c r="BM2109" s="229"/>
      <c r="BN2109" s="3"/>
      <c r="BW2109" s="26"/>
      <c r="BX2109" s="389"/>
      <c r="BY2109" s="3"/>
      <c r="BZ2109" s="4"/>
      <c r="CA2109" s="219"/>
      <c r="CB2109" s="3"/>
    </row>
    <row r="2110" spans="1:80" x14ac:dyDescent="0.2">
      <c r="A2110" s="296"/>
      <c r="AJ2110" s="374"/>
      <c r="AK2110" s="374"/>
      <c r="AS2110" s="485"/>
      <c r="AT2110" s="297"/>
      <c r="AZ2110" s="374"/>
      <c r="BA2110" s="297"/>
      <c r="BE2110" s="3"/>
      <c r="BM2110" s="229"/>
      <c r="BN2110" s="3"/>
      <c r="BW2110" s="26"/>
      <c r="BX2110" s="389"/>
      <c r="BY2110" s="3"/>
      <c r="BZ2110" s="4"/>
      <c r="CA2110" s="219"/>
      <c r="CB2110" s="3"/>
    </row>
    <row r="2111" spans="1:80" x14ac:dyDescent="0.2">
      <c r="A2111" s="296"/>
      <c r="AJ2111" s="374"/>
      <c r="AK2111" s="374"/>
      <c r="AS2111" s="485"/>
      <c r="AT2111" s="297"/>
      <c r="AZ2111" s="374"/>
      <c r="BA2111" s="297"/>
      <c r="BE2111" s="3"/>
      <c r="BM2111" s="229"/>
      <c r="BN2111" s="3"/>
      <c r="BW2111" s="26"/>
      <c r="BX2111" s="389"/>
      <c r="BY2111" s="3"/>
      <c r="BZ2111" s="4"/>
      <c r="CA2111" s="219"/>
      <c r="CB2111" s="3"/>
    </row>
    <row r="2112" spans="1:80" x14ac:dyDescent="0.2">
      <c r="A2112" s="296"/>
      <c r="AJ2112" s="374"/>
      <c r="AK2112" s="374"/>
      <c r="AS2112" s="485"/>
      <c r="AT2112" s="297"/>
      <c r="AZ2112" s="374"/>
      <c r="BA2112" s="297"/>
      <c r="BE2112" s="3"/>
      <c r="BM2112" s="229"/>
      <c r="BN2112" s="3"/>
      <c r="BW2112" s="26"/>
      <c r="BX2112" s="389"/>
      <c r="BY2112" s="3"/>
      <c r="BZ2112" s="4"/>
      <c r="CA2112" s="219"/>
      <c r="CB2112" s="3"/>
    </row>
    <row r="2113" spans="1:80" x14ac:dyDescent="0.2">
      <c r="A2113" s="296"/>
      <c r="AJ2113" s="374"/>
      <c r="AK2113" s="374"/>
      <c r="AS2113" s="485"/>
      <c r="AT2113" s="297"/>
      <c r="AZ2113" s="374"/>
      <c r="BA2113" s="297"/>
      <c r="BE2113" s="3"/>
      <c r="BM2113" s="229"/>
      <c r="BN2113" s="3"/>
      <c r="BW2113" s="26"/>
      <c r="BX2113" s="389"/>
      <c r="BY2113" s="3"/>
      <c r="BZ2113" s="4"/>
      <c r="CA2113" s="219"/>
      <c r="CB2113" s="3"/>
    </row>
    <row r="2114" spans="1:80" x14ac:dyDescent="0.2">
      <c r="A2114" s="296"/>
      <c r="AJ2114" s="374"/>
      <c r="AK2114" s="374"/>
      <c r="AS2114" s="485"/>
      <c r="AT2114" s="297"/>
      <c r="AZ2114" s="374"/>
      <c r="BA2114" s="297"/>
      <c r="BE2114" s="3"/>
      <c r="BM2114" s="229"/>
      <c r="BN2114" s="3"/>
      <c r="BW2114" s="26"/>
      <c r="BX2114" s="389"/>
      <c r="BY2114" s="3"/>
      <c r="BZ2114" s="4"/>
      <c r="CA2114" s="219"/>
      <c r="CB2114" s="3"/>
    </row>
    <row r="2115" spans="1:80" x14ac:dyDescent="0.2">
      <c r="A2115" s="296"/>
      <c r="AJ2115" s="374"/>
      <c r="AK2115" s="374"/>
      <c r="AS2115" s="485"/>
      <c r="AT2115" s="297"/>
      <c r="AZ2115" s="374"/>
      <c r="BA2115" s="297"/>
      <c r="BE2115" s="3"/>
      <c r="BM2115" s="229"/>
      <c r="BN2115" s="3"/>
      <c r="BW2115" s="26"/>
      <c r="BX2115" s="389"/>
      <c r="BY2115" s="3"/>
      <c r="BZ2115" s="4"/>
      <c r="CA2115" s="219"/>
      <c r="CB2115" s="3"/>
    </row>
    <row r="2116" spans="1:80" x14ac:dyDescent="0.2">
      <c r="A2116" s="296"/>
      <c r="AJ2116" s="374"/>
      <c r="AK2116" s="374"/>
      <c r="AS2116" s="485"/>
      <c r="AT2116" s="297"/>
      <c r="AZ2116" s="374"/>
      <c r="BA2116" s="297"/>
      <c r="BE2116" s="3"/>
      <c r="BM2116" s="229"/>
      <c r="BN2116" s="3"/>
      <c r="BW2116" s="26"/>
      <c r="BX2116" s="389"/>
      <c r="BY2116" s="3"/>
      <c r="BZ2116" s="4"/>
      <c r="CA2116" s="219"/>
      <c r="CB2116" s="3"/>
    </row>
    <row r="2117" spans="1:80" x14ac:dyDescent="0.2">
      <c r="A2117" s="296"/>
      <c r="AJ2117" s="374"/>
      <c r="AK2117" s="374"/>
      <c r="AS2117" s="485"/>
      <c r="AT2117" s="297"/>
      <c r="AZ2117" s="374"/>
      <c r="BA2117" s="297"/>
      <c r="BE2117" s="3"/>
      <c r="BM2117" s="229"/>
      <c r="BN2117" s="3"/>
      <c r="BW2117" s="26"/>
      <c r="BX2117" s="389"/>
      <c r="BY2117" s="3"/>
      <c r="BZ2117" s="4"/>
      <c r="CA2117" s="219"/>
      <c r="CB2117" s="3"/>
    </row>
    <row r="2118" spans="1:80" x14ac:dyDescent="0.2">
      <c r="A2118" s="296"/>
      <c r="AJ2118" s="374"/>
      <c r="AK2118" s="374"/>
      <c r="AS2118" s="485"/>
      <c r="AT2118" s="297"/>
      <c r="AZ2118" s="374"/>
      <c r="BA2118" s="297"/>
      <c r="BE2118" s="3"/>
      <c r="BM2118" s="229"/>
      <c r="BN2118" s="3"/>
      <c r="BW2118" s="26"/>
      <c r="BX2118" s="389"/>
      <c r="BY2118" s="3"/>
      <c r="BZ2118" s="4"/>
      <c r="CA2118" s="219"/>
      <c r="CB2118" s="3"/>
    </row>
    <row r="2119" spans="1:80" x14ac:dyDescent="0.2">
      <c r="A2119" s="296"/>
      <c r="AJ2119" s="374"/>
      <c r="AK2119" s="374"/>
      <c r="AS2119" s="485"/>
      <c r="AT2119" s="297"/>
      <c r="AZ2119" s="374"/>
      <c r="BA2119" s="297"/>
      <c r="BE2119" s="3"/>
      <c r="BM2119" s="229"/>
      <c r="BN2119" s="3"/>
      <c r="BW2119" s="26"/>
      <c r="BX2119" s="389"/>
      <c r="BY2119" s="3"/>
      <c r="BZ2119" s="4"/>
      <c r="CA2119" s="219"/>
      <c r="CB2119" s="3"/>
    </row>
    <row r="2120" spans="1:80" x14ac:dyDescent="0.2">
      <c r="A2120" s="296"/>
      <c r="AJ2120" s="374"/>
      <c r="AK2120" s="374"/>
      <c r="AS2120" s="485"/>
      <c r="AT2120" s="297"/>
      <c r="AZ2120" s="374"/>
      <c r="BA2120" s="297"/>
      <c r="BE2120" s="3"/>
      <c r="BM2120" s="229"/>
      <c r="BN2120" s="3"/>
      <c r="BW2120" s="26"/>
      <c r="BX2120" s="389"/>
      <c r="BY2120" s="3"/>
      <c r="BZ2120" s="4"/>
      <c r="CA2120" s="219"/>
      <c r="CB2120" s="3"/>
    </row>
    <row r="2121" spans="1:80" x14ac:dyDescent="0.2">
      <c r="A2121" s="296"/>
      <c r="AJ2121" s="374"/>
      <c r="AK2121" s="374"/>
      <c r="AS2121" s="485"/>
      <c r="AT2121" s="297"/>
      <c r="AZ2121" s="374"/>
      <c r="BA2121" s="297"/>
      <c r="BE2121" s="3"/>
      <c r="BM2121" s="229"/>
      <c r="BN2121" s="3"/>
      <c r="BW2121" s="26"/>
      <c r="BX2121" s="389"/>
      <c r="BY2121" s="3"/>
      <c r="BZ2121" s="4"/>
      <c r="CA2121" s="219"/>
      <c r="CB2121" s="3"/>
    </row>
    <row r="2122" spans="1:80" x14ac:dyDescent="0.2">
      <c r="A2122" s="296"/>
      <c r="AJ2122" s="374"/>
      <c r="AK2122" s="374"/>
      <c r="AS2122" s="485"/>
      <c r="AT2122" s="297"/>
      <c r="AZ2122" s="374"/>
      <c r="BA2122" s="297"/>
      <c r="BE2122" s="3"/>
      <c r="BM2122" s="229"/>
      <c r="BN2122" s="3"/>
      <c r="BW2122" s="26"/>
      <c r="BX2122" s="389"/>
      <c r="BY2122" s="3"/>
      <c r="BZ2122" s="4"/>
      <c r="CA2122" s="219"/>
      <c r="CB2122" s="3"/>
    </row>
    <row r="2123" spans="1:80" x14ac:dyDescent="0.2">
      <c r="A2123" s="296"/>
      <c r="AJ2123" s="374"/>
      <c r="AK2123" s="374"/>
      <c r="AS2123" s="485"/>
      <c r="AT2123" s="297"/>
      <c r="AZ2123" s="374"/>
      <c r="BA2123" s="297"/>
      <c r="BE2123" s="3"/>
      <c r="BM2123" s="229"/>
      <c r="BN2123" s="3"/>
      <c r="BW2123" s="26"/>
      <c r="BX2123" s="389"/>
      <c r="BY2123" s="3"/>
      <c r="BZ2123" s="4"/>
      <c r="CA2123" s="219"/>
      <c r="CB2123" s="3"/>
    </row>
    <row r="2124" spans="1:80" x14ac:dyDescent="0.2">
      <c r="A2124" s="296"/>
      <c r="AJ2124" s="374"/>
      <c r="AK2124" s="374"/>
      <c r="AS2124" s="485"/>
      <c r="AT2124" s="297"/>
      <c r="AZ2124" s="374"/>
      <c r="BA2124" s="297"/>
      <c r="BE2124" s="3"/>
      <c r="BM2124" s="229"/>
      <c r="BN2124" s="3"/>
      <c r="BW2124" s="26"/>
      <c r="BX2124" s="389"/>
      <c r="BY2124" s="3"/>
      <c r="BZ2124" s="4"/>
      <c r="CA2124" s="219"/>
      <c r="CB2124" s="3"/>
    </row>
    <row r="2125" spans="1:80" x14ac:dyDescent="0.2">
      <c r="A2125" s="296"/>
      <c r="AJ2125" s="374"/>
      <c r="AK2125" s="374"/>
      <c r="AS2125" s="485"/>
      <c r="AT2125" s="297"/>
      <c r="AZ2125" s="374"/>
      <c r="BA2125" s="297"/>
      <c r="BE2125" s="3"/>
      <c r="BM2125" s="229"/>
      <c r="BN2125" s="3"/>
      <c r="BW2125" s="26"/>
      <c r="BX2125" s="389"/>
      <c r="BY2125" s="3"/>
      <c r="BZ2125" s="4"/>
      <c r="CA2125" s="219"/>
      <c r="CB2125" s="3"/>
    </row>
    <row r="2126" spans="1:80" x14ac:dyDescent="0.2">
      <c r="A2126" s="296"/>
      <c r="AJ2126" s="374"/>
      <c r="AK2126" s="374"/>
      <c r="AS2126" s="485"/>
      <c r="AT2126" s="297"/>
      <c r="AZ2126" s="374"/>
      <c r="BA2126" s="297"/>
      <c r="BE2126" s="3"/>
      <c r="BM2126" s="229"/>
      <c r="BN2126" s="3"/>
      <c r="BW2126" s="26"/>
      <c r="BX2126" s="389"/>
      <c r="BY2126" s="3"/>
      <c r="BZ2126" s="4"/>
      <c r="CA2126" s="219"/>
      <c r="CB2126" s="3"/>
    </row>
    <row r="2127" spans="1:80" x14ac:dyDescent="0.2">
      <c r="A2127" s="296"/>
      <c r="AJ2127" s="374"/>
      <c r="AK2127" s="374"/>
      <c r="AS2127" s="485"/>
      <c r="AT2127" s="297"/>
      <c r="AZ2127" s="374"/>
      <c r="BA2127" s="297"/>
      <c r="BE2127" s="3"/>
      <c r="BM2127" s="229"/>
      <c r="BN2127" s="3"/>
      <c r="BW2127" s="26"/>
      <c r="BX2127" s="389"/>
      <c r="BY2127" s="3"/>
      <c r="BZ2127" s="4"/>
      <c r="CA2127" s="219"/>
      <c r="CB2127" s="3"/>
    </row>
    <row r="2128" spans="1:80" x14ac:dyDescent="0.2">
      <c r="A2128" s="296"/>
      <c r="AJ2128" s="374"/>
      <c r="AK2128" s="374"/>
      <c r="AS2128" s="485"/>
      <c r="AT2128" s="297"/>
      <c r="AZ2128" s="374"/>
      <c r="BA2128" s="297"/>
      <c r="BE2128" s="3"/>
      <c r="BM2128" s="229"/>
      <c r="BN2128" s="3"/>
      <c r="BW2128" s="26"/>
      <c r="BX2128" s="389"/>
      <c r="BY2128" s="3"/>
      <c r="BZ2128" s="4"/>
      <c r="CA2128" s="219"/>
      <c r="CB2128" s="3"/>
    </row>
    <row r="2129" spans="1:80" x14ac:dyDescent="0.2">
      <c r="A2129" s="296"/>
      <c r="AJ2129" s="374"/>
      <c r="AK2129" s="374"/>
      <c r="AS2129" s="485"/>
      <c r="AT2129" s="297"/>
      <c r="AZ2129" s="374"/>
      <c r="BA2129" s="297"/>
      <c r="BE2129" s="3"/>
      <c r="BM2129" s="229"/>
      <c r="BN2129" s="3"/>
      <c r="BW2129" s="26"/>
      <c r="BX2129" s="389"/>
      <c r="BY2129" s="3"/>
      <c r="BZ2129" s="4"/>
      <c r="CA2129" s="219"/>
      <c r="CB2129" s="3"/>
    </row>
    <row r="2130" spans="1:80" x14ac:dyDescent="0.2">
      <c r="A2130" s="296"/>
      <c r="AJ2130" s="374"/>
      <c r="AK2130" s="374"/>
      <c r="AS2130" s="485"/>
      <c r="AT2130" s="297"/>
      <c r="AZ2130" s="374"/>
      <c r="BA2130" s="297"/>
      <c r="BE2130" s="3"/>
      <c r="BM2130" s="229"/>
      <c r="BN2130" s="3"/>
      <c r="BW2130" s="26"/>
      <c r="BX2130" s="389"/>
      <c r="BY2130" s="3"/>
      <c r="BZ2130" s="4"/>
      <c r="CA2130" s="219"/>
      <c r="CB2130" s="3"/>
    </row>
    <row r="2131" spans="1:80" x14ac:dyDescent="0.2">
      <c r="A2131" s="296"/>
      <c r="AJ2131" s="374"/>
      <c r="AK2131" s="374"/>
      <c r="AS2131" s="485"/>
      <c r="AT2131" s="297"/>
      <c r="AZ2131" s="374"/>
      <c r="BA2131" s="297"/>
      <c r="BE2131" s="3"/>
      <c r="BM2131" s="229"/>
      <c r="BN2131" s="3"/>
      <c r="BW2131" s="26"/>
      <c r="BX2131" s="389"/>
      <c r="BY2131" s="3"/>
      <c r="BZ2131" s="4"/>
      <c r="CA2131" s="219"/>
      <c r="CB2131" s="3"/>
    </row>
    <row r="2132" spans="1:80" x14ac:dyDescent="0.2">
      <c r="A2132" s="296"/>
      <c r="AJ2132" s="374"/>
      <c r="AK2132" s="374"/>
      <c r="AS2132" s="485"/>
      <c r="AT2132" s="297"/>
      <c r="AZ2132" s="374"/>
      <c r="BA2132" s="297"/>
      <c r="BE2132" s="3"/>
      <c r="BM2132" s="229"/>
      <c r="BN2132" s="3"/>
      <c r="BW2132" s="26"/>
      <c r="BX2132" s="389"/>
      <c r="BY2132" s="3"/>
      <c r="BZ2132" s="4"/>
      <c r="CA2132" s="219"/>
      <c r="CB2132" s="3"/>
    </row>
    <row r="2133" spans="1:80" x14ac:dyDescent="0.2">
      <c r="A2133" s="296"/>
      <c r="AJ2133" s="374"/>
      <c r="AK2133" s="374"/>
      <c r="AS2133" s="485"/>
      <c r="AT2133" s="297"/>
      <c r="AZ2133" s="374"/>
      <c r="BA2133" s="297"/>
      <c r="BE2133" s="3"/>
      <c r="BM2133" s="229"/>
      <c r="BN2133" s="3"/>
      <c r="BW2133" s="26"/>
      <c r="BX2133" s="389"/>
      <c r="BY2133" s="3"/>
      <c r="BZ2133" s="4"/>
      <c r="CA2133" s="219"/>
      <c r="CB2133" s="3"/>
    </row>
    <row r="2134" spans="1:80" x14ac:dyDescent="0.2">
      <c r="A2134" s="296"/>
      <c r="AJ2134" s="374"/>
      <c r="AK2134" s="374"/>
      <c r="AS2134" s="485"/>
      <c r="AT2134" s="297"/>
      <c r="AZ2134" s="374"/>
      <c r="BA2134" s="297"/>
      <c r="BE2134" s="3"/>
      <c r="BM2134" s="229"/>
      <c r="BN2134" s="3"/>
      <c r="BW2134" s="26"/>
      <c r="BX2134" s="389"/>
      <c r="BY2134" s="3"/>
      <c r="BZ2134" s="4"/>
      <c r="CA2134" s="219"/>
      <c r="CB2134" s="3"/>
    </row>
    <row r="2135" spans="1:80" x14ac:dyDescent="0.2">
      <c r="A2135" s="296"/>
      <c r="AJ2135" s="374"/>
      <c r="AK2135" s="374"/>
      <c r="AS2135" s="485"/>
      <c r="AT2135" s="297"/>
      <c r="AZ2135" s="374"/>
      <c r="BA2135" s="297"/>
      <c r="BE2135" s="3"/>
      <c r="BM2135" s="229"/>
      <c r="BN2135" s="3"/>
      <c r="BW2135" s="26"/>
      <c r="BX2135" s="389"/>
      <c r="BY2135" s="3"/>
      <c r="BZ2135" s="4"/>
      <c r="CA2135" s="219"/>
      <c r="CB2135" s="3"/>
    </row>
    <row r="2136" spans="1:80" x14ac:dyDescent="0.2">
      <c r="A2136" s="296"/>
      <c r="AJ2136" s="374"/>
      <c r="AK2136" s="374"/>
      <c r="AS2136" s="485"/>
      <c r="AT2136" s="297"/>
      <c r="AZ2136" s="374"/>
      <c r="BA2136" s="297"/>
      <c r="BE2136" s="3"/>
      <c r="BM2136" s="229"/>
      <c r="BN2136" s="3"/>
      <c r="BW2136" s="26"/>
      <c r="BX2136" s="389"/>
      <c r="BY2136" s="3"/>
      <c r="BZ2136" s="4"/>
      <c r="CA2136" s="219"/>
      <c r="CB2136" s="3"/>
    </row>
    <row r="2137" spans="1:80" x14ac:dyDescent="0.2">
      <c r="A2137" s="296"/>
      <c r="AJ2137" s="374"/>
      <c r="AK2137" s="374"/>
      <c r="AS2137" s="485"/>
      <c r="AT2137" s="297"/>
      <c r="AZ2137" s="374"/>
      <c r="BA2137" s="297"/>
      <c r="BE2137" s="3"/>
      <c r="BM2137" s="229"/>
      <c r="BN2137" s="3"/>
      <c r="BW2137" s="26"/>
      <c r="BX2137" s="389"/>
      <c r="BY2137" s="3"/>
      <c r="BZ2137" s="4"/>
      <c r="CA2137" s="219"/>
      <c r="CB2137" s="3"/>
    </row>
    <row r="2138" spans="1:80" x14ac:dyDescent="0.2">
      <c r="A2138" s="296"/>
      <c r="AJ2138" s="374"/>
      <c r="AK2138" s="374"/>
      <c r="AS2138" s="485"/>
      <c r="AT2138" s="297"/>
      <c r="AZ2138" s="374"/>
      <c r="BA2138" s="297"/>
      <c r="BE2138" s="3"/>
      <c r="BM2138" s="229"/>
      <c r="BN2138" s="3"/>
      <c r="BW2138" s="26"/>
      <c r="BX2138" s="389"/>
      <c r="BY2138" s="3"/>
      <c r="BZ2138" s="4"/>
      <c r="CA2138" s="219"/>
      <c r="CB2138" s="3"/>
    </row>
    <row r="2139" spans="1:80" x14ac:dyDescent="0.2">
      <c r="A2139" s="296"/>
      <c r="AJ2139" s="374"/>
      <c r="AK2139" s="374"/>
      <c r="AS2139" s="485"/>
      <c r="AT2139" s="297"/>
      <c r="AZ2139" s="374"/>
      <c r="BA2139" s="297"/>
      <c r="BE2139" s="3"/>
      <c r="BM2139" s="229"/>
      <c r="BN2139" s="3"/>
      <c r="BW2139" s="26"/>
      <c r="BX2139" s="389"/>
      <c r="BY2139" s="3"/>
      <c r="BZ2139" s="4"/>
      <c r="CA2139" s="219"/>
      <c r="CB2139" s="3"/>
    </row>
    <row r="2140" spans="1:80" x14ac:dyDescent="0.2">
      <c r="A2140" s="296"/>
      <c r="AJ2140" s="374"/>
      <c r="AK2140" s="374"/>
      <c r="AS2140" s="485"/>
      <c r="AT2140" s="297"/>
      <c r="AZ2140" s="374"/>
      <c r="BA2140" s="297"/>
      <c r="BE2140" s="3"/>
      <c r="BM2140" s="229"/>
      <c r="BN2140" s="3"/>
      <c r="BW2140" s="26"/>
      <c r="BX2140" s="389"/>
      <c r="BY2140" s="3"/>
      <c r="BZ2140" s="4"/>
      <c r="CA2140" s="219"/>
      <c r="CB2140" s="3"/>
    </row>
    <row r="2141" spans="1:80" x14ac:dyDescent="0.2">
      <c r="A2141" s="296"/>
      <c r="AJ2141" s="374"/>
      <c r="AK2141" s="374"/>
      <c r="AS2141" s="485"/>
      <c r="AT2141" s="297"/>
      <c r="AZ2141" s="374"/>
      <c r="BA2141" s="297"/>
      <c r="BE2141" s="3"/>
      <c r="BM2141" s="229"/>
      <c r="BN2141" s="3"/>
      <c r="BW2141" s="26"/>
      <c r="BX2141" s="389"/>
      <c r="BY2141" s="3"/>
      <c r="BZ2141" s="4"/>
      <c r="CA2141" s="219"/>
      <c r="CB2141" s="3"/>
    </row>
    <row r="2142" spans="1:80" x14ac:dyDescent="0.2">
      <c r="A2142" s="296"/>
      <c r="AJ2142" s="374"/>
      <c r="AK2142" s="374"/>
      <c r="AS2142" s="485"/>
      <c r="AT2142" s="297"/>
      <c r="AZ2142" s="374"/>
      <c r="BA2142" s="297"/>
      <c r="BE2142" s="3"/>
      <c r="BM2142" s="229"/>
      <c r="BN2142" s="3"/>
      <c r="BW2142" s="26"/>
      <c r="BX2142" s="389"/>
      <c r="BY2142" s="3"/>
      <c r="BZ2142" s="4"/>
      <c r="CA2142" s="219"/>
      <c r="CB2142" s="3"/>
    </row>
    <row r="2143" spans="1:80" x14ac:dyDescent="0.2">
      <c r="A2143" s="296"/>
      <c r="AJ2143" s="374"/>
      <c r="AK2143" s="374"/>
      <c r="AS2143" s="485"/>
      <c r="AT2143" s="297"/>
      <c r="AZ2143" s="374"/>
      <c r="BA2143" s="297"/>
      <c r="BE2143" s="3"/>
      <c r="BM2143" s="229"/>
      <c r="BN2143" s="3"/>
      <c r="BW2143" s="26"/>
      <c r="BX2143" s="389"/>
      <c r="BY2143" s="3"/>
      <c r="BZ2143" s="4"/>
      <c r="CA2143" s="219"/>
      <c r="CB2143" s="3"/>
    </row>
    <row r="2144" spans="1:80" x14ac:dyDescent="0.2">
      <c r="A2144" s="296"/>
      <c r="AJ2144" s="374"/>
      <c r="AK2144" s="374"/>
      <c r="AS2144" s="485"/>
      <c r="AT2144" s="297"/>
      <c r="AZ2144" s="374"/>
      <c r="BA2144" s="297"/>
      <c r="BE2144" s="3"/>
      <c r="BM2144" s="229"/>
      <c r="BN2144" s="3"/>
      <c r="BW2144" s="26"/>
      <c r="BX2144" s="389"/>
      <c r="BY2144" s="3"/>
      <c r="BZ2144" s="4"/>
      <c r="CA2144" s="219"/>
      <c r="CB2144" s="3"/>
    </row>
    <row r="2145" spans="1:80" x14ac:dyDescent="0.2">
      <c r="A2145" s="296"/>
      <c r="AJ2145" s="374"/>
      <c r="AK2145" s="374"/>
      <c r="AS2145" s="485"/>
      <c r="AT2145" s="297"/>
      <c r="AZ2145" s="374"/>
      <c r="BA2145" s="297"/>
      <c r="BE2145" s="3"/>
      <c r="BM2145" s="229"/>
      <c r="BN2145" s="3"/>
      <c r="BW2145" s="26"/>
      <c r="BX2145" s="389"/>
      <c r="BY2145" s="3"/>
      <c r="BZ2145" s="4"/>
      <c r="CA2145" s="219"/>
      <c r="CB2145" s="3"/>
    </row>
    <row r="2146" spans="1:80" x14ac:dyDescent="0.2">
      <c r="A2146" s="296"/>
      <c r="AJ2146" s="374"/>
      <c r="AK2146" s="374"/>
      <c r="AS2146" s="485"/>
      <c r="AT2146" s="297"/>
      <c r="AZ2146" s="374"/>
      <c r="BA2146" s="297"/>
      <c r="BE2146" s="3"/>
      <c r="BM2146" s="229"/>
      <c r="BN2146" s="3"/>
      <c r="BW2146" s="26"/>
      <c r="BX2146" s="389"/>
      <c r="BY2146" s="3"/>
      <c r="BZ2146" s="4"/>
      <c r="CA2146" s="219"/>
      <c r="CB2146" s="3"/>
    </row>
    <row r="2147" spans="1:80" x14ac:dyDescent="0.2">
      <c r="A2147" s="296"/>
      <c r="AJ2147" s="374"/>
      <c r="AK2147" s="374"/>
      <c r="AS2147" s="485"/>
      <c r="AT2147" s="297"/>
      <c r="AZ2147" s="374"/>
      <c r="BA2147" s="297"/>
      <c r="BE2147" s="3"/>
      <c r="BM2147" s="229"/>
      <c r="BN2147" s="3"/>
      <c r="BW2147" s="26"/>
      <c r="BX2147" s="389"/>
      <c r="BY2147" s="3"/>
      <c r="BZ2147" s="4"/>
      <c r="CA2147" s="219"/>
      <c r="CB2147" s="3"/>
    </row>
    <row r="2148" spans="1:80" x14ac:dyDescent="0.2">
      <c r="A2148" s="296"/>
      <c r="AJ2148" s="374"/>
      <c r="AK2148" s="374"/>
      <c r="AS2148" s="485"/>
      <c r="AT2148" s="297"/>
      <c r="AZ2148" s="374"/>
      <c r="BA2148" s="297"/>
      <c r="BE2148" s="3"/>
      <c r="BM2148" s="229"/>
      <c r="BN2148" s="3"/>
      <c r="BW2148" s="26"/>
      <c r="BX2148" s="389"/>
      <c r="BY2148" s="3"/>
      <c r="BZ2148" s="4"/>
      <c r="CA2148" s="219"/>
      <c r="CB2148" s="3"/>
    </row>
    <row r="2149" spans="1:80" x14ac:dyDescent="0.2">
      <c r="A2149" s="296"/>
      <c r="AJ2149" s="374"/>
      <c r="AK2149" s="374"/>
      <c r="AS2149" s="485"/>
      <c r="AT2149" s="297"/>
      <c r="AZ2149" s="374"/>
      <c r="BA2149" s="297"/>
      <c r="BE2149" s="3"/>
      <c r="BM2149" s="229"/>
      <c r="BN2149" s="3"/>
      <c r="BW2149" s="26"/>
      <c r="BX2149" s="389"/>
      <c r="BY2149" s="3"/>
      <c r="BZ2149" s="4"/>
      <c r="CA2149" s="219"/>
      <c r="CB2149" s="3"/>
    </row>
    <row r="2150" spans="1:80" x14ac:dyDescent="0.2">
      <c r="A2150" s="296"/>
      <c r="AJ2150" s="374"/>
      <c r="AK2150" s="374"/>
      <c r="AS2150" s="485"/>
      <c r="AT2150" s="297"/>
      <c r="AZ2150" s="374"/>
      <c r="BA2150" s="297"/>
      <c r="BE2150" s="3"/>
      <c r="BM2150" s="229"/>
      <c r="BN2150" s="3"/>
      <c r="BW2150" s="26"/>
      <c r="BX2150" s="389"/>
      <c r="BY2150" s="3"/>
      <c r="BZ2150" s="4"/>
      <c r="CA2150" s="219"/>
      <c r="CB2150" s="3"/>
    </row>
    <row r="2151" spans="1:80" x14ac:dyDescent="0.2">
      <c r="A2151" s="296"/>
      <c r="AJ2151" s="374"/>
      <c r="AK2151" s="374"/>
      <c r="AS2151" s="485"/>
      <c r="AT2151" s="297"/>
      <c r="AZ2151" s="374"/>
      <c r="BA2151" s="297"/>
      <c r="BE2151" s="3"/>
      <c r="BM2151" s="229"/>
      <c r="BN2151" s="3"/>
      <c r="BW2151" s="26"/>
      <c r="BX2151" s="389"/>
      <c r="BY2151" s="3"/>
      <c r="BZ2151" s="4"/>
      <c r="CA2151" s="219"/>
      <c r="CB2151" s="3"/>
    </row>
    <row r="2152" spans="1:80" x14ac:dyDescent="0.2">
      <c r="A2152" s="296"/>
      <c r="AJ2152" s="374"/>
      <c r="AK2152" s="374"/>
      <c r="AS2152" s="485"/>
      <c r="AT2152" s="297"/>
      <c r="AZ2152" s="374"/>
      <c r="BA2152" s="297"/>
      <c r="BE2152" s="3"/>
      <c r="BM2152" s="229"/>
      <c r="BN2152" s="3"/>
      <c r="BW2152" s="26"/>
      <c r="BX2152" s="389"/>
      <c r="BY2152" s="3"/>
      <c r="BZ2152" s="4"/>
      <c r="CA2152" s="219"/>
      <c r="CB2152" s="3"/>
    </row>
    <row r="2153" spans="1:80" x14ac:dyDescent="0.2">
      <c r="A2153" s="296"/>
      <c r="AJ2153" s="374"/>
      <c r="AK2153" s="374"/>
      <c r="AS2153" s="485"/>
      <c r="AT2153" s="297"/>
      <c r="AZ2153" s="374"/>
      <c r="BA2153" s="297"/>
      <c r="BE2153" s="3"/>
      <c r="BM2153" s="229"/>
      <c r="BN2153" s="3"/>
      <c r="BW2153" s="26"/>
      <c r="BX2153" s="389"/>
      <c r="BY2153" s="3"/>
      <c r="BZ2153" s="4"/>
      <c r="CA2153" s="219"/>
      <c r="CB2153" s="3"/>
    </row>
    <row r="2154" spans="1:80" x14ac:dyDescent="0.2">
      <c r="A2154" s="296"/>
      <c r="AJ2154" s="374"/>
      <c r="AK2154" s="374"/>
      <c r="AS2154" s="485"/>
      <c r="AT2154" s="297"/>
      <c r="AZ2154" s="374"/>
      <c r="BA2154" s="297"/>
      <c r="BE2154" s="3"/>
      <c r="BM2154" s="229"/>
      <c r="BN2154" s="3"/>
      <c r="BW2154" s="26"/>
      <c r="BX2154" s="389"/>
      <c r="BY2154" s="3"/>
      <c r="BZ2154" s="4"/>
      <c r="CA2154" s="219"/>
      <c r="CB2154" s="3"/>
    </row>
    <row r="2155" spans="1:80" x14ac:dyDescent="0.2">
      <c r="A2155" s="296"/>
      <c r="AJ2155" s="374"/>
      <c r="AK2155" s="374"/>
      <c r="AS2155" s="485"/>
      <c r="AT2155" s="297"/>
      <c r="AZ2155" s="374"/>
      <c r="BA2155" s="297"/>
      <c r="BE2155" s="3"/>
      <c r="BM2155" s="229"/>
      <c r="BN2155" s="3"/>
      <c r="BW2155" s="26"/>
      <c r="BX2155" s="389"/>
      <c r="BY2155" s="3"/>
      <c r="BZ2155" s="4"/>
      <c r="CA2155" s="219"/>
      <c r="CB2155" s="3"/>
    </row>
    <row r="2156" spans="1:80" x14ac:dyDescent="0.2">
      <c r="A2156" s="296"/>
      <c r="AJ2156" s="374"/>
      <c r="AK2156" s="374"/>
      <c r="AS2156" s="485"/>
      <c r="AT2156" s="297"/>
      <c r="AZ2156" s="374"/>
      <c r="BA2156" s="297"/>
      <c r="BE2156" s="3"/>
      <c r="BM2156" s="229"/>
      <c r="BN2156" s="3"/>
      <c r="BW2156" s="26"/>
      <c r="BX2156" s="389"/>
      <c r="BY2156" s="3"/>
      <c r="BZ2156" s="4"/>
      <c r="CA2156" s="219"/>
      <c r="CB2156" s="3"/>
    </row>
    <row r="2157" spans="1:80" x14ac:dyDescent="0.2">
      <c r="A2157" s="296"/>
      <c r="AJ2157" s="374"/>
      <c r="AK2157" s="374"/>
      <c r="AS2157" s="485"/>
      <c r="AT2157" s="297"/>
      <c r="AZ2157" s="374"/>
      <c r="BA2157" s="297"/>
      <c r="BE2157" s="3"/>
      <c r="BM2157" s="229"/>
      <c r="BN2157" s="3"/>
      <c r="BW2157" s="26"/>
      <c r="BX2157" s="389"/>
      <c r="BY2157" s="3"/>
      <c r="BZ2157" s="4"/>
      <c r="CA2157" s="219"/>
      <c r="CB2157" s="3"/>
    </row>
    <row r="2158" spans="1:80" x14ac:dyDescent="0.2">
      <c r="A2158" s="296"/>
      <c r="AJ2158" s="374"/>
      <c r="AK2158" s="374"/>
      <c r="AS2158" s="485"/>
      <c r="AT2158" s="297"/>
      <c r="AZ2158" s="374"/>
      <c r="BA2158" s="297"/>
      <c r="BE2158" s="3"/>
      <c r="BM2158" s="229"/>
      <c r="BN2158" s="3"/>
      <c r="BW2158" s="26"/>
      <c r="BX2158" s="389"/>
      <c r="BY2158" s="3"/>
      <c r="BZ2158" s="4"/>
      <c r="CA2158" s="219"/>
      <c r="CB2158" s="3"/>
    </row>
    <row r="2159" spans="1:80" x14ac:dyDescent="0.2">
      <c r="A2159" s="296"/>
      <c r="AJ2159" s="374"/>
      <c r="AK2159" s="374"/>
      <c r="AS2159" s="485"/>
      <c r="AT2159" s="297"/>
      <c r="AZ2159" s="374"/>
      <c r="BA2159" s="297"/>
      <c r="BE2159" s="3"/>
      <c r="BM2159" s="229"/>
      <c r="BN2159" s="3"/>
      <c r="BW2159" s="26"/>
      <c r="BX2159" s="389"/>
      <c r="BY2159" s="3"/>
      <c r="BZ2159" s="4"/>
      <c r="CA2159" s="219"/>
      <c r="CB2159" s="3"/>
    </row>
    <row r="2160" spans="1:80" x14ac:dyDescent="0.2">
      <c r="A2160" s="296"/>
      <c r="AJ2160" s="374"/>
      <c r="AK2160" s="374"/>
      <c r="AS2160" s="485"/>
      <c r="AT2160" s="297"/>
      <c r="AZ2160" s="374"/>
      <c r="BA2160" s="297"/>
      <c r="BE2160" s="3"/>
      <c r="BM2160" s="229"/>
      <c r="BN2160" s="3"/>
      <c r="BW2160" s="26"/>
      <c r="BX2160" s="389"/>
      <c r="BY2160" s="3"/>
      <c r="BZ2160" s="4"/>
      <c r="CA2160" s="219"/>
      <c r="CB2160" s="3"/>
    </row>
    <row r="2161" spans="1:80" x14ac:dyDescent="0.2">
      <c r="A2161" s="296"/>
      <c r="AJ2161" s="374"/>
      <c r="AK2161" s="374"/>
      <c r="AS2161" s="485"/>
      <c r="AT2161" s="297"/>
      <c r="AZ2161" s="374"/>
      <c r="BA2161" s="297"/>
      <c r="BE2161" s="3"/>
      <c r="BM2161" s="229"/>
      <c r="BN2161" s="3"/>
      <c r="BW2161" s="26"/>
      <c r="BX2161" s="389"/>
      <c r="BY2161" s="3"/>
      <c r="BZ2161" s="4"/>
      <c r="CA2161" s="219"/>
      <c r="CB2161" s="3"/>
    </row>
    <row r="2162" spans="1:80" x14ac:dyDescent="0.2">
      <c r="A2162" s="296"/>
      <c r="AJ2162" s="374"/>
      <c r="AK2162" s="374"/>
      <c r="AS2162" s="485"/>
      <c r="AT2162" s="297"/>
      <c r="AZ2162" s="374"/>
      <c r="BA2162" s="297"/>
      <c r="BE2162" s="3"/>
      <c r="BM2162" s="229"/>
      <c r="BN2162" s="3"/>
      <c r="BW2162" s="26"/>
      <c r="BX2162" s="389"/>
      <c r="BY2162" s="3"/>
      <c r="BZ2162" s="4"/>
      <c r="CA2162" s="219"/>
      <c r="CB2162" s="3"/>
    </row>
    <row r="2163" spans="1:80" x14ac:dyDescent="0.2">
      <c r="A2163" s="296"/>
      <c r="AJ2163" s="374"/>
      <c r="AK2163" s="374"/>
      <c r="AS2163" s="485"/>
      <c r="AT2163" s="297"/>
      <c r="AZ2163" s="374"/>
      <c r="BA2163" s="297"/>
      <c r="BE2163" s="3"/>
      <c r="BM2163" s="229"/>
      <c r="BN2163" s="3"/>
      <c r="BW2163" s="26"/>
      <c r="BX2163" s="389"/>
      <c r="BY2163" s="3"/>
      <c r="BZ2163" s="4"/>
      <c r="CA2163" s="219"/>
      <c r="CB2163" s="3"/>
    </row>
    <row r="2164" spans="1:80" x14ac:dyDescent="0.2">
      <c r="A2164" s="296"/>
      <c r="AJ2164" s="374"/>
      <c r="AK2164" s="374"/>
      <c r="AS2164" s="485"/>
      <c r="AT2164" s="297"/>
      <c r="AZ2164" s="374"/>
      <c r="BA2164" s="297"/>
      <c r="BE2164" s="3"/>
      <c r="BM2164" s="229"/>
      <c r="BN2164" s="3"/>
      <c r="BW2164" s="26"/>
      <c r="BX2164" s="389"/>
      <c r="BY2164" s="3"/>
      <c r="BZ2164" s="4"/>
      <c r="CA2164" s="219"/>
      <c r="CB2164" s="3"/>
    </row>
    <row r="2165" spans="1:80" x14ac:dyDescent="0.2">
      <c r="A2165" s="296"/>
      <c r="AJ2165" s="374"/>
      <c r="AK2165" s="374"/>
      <c r="AS2165" s="485"/>
      <c r="AT2165" s="297"/>
      <c r="AZ2165" s="374"/>
      <c r="BA2165" s="297"/>
      <c r="BE2165" s="3"/>
      <c r="BM2165" s="229"/>
      <c r="BN2165" s="3"/>
      <c r="BW2165" s="26"/>
      <c r="BX2165" s="389"/>
      <c r="BY2165" s="3"/>
      <c r="BZ2165" s="4"/>
      <c r="CA2165" s="219"/>
      <c r="CB2165" s="3"/>
    </row>
    <row r="2166" spans="1:80" x14ac:dyDescent="0.2">
      <c r="A2166" s="296"/>
      <c r="AJ2166" s="374"/>
      <c r="AK2166" s="374"/>
      <c r="AS2166" s="485"/>
      <c r="AT2166" s="297"/>
      <c r="AZ2166" s="374"/>
      <c r="BA2166" s="297"/>
      <c r="BE2166" s="3"/>
      <c r="BM2166" s="229"/>
      <c r="BN2166" s="3"/>
      <c r="BW2166" s="26"/>
      <c r="BX2166" s="389"/>
      <c r="BY2166" s="3"/>
      <c r="BZ2166" s="4"/>
      <c r="CA2166" s="219"/>
      <c r="CB2166" s="3"/>
    </row>
    <row r="2167" spans="1:80" x14ac:dyDescent="0.2">
      <c r="A2167" s="296"/>
      <c r="AJ2167" s="374"/>
      <c r="AK2167" s="374"/>
      <c r="AS2167" s="485"/>
      <c r="AT2167" s="297"/>
      <c r="AZ2167" s="374"/>
      <c r="BA2167" s="297"/>
      <c r="BE2167" s="3"/>
      <c r="BM2167" s="229"/>
      <c r="BN2167" s="3"/>
      <c r="BW2167" s="26"/>
      <c r="BX2167" s="389"/>
      <c r="BY2167" s="3"/>
      <c r="BZ2167" s="4"/>
      <c r="CA2167" s="219"/>
      <c r="CB2167" s="3"/>
    </row>
    <row r="2168" spans="1:80" x14ac:dyDescent="0.2">
      <c r="A2168" s="296"/>
      <c r="AJ2168" s="374"/>
      <c r="AK2168" s="374"/>
      <c r="AS2168" s="485"/>
      <c r="AT2168" s="297"/>
      <c r="AZ2168" s="374"/>
      <c r="BA2168" s="297"/>
      <c r="BE2168" s="3"/>
      <c r="BM2168" s="229"/>
      <c r="BN2168" s="3"/>
      <c r="BW2168" s="26"/>
      <c r="BX2168" s="389"/>
      <c r="BY2168" s="3"/>
      <c r="BZ2168" s="4"/>
      <c r="CA2168" s="219"/>
      <c r="CB2168" s="3"/>
    </row>
    <row r="2169" spans="1:80" x14ac:dyDescent="0.2">
      <c r="A2169" s="296"/>
      <c r="AJ2169" s="374"/>
      <c r="AK2169" s="374"/>
      <c r="AS2169" s="485"/>
      <c r="AT2169" s="297"/>
      <c r="AZ2169" s="374"/>
      <c r="BA2169" s="4"/>
      <c r="BE2169" s="3"/>
      <c r="BM2169" s="229"/>
      <c r="BN2169" s="3"/>
      <c r="BW2169" s="26"/>
      <c r="BX2169" s="389"/>
      <c r="BY2169" s="3"/>
      <c r="BZ2169" s="4"/>
      <c r="CA2169" s="219"/>
      <c r="CB2169" s="3"/>
    </row>
    <row r="2170" spans="1:80" x14ac:dyDescent="0.2">
      <c r="A2170" s="296"/>
      <c r="AJ2170" s="374"/>
      <c r="AK2170" s="374"/>
      <c r="AS2170" s="485"/>
      <c r="AT2170" s="297"/>
      <c r="AZ2170" s="374"/>
      <c r="BA2170" s="4"/>
      <c r="BE2170" s="3"/>
      <c r="BM2170" s="229"/>
      <c r="BN2170" s="3"/>
      <c r="BW2170" s="26"/>
      <c r="BX2170" s="389"/>
      <c r="BY2170" s="3"/>
      <c r="BZ2170" s="4"/>
      <c r="CA2170" s="219"/>
      <c r="CB2170" s="3"/>
    </row>
    <row r="2171" spans="1:80" x14ac:dyDescent="0.2">
      <c r="A2171" s="296"/>
      <c r="AJ2171" s="374"/>
      <c r="AK2171" s="374"/>
      <c r="AS2171" s="485"/>
      <c r="AT2171" s="297"/>
      <c r="AZ2171" s="374"/>
      <c r="BA2171" s="4"/>
      <c r="BE2171" s="3"/>
      <c r="BM2171" s="229"/>
      <c r="BN2171" s="3"/>
      <c r="BW2171" s="26"/>
      <c r="BX2171" s="389"/>
      <c r="BY2171" s="3"/>
      <c r="BZ2171" s="4"/>
      <c r="CA2171" s="219"/>
      <c r="CB2171" s="3"/>
    </row>
    <row r="2172" spans="1:80" x14ac:dyDescent="0.2">
      <c r="A2172" s="296"/>
      <c r="AJ2172" s="374"/>
      <c r="AK2172" s="374"/>
      <c r="AS2172" s="485"/>
      <c r="AT2172" s="297"/>
      <c r="AZ2172" s="374"/>
      <c r="BA2172" s="4"/>
      <c r="BE2172" s="3"/>
      <c r="BM2172" s="229"/>
      <c r="BN2172" s="3"/>
      <c r="BW2172" s="26"/>
      <c r="BX2172" s="389"/>
      <c r="BY2172" s="3"/>
      <c r="BZ2172" s="4"/>
      <c r="CA2172" s="219"/>
      <c r="CB2172" s="3"/>
    </row>
    <row r="2173" spans="1:80" x14ac:dyDescent="0.2">
      <c r="A2173" s="296"/>
      <c r="AJ2173" s="374"/>
      <c r="AK2173" s="374"/>
      <c r="AS2173" s="485"/>
      <c r="AT2173" s="297"/>
      <c r="AZ2173" s="374"/>
      <c r="BA2173" s="4"/>
      <c r="BE2173" s="3"/>
      <c r="BM2173" s="229"/>
      <c r="BN2173" s="3"/>
      <c r="BW2173" s="26"/>
      <c r="BX2173" s="389"/>
      <c r="BY2173" s="3"/>
      <c r="BZ2173" s="4"/>
      <c r="CA2173" s="219"/>
      <c r="CB2173" s="3"/>
    </row>
    <row r="2174" spans="1:80" x14ac:dyDescent="0.2">
      <c r="A2174" s="296"/>
      <c r="AJ2174" s="374"/>
      <c r="AK2174" s="374"/>
      <c r="AS2174" s="485"/>
      <c r="AT2174" s="297"/>
      <c r="AZ2174" s="374"/>
      <c r="BA2174" s="4"/>
      <c r="BE2174" s="3"/>
      <c r="BM2174" s="229"/>
      <c r="BN2174" s="3"/>
      <c r="BW2174" s="26"/>
      <c r="BX2174" s="389"/>
      <c r="BY2174" s="3"/>
      <c r="BZ2174" s="4"/>
      <c r="CA2174" s="219"/>
      <c r="CB2174" s="3"/>
    </row>
    <row r="2175" spans="1:80" x14ac:dyDescent="0.2">
      <c r="A2175" s="296"/>
      <c r="AJ2175" s="374"/>
      <c r="AK2175" s="374"/>
      <c r="AS2175" s="485"/>
      <c r="AT2175" s="297"/>
      <c r="AZ2175" s="374"/>
      <c r="BA2175" s="4"/>
      <c r="BE2175" s="3"/>
      <c r="BM2175" s="229"/>
      <c r="BN2175" s="3"/>
      <c r="BW2175" s="26"/>
      <c r="BX2175" s="389"/>
      <c r="BY2175" s="3"/>
      <c r="BZ2175" s="4"/>
      <c r="CA2175" s="219"/>
      <c r="CB2175" s="3"/>
    </row>
    <row r="2176" spans="1:80" x14ac:dyDescent="0.2">
      <c r="A2176" s="296"/>
      <c r="AJ2176" s="374"/>
      <c r="AK2176" s="374"/>
      <c r="AS2176" s="485"/>
      <c r="AT2176" s="297"/>
      <c r="AZ2176" s="374"/>
      <c r="BA2176" s="4"/>
      <c r="BE2176" s="3"/>
      <c r="BM2176" s="229"/>
      <c r="BN2176" s="3"/>
      <c r="BW2176" s="26"/>
      <c r="BX2176" s="389"/>
      <c r="BY2176" s="3"/>
      <c r="BZ2176" s="4"/>
      <c r="CA2176" s="219"/>
      <c r="CB2176" s="3"/>
    </row>
    <row r="2177" spans="1:80" x14ac:dyDescent="0.2">
      <c r="A2177" s="296"/>
      <c r="AJ2177" s="374"/>
      <c r="AK2177" s="374"/>
      <c r="AS2177" s="485"/>
      <c r="AT2177" s="297"/>
      <c r="AZ2177" s="374"/>
      <c r="BA2177" s="4"/>
      <c r="BE2177" s="3"/>
      <c r="BM2177" s="229"/>
      <c r="BN2177" s="3"/>
      <c r="BW2177" s="26"/>
      <c r="BX2177" s="389"/>
      <c r="BY2177" s="3"/>
      <c r="BZ2177" s="4"/>
      <c r="CA2177" s="219"/>
      <c r="CB2177" s="3"/>
    </row>
    <row r="2178" spans="1:80" x14ac:dyDescent="0.2">
      <c r="A2178" s="296"/>
      <c r="AJ2178" s="374"/>
      <c r="AK2178" s="374"/>
      <c r="AS2178" s="485"/>
      <c r="AT2178" s="297"/>
      <c r="AZ2178" s="374"/>
      <c r="BA2178" s="4"/>
      <c r="BE2178" s="3"/>
      <c r="BM2178" s="229"/>
      <c r="BN2178" s="3"/>
      <c r="BW2178" s="26"/>
      <c r="BX2178" s="389"/>
      <c r="BY2178" s="3"/>
      <c r="BZ2178" s="4"/>
      <c r="CA2178" s="219"/>
      <c r="CB2178" s="3"/>
    </row>
    <row r="2179" spans="1:80" x14ac:dyDescent="0.2">
      <c r="A2179" s="296"/>
      <c r="AJ2179" s="374"/>
      <c r="AK2179" s="374"/>
      <c r="AS2179" s="485"/>
      <c r="AT2179" s="297"/>
      <c r="AZ2179" s="374"/>
      <c r="BA2179" s="4"/>
      <c r="BE2179" s="3"/>
      <c r="BM2179" s="229"/>
      <c r="BN2179" s="3"/>
      <c r="BW2179" s="26"/>
      <c r="BX2179" s="389"/>
      <c r="BY2179" s="3"/>
      <c r="BZ2179" s="4"/>
      <c r="CA2179" s="219"/>
      <c r="CB2179" s="3"/>
    </row>
    <row r="2180" spans="1:80" x14ac:dyDescent="0.2">
      <c r="A2180" s="296"/>
      <c r="AJ2180" s="374"/>
      <c r="AK2180" s="374"/>
      <c r="AS2180" s="485"/>
      <c r="AT2180" s="297"/>
      <c r="AZ2180" s="374"/>
      <c r="BA2180" s="4"/>
      <c r="BE2180" s="3"/>
      <c r="BM2180" s="229"/>
      <c r="BN2180" s="3"/>
      <c r="BW2180" s="26"/>
      <c r="BX2180" s="389"/>
      <c r="BY2180" s="3"/>
      <c r="BZ2180" s="4"/>
      <c r="CA2180" s="219"/>
      <c r="CB2180" s="3"/>
    </row>
    <row r="2181" spans="1:80" x14ac:dyDescent="0.2">
      <c r="A2181" s="296"/>
      <c r="AJ2181" s="374"/>
      <c r="AK2181" s="374"/>
      <c r="AS2181" s="485"/>
      <c r="AT2181" s="297"/>
      <c r="AZ2181" s="374"/>
      <c r="BA2181" s="4"/>
      <c r="BE2181" s="3"/>
      <c r="BM2181" s="229"/>
      <c r="BN2181" s="3"/>
      <c r="BW2181" s="26"/>
      <c r="BX2181" s="389"/>
      <c r="BY2181" s="3"/>
      <c r="BZ2181" s="4"/>
      <c r="CA2181" s="219"/>
      <c r="CB2181" s="3"/>
    </row>
    <row r="2182" spans="1:80" x14ac:dyDescent="0.2">
      <c r="A2182" s="296"/>
      <c r="AJ2182" s="374"/>
      <c r="AK2182" s="374"/>
      <c r="AS2182" s="485"/>
      <c r="AT2182" s="297"/>
      <c r="AZ2182" s="374"/>
      <c r="BA2182" s="4"/>
      <c r="BE2182" s="3"/>
      <c r="BM2182" s="229"/>
      <c r="BN2182" s="3"/>
      <c r="BW2182" s="26"/>
      <c r="BX2182" s="389"/>
      <c r="BY2182" s="3"/>
      <c r="BZ2182" s="4"/>
      <c r="CA2182" s="219"/>
      <c r="CB2182" s="3"/>
    </row>
    <row r="2183" spans="1:80" x14ac:dyDescent="0.2">
      <c r="A2183" s="296"/>
      <c r="AJ2183" s="374"/>
      <c r="AK2183" s="374"/>
      <c r="AS2183" s="485"/>
      <c r="AT2183" s="297"/>
      <c r="AZ2183" s="374"/>
      <c r="BA2183" s="4"/>
      <c r="BE2183" s="3"/>
      <c r="BM2183" s="229"/>
      <c r="BN2183" s="3"/>
      <c r="BW2183" s="26"/>
      <c r="BX2183" s="389"/>
      <c r="BY2183" s="3"/>
      <c r="BZ2183" s="4"/>
      <c r="CA2183" s="219"/>
      <c r="CB2183" s="3"/>
    </row>
    <row r="2184" spans="1:80" x14ac:dyDescent="0.2">
      <c r="A2184" s="296"/>
      <c r="AJ2184" s="374"/>
      <c r="AK2184" s="374"/>
      <c r="AS2184" s="485"/>
      <c r="AT2184" s="297"/>
      <c r="AZ2184" s="374"/>
      <c r="BA2184" s="4"/>
      <c r="BE2184" s="3"/>
      <c r="BM2184" s="229"/>
      <c r="BN2184" s="3"/>
      <c r="BW2184" s="26"/>
      <c r="BX2184" s="389"/>
      <c r="BY2184" s="3"/>
      <c r="BZ2184" s="4"/>
      <c r="CA2184" s="219"/>
      <c r="CB2184" s="3"/>
    </row>
    <row r="2185" spans="1:80" x14ac:dyDescent="0.2">
      <c r="A2185" s="296"/>
      <c r="AJ2185" s="374"/>
      <c r="AK2185" s="374"/>
      <c r="AS2185" s="485"/>
      <c r="AT2185" s="297"/>
      <c r="AZ2185" s="374"/>
      <c r="BA2185" s="4"/>
      <c r="BE2185" s="3"/>
      <c r="BM2185" s="229"/>
      <c r="BN2185" s="3"/>
      <c r="BW2185" s="26"/>
      <c r="BX2185" s="389"/>
      <c r="BY2185" s="3"/>
      <c r="BZ2185" s="4"/>
      <c r="CA2185" s="219"/>
      <c r="CB2185" s="3"/>
    </row>
    <row r="2186" spans="1:80" x14ac:dyDescent="0.2">
      <c r="AJ2186" s="374"/>
      <c r="AK2186" s="374"/>
      <c r="AS2186" s="485"/>
      <c r="AT2186" s="297"/>
      <c r="AZ2186" s="374"/>
      <c r="BA2186" s="4"/>
      <c r="BE2186" s="3"/>
      <c r="BM2186" s="229"/>
      <c r="BN2186" s="3"/>
      <c r="BW2186" s="26"/>
      <c r="BX2186" s="389"/>
      <c r="BY2186" s="3"/>
      <c r="BZ2186" s="4"/>
      <c r="CA2186" s="219"/>
      <c r="CB2186" s="3"/>
    </row>
    <row r="2187" spans="1:80" x14ac:dyDescent="0.2">
      <c r="AJ2187" s="374"/>
      <c r="AK2187" s="374"/>
      <c r="AS2187" s="485"/>
      <c r="AT2187" s="297"/>
      <c r="AZ2187" s="374"/>
      <c r="BA2187" s="4"/>
      <c r="BE2187" s="3"/>
      <c r="BM2187" s="229"/>
      <c r="BN2187" s="3"/>
      <c r="BW2187" s="26"/>
      <c r="BX2187" s="389"/>
      <c r="BY2187" s="3"/>
      <c r="BZ2187" s="4"/>
      <c r="CA2187" s="219"/>
      <c r="CB2187" s="3"/>
    </row>
    <row r="2188" spans="1:80" x14ac:dyDescent="0.2">
      <c r="AJ2188" s="374"/>
      <c r="AK2188" s="374"/>
      <c r="AS2188" s="485"/>
      <c r="AT2188" s="297"/>
      <c r="AZ2188" s="374"/>
      <c r="BA2188" s="4"/>
      <c r="BE2188" s="3"/>
      <c r="BM2188" s="229"/>
      <c r="BN2188" s="3"/>
      <c r="BW2188" s="26"/>
      <c r="BX2188" s="389"/>
      <c r="BY2188" s="3"/>
      <c r="BZ2188" s="4"/>
      <c r="CA2188" s="219"/>
      <c r="CB2188" s="3"/>
    </row>
    <row r="2189" spans="1:80" x14ac:dyDescent="0.2">
      <c r="AJ2189" s="374"/>
      <c r="AK2189" s="374"/>
      <c r="AS2189" s="485"/>
      <c r="AT2189" s="297"/>
      <c r="AZ2189" s="374"/>
      <c r="BA2189" s="4"/>
      <c r="BE2189" s="3"/>
      <c r="BM2189" s="229"/>
      <c r="BN2189" s="3"/>
      <c r="BW2189" s="26"/>
      <c r="BX2189" s="389"/>
      <c r="BY2189" s="3"/>
      <c r="BZ2189" s="4"/>
      <c r="CA2189" s="219"/>
      <c r="CB2189" s="3"/>
    </row>
    <row r="2190" spans="1:80" x14ac:dyDescent="0.2">
      <c r="AJ2190" s="374"/>
      <c r="AK2190" s="374"/>
      <c r="AS2190" s="485"/>
      <c r="AT2190" s="297"/>
      <c r="AZ2190" s="374"/>
      <c r="BA2190" s="4"/>
      <c r="BE2190" s="3"/>
      <c r="BM2190" s="229"/>
      <c r="BN2190" s="3"/>
      <c r="BW2190" s="26"/>
      <c r="BX2190" s="389"/>
      <c r="BY2190" s="3"/>
      <c r="BZ2190" s="4"/>
      <c r="CA2190" s="219"/>
      <c r="CB2190" s="3"/>
    </row>
    <row r="2191" spans="1:80" x14ac:dyDescent="0.2">
      <c r="AJ2191" s="374"/>
      <c r="AK2191" s="374"/>
      <c r="AS2191" s="485"/>
      <c r="AT2191" s="297"/>
      <c r="AZ2191" s="374"/>
      <c r="BA2191" s="4"/>
      <c r="BE2191" s="3"/>
      <c r="BM2191" s="229"/>
      <c r="BN2191" s="3"/>
      <c r="BW2191" s="26"/>
      <c r="BX2191" s="389"/>
      <c r="BY2191" s="3"/>
      <c r="BZ2191" s="4"/>
      <c r="CA2191" s="219"/>
      <c r="CB2191" s="3"/>
    </row>
    <row r="2192" spans="1:80" x14ac:dyDescent="0.2">
      <c r="AJ2192" s="374"/>
      <c r="AK2192" s="374"/>
      <c r="AS2192" s="485"/>
      <c r="AT2192" s="297"/>
      <c r="AZ2192" s="374"/>
      <c r="BA2192" s="4"/>
      <c r="BE2192" s="3"/>
      <c r="BM2192" s="229"/>
      <c r="BN2192" s="3"/>
      <c r="BW2192" s="26"/>
      <c r="BX2192" s="389"/>
      <c r="BY2192" s="3"/>
      <c r="BZ2192" s="4"/>
      <c r="CA2192" s="219"/>
      <c r="CB2192" s="3"/>
    </row>
    <row r="2193" spans="36:80" x14ac:dyDescent="0.2">
      <c r="AJ2193" s="374"/>
      <c r="AK2193" s="374"/>
      <c r="AS2193" s="485"/>
      <c r="AT2193" s="297"/>
      <c r="AZ2193" s="374"/>
      <c r="BA2193" s="4"/>
      <c r="BE2193" s="3"/>
      <c r="BM2193" s="229"/>
      <c r="BN2193" s="3"/>
      <c r="BW2193" s="26"/>
      <c r="BX2193" s="389"/>
      <c r="BY2193" s="3"/>
      <c r="BZ2193" s="4"/>
      <c r="CA2193" s="219"/>
      <c r="CB2193" s="3"/>
    </row>
    <row r="2194" spans="36:80" x14ac:dyDescent="0.2">
      <c r="AJ2194" s="374"/>
      <c r="AK2194" s="374"/>
      <c r="AS2194" s="485"/>
      <c r="AT2194" s="297"/>
      <c r="AZ2194" s="374"/>
      <c r="BA2194" s="4"/>
      <c r="BE2194" s="3"/>
      <c r="BM2194" s="229"/>
      <c r="BN2194" s="3"/>
      <c r="BW2194" s="26"/>
      <c r="BX2194" s="389"/>
      <c r="BY2194" s="3"/>
      <c r="BZ2194" s="4"/>
      <c r="CA2194" s="219"/>
      <c r="CB2194" s="3"/>
    </row>
    <row r="2195" spans="36:80" x14ac:dyDescent="0.2">
      <c r="AJ2195" s="374"/>
      <c r="AK2195" s="374"/>
      <c r="AS2195" s="485"/>
      <c r="AT2195" s="297"/>
      <c r="AZ2195" s="374"/>
      <c r="BA2195" s="4"/>
      <c r="BE2195" s="3"/>
      <c r="BM2195" s="229"/>
      <c r="BN2195" s="3"/>
      <c r="BW2195" s="26"/>
      <c r="BX2195" s="389"/>
      <c r="BY2195" s="3"/>
      <c r="BZ2195" s="4"/>
      <c r="CA2195" s="219"/>
      <c r="CB2195" s="3"/>
    </row>
    <row r="2196" spans="36:80" x14ac:dyDescent="0.2">
      <c r="AJ2196" s="374"/>
      <c r="AK2196" s="374"/>
      <c r="AS2196" s="485"/>
      <c r="AT2196" s="297"/>
      <c r="AZ2196" s="374"/>
      <c r="BA2196" s="4"/>
      <c r="BE2196" s="3"/>
      <c r="BM2196" s="229"/>
      <c r="BN2196" s="3"/>
      <c r="BW2196" s="26"/>
      <c r="BX2196" s="389"/>
      <c r="BY2196" s="3"/>
      <c r="BZ2196" s="4"/>
      <c r="CA2196" s="219"/>
      <c r="CB2196" s="3"/>
    </row>
    <row r="2197" spans="36:80" x14ac:dyDescent="0.2">
      <c r="AJ2197" s="374"/>
      <c r="AK2197" s="374"/>
      <c r="AS2197" s="485"/>
      <c r="AT2197" s="297"/>
      <c r="AZ2197" s="374"/>
      <c r="BA2197" s="4"/>
      <c r="BE2197" s="3"/>
      <c r="BM2197" s="229"/>
      <c r="BN2197" s="3"/>
      <c r="BW2197" s="26"/>
      <c r="BX2197" s="389"/>
      <c r="BY2197" s="3"/>
      <c r="BZ2197" s="4"/>
      <c r="CA2197" s="219"/>
      <c r="CB2197" s="3"/>
    </row>
    <row r="2198" spans="36:80" x14ac:dyDescent="0.2">
      <c r="AJ2198" s="374"/>
      <c r="AK2198" s="374"/>
      <c r="AS2198" s="485"/>
      <c r="AT2198" s="297"/>
      <c r="AZ2198" s="374"/>
      <c r="BA2198" s="4"/>
      <c r="BE2198" s="3"/>
      <c r="BM2198" s="229"/>
      <c r="BN2198" s="3"/>
      <c r="BW2198" s="26"/>
      <c r="BX2198" s="389"/>
      <c r="BY2198" s="3"/>
      <c r="BZ2198" s="4"/>
      <c r="CA2198" s="219"/>
      <c r="CB2198" s="3"/>
    </row>
    <row r="2199" spans="36:80" x14ac:dyDescent="0.2">
      <c r="AJ2199" s="374"/>
      <c r="AK2199" s="374"/>
      <c r="AS2199" s="485"/>
      <c r="AT2199" s="297"/>
      <c r="AZ2199" s="374"/>
      <c r="BA2199" s="4"/>
      <c r="BE2199" s="3"/>
      <c r="BM2199" s="229"/>
      <c r="BN2199" s="3"/>
      <c r="BW2199" s="26"/>
      <c r="BX2199" s="389"/>
      <c r="BY2199" s="3"/>
      <c r="BZ2199" s="4"/>
      <c r="CA2199" s="219"/>
      <c r="CB2199" s="3"/>
    </row>
    <row r="2200" spans="36:80" x14ac:dyDescent="0.2">
      <c r="AJ2200" s="374"/>
      <c r="AK2200" s="374"/>
      <c r="AS2200" s="485"/>
      <c r="AT2200" s="297"/>
      <c r="AZ2200" s="374"/>
      <c r="BA2200" s="4"/>
      <c r="BE2200" s="3"/>
      <c r="BM2200" s="229"/>
      <c r="BN2200" s="3"/>
      <c r="BW2200" s="26"/>
      <c r="BX2200" s="389"/>
      <c r="BY2200" s="3"/>
      <c r="BZ2200" s="4"/>
      <c r="CA2200" s="219"/>
      <c r="CB2200" s="3"/>
    </row>
    <row r="2201" spans="36:80" x14ac:dyDescent="0.2">
      <c r="AJ2201" s="374"/>
      <c r="AK2201" s="374"/>
      <c r="AS2201" s="485"/>
      <c r="AT2201" s="297"/>
      <c r="AZ2201" s="374"/>
      <c r="BA2201" s="4"/>
      <c r="BE2201" s="3"/>
      <c r="BM2201" s="229"/>
      <c r="BN2201" s="3"/>
      <c r="BW2201" s="26"/>
      <c r="BX2201" s="389"/>
      <c r="BY2201" s="3"/>
      <c r="BZ2201" s="4"/>
      <c r="CA2201" s="219"/>
      <c r="CB2201" s="3"/>
    </row>
    <row r="2202" spans="36:80" x14ac:dyDescent="0.2">
      <c r="AJ2202" s="374"/>
      <c r="AK2202" s="374"/>
      <c r="AS2202" s="485"/>
      <c r="AT2202" s="297"/>
      <c r="AZ2202" s="374"/>
      <c r="BA2202" s="4"/>
      <c r="BE2202" s="3"/>
      <c r="BM2202" s="229"/>
      <c r="BN2202" s="3"/>
      <c r="BW2202" s="26"/>
      <c r="BX2202" s="389"/>
      <c r="BY2202" s="3"/>
      <c r="BZ2202" s="4"/>
      <c r="CA2202" s="219"/>
      <c r="CB2202" s="3"/>
    </row>
    <row r="2203" spans="36:80" x14ac:dyDescent="0.2">
      <c r="AJ2203" s="374"/>
      <c r="AK2203" s="374"/>
      <c r="AS2203" s="485"/>
      <c r="AT2203" s="297"/>
      <c r="AZ2203" s="374"/>
      <c r="BA2203" s="4"/>
      <c r="BE2203" s="3"/>
      <c r="BM2203" s="229"/>
      <c r="BN2203" s="3"/>
      <c r="BW2203" s="26"/>
      <c r="BX2203" s="389"/>
      <c r="BY2203" s="3"/>
      <c r="BZ2203" s="4"/>
      <c r="CA2203" s="219"/>
      <c r="CB2203" s="3"/>
    </row>
    <row r="2204" spans="36:80" x14ac:dyDescent="0.2">
      <c r="AJ2204" s="374"/>
      <c r="AK2204" s="374"/>
      <c r="AS2204" s="485"/>
      <c r="AT2204" s="297"/>
      <c r="AZ2204" s="374"/>
      <c r="BA2204" s="4"/>
      <c r="BE2204" s="3"/>
      <c r="BM2204" s="229"/>
      <c r="BN2204" s="3"/>
      <c r="BW2204" s="26"/>
      <c r="BX2204" s="389"/>
      <c r="BY2204" s="3"/>
      <c r="BZ2204" s="4"/>
      <c r="CA2204" s="219"/>
      <c r="CB2204" s="3"/>
    </row>
    <row r="2205" spans="36:80" x14ac:dyDescent="0.2">
      <c r="AJ2205" s="374"/>
      <c r="AK2205" s="374"/>
      <c r="AS2205" s="485"/>
      <c r="AT2205" s="297"/>
      <c r="AZ2205" s="374"/>
      <c r="BA2205" s="4"/>
      <c r="BE2205" s="3"/>
      <c r="BM2205" s="229"/>
      <c r="BN2205" s="3"/>
      <c r="BW2205" s="26"/>
      <c r="BX2205" s="389"/>
      <c r="BY2205" s="3"/>
      <c r="BZ2205" s="4"/>
      <c r="CA2205" s="219"/>
      <c r="CB2205" s="3"/>
    </row>
    <row r="2206" spans="36:80" x14ac:dyDescent="0.2">
      <c r="AJ2206" s="374"/>
      <c r="AK2206" s="374"/>
      <c r="AS2206" s="485"/>
      <c r="AT2206" s="297"/>
      <c r="AZ2206" s="374"/>
      <c r="BA2206" s="4"/>
      <c r="BE2206" s="3"/>
      <c r="BM2206" s="229"/>
      <c r="BN2206" s="3"/>
      <c r="BW2206" s="26"/>
      <c r="BX2206" s="389"/>
      <c r="BY2206" s="3"/>
      <c r="BZ2206" s="4"/>
      <c r="CA2206" s="219"/>
      <c r="CB2206" s="3"/>
    </row>
    <row r="2207" spans="36:80" x14ac:dyDescent="0.2">
      <c r="AJ2207" s="374"/>
      <c r="AK2207" s="374"/>
      <c r="AS2207" s="485"/>
      <c r="AT2207" s="297"/>
      <c r="AZ2207" s="374"/>
      <c r="BA2207" s="4"/>
      <c r="BE2207" s="3"/>
      <c r="BM2207" s="229"/>
      <c r="BN2207" s="3"/>
      <c r="BW2207" s="26"/>
      <c r="BX2207" s="389"/>
      <c r="BY2207" s="3"/>
      <c r="BZ2207" s="4"/>
      <c r="CA2207" s="219"/>
      <c r="CB2207" s="3"/>
    </row>
    <row r="2208" spans="36:80" x14ac:dyDescent="0.2">
      <c r="AJ2208" s="374"/>
      <c r="AK2208" s="374"/>
      <c r="AS2208" s="485"/>
      <c r="AT2208" s="297"/>
      <c r="AZ2208" s="374"/>
      <c r="BA2208" s="4"/>
      <c r="BE2208" s="3"/>
      <c r="BM2208" s="229"/>
      <c r="BN2208" s="3"/>
      <c r="BW2208" s="26"/>
      <c r="BX2208" s="389"/>
      <c r="BY2208" s="3"/>
      <c r="BZ2208" s="4"/>
      <c r="CA2208" s="219"/>
      <c r="CB2208" s="3"/>
    </row>
    <row r="2209" spans="36:80" x14ac:dyDescent="0.2">
      <c r="AJ2209" s="374"/>
      <c r="AK2209" s="374"/>
      <c r="AS2209" s="485"/>
      <c r="AT2209" s="297"/>
      <c r="AZ2209" s="374"/>
      <c r="BA2209" s="4"/>
      <c r="BE2209" s="3"/>
      <c r="BM2209" s="229"/>
      <c r="BN2209" s="3"/>
      <c r="BW2209" s="26"/>
      <c r="BX2209" s="389"/>
      <c r="BY2209" s="3"/>
      <c r="BZ2209" s="4"/>
      <c r="CA2209" s="219"/>
      <c r="CB2209" s="3"/>
    </row>
    <row r="2210" spans="36:80" x14ac:dyDescent="0.2">
      <c r="AJ2210" s="374"/>
      <c r="AK2210" s="374"/>
      <c r="AS2210" s="485"/>
      <c r="AT2210" s="297"/>
      <c r="AZ2210" s="374"/>
      <c r="BA2210" s="4"/>
      <c r="BE2210" s="3"/>
      <c r="BM2210" s="229"/>
      <c r="BN2210" s="3"/>
      <c r="BW2210" s="26"/>
      <c r="BX2210" s="389"/>
      <c r="BY2210" s="3"/>
      <c r="BZ2210" s="4"/>
      <c r="CA2210" s="219"/>
      <c r="CB2210" s="3"/>
    </row>
    <row r="2211" spans="36:80" x14ac:dyDescent="0.2">
      <c r="AJ2211" s="374"/>
      <c r="AK2211" s="374"/>
      <c r="AS2211" s="485"/>
      <c r="AT2211" s="297"/>
      <c r="AZ2211" s="374"/>
      <c r="BA2211" s="4"/>
      <c r="BE2211" s="3"/>
      <c r="BM2211" s="229"/>
      <c r="BN2211" s="3"/>
      <c r="BW2211" s="26"/>
      <c r="BX2211" s="389"/>
      <c r="BY2211" s="3"/>
      <c r="BZ2211" s="4"/>
      <c r="CA2211" s="219"/>
      <c r="CB2211" s="3"/>
    </row>
    <row r="2212" spans="36:80" x14ac:dyDescent="0.2">
      <c r="AJ2212" s="374"/>
      <c r="AK2212" s="374"/>
      <c r="AS2212" s="485"/>
      <c r="AT2212" s="297"/>
      <c r="AZ2212" s="374"/>
      <c r="BA2212" s="4"/>
      <c r="BE2212" s="3"/>
      <c r="BM2212" s="229"/>
      <c r="BN2212" s="3"/>
      <c r="BW2212" s="26"/>
      <c r="BX2212" s="389"/>
      <c r="BY2212" s="3"/>
      <c r="BZ2212" s="4"/>
      <c r="CA2212" s="219"/>
      <c r="CB2212" s="3"/>
    </row>
    <row r="2213" spans="36:80" x14ac:dyDescent="0.2">
      <c r="AJ2213" s="374"/>
      <c r="AK2213" s="374"/>
      <c r="AS2213" s="485"/>
      <c r="AT2213" s="297"/>
      <c r="AZ2213" s="374"/>
      <c r="BA2213" s="4"/>
      <c r="BE2213" s="3"/>
      <c r="BM2213" s="229"/>
      <c r="BN2213" s="3"/>
      <c r="BW2213" s="26"/>
      <c r="BX2213" s="389"/>
      <c r="BY2213" s="3"/>
      <c r="BZ2213" s="4"/>
      <c r="CA2213" s="219"/>
      <c r="CB2213" s="3"/>
    </row>
    <row r="2214" spans="36:80" x14ac:dyDescent="0.2">
      <c r="AJ2214" s="374"/>
      <c r="AK2214" s="374"/>
      <c r="AS2214" s="485"/>
      <c r="AT2214" s="297"/>
      <c r="AZ2214" s="374"/>
      <c r="BA2214" s="4"/>
      <c r="BE2214" s="3"/>
      <c r="BM2214" s="229"/>
      <c r="BN2214" s="3"/>
      <c r="BW2214" s="26"/>
      <c r="BX2214" s="389"/>
      <c r="BY2214" s="3"/>
      <c r="BZ2214" s="4"/>
      <c r="CA2214" s="219"/>
      <c r="CB2214" s="3"/>
    </row>
    <row r="2215" spans="36:80" x14ac:dyDescent="0.2">
      <c r="AJ2215" s="374"/>
      <c r="AK2215" s="374"/>
      <c r="AS2215" s="485"/>
      <c r="AT2215" s="297"/>
      <c r="AZ2215" s="374"/>
      <c r="BA2215" s="4"/>
      <c r="BE2215" s="3"/>
      <c r="BM2215" s="229"/>
      <c r="BN2215" s="3"/>
      <c r="BW2215" s="26"/>
      <c r="BX2215" s="389"/>
      <c r="BY2215" s="3"/>
      <c r="BZ2215" s="4"/>
      <c r="CA2215" s="219"/>
      <c r="CB2215" s="3"/>
    </row>
    <row r="2216" spans="36:80" x14ac:dyDescent="0.2">
      <c r="AJ2216" s="374"/>
      <c r="AK2216" s="374"/>
      <c r="AS2216" s="485"/>
      <c r="AT2216" s="297"/>
      <c r="AZ2216" s="374"/>
      <c r="BA2216" s="4"/>
      <c r="BE2216" s="3"/>
      <c r="BM2216" s="229"/>
      <c r="BN2216" s="3"/>
      <c r="BW2216" s="26"/>
      <c r="BX2216" s="389"/>
      <c r="BY2216" s="3"/>
      <c r="BZ2216" s="4"/>
      <c r="CA2216" s="219"/>
      <c r="CB2216" s="3"/>
    </row>
    <row r="2217" spans="36:80" x14ac:dyDescent="0.2">
      <c r="AJ2217" s="374"/>
      <c r="AK2217" s="374"/>
      <c r="AS2217" s="485"/>
      <c r="AT2217" s="297"/>
      <c r="AZ2217" s="374"/>
      <c r="BA2217" s="4"/>
      <c r="BE2217" s="3"/>
      <c r="BM2217" s="229"/>
      <c r="BN2217" s="3"/>
      <c r="BW2217" s="26"/>
      <c r="BX2217" s="389"/>
      <c r="BY2217" s="3"/>
      <c r="BZ2217" s="4"/>
      <c r="CA2217" s="219"/>
      <c r="CB2217" s="3"/>
    </row>
    <row r="2218" spans="36:80" x14ac:dyDescent="0.2">
      <c r="AJ2218" s="374"/>
      <c r="AK2218" s="374"/>
      <c r="AS2218" s="485"/>
      <c r="AT2218" s="297"/>
      <c r="AZ2218" s="374"/>
      <c r="BA2218" s="4"/>
      <c r="BE2218" s="3"/>
      <c r="BM2218" s="229"/>
      <c r="BN2218" s="3"/>
      <c r="BW2218" s="26"/>
      <c r="BX2218" s="389"/>
      <c r="BY2218" s="3"/>
      <c r="BZ2218" s="4"/>
      <c r="CA2218" s="219"/>
      <c r="CB2218" s="3"/>
    </row>
    <row r="2219" spans="36:80" x14ac:dyDescent="0.2">
      <c r="AJ2219" s="374"/>
      <c r="AK2219" s="374"/>
      <c r="AS2219" s="485"/>
      <c r="AT2219" s="297"/>
      <c r="AZ2219" s="374"/>
      <c r="BA2219" s="4"/>
      <c r="BE2219" s="3"/>
      <c r="BM2219" s="229"/>
      <c r="BN2219" s="3"/>
      <c r="BW2219" s="26"/>
      <c r="BX2219" s="389"/>
      <c r="BY2219" s="3"/>
      <c r="BZ2219" s="4"/>
      <c r="CA2219" s="219"/>
      <c r="CB2219" s="3"/>
    </row>
    <row r="2220" spans="36:80" x14ac:dyDescent="0.2">
      <c r="AJ2220" s="374"/>
      <c r="AK2220" s="374"/>
      <c r="AS2220" s="485"/>
      <c r="AT2220" s="297"/>
      <c r="AZ2220" s="374"/>
      <c r="BA2220" s="4"/>
      <c r="BE2220" s="3"/>
      <c r="BM2220" s="229"/>
      <c r="BN2220" s="3"/>
      <c r="BW2220" s="26"/>
      <c r="BX2220" s="389"/>
      <c r="BY2220" s="3"/>
      <c r="BZ2220" s="4"/>
      <c r="CA2220" s="219"/>
      <c r="CB2220" s="3"/>
    </row>
    <row r="2221" spans="36:80" x14ac:dyDescent="0.2">
      <c r="AJ2221" s="374"/>
      <c r="AK2221" s="374"/>
      <c r="AS2221" s="485"/>
      <c r="AT2221" s="297"/>
      <c r="AZ2221" s="374"/>
      <c r="BA2221" s="4"/>
      <c r="BE2221" s="3"/>
      <c r="BM2221" s="229"/>
      <c r="BN2221" s="3"/>
      <c r="BW2221" s="26"/>
      <c r="BX2221" s="389"/>
      <c r="BY2221" s="3"/>
      <c r="BZ2221" s="4"/>
      <c r="CA2221" s="219"/>
      <c r="CB2221" s="3"/>
    </row>
    <row r="2222" spans="36:80" x14ac:dyDescent="0.2">
      <c r="AJ2222" s="374"/>
      <c r="AK2222" s="374"/>
      <c r="AS2222" s="485"/>
      <c r="AT2222" s="297"/>
      <c r="AZ2222" s="374"/>
      <c r="BA2222" s="4"/>
      <c r="BE2222" s="3"/>
      <c r="BM2222" s="229"/>
      <c r="BN2222" s="3"/>
      <c r="BW2222" s="26"/>
      <c r="BX2222" s="389"/>
      <c r="BY2222" s="3"/>
      <c r="BZ2222" s="4"/>
      <c r="CA2222" s="219"/>
      <c r="CB2222" s="3"/>
    </row>
    <row r="2223" spans="36:80" x14ac:dyDescent="0.2">
      <c r="AJ2223" s="374"/>
      <c r="AK2223" s="374"/>
      <c r="AS2223" s="485"/>
      <c r="AT2223" s="297"/>
      <c r="AZ2223" s="374"/>
      <c r="BA2223" s="4"/>
      <c r="BE2223" s="3"/>
      <c r="BM2223" s="229"/>
      <c r="BN2223" s="3"/>
      <c r="BW2223" s="26"/>
      <c r="BX2223" s="389"/>
      <c r="BY2223" s="3"/>
      <c r="BZ2223" s="4"/>
      <c r="CA2223" s="219"/>
      <c r="CB2223" s="3"/>
    </row>
    <row r="2224" spans="36:80" x14ac:dyDescent="0.2">
      <c r="AJ2224" s="374"/>
      <c r="AK2224" s="374"/>
      <c r="AS2224" s="485"/>
      <c r="AT2224" s="297"/>
      <c r="AZ2224" s="374"/>
      <c r="BA2224" s="4"/>
      <c r="BE2224" s="3"/>
      <c r="BM2224" s="229"/>
      <c r="BN2224" s="3"/>
      <c r="BW2224" s="26"/>
      <c r="BX2224" s="389"/>
      <c r="BY2224" s="3"/>
      <c r="BZ2224" s="4"/>
      <c r="CA2224" s="219"/>
      <c r="CB2224" s="3"/>
    </row>
    <row r="2225" spans="36:80" x14ac:dyDescent="0.2">
      <c r="AJ2225" s="374"/>
      <c r="AK2225" s="374"/>
      <c r="AS2225" s="485"/>
      <c r="AT2225" s="297"/>
      <c r="AZ2225" s="374"/>
      <c r="BA2225" s="4"/>
      <c r="BE2225" s="3"/>
      <c r="BM2225" s="229"/>
      <c r="BN2225" s="3"/>
      <c r="BW2225" s="26"/>
      <c r="BX2225" s="389"/>
      <c r="BY2225" s="3"/>
      <c r="BZ2225" s="4"/>
      <c r="CA2225" s="219"/>
      <c r="CB2225" s="3"/>
    </row>
    <row r="2226" spans="36:80" x14ac:dyDescent="0.2">
      <c r="AJ2226" s="374"/>
      <c r="AK2226" s="374"/>
      <c r="AS2226" s="485"/>
      <c r="AT2226" s="297"/>
      <c r="AZ2226" s="374"/>
      <c r="BA2226" s="4"/>
      <c r="BE2226" s="3"/>
      <c r="BM2226" s="229"/>
      <c r="BN2226" s="3"/>
      <c r="BW2226" s="26"/>
      <c r="BX2226" s="389"/>
      <c r="BY2226" s="3"/>
      <c r="BZ2226" s="4"/>
      <c r="CA2226" s="219"/>
      <c r="CB2226" s="3"/>
    </row>
    <row r="2227" spans="36:80" x14ac:dyDescent="0.2">
      <c r="AJ2227" s="374"/>
      <c r="AK2227" s="374"/>
      <c r="AS2227" s="485"/>
      <c r="AT2227" s="297"/>
      <c r="AZ2227" s="374"/>
      <c r="BA2227" s="4"/>
      <c r="BE2227" s="3"/>
      <c r="BM2227" s="229"/>
      <c r="BN2227" s="3"/>
      <c r="BW2227" s="26"/>
      <c r="BX2227" s="389"/>
      <c r="BY2227" s="3"/>
      <c r="BZ2227" s="4"/>
      <c r="CA2227" s="219"/>
      <c r="CB2227" s="3"/>
    </row>
    <row r="2228" spans="36:80" x14ac:dyDescent="0.2">
      <c r="AJ2228" s="374"/>
      <c r="AK2228" s="374"/>
      <c r="AS2228" s="485"/>
      <c r="AT2228" s="297"/>
      <c r="AZ2228" s="374"/>
      <c r="BA2228" s="4"/>
      <c r="BE2228" s="3"/>
      <c r="BM2228" s="229"/>
      <c r="BN2228" s="3"/>
      <c r="BW2228" s="26"/>
      <c r="BX2228" s="389"/>
      <c r="BY2228" s="3"/>
      <c r="BZ2228" s="4"/>
      <c r="CA2228" s="219"/>
      <c r="CB2228" s="3"/>
    </row>
    <row r="2229" spans="36:80" x14ac:dyDescent="0.2">
      <c r="AJ2229" s="374"/>
      <c r="AK2229" s="374"/>
      <c r="AS2229" s="485"/>
      <c r="AT2229" s="297"/>
      <c r="AZ2229" s="374"/>
      <c r="BA2229" s="4"/>
      <c r="BE2229" s="3"/>
      <c r="BM2229" s="229"/>
      <c r="BN2229" s="3"/>
      <c r="BW2229" s="26"/>
      <c r="BX2229" s="389"/>
      <c r="BY2229" s="3"/>
      <c r="BZ2229" s="4"/>
      <c r="CA2229" s="219"/>
      <c r="CB2229" s="3"/>
    </row>
    <row r="2230" spans="36:80" x14ac:dyDescent="0.2">
      <c r="AJ2230" s="374"/>
      <c r="AK2230" s="374"/>
      <c r="AS2230" s="485"/>
      <c r="AT2230" s="297"/>
      <c r="AZ2230" s="374"/>
      <c r="BA2230" s="4"/>
      <c r="BE2230" s="3"/>
      <c r="BM2230" s="229"/>
      <c r="BN2230" s="3"/>
      <c r="BW2230" s="26"/>
      <c r="BX2230" s="389"/>
      <c r="BY2230" s="3"/>
      <c r="BZ2230" s="4"/>
      <c r="CA2230" s="219"/>
      <c r="CB2230" s="3"/>
    </row>
    <row r="2231" spans="36:80" x14ac:dyDescent="0.2">
      <c r="AJ2231" s="374"/>
      <c r="AK2231" s="374"/>
      <c r="AS2231" s="485"/>
      <c r="AT2231" s="297"/>
      <c r="AZ2231" s="374"/>
      <c r="BA2231" s="4"/>
      <c r="BE2231" s="3"/>
      <c r="BM2231" s="229"/>
      <c r="BN2231" s="3"/>
      <c r="BW2231" s="26"/>
      <c r="BX2231" s="389"/>
      <c r="BY2231" s="3"/>
      <c r="BZ2231" s="4"/>
      <c r="CA2231" s="219"/>
      <c r="CB2231" s="3"/>
    </row>
    <row r="2232" spans="36:80" x14ac:dyDescent="0.2">
      <c r="AJ2232" s="374"/>
      <c r="AK2232" s="374"/>
      <c r="AS2232" s="485"/>
      <c r="AT2232" s="297"/>
      <c r="AZ2232" s="374"/>
      <c r="BA2232" s="4"/>
      <c r="BE2232" s="3"/>
      <c r="BM2232" s="229"/>
      <c r="BN2232" s="3"/>
      <c r="BW2232" s="26"/>
      <c r="BX2232" s="389"/>
      <c r="BY2232" s="3"/>
      <c r="BZ2232" s="4"/>
      <c r="CA2232" s="219"/>
      <c r="CB2232" s="3"/>
    </row>
    <row r="2233" spans="36:80" x14ac:dyDescent="0.2">
      <c r="AJ2233" s="374"/>
      <c r="AK2233" s="374"/>
      <c r="AS2233" s="485"/>
      <c r="AT2233" s="297"/>
      <c r="AZ2233" s="374"/>
      <c r="BA2233" s="4"/>
      <c r="BE2233" s="3"/>
      <c r="BM2233" s="229"/>
      <c r="BN2233" s="3"/>
      <c r="BW2233" s="26"/>
      <c r="BX2233" s="389"/>
      <c r="BY2233" s="3"/>
      <c r="BZ2233" s="4"/>
      <c r="CA2233" s="219"/>
      <c r="CB2233" s="3"/>
    </row>
    <row r="2234" spans="36:80" x14ac:dyDescent="0.2">
      <c r="AJ2234" s="374"/>
      <c r="AK2234" s="374"/>
      <c r="AS2234" s="485"/>
      <c r="AT2234" s="297"/>
      <c r="AZ2234" s="374"/>
      <c r="BA2234" s="4"/>
      <c r="BE2234" s="3"/>
      <c r="BM2234" s="229"/>
      <c r="BN2234" s="3"/>
      <c r="BW2234" s="26"/>
      <c r="BX2234" s="389"/>
      <c r="BY2234" s="3"/>
      <c r="BZ2234" s="4"/>
      <c r="CA2234" s="219"/>
      <c r="CB2234" s="3"/>
    </row>
    <row r="2235" spans="36:80" x14ac:dyDescent="0.2">
      <c r="AJ2235" s="374"/>
      <c r="AK2235" s="374"/>
      <c r="AS2235" s="485"/>
      <c r="AT2235" s="297"/>
      <c r="AZ2235" s="374"/>
      <c r="BA2235" s="4"/>
      <c r="BE2235" s="3"/>
      <c r="BM2235" s="229"/>
      <c r="BN2235" s="3"/>
      <c r="BW2235" s="26"/>
      <c r="BX2235" s="389"/>
      <c r="BY2235" s="3"/>
      <c r="BZ2235" s="4"/>
      <c r="CA2235" s="219"/>
      <c r="CB2235" s="3"/>
    </row>
    <row r="2236" spans="36:80" x14ac:dyDescent="0.2">
      <c r="AJ2236" s="374"/>
      <c r="AK2236" s="374"/>
      <c r="AS2236" s="218"/>
      <c r="AT2236" s="4"/>
      <c r="AZ2236" s="374"/>
      <c r="BA2236" s="4"/>
      <c r="BE2236" s="3"/>
      <c r="BM2236" s="229"/>
      <c r="BN2236" s="3"/>
      <c r="BW2236" s="26"/>
      <c r="BX2236" s="389"/>
      <c r="BY2236" s="3"/>
      <c r="BZ2236" s="4"/>
      <c r="CA2236" s="219"/>
      <c r="CB2236" s="3"/>
    </row>
    <row r="2237" spans="36:80" x14ac:dyDescent="0.2">
      <c r="AJ2237" s="374"/>
      <c r="AK2237" s="374"/>
      <c r="AS2237" s="218"/>
      <c r="AT2237" s="4"/>
      <c r="AZ2237" s="374"/>
      <c r="BA2237" s="4"/>
      <c r="BE2237" s="3"/>
      <c r="BM2237" s="229"/>
      <c r="BN2237" s="3"/>
      <c r="BW2237" s="26"/>
      <c r="BX2237" s="389"/>
      <c r="BY2237" s="3"/>
      <c r="BZ2237" s="4"/>
      <c r="CA2237" s="219"/>
      <c r="CB2237" s="3"/>
    </row>
    <row r="2238" spans="36:80" x14ac:dyDescent="0.2">
      <c r="AJ2238" s="374"/>
      <c r="AK2238" s="374"/>
      <c r="AS2238" s="218"/>
      <c r="AT2238" s="4"/>
      <c r="AZ2238" s="374"/>
      <c r="BA2238" s="4"/>
      <c r="BE2238" s="3"/>
      <c r="BM2238" s="229"/>
      <c r="BN2238" s="3"/>
      <c r="BW2238" s="26"/>
      <c r="BX2238" s="389"/>
      <c r="BY2238" s="3"/>
      <c r="BZ2238" s="4"/>
      <c r="CA2238" s="219"/>
      <c r="CB2238" s="3"/>
    </row>
    <row r="2239" spans="36:80" x14ac:dyDescent="0.2">
      <c r="AJ2239" s="374"/>
      <c r="AK2239" s="374"/>
      <c r="AS2239" s="218"/>
      <c r="AT2239" s="4"/>
      <c r="AZ2239" s="374"/>
      <c r="BA2239" s="4"/>
      <c r="BE2239" s="3"/>
      <c r="BM2239" s="229"/>
      <c r="BN2239" s="3"/>
      <c r="BW2239" s="26"/>
      <c r="BX2239" s="389"/>
      <c r="BY2239" s="3"/>
      <c r="BZ2239" s="4"/>
      <c r="CA2239" s="219"/>
      <c r="CB2239" s="3"/>
    </row>
    <row r="2240" spans="36:80" x14ac:dyDescent="0.2">
      <c r="AJ2240" s="374"/>
      <c r="AK2240" s="374"/>
      <c r="AS2240" s="218"/>
      <c r="AT2240" s="4"/>
      <c r="AZ2240" s="374"/>
      <c r="BA2240" s="4"/>
      <c r="BE2240" s="3"/>
      <c r="BM2240" s="229"/>
      <c r="BN2240" s="3"/>
      <c r="BW2240" s="26"/>
      <c r="BX2240" s="389"/>
      <c r="BY2240" s="3"/>
      <c r="BZ2240" s="4"/>
      <c r="CA2240" s="219"/>
      <c r="CB2240" s="3"/>
    </row>
    <row r="2241" spans="36:80" x14ac:dyDescent="0.2">
      <c r="AJ2241" s="374"/>
      <c r="AK2241" s="374"/>
      <c r="AS2241" s="218"/>
      <c r="AT2241" s="4"/>
      <c r="AZ2241" s="374"/>
      <c r="BA2241" s="4"/>
      <c r="BE2241" s="3"/>
      <c r="BM2241" s="229"/>
      <c r="BN2241" s="3"/>
      <c r="BW2241" s="26"/>
      <c r="BX2241" s="389"/>
      <c r="BY2241" s="3"/>
      <c r="BZ2241" s="4"/>
      <c r="CA2241" s="219"/>
      <c r="CB2241" s="3"/>
    </row>
    <row r="2242" spans="36:80" x14ac:dyDescent="0.2">
      <c r="AJ2242" s="374"/>
      <c r="AK2242" s="374"/>
      <c r="AS2242" s="218"/>
      <c r="AT2242" s="4"/>
      <c r="AZ2242" s="374"/>
      <c r="BA2242" s="4"/>
      <c r="BE2242" s="3"/>
      <c r="BM2242" s="229"/>
      <c r="BN2242" s="3"/>
      <c r="BW2242" s="26"/>
      <c r="BX2242" s="389"/>
      <c r="BY2242" s="3"/>
      <c r="BZ2242" s="4"/>
      <c r="CA2242" s="219"/>
      <c r="CB2242" s="3"/>
    </row>
    <row r="2243" spans="36:80" x14ac:dyDescent="0.2">
      <c r="AJ2243" s="374"/>
      <c r="AK2243" s="374"/>
      <c r="AS2243" s="218"/>
      <c r="AT2243" s="4"/>
      <c r="AZ2243" s="374"/>
      <c r="BA2243" s="4"/>
      <c r="BE2243" s="3"/>
      <c r="BM2243" s="229"/>
      <c r="BN2243" s="3"/>
      <c r="BW2243" s="26"/>
      <c r="BX2243" s="389"/>
      <c r="BY2243" s="3"/>
      <c r="BZ2243" s="4"/>
      <c r="CA2243" s="219"/>
      <c r="CB2243" s="3"/>
    </row>
    <row r="2244" spans="36:80" x14ac:dyDescent="0.2">
      <c r="AJ2244" s="374"/>
      <c r="AK2244" s="374"/>
      <c r="AS2244" s="218"/>
      <c r="AT2244" s="4"/>
      <c r="AZ2244" s="374"/>
      <c r="BA2244" s="4"/>
      <c r="BE2244" s="3"/>
      <c r="BM2244" s="229"/>
      <c r="BN2244" s="3"/>
      <c r="BW2244" s="26"/>
      <c r="BX2244" s="389"/>
      <c r="BY2244" s="3"/>
      <c r="BZ2244" s="4"/>
      <c r="CA2244" s="219"/>
      <c r="CB2244" s="3"/>
    </row>
    <row r="2245" spans="36:80" x14ac:dyDescent="0.2">
      <c r="AJ2245" s="374"/>
      <c r="AK2245" s="374"/>
      <c r="AS2245" s="218"/>
      <c r="AT2245" s="4"/>
      <c r="AZ2245" s="374"/>
      <c r="BA2245" s="4"/>
      <c r="BE2245" s="3"/>
      <c r="BM2245" s="229"/>
      <c r="BN2245" s="3"/>
      <c r="BW2245" s="26"/>
      <c r="BX2245" s="389"/>
      <c r="BY2245" s="3"/>
      <c r="BZ2245" s="4"/>
      <c r="CA2245" s="219"/>
      <c r="CB2245" s="3"/>
    </row>
    <row r="2246" spans="36:80" x14ac:dyDescent="0.2">
      <c r="AJ2246" s="374"/>
      <c r="AK2246" s="374"/>
      <c r="AS2246" s="218"/>
      <c r="AT2246" s="4"/>
      <c r="AZ2246" s="374"/>
      <c r="BA2246" s="4"/>
      <c r="BE2246" s="3"/>
      <c r="BM2246" s="229"/>
      <c r="BN2246" s="3"/>
      <c r="BW2246" s="26"/>
      <c r="BX2246" s="389"/>
      <c r="BY2246" s="3"/>
      <c r="BZ2246" s="4"/>
      <c r="CA2246" s="219"/>
      <c r="CB2246" s="3"/>
    </row>
    <row r="2247" spans="36:80" x14ac:dyDescent="0.2">
      <c r="AJ2247" s="374"/>
      <c r="AK2247" s="374"/>
      <c r="AS2247" s="218"/>
      <c r="AT2247" s="4"/>
      <c r="AZ2247" s="374"/>
      <c r="BA2247" s="4"/>
      <c r="BE2247" s="3"/>
      <c r="BM2247" s="229"/>
      <c r="BN2247" s="3"/>
      <c r="BW2247" s="26"/>
      <c r="BX2247" s="389"/>
      <c r="BY2247" s="3"/>
      <c r="BZ2247" s="4"/>
      <c r="CA2247" s="219"/>
      <c r="CB2247" s="3"/>
    </row>
    <row r="2248" spans="36:80" x14ac:dyDescent="0.2">
      <c r="AJ2248" s="374"/>
      <c r="AK2248" s="374"/>
      <c r="AS2248" s="218"/>
      <c r="AT2248" s="4"/>
      <c r="AZ2248" s="374"/>
      <c r="BA2248" s="4"/>
      <c r="BE2248" s="3"/>
      <c r="BM2248" s="229"/>
      <c r="BN2248" s="3"/>
      <c r="BW2248" s="26"/>
      <c r="BX2248" s="389"/>
      <c r="BY2248" s="3"/>
      <c r="BZ2248" s="4"/>
      <c r="CA2248" s="219"/>
      <c r="CB2248" s="3"/>
    </row>
    <row r="2249" spans="36:80" x14ac:dyDescent="0.2">
      <c r="AJ2249" s="374"/>
      <c r="AK2249" s="374"/>
      <c r="AS2249" s="218"/>
      <c r="AT2249" s="4"/>
      <c r="AZ2249" s="374"/>
      <c r="BA2249" s="4"/>
      <c r="BE2249" s="3"/>
      <c r="BM2249" s="229"/>
      <c r="BN2249" s="3"/>
      <c r="BW2249" s="26"/>
      <c r="BX2249" s="389"/>
      <c r="BY2249" s="3"/>
      <c r="BZ2249" s="4"/>
      <c r="CA2249" s="219"/>
      <c r="CB2249" s="3"/>
    </row>
    <row r="2250" spans="36:80" x14ac:dyDescent="0.2">
      <c r="AJ2250" s="374"/>
      <c r="AK2250" s="374"/>
      <c r="AS2250" s="218"/>
      <c r="AT2250" s="4"/>
      <c r="AZ2250" s="374"/>
      <c r="BA2250" s="4"/>
      <c r="BE2250" s="3"/>
      <c r="BM2250" s="229"/>
      <c r="BN2250" s="3"/>
      <c r="BW2250" s="26"/>
      <c r="BX2250" s="389"/>
      <c r="BY2250" s="3"/>
      <c r="BZ2250" s="4"/>
      <c r="CA2250" s="219"/>
      <c r="CB2250" s="3"/>
    </row>
    <row r="2251" spans="36:80" x14ac:dyDescent="0.2">
      <c r="AJ2251" s="374"/>
      <c r="AK2251" s="374"/>
      <c r="AS2251" s="218"/>
      <c r="AT2251" s="4"/>
      <c r="AZ2251" s="374"/>
      <c r="BA2251" s="4"/>
      <c r="BE2251" s="3"/>
      <c r="BM2251" s="229"/>
      <c r="BN2251" s="3"/>
      <c r="BW2251" s="26"/>
      <c r="BX2251" s="389"/>
      <c r="BY2251" s="3"/>
      <c r="BZ2251" s="4"/>
      <c r="CA2251" s="219"/>
      <c r="CB2251" s="3"/>
    </row>
    <row r="2252" spans="36:80" x14ac:dyDescent="0.2">
      <c r="AJ2252" s="374"/>
      <c r="AK2252" s="374"/>
      <c r="AS2252" s="218"/>
      <c r="AT2252" s="4"/>
      <c r="AZ2252" s="374"/>
      <c r="BA2252" s="4"/>
      <c r="BE2252" s="3"/>
      <c r="BM2252" s="229"/>
      <c r="BN2252" s="3"/>
      <c r="BW2252" s="26"/>
      <c r="BX2252" s="389"/>
      <c r="BY2252" s="3"/>
      <c r="BZ2252" s="4"/>
      <c r="CA2252" s="219"/>
      <c r="CB2252" s="3"/>
    </row>
    <row r="2253" spans="36:80" x14ac:dyDescent="0.2">
      <c r="AJ2253" s="374"/>
      <c r="AK2253" s="374"/>
      <c r="AS2253" s="218"/>
      <c r="AT2253" s="4"/>
      <c r="AZ2253" s="374"/>
      <c r="BA2253" s="4"/>
      <c r="BE2253" s="3"/>
      <c r="BM2253" s="229"/>
      <c r="BN2253" s="3"/>
      <c r="BW2253" s="26"/>
      <c r="BX2253" s="389"/>
      <c r="BY2253" s="3"/>
      <c r="BZ2253" s="4"/>
      <c r="CA2253" s="219"/>
      <c r="CB2253" s="3"/>
    </row>
    <row r="2254" spans="36:80" x14ac:dyDescent="0.2">
      <c r="AJ2254" s="374"/>
      <c r="AK2254" s="374"/>
      <c r="AS2254" s="218"/>
      <c r="AT2254" s="4"/>
      <c r="AZ2254" s="374"/>
      <c r="BA2254" s="4"/>
      <c r="BE2254" s="3"/>
      <c r="BM2254" s="229"/>
      <c r="BN2254" s="3"/>
      <c r="BW2254" s="26"/>
      <c r="BX2254" s="389"/>
      <c r="BY2254" s="3"/>
      <c r="BZ2254" s="4"/>
      <c r="CA2254" s="219"/>
      <c r="CB2254" s="3"/>
    </row>
    <row r="2255" spans="36:80" x14ac:dyDescent="0.2">
      <c r="AJ2255" s="374"/>
      <c r="AK2255" s="374"/>
      <c r="AS2255" s="218"/>
      <c r="AT2255" s="4"/>
      <c r="AZ2255" s="374"/>
      <c r="BA2255" s="4"/>
      <c r="BE2255" s="3"/>
      <c r="BM2255" s="229"/>
      <c r="BN2255" s="3"/>
      <c r="BW2255" s="26"/>
      <c r="BX2255" s="389"/>
      <c r="BY2255" s="3"/>
      <c r="BZ2255" s="4"/>
      <c r="CA2255" s="219"/>
      <c r="CB2255" s="3"/>
    </row>
    <row r="2256" spans="36:80" x14ac:dyDescent="0.2">
      <c r="AJ2256" s="374"/>
      <c r="AK2256" s="374"/>
      <c r="AS2256" s="218"/>
      <c r="AT2256" s="4"/>
      <c r="AZ2256" s="374"/>
      <c r="BA2256" s="4"/>
      <c r="BE2256" s="3"/>
      <c r="BM2256" s="229"/>
      <c r="BN2256" s="3"/>
      <c r="BW2256" s="26"/>
      <c r="BX2256" s="389"/>
      <c r="BY2256" s="3"/>
      <c r="BZ2256" s="4"/>
      <c r="CA2256" s="219"/>
      <c r="CB2256" s="3"/>
    </row>
    <row r="2257" spans="36:80" x14ac:dyDescent="0.2">
      <c r="AJ2257" s="374"/>
      <c r="AK2257" s="374"/>
      <c r="AS2257" s="218"/>
      <c r="AT2257" s="4"/>
      <c r="AZ2257" s="374"/>
      <c r="BA2257" s="4"/>
      <c r="BE2257" s="3"/>
      <c r="BM2257" s="229"/>
      <c r="BN2257" s="3"/>
      <c r="BW2257" s="26"/>
      <c r="BX2257" s="389"/>
      <c r="BY2257" s="3"/>
      <c r="BZ2257" s="4"/>
      <c r="CA2257" s="219"/>
      <c r="CB2257" s="3"/>
    </row>
    <row r="2258" spans="36:80" x14ac:dyDescent="0.2">
      <c r="AJ2258" s="374"/>
      <c r="AK2258" s="374"/>
      <c r="AS2258" s="218"/>
      <c r="AT2258" s="4"/>
      <c r="AZ2258" s="374"/>
      <c r="BA2258" s="4"/>
      <c r="BE2258" s="3"/>
      <c r="BM2258" s="229"/>
      <c r="BN2258" s="3"/>
      <c r="BW2258" s="26"/>
      <c r="BX2258" s="389"/>
      <c r="BY2258" s="3"/>
      <c r="BZ2258" s="4"/>
      <c r="CA2258" s="219"/>
      <c r="CB2258" s="3"/>
    </row>
    <row r="2259" spans="36:80" x14ac:dyDescent="0.2">
      <c r="AJ2259" s="374"/>
      <c r="AK2259" s="374"/>
      <c r="AS2259" s="218"/>
      <c r="AT2259" s="4"/>
      <c r="AZ2259" s="374"/>
      <c r="BA2259" s="4"/>
      <c r="BE2259" s="3"/>
      <c r="BM2259" s="229"/>
      <c r="BN2259" s="3"/>
      <c r="BW2259" s="26"/>
      <c r="BX2259" s="389"/>
      <c r="BY2259" s="3"/>
      <c r="BZ2259" s="4"/>
      <c r="CA2259" s="219"/>
      <c r="CB2259" s="3"/>
    </row>
    <row r="2260" spans="36:80" x14ac:dyDescent="0.2">
      <c r="AJ2260" s="374"/>
      <c r="AK2260" s="374"/>
      <c r="AS2260" s="218"/>
      <c r="AT2260" s="4"/>
      <c r="AZ2260" s="374"/>
      <c r="BA2260" s="4"/>
      <c r="BE2260" s="3"/>
      <c r="BM2260" s="229"/>
      <c r="BN2260" s="3"/>
      <c r="BW2260" s="26"/>
      <c r="BX2260" s="389"/>
      <c r="BY2260" s="3"/>
      <c r="BZ2260" s="4"/>
      <c r="CA2260" s="219"/>
      <c r="CB2260" s="3"/>
    </row>
    <row r="2261" spans="36:80" x14ac:dyDescent="0.2">
      <c r="AJ2261" s="374"/>
      <c r="AK2261" s="374"/>
      <c r="AS2261" s="218"/>
      <c r="AT2261" s="4"/>
      <c r="AZ2261" s="374"/>
      <c r="BA2261" s="4"/>
      <c r="BE2261" s="3"/>
      <c r="BM2261" s="229"/>
      <c r="BN2261" s="3"/>
      <c r="BW2261" s="26"/>
      <c r="BX2261" s="389"/>
      <c r="BY2261" s="3"/>
      <c r="BZ2261" s="4"/>
      <c r="CA2261" s="219"/>
      <c r="CB2261" s="3"/>
    </row>
    <row r="2262" spans="36:80" x14ac:dyDescent="0.2">
      <c r="AJ2262" s="374"/>
      <c r="AK2262" s="374"/>
      <c r="AS2262" s="218"/>
      <c r="AT2262" s="4"/>
      <c r="AZ2262" s="374"/>
      <c r="BA2262" s="4"/>
      <c r="BE2262" s="3"/>
      <c r="BM2262" s="229"/>
      <c r="BN2262" s="3"/>
      <c r="BW2262" s="26"/>
      <c r="BX2262" s="389"/>
      <c r="BY2262" s="3"/>
      <c r="BZ2262" s="4"/>
      <c r="CA2262" s="219"/>
      <c r="CB2262" s="3"/>
    </row>
    <row r="2263" spans="36:80" x14ac:dyDescent="0.2">
      <c r="AJ2263" s="374"/>
      <c r="AK2263" s="374"/>
      <c r="AS2263" s="218"/>
      <c r="AT2263" s="4"/>
      <c r="AZ2263" s="374"/>
      <c r="BA2263" s="4"/>
      <c r="BE2263" s="3"/>
      <c r="BM2263" s="229"/>
      <c r="BN2263" s="3"/>
      <c r="BW2263" s="26"/>
      <c r="BX2263" s="389"/>
      <c r="BY2263" s="3"/>
      <c r="BZ2263" s="4"/>
      <c r="CA2263" s="219"/>
      <c r="CB2263" s="3"/>
    </row>
    <row r="2264" spans="36:80" x14ac:dyDescent="0.2">
      <c r="AJ2264" s="374"/>
      <c r="AK2264" s="374"/>
      <c r="AS2264" s="218"/>
      <c r="AT2264" s="4"/>
      <c r="AZ2264" s="374"/>
      <c r="BA2264" s="4"/>
      <c r="BE2264" s="3"/>
      <c r="BM2264" s="229"/>
      <c r="BN2264" s="3"/>
      <c r="BW2264" s="26"/>
      <c r="BX2264" s="389"/>
      <c r="BY2264" s="3"/>
      <c r="BZ2264" s="4"/>
      <c r="CA2264" s="219"/>
      <c r="CB2264" s="3"/>
    </row>
    <row r="2265" spans="36:80" x14ac:dyDescent="0.2">
      <c r="AJ2265" s="374"/>
      <c r="AK2265" s="374"/>
      <c r="AS2265" s="218"/>
      <c r="AT2265" s="4"/>
      <c r="AZ2265" s="374"/>
      <c r="BA2265" s="4"/>
      <c r="BE2265" s="3"/>
      <c r="BM2265" s="229"/>
      <c r="BN2265" s="3"/>
      <c r="BW2265" s="26"/>
      <c r="BX2265" s="389"/>
      <c r="BY2265" s="3"/>
      <c r="BZ2265" s="4"/>
      <c r="CA2265" s="219"/>
      <c r="CB2265" s="3"/>
    </row>
    <row r="2266" spans="36:80" x14ac:dyDescent="0.2">
      <c r="AJ2266" s="374"/>
      <c r="AK2266" s="374"/>
      <c r="AS2266" s="218"/>
      <c r="AT2266" s="4"/>
      <c r="AZ2266" s="374"/>
      <c r="BA2266" s="4"/>
      <c r="BE2266" s="3"/>
      <c r="BM2266" s="229"/>
      <c r="BN2266" s="3"/>
      <c r="BW2266" s="26"/>
      <c r="BX2266" s="389"/>
      <c r="BY2266" s="3"/>
      <c r="BZ2266" s="4"/>
      <c r="CA2266" s="219"/>
      <c r="CB2266" s="3"/>
    </row>
    <row r="2267" spans="36:80" x14ac:dyDescent="0.2">
      <c r="AJ2267" s="374"/>
      <c r="AK2267" s="374"/>
      <c r="AS2267" s="218"/>
      <c r="AT2267" s="4"/>
      <c r="AZ2267" s="374"/>
      <c r="BA2267" s="4"/>
      <c r="BE2267" s="3"/>
      <c r="BM2267" s="229"/>
      <c r="BN2267" s="3"/>
      <c r="BW2267" s="26"/>
      <c r="BX2267" s="389"/>
      <c r="BY2267" s="3"/>
      <c r="BZ2267" s="4"/>
      <c r="CA2267" s="219"/>
      <c r="CB2267" s="3"/>
    </row>
    <row r="2268" spans="36:80" x14ac:dyDescent="0.2">
      <c r="AJ2268" s="374"/>
      <c r="AK2268" s="374"/>
      <c r="AS2268" s="218"/>
      <c r="AT2268" s="4"/>
      <c r="AZ2268" s="374"/>
      <c r="BA2268" s="4"/>
      <c r="BE2268" s="3"/>
      <c r="BM2268" s="229"/>
      <c r="BN2268" s="3"/>
      <c r="BW2268" s="26"/>
      <c r="BX2268" s="389"/>
      <c r="BY2268" s="3"/>
      <c r="BZ2268" s="4"/>
      <c r="CA2268" s="219"/>
      <c r="CB2268" s="3"/>
    </row>
    <row r="2269" spans="36:80" x14ac:dyDescent="0.2">
      <c r="AJ2269" s="374"/>
      <c r="AK2269" s="374"/>
      <c r="AS2269" s="218"/>
      <c r="AT2269" s="4"/>
      <c r="AZ2269" s="374"/>
      <c r="BA2269" s="4"/>
      <c r="BE2269" s="3"/>
      <c r="BM2269" s="229"/>
      <c r="BN2269" s="3"/>
      <c r="BW2269" s="26"/>
      <c r="BX2269" s="389"/>
      <c r="BY2269" s="3"/>
      <c r="BZ2269" s="4"/>
      <c r="CA2269" s="219"/>
      <c r="CB2269" s="3"/>
    </row>
    <row r="2270" spans="36:80" x14ac:dyDescent="0.2">
      <c r="AJ2270" s="374"/>
      <c r="AK2270" s="374"/>
      <c r="AS2270" s="218"/>
      <c r="AT2270" s="4"/>
      <c r="AZ2270" s="374"/>
      <c r="BA2270" s="4"/>
      <c r="BE2270" s="3"/>
      <c r="BM2270" s="229"/>
      <c r="BN2270" s="3"/>
      <c r="BW2270" s="26"/>
      <c r="BX2270" s="389"/>
      <c r="BY2270" s="3"/>
      <c r="BZ2270" s="4"/>
      <c r="CA2270" s="219"/>
      <c r="CB2270" s="3"/>
    </row>
    <row r="2271" spans="36:80" x14ac:dyDescent="0.2">
      <c r="AJ2271" s="374"/>
      <c r="AK2271" s="374"/>
      <c r="AS2271" s="218"/>
      <c r="AT2271" s="4"/>
      <c r="AZ2271" s="374"/>
      <c r="BA2271" s="4"/>
      <c r="BE2271" s="3"/>
      <c r="BM2271" s="229"/>
      <c r="BN2271" s="3"/>
      <c r="BW2271" s="26"/>
      <c r="BX2271" s="389"/>
      <c r="BY2271" s="3"/>
      <c r="BZ2271" s="4"/>
      <c r="CA2271" s="219"/>
      <c r="CB2271" s="3"/>
    </row>
    <row r="2272" spans="36:80" x14ac:dyDescent="0.2">
      <c r="AJ2272" s="374"/>
      <c r="AK2272" s="374"/>
      <c r="AS2272" s="218"/>
      <c r="AT2272" s="4"/>
      <c r="AZ2272" s="374"/>
      <c r="BA2272" s="4"/>
      <c r="BE2272" s="3"/>
      <c r="BM2272" s="229"/>
      <c r="BN2272" s="3"/>
      <c r="BW2272" s="26"/>
      <c r="BX2272" s="389"/>
      <c r="BY2272" s="3"/>
      <c r="BZ2272" s="4"/>
      <c r="CA2272" s="219"/>
      <c r="CB2272" s="3"/>
    </row>
    <row r="2273" spans="36:80" x14ac:dyDescent="0.2">
      <c r="AJ2273" s="374"/>
      <c r="AK2273" s="374"/>
      <c r="AS2273" s="218"/>
      <c r="AT2273" s="4"/>
      <c r="AZ2273" s="374"/>
      <c r="BA2273" s="4"/>
      <c r="BE2273" s="3"/>
      <c r="BM2273" s="229"/>
      <c r="BN2273" s="3"/>
      <c r="BW2273" s="26"/>
      <c r="BX2273" s="389"/>
      <c r="BY2273" s="3"/>
      <c r="BZ2273" s="4"/>
      <c r="CA2273" s="219"/>
      <c r="CB2273" s="3"/>
    </row>
    <row r="2274" spans="36:80" x14ac:dyDescent="0.2">
      <c r="AJ2274" s="374"/>
      <c r="AK2274" s="374"/>
      <c r="AS2274" s="218"/>
      <c r="AT2274" s="4"/>
      <c r="AZ2274" s="374"/>
      <c r="BA2274" s="4"/>
      <c r="BE2274" s="3"/>
      <c r="BM2274" s="229"/>
      <c r="BN2274" s="3"/>
      <c r="BW2274" s="26"/>
      <c r="BX2274" s="389"/>
      <c r="BY2274" s="3"/>
      <c r="BZ2274" s="4"/>
      <c r="CA2274" s="219"/>
      <c r="CB2274" s="3"/>
    </row>
    <row r="2275" spans="36:80" x14ac:dyDescent="0.2">
      <c r="AJ2275" s="374"/>
      <c r="AK2275" s="374"/>
      <c r="AS2275" s="218"/>
      <c r="AT2275" s="4"/>
      <c r="AZ2275" s="374"/>
      <c r="BA2275" s="4"/>
      <c r="BE2275" s="3"/>
      <c r="BM2275" s="229"/>
      <c r="BN2275" s="3"/>
      <c r="BW2275" s="26"/>
      <c r="BX2275" s="389"/>
      <c r="BY2275" s="3"/>
      <c r="BZ2275" s="4"/>
      <c r="CA2275" s="219"/>
      <c r="CB2275" s="3"/>
    </row>
    <row r="2276" spans="36:80" x14ac:dyDescent="0.2">
      <c r="AJ2276" s="374"/>
      <c r="AK2276" s="374"/>
      <c r="AS2276" s="218"/>
      <c r="AT2276" s="4"/>
      <c r="AZ2276" s="374"/>
      <c r="BA2276" s="4"/>
      <c r="BE2276" s="3"/>
      <c r="BM2276" s="229"/>
      <c r="BN2276" s="3"/>
      <c r="BW2276" s="26"/>
      <c r="BX2276" s="389"/>
      <c r="BY2276" s="3"/>
      <c r="BZ2276" s="4"/>
      <c r="CA2276" s="219"/>
      <c r="CB2276" s="3"/>
    </row>
    <row r="2277" spans="36:80" x14ac:dyDescent="0.2">
      <c r="AJ2277" s="374"/>
      <c r="AK2277" s="374"/>
      <c r="AS2277" s="218"/>
      <c r="AT2277" s="4"/>
      <c r="AZ2277" s="374"/>
      <c r="BA2277" s="4"/>
      <c r="BE2277" s="3"/>
      <c r="BM2277" s="229"/>
      <c r="BN2277" s="3"/>
      <c r="BW2277" s="26"/>
      <c r="BX2277" s="389"/>
      <c r="BY2277" s="3"/>
      <c r="BZ2277" s="4"/>
      <c r="CA2277" s="219"/>
      <c r="CB2277" s="3"/>
    </row>
    <row r="2278" spans="36:80" x14ac:dyDescent="0.2">
      <c r="AJ2278" s="374"/>
      <c r="AK2278" s="374"/>
      <c r="AS2278" s="218"/>
      <c r="AT2278" s="4"/>
      <c r="AZ2278" s="374"/>
      <c r="BA2278" s="4"/>
      <c r="BE2278" s="3"/>
      <c r="BM2278" s="229"/>
      <c r="BN2278" s="3"/>
      <c r="BW2278" s="26"/>
      <c r="BX2278" s="389"/>
      <c r="BY2278" s="3"/>
      <c r="BZ2278" s="4"/>
      <c r="CA2278" s="219"/>
      <c r="CB2278" s="3"/>
    </row>
    <row r="2279" spans="36:80" x14ac:dyDescent="0.2">
      <c r="AJ2279" s="374"/>
      <c r="AK2279" s="374"/>
      <c r="AS2279" s="218"/>
      <c r="AT2279" s="4"/>
      <c r="AZ2279" s="374"/>
      <c r="BA2279" s="4"/>
      <c r="BE2279" s="3"/>
      <c r="BM2279" s="229"/>
      <c r="BN2279" s="3"/>
      <c r="BW2279" s="26"/>
      <c r="BX2279" s="389"/>
      <c r="BY2279" s="3"/>
      <c r="BZ2279" s="4"/>
      <c r="CA2279" s="219"/>
      <c r="CB2279" s="3"/>
    </row>
    <row r="2280" spans="36:80" x14ac:dyDescent="0.2">
      <c r="AJ2280" s="374"/>
      <c r="AK2280" s="374"/>
      <c r="AS2280" s="218"/>
      <c r="AT2280" s="4"/>
      <c r="AZ2280" s="374"/>
      <c r="BA2280" s="4"/>
      <c r="BE2280" s="3"/>
      <c r="BM2280" s="229"/>
      <c r="BN2280" s="3"/>
      <c r="BW2280" s="26"/>
      <c r="BX2280" s="389"/>
      <c r="BY2280" s="3"/>
      <c r="BZ2280" s="4"/>
      <c r="CA2280" s="219"/>
      <c r="CB2280" s="3"/>
    </row>
    <row r="2281" spans="36:80" x14ac:dyDescent="0.2">
      <c r="AJ2281" s="374"/>
      <c r="AK2281" s="374"/>
      <c r="AS2281" s="218"/>
      <c r="AT2281" s="4"/>
      <c r="AZ2281" s="374"/>
      <c r="BA2281" s="4"/>
      <c r="BE2281" s="3"/>
      <c r="BM2281" s="229"/>
      <c r="BN2281" s="3"/>
      <c r="BW2281" s="26"/>
      <c r="BX2281" s="389"/>
      <c r="BY2281" s="3"/>
      <c r="BZ2281" s="4"/>
      <c r="CA2281" s="219"/>
      <c r="CB2281" s="3"/>
    </row>
    <row r="2282" spans="36:80" x14ac:dyDescent="0.2">
      <c r="AJ2282" s="374"/>
      <c r="AK2282" s="374"/>
      <c r="AS2282" s="218"/>
      <c r="AT2282" s="4"/>
      <c r="AZ2282" s="374"/>
      <c r="BA2282" s="4"/>
      <c r="BE2282" s="3"/>
      <c r="BM2282" s="229"/>
      <c r="BN2282" s="3"/>
      <c r="BW2282" s="26"/>
      <c r="BX2282" s="389"/>
      <c r="BY2282" s="3"/>
      <c r="BZ2282" s="4"/>
      <c r="CA2282" s="219"/>
      <c r="CB2282" s="3"/>
    </row>
    <row r="2283" spans="36:80" x14ac:dyDescent="0.2">
      <c r="AJ2283" s="374"/>
      <c r="AK2283" s="374"/>
      <c r="AS2283" s="218"/>
      <c r="AT2283" s="4"/>
      <c r="AZ2283" s="374"/>
      <c r="BA2283" s="4"/>
      <c r="BE2283" s="3"/>
      <c r="BM2283" s="229"/>
      <c r="BN2283" s="3"/>
      <c r="BW2283" s="26"/>
      <c r="BX2283" s="389"/>
      <c r="BY2283" s="3"/>
      <c r="BZ2283" s="4"/>
      <c r="CA2283" s="219"/>
      <c r="CB2283" s="3"/>
    </row>
    <row r="2284" spans="36:80" x14ac:dyDescent="0.2">
      <c r="AJ2284" s="374"/>
      <c r="AK2284" s="374"/>
      <c r="AS2284" s="218"/>
      <c r="AT2284" s="4"/>
      <c r="AZ2284" s="374"/>
      <c r="BA2284" s="4"/>
      <c r="BE2284" s="3"/>
      <c r="BM2284" s="229"/>
      <c r="BN2284" s="3"/>
      <c r="BW2284" s="26"/>
      <c r="BX2284" s="389"/>
      <c r="BY2284" s="3"/>
      <c r="BZ2284" s="4"/>
      <c r="CA2284" s="219"/>
      <c r="CB2284" s="3"/>
    </row>
    <row r="2285" spans="36:80" x14ac:dyDescent="0.2">
      <c r="AJ2285" s="374"/>
      <c r="AK2285" s="374"/>
      <c r="AS2285" s="218"/>
      <c r="AT2285" s="4"/>
      <c r="AZ2285" s="374"/>
      <c r="BA2285" s="4"/>
      <c r="BE2285" s="3"/>
      <c r="BM2285" s="229"/>
      <c r="BN2285" s="3"/>
      <c r="BW2285" s="26"/>
      <c r="BX2285" s="389"/>
      <c r="BY2285" s="3"/>
      <c r="BZ2285" s="4"/>
      <c r="CA2285" s="219"/>
      <c r="CB2285" s="3"/>
    </row>
    <row r="2286" spans="36:80" x14ac:dyDescent="0.2">
      <c r="AJ2286" s="374"/>
      <c r="AK2286" s="374"/>
      <c r="AS2286" s="218"/>
      <c r="AT2286" s="4"/>
      <c r="AZ2286" s="374"/>
      <c r="BA2286" s="4"/>
      <c r="BE2286" s="3"/>
      <c r="BM2286" s="229"/>
      <c r="BN2286" s="3"/>
      <c r="BW2286" s="26"/>
      <c r="BX2286" s="389"/>
      <c r="BY2286" s="3"/>
      <c r="BZ2286" s="4"/>
      <c r="CA2286" s="219"/>
      <c r="CB2286" s="3"/>
    </row>
    <row r="2287" spans="36:80" x14ac:dyDescent="0.2">
      <c r="AJ2287" s="374"/>
      <c r="AK2287" s="374"/>
      <c r="AS2287" s="218"/>
      <c r="AT2287" s="4"/>
      <c r="AZ2287" s="374"/>
      <c r="BA2287" s="4"/>
      <c r="BE2287" s="3"/>
      <c r="BM2287" s="229"/>
      <c r="BN2287" s="3"/>
      <c r="BW2287" s="26"/>
      <c r="BX2287" s="389"/>
      <c r="BY2287" s="3"/>
      <c r="BZ2287" s="4"/>
      <c r="CA2287" s="219"/>
      <c r="CB2287" s="3"/>
    </row>
    <row r="2288" spans="36:80" x14ac:dyDescent="0.2">
      <c r="AJ2288" s="374"/>
      <c r="AK2288" s="374"/>
      <c r="AS2288" s="218"/>
      <c r="AT2288" s="4"/>
      <c r="AZ2288" s="374"/>
      <c r="BA2288" s="4"/>
      <c r="BE2288" s="3"/>
      <c r="BM2288" s="229"/>
      <c r="BN2288" s="3"/>
      <c r="BW2288" s="26"/>
      <c r="BX2288" s="389"/>
      <c r="BY2288" s="3"/>
      <c r="BZ2288" s="4"/>
      <c r="CA2288" s="219"/>
      <c r="CB2288" s="3"/>
    </row>
    <row r="2289" spans="36:80" x14ac:dyDescent="0.2">
      <c r="AJ2289" s="374"/>
      <c r="AK2289" s="374"/>
      <c r="AS2289" s="218"/>
      <c r="AT2289" s="4"/>
      <c r="AZ2289" s="374"/>
      <c r="BA2289" s="4"/>
      <c r="BE2289" s="3"/>
      <c r="BM2289" s="229"/>
      <c r="BN2289" s="3"/>
      <c r="BW2289" s="26"/>
      <c r="BX2289" s="389"/>
      <c r="BY2289" s="3"/>
      <c r="BZ2289" s="4"/>
      <c r="CA2289" s="219"/>
      <c r="CB2289" s="3"/>
    </row>
    <row r="2290" spans="36:80" x14ac:dyDescent="0.2">
      <c r="AJ2290" s="374"/>
      <c r="AK2290" s="374"/>
      <c r="AS2290" s="218"/>
      <c r="AT2290" s="4"/>
      <c r="AZ2290" s="374"/>
      <c r="BA2290" s="4"/>
      <c r="BE2290" s="3"/>
      <c r="BM2290" s="229"/>
      <c r="BN2290" s="3"/>
      <c r="BW2290" s="26"/>
      <c r="BX2290" s="389"/>
      <c r="BY2290" s="3"/>
      <c r="BZ2290" s="4"/>
      <c r="CA2290" s="219"/>
      <c r="CB2290" s="3"/>
    </row>
    <row r="2291" spans="36:80" x14ac:dyDescent="0.2">
      <c r="AJ2291" s="374"/>
      <c r="AK2291" s="374"/>
      <c r="AS2291" s="218"/>
      <c r="AT2291" s="4"/>
      <c r="AZ2291" s="374"/>
      <c r="BA2291" s="4"/>
      <c r="BE2291" s="3"/>
      <c r="BM2291" s="229"/>
      <c r="BN2291" s="3"/>
      <c r="BW2291" s="26"/>
      <c r="BX2291" s="389"/>
      <c r="BY2291" s="3"/>
      <c r="BZ2291" s="4"/>
      <c r="CA2291" s="219"/>
      <c r="CB2291" s="3"/>
    </row>
    <row r="2292" spans="36:80" x14ac:dyDescent="0.2">
      <c r="AJ2292" s="374"/>
      <c r="AK2292" s="374"/>
      <c r="AS2292" s="218"/>
      <c r="AT2292" s="4"/>
      <c r="AZ2292" s="374"/>
      <c r="BA2292" s="4"/>
      <c r="BE2292" s="3"/>
      <c r="BM2292" s="229"/>
      <c r="BN2292" s="3"/>
      <c r="BW2292" s="26"/>
      <c r="BX2292" s="389"/>
      <c r="BY2292" s="3"/>
      <c r="BZ2292" s="4"/>
      <c r="CA2292" s="219"/>
      <c r="CB2292" s="3"/>
    </row>
    <row r="2293" spans="36:80" x14ac:dyDescent="0.2">
      <c r="AJ2293" s="374"/>
      <c r="AK2293" s="374"/>
      <c r="AS2293" s="218"/>
      <c r="AT2293" s="4"/>
      <c r="AZ2293" s="374"/>
      <c r="BA2293" s="4"/>
      <c r="BE2293" s="3"/>
      <c r="BM2293" s="229"/>
      <c r="BN2293" s="3"/>
      <c r="BW2293" s="26"/>
      <c r="BX2293" s="389"/>
      <c r="BY2293" s="3"/>
      <c r="BZ2293" s="4"/>
      <c r="CA2293" s="219"/>
      <c r="CB2293" s="3"/>
    </row>
    <row r="2294" spans="36:80" x14ac:dyDescent="0.2">
      <c r="AJ2294" s="374"/>
      <c r="AK2294" s="374"/>
      <c r="AS2294" s="218"/>
      <c r="AT2294" s="4"/>
      <c r="AZ2294" s="374"/>
      <c r="BA2294" s="4"/>
      <c r="BE2294" s="3"/>
      <c r="BM2294" s="229"/>
      <c r="BN2294" s="3"/>
      <c r="BW2294" s="26"/>
      <c r="BX2294" s="389"/>
      <c r="BY2294" s="3"/>
      <c r="BZ2294" s="4"/>
      <c r="CA2294" s="219"/>
      <c r="CB2294" s="3"/>
    </row>
    <row r="2295" spans="36:80" x14ac:dyDescent="0.2">
      <c r="AJ2295" s="374"/>
      <c r="AK2295" s="374"/>
      <c r="AS2295" s="218"/>
      <c r="AT2295" s="4"/>
      <c r="AZ2295" s="374"/>
      <c r="BA2295" s="4"/>
      <c r="BE2295" s="3"/>
      <c r="BM2295" s="229"/>
      <c r="BN2295" s="3"/>
      <c r="BW2295" s="26"/>
      <c r="BX2295" s="389"/>
      <c r="BY2295" s="3"/>
      <c r="BZ2295" s="4"/>
      <c r="CA2295" s="219"/>
      <c r="CB2295" s="3"/>
    </row>
    <row r="2296" spans="36:80" x14ac:dyDescent="0.2">
      <c r="AJ2296" s="374"/>
      <c r="AK2296" s="374"/>
      <c r="AS2296" s="218"/>
      <c r="AT2296" s="4"/>
      <c r="AZ2296" s="374"/>
      <c r="BA2296" s="4"/>
      <c r="BE2296" s="3"/>
      <c r="BM2296" s="229"/>
      <c r="BN2296" s="3"/>
      <c r="BW2296" s="26"/>
      <c r="BX2296" s="389"/>
      <c r="BY2296" s="3"/>
      <c r="BZ2296" s="4"/>
      <c r="CA2296" s="219"/>
      <c r="CB2296" s="3"/>
    </row>
    <row r="2297" spans="36:80" x14ac:dyDescent="0.2">
      <c r="AJ2297" s="374"/>
      <c r="AK2297" s="374"/>
      <c r="AS2297" s="218"/>
      <c r="AT2297" s="4"/>
      <c r="AZ2297" s="374"/>
      <c r="BA2297" s="4"/>
      <c r="BE2297" s="3"/>
      <c r="BM2297" s="229"/>
      <c r="BN2297" s="3"/>
      <c r="BW2297" s="26"/>
      <c r="BX2297" s="389"/>
      <c r="BY2297" s="3"/>
      <c r="BZ2297" s="4"/>
      <c r="CA2297" s="219"/>
      <c r="CB2297" s="3"/>
    </row>
    <row r="2298" spans="36:80" x14ac:dyDescent="0.2">
      <c r="AJ2298" s="374"/>
      <c r="AK2298" s="374"/>
      <c r="AS2298" s="218"/>
      <c r="AT2298" s="4"/>
      <c r="AZ2298" s="374"/>
      <c r="BA2298" s="4"/>
      <c r="BE2298" s="3"/>
      <c r="BM2298" s="229"/>
      <c r="BN2298" s="3"/>
      <c r="BW2298" s="26"/>
      <c r="BX2298" s="389"/>
      <c r="BY2298" s="3"/>
      <c r="BZ2298" s="4"/>
      <c r="CA2298" s="219"/>
      <c r="CB2298" s="3"/>
    </row>
    <row r="2299" spans="36:80" x14ac:dyDescent="0.2">
      <c r="AJ2299" s="374"/>
      <c r="AK2299" s="374"/>
      <c r="AS2299" s="218"/>
      <c r="AT2299" s="4"/>
      <c r="AZ2299" s="374"/>
      <c r="BA2299" s="4"/>
      <c r="BE2299" s="3"/>
      <c r="BM2299" s="229"/>
      <c r="BN2299" s="3"/>
      <c r="BW2299" s="26"/>
      <c r="BX2299" s="389"/>
      <c r="BY2299" s="3"/>
      <c r="BZ2299" s="4"/>
      <c r="CA2299" s="219"/>
      <c r="CB2299" s="3"/>
    </row>
    <row r="2300" spans="36:80" x14ac:dyDescent="0.2">
      <c r="AJ2300" s="374"/>
      <c r="AK2300" s="374"/>
      <c r="AS2300" s="218"/>
      <c r="AT2300" s="4"/>
      <c r="AZ2300" s="374"/>
      <c r="BA2300" s="4"/>
      <c r="BE2300" s="3"/>
      <c r="BM2300" s="229"/>
      <c r="BN2300" s="3"/>
      <c r="BW2300" s="26"/>
      <c r="BX2300" s="389"/>
      <c r="BY2300" s="3"/>
      <c r="BZ2300" s="4"/>
      <c r="CA2300" s="219"/>
      <c r="CB2300" s="3"/>
    </row>
    <row r="2301" spans="36:80" x14ac:dyDescent="0.2">
      <c r="AJ2301" s="374"/>
      <c r="AK2301" s="374"/>
      <c r="AS2301" s="218"/>
      <c r="AT2301" s="4"/>
      <c r="AZ2301" s="374"/>
      <c r="BA2301" s="4"/>
      <c r="BE2301" s="3"/>
      <c r="BM2301" s="229"/>
      <c r="BN2301" s="3"/>
      <c r="BW2301" s="26"/>
      <c r="BX2301" s="389"/>
      <c r="BY2301" s="3"/>
      <c r="BZ2301" s="4"/>
      <c r="CA2301" s="219"/>
      <c r="CB2301" s="3"/>
    </row>
    <row r="2302" spans="36:80" x14ac:dyDescent="0.2">
      <c r="AJ2302" s="374"/>
      <c r="AK2302" s="374"/>
      <c r="AS2302" s="218"/>
      <c r="AT2302" s="4"/>
      <c r="AZ2302" s="374"/>
      <c r="BA2302" s="4"/>
      <c r="BE2302" s="3"/>
      <c r="BM2302" s="229"/>
      <c r="BN2302" s="3"/>
      <c r="BW2302" s="26"/>
      <c r="BX2302" s="389"/>
      <c r="BY2302" s="3"/>
      <c r="BZ2302" s="4"/>
      <c r="CA2302" s="219"/>
      <c r="CB2302" s="3"/>
    </row>
    <row r="2303" spans="36:80" x14ac:dyDescent="0.2">
      <c r="AJ2303" s="374"/>
      <c r="AK2303" s="374"/>
      <c r="AS2303" s="218"/>
      <c r="AT2303" s="4"/>
      <c r="AZ2303" s="374"/>
      <c r="BA2303" s="4"/>
      <c r="BE2303" s="3"/>
      <c r="BM2303" s="229"/>
      <c r="BN2303" s="3"/>
      <c r="BW2303" s="26"/>
      <c r="BX2303" s="389"/>
      <c r="BY2303" s="3"/>
      <c r="BZ2303" s="4"/>
      <c r="CA2303" s="219"/>
      <c r="CB2303" s="3"/>
    </row>
    <row r="2304" spans="36:80" x14ac:dyDescent="0.2">
      <c r="AJ2304" s="374"/>
      <c r="AK2304" s="374"/>
      <c r="AS2304" s="218"/>
      <c r="AT2304" s="4"/>
      <c r="AZ2304" s="374"/>
      <c r="BA2304" s="4"/>
      <c r="BE2304" s="3"/>
      <c r="BM2304" s="229"/>
      <c r="BN2304" s="3"/>
      <c r="BW2304" s="26"/>
      <c r="BX2304" s="389"/>
      <c r="BY2304" s="3"/>
      <c r="BZ2304" s="4"/>
      <c r="CA2304" s="219"/>
      <c r="CB2304" s="3"/>
    </row>
    <row r="2305" spans="36:80" x14ac:dyDescent="0.2">
      <c r="AJ2305" s="374"/>
      <c r="AK2305" s="374"/>
      <c r="AS2305" s="218"/>
      <c r="AT2305" s="4"/>
      <c r="AZ2305" s="374"/>
      <c r="BA2305" s="4"/>
      <c r="BE2305" s="3"/>
      <c r="BM2305" s="229"/>
      <c r="BN2305" s="3"/>
      <c r="BW2305" s="26"/>
      <c r="BX2305" s="389"/>
      <c r="BY2305" s="3"/>
      <c r="BZ2305" s="4"/>
      <c r="CA2305" s="219"/>
      <c r="CB2305" s="3"/>
    </row>
    <row r="2306" spans="36:80" x14ac:dyDescent="0.2">
      <c r="AJ2306" s="374"/>
      <c r="AK2306" s="374"/>
      <c r="AS2306" s="218"/>
      <c r="AT2306" s="4"/>
      <c r="AZ2306" s="374"/>
      <c r="BA2306" s="4"/>
      <c r="BE2306" s="3"/>
      <c r="BM2306" s="229"/>
      <c r="BN2306" s="3"/>
      <c r="BW2306" s="26"/>
      <c r="BX2306" s="389"/>
      <c r="BY2306" s="3"/>
      <c r="BZ2306" s="4"/>
      <c r="CA2306" s="219"/>
      <c r="CB2306" s="3"/>
    </row>
    <row r="2307" spans="36:80" x14ac:dyDescent="0.2">
      <c r="AJ2307" s="374"/>
      <c r="AK2307" s="374"/>
      <c r="AS2307" s="218"/>
      <c r="AT2307" s="4"/>
      <c r="AZ2307" s="374"/>
      <c r="BA2307" s="4"/>
      <c r="BE2307" s="3"/>
      <c r="BM2307" s="229"/>
      <c r="BN2307" s="3"/>
      <c r="BW2307" s="26"/>
      <c r="BX2307" s="389"/>
      <c r="BY2307" s="3"/>
      <c r="BZ2307" s="4"/>
      <c r="CA2307" s="219"/>
      <c r="CB2307" s="3"/>
    </row>
    <row r="2308" spans="36:80" x14ac:dyDescent="0.2">
      <c r="AJ2308" s="374"/>
      <c r="AK2308" s="374"/>
      <c r="AS2308" s="218"/>
      <c r="AT2308" s="4"/>
      <c r="AZ2308" s="374"/>
      <c r="BA2308" s="4"/>
      <c r="BE2308" s="3"/>
      <c r="BM2308" s="229"/>
      <c r="BN2308" s="3"/>
      <c r="BW2308" s="26"/>
      <c r="BX2308" s="389"/>
      <c r="BY2308" s="3"/>
      <c r="BZ2308" s="4"/>
      <c r="CA2308" s="219"/>
      <c r="CB2308" s="3"/>
    </row>
    <row r="2309" spans="36:80" x14ac:dyDescent="0.2">
      <c r="AJ2309" s="374"/>
      <c r="AK2309" s="374"/>
      <c r="AS2309" s="218"/>
      <c r="AT2309" s="4"/>
      <c r="AZ2309" s="374"/>
      <c r="BA2309" s="4"/>
      <c r="BE2309" s="3"/>
      <c r="BM2309" s="229"/>
      <c r="BN2309" s="3"/>
      <c r="BW2309" s="26"/>
      <c r="BX2309" s="389"/>
      <c r="BY2309" s="3"/>
      <c r="BZ2309" s="4"/>
      <c r="CA2309" s="219"/>
      <c r="CB2309" s="3"/>
    </row>
    <row r="2310" spans="36:80" x14ac:dyDescent="0.2">
      <c r="AJ2310" s="374"/>
      <c r="AK2310" s="374"/>
      <c r="AS2310" s="218"/>
      <c r="AT2310" s="4"/>
      <c r="AZ2310" s="374"/>
      <c r="BA2310" s="4"/>
      <c r="BE2310" s="3"/>
      <c r="BM2310" s="229"/>
      <c r="BN2310" s="3"/>
      <c r="BW2310" s="26"/>
      <c r="BX2310" s="389"/>
      <c r="BY2310" s="3"/>
      <c r="BZ2310" s="4"/>
      <c r="CA2310" s="219"/>
      <c r="CB2310" s="3"/>
    </row>
    <row r="2311" spans="36:80" x14ac:dyDescent="0.2">
      <c r="AJ2311" s="374"/>
      <c r="AK2311" s="374"/>
      <c r="AS2311" s="218"/>
      <c r="AT2311" s="4"/>
      <c r="AZ2311" s="374"/>
      <c r="BA2311" s="4"/>
      <c r="BE2311" s="3"/>
      <c r="BM2311" s="229"/>
      <c r="BN2311" s="3"/>
      <c r="BW2311" s="26"/>
      <c r="BX2311" s="389"/>
      <c r="BY2311" s="3"/>
      <c r="BZ2311" s="4"/>
      <c r="CA2311" s="219"/>
      <c r="CB2311" s="3"/>
    </row>
    <row r="2312" spans="36:80" x14ac:dyDescent="0.2">
      <c r="AJ2312" s="374"/>
      <c r="AK2312" s="374"/>
      <c r="AS2312" s="218"/>
      <c r="AT2312" s="4"/>
      <c r="AZ2312" s="374"/>
      <c r="BA2312" s="4"/>
      <c r="BE2312" s="3"/>
      <c r="BM2312" s="229"/>
      <c r="BN2312" s="3"/>
      <c r="BW2312" s="26"/>
      <c r="BX2312" s="389"/>
      <c r="BY2312" s="3"/>
      <c r="BZ2312" s="4"/>
      <c r="CA2312" s="219"/>
      <c r="CB2312" s="3"/>
    </row>
    <row r="2313" spans="36:80" x14ac:dyDescent="0.2">
      <c r="AJ2313" s="374"/>
      <c r="AK2313" s="374"/>
      <c r="AS2313" s="218"/>
      <c r="AT2313" s="4"/>
      <c r="AZ2313" s="374"/>
      <c r="BA2313" s="4"/>
      <c r="BE2313" s="3"/>
      <c r="BM2313" s="229"/>
      <c r="BN2313" s="3"/>
      <c r="BW2313" s="26"/>
      <c r="BX2313" s="389"/>
      <c r="BY2313" s="3"/>
      <c r="BZ2313" s="4"/>
      <c r="CA2313" s="219"/>
      <c r="CB2313" s="3"/>
    </row>
    <row r="2314" spans="36:80" x14ac:dyDescent="0.2">
      <c r="AJ2314" s="374"/>
      <c r="AK2314" s="374"/>
      <c r="AS2314" s="218"/>
      <c r="AT2314" s="4"/>
      <c r="AZ2314" s="374"/>
      <c r="BA2314" s="4"/>
      <c r="BE2314" s="3"/>
      <c r="BM2314" s="229"/>
      <c r="BN2314" s="3"/>
      <c r="BW2314" s="26"/>
      <c r="BX2314" s="389"/>
      <c r="BY2314" s="3"/>
      <c r="BZ2314" s="4"/>
      <c r="CA2314" s="219"/>
      <c r="CB2314" s="3"/>
    </row>
    <row r="2315" spans="36:80" x14ac:dyDescent="0.2">
      <c r="AJ2315" s="374"/>
      <c r="AK2315" s="374"/>
      <c r="AS2315" s="218"/>
      <c r="AT2315" s="4"/>
      <c r="AZ2315" s="374"/>
      <c r="BA2315" s="4"/>
      <c r="BE2315" s="3"/>
      <c r="BM2315" s="229"/>
      <c r="BN2315" s="3"/>
      <c r="BW2315" s="26"/>
      <c r="BX2315" s="389"/>
      <c r="BY2315" s="3"/>
      <c r="BZ2315" s="4"/>
      <c r="CA2315" s="219"/>
      <c r="CB2315" s="3"/>
    </row>
    <row r="2316" spans="36:80" x14ac:dyDescent="0.2">
      <c r="AJ2316" s="374"/>
      <c r="AK2316" s="374"/>
      <c r="AS2316" s="218"/>
      <c r="AT2316" s="4"/>
      <c r="AZ2316" s="374"/>
      <c r="BA2316" s="4"/>
      <c r="BE2316" s="3"/>
      <c r="BM2316" s="229"/>
      <c r="BN2316" s="3"/>
      <c r="BW2316" s="26"/>
      <c r="BX2316" s="389"/>
      <c r="BY2316" s="3"/>
      <c r="BZ2316" s="4"/>
      <c r="CA2316" s="219"/>
      <c r="CB2316" s="3"/>
    </row>
    <row r="2317" spans="36:80" x14ac:dyDescent="0.2">
      <c r="AJ2317" s="374"/>
      <c r="AK2317" s="374"/>
      <c r="AS2317" s="218"/>
      <c r="AT2317" s="4"/>
      <c r="AZ2317" s="374"/>
      <c r="BA2317" s="4"/>
      <c r="BE2317" s="3"/>
      <c r="BM2317" s="229"/>
      <c r="BN2317" s="3"/>
      <c r="BW2317" s="26"/>
      <c r="BX2317" s="389"/>
      <c r="BY2317" s="3"/>
      <c r="BZ2317" s="4"/>
      <c r="CA2317" s="219"/>
      <c r="CB2317" s="3"/>
    </row>
    <row r="2318" spans="36:80" x14ac:dyDescent="0.2">
      <c r="AJ2318" s="374"/>
      <c r="AK2318" s="374"/>
      <c r="AS2318" s="218"/>
      <c r="AT2318" s="4"/>
      <c r="AZ2318" s="374"/>
      <c r="BA2318" s="4"/>
      <c r="BE2318" s="3"/>
      <c r="BM2318" s="229"/>
      <c r="BN2318" s="3"/>
      <c r="BW2318" s="26"/>
      <c r="BX2318" s="389"/>
      <c r="BY2318" s="3"/>
      <c r="BZ2318" s="4"/>
      <c r="CA2318" s="219"/>
      <c r="CB2318" s="3"/>
    </row>
    <row r="2319" spans="36:80" x14ac:dyDescent="0.2">
      <c r="AJ2319" s="494"/>
      <c r="AK2319" s="494"/>
      <c r="AS2319" s="218"/>
      <c r="AT2319" s="4"/>
      <c r="AZ2319" s="374"/>
      <c r="BA2319" s="4"/>
      <c r="BE2319" s="3"/>
      <c r="BM2319" s="229"/>
      <c r="BN2319" s="3"/>
      <c r="BW2319" s="26"/>
      <c r="BX2319" s="389"/>
      <c r="BY2319" s="3"/>
      <c r="BZ2319" s="4"/>
      <c r="CA2319" s="219"/>
      <c r="CB2319" s="3"/>
    </row>
    <row r="2320" spans="36:80" x14ac:dyDescent="0.2">
      <c r="AJ2320" s="494"/>
      <c r="AK2320" s="494"/>
      <c r="AS2320" s="218"/>
      <c r="AT2320" s="4"/>
      <c r="AZ2320" s="374"/>
      <c r="BA2320" s="4"/>
      <c r="BE2320" s="3"/>
      <c r="BM2320" s="229"/>
      <c r="BN2320" s="3"/>
      <c r="BW2320" s="26"/>
      <c r="BX2320" s="389"/>
      <c r="BY2320" s="3"/>
      <c r="BZ2320" s="4"/>
      <c r="CA2320" s="219"/>
      <c r="CB2320" s="3"/>
    </row>
    <row r="2321" spans="36:80" x14ac:dyDescent="0.2">
      <c r="AJ2321" s="494"/>
      <c r="AK2321" s="494"/>
      <c r="AS2321" s="218"/>
      <c r="AT2321" s="4"/>
      <c r="AZ2321" s="374"/>
      <c r="BA2321" s="4"/>
      <c r="BE2321" s="3"/>
      <c r="BM2321" s="229"/>
      <c r="BN2321" s="3"/>
      <c r="BW2321" s="26"/>
      <c r="BX2321" s="389"/>
      <c r="BY2321" s="3"/>
      <c r="BZ2321" s="4"/>
      <c r="CA2321" s="219"/>
      <c r="CB2321" s="3"/>
    </row>
    <row r="2322" spans="36:80" x14ac:dyDescent="0.2">
      <c r="AJ2322" s="494"/>
      <c r="AK2322" s="494"/>
      <c r="AS2322" s="218"/>
      <c r="AT2322" s="4"/>
      <c r="AZ2322" s="374"/>
      <c r="BA2322" s="4"/>
      <c r="BE2322" s="3"/>
      <c r="BM2322" s="229"/>
      <c r="BN2322" s="3"/>
      <c r="BW2322" s="26"/>
      <c r="BX2322" s="389"/>
      <c r="BY2322" s="3"/>
      <c r="BZ2322" s="4"/>
      <c r="CA2322" s="219"/>
      <c r="CB2322" s="3"/>
    </row>
    <row r="2323" spans="36:80" x14ac:dyDescent="0.2">
      <c r="AJ2323" s="494"/>
      <c r="AK2323" s="494"/>
      <c r="AS2323" s="218"/>
      <c r="AT2323" s="4"/>
      <c r="AZ2323" s="374"/>
      <c r="BA2323" s="4"/>
      <c r="BE2323" s="3"/>
      <c r="BM2323" s="229"/>
      <c r="BN2323" s="3"/>
      <c r="BW2323" s="26"/>
      <c r="BX2323" s="389"/>
      <c r="BY2323" s="3"/>
      <c r="BZ2323" s="4"/>
      <c r="CA2323" s="219"/>
      <c r="CB2323" s="3"/>
    </row>
    <row r="2324" spans="36:80" x14ac:dyDescent="0.2">
      <c r="AJ2324" s="494"/>
      <c r="AK2324" s="494"/>
      <c r="AS2324" s="218"/>
      <c r="AT2324" s="4"/>
      <c r="AZ2324" s="374"/>
      <c r="BA2324" s="4"/>
      <c r="BE2324" s="3"/>
      <c r="BM2324" s="229"/>
      <c r="BN2324" s="3"/>
      <c r="BW2324" s="26"/>
      <c r="BX2324" s="389"/>
      <c r="BY2324" s="3"/>
      <c r="BZ2324" s="4"/>
      <c r="CA2324" s="219"/>
      <c r="CB2324" s="3"/>
    </row>
    <row r="2325" spans="36:80" x14ac:dyDescent="0.2">
      <c r="AJ2325" s="494"/>
      <c r="AK2325" s="494"/>
      <c r="AS2325" s="218"/>
      <c r="AT2325" s="4"/>
      <c r="AZ2325" s="374"/>
      <c r="BA2325" s="4"/>
      <c r="BE2325" s="3"/>
      <c r="BM2325" s="229"/>
      <c r="BN2325" s="3"/>
      <c r="BW2325" s="26"/>
      <c r="BX2325" s="389"/>
      <c r="BY2325" s="3"/>
      <c r="BZ2325" s="4"/>
      <c r="CA2325" s="219"/>
      <c r="CB2325" s="3"/>
    </row>
    <row r="2326" spans="36:80" x14ac:dyDescent="0.2">
      <c r="AJ2326" s="494"/>
      <c r="AK2326" s="494"/>
      <c r="AS2326" s="218"/>
      <c r="AT2326" s="4"/>
      <c r="AZ2326" s="374"/>
      <c r="BA2326" s="4"/>
      <c r="BE2326" s="3"/>
      <c r="BM2326" s="229"/>
      <c r="BN2326" s="3"/>
      <c r="BW2326" s="26"/>
      <c r="BX2326" s="389"/>
      <c r="BY2326" s="3"/>
      <c r="BZ2326" s="4"/>
      <c r="CA2326" s="219"/>
      <c r="CB2326" s="3"/>
    </row>
    <row r="2327" spans="36:80" x14ac:dyDescent="0.2">
      <c r="AJ2327" s="494"/>
      <c r="AK2327" s="494"/>
      <c r="AS2327" s="218"/>
      <c r="AT2327" s="4"/>
      <c r="AZ2327" s="374"/>
      <c r="BA2327" s="4"/>
      <c r="BE2327" s="3"/>
      <c r="BM2327" s="229"/>
      <c r="BN2327" s="3"/>
      <c r="BW2327" s="26"/>
      <c r="BX2327" s="389"/>
      <c r="BY2327" s="3"/>
      <c r="BZ2327" s="4"/>
      <c r="CA2327" s="219"/>
      <c r="CB2327" s="3"/>
    </row>
    <row r="2328" spans="36:80" x14ac:dyDescent="0.2">
      <c r="AJ2328" s="494"/>
      <c r="AK2328" s="494"/>
      <c r="AS2328" s="218"/>
      <c r="AT2328" s="4"/>
      <c r="AZ2328" s="374"/>
      <c r="BA2328" s="4"/>
      <c r="BE2328" s="3"/>
      <c r="BM2328" s="229"/>
      <c r="BN2328" s="3"/>
      <c r="BW2328" s="26"/>
      <c r="BX2328" s="389"/>
      <c r="BY2328" s="3"/>
      <c r="BZ2328" s="4"/>
      <c r="CA2328" s="219"/>
      <c r="CB2328" s="3"/>
    </row>
    <row r="2329" spans="36:80" x14ac:dyDescent="0.2">
      <c r="AJ2329" s="494"/>
      <c r="AK2329" s="494"/>
      <c r="AS2329" s="218"/>
      <c r="AT2329" s="4"/>
      <c r="AZ2329" s="374"/>
      <c r="BA2329" s="4"/>
      <c r="BE2329" s="3"/>
      <c r="BM2329" s="229"/>
      <c r="BN2329" s="3"/>
      <c r="BW2329" s="26"/>
      <c r="BX2329" s="389"/>
      <c r="BY2329" s="3"/>
      <c r="BZ2329" s="4"/>
      <c r="CA2329" s="219"/>
      <c r="CB2329" s="3"/>
    </row>
    <row r="2330" spans="36:80" x14ac:dyDescent="0.2">
      <c r="AJ2330" s="494"/>
      <c r="AK2330" s="494"/>
    </row>
    <row r="2331" spans="36:80" x14ac:dyDescent="0.2">
      <c r="AJ2331" s="494"/>
      <c r="AK2331" s="494"/>
    </row>
    <row r="2332" spans="36:80" x14ac:dyDescent="0.2">
      <c r="AJ2332" s="494"/>
      <c r="AK2332" s="494"/>
    </row>
    <row r="2333" spans="36:80" x14ac:dyDescent="0.2">
      <c r="AJ2333" s="494"/>
      <c r="AK2333" s="494"/>
    </row>
    <row r="2334" spans="36:80" x14ac:dyDescent="0.2">
      <c r="AJ2334" s="494"/>
      <c r="AK2334" s="494"/>
    </row>
    <row r="2335" spans="36:80" x14ac:dyDescent="0.2">
      <c r="AJ2335" s="494"/>
      <c r="AK2335" s="494"/>
    </row>
    <row r="2336" spans="36:80" x14ac:dyDescent="0.2">
      <c r="AJ2336" s="494"/>
      <c r="AK2336" s="494"/>
    </row>
    <row r="2337" spans="36:37" x14ac:dyDescent="0.2">
      <c r="AJ2337" s="494"/>
      <c r="AK2337" s="494"/>
    </row>
    <row r="2338" spans="36:37" x14ac:dyDescent="0.2">
      <c r="AJ2338" s="494"/>
      <c r="AK2338" s="494"/>
    </row>
    <row r="2339" spans="36:37" x14ac:dyDescent="0.2">
      <c r="AJ2339" s="494"/>
      <c r="AK2339" s="494"/>
    </row>
    <row r="2340" spans="36:37" x14ac:dyDescent="0.2">
      <c r="AJ2340" s="494"/>
      <c r="AK2340" s="494"/>
    </row>
    <row r="2341" spans="36:37" x14ac:dyDescent="0.2">
      <c r="AJ2341" s="494"/>
      <c r="AK2341" s="494"/>
    </row>
    <row r="2342" spans="36:37" x14ac:dyDescent="0.2">
      <c r="AJ2342" s="494"/>
      <c r="AK2342" s="494"/>
    </row>
    <row r="2343" spans="36:37" x14ac:dyDescent="0.2">
      <c r="AJ2343" s="494"/>
      <c r="AK2343" s="494"/>
    </row>
    <row r="2344" spans="36:37" x14ac:dyDescent="0.2">
      <c r="AJ2344" s="494"/>
      <c r="AK2344" s="494"/>
    </row>
    <row r="2345" spans="36:37" x14ac:dyDescent="0.2">
      <c r="AJ2345" s="494"/>
      <c r="AK2345" s="494"/>
    </row>
    <row r="2346" spans="36:37" x14ac:dyDescent="0.2">
      <c r="AJ2346" s="494"/>
      <c r="AK2346" s="494"/>
    </row>
    <row r="2347" spans="36:37" x14ac:dyDescent="0.2">
      <c r="AJ2347" s="494"/>
      <c r="AK2347" s="494"/>
    </row>
    <row r="2348" spans="36:37" x14ac:dyDescent="0.2">
      <c r="AJ2348" s="494"/>
      <c r="AK2348" s="494"/>
    </row>
    <row r="2349" spans="36:37" x14ac:dyDescent="0.2">
      <c r="AJ2349" s="494"/>
      <c r="AK2349" s="494"/>
    </row>
    <row r="2350" spans="36:37" x14ac:dyDescent="0.2">
      <c r="AJ2350" s="494"/>
      <c r="AK2350" s="494"/>
    </row>
    <row r="2351" spans="36:37" x14ac:dyDescent="0.2">
      <c r="AJ2351" s="494"/>
      <c r="AK2351" s="494"/>
    </row>
    <row r="2352" spans="36:37" x14ac:dyDescent="0.2">
      <c r="AJ2352" s="494"/>
      <c r="AK2352" s="494"/>
    </row>
    <row r="2353" spans="36:37" x14ac:dyDescent="0.2">
      <c r="AJ2353" s="494"/>
      <c r="AK2353" s="494"/>
    </row>
    <row r="2354" spans="36:37" x14ac:dyDescent="0.2">
      <c r="AJ2354" s="494"/>
      <c r="AK2354" s="494"/>
    </row>
    <row r="2355" spans="36:37" x14ac:dyDescent="0.2">
      <c r="AJ2355" s="494"/>
      <c r="AK2355" s="494"/>
    </row>
    <row r="2356" spans="36:37" x14ac:dyDescent="0.2">
      <c r="AJ2356" s="494"/>
      <c r="AK2356" s="494"/>
    </row>
    <row r="2357" spans="36:37" x14ac:dyDescent="0.2">
      <c r="AJ2357" s="494"/>
      <c r="AK2357" s="494"/>
    </row>
    <row r="2358" spans="36:37" x14ac:dyDescent="0.2">
      <c r="AJ2358" s="374"/>
      <c r="AK2358" s="374"/>
    </row>
    <row r="2359" spans="36:37" x14ac:dyDescent="0.2">
      <c r="AJ2359" s="374"/>
      <c r="AK2359" s="374"/>
    </row>
    <row r="2360" spans="36:37" x14ac:dyDescent="0.2">
      <c r="AJ2360" s="374"/>
      <c r="AK2360" s="374"/>
    </row>
    <row r="2361" spans="36:37" x14ac:dyDescent="0.2">
      <c r="AJ2361" s="374"/>
      <c r="AK2361" s="374"/>
    </row>
    <row r="2362" spans="36:37" x14ac:dyDescent="0.2">
      <c r="AJ2362" s="374"/>
      <c r="AK2362" s="374"/>
    </row>
    <row r="2363" spans="36:37" x14ac:dyDescent="0.2">
      <c r="AJ2363" s="374"/>
      <c r="AK2363" s="374"/>
    </row>
    <row r="2364" spans="36:37" x14ac:dyDescent="0.2">
      <c r="AJ2364" s="374"/>
      <c r="AK2364" s="374"/>
    </row>
    <row r="2365" spans="36:37" x14ac:dyDescent="0.2">
      <c r="AJ2365" s="374"/>
      <c r="AK2365" s="374"/>
    </row>
    <row r="2366" spans="36:37" x14ac:dyDescent="0.2">
      <c r="AJ2366" s="374"/>
      <c r="AK2366" s="374"/>
    </row>
    <row r="2367" spans="36:37" x14ac:dyDescent="0.2">
      <c r="AJ2367" s="374"/>
      <c r="AK2367" s="374"/>
    </row>
    <row r="2368" spans="36:37" x14ac:dyDescent="0.2">
      <c r="AJ2368" s="374"/>
      <c r="AK2368" s="374"/>
    </row>
    <row r="2369" spans="36:37" x14ac:dyDescent="0.2">
      <c r="AJ2369" s="374"/>
      <c r="AK2369" s="374"/>
    </row>
    <row r="2370" spans="36:37" x14ac:dyDescent="0.2">
      <c r="AJ2370" s="374"/>
      <c r="AK2370" s="374"/>
    </row>
    <row r="2371" spans="36:37" x14ac:dyDescent="0.2">
      <c r="AJ2371" s="374"/>
      <c r="AK2371" s="374"/>
    </row>
    <row r="2372" spans="36:37" x14ac:dyDescent="0.2">
      <c r="AJ2372" s="374"/>
      <c r="AK2372" s="374"/>
    </row>
    <row r="2373" spans="36:37" x14ac:dyDescent="0.2">
      <c r="AJ2373" s="374"/>
      <c r="AK2373" s="374"/>
    </row>
    <row r="2374" spans="36:37" x14ac:dyDescent="0.2">
      <c r="AJ2374" s="374"/>
      <c r="AK2374" s="374"/>
    </row>
    <row r="2375" spans="36:37" x14ac:dyDescent="0.2">
      <c r="AJ2375" s="374"/>
      <c r="AK2375" s="374"/>
    </row>
    <row r="2376" spans="36:37" x14ac:dyDescent="0.2">
      <c r="AJ2376" s="374"/>
      <c r="AK2376" s="374"/>
    </row>
    <row r="2377" spans="36:37" x14ac:dyDescent="0.2">
      <c r="AJ2377" s="374"/>
      <c r="AK2377" s="374"/>
    </row>
    <row r="2378" spans="36:37" x14ac:dyDescent="0.2">
      <c r="AJ2378" s="374"/>
      <c r="AK2378" s="374"/>
    </row>
    <row r="2379" spans="36:37" x14ac:dyDescent="0.2">
      <c r="AJ2379" s="374"/>
      <c r="AK2379" s="374"/>
    </row>
    <row r="2380" spans="36:37" x14ac:dyDescent="0.2">
      <c r="AJ2380" s="374"/>
      <c r="AK2380" s="374"/>
    </row>
    <row r="2381" spans="36:37" x14ac:dyDescent="0.2">
      <c r="AJ2381" s="374"/>
      <c r="AK2381" s="374"/>
    </row>
    <row r="2382" spans="36:37" x14ac:dyDescent="0.2">
      <c r="AJ2382" s="374"/>
      <c r="AK2382" s="374"/>
    </row>
    <row r="2383" spans="36:37" x14ac:dyDescent="0.2">
      <c r="AJ2383" s="374"/>
      <c r="AK2383" s="374"/>
    </row>
    <row r="2384" spans="36:37" x14ac:dyDescent="0.2">
      <c r="AJ2384" s="374"/>
      <c r="AK2384" s="374"/>
    </row>
    <row r="2385" spans="36:37" x14ac:dyDescent="0.2">
      <c r="AJ2385" s="374"/>
      <c r="AK2385" s="374"/>
    </row>
    <row r="2386" spans="36:37" x14ac:dyDescent="0.2">
      <c r="AJ2386" s="374"/>
      <c r="AK2386" s="374"/>
    </row>
    <row r="2387" spans="36:37" x14ac:dyDescent="0.2">
      <c r="AJ2387" s="374"/>
      <c r="AK2387" s="374"/>
    </row>
    <row r="2388" spans="36:37" x14ac:dyDescent="0.2">
      <c r="AJ2388" s="374"/>
      <c r="AK2388" s="374"/>
    </row>
    <row r="2389" spans="36:37" x14ac:dyDescent="0.2">
      <c r="AJ2389" s="374"/>
      <c r="AK2389" s="374"/>
    </row>
    <row r="2390" spans="36:37" x14ac:dyDescent="0.2">
      <c r="AJ2390" s="374"/>
      <c r="AK2390" s="374"/>
    </row>
    <row r="2391" spans="36:37" x14ac:dyDescent="0.2">
      <c r="AJ2391" s="374"/>
      <c r="AK2391" s="374"/>
    </row>
    <row r="2392" spans="36:37" x14ac:dyDescent="0.2">
      <c r="AJ2392" s="374"/>
      <c r="AK2392" s="374"/>
    </row>
    <row r="2393" spans="36:37" x14ac:dyDescent="0.2">
      <c r="AJ2393" s="374"/>
      <c r="AK2393" s="374"/>
    </row>
    <row r="2394" spans="36:37" x14ac:dyDescent="0.2">
      <c r="AJ2394" s="374"/>
      <c r="AK2394" s="374"/>
    </row>
    <row r="2395" spans="36:37" x14ac:dyDescent="0.2">
      <c r="AJ2395" s="374"/>
      <c r="AK2395" s="374"/>
    </row>
    <row r="2396" spans="36:37" x14ac:dyDescent="0.2">
      <c r="AJ2396" s="374"/>
      <c r="AK2396" s="374"/>
    </row>
    <row r="2397" spans="36:37" x14ac:dyDescent="0.2">
      <c r="AJ2397" s="374"/>
      <c r="AK2397" s="374"/>
    </row>
    <row r="2398" spans="36:37" x14ac:dyDescent="0.2">
      <c r="AJ2398" s="374"/>
      <c r="AK2398" s="374"/>
    </row>
    <row r="2399" spans="36:37" x14ac:dyDescent="0.2">
      <c r="AJ2399" s="374"/>
      <c r="AK2399" s="374"/>
    </row>
    <row r="2400" spans="36:37" x14ac:dyDescent="0.2">
      <c r="AJ2400" s="374"/>
      <c r="AK2400" s="374"/>
    </row>
    <row r="2401" spans="36:37" x14ac:dyDescent="0.2">
      <c r="AJ2401" s="374"/>
      <c r="AK2401" s="374"/>
    </row>
    <row r="2402" spans="36:37" x14ac:dyDescent="0.2">
      <c r="AJ2402" s="374"/>
      <c r="AK2402" s="374"/>
    </row>
    <row r="2403" spans="36:37" x14ac:dyDescent="0.2">
      <c r="AJ2403" s="374"/>
      <c r="AK2403" s="374"/>
    </row>
    <row r="2404" spans="36:37" x14ac:dyDescent="0.2">
      <c r="AJ2404" s="374"/>
      <c r="AK2404" s="374"/>
    </row>
    <row r="2405" spans="36:37" x14ac:dyDescent="0.2">
      <c r="AJ2405" s="374"/>
      <c r="AK2405" s="374"/>
    </row>
    <row r="2406" spans="36:37" x14ac:dyDescent="0.2">
      <c r="AJ2406" s="374"/>
      <c r="AK2406" s="374"/>
    </row>
    <row r="2407" spans="36:37" x14ac:dyDescent="0.2">
      <c r="AJ2407" s="374"/>
      <c r="AK2407" s="374"/>
    </row>
    <row r="2408" spans="36:37" x14ac:dyDescent="0.2">
      <c r="AJ2408" s="374"/>
      <c r="AK2408" s="374"/>
    </row>
    <row r="2409" spans="36:37" x14ac:dyDescent="0.2">
      <c r="AJ2409" s="374"/>
      <c r="AK2409" s="374"/>
    </row>
    <row r="2410" spans="36:37" x14ac:dyDescent="0.2">
      <c r="AJ2410" s="374"/>
      <c r="AK2410" s="374"/>
    </row>
    <row r="2411" spans="36:37" x14ac:dyDescent="0.2">
      <c r="AJ2411" s="374"/>
      <c r="AK2411" s="374"/>
    </row>
    <row r="2412" spans="36:37" x14ac:dyDescent="0.2">
      <c r="AJ2412" s="374"/>
      <c r="AK2412" s="374"/>
    </row>
    <row r="2413" spans="36:37" x14ac:dyDescent="0.2">
      <c r="AJ2413" s="374"/>
      <c r="AK2413" s="374"/>
    </row>
    <row r="2414" spans="36:37" x14ac:dyDescent="0.2">
      <c r="AJ2414" s="374"/>
      <c r="AK2414" s="374"/>
    </row>
    <row r="2415" spans="36:37" x14ac:dyDescent="0.2">
      <c r="AJ2415" s="374"/>
      <c r="AK2415" s="374"/>
    </row>
    <row r="2416" spans="36:37" x14ac:dyDescent="0.2">
      <c r="AJ2416" s="374"/>
      <c r="AK2416" s="374"/>
    </row>
    <row r="2417" spans="36:37" x14ac:dyDescent="0.2">
      <c r="AJ2417" s="374"/>
      <c r="AK2417" s="374"/>
    </row>
    <row r="2418" spans="36:37" x14ac:dyDescent="0.2">
      <c r="AJ2418" s="374"/>
      <c r="AK2418" s="374"/>
    </row>
    <row r="2419" spans="36:37" x14ac:dyDescent="0.2">
      <c r="AJ2419" s="374"/>
      <c r="AK2419" s="374"/>
    </row>
    <row r="2420" spans="36:37" x14ac:dyDescent="0.2">
      <c r="AJ2420" s="374"/>
      <c r="AK2420" s="374"/>
    </row>
    <row r="2421" spans="36:37" x14ac:dyDescent="0.2">
      <c r="AJ2421" s="374"/>
      <c r="AK2421" s="374"/>
    </row>
    <row r="2422" spans="36:37" x14ac:dyDescent="0.2">
      <c r="AJ2422" s="374"/>
      <c r="AK2422" s="374"/>
    </row>
    <row r="2423" spans="36:37" x14ac:dyDescent="0.2">
      <c r="AJ2423" s="374"/>
      <c r="AK2423" s="374"/>
    </row>
    <row r="2424" spans="36:37" x14ac:dyDescent="0.2">
      <c r="AJ2424" s="374"/>
      <c r="AK2424" s="374"/>
    </row>
    <row r="2425" spans="36:37" x14ac:dyDescent="0.2">
      <c r="AJ2425" s="374"/>
      <c r="AK2425" s="374"/>
    </row>
    <row r="2426" spans="36:37" x14ac:dyDescent="0.2">
      <c r="AJ2426" s="374"/>
      <c r="AK2426" s="374"/>
    </row>
    <row r="2427" spans="36:37" x14ac:dyDescent="0.2">
      <c r="AJ2427" s="374"/>
      <c r="AK2427" s="374"/>
    </row>
    <row r="2428" spans="36:37" x14ac:dyDescent="0.2">
      <c r="AJ2428" s="374"/>
      <c r="AK2428" s="374"/>
    </row>
    <row r="2429" spans="36:37" x14ac:dyDescent="0.2">
      <c r="AJ2429" s="374"/>
      <c r="AK2429" s="374"/>
    </row>
    <row r="2430" spans="36:37" x14ac:dyDescent="0.2">
      <c r="AJ2430" s="374"/>
      <c r="AK2430" s="374"/>
    </row>
    <row r="2431" spans="36:37" x14ac:dyDescent="0.2">
      <c r="AJ2431" s="374"/>
      <c r="AK2431" s="374"/>
    </row>
    <row r="2432" spans="36:37" x14ac:dyDescent="0.2">
      <c r="AJ2432" s="374"/>
      <c r="AK2432" s="374"/>
    </row>
    <row r="2433" spans="36:37" x14ac:dyDescent="0.2">
      <c r="AJ2433" s="374"/>
      <c r="AK2433" s="374"/>
    </row>
    <row r="2434" spans="36:37" x14ac:dyDescent="0.2">
      <c r="AJ2434" s="374"/>
      <c r="AK2434" s="374"/>
    </row>
    <row r="2435" spans="36:37" x14ac:dyDescent="0.2">
      <c r="AJ2435" s="374"/>
      <c r="AK2435" s="374"/>
    </row>
    <row r="2436" spans="36:37" x14ac:dyDescent="0.2">
      <c r="AJ2436" s="374"/>
      <c r="AK2436" s="374"/>
    </row>
    <row r="2437" spans="36:37" x14ac:dyDescent="0.2">
      <c r="AJ2437" s="374"/>
      <c r="AK2437" s="374"/>
    </row>
    <row r="2438" spans="36:37" x14ac:dyDescent="0.2">
      <c r="AJ2438" s="374"/>
      <c r="AK2438" s="374"/>
    </row>
    <row r="2439" spans="36:37" x14ac:dyDescent="0.2">
      <c r="AJ2439" s="374"/>
      <c r="AK2439" s="374"/>
    </row>
    <row r="2440" spans="36:37" x14ac:dyDescent="0.2">
      <c r="AJ2440" s="374"/>
      <c r="AK2440" s="374"/>
    </row>
    <row r="2441" spans="36:37" x14ac:dyDescent="0.2">
      <c r="AJ2441" s="374"/>
      <c r="AK2441" s="374"/>
    </row>
    <row r="2442" spans="36:37" x14ac:dyDescent="0.2">
      <c r="AJ2442" s="374"/>
      <c r="AK2442" s="374"/>
    </row>
    <row r="2443" spans="36:37" x14ac:dyDescent="0.2">
      <c r="AJ2443" s="374"/>
      <c r="AK2443" s="374"/>
    </row>
    <row r="2444" spans="36:37" x14ac:dyDescent="0.2">
      <c r="AJ2444" s="374"/>
      <c r="AK2444" s="374"/>
    </row>
    <row r="2445" spans="36:37" x14ac:dyDescent="0.2">
      <c r="AJ2445" s="374"/>
      <c r="AK2445" s="374"/>
    </row>
    <row r="2446" spans="36:37" x14ac:dyDescent="0.2">
      <c r="AJ2446" s="374"/>
      <c r="AK2446" s="374"/>
    </row>
    <row r="2447" spans="36:37" x14ac:dyDescent="0.2">
      <c r="AJ2447" s="374"/>
      <c r="AK2447" s="374"/>
    </row>
    <row r="2448" spans="36:37" x14ac:dyDescent="0.2">
      <c r="AJ2448" s="374"/>
      <c r="AK2448" s="374"/>
    </row>
    <row r="2449" spans="36:37" x14ac:dyDescent="0.2">
      <c r="AJ2449" s="374"/>
      <c r="AK2449" s="374"/>
    </row>
    <row r="2450" spans="36:37" x14ac:dyDescent="0.2">
      <c r="AJ2450" s="374"/>
      <c r="AK2450" s="374"/>
    </row>
    <row r="2451" spans="36:37" x14ac:dyDescent="0.2">
      <c r="AJ2451" s="374"/>
      <c r="AK2451" s="374"/>
    </row>
    <row r="2452" spans="36:37" x14ac:dyDescent="0.2">
      <c r="AJ2452" s="374"/>
      <c r="AK2452" s="374"/>
    </row>
  </sheetData>
  <sortState ref="A5:DK1860">
    <sortCondition ref="A5:A1860"/>
  </sortState>
  <mergeCells count="1">
    <mergeCell ref="AF3:AQ3"/>
  </mergeCells>
  <pageMargins left="0.74803149606299213" right="0.74803149606299213" top="0.98425196850393704" bottom="0.98425196850393704" header="0.51181102362204722" footer="0.51181102362204722"/>
  <pageSetup paperSize="9" scale="10" fitToWidth="4" orientation="landscape" horizontalDpi="4294967293"/>
  <headerFooter alignWithMargins="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XFC2192"/>
  <sheetViews>
    <sheetView showZeros="0" tabSelected="1" zoomScale="75" zoomScaleNormal="75" workbookViewId="0">
      <selection activeCell="J15" sqref="J15"/>
    </sheetView>
  </sheetViews>
  <sheetFormatPr defaultColWidth="9.140625" defaultRowHeight="12.75" x14ac:dyDescent="0.2"/>
  <cols>
    <col min="1" max="1" width="13.5703125" customWidth="1"/>
    <col min="2" max="2" width="48.5703125" customWidth="1"/>
    <col min="3" max="3" width="15.85546875" customWidth="1"/>
    <col min="4" max="4" width="11" style="218" customWidth="1"/>
    <col min="5" max="5" width="14.5703125" customWidth="1"/>
    <col min="7" max="7" width="12.85546875" customWidth="1"/>
    <col min="8" max="8" width="12.7109375" customWidth="1"/>
    <col min="9" max="9" width="13" customWidth="1"/>
    <col min="10" max="10" width="11.140625" customWidth="1"/>
    <col min="11" max="11" width="13.5703125" customWidth="1"/>
    <col min="12" max="12" width="15.85546875" customWidth="1"/>
    <col min="14" max="14" width="8.28515625" style="218" customWidth="1"/>
    <col min="15" max="15" width="12.7109375" style="218" customWidth="1"/>
    <col min="17" max="17" width="14.85546875" customWidth="1"/>
    <col min="18" max="18" width="11.5703125" customWidth="1"/>
    <col min="19" max="19" width="11.42578125" customWidth="1"/>
    <col min="20" max="20" width="11.28515625" customWidth="1"/>
    <col min="21" max="21" width="9.85546875" customWidth="1"/>
    <col min="22" max="22" width="12.140625" customWidth="1"/>
    <col min="23" max="23" width="12.42578125" customWidth="1"/>
    <col min="24" max="24" width="21.7109375" customWidth="1"/>
    <col min="25" max="25" width="20.5703125" customWidth="1"/>
    <col min="26" max="26" width="129.42578125" customWidth="1"/>
    <col min="27" max="27" width="11.140625" style="211" customWidth="1"/>
    <col min="28" max="28" width="109.5703125" customWidth="1"/>
    <col min="29" max="29" width="11" customWidth="1"/>
    <col min="30" max="30" width="18.28515625" customWidth="1"/>
    <col min="31" max="31" width="9.7109375" customWidth="1"/>
    <col min="32" max="32" width="19" style="218" customWidth="1"/>
    <col min="33" max="33" width="9.7109375" customWidth="1"/>
    <col min="34" max="34" width="11.140625" customWidth="1"/>
    <col min="35" max="50" width="9.7109375" customWidth="1"/>
    <col min="51" max="51" width="9.7109375" style="4" customWidth="1"/>
    <col min="52" max="72" width="9.7109375" customWidth="1"/>
    <col min="73" max="73" width="9.7109375" style="26" customWidth="1"/>
    <col min="74" max="74" width="9.7109375" customWidth="1"/>
    <col min="75" max="75" width="9.7109375" style="218" customWidth="1"/>
    <col min="76" max="76" width="9.7109375" style="219" customWidth="1"/>
    <col min="77" max="78" width="9.7109375" style="218" customWidth="1"/>
    <col min="79" max="79" width="9.7109375" style="229" customWidth="1"/>
    <col min="80" max="80" width="9.7109375" style="218" customWidth="1"/>
    <col min="81" max="87" width="9.7109375" customWidth="1"/>
    <col min="91" max="93" width="9.140625" style="218"/>
  </cols>
  <sheetData>
    <row r="1" spans="2:75" x14ac:dyDescent="0.2">
      <c r="C1" t="str">
        <f>+PoAs!B1</f>
        <v>The Pipeline was produced by Joergen Fenhann, UNEP DTU Partnership, 1st November 2018, jqfe@dtu.dk, Phone (+45)40202789</v>
      </c>
    </row>
    <row r="3" spans="2:75" x14ac:dyDescent="0.2">
      <c r="B3" t="s">
        <v>1198</v>
      </c>
    </row>
    <row r="4" spans="2:75" x14ac:dyDescent="0.2">
      <c r="B4" s="183" t="s">
        <v>4666</v>
      </c>
      <c r="C4" s="87" t="s">
        <v>1334</v>
      </c>
    </row>
    <row r="5" spans="2:75" x14ac:dyDescent="0.2">
      <c r="B5" s="184" t="s">
        <v>4653</v>
      </c>
      <c r="C5" s="31">
        <v>86</v>
      </c>
      <c r="D5" s="229"/>
      <c r="AG5" s="294"/>
      <c r="AH5" s="294"/>
      <c r="AI5" s="294"/>
      <c r="AJ5" s="26"/>
      <c r="AK5" s="374"/>
      <c r="AL5" s="374"/>
      <c r="AO5" s="294"/>
      <c r="AR5" s="374"/>
      <c r="AZ5" s="374"/>
      <c r="BE5" s="26"/>
      <c r="BF5" s="26"/>
      <c r="BG5" s="26"/>
      <c r="BH5" s="26"/>
      <c r="BI5" s="26"/>
      <c r="BJ5" s="26"/>
      <c r="BK5" s="26"/>
      <c r="BL5" s="26"/>
      <c r="BS5" s="20"/>
      <c r="BT5" s="26"/>
      <c r="BV5" s="381"/>
      <c r="BW5" s="229"/>
    </row>
    <row r="6" spans="2:75" x14ac:dyDescent="0.2">
      <c r="B6" s="185" t="s">
        <v>4654</v>
      </c>
      <c r="C6" s="186">
        <v>0</v>
      </c>
      <c r="D6" s="229"/>
      <c r="AG6" s="294"/>
      <c r="AH6" s="294"/>
      <c r="AI6" s="294"/>
      <c r="AJ6" s="26"/>
      <c r="AK6" s="374"/>
      <c r="AL6" s="374"/>
      <c r="AO6" s="294"/>
      <c r="AR6" s="374"/>
      <c r="AZ6" s="374"/>
      <c r="BE6" s="26"/>
      <c r="BF6" s="26"/>
      <c r="BG6" s="26"/>
      <c r="BH6" s="26"/>
      <c r="BI6" s="26"/>
      <c r="BJ6" s="26"/>
      <c r="BK6" s="26"/>
      <c r="BL6" s="26"/>
      <c r="BS6" s="20"/>
      <c r="BT6" s="26"/>
      <c r="BV6" s="381"/>
      <c r="BW6" s="229"/>
    </row>
    <row r="7" spans="2:75" x14ac:dyDescent="0.2">
      <c r="B7" s="187" t="s">
        <v>4655</v>
      </c>
      <c r="C7" s="188">
        <v>0</v>
      </c>
      <c r="D7" s="229"/>
      <c r="AG7" s="294"/>
      <c r="AH7" s="294"/>
      <c r="AI7" s="294"/>
      <c r="AJ7" s="26"/>
      <c r="AK7" s="374"/>
      <c r="AL7" s="374"/>
      <c r="AO7" s="294"/>
      <c r="AR7" s="374"/>
      <c r="AZ7" s="374"/>
      <c r="BE7" s="26"/>
      <c r="BF7" s="26"/>
      <c r="BG7" s="26"/>
      <c r="BH7" s="26"/>
      <c r="BI7" s="26"/>
      <c r="BJ7" s="26"/>
      <c r="BK7" s="26"/>
      <c r="BL7" s="26"/>
      <c r="BS7" s="20"/>
      <c r="BT7" s="26"/>
      <c r="BV7" s="381"/>
      <c r="BW7" s="229"/>
    </row>
    <row r="8" spans="2:75" x14ac:dyDescent="0.2">
      <c r="B8" s="187" t="s">
        <v>4656</v>
      </c>
      <c r="C8" s="188">
        <v>0</v>
      </c>
      <c r="D8" s="229"/>
      <c r="AG8" s="294"/>
      <c r="AH8" s="294"/>
      <c r="AI8" s="294"/>
      <c r="AJ8" s="26"/>
      <c r="AK8" s="374"/>
      <c r="AL8" s="374"/>
      <c r="AO8" s="294"/>
      <c r="AR8" s="374"/>
      <c r="AZ8" s="374"/>
      <c r="BE8" s="26"/>
      <c r="BF8" s="26"/>
      <c r="BG8" s="26"/>
      <c r="BH8" s="26"/>
      <c r="BI8" s="26"/>
      <c r="BJ8" s="26"/>
      <c r="BK8" s="26"/>
      <c r="BL8" s="26"/>
      <c r="BS8" s="20"/>
      <c r="BT8" s="26"/>
      <c r="BV8" s="381"/>
      <c r="BW8" s="229"/>
    </row>
    <row r="9" spans="2:75" x14ac:dyDescent="0.2">
      <c r="B9" s="187" t="s">
        <v>4657</v>
      </c>
      <c r="C9" s="188">
        <v>0</v>
      </c>
      <c r="D9" s="229"/>
      <c r="AG9" s="294"/>
      <c r="AH9" s="294"/>
      <c r="AI9" s="294"/>
      <c r="AJ9" s="26"/>
      <c r="AK9" s="374"/>
      <c r="AL9" s="374"/>
      <c r="AO9" s="294"/>
      <c r="AR9" s="374"/>
      <c r="AZ9" s="374"/>
      <c r="BE9" s="26"/>
      <c r="BF9" s="26"/>
      <c r="BG9" s="26"/>
      <c r="BH9" s="26"/>
      <c r="BI9" s="26"/>
      <c r="BJ9" s="26"/>
      <c r="BK9" s="26"/>
      <c r="BL9" s="26"/>
      <c r="BS9" s="20"/>
      <c r="BT9" s="26"/>
      <c r="BV9" s="381"/>
      <c r="BW9" s="229"/>
    </row>
    <row r="10" spans="2:75" x14ac:dyDescent="0.2">
      <c r="B10" s="189" t="s">
        <v>4658</v>
      </c>
      <c r="C10" s="190">
        <f>SUM(C6:C9)</f>
        <v>0</v>
      </c>
      <c r="D10" s="229"/>
      <c r="AG10" s="294"/>
      <c r="AH10" s="294"/>
      <c r="AI10" s="294"/>
      <c r="AJ10" s="26"/>
      <c r="AK10" s="374"/>
      <c r="AL10" s="374"/>
      <c r="AO10" s="294"/>
      <c r="AR10" s="374"/>
      <c r="AZ10" s="374"/>
      <c r="BE10" s="26"/>
      <c r="BF10" s="26"/>
      <c r="BG10" s="26"/>
      <c r="BH10" s="26"/>
      <c r="BI10" s="26"/>
      <c r="BJ10" s="26"/>
      <c r="BK10" s="26"/>
      <c r="BL10" s="26"/>
      <c r="BS10" s="20"/>
      <c r="BT10" s="26"/>
      <c r="BV10" s="381"/>
      <c r="BW10" s="229"/>
    </row>
    <row r="11" spans="2:75" x14ac:dyDescent="0.2">
      <c r="B11" s="191" t="s">
        <v>4659</v>
      </c>
      <c r="C11" s="192">
        <v>5</v>
      </c>
      <c r="D11" s="229"/>
      <c r="AG11" s="294"/>
      <c r="AH11" s="294"/>
      <c r="AI11" s="294"/>
      <c r="AJ11" s="26"/>
      <c r="AK11" s="374"/>
      <c r="AL11" s="374"/>
      <c r="AO11" s="294"/>
      <c r="AR11" s="374"/>
      <c r="AZ11" s="374"/>
      <c r="BE11" s="26"/>
      <c r="BF11" s="26"/>
      <c r="BG11" s="26"/>
      <c r="BH11" s="26"/>
      <c r="BI11" s="26"/>
      <c r="BJ11" s="26"/>
      <c r="BK11" s="26"/>
      <c r="BL11" s="26"/>
      <c r="BS11" s="20"/>
      <c r="BT11" s="26"/>
      <c r="BV11" s="381"/>
      <c r="BW11" s="229"/>
    </row>
    <row r="12" spans="2:75" x14ac:dyDescent="0.2">
      <c r="B12" s="193" t="s">
        <v>4660</v>
      </c>
      <c r="C12" s="194">
        <v>3</v>
      </c>
      <c r="D12" s="229"/>
      <c r="AG12" s="294"/>
      <c r="AH12" s="294"/>
      <c r="AI12" s="294"/>
      <c r="AJ12" s="26"/>
      <c r="AK12" s="374"/>
      <c r="AL12" s="374"/>
      <c r="AO12" s="294"/>
      <c r="AR12" s="374"/>
      <c r="AZ12" s="374"/>
      <c r="BE12" s="26"/>
      <c r="BF12" s="26"/>
      <c r="BG12" s="26"/>
      <c r="BH12" s="26"/>
      <c r="BI12" s="26"/>
      <c r="BJ12" s="26"/>
      <c r="BK12" s="26"/>
      <c r="BL12" s="26"/>
      <c r="BS12" s="20"/>
      <c r="BT12" s="26"/>
      <c r="BV12" s="381"/>
      <c r="BW12" s="229"/>
    </row>
    <row r="13" spans="2:75" x14ac:dyDescent="0.2">
      <c r="B13" s="193" t="s">
        <v>4661</v>
      </c>
      <c r="C13" s="195">
        <v>0</v>
      </c>
      <c r="D13" s="229"/>
      <c r="AG13" s="294"/>
      <c r="AH13" s="294"/>
      <c r="AI13" s="294"/>
      <c r="AJ13" s="26"/>
      <c r="AK13" s="374"/>
      <c r="AL13" s="374"/>
      <c r="AO13" s="294"/>
      <c r="AR13" s="374"/>
      <c r="AZ13" s="374"/>
      <c r="BE13" s="26"/>
      <c r="BF13" s="26"/>
      <c r="BG13" s="26"/>
      <c r="BH13" s="26"/>
      <c r="BI13" s="26"/>
      <c r="BJ13" s="26"/>
      <c r="BK13" s="26"/>
      <c r="BL13" s="26"/>
      <c r="BS13" s="20"/>
      <c r="BT13" s="26"/>
      <c r="BV13" s="381"/>
      <c r="BW13" s="229"/>
    </row>
    <row r="14" spans="2:75" x14ac:dyDescent="0.2">
      <c r="B14" s="196" t="s">
        <v>4662</v>
      </c>
      <c r="C14" s="197">
        <v>71</v>
      </c>
      <c r="D14" s="229"/>
      <c r="AG14" s="294"/>
      <c r="AH14" s="294"/>
      <c r="AI14" s="294"/>
      <c r="AJ14" s="26"/>
      <c r="AK14" s="374"/>
      <c r="AL14" s="374"/>
      <c r="AO14" s="294"/>
      <c r="AR14" s="374"/>
      <c r="AZ14" s="374"/>
      <c r="BE14" s="26"/>
      <c r="BF14" s="26"/>
      <c r="BG14" s="26"/>
      <c r="BH14" s="26"/>
      <c r="BI14" s="26"/>
      <c r="BJ14" s="26"/>
      <c r="BK14" s="26"/>
      <c r="BL14" s="26"/>
      <c r="BS14" s="20"/>
      <c r="BT14" s="26"/>
      <c r="BV14" s="381"/>
      <c r="BW14" s="229"/>
    </row>
    <row r="15" spans="2:75" x14ac:dyDescent="0.2">
      <c r="B15" s="198" t="s">
        <v>4663</v>
      </c>
      <c r="C15" s="199">
        <f>C17-C16</f>
        <v>262</v>
      </c>
      <c r="D15" s="229"/>
      <c r="AG15" s="294"/>
      <c r="AH15" s="294"/>
      <c r="AI15" s="294"/>
      <c r="AJ15" s="26"/>
      <c r="AK15" s="374"/>
      <c r="AL15" s="374"/>
      <c r="AO15" s="294"/>
      <c r="AR15" s="374"/>
      <c r="AZ15" s="374"/>
      <c r="BE15" s="26"/>
      <c r="BF15" s="26"/>
      <c r="BG15" s="26"/>
      <c r="BH15" s="26"/>
      <c r="BI15" s="26"/>
      <c r="BJ15" s="26"/>
      <c r="BK15" s="26"/>
      <c r="BL15" s="26"/>
      <c r="BS15" s="20"/>
      <c r="BT15" s="26"/>
      <c r="BV15" s="381"/>
      <c r="BW15" s="229"/>
    </row>
    <row r="16" spans="2:75" x14ac:dyDescent="0.2">
      <c r="B16" s="200" t="s">
        <v>4664</v>
      </c>
      <c r="C16" s="199">
        <f>+G184</f>
        <v>54</v>
      </c>
      <c r="D16" s="229"/>
      <c r="AG16" s="294"/>
      <c r="AH16" s="294"/>
      <c r="AI16" s="294"/>
      <c r="AJ16" s="26"/>
      <c r="AK16" s="374"/>
      <c r="AL16" s="374"/>
      <c r="AO16" s="294"/>
      <c r="AR16" s="374"/>
      <c r="AZ16" s="374"/>
      <c r="BE16" s="26"/>
      <c r="BF16" s="26"/>
      <c r="BG16" s="26"/>
      <c r="BH16" s="26"/>
      <c r="BI16" s="26"/>
      <c r="BJ16" s="26"/>
      <c r="BK16" s="26"/>
      <c r="BL16" s="26"/>
      <c r="BS16" s="20"/>
      <c r="BT16" s="26"/>
      <c r="BV16" s="381"/>
      <c r="BW16" s="229"/>
    </row>
    <row r="17" spans="1:94" x14ac:dyDescent="0.2">
      <c r="B17" s="201" t="s">
        <v>4665</v>
      </c>
      <c r="C17" s="202">
        <v>316</v>
      </c>
      <c r="D17" s="229"/>
      <c r="AG17" s="294"/>
      <c r="AH17" s="294"/>
      <c r="AI17" s="294"/>
      <c r="AJ17" s="26"/>
      <c r="AK17" s="374"/>
      <c r="AL17" s="374"/>
      <c r="AO17" s="294"/>
      <c r="AR17" s="374"/>
      <c r="AZ17" s="374"/>
      <c r="BE17" s="26"/>
      <c r="BF17" s="26"/>
      <c r="BG17" s="26"/>
      <c r="BH17" s="26"/>
      <c r="BI17" s="26"/>
      <c r="BJ17" s="26"/>
      <c r="BK17" s="26"/>
      <c r="BL17" s="26"/>
      <c r="BS17" s="20"/>
      <c r="BT17" s="26"/>
      <c r="BV17" s="381"/>
      <c r="BW17" s="229"/>
    </row>
    <row r="18" spans="1:94" x14ac:dyDescent="0.2">
      <c r="B18" s="203" t="s">
        <v>4669</v>
      </c>
      <c r="C18" s="28">
        <f>+C5+C10+C11+C12+C13+C14+C17</f>
        <v>481</v>
      </c>
      <c r="D18" s="229"/>
      <c r="AG18" s="294"/>
      <c r="AH18" s="294"/>
      <c r="AI18" s="294"/>
      <c r="AJ18" s="26"/>
      <c r="AK18" s="374"/>
      <c r="AL18" s="374"/>
      <c r="AO18" s="294"/>
      <c r="AR18" s="374"/>
      <c r="AZ18" s="374"/>
      <c r="BE18" s="26"/>
      <c r="BF18" s="26"/>
      <c r="BG18" s="26"/>
      <c r="BH18" s="26"/>
      <c r="BI18" s="26"/>
      <c r="BJ18" s="26"/>
      <c r="BK18" s="26"/>
      <c r="BL18" s="26"/>
      <c r="BS18" s="20"/>
      <c r="BT18" s="26"/>
      <c r="BV18" s="381"/>
      <c r="BW18" s="229"/>
    </row>
    <row r="19" spans="1:94" x14ac:dyDescent="0.2">
      <c r="B19" s="204" t="s">
        <v>4667</v>
      </c>
      <c r="C19" s="205">
        <v>31</v>
      </c>
      <c r="D19" s="229"/>
      <c r="E19" s="26"/>
      <c r="AG19" s="294"/>
      <c r="AH19" s="294"/>
      <c r="AI19" s="294"/>
      <c r="AJ19" s="26"/>
      <c r="AK19" s="374"/>
      <c r="AL19" s="374"/>
      <c r="AO19" s="294"/>
      <c r="AR19" s="374"/>
      <c r="AZ19" s="374"/>
      <c r="BE19" s="26"/>
      <c r="BF19" s="26"/>
      <c r="BG19" s="26"/>
      <c r="BH19" s="26"/>
      <c r="BI19" s="26"/>
      <c r="BJ19" s="26"/>
      <c r="BK19" s="26"/>
      <c r="BL19" s="26"/>
      <c r="BS19" s="20"/>
      <c r="BT19" s="26"/>
      <c r="BV19" s="381"/>
      <c r="BW19" s="229"/>
    </row>
    <row r="20" spans="1:94" x14ac:dyDescent="0.2">
      <c r="B20" s="105" t="s">
        <v>4668</v>
      </c>
      <c r="C20" s="206">
        <f>C18+C19</f>
        <v>512</v>
      </c>
      <c r="D20" s="229"/>
      <c r="AG20" s="294"/>
      <c r="AH20" s="294"/>
      <c r="AI20" s="294"/>
      <c r="AJ20" s="26"/>
      <c r="AK20" s="374"/>
      <c r="AL20" s="374"/>
      <c r="AO20" s="294"/>
      <c r="AR20" s="374"/>
      <c r="AZ20" s="374"/>
      <c r="BE20" s="26"/>
      <c r="BF20" s="26"/>
      <c r="BG20" s="26"/>
      <c r="BH20" s="26"/>
      <c r="BI20" s="26"/>
      <c r="BJ20" s="26"/>
      <c r="BK20" s="26"/>
      <c r="BL20" s="26"/>
      <c r="BS20" s="20"/>
      <c r="BT20" s="26"/>
      <c r="BV20" s="381"/>
      <c r="BW20" s="229"/>
    </row>
    <row r="21" spans="1:94" x14ac:dyDescent="0.2">
      <c r="D21" s="229"/>
      <c r="AG21" s="294"/>
      <c r="AH21" s="294"/>
      <c r="AI21" s="294"/>
      <c r="AJ21" s="26"/>
      <c r="AK21" s="374"/>
      <c r="AL21" s="374"/>
      <c r="AO21" s="294"/>
      <c r="AR21" s="374"/>
      <c r="AZ21" s="374"/>
      <c r="BE21" s="26"/>
      <c r="BF21" s="26"/>
      <c r="BG21" s="26"/>
      <c r="BH21" s="26"/>
      <c r="BI21" s="26"/>
      <c r="BJ21" s="26"/>
      <c r="BK21" s="26"/>
      <c r="BL21" s="26"/>
      <c r="BS21" s="20"/>
      <c r="BT21" s="26"/>
      <c r="BV21" s="381"/>
      <c r="BW21" s="229"/>
    </row>
    <row r="22" spans="1:94" x14ac:dyDescent="0.2">
      <c r="AG22" s="294"/>
      <c r="AH22" s="294"/>
      <c r="AI22" s="294"/>
      <c r="AJ22" s="26"/>
      <c r="AK22" s="374"/>
      <c r="AL22" s="374"/>
      <c r="AO22" s="294"/>
      <c r="AR22" s="374"/>
      <c r="AZ22" s="374"/>
      <c r="BE22" s="26"/>
      <c r="BF22" s="26"/>
      <c r="BG22" s="26"/>
      <c r="BH22" s="26"/>
      <c r="BI22" s="26"/>
      <c r="BJ22" s="26"/>
      <c r="BK22" s="26"/>
      <c r="BL22" s="26"/>
      <c r="BS22" s="20"/>
      <c r="BT22" s="26"/>
      <c r="BV22" s="381"/>
      <c r="BW22" s="229"/>
    </row>
    <row r="23" spans="1:94" x14ac:dyDescent="0.2">
      <c r="B23" t="s">
        <v>6181</v>
      </c>
      <c r="AG23" s="294"/>
      <c r="AH23" s="294"/>
      <c r="AI23" s="294"/>
      <c r="AJ23" s="26"/>
      <c r="AK23" s="374"/>
      <c r="AL23" s="374"/>
      <c r="AO23" s="294"/>
      <c r="AR23" s="374"/>
      <c r="AZ23" s="374"/>
      <c r="BE23" s="26"/>
      <c r="BF23" s="26"/>
      <c r="BG23" s="26"/>
      <c r="BH23" s="26"/>
      <c r="BI23" s="26"/>
      <c r="BJ23" s="26"/>
      <c r="BK23" s="26"/>
      <c r="BL23" s="26"/>
      <c r="BS23" s="20"/>
      <c r="BT23" s="26"/>
      <c r="BV23" s="381"/>
      <c r="BW23" s="229"/>
    </row>
    <row r="24" spans="1:94" x14ac:dyDescent="0.2">
      <c r="A24" s="181"/>
      <c r="B24" s="181"/>
      <c r="C24" s="304" t="s">
        <v>1199</v>
      </c>
      <c r="D24" s="305"/>
      <c r="E24" s="303"/>
      <c r="F24" s="303"/>
      <c r="G24" s="583"/>
      <c r="H24" s="598" t="s">
        <v>16</v>
      </c>
      <c r="I24" s="599" t="s">
        <v>6178</v>
      </c>
      <c r="J24" s="599" t="s">
        <v>29</v>
      </c>
      <c r="K24" s="598" t="s">
        <v>16</v>
      </c>
      <c r="L24" s="599" t="s">
        <v>6178</v>
      </c>
      <c r="N24"/>
      <c r="O24"/>
      <c r="Q24" s="218"/>
      <c r="R24" s="218"/>
      <c r="AA24"/>
      <c r="AD24" s="211"/>
      <c r="AF24"/>
      <c r="AG24" s="294"/>
      <c r="AH24" s="294"/>
      <c r="AI24" s="366"/>
      <c r="AJ24" s="26"/>
      <c r="AK24" s="374"/>
      <c r="AL24" s="374"/>
      <c r="AO24" s="294"/>
      <c r="AR24" s="374"/>
      <c r="AY24"/>
      <c r="AZ24" s="374"/>
      <c r="BB24" s="4"/>
      <c r="BF24" s="26"/>
      <c r="BG24" s="26"/>
      <c r="BH24" s="26"/>
      <c r="BI24" s="26"/>
      <c r="BJ24" s="26"/>
      <c r="BK24" s="26"/>
      <c r="BL24" s="26"/>
      <c r="BM24" s="26"/>
      <c r="BN24" s="26"/>
      <c r="BS24" s="20"/>
      <c r="BT24" s="26"/>
      <c r="BV24" s="381"/>
      <c r="BW24" s="26"/>
      <c r="BX24" s="229"/>
      <c r="CA24" s="219"/>
      <c r="CC24" s="218"/>
      <c r="CD24" s="26"/>
      <c r="CM24"/>
      <c r="CN24"/>
      <c r="CP24" s="218"/>
    </row>
    <row r="25" spans="1:94" x14ac:dyDescent="0.2">
      <c r="A25" s="17" t="s">
        <v>8</v>
      </c>
      <c r="B25" s="8" t="s">
        <v>1200</v>
      </c>
      <c r="C25" s="306" t="s">
        <v>1201</v>
      </c>
      <c r="D25" s="307" t="s">
        <v>702</v>
      </c>
      <c r="E25" s="77" t="s">
        <v>44</v>
      </c>
      <c r="F25" s="308" t="s">
        <v>1202</v>
      </c>
      <c r="G25" s="212" t="s">
        <v>1406</v>
      </c>
      <c r="H25" s="88" t="s">
        <v>8394</v>
      </c>
      <c r="I25" s="79" t="s">
        <v>6177</v>
      </c>
      <c r="J25" s="48" t="s">
        <v>1202</v>
      </c>
      <c r="K25" s="88" t="s">
        <v>8394</v>
      </c>
      <c r="L25" s="79" t="s">
        <v>8396</v>
      </c>
      <c r="N25"/>
      <c r="O25"/>
      <c r="Q25" s="218"/>
      <c r="R25" s="218"/>
      <c r="AA25"/>
      <c r="AD25" s="211"/>
      <c r="AF25"/>
      <c r="AG25" s="294"/>
      <c r="AH25" s="294"/>
      <c r="AI25" s="366"/>
      <c r="AJ25" s="26"/>
      <c r="AK25" s="374"/>
      <c r="AL25" s="374"/>
      <c r="AO25" s="294"/>
      <c r="AR25" s="374"/>
      <c r="AY25"/>
      <c r="AZ25" s="374"/>
      <c r="BB25" s="4"/>
      <c r="BF25" s="26"/>
      <c r="BG25" s="26"/>
      <c r="BH25" s="26"/>
      <c r="BI25" s="26"/>
      <c r="BJ25" s="26"/>
      <c r="BK25" s="26"/>
      <c r="BL25" s="26"/>
      <c r="BM25" s="26"/>
      <c r="BN25" s="26"/>
      <c r="BS25" s="20"/>
      <c r="BT25" s="26"/>
      <c r="BV25" s="381"/>
      <c r="BW25" s="26"/>
      <c r="BX25" s="229"/>
      <c r="CA25" s="219"/>
      <c r="CC25" s="218"/>
      <c r="CD25" s="26"/>
      <c r="CM25"/>
      <c r="CN25"/>
      <c r="CP25" s="218"/>
    </row>
    <row r="26" spans="1:94" ht="13.5" customHeight="1" x14ac:dyDescent="0.2">
      <c r="A26" s="14"/>
      <c r="B26" s="14"/>
      <c r="C26" s="384" t="s">
        <v>1203</v>
      </c>
      <c r="D26" s="247"/>
      <c r="E26" s="14"/>
      <c r="F26" s="105"/>
      <c r="G26" s="597" t="s">
        <v>5940</v>
      </c>
      <c r="H26" s="320" t="s">
        <v>1237</v>
      </c>
      <c r="I26" s="92"/>
      <c r="J26" s="93" t="s">
        <v>8393</v>
      </c>
      <c r="K26" s="320" t="s">
        <v>8395</v>
      </c>
      <c r="L26" s="93" t="s">
        <v>8397</v>
      </c>
      <c r="N26" s="12" t="s">
        <v>1211</v>
      </c>
      <c r="O26"/>
      <c r="P26" s="20"/>
      <c r="Q26" s="218"/>
      <c r="R26" s="218"/>
      <c r="AA26"/>
      <c r="AB26" s="21"/>
      <c r="AC26" s="21"/>
      <c r="AD26" s="211"/>
      <c r="AE26" s="21"/>
      <c r="AF26"/>
      <c r="AG26" s="294"/>
      <c r="AH26" s="294"/>
      <c r="AI26" s="366"/>
      <c r="AJ26" s="26"/>
      <c r="AK26" s="374"/>
      <c r="AL26" s="374"/>
      <c r="AO26" s="294"/>
      <c r="AR26" s="374"/>
      <c r="AT26" s="20"/>
      <c r="AY26"/>
      <c r="AZ26" s="374"/>
      <c r="BB26" s="4"/>
      <c r="BF26" s="26"/>
      <c r="BG26" s="26"/>
      <c r="BH26" s="26"/>
      <c r="BI26" s="26"/>
      <c r="BJ26" s="26"/>
      <c r="BK26" s="26"/>
      <c r="BL26" s="26"/>
      <c r="BM26" s="26"/>
      <c r="BN26" s="26"/>
      <c r="BS26" s="20"/>
      <c r="BT26" s="26"/>
      <c r="BV26" s="381"/>
      <c r="BW26" s="26"/>
      <c r="BX26" s="229"/>
      <c r="CA26" s="219"/>
      <c r="CC26" s="218"/>
      <c r="CD26" s="26"/>
      <c r="CM26"/>
      <c r="CN26"/>
      <c r="CP26" s="218"/>
    </row>
    <row r="27" spans="1:94" x14ac:dyDescent="0.2">
      <c r="A27" s="17" t="s">
        <v>374</v>
      </c>
      <c r="B27" s="11" t="s">
        <v>375</v>
      </c>
      <c r="C27" s="22">
        <v>0</v>
      </c>
      <c r="D27" s="248">
        <v>0</v>
      </c>
      <c r="E27" s="24">
        <v>1</v>
      </c>
      <c r="F27" s="25">
        <f t="shared" ref="F27:F32" si="0">+C27+D27+E27</f>
        <v>1</v>
      </c>
      <c r="G27" s="144">
        <v>0</v>
      </c>
      <c r="H27" s="144">
        <v>0</v>
      </c>
      <c r="I27" s="144">
        <v>1</v>
      </c>
      <c r="J27" s="23">
        <v>0</v>
      </c>
      <c r="K27" s="248">
        <v>0</v>
      </c>
      <c r="L27" s="248">
        <v>2</v>
      </c>
      <c r="N27"/>
      <c r="O27"/>
      <c r="P27" s="20"/>
      <c r="Q27" s="218"/>
      <c r="R27" s="218"/>
      <c r="AA27"/>
      <c r="AB27" s="21"/>
      <c r="AC27" s="21"/>
      <c r="AD27" s="211"/>
      <c r="AE27" s="21"/>
      <c r="AF27"/>
      <c r="AG27" s="294"/>
      <c r="AH27" s="294"/>
      <c r="AI27" s="366"/>
      <c r="AJ27" s="26"/>
      <c r="AK27" s="374"/>
      <c r="AL27" s="374"/>
      <c r="AO27" s="294"/>
      <c r="AR27" s="374"/>
      <c r="AT27" s="20"/>
      <c r="AY27"/>
      <c r="AZ27" s="374"/>
      <c r="BB27" s="4"/>
      <c r="BF27" s="26"/>
      <c r="BG27" s="26"/>
      <c r="BH27" s="26"/>
      <c r="BI27" s="26"/>
      <c r="BJ27" s="26"/>
      <c r="BK27" s="26"/>
      <c r="BL27" s="26"/>
      <c r="BM27" s="26"/>
      <c r="BN27" s="26"/>
      <c r="BS27" s="20"/>
      <c r="BT27" s="26"/>
      <c r="BV27" s="381"/>
      <c r="BW27" s="26"/>
      <c r="BX27" s="229"/>
      <c r="CA27" s="219"/>
      <c r="CC27" s="218"/>
      <c r="CD27" s="26"/>
      <c r="CM27"/>
      <c r="CN27"/>
      <c r="CP27" s="218"/>
    </row>
    <row r="28" spans="1:94" x14ac:dyDescent="0.2">
      <c r="A28" s="19" t="s">
        <v>1204</v>
      </c>
      <c r="B28" s="11" t="s">
        <v>1519</v>
      </c>
      <c r="C28" s="22">
        <v>0</v>
      </c>
      <c r="D28" s="248">
        <v>0</v>
      </c>
      <c r="E28" s="24">
        <v>0</v>
      </c>
      <c r="F28" s="25">
        <f t="shared" si="0"/>
        <v>0</v>
      </c>
      <c r="G28" s="144">
        <v>0</v>
      </c>
      <c r="H28" s="144">
        <v>0</v>
      </c>
      <c r="I28" s="144">
        <v>0</v>
      </c>
      <c r="J28" s="23">
        <v>0</v>
      </c>
      <c r="K28" s="248">
        <v>0</v>
      </c>
      <c r="L28" s="248">
        <v>0</v>
      </c>
      <c r="O28"/>
      <c r="P28" s="20"/>
      <c r="Q28" s="218"/>
      <c r="R28" s="218"/>
      <c r="AA28"/>
      <c r="AB28" s="21"/>
      <c r="AC28" s="21"/>
      <c r="AD28" s="211"/>
      <c r="AE28" s="21"/>
      <c r="AF28"/>
      <c r="AG28" s="294"/>
      <c r="AH28" s="294"/>
      <c r="AI28" s="366"/>
      <c r="AJ28" s="26"/>
      <c r="AK28" s="374"/>
      <c r="AL28" s="374"/>
      <c r="AO28" s="294"/>
      <c r="AR28" s="374"/>
      <c r="AT28" s="20"/>
      <c r="AY28"/>
      <c r="AZ28" s="374"/>
      <c r="BB28" s="4"/>
      <c r="BF28" s="26"/>
      <c r="BG28" s="26"/>
      <c r="BH28" s="26"/>
      <c r="BI28" s="26"/>
      <c r="BJ28" s="26"/>
      <c r="BK28" s="26"/>
      <c r="BL28" s="26"/>
      <c r="BM28" s="26"/>
      <c r="BN28" s="26"/>
      <c r="BS28" s="20"/>
      <c r="BT28" s="26"/>
      <c r="BV28" s="381"/>
      <c r="BW28" s="26"/>
      <c r="BX28" s="229"/>
      <c r="CA28" s="219"/>
      <c r="CC28" s="218"/>
      <c r="CD28" s="26"/>
      <c r="CM28"/>
      <c r="CN28"/>
      <c r="CP28" s="218"/>
    </row>
    <row r="29" spans="1:94" x14ac:dyDescent="0.2">
      <c r="A29" s="27">
        <f>SUM(F27:F31)</f>
        <v>1</v>
      </c>
      <c r="B29" s="8" t="s">
        <v>1205</v>
      </c>
      <c r="C29" s="22">
        <v>0</v>
      </c>
      <c r="D29" s="248">
        <v>0</v>
      </c>
      <c r="E29" s="24">
        <v>0</v>
      </c>
      <c r="F29" s="25">
        <f t="shared" si="0"/>
        <v>0</v>
      </c>
      <c r="G29" s="144">
        <v>0</v>
      </c>
      <c r="H29" s="144">
        <v>0</v>
      </c>
      <c r="I29" s="144">
        <v>0</v>
      </c>
      <c r="J29" s="23">
        <v>0</v>
      </c>
      <c r="K29" s="248">
        <v>0</v>
      </c>
      <c r="L29" s="248">
        <v>0</v>
      </c>
      <c r="N29"/>
      <c r="O29"/>
      <c r="P29" s="20"/>
      <c r="Q29" s="218"/>
      <c r="R29" s="218"/>
      <c r="AA29"/>
      <c r="AB29" s="21"/>
      <c r="AC29" s="21"/>
      <c r="AD29" s="211"/>
      <c r="AE29" s="21"/>
      <c r="AF29"/>
      <c r="AG29" s="294"/>
      <c r="AH29" s="294"/>
      <c r="AI29" s="366"/>
      <c r="AJ29" s="26"/>
      <c r="AK29" s="374"/>
      <c r="AL29" s="374"/>
      <c r="AO29" s="294"/>
      <c r="AR29" s="374"/>
      <c r="AT29" s="20"/>
      <c r="AY29"/>
      <c r="AZ29" s="374"/>
      <c r="BB29" s="4"/>
      <c r="BF29" s="26"/>
      <c r="BG29" s="26"/>
      <c r="BH29" s="26"/>
      <c r="BI29" s="26"/>
      <c r="BJ29" s="26"/>
      <c r="BK29" s="26"/>
      <c r="BL29" s="26"/>
      <c r="BM29" s="26"/>
      <c r="BN29" s="26"/>
      <c r="BS29" s="20"/>
      <c r="BT29" s="26"/>
      <c r="BV29" s="381"/>
      <c r="BW29" s="26"/>
      <c r="BX29" s="229"/>
      <c r="CA29" s="219"/>
      <c r="CC29" s="218"/>
      <c r="CD29" s="26"/>
      <c r="CM29"/>
      <c r="CN29"/>
      <c r="CP29" s="218"/>
    </row>
    <row r="30" spans="1:94" x14ac:dyDescent="0.2">
      <c r="B30" s="8" t="s">
        <v>8399</v>
      </c>
      <c r="C30" s="22">
        <v>0</v>
      </c>
      <c r="D30" s="248">
        <v>0</v>
      </c>
      <c r="E30" s="24">
        <v>0</v>
      </c>
      <c r="F30" s="25">
        <f t="shared" si="0"/>
        <v>0</v>
      </c>
      <c r="G30" s="144">
        <v>0</v>
      </c>
      <c r="H30" s="144">
        <v>0</v>
      </c>
      <c r="I30" s="144">
        <v>0</v>
      </c>
      <c r="J30" s="23">
        <v>0</v>
      </c>
      <c r="K30" s="248">
        <v>0</v>
      </c>
      <c r="L30" s="248">
        <v>0</v>
      </c>
      <c r="N30"/>
      <c r="O30"/>
      <c r="P30" s="20"/>
      <c r="Q30" s="218"/>
      <c r="R30" s="218"/>
      <c r="AA30"/>
      <c r="AB30" s="21"/>
      <c r="AC30" s="21"/>
      <c r="AD30" s="211"/>
      <c r="AE30" s="21"/>
      <c r="AF30"/>
      <c r="AG30" s="294"/>
      <c r="AH30" s="294"/>
      <c r="AI30" s="366"/>
      <c r="AJ30" s="26"/>
      <c r="AK30" s="374"/>
      <c r="AL30" s="374"/>
      <c r="AO30" s="294"/>
      <c r="AR30" s="374"/>
      <c r="AT30" s="20"/>
      <c r="AY30"/>
      <c r="AZ30" s="374"/>
      <c r="BB30" s="4"/>
      <c r="BF30" s="26"/>
      <c r="BG30" s="26"/>
      <c r="BH30" s="26"/>
      <c r="BI30" s="26"/>
      <c r="BJ30" s="26"/>
      <c r="BK30" s="26"/>
      <c r="BL30" s="26"/>
      <c r="BM30" s="26"/>
      <c r="BN30" s="26"/>
      <c r="BS30" s="20"/>
      <c r="BT30" s="26"/>
      <c r="BV30" s="381"/>
      <c r="BW30" s="26"/>
      <c r="BX30" s="229"/>
      <c r="CA30" s="219"/>
      <c r="CC30" s="218"/>
      <c r="CD30" s="26"/>
      <c r="CM30"/>
      <c r="CN30"/>
      <c r="CP30" s="218"/>
    </row>
    <row r="31" spans="1:94" x14ac:dyDescent="0.2">
      <c r="B31" s="14" t="s">
        <v>1206</v>
      </c>
      <c r="C31" s="22">
        <v>0</v>
      </c>
      <c r="D31" s="248">
        <v>0</v>
      </c>
      <c r="E31" s="24">
        <v>0</v>
      </c>
      <c r="F31" s="25">
        <f t="shared" si="0"/>
        <v>0</v>
      </c>
      <c r="G31" s="144">
        <v>0</v>
      </c>
      <c r="H31" s="144">
        <v>0</v>
      </c>
      <c r="I31" s="144">
        <v>0</v>
      </c>
      <c r="J31" s="28">
        <v>0</v>
      </c>
      <c r="K31" s="248">
        <v>0</v>
      </c>
      <c r="L31" s="248">
        <v>0</v>
      </c>
      <c r="N31"/>
      <c r="O31"/>
      <c r="P31" s="20"/>
      <c r="Q31" s="218"/>
      <c r="R31" s="218"/>
      <c r="AA31"/>
      <c r="AB31" s="21"/>
      <c r="AC31" s="21"/>
      <c r="AD31" s="211"/>
      <c r="AE31" s="21"/>
      <c r="AF31"/>
      <c r="AG31" s="294"/>
      <c r="AH31" s="294"/>
      <c r="AI31" s="366"/>
      <c r="AJ31" s="26"/>
      <c r="AK31" s="374"/>
      <c r="AL31" s="374"/>
      <c r="AO31" s="294"/>
      <c r="AR31" s="374"/>
      <c r="AT31" s="20"/>
      <c r="AY31"/>
      <c r="AZ31" s="374"/>
      <c r="BB31" s="4"/>
      <c r="BF31" s="26"/>
      <c r="BG31" s="26"/>
      <c r="BH31" s="26"/>
      <c r="BI31" s="26"/>
      <c r="BJ31" s="26"/>
      <c r="BK31" s="26"/>
      <c r="BL31" s="26"/>
      <c r="BM31" s="26"/>
      <c r="BN31" s="26"/>
      <c r="BS31" s="20"/>
      <c r="BT31" s="26"/>
      <c r="BV31" s="381"/>
      <c r="BW31" s="26"/>
      <c r="BX31" s="229"/>
      <c r="CA31" s="219"/>
      <c r="CC31" s="218"/>
      <c r="CD31" s="26"/>
      <c r="CM31"/>
      <c r="CN31"/>
      <c r="CP31" s="218"/>
    </row>
    <row r="32" spans="1:94" x14ac:dyDescent="0.2">
      <c r="A32" s="17"/>
      <c r="B32" s="8" t="s">
        <v>1207</v>
      </c>
      <c r="C32" s="29">
        <v>0</v>
      </c>
      <c r="D32" s="249">
        <v>0</v>
      </c>
      <c r="E32" s="30">
        <v>1</v>
      </c>
      <c r="F32" s="31">
        <f t="shared" si="0"/>
        <v>1</v>
      </c>
      <c r="G32" s="321">
        <v>0</v>
      </c>
      <c r="H32" s="321">
        <v>0</v>
      </c>
      <c r="I32" s="321">
        <v>1</v>
      </c>
      <c r="J32" s="23">
        <v>91</v>
      </c>
      <c r="K32" s="249">
        <v>9906.0829999999969</v>
      </c>
      <c r="L32" s="249">
        <v>117</v>
      </c>
      <c r="N32"/>
      <c r="O32"/>
      <c r="P32" s="20"/>
      <c r="Q32" s="218"/>
      <c r="R32" s="218"/>
      <c r="AA32"/>
      <c r="AB32" s="21"/>
      <c r="AC32" s="21"/>
      <c r="AD32" s="211"/>
      <c r="AE32" s="21"/>
      <c r="AF32"/>
      <c r="AG32" s="294"/>
      <c r="AH32" s="294"/>
      <c r="AI32" s="366"/>
      <c r="AJ32" s="26"/>
      <c r="AK32" s="374"/>
      <c r="AL32" s="374"/>
      <c r="AO32" s="294"/>
      <c r="AR32" s="374"/>
      <c r="AT32" s="20"/>
      <c r="AY32"/>
      <c r="AZ32" s="374"/>
      <c r="BB32" s="4"/>
      <c r="BF32" s="26"/>
      <c r="BG32" s="26"/>
      <c r="BH32" s="26"/>
      <c r="BI32" s="26"/>
      <c r="BJ32" s="26"/>
      <c r="BK32" s="26"/>
      <c r="BL32" s="26"/>
      <c r="BM32" s="26"/>
      <c r="BN32" s="26"/>
      <c r="BS32" s="20"/>
      <c r="BT32" s="26"/>
      <c r="BV32" s="381"/>
      <c r="BW32" s="26"/>
      <c r="BX32" s="229"/>
      <c r="CA32" s="219"/>
      <c r="CC32" s="218"/>
      <c r="CD32" s="26"/>
      <c r="CM32"/>
      <c r="CN32"/>
      <c r="CP32" s="218"/>
    </row>
    <row r="33" spans="1:94" x14ac:dyDescent="0.2">
      <c r="A33" s="19" t="s">
        <v>1208</v>
      </c>
      <c r="B33" s="8" t="s">
        <v>685</v>
      </c>
      <c r="C33" s="23">
        <v>2</v>
      </c>
      <c r="D33" s="248">
        <v>0</v>
      </c>
      <c r="E33" s="24">
        <v>1</v>
      </c>
      <c r="F33" s="25">
        <f t="shared" ref="F33:F92" si="1">+C33+D33+E33</f>
        <v>3</v>
      </c>
      <c r="G33" s="144">
        <v>0</v>
      </c>
      <c r="H33" s="144">
        <v>0</v>
      </c>
      <c r="I33" s="144">
        <v>3</v>
      </c>
      <c r="J33" s="23">
        <v>12</v>
      </c>
      <c r="K33" s="248">
        <v>5680.9889999999987</v>
      </c>
      <c r="L33" s="248">
        <v>49</v>
      </c>
      <c r="N33"/>
      <c r="O33"/>
      <c r="P33" s="20"/>
      <c r="Q33" s="218"/>
      <c r="R33" s="218"/>
      <c r="AA33"/>
      <c r="AB33" s="21"/>
      <c r="AC33" s="21"/>
      <c r="AD33" s="211"/>
      <c r="AE33" s="21"/>
      <c r="AF33"/>
      <c r="AG33" s="294"/>
      <c r="AH33" s="294"/>
      <c r="AI33" s="366"/>
      <c r="AJ33" s="26"/>
      <c r="AK33" s="374"/>
      <c r="AL33" s="374"/>
      <c r="AO33" s="294"/>
      <c r="AR33" s="374"/>
      <c r="AT33" s="20"/>
      <c r="AY33"/>
      <c r="AZ33" s="374"/>
      <c r="BB33" s="4"/>
      <c r="BF33" s="26"/>
      <c r="BG33" s="26"/>
      <c r="BH33" s="26"/>
      <c r="BI33" s="26"/>
      <c r="BJ33" s="26"/>
      <c r="BK33" s="26"/>
      <c r="BL33" s="26"/>
      <c r="BM33" s="26"/>
      <c r="BN33" s="26"/>
      <c r="BS33" s="20"/>
      <c r="BT33" s="26"/>
      <c r="BV33" s="381"/>
      <c r="BW33" s="26"/>
      <c r="BX33" s="229"/>
      <c r="CA33" s="219"/>
      <c r="CC33" s="218"/>
      <c r="CD33" s="26"/>
      <c r="CM33"/>
      <c r="CN33"/>
      <c r="CP33" s="218"/>
    </row>
    <row r="34" spans="1:94" x14ac:dyDescent="0.2">
      <c r="A34" s="19" t="s">
        <v>1209</v>
      </c>
      <c r="B34" s="8" t="s">
        <v>1210</v>
      </c>
      <c r="C34" s="23">
        <v>2</v>
      </c>
      <c r="D34" s="248">
        <v>0</v>
      </c>
      <c r="E34" s="24">
        <v>0</v>
      </c>
      <c r="F34" s="25">
        <f t="shared" si="1"/>
        <v>2</v>
      </c>
      <c r="G34" s="144">
        <v>0</v>
      </c>
      <c r="H34" s="144">
        <v>0</v>
      </c>
      <c r="I34" s="144">
        <v>3</v>
      </c>
      <c r="J34" s="23">
        <v>12</v>
      </c>
      <c r="K34" s="248">
        <v>17147.202999999998</v>
      </c>
      <c r="L34" s="248">
        <v>261</v>
      </c>
      <c r="N34"/>
      <c r="O34"/>
      <c r="P34" s="20"/>
      <c r="Q34" s="218"/>
      <c r="R34" s="218"/>
      <c r="AA34"/>
      <c r="AB34" s="21"/>
      <c r="AC34" s="21"/>
      <c r="AD34" s="211"/>
      <c r="AE34" s="21"/>
      <c r="AF34"/>
      <c r="AG34" s="294"/>
      <c r="AH34" s="294"/>
      <c r="AI34" s="366"/>
      <c r="AJ34" s="26"/>
      <c r="AK34" s="374"/>
      <c r="AL34" s="374"/>
      <c r="AO34" s="294"/>
      <c r="AR34" s="374"/>
      <c r="AT34" s="20"/>
      <c r="AY34"/>
      <c r="AZ34" s="374"/>
      <c r="BB34" s="4"/>
      <c r="BF34" s="26"/>
      <c r="BG34" s="26"/>
      <c r="BH34" s="26"/>
      <c r="BI34" s="26"/>
      <c r="BJ34" s="26"/>
      <c r="BK34" s="26"/>
      <c r="BL34" s="26"/>
      <c r="BM34" s="26"/>
      <c r="BN34" s="26"/>
      <c r="BS34" s="20"/>
      <c r="BT34" s="26"/>
      <c r="BV34" s="381"/>
      <c r="BW34" s="26"/>
      <c r="BX34" s="229"/>
      <c r="CA34" s="219"/>
      <c r="CC34" s="218"/>
      <c r="CD34" s="26"/>
      <c r="CM34"/>
      <c r="CN34"/>
      <c r="CP34" s="218"/>
    </row>
    <row r="35" spans="1:94" x14ac:dyDescent="0.2">
      <c r="A35" s="19" t="s">
        <v>1204</v>
      </c>
      <c r="B35" s="8" t="s">
        <v>1212</v>
      </c>
      <c r="C35" s="23">
        <v>2</v>
      </c>
      <c r="D35" s="248">
        <v>0</v>
      </c>
      <c r="E35" s="24">
        <v>2</v>
      </c>
      <c r="F35" s="25">
        <f t="shared" si="1"/>
        <v>4</v>
      </c>
      <c r="G35" s="144">
        <v>0</v>
      </c>
      <c r="H35" s="144">
        <v>6.9830000000000005</v>
      </c>
      <c r="I35" s="144">
        <v>25</v>
      </c>
      <c r="J35" s="23">
        <v>28.052</v>
      </c>
      <c r="K35" s="248">
        <v>9518.4760000000024</v>
      </c>
      <c r="L35" s="248">
        <v>174</v>
      </c>
      <c r="N35"/>
      <c r="O35"/>
      <c r="P35" s="20"/>
      <c r="Q35" s="218"/>
      <c r="R35" s="218"/>
      <c r="AA35"/>
      <c r="AB35" s="21"/>
      <c r="AC35" s="21"/>
      <c r="AD35" s="211"/>
      <c r="AE35" s="21"/>
      <c r="AF35"/>
      <c r="AG35" s="294"/>
      <c r="AH35" s="294"/>
      <c r="AI35" s="366"/>
      <c r="AJ35" s="26"/>
      <c r="AK35" s="374"/>
      <c r="AL35" s="374"/>
      <c r="AO35" s="294"/>
      <c r="AR35" s="374"/>
      <c r="AT35" s="20"/>
      <c r="AY35"/>
      <c r="AZ35" s="374"/>
      <c r="BB35" s="4"/>
      <c r="BF35" s="26"/>
      <c r="BG35" s="26"/>
      <c r="BH35" s="26"/>
      <c r="BI35" s="26"/>
      <c r="BJ35" s="26"/>
      <c r="BK35" s="26"/>
      <c r="BL35" s="26"/>
      <c r="BM35" s="26"/>
      <c r="BN35" s="26"/>
      <c r="BS35" s="20"/>
      <c r="BT35" s="26"/>
      <c r="BV35" s="381"/>
      <c r="BW35" s="26"/>
      <c r="BX35" s="229"/>
      <c r="CA35" s="219"/>
      <c r="CC35" s="218"/>
      <c r="CD35" s="26"/>
      <c r="CM35"/>
      <c r="CN35"/>
      <c r="CP35" s="218"/>
    </row>
    <row r="36" spans="1:94" x14ac:dyDescent="0.2">
      <c r="A36" s="27">
        <f>SUM(F32:F48)</f>
        <v>18</v>
      </c>
      <c r="B36" s="8" t="s">
        <v>1213</v>
      </c>
      <c r="C36" s="23">
        <v>0</v>
      </c>
      <c r="D36" s="248">
        <v>0</v>
      </c>
      <c r="E36" s="24">
        <v>0</v>
      </c>
      <c r="F36" s="25">
        <f t="shared" si="1"/>
        <v>0</v>
      </c>
      <c r="G36" s="144">
        <v>0</v>
      </c>
      <c r="H36" s="144">
        <v>0</v>
      </c>
      <c r="I36" s="144">
        <v>0</v>
      </c>
      <c r="J36" s="23">
        <v>0</v>
      </c>
      <c r="K36" s="248">
        <v>763.34599999999989</v>
      </c>
      <c r="L36" s="248">
        <v>11</v>
      </c>
      <c r="O36"/>
      <c r="P36" s="20"/>
      <c r="Q36" s="218"/>
      <c r="R36" s="218"/>
      <c r="AA36"/>
      <c r="AB36" s="21"/>
      <c r="AC36" s="21"/>
      <c r="AD36" s="211"/>
      <c r="AE36" s="21"/>
      <c r="AF36"/>
      <c r="AG36" s="294"/>
      <c r="AH36" s="294"/>
      <c r="AI36" s="366"/>
      <c r="AJ36" s="26"/>
      <c r="AK36" s="374"/>
      <c r="AL36" s="374"/>
      <c r="AO36" s="294"/>
      <c r="AR36" s="374"/>
      <c r="AT36" s="20"/>
      <c r="AY36"/>
      <c r="AZ36" s="374"/>
      <c r="BB36" s="4"/>
      <c r="BF36" s="26"/>
      <c r="BG36" s="26"/>
      <c r="BH36" s="26"/>
      <c r="BI36" s="26"/>
      <c r="BJ36" s="26"/>
      <c r="BK36" s="26"/>
      <c r="BL36" s="26"/>
      <c r="BM36" s="26"/>
      <c r="BN36" s="26"/>
      <c r="BS36" s="20"/>
      <c r="BT36" s="26"/>
      <c r="BV36" s="381"/>
      <c r="BW36" s="26"/>
      <c r="BX36" s="229"/>
      <c r="CA36" s="219"/>
      <c r="CC36" s="218"/>
      <c r="CD36" s="26"/>
      <c r="CM36"/>
      <c r="CN36"/>
      <c r="CP36" s="218"/>
    </row>
    <row r="37" spans="1:94" x14ac:dyDescent="0.2">
      <c r="A37" s="19"/>
      <c r="B37" s="11" t="s">
        <v>1214</v>
      </c>
      <c r="C37" s="32">
        <v>0</v>
      </c>
      <c r="D37" s="248">
        <v>0</v>
      </c>
      <c r="E37" s="24">
        <v>0</v>
      </c>
      <c r="F37" s="25">
        <f t="shared" si="1"/>
        <v>0</v>
      </c>
      <c r="G37" s="144">
        <v>0</v>
      </c>
      <c r="H37" s="144">
        <v>0</v>
      </c>
      <c r="I37" s="144">
        <v>0</v>
      </c>
      <c r="J37" s="23">
        <v>0</v>
      </c>
      <c r="K37" s="248">
        <v>298.56200000000001</v>
      </c>
      <c r="L37" s="248">
        <v>7</v>
      </c>
      <c r="N37"/>
      <c r="O37"/>
      <c r="P37" s="20"/>
      <c r="Q37" s="218"/>
      <c r="R37" s="218"/>
      <c r="AA37"/>
      <c r="AB37" s="21"/>
      <c r="AC37" s="21"/>
      <c r="AD37" s="211"/>
      <c r="AE37" s="21"/>
      <c r="AF37"/>
      <c r="AG37" s="294"/>
      <c r="AH37" s="294"/>
      <c r="AI37" s="366"/>
      <c r="AJ37" s="26"/>
      <c r="AK37" s="374"/>
      <c r="AL37" s="374"/>
      <c r="AO37" s="294"/>
      <c r="AR37" s="374"/>
      <c r="AT37" s="20"/>
      <c r="AY37"/>
      <c r="AZ37" s="374"/>
      <c r="BB37" s="4"/>
      <c r="BF37" s="26"/>
      <c r="BG37" s="26"/>
      <c r="BH37" s="26"/>
      <c r="BI37" s="26"/>
      <c r="BJ37" s="26"/>
      <c r="BK37" s="26"/>
      <c r="BL37" s="26"/>
      <c r="BM37" s="26"/>
      <c r="BN37" s="26"/>
      <c r="BS37" s="20"/>
      <c r="BT37" s="26"/>
      <c r="BV37" s="381"/>
      <c r="BW37" s="26"/>
      <c r="BX37" s="229"/>
      <c r="CA37" s="219"/>
      <c r="CC37" s="218"/>
      <c r="CD37" s="26"/>
      <c r="CM37"/>
      <c r="CN37"/>
      <c r="CP37" s="218"/>
    </row>
    <row r="38" spans="1:94" x14ac:dyDescent="0.2">
      <c r="A38" s="19"/>
      <c r="B38" s="11" t="s">
        <v>1215</v>
      </c>
      <c r="C38" s="32">
        <v>0</v>
      </c>
      <c r="D38" s="248">
        <v>0</v>
      </c>
      <c r="E38" s="24">
        <v>0</v>
      </c>
      <c r="F38" s="25">
        <f t="shared" si="1"/>
        <v>0</v>
      </c>
      <c r="G38" s="144">
        <v>0</v>
      </c>
      <c r="H38" s="144">
        <v>0</v>
      </c>
      <c r="I38" s="144">
        <v>0</v>
      </c>
      <c r="J38" s="23">
        <v>0</v>
      </c>
      <c r="K38" s="248">
        <v>1439.6830000000002</v>
      </c>
      <c r="L38" s="248">
        <v>8</v>
      </c>
      <c r="N38"/>
      <c r="O38"/>
      <c r="P38" s="20"/>
      <c r="Q38" s="218"/>
      <c r="R38" s="218"/>
      <c r="AA38"/>
      <c r="AB38" s="21"/>
      <c r="AC38" s="21"/>
      <c r="AD38" s="211"/>
      <c r="AE38" s="21"/>
      <c r="AF38"/>
      <c r="AG38" s="294"/>
      <c r="AH38" s="294"/>
      <c r="AI38" s="366"/>
      <c r="AJ38" s="26"/>
      <c r="AK38" s="374"/>
      <c r="AL38" s="374"/>
      <c r="AO38" s="294"/>
      <c r="AR38" s="374"/>
      <c r="AT38" s="20"/>
      <c r="AY38"/>
      <c r="AZ38" s="374"/>
      <c r="BB38" s="4"/>
      <c r="BF38" s="26"/>
      <c r="BG38" s="26"/>
      <c r="BH38" s="26"/>
      <c r="BI38" s="26"/>
      <c r="BJ38" s="26"/>
      <c r="BK38" s="26"/>
      <c r="BL38" s="26"/>
      <c r="BM38" s="26"/>
      <c r="BN38" s="26"/>
      <c r="BS38" s="20"/>
      <c r="BT38" s="26"/>
      <c r="BV38" s="381"/>
      <c r="BW38" s="26"/>
      <c r="BX38" s="229"/>
      <c r="CA38" s="219"/>
      <c r="CC38" s="218"/>
      <c r="CD38" s="26"/>
      <c r="CM38"/>
      <c r="CN38"/>
      <c r="CP38" s="218"/>
    </row>
    <row r="39" spans="1:94" x14ac:dyDescent="0.2">
      <c r="A39" s="19"/>
      <c r="B39" s="8" t="s">
        <v>1216</v>
      </c>
      <c r="C39" s="23">
        <v>0</v>
      </c>
      <c r="D39" s="248">
        <v>0</v>
      </c>
      <c r="E39" s="24">
        <v>0</v>
      </c>
      <c r="F39" s="25">
        <f t="shared" si="1"/>
        <v>0</v>
      </c>
      <c r="G39" s="144">
        <v>0</v>
      </c>
      <c r="H39" s="144">
        <v>0</v>
      </c>
      <c r="I39" s="144">
        <v>0</v>
      </c>
      <c r="J39" s="23">
        <v>0</v>
      </c>
      <c r="K39" s="248">
        <v>7806.514000000001</v>
      </c>
      <c r="L39" s="248">
        <v>36</v>
      </c>
      <c r="O39"/>
      <c r="P39" s="20"/>
      <c r="Q39" s="218"/>
      <c r="R39" s="218"/>
      <c r="AA39"/>
      <c r="AB39" s="21"/>
      <c r="AC39" s="21"/>
      <c r="AD39" s="211"/>
      <c r="AE39" s="21"/>
      <c r="AF39"/>
      <c r="AG39" s="294"/>
      <c r="AH39" s="294"/>
      <c r="AI39" s="366"/>
      <c r="AJ39" s="26"/>
      <c r="AK39" s="374"/>
      <c r="AL39" s="374"/>
      <c r="AO39" s="294"/>
      <c r="AR39" s="374"/>
      <c r="AT39" s="20"/>
      <c r="AY39"/>
      <c r="AZ39" s="374"/>
      <c r="BB39" s="4"/>
      <c r="BF39" s="26"/>
      <c r="BG39" s="26"/>
      <c r="BH39" s="26"/>
      <c r="BI39" s="26"/>
      <c r="BJ39" s="26"/>
      <c r="BK39" s="26"/>
      <c r="BL39" s="26"/>
      <c r="BM39" s="26"/>
      <c r="BN39" s="26"/>
      <c r="BS39" s="20"/>
      <c r="BT39" s="26"/>
      <c r="BV39" s="381"/>
      <c r="BW39" s="26"/>
      <c r="BX39" s="229"/>
      <c r="CA39" s="219"/>
      <c r="CC39" s="218"/>
      <c r="CD39" s="26"/>
      <c r="CM39"/>
      <c r="CN39"/>
      <c r="CP39" s="218"/>
    </row>
    <row r="40" spans="1:94" x14ac:dyDescent="0.2">
      <c r="A40" s="19"/>
      <c r="B40" s="9" t="s">
        <v>303</v>
      </c>
      <c r="C40" s="23">
        <v>1</v>
      </c>
      <c r="D40" s="248">
        <v>0</v>
      </c>
      <c r="E40" s="24">
        <v>1</v>
      </c>
      <c r="F40" s="25">
        <f t="shared" si="1"/>
        <v>2</v>
      </c>
      <c r="G40" s="144">
        <v>0</v>
      </c>
      <c r="H40" s="144">
        <v>0</v>
      </c>
      <c r="I40" s="144">
        <v>3</v>
      </c>
      <c r="J40" s="23">
        <v>14.9</v>
      </c>
      <c r="K40" s="248">
        <v>2957.4969999999998</v>
      </c>
      <c r="L40" s="248">
        <v>38</v>
      </c>
      <c r="N40"/>
      <c r="O40"/>
      <c r="P40" s="20"/>
      <c r="Q40" s="218"/>
      <c r="R40" s="218"/>
      <c r="AA40"/>
      <c r="AB40" s="21"/>
      <c r="AC40" s="21"/>
      <c r="AD40" s="211"/>
      <c r="AE40" s="21"/>
      <c r="AF40"/>
      <c r="AG40" s="294"/>
      <c r="AH40" s="294"/>
      <c r="AI40" s="366"/>
      <c r="AJ40" s="26"/>
      <c r="AK40" s="374"/>
      <c r="AL40" s="374"/>
      <c r="AO40" s="294"/>
      <c r="AR40" s="374"/>
      <c r="AT40" s="20"/>
      <c r="AY40"/>
      <c r="AZ40" s="374"/>
      <c r="BB40" s="4"/>
      <c r="BF40" s="26"/>
      <c r="BG40" s="26"/>
      <c r="BH40" s="26"/>
      <c r="BI40" s="26"/>
      <c r="BJ40" s="26"/>
      <c r="BK40" s="26"/>
      <c r="BL40" s="26"/>
      <c r="BM40" s="26"/>
      <c r="BN40" s="26"/>
      <c r="BS40" s="20"/>
      <c r="BT40" s="26"/>
      <c r="BV40" s="381"/>
      <c r="BW40" s="26"/>
      <c r="BX40" s="229"/>
      <c r="CA40" s="219"/>
      <c r="CC40" s="218"/>
      <c r="CD40" s="26"/>
      <c r="CM40"/>
      <c r="CN40"/>
      <c r="CP40" s="218"/>
    </row>
    <row r="41" spans="1:94" x14ac:dyDescent="0.2">
      <c r="A41" s="19"/>
      <c r="B41" s="8" t="s">
        <v>1217</v>
      </c>
      <c r="C41" s="23">
        <v>0</v>
      </c>
      <c r="D41" s="248">
        <v>0</v>
      </c>
      <c r="E41" s="24">
        <v>0</v>
      </c>
      <c r="F41" s="25">
        <f t="shared" si="1"/>
        <v>0</v>
      </c>
      <c r="G41" s="144">
        <v>0</v>
      </c>
      <c r="H41" s="144">
        <v>0</v>
      </c>
      <c r="I41" s="144">
        <v>0</v>
      </c>
      <c r="J41" s="23">
        <v>0</v>
      </c>
      <c r="K41" s="248">
        <v>339.22199999999998</v>
      </c>
      <c r="L41" s="248">
        <v>8</v>
      </c>
      <c r="N41"/>
      <c r="O41"/>
      <c r="P41" s="20"/>
      <c r="Q41" s="218"/>
      <c r="R41" s="218"/>
      <c r="AA41"/>
      <c r="AB41" s="21"/>
      <c r="AC41" s="21"/>
      <c r="AD41" s="211"/>
      <c r="AE41" s="21"/>
      <c r="AF41"/>
      <c r="AG41" s="294"/>
      <c r="AH41" s="294"/>
      <c r="AI41" s="366"/>
      <c r="AJ41" s="26"/>
      <c r="AK41" s="374"/>
      <c r="AL41" s="374"/>
      <c r="AO41" s="294"/>
      <c r="AR41" s="374"/>
      <c r="AT41" s="20"/>
      <c r="AY41"/>
      <c r="AZ41" s="374"/>
      <c r="BB41" s="4"/>
      <c r="BF41" s="26"/>
      <c r="BG41" s="26"/>
      <c r="BH41" s="26"/>
      <c r="BI41" s="26"/>
      <c r="BJ41" s="26"/>
      <c r="BK41" s="26"/>
      <c r="BL41" s="26"/>
      <c r="BM41" s="26"/>
      <c r="BN41" s="26"/>
      <c r="BS41" s="20"/>
      <c r="BT41" s="26"/>
      <c r="BV41" s="381"/>
      <c r="BW41" s="26"/>
      <c r="BX41" s="229"/>
      <c r="CA41" s="219"/>
      <c r="CC41" s="218"/>
      <c r="CD41" s="26"/>
      <c r="CM41"/>
      <c r="CN41"/>
      <c r="CP41" s="218"/>
    </row>
    <row r="42" spans="1:94" x14ac:dyDescent="0.2">
      <c r="A42" s="19"/>
      <c r="B42" s="8" t="s">
        <v>1218</v>
      </c>
      <c r="C42" s="23">
        <v>0</v>
      </c>
      <c r="D42" s="248">
        <v>0</v>
      </c>
      <c r="E42" s="24">
        <v>0</v>
      </c>
      <c r="F42" s="25">
        <f t="shared" si="1"/>
        <v>0</v>
      </c>
      <c r="G42" s="144">
        <v>0</v>
      </c>
      <c r="H42" s="144">
        <v>0</v>
      </c>
      <c r="I42" s="144">
        <v>0</v>
      </c>
      <c r="J42" s="23">
        <v>0</v>
      </c>
      <c r="K42" s="248">
        <v>23.859000000000002</v>
      </c>
      <c r="L42" s="248">
        <v>9</v>
      </c>
      <c r="N42"/>
      <c r="O42"/>
      <c r="P42" s="20"/>
      <c r="Q42" s="218"/>
      <c r="R42" s="218"/>
      <c r="AA42"/>
      <c r="AB42" s="21"/>
      <c r="AC42" s="21"/>
      <c r="AD42" s="211"/>
      <c r="AE42" s="21"/>
      <c r="AF42"/>
      <c r="AG42" s="294"/>
      <c r="AH42" s="294"/>
      <c r="AI42" s="366"/>
      <c r="AJ42" s="26"/>
      <c r="AK42" s="374"/>
      <c r="AL42" s="374"/>
      <c r="AO42" s="294"/>
      <c r="AR42" s="374"/>
      <c r="AT42" s="20"/>
      <c r="AY42"/>
      <c r="AZ42" s="374"/>
      <c r="BB42" s="4"/>
      <c r="BF42" s="26"/>
      <c r="BG42" s="26"/>
      <c r="BH42" s="26"/>
      <c r="BI42" s="26"/>
      <c r="BJ42" s="26"/>
      <c r="BK42" s="26"/>
      <c r="BL42" s="26"/>
      <c r="BM42" s="26"/>
      <c r="BN42" s="26"/>
      <c r="BS42" s="20"/>
      <c r="BT42" s="26"/>
      <c r="BV42" s="381"/>
      <c r="BW42" s="26"/>
      <c r="BX42" s="229"/>
      <c r="CA42" s="219"/>
      <c r="CC42" s="218"/>
      <c r="CD42" s="26"/>
      <c r="CM42"/>
      <c r="CN42"/>
      <c r="CP42" s="218"/>
    </row>
    <row r="43" spans="1:94" x14ac:dyDescent="0.2">
      <c r="A43" s="19"/>
      <c r="B43" s="8" t="s">
        <v>307</v>
      </c>
      <c r="C43" s="23">
        <v>2</v>
      </c>
      <c r="D43" s="248">
        <v>0</v>
      </c>
      <c r="E43" s="24">
        <v>1</v>
      </c>
      <c r="F43" s="25">
        <f t="shared" si="1"/>
        <v>3</v>
      </c>
      <c r="G43" s="144">
        <v>0</v>
      </c>
      <c r="H43" s="144">
        <v>0</v>
      </c>
      <c r="I43" s="144">
        <v>4</v>
      </c>
      <c r="J43" s="23">
        <v>0</v>
      </c>
      <c r="K43" s="248">
        <v>1.07</v>
      </c>
      <c r="L43" s="248">
        <v>16</v>
      </c>
      <c r="N43"/>
      <c r="O43"/>
      <c r="P43" s="20"/>
      <c r="Q43" s="218"/>
      <c r="R43" s="218"/>
      <c r="AA43"/>
      <c r="AB43" s="21"/>
      <c r="AC43" s="21"/>
      <c r="AD43" s="211"/>
      <c r="AE43" s="21"/>
      <c r="AF43"/>
      <c r="AG43" s="294"/>
      <c r="AH43" s="294"/>
      <c r="AI43" s="366"/>
      <c r="AJ43" s="26"/>
      <c r="AK43" s="374"/>
      <c r="AL43" s="374"/>
      <c r="AO43" s="294"/>
      <c r="AR43" s="374"/>
      <c r="AT43" s="20"/>
      <c r="AY43"/>
      <c r="AZ43" s="374"/>
      <c r="BB43" s="4"/>
      <c r="BF43" s="26"/>
      <c r="BG43" s="26"/>
      <c r="BH43" s="26"/>
      <c r="BI43" s="26"/>
      <c r="BJ43" s="26"/>
      <c r="BK43" s="26"/>
      <c r="BL43" s="26"/>
      <c r="BM43" s="26"/>
      <c r="BN43" s="26"/>
      <c r="BS43" s="20"/>
      <c r="BT43" s="26"/>
      <c r="BV43" s="381"/>
      <c r="BW43" s="26"/>
      <c r="BX43" s="229"/>
      <c r="CA43" s="219"/>
      <c r="CC43" s="218"/>
      <c r="CD43" s="26"/>
      <c r="CM43"/>
      <c r="CN43"/>
      <c r="CP43" s="218"/>
    </row>
    <row r="44" spans="1:94" x14ac:dyDescent="0.2">
      <c r="A44" s="19"/>
      <c r="B44" s="8" t="s">
        <v>1219</v>
      </c>
      <c r="C44" s="23">
        <v>0</v>
      </c>
      <c r="D44" s="248">
        <v>0</v>
      </c>
      <c r="E44" s="24">
        <v>0</v>
      </c>
      <c r="F44" s="25">
        <f t="shared" si="1"/>
        <v>0</v>
      </c>
      <c r="G44" s="144">
        <v>0</v>
      </c>
      <c r="H44" s="144">
        <v>0</v>
      </c>
      <c r="I44" s="144">
        <v>0</v>
      </c>
      <c r="J44" s="23">
        <v>0</v>
      </c>
      <c r="K44" s="248">
        <v>17.515000000000001</v>
      </c>
      <c r="L44" s="248">
        <v>3</v>
      </c>
      <c r="N44"/>
      <c r="O44"/>
      <c r="P44" s="20"/>
      <c r="Q44" s="218"/>
      <c r="R44" s="218"/>
      <c r="AA44"/>
      <c r="AB44" s="21"/>
      <c r="AC44" s="21"/>
      <c r="AD44" s="211"/>
      <c r="AE44" s="21"/>
      <c r="AF44"/>
      <c r="AG44" s="294"/>
      <c r="AH44" s="294"/>
      <c r="AI44" s="366"/>
      <c r="AJ44" s="26"/>
      <c r="AK44" s="374"/>
      <c r="AL44" s="374"/>
      <c r="AO44" s="294"/>
      <c r="AR44" s="374"/>
      <c r="AT44" s="20"/>
      <c r="AY44"/>
      <c r="AZ44" s="374"/>
      <c r="BB44" s="4"/>
      <c r="BF44" s="26"/>
      <c r="BG44" s="26"/>
      <c r="BH44" s="26"/>
      <c r="BI44" s="26"/>
      <c r="BJ44" s="26"/>
      <c r="BK44" s="26"/>
      <c r="BL44" s="26"/>
      <c r="BM44" s="26"/>
      <c r="BN44" s="26"/>
      <c r="BS44" s="20"/>
      <c r="BT44" s="26"/>
      <c r="BV44" s="381"/>
      <c r="BW44" s="26"/>
      <c r="BX44" s="229"/>
      <c r="CA44" s="219"/>
      <c r="CC44" s="218"/>
      <c r="CD44" s="26"/>
      <c r="CM44"/>
      <c r="CN44"/>
      <c r="CP44" s="218"/>
    </row>
    <row r="45" spans="1:94" x14ac:dyDescent="0.2">
      <c r="A45" s="19"/>
      <c r="B45" s="8" t="s">
        <v>86</v>
      </c>
      <c r="C45" s="23">
        <v>1</v>
      </c>
      <c r="D45" s="248">
        <v>0</v>
      </c>
      <c r="E45" s="24">
        <v>2</v>
      </c>
      <c r="F45" s="25">
        <f t="shared" si="1"/>
        <v>3</v>
      </c>
      <c r="G45" s="144">
        <v>1</v>
      </c>
      <c r="H45" s="144">
        <v>2.6080000000000001</v>
      </c>
      <c r="I45" s="144">
        <v>12</v>
      </c>
      <c r="J45" s="23">
        <v>0</v>
      </c>
      <c r="K45" s="248">
        <v>44.731999999999992</v>
      </c>
      <c r="L45" s="248">
        <v>34</v>
      </c>
      <c r="N45"/>
      <c r="O45"/>
      <c r="P45" s="20"/>
      <c r="Q45" s="218"/>
      <c r="R45" s="218"/>
      <c r="AA45"/>
      <c r="AB45" s="21"/>
      <c r="AC45" s="21"/>
      <c r="AD45" s="211"/>
      <c r="AE45" s="21"/>
      <c r="AF45"/>
      <c r="AG45" s="294"/>
      <c r="AH45" s="294"/>
      <c r="AI45" s="366"/>
      <c r="AJ45" s="26"/>
      <c r="AK45" s="374"/>
      <c r="AL45" s="374"/>
      <c r="AO45" s="294"/>
      <c r="AR45" s="374"/>
      <c r="AT45" s="20"/>
      <c r="AY45"/>
      <c r="AZ45" s="374"/>
      <c r="BB45" s="4"/>
      <c r="BF45" s="26"/>
      <c r="BG45" s="26"/>
      <c r="BH45" s="26"/>
      <c r="BI45" s="26"/>
      <c r="BJ45" s="26"/>
      <c r="BK45" s="26"/>
      <c r="BL45" s="26"/>
      <c r="BM45" s="26"/>
      <c r="BN45" s="26"/>
      <c r="BS45" s="20"/>
      <c r="BT45" s="26"/>
      <c r="BV45" s="381"/>
      <c r="BW45" s="26"/>
      <c r="BX45" s="229"/>
      <c r="CA45" s="219"/>
      <c r="CC45" s="218"/>
      <c r="CD45" s="26"/>
      <c r="CM45"/>
      <c r="CN45"/>
      <c r="CP45" s="218"/>
    </row>
    <row r="46" spans="1:94" x14ac:dyDescent="0.2">
      <c r="A46" s="19"/>
      <c r="B46" s="8" t="s">
        <v>1220</v>
      </c>
      <c r="C46" s="23">
        <v>0</v>
      </c>
      <c r="D46" s="248">
        <v>0</v>
      </c>
      <c r="E46" s="24">
        <v>0</v>
      </c>
      <c r="F46" s="25">
        <f t="shared" si="1"/>
        <v>0</v>
      </c>
      <c r="G46" s="144">
        <v>0</v>
      </c>
      <c r="H46" s="144">
        <v>0</v>
      </c>
      <c r="I46" s="144">
        <v>0</v>
      </c>
      <c r="J46" s="23">
        <v>0</v>
      </c>
      <c r="K46" s="248">
        <v>0</v>
      </c>
      <c r="L46" s="248">
        <v>2</v>
      </c>
      <c r="N46"/>
      <c r="O46"/>
      <c r="P46" s="20"/>
      <c r="Q46" s="218"/>
      <c r="R46" s="218"/>
      <c r="AA46"/>
      <c r="AB46" s="21"/>
      <c r="AC46" s="21"/>
      <c r="AD46" s="211"/>
      <c r="AE46" s="21"/>
      <c r="AF46"/>
      <c r="AG46" s="294"/>
      <c r="AH46" s="294"/>
      <c r="AI46" s="366"/>
      <c r="AJ46" s="26"/>
      <c r="AK46" s="374"/>
      <c r="AL46" s="374"/>
      <c r="AO46" s="294"/>
      <c r="AR46" s="374"/>
      <c r="AT46" s="20"/>
      <c r="AY46"/>
      <c r="AZ46" s="374"/>
      <c r="BB46" s="4"/>
      <c r="BF46" s="26"/>
      <c r="BG46" s="26"/>
      <c r="BH46" s="26"/>
      <c r="BI46" s="26"/>
      <c r="BJ46" s="26"/>
      <c r="BK46" s="26"/>
      <c r="BL46" s="26"/>
      <c r="BM46" s="26"/>
      <c r="BN46" s="26"/>
      <c r="BS46" s="20"/>
      <c r="BT46" s="26"/>
      <c r="BV46" s="381"/>
      <c r="BW46" s="26"/>
      <c r="BX46" s="229"/>
      <c r="CA46" s="219"/>
      <c r="CC46" s="218"/>
      <c r="CD46" s="26"/>
      <c r="CM46"/>
      <c r="CN46"/>
      <c r="CP46" s="218"/>
    </row>
    <row r="47" spans="1:94" x14ac:dyDescent="0.2">
      <c r="A47" s="19"/>
      <c r="B47" s="11" t="s">
        <v>1221</v>
      </c>
      <c r="C47" s="32">
        <v>0</v>
      </c>
      <c r="D47" s="250">
        <v>0</v>
      </c>
      <c r="E47" s="33">
        <v>0</v>
      </c>
      <c r="F47" s="25">
        <f t="shared" si="1"/>
        <v>0</v>
      </c>
      <c r="G47" s="144">
        <v>0</v>
      </c>
      <c r="H47" s="144">
        <v>0</v>
      </c>
      <c r="I47" s="144">
        <v>0</v>
      </c>
      <c r="J47" s="32">
        <v>0</v>
      </c>
      <c r="K47" s="250">
        <v>0</v>
      </c>
      <c r="L47" s="250">
        <v>1</v>
      </c>
      <c r="N47"/>
      <c r="O47"/>
      <c r="P47" s="20"/>
      <c r="Q47" s="218"/>
      <c r="R47" s="218"/>
      <c r="AA47"/>
      <c r="AB47" s="21"/>
      <c r="AC47" s="21"/>
      <c r="AD47" s="211"/>
      <c r="AE47" s="21"/>
      <c r="AF47"/>
      <c r="AG47" s="294"/>
      <c r="AH47" s="294"/>
      <c r="AI47" s="366"/>
      <c r="AJ47" s="26"/>
      <c r="AK47" s="374"/>
      <c r="AL47" s="374"/>
      <c r="AO47" s="294"/>
      <c r="AR47" s="374"/>
      <c r="AT47" s="20"/>
      <c r="AY47"/>
      <c r="AZ47" s="374"/>
      <c r="BB47" s="4"/>
      <c r="BF47" s="26"/>
      <c r="BG47" s="26"/>
      <c r="BH47" s="26"/>
      <c r="BI47" s="26"/>
      <c r="BJ47" s="26"/>
      <c r="BK47" s="26"/>
      <c r="BL47" s="26"/>
      <c r="BM47" s="26"/>
      <c r="BN47" s="26"/>
      <c r="BS47" s="20"/>
      <c r="BT47" s="26"/>
      <c r="BV47" s="381"/>
      <c r="BW47" s="26"/>
      <c r="BX47" s="229"/>
      <c r="CA47" s="219"/>
      <c r="CC47" s="218"/>
      <c r="CD47" s="26"/>
      <c r="CM47"/>
      <c r="CN47"/>
      <c r="CP47" s="218"/>
    </row>
    <row r="48" spans="1:94" x14ac:dyDescent="0.2">
      <c r="A48" s="19"/>
      <c r="B48" s="11" t="s">
        <v>1222</v>
      </c>
      <c r="C48" s="23">
        <v>0</v>
      </c>
      <c r="D48" s="248">
        <v>0</v>
      </c>
      <c r="E48" s="24">
        <v>0</v>
      </c>
      <c r="F48" s="25">
        <f t="shared" si="1"/>
        <v>0</v>
      </c>
      <c r="G48" s="144">
        <v>0</v>
      </c>
      <c r="H48" s="144">
        <v>0</v>
      </c>
      <c r="I48" s="144">
        <v>0</v>
      </c>
      <c r="J48" s="34">
        <v>0</v>
      </c>
      <c r="K48" s="248">
        <v>0</v>
      </c>
      <c r="L48" s="248">
        <v>0</v>
      </c>
      <c r="N48"/>
      <c r="O48"/>
      <c r="P48" s="20"/>
      <c r="Q48" s="218"/>
      <c r="R48" s="218"/>
      <c r="AA48"/>
      <c r="AB48" s="21"/>
      <c r="AC48" s="21"/>
      <c r="AD48" s="211"/>
      <c r="AE48" s="21"/>
      <c r="AF48"/>
      <c r="AG48" s="294"/>
      <c r="AH48" s="294"/>
      <c r="AI48" s="366"/>
      <c r="AJ48" s="26"/>
      <c r="AK48" s="374"/>
      <c r="AL48" s="374"/>
      <c r="AO48" s="294"/>
      <c r="AR48" s="374"/>
      <c r="AT48" s="20"/>
      <c r="AY48"/>
      <c r="AZ48" s="374"/>
      <c r="BB48" s="4"/>
      <c r="BF48" s="26"/>
      <c r="BG48" s="26"/>
      <c r="BH48" s="26"/>
      <c r="BI48" s="26"/>
      <c r="BJ48" s="26"/>
      <c r="BK48" s="26"/>
      <c r="BL48" s="26"/>
      <c r="BM48" s="26"/>
      <c r="BN48" s="26"/>
      <c r="BS48" s="20"/>
      <c r="BT48" s="26"/>
      <c r="BV48" s="381"/>
      <c r="BW48" s="26"/>
      <c r="BX48" s="229"/>
      <c r="CA48" s="219"/>
      <c r="CC48" s="218"/>
      <c r="CD48" s="26"/>
      <c r="CM48"/>
      <c r="CN48"/>
      <c r="CP48" s="218"/>
    </row>
    <row r="49" spans="1:140" x14ac:dyDescent="0.2">
      <c r="A49" s="17" t="s">
        <v>1223</v>
      </c>
      <c r="B49" s="35" t="s">
        <v>1224</v>
      </c>
      <c r="C49" s="29">
        <v>0</v>
      </c>
      <c r="D49" s="249">
        <v>0</v>
      </c>
      <c r="E49" s="30">
        <v>0</v>
      </c>
      <c r="F49" s="31">
        <f t="shared" si="1"/>
        <v>0</v>
      </c>
      <c r="G49" s="321">
        <v>0</v>
      </c>
      <c r="H49" s="321">
        <v>0</v>
      </c>
      <c r="I49" s="321">
        <v>0</v>
      </c>
      <c r="J49" s="36">
        <v>0</v>
      </c>
      <c r="K49" s="249">
        <v>12397.396000000002</v>
      </c>
      <c r="L49" s="249">
        <v>25</v>
      </c>
      <c r="N49"/>
      <c r="O49"/>
      <c r="P49" s="20"/>
      <c r="Q49" s="218"/>
      <c r="R49" s="218"/>
      <c r="AA49"/>
      <c r="AB49" s="21"/>
      <c r="AC49" s="21"/>
      <c r="AD49" s="211"/>
      <c r="AE49" s="21"/>
      <c r="AF49"/>
      <c r="AG49" s="294"/>
      <c r="AH49" s="294"/>
      <c r="AI49" s="366"/>
      <c r="AJ49" s="26"/>
      <c r="AK49" s="374"/>
      <c r="AL49" s="374"/>
      <c r="AO49" s="294"/>
      <c r="AR49" s="374"/>
      <c r="AT49" s="20"/>
      <c r="AY49"/>
      <c r="AZ49" s="374"/>
      <c r="BB49" s="4"/>
      <c r="BF49" s="26"/>
      <c r="BG49" s="26"/>
      <c r="BH49" s="26"/>
      <c r="BI49" s="26"/>
      <c r="BJ49" s="26"/>
      <c r="BK49" s="26"/>
      <c r="BL49" s="26"/>
      <c r="BM49" s="26"/>
      <c r="BN49" s="26"/>
      <c r="BS49" s="20"/>
      <c r="BT49" s="26"/>
      <c r="BV49" s="381"/>
      <c r="BW49" s="26"/>
      <c r="BX49" s="229"/>
      <c r="CA49" s="219"/>
      <c r="CC49" s="218"/>
      <c r="CD49" s="26"/>
      <c r="CM49"/>
      <c r="CN49"/>
      <c r="CP49" s="218"/>
    </row>
    <row r="50" spans="1:140" x14ac:dyDescent="0.2">
      <c r="A50" s="18" t="s">
        <v>1225</v>
      </c>
      <c r="B50" s="37" t="s">
        <v>1226</v>
      </c>
      <c r="C50" s="29">
        <v>0</v>
      </c>
      <c r="D50" s="249">
        <v>0</v>
      </c>
      <c r="E50" s="30">
        <v>0</v>
      </c>
      <c r="F50" s="31">
        <f t="shared" si="1"/>
        <v>0</v>
      </c>
      <c r="G50" s="321">
        <v>0</v>
      </c>
      <c r="H50" s="321">
        <v>0</v>
      </c>
      <c r="I50" s="321">
        <v>0</v>
      </c>
      <c r="J50" s="36">
        <v>0</v>
      </c>
      <c r="K50" s="249">
        <v>10.247999999999999</v>
      </c>
      <c r="L50" s="249">
        <v>3</v>
      </c>
      <c r="N50"/>
      <c r="O50"/>
      <c r="P50" s="20"/>
      <c r="Q50" s="218"/>
      <c r="R50" s="218"/>
      <c r="AA50"/>
      <c r="AB50" s="21"/>
      <c r="AC50" s="21"/>
      <c r="AD50" s="211"/>
      <c r="AE50" s="21"/>
      <c r="AF50"/>
      <c r="AG50" s="294"/>
      <c r="AH50" s="294"/>
      <c r="AI50" s="366"/>
      <c r="AJ50" s="26"/>
      <c r="AK50" s="374"/>
      <c r="AL50" s="374"/>
      <c r="AO50" s="294"/>
      <c r="AR50" s="374"/>
      <c r="AT50" s="20"/>
      <c r="AY50"/>
      <c r="AZ50" s="374"/>
      <c r="BB50" s="4"/>
      <c r="BF50" s="26"/>
      <c r="BG50" s="26"/>
      <c r="BH50" s="26"/>
      <c r="BI50" s="26"/>
      <c r="BJ50" s="26"/>
      <c r="BK50" s="26"/>
      <c r="BL50" s="26"/>
      <c r="BM50" s="26"/>
      <c r="BN50" s="26"/>
      <c r="BS50" s="20"/>
      <c r="BT50" s="26"/>
      <c r="BV50" s="381"/>
      <c r="BW50" s="26"/>
      <c r="BX50" s="229"/>
      <c r="CA50" s="219"/>
      <c r="CC50" s="218"/>
      <c r="CD50" s="26"/>
      <c r="CM50"/>
      <c r="CN50"/>
      <c r="CP50" s="218"/>
    </row>
    <row r="51" spans="1:140" x14ac:dyDescent="0.2">
      <c r="A51" s="39">
        <f>+F50+F51</f>
        <v>0</v>
      </c>
      <c r="B51" s="40" t="s">
        <v>1227</v>
      </c>
      <c r="C51" s="28">
        <v>0</v>
      </c>
      <c r="D51" s="251">
        <v>0</v>
      </c>
      <c r="E51" s="41">
        <v>0</v>
      </c>
      <c r="F51" s="42">
        <f t="shared" si="1"/>
        <v>0</v>
      </c>
      <c r="G51" s="322">
        <v>0</v>
      </c>
      <c r="H51" s="322">
        <v>0</v>
      </c>
      <c r="I51" s="322">
        <v>0</v>
      </c>
      <c r="J51" s="43">
        <v>0</v>
      </c>
      <c r="K51" s="251">
        <v>0</v>
      </c>
      <c r="L51" s="251">
        <v>1</v>
      </c>
      <c r="N51"/>
      <c r="O51"/>
      <c r="P51" s="20"/>
      <c r="Q51" s="218"/>
      <c r="R51" s="218"/>
      <c r="AA51"/>
      <c r="AB51" s="21"/>
      <c r="AC51" s="21"/>
      <c r="AD51" s="211"/>
      <c r="AE51" s="21"/>
      <c r="AF51"/>
      <c r="AG51" s="294"/>
      <c r="AH51" s="294"/>
      <c r="AI51" s="366"/>
      <c r="AJ51" s="26"/>
      <c r="AK51" s="374"/>
      <c r="AL51" s="374"/>
      <c r="AO51" s="294"/>
      <c r="AR51" s="374"/>
      <c r="AT51" s="20"/>
      <c r="AY51"/>
      <c r="AZ51" s="374"/>
      <c r="BB51" s="4"/>
      <c r="BF51" s="26"/>
      <c r="BG51" s="26"/>
      <c r="BH51" s="26"/>
      <c r="BI51" s="26"/>
      <c r="BJ51" s="26"/>
      <c r="BK51" s="26"/>
      <c r="BL51" s="26"/>
      <c r="BM51" s="26"/>
      <c r="BN51" s="26"/>
      <c r="BS51" s="20"/>
      <c r="BT51" s="26"/>
      <c r="BV51" s="381"/>
      <c r="BW51" s="26"/>
      <c r="BX51" s="229"/>
      <c r="CA51" s="219"/>
      <c r="CC51" s="218"/>
      <c r="CD51" s="26"/>
      <c r="CM51"/>
      <c r="CN51"/>
      <c r="CP51" s="218"/>
    </row>
    <row r="52" spans="1:140" x14ac:dyDescent="0.2">
      <c r="A52" s="19"/>
      <c r="B52" s="11" t="s">
        <v>127</v>
      </c>
      <c r="C52" s="23">
        <v>1</v>
      </c>
      <c r="D52" s="248">
        <v>0</v>
      </c>
      <c r="E52" s="23">
        <v>1</v>
      </c>
      <c r="F52" s="25">
        <f t="shared" si="1"/>
        <v>2</v>
      </c>
      <c r="G52" s="144">
        <v>0</v>
      </c>
      <c r="H52" s="144">
        <v>0</v>
      </c>
      <c r="I52" s="144">
        <v>2</v>
      </c>
      <c r="J52" s="23">
        <v>3</v>
      </c>
      <c r="K52" s="248">
        <v>62242.541000000027</v>
      </c>
      <c r="L52" s="248">
        <v>80</v>
      </c>
      <c r="N52"/>
      <c r="O52"/>
      <c r="P52" s="20"/>
      <c r="Q52" s="218"/>
      <c r="R52" s="218"/>
      <c r="AA52"/>
      <c r="AB52" s="21"/>
      <c r="AC52" s="21"/>
      <c r="AD52" s="211"/>
      <c r="AE52" s="21"/>
      <c r="AF52"/>
      <c r="AG52" s="294"/>
      <c r="AH52" s="294"/>
      <c r="AI52" s="366"/>
      <c r="AJ52" s="26"/>
      <c r="AK52" s="374"/>
      <c r="AL52" s="374"/>
      <c r="AO52" s="294"/>
      <c r="AR52" s="374"/>
      <c r="AT52" s="20"/>
      <c r="AY52"/>
      <c r="AZ52" s="374"/>
      <c r="BB52" s="4"/>
      <c r="BF52" s="26"/>
      <c r="BG52" s="26"/>
      <c r="BH52" s="26"/>
      <c r="BI52" s="26"/>
      <c r="BJ52" s="26"/>
      <c r="BK52" s="26"/>
      <c r="BL52" s="26"/>
      <c r="BM52" s="26"/>
      <c r="BN52" s="26"/>
      <c r="BS52" s="20"/>
      <c r="BT52" s="26"/>
      <c r="BV52" s="381"/>
      <c r="BW52" s="26"/>
      <c r="BX52" s="229"/>
      <c r="CA52" s="219"/>
      <c r="CC52" s="218"/>
      <c r="CD52" s="26"/>
      <c r="CM52"/>
      <c r="CN52"/>
      <c r="CP52" s="218"/>
    </row>
    <row r="53" spans="1:140" x14ac:dyDescent="0.2">
      <c r="A53" s="19" t="s">
        <v>1228</v>
      </c>
      <c r="B53" s="11" t="s">
        <v>1229</v>
      </c>
      <c r="C53" s="23">
        <v>0</v>
      </c>
      <c r="D53" s="248">
        <v>0</v>
      </c>
      <c r="E53" s="23">
        <v>0</v>
      </c>
      <c r="F53" s="25">
        <f t="shared" si="1"/>
        <v>0</v>
      </c>
      <c r="G53" s="144">
        <v>0</v>
      </c>
      <c r="H53" s="144">
        <v>0</v>
      </c>
      <c r="I53" s="144">
        <v>0</v>
      </c>
      <c r="J53" s="23">
        <v>0</v>
      </c>
      <c r="K53" s="248">
        <v>0</v>
      </c>
      <c r="L53" s="248">
        <v>2</v>
      </c>
      <c r="N53"/>
      <c r="O53"/>
      <c r="P53" s="20"/>
      <c r="Q53" s="218"/>
      <c r="R53" s="218"/>
      <c r="AA53"/>
      <c r="AB53" s="21"/>
      <c r="AC53" s="21"/>
      <c r="AD53" s="211"/>
      <c r="AE53" s="21"/>
      <c r="AF53"/>
      <c r="AG53" s="294"/>
      <c r="AH53" s="294"/>
      <c r="AI53" s="366"/>
      <c r="AJ53" s="26"/>
      <c r="AK53" s="374"/>
      <c r="AL53" s="374"/>
      <c r="AO53" s="294"/>
      <c r="AR53" s="374"/>
      <c r="AT53" s="20"/>
      <c r="AY53"/>
      <c r="AZ53" s="374"/>
      <c r="BB53" s="4"/>
      <c r="BF53" s="26"/>
      <c r="BG53" s="26"/>
      <c r="BH53" s="26"/>
      <c r="BI53" s="26"/>
      <c r="BJ53" s="26"/>
      <c r="BK53" s="26"/>
      <c r="BL53" s="26"/>
      <c r="BM53" s="26"/>
      <c r="BN53" s="26"/>
      <c r="BS53" s="20"/>
      <c r="BT53" s="26"/>
      <c r="BV53" s="381"/>
      <c r="BW53" s="26"/>
      <c r="BX53" s="229"/>
      <c r="CA53" s="219"/>
      <c r="CC53" s="218"/>
      <c r="CD53" s="26"/>
      <c r="CM53"/>
      <c r="CN53"/>
      <c r="CP53" s="218"/>
    </row>
    <row r="54" spans="1:140" x14ac:dyDescent="0.2">
      <c r="A54" s="19" t="s">
        <v>1230</v>
      </c>
      <c r="B54" s="11" t="s">
        <v>120</v>
      </c>
      <c r="C54" s="23">
        <v>0</v>
      </c>
      <c r="D54" s="248">
        <v>0</v>
      </c>
      <c r="E54" s="23">
        <v>1</v>
      </c>
      <c r="F54" s="25">
        <f t="shared" si="1"/>
        <v>1</v>
      </c>
      <c r="G54" s="144">
        <v>0</v>
      </c>
      <c r="H54" s="144">
        <v>0</v>
      </c>
      <c r="I54" s="144">
        <v>1</v>
      </c>
      <c r="J54" s="23">
        <v>4.5</v>
      </c>
      <c r="K54" s="248">
        <v>222.38399999999999</v>
      </c>
      <c r="L54" s="248">
        <v>18</v>
      </c>
      <c r="N54"/>
      <c r="O54"/>
      <c r="P54" s="20"/>
      <c r="Q54" s="218"/>
      <c r="R54" s="218"/>
      <c r="AA54"/>
      <c r="AB54" s="21"/>
      <c r="AC54" s="21"/>
      <c r="AD54" s="211"/>
      <c r="AE54" s="21"/>
      <c r="AF54"/>
      <c r="AG54" s="294"/>
      <c r="AH54" s="294"/>
      <c r="AI54" s="366"/>
      <c r="AJ54" s="26"/>
      <c r="AK54" s="374"/>
      <c r="AL54" s="374"/>
      <c r="AO54" s="294"/>
      <c r="AR54" s="374"/>
      <c r="AT54" s="20"/>
      <c r="AY54"/>
      <c r="AZ54" s="374"/>
      <c r="BB54" s="4"/>
      <c r="BF54" s="26"/>
      <c r="BG54" s="26"/>
      <c r="BH54" s="26"/>
      <c r="BI54" s="26"/>
      <c r="BJ54" s="26"/>
      <c r="BK54" s="26"/>
      <c r="BL54" s="26"/>
      <c r="BM54" s="26"/>
      <c r="BN54" s="26"/>
      <c r="BS54" s="20"/>
      <c r="BT54" s="26"/>
      <c r="BV54" s="381"/>
      <c r="BW54" s="26"/>
      <c r="BX54" s="229"/>
      <c r="CA54" s="219"/>
      <c r="CC54" s="218"/>
      <c r="CD54" s="26"/>
      <c r="CM54"/>
      <c r="CN54"/>
      <c r="CP54" s="218"/>
    </row>
    <row r="55" spans="1:140" x14ac:dyDescent="0.2">
      <c r="A55" s="27">
        <f>SUM(F52:F55)</f>
        <v>4</v>
      </c>
      <c r="B55" s="40" t="s">
        <v>1106</v>
      </c>
      <c r="C55" s="28">
        <v>1</v>
      </c>
      <c r="D55" s="251">
        <v>0</v>
      </c>
      <c r="E55" s="28">
        <v>0</v>
      </c>
      <c r="F55" s="42">
        <f t="shared" si="1"/>
        <v>1</v>
      </c>
      <c r="G55" s="322">
        <v>0</v>
      </c>
      <c r="H55" s="322">
        <v>0</v>
      </c>
      <c r="I55" s="322">
        <v>1</v>
      </c>
      <c r="J55" s="147">
        <v>1.5</v>
      </c>
      <c r="K55" s="251">
        <v>0</v>
      </c>
      <c r="L55" s="251">
        <v>11</v>
      </c>
      <c r="N55"/>
      <c r="O55"/>
      <c r="P55" s="20"/>
      <c r="Q55" s="218"/>
      <c r="R55" s="218"/>
      <c r="AA55"/>
      <c r="AB55" s="21"/>
      <c r="AC55" s="21"/>
      <c r="AD55" s="211"/>
      <c r="AE55" s="21"/>
      <c r="AF55"/>
      <c r="AG55" s="294"/>
      <c r="AH55" s="294"/>
      <c r="AI55" s="366"/>
      <c r="AJ55" s="26"/>
      <c r="AK55" s="374"/>
      <c r="AL55" s="374"/>
      <c r="AO55" s="294"/>
      <c r="AR55" s="374"/>
      <c r="AT55" s="20"/>
      <c r="AY55"/>
      <c r="AZ55" s="374"/>
      <c r="BB55" s="4"/>
      <c r="BF55" s="26"/>
      <c r="BG55" s="26"/>
      <c r="BH55" s="26"/>
      <c r="BI55" s="26"/>
      <c r="BJ55" s="26"/>
      <c r="BK55" s="26"/>
      <c r="BL55" s="26"/>
      <c r="BM55" s="26"/>
      <c r="BN55" s="26"/>
      <c r="BS55" s="20"/>
      <c r="BT55" s="26"/>
      <c r="BV55" s="381"/>
      <c r="BW55" s="26"/>
      <c r="BX55" s="229"/>
      <c r="CA55" s="219"/>
      <c r="CC55" s="218"/>
      <c r="CD55" s="26"/>
      <c r="CM55"/>
      <c r="CN55"/>
      <c r="CP55" s="218"/>
    </row>
    <row r="56" spans="1:140" x14ac:dyDescent="0.2">
      <c r="A56" s="16"/>
      <c r="B56" s="44" t="s">
        <v>1231</v>
      </c>
      <c r="C56" s="29">
        <v>0</v>
      </c>
      <c r="D56" s="249">
        <v>0</v>
      </c>
      <c r="E56" s="29">
        <v>0</v>
      </c>
      <c r="F56" s="31">
        <f t="shared" si="1"/>
        <v>0</v>
      </c>
      <c r="G56" s="321">
        <v>0</v>
      </c>
      <c r="H56" s="321">
        <v>0</v>
      </c>
      <c r="I56" s="321">
        <v>0</v>
      </c>
      <c r="J56" s="36">
        <v>0</v>
      </c>
      <c r="K56" s="249">
        <v>2349.433</v>
      </c>
      <c r="L56" s="249">
        <v>11</v>
      </c>
      <c r="N56"/>
      <c r="O56"/>
      <c r="P56" s="20"/>
      <c r="Q56" s="218"/>
      <c r="R56" s="218"/>
      <c r="AA56"/>
      <c r="AB56" s="21"/>
      <c r="AC56" s="21"/>
      <c r="AD56" s="211"/>
      <c r="AE56" s="21"/>
      <c r="AF56"/>
      <c r="AG56" s="294"/>
      <c r="AH56" s="294"/>
      <c r="AI56" s="366"/>
      <c r="AJ56" s="26"/>
      <c r="AK56" s="374"/>
      <c r="AL56" s="374"/>
      <c r="AO56" s="294"/>
      <c r="AR56" s="374"/>
      <c r="AT56" s="20"/>
      <c r="AY56"/>
      <c r="AZ56" s="374"/>
      <c r="BB56" s="4"/>
      <c r="BF56" s="26"/>
      <c r="BG56" s="26"/>
      <c r="BH56" s="26"/>
      <c r="BI56" s="26"/>
      <c r="BJ56" s="26"/>
      <c r="BK56" s="26"/>
      <c r="BL56" s="26"/>
      <c r="BM56" s="26"/>
      <c r="BN56" s="26"/>
      <c r="BS56" s="20"/>
      <c r="BT56" s="26"/>
      <c r="BV56" s="381"/>
      <c r="BW56" s="26"/>
      <c r="BX56" s="229"/>
      <c r="CA56" s="219"/>
      <c r="CC56" s="218"/>
      <c r="CD56" s="26"/>
      <c r="CM56"/>
      <c r="CN56"/>
      <c r="CP56" s="218"/>
    </row>
    <row r="57" spans="1:140" x14ac:dyDescent="0.2">
      <c r="A57" s="19" t="s">
        <v>1209</v>
      </c>
      <c r="B57" s="45" t="s">
        <v>1232</v>
      </c>
      <c r="C57" s="23">
        <v>0</v>
      </c>
      <c r="D57" s="248">
        <v>0</v>
      </c>
      <c r="E57" s="23">
        <v>0</v>
      </c>
      <c r="F57" s="25">
        <f t="shared" si="1"/>
        <v>0</v>
      </c>
      <c r="G57" s="144">
        <v>0</v>
      </c>
      <c r="H57" s="144">
        <v>0</v>
      </c>
      <c r="I57" s="144">
        <v>0</v>
      </c>
      <c r="J57" s="34">
        <v>0</v>
      </c>
      <c r="K57" s="248">
        <v>0</v>
      </c>
      <c r="L57" s="248">
        <v>2</v>
      </c>
      <c r="N57"/>
      <c r="O57"/>
      <c r="P57" s="20"/>
      <c r="Q57" s="218"/>
      <c r="R57" s="218"/>
      <c r="AA57"/>
      <c r="AB57" s="21"/>
      <c r="AC57" s="21"/>
      <c r="AD57" s="211"/>
      <c r="AE57" s="21"/>
      <c r="AF57"/>
      <c r="AG57" s="294"/>
      <c r="AH57" s="294"/>
      <c r="AI57" s="366"/>
      <c r="AJ57" s="26"/>
      <c r="AK57" s="374"/>
      <c r="AL57" s="374"/>
      <c r="AO57" s="294"/>
      <c r="AR57" s="374"/>
      <c r="AT57" s="20"/>
      <c r="AY57"/>
      <c r="AZ57" s="374"/>
      <c r="BB57" s="4"/>
      <c r="BF57" s="26"/>
      <c r="BG57" s="26"/>
      <c r="BH57" s="26"/>
      <c r="BI57" s="26"/>
      <c r="BJ57" s="26"/>
      <c r="BK57" s="26"/>
      <c r="BL57" s="26"/>
      <c r="BM57" s="26"/>
      <c r="BN57" s="26"/>
      <c r="BS57" s="20"/>
      <c r="BT57" s="26"/>
      <c r="BV57" s="381"/>
      <c r="BW57" s="26"/>
      <c r="BX57" s="229"/>
      <c r="CA57" s="219"/>
      <c r="CC57" s="218"/>
      <c r="CD57" s="26"/>
      <c r="CM57"/>
      <c r="CN57"/>
      <c r="CP57" s="218"/>
    </row>
    <row r="58" spans="1:140" x14ac:dyDescent="0.2">
      <c r="A58" s="19" t="s">
        <v>1233</v>
      </c>
      <c r="B58" s="46" t="s">
        <v>1234</v>
      </c>
      <c r="C58" s="23">
        <v>0</v>
      </c>
      <c r="D58" s="248">
        <v>0</v>
      </c>
      <c r="E58" s="23">
        <v>1</v>
      </c>
      <c r="F58" s="25">
        <f t="shared" si="1"/>
        <v>1</v>
      </c>
      <c r="G58" s="144">
        <v>0</v>
      </c>
      <c r="H58" s="144">
        <v>0</v>
      </c>
      <c r="I58" s="144">
        <v>3</v>
      </c>
      <c r="J58" s="34">
        <v>0</v>
      </c>
      <c r="K58" s="248">
        <v>315.94799999999998</v>
      </c>
      <c r="L58" s="248">
        <v>6</v>
      </c>
      <c r="N58"/>
      <c r="O58"/>
      <c r="P58" s="20"/>
      <c r="Q58" s="218"/>
      <c r="R58" s="218"/>
      <c r="AA58"/>
      <c r="AB58" s="21"/>
      <c r="AC58" s="21"/>
      <c r="AD58" s="211"/>
      <c r="AE58" s="21"/>
      <c r="AF58"/>
      <c r="AG58" s="294"/>
      <c r="AH58" s="294"/>
      <c r="AI58" s="366"/>
      <c r="AJ58" s="26"/>
      <c r="AK58" s="374"/>
      <c r="AL58" s="374"/>
      <c r="AO58" s="294"/>
      <c r="AR58" s="374"/>
      <c r="AT58" s="20"/>
      <c r="AY58"/>
      <c r="AZ58" s="374"/>
      <c r="BB58" s="4"/>
      <c r="BF58" s="26"/>
      <c r="BG58" s="26"/>
      <c r="BH58" s="26"/>
      <c r="BI58" s="26"/>
      <c r="BJ58" s="26"/>
      <c r="BK58" s="26"/>
      <c r="BL58" s="26"/>
      <c r="BM58" s="26"/>
      <c r="BN58" s="26"/>
      <c r="BS58" s="20"/>
      <c r="BT58" s="26"/>
      <c r="BV58" s="381"/>
      <c r="BW58" s="26"/>
      <c r="BX58" s="229"/>
      <c r="CA58" s="219"/>
      <c r="CC58" s="218"/>
      <c r="CD58" s="26"/>
      <c r="CM58"/>
      <c r="CN58"/>
      <c r="CP58" s="218"/>
    </row>
    <row r="59" spans="1:140" x14ac:dyDescent="0.2">
      <c r="A59" s="39">
        <f>SUM(F56:F59)</f>
        <v>5</v>
      </c>
      <c r="B59" s="47" t="s">
        <v>272</v>
      </c>
      <c r="C59" s="28">
        <v>0</v>
      </c>
      <c r="D59" s="251">
        <v>0</v>
      </c>
      <c r="E59" s="28">
        <v>4</v>
      </c>
      <c r="F59" s="42">
        <f t="shared" si="1"/>
        <v>4</v>
      </c>
      <c r="G59" s="322">
        <v>1</v>
      </c>
      <c r="H59" s="322">
        <v>75.911999999999992</v>
      </c>
      <c r="I59" s="322">
        <v>10</v>
      </c>
      <c r="J59" s="34">
        <v>0</v>
      </c>
      <c r="K59" s="251">
        <v>75.911999999999992</v>
      </c>
      <c r="L59" s="251">
        <v>14</v>
      </c>
      <c r="N59"/>
      <c r="O59"/>
      <c r="P59" s="20"/>
      <c r="Q59" s="218"/>
      <c r="R59" s="218"/>
      <c r="AA59"/>
      <c r="AB59" s="21"/>
      <c r="AC59" s="21"/>
      <c r="AD59" s="211"/>
      <c r="AE59" s="21"/>
      <c r="AF59"/>
      <c r="AG59" s="294"/>
      <c r="AH59" s="294"/>
      <c r="AI59" s="366"/>
      <c r="AJ59" s="26"/>
      <c r="AK59" s="374"/>
      <c r="AL59" s="374"/>
      <c r="AO59" s="294"/>
      <c r="AR59" s="374"/>
      <c r="AT59" s="20"/>
      <c r="AY59"/>
      <c r="AZ59" s="374"/>
      <c r="BB59" s="4"/>
      <c r="BF59" s="26"/>
      <c r="BG59" s="26"/>
      <c r="BH59" s="26"/>
      <c r="BI59" s="26"/>
      <c r="BJ59" s="26"/>
      <c r="BK59" s="26"/>
      <c r="BL59" s="26"/>
      <c r="BM59" s="26"/>
      <c r="BN59" s="26"/>
      <c r="BS59" s="20"/>
      <c r="BT59" s="26"/>
      <c r="BV59" s="381"/>
      <c r="BW59" s="26"/>
      <c r="BX59" s="229"/>
      <c r="CA59" s="219"/>
      <c r="CC59" s="218"/>
      <c r="CD59" s="26"/>
      <c r="CM59"/>
      <c r="CN59"/>
      <c r="CP59" s="218"/>
    </row>
    <row r="60" spans="1:140" x14ac:dyDescent="0.2">
      <c r="A60" s="19" t="s">
        <v>1235</v>
      </c>
      <c r="B60" s="37" t="s">
        <v>426</v>
      </c>
      <c r="C60" s="29">
        <v>4</v>
      </c>
      <c r="D60" s="249">
        <v>0</v>
      </c>
      <c r="E60" s="29">
        <v>24</v>
      </c>
      <c r="F60" s="25">
        <f t="shared" si="1"/>
        <v>28</v>
      </c>
      <c r="G60" s="144">
        <v>2</v>
      </c>
      <c r="H60" s="144">
        <v>2935.6699999999996</v>
      </c>
      <c r="I60" s="144">
        <v>163</v>
      </c>
      <c r="J60" s="36">
        <v>0</v>
      </c>
      <c r="K60" s="249">
        <v>3667.6209999999996</v>
      </c>
      <c r="L60" s="249">
        <v>207</v>
      </c>
      <c r="N60"/>
      <c r="O60"/>
      <c r="P60" s="20"/>
      <c r="Q60" s="218"/>
      <c r="R60" s="218"/>
      <c r="AA60"/>
      <c r="AB60" s="21"/>
      <c r="AC60" s="21"/>
      <c r="AD60" s="211"/>
      <c r="AE60" s="21"/>
      <c r="AF60"/>
      <c r="AG60" s="294"/>
      <c r="AH60" s="294"/>
      <c r="AI60" s="366"/>
      <c r="AJ60" s="26"/>
      <c r="AK60" s="374"/>
      <c r="AL60" s="374"/>
      <c r="AO60" s="294"/>
      <c r="AR60" s="374"/>
      <c r="AT60" s="20"/>
      <c r="AY60"/>
      <c r="AZ60" s="374"/>
      <c r="BB60" s="4"/>
      <c r="BF60" s="26"/>
      <c r="BG60" s="26"/>
      <c r="BH60" s="26"/>
      <c r="BI60" s="26"/>
      <c r="BJ60" s="26"/>
      <c r="BK60" s="26"/>
      <c r="BL60" s="26"/>
      <c r="BM60" s="26"/>
      <c r="BN60" s="26"/>
      <c r="BS60" s="20"/>
      <c r="BT60" s="26"/>
      <c r="BV60" s="381"/>
      <c r="BW60" s="26"/>
      <c r="BX60" s="229"/>
      <c r="CA60" s="219"/>
      <c r="CC60" s="218"/>
      <c r="CD60" s="26"/>
      <c r="CM60"/>
      <c r="CN60"/>
      <c r="CP60" s="218"/>
    </row>
    <row r="61" spans="1:140" x14ac:dyDescent="0.2">
      <c r="A61" s="19"/>
      <c r="B61" s="45" t="s">
        <v>828</v>
      </c>
      <c r="C61" s="38">
        <v>2</v>
      </c>
      <c r="D61" s="248">
        <v>0</v>
      </c>
      <c r="E61" s="38">
        <v>9</v>
      </c>
      <c r="F61" s="25">
        <f t="shared" si="1"/>
        <v>11</v>
      </c>
      <c r="G61" s="144">
        <v>0</v>
      </c>
      <c r="H61" s="144">
        <v>0</v>
      </c>
      <c r="I61" s="144">
        <v>14</v>
      </c>
      <c r="J61" s="34">
        <v>0</v>
      </c>
      <c r="K61" s="248">
        <v>0</v>
      </c>
      <c r="L61" s="248">
        <v>18</v>
      </c>
      <c r="N61"/>
      <c r="O61"/>
      <c r="P61" s="20"/>
      <c r="Q61" s="218"/>
      <c r="R61" s="218"/>
      <c r="AA61"/>
      <c r="AB61" s="21"/>
      <c r="AC61" s="21"/>
      <c r="AD61" s="211"/>
      <c r="AE61" s="21"/>
      <c r="AF61"/>
      <c r="AG61" s="294"/>
      <c r="AH61" s="294"/>
      <c r="AI61" s="366"/>
      <c r="AJ61" s="26"/>
      <c r="AK61" s="374"/>
      <c r="AL61" s="374"/>
      <c r="AO61" s="294"/>
      <c r="AR61" s="374"/>
      <c r="AT61" s="20"/>
      <c r="AY61"/>
      <c r="AZ61" s="374"/>
      <c r="BB61" s="4"/>
      <c r="BF61" s="26"/>
      <c r="BG61" s="26"/>
      <c r="BH61" s="26"/>
      <c r="BI61" s="26"/>
      <c r="BJ61" s="26"/>
      <c r="BK61" s="26"/>
      <c r="BL61" s="26"/>
      <c r="BM61" s="26"/>
      <c r="BN61" s="26"/>
      <c r="BS61" s="20"/>
      <c r="BT61" s="26"/>
      <c r="BV61" s="381"/>
      <c r="BW61" s="26"/>
      <c r="BX61" s="229"/>
      <c r="CA61" s="219"/>
      <c r="CC61" s="218"/>
      <c r="CD61" s="26"/>
      <c r="CM61"/>
      <c r="CN61"/>
      <c r="CP61" s="218"/>
    </row>
    <row r="62" spans="1:140" x14ac:dyDescent="0.2">
      <c r="A62" s="19" t="s">
        <v>1236</v>
      </c>
      <c r="B62" s="11" t="s">
        <v>976</v>
      </c>
      <c r="C62" s="23">
        <v>9</v>
      </c>
      <c r="D62" s="248">
        <v>0</v>
      </c>
      <c r="E62" s="23">
        <v>58</v>
      </c>
      <c r="F62" s="25">
        <f t="shared" si="1"/>
        <v>67</v>
      </c>
      <c r="G62" s="144">
        <v>24</v>
      </c>
      <c r="H62" s="144">
        <v>3763.6990399999995</v>
      </c>
      <c r="I62" s="144">
        <v>301</v>
      </c>
      <c r="J62" s="34">
        <v>0</v>
      </c>
      <c r="K62" s="248">
        <v>4314.9010399999997</v>
      </c>
      <c r="L62" s="248">
        <v>343</v>
      </c>
      <c r="N62"/>
      <c r="O62"/>
      <c r="Q62" s="218"/>
      <c r="R62" s="218"/>
      <c r="AA62"/>
      <c r="AB62" s="21"/>
      <c r="AC62" s="21"/>
      <c r="AD62" s="211"/>
      <c r="AE62" s="21"/>
      <c r="AF62"/>
      <c r="AG62" s="294"/>
      <c r="AH62" s="294"/>
      <c r="AI62" s="366"/>
      <c r="AJ62" s="26"/>
      <c r="AK62" s="374"/>
      <c r="AL62" s="374"/>
      <c r="AO62" s="294"/>
      <c r="AR62" s="374"/>
      <c r="AT62" s="20"/>
      <c r="AY62"/>
      <c r="AZ62" s="374"/>
      <c r="BB62" s="4"/>
      <c r="BF62" s="26"/>
      <c r="BG62" s="26"/>
      <c r="BH62" s="26"/>
      <c r="BI62" s="26"/>
      <c r="BJ62" s="26"/>
      <c r="BK62" s="26"/>
      <c r="BL62" s="26"/>
      <c r="BM62" s="26"/>
      <c r="BN62" s="26"/>
      <c r="BS62" s="20"/>
      <c r="BT62" s="26"/>
      <c r="BV62" s="381"/>
      <c r="BW62" s="26"/>
      <c r="BX62" s="229"/>
      <c r="CA62" s="219"/>
      <c r="CC62" s="218"/>
      <c r="CD62" s="26"/>
      <c r="CM62"/>
      <c r="CN62"/>
      <c r="CP62" s="218"/>
    </row>
    <row r="63" spans="1:140" x14ac:dyDescent="0.2">
      <c r="A63" s="27">
        <f>SUM(F60:F64)</f>
        <v>112</v>
      </c>
      <c r="B63" s="11" t="s">
        <v>548</v>
      </c>
      <c r="C63" s="23">
        <v>1</v>
      </c>
      <c r="D63" s="248">
        <v>0</v>
      </c>
      <c r="E63" s="23">
        <v>0</v>
      </c>
      <c r="F63" s="25">
        <f t="shared" si="1"/>
        <v>1</v>
      </c>
      <c r="G63" s="144">
        <v>0</v>
      </c>
      <c r="H63" s="144">
        <v>0</v>
      </c>
      <c r="I63" s="144">
        <v>1</v>
      </c>
      <c r="J63" s="34">
        <v>0</v>
      </c>
      <c r="K63" s="248">
        <v>9.532</v>
      </c>
      <c r="L63" s="248">
        <v>2</v>
      </c>
      <c r="N63"/>
      <c r="O63"/>
      <c r="Q63" s="218"/>
      <c r="R63" s="218"/>
      <c r="AA63"/>
      <c r="AB63" s="21"/>
      <c r="AC63" s="223" t="s">
        <v>5567</v>
      </c>
      <c r="AD63" s="263"/>
      <c r="AE63" s="21"/>
      <c r="AF63"/>
      <c r="AG63" s="294"/>
      <c r="AH63" s="294"/>
      <c r="AI63" s="366"/>
      <c r="AJ63" s="26"/>
      <c r="AK63" s="374"/>
      <c r="AL63" s="374"/>
      <c r="AO63" s="294"/>
      <c r="AR63" s="374"/>
      <c r="AT63" s="20"/>
      <c r="AY63"/>
      <c r="AZ63" s="374"/>
      <c r="BB63" s="4"/>
      <c r="BF63" s="26"/>
      <c r="BG63" s="26"/>
      <c r="BH63" s="26"/>
      <c r="BI63" s="26"/>
      <c r="BJ63" s="26"/>
      <c r="BK63" s="26"/>
      <c r="BL63" s="26"/>
      <c r="BM63" s="26"/>
      <c r="BN63" s="26"/>
      <c r="BS63" s="20"/>
      <c r="BT63" s="26"/>
      <c r="BV63" s="381"/>
      <c r="BW63" s="26"/>
      <c r="BX63" s="229"/>
      <c r="CA63" s="219"/>
      <c r="CC63" s="218"/>
      <c r="CD63" s="26"/>
      <c r="CM63"/>
      <c r="CN63"/>
      <c r="CP63" s="218"/>
    </row>
    <row r="64" spans="1:140" ht="12.75" customHeight="1" x14ac:dyDescent="0.2">
      <c r="A64" s="48"/>
      <c r="B64" s="11" t="s">
        <v>52</v>
      </c>
      <c r="C64" s="23">
        <v>0</v>
      </c>
      <c r="D64" s="248">
        <v>0</v>
      </c>
      <c r="E64" s="23">
        <v>5</v>
      </c>
      <c r="F64" s="42">
        <f t="shared" si="1"/>
        <v>5</v>
      </c>
      <c r="G64" s="322">
        <v>2</v>
      </c>
      <c r="H64" s="322">
        <v>917.14600000000007</v>
      </c>
      <c r="I64" s="322">
        <v>22</v>
      </c>
      <c r="J64" s="34">
        <v>0</v>
      </c>
      <c r="K64" s="248">
        <v>1091.0260000000001</v>
      </c>
      <c r="L64" s="248">
        <v>25</v>
      </c>
      <c r="N64"/>
      <c r="O64"/>
      <c r="Q64" s="218"/>
      <c r="R64" s="218"/>
      <c r="AA64"/>
      <c r="AB64" s="16" t="s">
        <v>5475</v>
      </c>
      <c r="AC64" s="264" t="s">
        <v>1609</v>
      </c>
      <c r="AD64" s="212" t="s">
        <v>6180</v>
      </c>
      <c r="AE64" s="170" t="s">
        <v>1202</v>
      </c>
      <c r="AF64" s="214" t="s">
        <v>6937</v>
      </c>
      <c r="AG64" s="172">
        <v>40179</v>
      </c>
      <c r="AH64" s="172">
        <v>40210</v>
      </c>
      <c r="AI64" s="172">
        <v>40238</v>
      </c>
      <c r="AJ64" s="172">
        <v>40269</v>
      </c>
      <c r="AK64" s="172">
        <v>40299</v>
      </c>
      <c r="AL64" s="172">
        <v>40330</v>
      </c>
      <c r="AM64" s="172">
        <v>40360</v>
      </c>
      <c r="AN64" s="172">
        <v>40391</v>
      </c>
      <c r="AO64" s="172">
        <v>40422</v>
      </c>
      <c r="AP64" s="172">
        <v>40452</v>
      </c>
      <c r="AQ64" s="172">
        <v>40483</v>
      </c>
      <c r="AR64" s="172">
        <v>40513</v>
      </c>
      <c r="AS64" s="171">
        <v>40544</v>
      </c>
      <c r="AT64" s="172">
        <v>40575</v>
      </c>
      <c r="AU64" s="172">
        <v>40603</v>
      </c>
      <c r="AV64" s="172">
        <v>40634</v>
      </c>
      <c r="AW64" s="172">
        <v>40664</v>
      </c>
      <c r="AX64" s="172">
        <v>40695</v>
      </c>
      <c r="AY64" s="172">
        <v>40725</v>
      </c>
      <c r="AZ64" s="172">
        <v>40756</v>
      </c>
      <c r="BA64" s="172">
        <v>40787</v>
      </c>
      <c r="BB64" s="172">
        <v>40817</v>
      </c>
      <c r="BC64" s="172">
        <v>40848</v>
      </c>
      <c r="BD64" s="173">
        <v>40878</v>
      </c>
      <c r="BE64" s="171">
        <v>40909</v>
      </c>
      <c r="BF64" s="172">
        <v>40940</v>
      </c>
      <c r="BG64" s="172">
        <v>40969</v>
      </c>
      <c r="BH64" s="172">
        <v>41000</v>
      </c>
      <c r="BI64" s="172">
        <v>41030</v>
      </c>
      <c r="BJ64" s="172">
        <v>41061</v>
      </c>
      <c r="BK64" s="172">
        <v>41091</v>
      </c>
      <c r="BL64" s="172">
        <v>41122</v>
      </c>
      <c r="BM64" s="172">
        <v>41153</v>
      </c>
      <c r="BN64" s="172">
        <v>41183</v>
      </c>
      <c r="BO64" s="172">
        <v>41214</v>
      </c>
      <c r="BP64" s="173">
        <v>41244</v>
      </c>
      <c r="BQ64" s="171">
        <v>41275</v>
      </c>
      <c r="BR64" s="172">
        <v>41306</v>
      </c>
      <c r="BS64" s="172">
        <v>41334</v>
      </c>
      <c r="BT64" s="172">
        <v>41365</v>
      </c>
      <c r="BU64" s="172">
        <v>41395</v>
      </c>
      <c r="BV64" s="172">
        <v>41426</v>
      </c>
      <c r="BW64" s="172">
        <v>41456</v>
      </c>
      <c r="BX64" s="172">
        <v>41487</v>
      </c>
      <c r="BY64" s="385">
        <v>41518</v>
      </c>
      <c r="BZ64" s="172">
        <v>41548</v>
      </c>
      <c r="CA64" s="385">
        <v>41579</v>
      </c>
      <c r="CB64" s="385">
        <v>41609</v>
      </c>
      <c r="CC64" s="292">
        <v>41640</v>
      </c>
      <c r="CD64" s="293">
        <v>41671</v>
      </c>
      <c r="CE64" s="293">
        <v>41699</v>
      </c>
      <c r="CF64" s="293">
        <v>41730</v>
      </c>
      <c r="CG64" s="293">
        <v>41760</v>
      </c>
      <c r="CH64" s="293">
        <v>41791</v>
      </c>
      <c r="CI64" s="293">
        <v>41821</v>
      </c>
      <c r="CJ64" s="293">
        <v>41852</v>
      </c>
      <c r="CK64" s="293">
        <v>41883</v>
      </c>
      <c r="CL64" s="293">
        <v>41913</v>
      </c>
      <c r="CM64" s="293">
        <v>41944</v>
      </c>
      <c r="CN64" s="364">
        <v>41974</v>
      </c>
      <c r="CO64" s="421">
        <v>42005</v>
      </c>
      <c r="CP64" s="293">
        <v>42036</v>
      </c>
      <c r="CQ64" s="293">
        <v>42064</v>
      </c>
      <c r="CR64" s="293">
        <v>42095</v>
      </c>
      <c r="CS64" s="293">
        <v>42125</v>
      </c>
      <c r="CT64" s="293">
        <v>42156</v>
      </c>
      <c r="CU64" s="293">
        <v>42186</v>
      </c>
      <c r="CV64" s="293">
        <v>42217</v>
      </c>
      <c r="CW64" s="293">
        <v>42248</v>
      </c>
      <c r="CX64" s="293">
        <v>42278</v>
      </c>
      <c r="CY64" s="293">
        <v>42309</v>
      </c>
      <c r="CZ64" s="365">
        <v>42339</v>
      </c>
      <c r="DA64" s="421">
        <v>42370</v>
      </c>
      <c r="DB64" s="293">
        <v>42401</v>
      </c>
      <c r="DC64" s="293">
        <v>42430</v>
      </c>
      <c r="DD64" s="293">
        <v>42461</v>
      </c>
      <c r="DE64" s="293">
        <v>42491</v>
      </c>
      <c r="DF64" s="293">
        <v>42522</v>
      </c>
      <c r="DG64" s="293">
        <v>42552</v>
      </c>
      <c r="DH64" s="293">
        <v>42583</v>
      </c>
      <c r="DI64" s="293">
        <v>42614</v>
      </c>
      <c r="DJ64" s="293">
        <v>42644</v>
      </c>
      <c r="DK64" s="293">
        <v>42675</v>
      </c>
      <c r="DL64" s="365">
        <v>42705</v>
      </c>
      <c r="DM64" s="421">
        <v>42736</v>
      </c>
      <c r="DN64" s="293">
        <v>42767</v>
      </c>
      <c r="DO64" s="293">
        <v>42795</v>
      </c>
      <c r="DP64" s="293">
        <v>42826</v>
      </c>
      <c r="DQ64" s="293">
        <v>42856</v>
      </c>
      <c r="DR64" s="293">
        <v>42887</v>
      </c>
      <c r="DS64" s="293">
        <v>42917</v>
      </c>
      <c r="DT64" s="293">
        <v>42948</v>
      </c>
      <c r="DU64" s="293">
        <v>42979</v>
      </c>
      <c r="DV64" s="293">
        <v>43009</v>
      </c>
      <c r="DW64" s="293">
        <v>43040</v>
      </c>
      <c r="DX64" s="365">
        <v>43070</v>
      </c>
      <c r="DY64" s="421">
        <v>43101</v>
      </c>
      <c r="DZ64" s="293">
        <v>43132</v>
      </c>
      <c r="EA64" s="293">
        <v>43160</v>
      </c>
      <c r="EB64" s="293">
        <v>43191</v>
      </c>
      <c r="EC64" s="293">
        <v>43221</v>
      </c>
      <c r="ED64" s="293">
        <v>43252</v>
      </c>
      <c r="EE64" s="293">
        <v>43282</v>
      </c>
      <c r="EF64" s="293">
        <v>43313</v>
      </c>
      <c r="EG64" s="293">
        <v>43344</v>
      </c>
      <c r="EH64" s="293">
        <v>43374</v>
      </c>
      <c r="EI64" s="293">
        <v>43405</v>
      </c>
      <c r="EJ64" s="365">
        <v>43435</v>
      </c>
    </row>
    <row r="65" spans="1:140" x14ac:dyDescent="0.2">
      <c r="A65" s="17"/>
      <c r="B65" s="37" t="s">
        <v>101</v>
      </c>
      <c r="C65" s="29">
        <v>0</v>
      </c>
      <c r="D65" s="249">
        <v>0</v>
      </c>
      <c r="E65" s="29">
        <v>0</v>
      </c>
      <c r="F65" s="25">
        <f t="shared" si="1"/>
        <v>0</v>
      </c>
      <c r="G65" s="144">
        <v>0</v>
      </c>
      <c r="H65" s="144">
        <v>0</v>
      </c>
      <c r="I65" s="144">
        <v>0</v>
      </c>
      <c r="J65" s="29">
        <v>0</v>
      </c>
      <c r="K65" s="249">
        <v>1058.1280000000002</v>
      </c>
      <c r="L65" s="249">
        <v>18</v>
      </c>
      <c r="N65"/>
      <c r="O65"/>
      <c r="Q65" s="218"/>
      <c r="R65" s="218"/>
      <c r="AA65"/>
      <c r="AB65" s="57" t="s">
        <v>4803</v>
      </c>
      <c r="AC65" s="138">
        <v>2535</v>
      </c>
      <c r="AD65" s="175" t="s">
        <v>58</v>
      </c>
      <c r="AE65" s="209">
        <f t="shared" ref="AE65:AE96" si="2">SUM(AG65:EJ65)</f>
        <v>24</v>
      </c>
      <c r="AF65" s="213">
        <f t="shared" ref="AF65:AF96" si="3">COUNTA(AG65:EJ65)</f>
        <v>1</v>
      </c>
      <c r="AG65" s="367"/>
      <c r="AH65" s="368"/>
      <c r="AI65" s="369"/>
      <c r="AJ65" s="58"/>
      <c r="AK65" s="375"/>
      <c r="AL65" s="375"/>
      <c r="AM65" s="58"/>
      <c r="AN65" s="58"/>
      <c r="AO65" s="369"/>
      <c r="AP65" s="58"/>
      <c r="AQ65" s="58"/>
      <c r="AR65" s="379"/>
      <c r="AS65" s="30"/>
      <c r="AT65" s="58"/>
      <c r="AU65" s="58"/>
      <c r="AV65" s="58"/>
      <c r="AW65" s="58"/>
      <c r="AX65" s="58"/>
      <c r="AY65" s="58"/>
      <c r="AZ65" s="375"/>
      <c r="BA65" s="225"/>
      <c r="BB65" s="58"/>
      <c r="BC65" s="58"/>
      <c r="BD65" s="59"/>
      <c r="BE65" s="30"/>
      <c r="BF65" s="58"/>
      <c r="BG65" s="58"/>
      <c r="BH65" s="58"/>
      <c r="BI65" s="58"/>
      <c r="BJ65" s="58"/>
      <c r="BK65" s="58"/>
      <c r="BL65" s="58"/>
      <c r="BM65" s="58"/>
      <c r="BN65" s="58"/>
      <c r="BO65" s="58"/>
      <c r="BP65" s="59"/>
      <c r="BQ65" s="30"/>
      <c r="BR65" s="58"/>
      <c r="BS65" s="309"/>
      <c r="BT65" s="58"/>
      <c r="BU65" s="58">
        <v>24</v>
      </c>
      <c r="BV65" s="58"/>
      <c r="BW65" s="58"/>
      <c r="BX65" s="227"/>
      <c r="BY65" s="227"/>
      <c r="BZ65" s="267"/>
      <c r="CA65" s="227"/>
      <c r="CB65" s="230"/>
      <c r="CC65" s="24"/>
      <c r="CD65" s="38"/>
      <c r="CE65" s="38"/>
      <c r="CF65" s="38"/>
      <c r="CG65" s="38"/>
      <c r="CH65" s="38"/>
      <c r="CI65" s="38"/>
      <c r="CJ65" s="38"/>
      <c r="CK65" s="228"/>
      <c r="CL65" s="268"/>
      <c r="CM65" s="38"/>
      <c r="CN65" s="231"/>
      <c r="CO65" s="252"/>
      <c r="CP65" s="38"/>
      <c r="CQ65" s="38"/>
      <c r="CR65" s="38"/>
      <c r="CS65" s="38"/>
      <c r="CT65" s="38"/>
      <c r="CU65" s="38"/>
      <c r="CV65" s="38"/>
      <c r="CW65" s="228"/>
      <c r="CX65" s="268"/>
      <c r="CY65" s="38"/>
      <c r="CZ65" s="231"/>
      <c r="DA65" s="252"/>
      <c r="DB65" s="38"/>
      <c r="DC65" s="38"/>
      <c r="DD65" s="38"/>
      <c r="DE65" s="38"/>
      <c r="DF65" s="38"/>
      <c r="DG65" s="38"/>
      <c r="DH65" s="38"/>
      <c r="DI65" s="228"/>
      <c r="DJ65" s="268"/>
      <c r="DK65" s="38"/>
      <c r="DL65" s="231"/>
      <c r="DM65" s="252"/>
      <c r="DN65" s="38"/>
      <c r="DO65" s="38"/>
      <c r="DP65" s="38"/>
      <c r="DQ65" s="38"/>
      <c r="DR65" s="38"/>
      <c r="DS65" s="38"/>
      <c r="DT65" s="38"/>
      <c r="DU65" s="228"/>
      <c r="DV65" s="268"/>
      <c r="DW65" s="38"/>
      <c r="DX65" s="231"/>
      <c r="DY65" s="252"/>
      <c r="DZ65" s="38"/>
      <c r="EA65" s="38"/>
      <c r="EB65" s="38"/>
      <c r="EC65" s="38"/>
      <c r="ED65" s="38"/>
      <c r="EE65" s="38"/>
      <c r="EF65" s="38"/>
      <c r="EG65" s="228"/>
      <c r="EH65" s="268"/>
      <c r="EI65" s="38"/>
      <c r="EJ65" s="231"/>
    </row>
    <row r="66" spans="1:140" x14ac:dyDescent="0.2">
      <c r="A66" s="19" t="s">
        <v>1241</v>
      </c>
      <c r="B66" s="11" t="s">
        <v>1242</v>
      </c>
      <c r="C66" s="23">
        <v>0</v>
      </c>
      <c r="D66" s="248">
        <v>0</v>
      </c>
      <c r="E66" s="23">
        <v>0</v>
      </c>
      <c r="F66" s="25">
        <f t="shared" si="1"/>
        <v>0</v>
      </c>
      <c r="G66" s="144">
        <v>0</v>
      </c>
      <c r="H66" s="144">
        <v>0</v>
      </c>
      <c r="I66" s="144">
        <v>0</v>
      </c>
      <c r="J66" s="23">
        <v>0</v>
      </c>
      <c r="K66" s="248">
        <v>2171.4009999999998</v>
      </c>
      <c r="L66" s="248">
        <v>16</v>
      </c>
      <c r="N66"/>
      <c r="O66"/>
      <c r="Q66" s="218"/>
      <c r="R66" s="218"/>
      <c r="AA66"/>
      <c r="AB66" s="270" t="s">
        <v>1836</v>
      </c>
      <c r="AC66" s="136">
        <v>2765</v>
      </c>
      <c r="AD66" s="174" t="s">
        <v>67</v>
      </c>
      <c r="AE66" s="60">
        <f t="shared" si="2"/>
        <v>12</v>
      </c>
      <c r="AF66" s="107">
        <f t="shared" si="3"/>
        <v>2</v>
      </c>
      <c r="AG66" s="370"/>
      <c r="AH66" s="371"/>
      <c r="AI66" s="372"/>
      <c r="AJ66" s="38"/>
      <c r="AK66" s="376"/>
      <c r="AL66" s="376"/>
      <c r="AM66" s="38"/>
      <c r="AN66" s="38"/>
      <c r="AO66" s="372"/>
      <c r="AP66" s="38"/>
      <c r="AQ66" s="38"/>
      <c r="AR66" s="380"/>
      <c r="AS66" s="24"/>
      <c r="AT66" s="38"/>
      <c r="AU66" s="38"/>
      <c r="AV66" s="38"/>
      <c r="AW66" s="38"/>
      <c r="AX66" s="38"/>
      <c r="AY66" s="38"/>
      <c r="AZ66" s="376"/>
      <c r="BA66" s="139"/>
      <c r="BB66" s="38"/>
      <c r="BC66" s="38"/>
      <c r="BD66" s="22"/>
      <c r="BE66" s="24"/>
      <c r="BF66" s="38"/>
      <c r="BG66" s="38"/>
      <c r="BH66" s="38"/>
      <c r="BI66" s="38"/>
      <c r="BJ66" s="38"/>
      <c r="BK66" s="38"/>
      <c r="BL66" s="38"/>
      <c r="BM66" s="38"/>
      <c r="BN66" s="38"/>
      <c r="BO66" s="38"/>
      <c r="BP66" s="22"/>
      <c r="BQ66" s="24"/>
      <c r="BR66" s="38"/>
      <c r="BS66" s="310"/>
      <c r="BT66" s="38"/>
      <c r="BU66" s="38"/>
      <c r="BV66" s="38">
        <v>7</v>
      </c>
      <c r="BW66" s="38"/>
      <c r="BX66" s="228">
        <v>5</v>
      </c>
      <c r="BY66" s="228"/>
      <c r="BZ66" s="268"/>
      <c r="CA66" s="228"/>
      <c r="CB66" s="231"/>
      <c r="CC66" s="24"/>
      <c r="CD66" s="38"/>
      <c r="CE66" s="38"/>
      <c r="CF66" s="38"/>
      <c r="CG66" s="38"/>
      <c r="CH66" s="38"/>
      <c r="CI66" s="38"/>
      <c r="CJ66" s="38"/>
      <c r="CK66" s="228"/>
      <c r="CL66" s="268"/>
      <c r="CM66" s="38"/>
      <c r="CN66" s="231"/>
      <c r="CO66" s="252"/>
      <c r="CP66" s="38"/>
      <c r="CQ66" s="38"/>
      <c r="CR66" s="38"/>
      <c r="CS66" s="38"/>
      <c r="CT66" s="38"/>
      <c r="CU66" s="38"/>
      <c r="CV66" s="38"/>
      <c r="CW66" s="228"/>
      <c r="CX66" s="268"/>
      <c r="CY66" s="38"/>
      <c r="CZ66" s="231"/>
      <c r="DA66" s="252"/>
      <c r="DB66" s="38"/>
      <c r="DC66" s="38"/>
      <c r="DD66" s="38"/>
      <c r="DE66" s="38"/>
      <c r="DF66" s="38"/>
      <c r="DG66" s="38"/>
      <c r="DH66" s="38"/>
      <c r="DI66" s="228"/>
      <c r="DJ66" s="268"/>
      <c r="DK66" s="38"/>
      <c r="DL66" s="231"/>
      <c r="DM66" s="252"/>
      <c r="DN66" s="38"/>
      <c r="DO66" s="38"/>
      <c r="DP66" s="38"/>
      <c r="DQ66" s="38"/>
      <c r="DR66" s="38"/>
      <c r="DS66" s="38"/>
      <c r="DT66" s="38"/>
      <c r="DU66" s="228"/>
      <c r="DV66" s="268"/>
      <c r="DW66" s="38"/>
      <c r="DX66" s="231"/>
      <c r="DY66" s="252"/>
      <c r="DZ66" s="38"/>
      <c r="EA66" s="38"/>
      <c r="EB66" s="38"/>
      <c r="EC66" s="38"/>
      <c r="ED66" s="38"/>
      <c r="EE66" s="38"/>
      <c r="EF66" s="38"/>
      <c r="EG66" s="228"/>
      <c r="EH66" s="268"/>
      <c r="EI66" s="38"/>
      <c r="EJ66" s="231"/>
    </row>
    <row r="67" spans="1:140" x14ac:dyDescent="0.2">
      <c r="A67" s="19" t="s">
        <v>1244</v>
      </c>
      <c r="B67" s="11" t="s">
        <v>1245</v>
      </c>
      <c r="C67" s="23">
        <v>0</v>
      </c>
      <c r="D67" s="248">
        <v>0</v>
      </c>
      <c r="E67" s="23">
        <v>0</v>
      </c>
      <c r="F67" s="25">
        <f t="shared" si="1"/>
        <v>0</v>
      </c>
      <c r="G67" s="144">
        <v>0</v>
      </c>
      <c r="H67" s="144">
        <v>0</v>
      </c>
      <c r="I67" s="144">
        <v>0</v>
      </c>
      <c r="J67" s="23">
        <v>0</v>
      </c>
      <c r="K67" s="248">
        <v>493.37600000000003</v>
      </c>
      <c r="L67" s="248">
        <v>15</v>
      </c>
      <c r="N67"/>
      <c r="O67"/>
      <c r="Q67" s="218"/>
      <c r="R67" s="218"/>
      <c r="AA67"/>
      <c r="AB67" s="270" t="s">
        <v>1247</v>
      </c>
      <c r="AC67" s="133">
        <v>2767</v>
      </c>
      <c r="AD67" s="174" t="s">
        <v>151</v>
      </c>
      <c r="AE67" s="60">
        <f t="shared" si="2"/>
        <v>1049</v>
      </c>
      <c r="AF67" s="107">
        <f t="shared" si="3"/>
        <v>2</v>
      </c>
      <c r="AG67" s="370"/>
      <c r="AH67" s="371"/>
      <c r="AI67" s="372"/>
      <c r="AJ67" s="38"/>
      <c r="AK67" s="376"/>
      <c r="AL67" s="376"/>
      <c r="AM67" s="38"/>
      <c r="AN67" s="38">
        <v>961</v>
      </c>
      <c r="AO67" s="372"/>
      <c r="AP67" s="38"/>
      <c r="AQ67" s="38"/>
      <c r="AR67" s="380"/>
      <c r="AS67" s="24"/>
      <c r="AT67" s="38"/>
      <c r="AU67" s="38">
        <v>88</v>
      </c>
      <c r="AV67" s="38"/>
      <c r="AW67" s="38"/>
      <c r="AX67" s="38"/>
      <c r="AY67" s="38"/>
      <c r="AZ67" s="376"/>
      <c r="BA67" s="139"/>
      <c r="BB67" s="38"/>
      <c r="BC67" s="38"/>
      <c r="BD67" s="22"/>
      <c r="BE67" s="24"/>
      <c r="BF67" s="38"/>
      <c r="BG67" s="38"/>
      <c r="BH67" s="38"/>
      <c r="BI67" s="38"/>
      <c r="BJ67" s="38"/>
      <c r="BK67" s="38"/>
      <c r="BL67" s="38"/>
      <c r="BM67" s="38"/>
      <c r="BN67" s="38"/>
      <c r="BO67" s="38"/>
      <c r="BP67" s="22"/>
      <c r="BQ67" s="24"/>
      <c r="BR67" s="38"/>
      <c r="BS67" s="310"/>
      <c r="BT67" s="38"/>
      <c r="BU67" s="38"/>
      <c r="BV67" s="38"/>
      <c r="BW67" s="38"/>
      <c r="BX67" s="228"/>
      <c r="BY67" s="228"/>
      <c r="BZ67" s="268"/>
      <c r="CA67" s="228"/>
      <c r="CB67" s="231"/>
      <c r="CC67" s="24"/>
      <c r="CD67" s="38"/>
      <c r="CE67" s="38"/>
      <c r="CF67" s="38"/>
      <c r="CG67" s="38"/>
      <c r="CH67" s="38"/>
      <c r="CI67" s="38"/>
      <c r="CJ67" s="38"/>
      <c r="CK67" s="228"/>
      <c r="CL67" s="268"/>
      <c r="CM67" s="38"/>
      <c r="CN67" s="231"/>
      <c r="CO67" s="252"/>
      <c r="CP67" s="38"/>
      <c r="CQ67" s="38"/>
      <c r="CR67" s="38"/>
      <c r="CS67" s="38"/>
      <c r="CT67" s="38"/>
      <c r="CU67" s="38"/>
      <c r="CV67" s="38"/>
      <c r="CW67" s="228"/>
      <c r="CX67" s="268"/>
      <c r="CY67" s="38"/>
      <c r="CZ67" s="231"/>
      <c r="DA67" s="252"/>
      <c r="DB67" s="38"/>
      <c r="DC67" s="38"/>
      <c r="DD67" s="38"/>
      <c r="DE67" s="38"/>
      <c r="DF67" s="38"/>
      <c r="DG67" s="38"/>
      <c r="DH67" s="38"/>
      <c r="DI67" s="228"/>
      <c r="DJ67" s="268"/>
      <c r="DK67" s="38"/>
      <c r="DL67" s="231"/>
      <c r="DM67" s="252"/>
      <c r="DN67" s="38"/>
      <c r="DO67" s="38"/>
      <c r="DP67" s="38"/>
      <c r="DQ67" s="38"/>
      <c r="DR67" s="38"/>
      <c r="DS67" s="38"/>
      <c r="DT67" s="38"/>
      <c r="DU67" s="228"/>
      <c r="DV67" s="268"/>
      <c r="DW67" s="38"/>
      <c r="DX67" s="231"/>
      <c r="DY67" s="252"/>
      <c r="DZ67" s="38"/>
      <c r="EA67" s="38"/>
      <c r="EB67" s="38"/>
      <c r="EC67" s="38"/>
      <c r="ED67" s="38"/>
      <c r="EE67" s="38"/>
      <c r="EF67" s="38"/>
      <c r="EG67" s="228"/>
      <c r="EH67" s="268"/>
      <c r="EI67" s="38"/>
      <c r="EJ67" s="231"/>
    </row>
    <row r="68" spans="1:140" x14ac:dyDescent="0.2">
      <c r="A68" s="19" t="s">
        <v>1204</v>
      </c>
      <c r="B68" s="11" t="s">
        <v>1223</v>
      </c>
      <c r="C68" s="23">
        <v>0</v>
      </c>
      <c r="D68" s="248">
        <v>0</v>
      </c>
      <c r="E68" s="23">
        <v>0</v>
      </c>
      <c r="F68" s="25">
        <f t="shared" si="1"/>
        <v>0</v>
      </c>
      <c r="G68" s="144">
        <v>0</v>
      </c>
      <c r="H68" s="144">
        <v>0</v>
      </c>
      <c r="I68" s="144">
        <v>0</v>
      </c>
      <c r="J68" s="23">
        <v>0</v>
      </c>
      <c r="K68" s="248">
        <v>50.503</v>
      </c>
      <c r="L68" s="248">
        <v>9</v>
      </c>
      <c r="N68"/>
      <c r="O68"/>
      <c r="Q68" s="218"/>
      <c r="R68" s="218"/>
      <c r="T68" t="s">
        <v>2969</v>
      </c>
      <c r="AA68"/>
      <c r="AB68" s="134" t="s">
        <v>269</v>
      </c>
      <c r="AC68" s="133">
        <v>2896</v>
      </c>
      <c r="AD68" s="174" t="s">
        <v>117</v>
      </c>
      <c r="AE68" s="60">
        <f t="shared" si="2"/>
        <v>3</v>
      </c>
      <c r="AF68" s="107">
        <f t="shared" si="3"/>
        <v>1</v>
      </c>
      <c r="AG68" s="370"/>
      <c r="AH68" s="371"/>
      <c r="AI68" s="372"/>
      <c r="AJ68" s="38"/>
      <c r="AK68" s="376"/>
      <c r="AL68" s="376"/>
      <c r="AM68" s="38"/>
      <c r="AN68" s="38"/>
      <c r="AO68" s="372"/>
      <c r="AP68" s="38"/>
      <c r="AQ68" s="38"/>
      <c r="AR68" s="380"/>
      <c r="AS68" s="24"/>
      <c r="AT68" s="38"/>
      <c r="AU68" s="38"/>
      <c r="AV68" s="38"/>
      <c r="AW68" s="38"/>
      <c r="AX68" s="38"/>
      <c r="AY68" s="38"/>
      <c r="AZ68" s="376"/>
      <c r="BA68" s="139"/>
      <c r="BB68" s="38"/>
      <c r="BC68" s="38"/>
      <c r="BD68" s="22"/>
      <c r="BE68" s="24"/>
      <c r="BF68" s="38"/>
      <c r="BG68" s="38"/>
      <c r="BH68" s="38"/>
      <c r="BI68" s="38">
        <v>3</v>
      </c>
      <c r="BJ68" s="38"/>
      <c r="BK68" s="38"/>
      <c r="BL68" s="38"/>
      <c r="BM68" s="38"/>
      <c r="BN68" s="38"/>
      <c r="BO68" s="38"/>
      <c r="BP68" s="22"/>
      <c r="BQ68" s="24"/>
      <c r="BR68" s="38"/>
      <c r="BS68" s="310"/>
      <c r="BT68" s="38"/>
      <c r="BU68" s="38"/>
      <c r="BV68" s="38"/>
      <c r="BW68" s="38"/>
      <c r="BX68" s="228"/>
      <c r="BY68" s="228"/>
      <c r="BZ68" s="268"/>
      <c r="CA68" s="228"/>
      <c r="CB68" s="231"/>
      <c r="CC68" s="24"/>
      <c r="CD68" s="38"/>
      <c r="CE68" s="38"/>
      <c r="CF68" s="38"/>
      <c r="CG68" s="38"/>
      <c r="CH68" s="38"/>
      <c r="CI68" s="38"/>
      <c r="CJ68" s="38"/>
      <c r="CK68" s="228"/>
      <c r="CL68" s="268"/>
      <c r="CM68" s="38"/>
      <c r="CN68" s="231"/>
      <c r="CO68" s="252"/>
      <c r="CP68" s="38"/>
      <c r="CQ68" s="38"/>
      <c r="CR68" s="38"/>
      <c r="CS68" s="38"/>
      <c r="CT68" s="38"/>
      <c r="CU68" s="38"/>
      <c r="CV68" s="38"/>
      <c r="CW68" s="228"/>
      <c r="CX68" s="268"/>
      <c r="CY68" s="38"/>
      <c r="CZ68" s="231"/>
      <c r="DA68" s="252"/>
      <c r="DB68" s="38"/>
      <c r="DC68" s="38"/>
      <c r="DD68" s="38"/>
      <c r="DE68" s="38"/>
      <c r="DF68" s="38"/>
      <c r="DG68" s="38"/>
      <c r="DH68" s="38"/>
      <c r="DI68" s="228"/>
      <c r="DJ68" s="268"/>
      <c r="DK68" s="38"/>
      <c r="DL68" s="231"/>
      <c r="DM68" s="252"/>
      <c r="DN68" s="38"/>
      <c r="DO68" s="38"/>
      <c r="DP68" s="38"/>
      <c r="DQ68" s="38"/>
      <c r="DR68" s="38"/>
      <c r="DS68" s="38"/>
      <c r="DT68" s="38"/>
      <c r="DU68" s="228"/>
      <c r="DV68" s="268"/>
      <c r="DW68" s="38"/>
      <c r="DX68" s="231"/>
      <c r="DY68" s="252"/>
      <c r="DZ68" s="38"/>
      <c r="EA68" s="38"/>
      <c r="EB68" s="38"/>
      <c r="EC68" s="38"/>
      <c r="ED68" s="38"/>
      <c r="EE68" s="38"/>
      <c r="EF68" s="38"/>
      <c r="EG68" s="228"/>
      <c r="EH68" s="268"/>
      <c r="EI68" s="38"/>
      <c r="EJ68" s="231"/>
    </row>
    <row r="69" spans="1:140" x14ac:dyDescent="0.2">
      <c r="A69" s="27">
        <f>SUM(F65:F82)</f>
        <v>8</v>
      </c>
      <c r="B69" s="8" t="s">
        <v>367</v>
      </c>
      <c r="C69" s="23">
        <v>0</v>
      </c>
      <c r="D69" s="248">
        <v>0</v>
      </c>
      <c r="E69" s="23">
        <v>2</v>
      </c>
      <c r="F69" s="25">
        <f t="shared" si="1"/>
        <v>2</v>
      </c>
      <c r="G69" s="144">
        <v>0</v>
      </c>
      <c r="H69" s="144">
        <v>0</v>
      </c>
      <c r="I69" s="144">
        <v>2</v>
      </c>
      <c r="J69" s="23">
        <v>0</v>
      </c>
      <c r="K69" s="248">
        <v>7.3479999999999999</v>
      </c>
      <c r="L69" s="248">
        <v>9</v>
      </c>
      <c r="N69"/>
      <c r="O69"/>
      <c r="Q69" s="218"/>
      <c r="R69" s="218"/>
      <c r="AA69"/>
      <c r="AB69" s="134" t="s">
        <v>1924</v>
      </c>
      <c r="AC69" s="133">
        <v>2897</v>
      </c>
      <c r="AD69" s="174" t="s">
        <v>818</v>
      </c>
      <c r="AE69" s="60">
        <f t="shared" si="2"/>
        <v>2</v>
      </c>
      <c r="AF69" s="107">
        <f t="shared" si="3"/>
        <v>2</v>
      </c>
      <c r="AG69" s="370"/>
      <c r="AH69" s="371"/>
      <c r="AI69" s="372"/>
      <c r="AJ69" s="38"/>
      <c r="AK69" s="376"/>
      <c r="AL69" s="376"/>
      <c r="AM69" s="38"/>
      <c r="AN69" s="38"/>
      <c r="AO69" s="372"/>
      <c r="AP69" s="38"/>
      <c r="AQ69" s="38"/>
      <c r="AR69" s="380"/>
      <c r="AS69" s="24"/>
      <c r="AT69" s="38"/>
      <c r="AU69" s="38"/>
      <c r="AV69" s="38"/>
      <c r="AW69" s="38"/>
      <c r="AX69" s="38"/>
      <c r="AY69" s="38"/>
      <c r="AZ69" s="376"/>
      <c r="BA69" s="139"/>
      <c r="BB69" s="38"/>
      <c r="BC69" s="38"/>
      <c r="BD69" s="22"/>
      <c r="BE69" s="24"/>
      <c r="BF69" s="38"/>
      <c r="BG69" s="38"/>
      <c r="BH69" s="38"/>
      <c r="BI69" s="38"/>
      <c r="BJ69" s="38"/>
      <c r="BK69" s="38"/>
      <c r="BL69" s="38"/>
      <c r="BM69" s="38"/>
      <c r="BN69" s="38"/>
      <c r="BO69" s="38"/>
      <c r="BP69" s="22"/>
      <c r="BQ69" s="24"/>
      <c r="BR69" s="38"/>
      <c r="BS69" s="310"/>
      <c r="BT69" s="38">
        <v>1</v>
      </c>
      <c r="BU69" s="38">
        <v>1</v>
      </c>
      <c r="BV69" s="38"/>
      <c r="BW69" s="38"/>
      <c r="BX69" s="228"/>
      <c r="BY69" s="228"/>
      <c r="BZ69" s="268"/>
      <c r="CA69" s="228"/>
      <c r="CB69" s="231"/>
      <c r="CC69" s="24"/>
      <c r="CD69" s="38"/>
      <c r="CE69" s="38"/>
      <c r="CF69" s="38"/>
      <c r="CG69" s="38"/>
      <c r="CH69" s="38"/>
      <c r="CI69" s="38"/>
      <c r="CJ69" s="38"/>
      <c r="CK69" s="228"/>
      <c r="CL69" s="268"/>
      <c r="CM69" s="38"/>
      <c r="CN69" s="231"/>
      <c r="CO69" s="252"/>
      <c r="CP69" s="38"/>
      <c r="CQ69" s="38"/>
      <c r="CR69" s="38"/>
      <c r="CS69" s="38"/>
      <c r="CT69" s="38"/>
      <c r="CU69" s="38"/>
      <c r="CV69" s="38"/>
      <c r="CW69" s="228"/>
      <c r="CX69" s="268"/>
      <c r="CY69" s="38"/>
      <c r="CZ69" s="231"/>
      <c r="DA69" s="252"/>
      <c r="DB69" s="38"/>
      <c r="DC69" s="38"/>
      <c r="DD69" s="38"/>
      <c r="DE69" s="38"/>
      <c r="DF69" s="38"/>
      <c r="DG69" s="38"/>
      <c r="DH69" s="38"/>
      <c r="DI69" s="228"/>
      <c r="DJ69" s="268"/>
      <c r="DK69" s="38"/>
      <c r="DL69" s="231"/>
      <c r="DM69" s="252"/>
      <c r="DN69" s="38"/>
      <c r="DO69" s="38"/>
      <c r="DP69" s="38"/>
      <c r="DQ69" s="38"/>
      <c r="DR69" s="38"/>
      <c r="DS69" s="38"/>
      <c r="DT69" s="38"/>
      <c r="DU69" s="228"/>
      <c r="DV69" s="268"/>
      <c r="DW69" s="38"/>
      <c r="DX69" s="231"/>
      <c r="DY69" s="252"/>
      <c r="DZ69" s="38"/>
      <c r="EA69" s="38"/>
      <c r="EB69" s="38"/>
      <c r="EC69" s="38"/>
      <c r="ED69" s="38"/>
      <c r="EE69" s="38"/>
      <c r="EF69" s="38"/>
      <c r="EG69" s="228"/>
      <c r="EH69" s="268"/>
      <c r="EI69" s="38"/>
      <c r="EJ69" s="231"/>
    </row>
    <row r="70" spans="1:140" x14ac:dyDescent="0.2">
      <c r="A70" s="19"/>
      <c r="B70" s="11" t="s">
        <v>1248</v>
      </c>
      <c r="C70" s="23">
        <v>0</v>
      </c>
      <c r="D70" s="248">
        <v>0</v>
      </c>
      <c r="E70" s="23">
        <v>0</v>
      </c>
      <c r="F70" s="25">
        <f t="shared" si="1"/>
        <v>0</v>
      </c>
      <c r="G70" s="144">
        <v>0</v>
      </c>
      <c r="H70" s="144">
        <v>0</v>
      </c>
      <c r="I70" s="144">
        <v>0</v>
      </c>
      <c r="J70" s="23">
        <v>0</v>
      </c>
      <c r="K70" s="248">
        <v>0</v>
      </c>
      <c r="L70" s="248">
        <v>5</v>
      </c>
      <c r="N70"/>
      <c r="O70"/>
      <c r="Q70" s="218"/>
      <c r="R70" s="218"/>
      <c r="AA70"/>
      <c r="AB70" s="134" t="s">
        <v>195</v>
      </c>
      <c r="AC70" s="133">
        <v>2898</v>
      </c>
      <c r="AD70" s="174" t="s">
        <v>117</v>
      </c>
      <c r="AE70" s="60">
        <f t="shared" si="2"/>
        <v>86</v>
      </c>
      <c r="AF70" s="107">
        <f t="shared" si="3"/>
        <v>3</v>
      </c>
      <c r="AG70" s="370"/>
      <c r="AH70" s="371"/>
      <c r="AI70" s="372"/>
      <c r="AJ70" s="38"/>
      <c r="AK70" s="376"/>
      <c r="AL70" s="376"/>
      <c r="AM70" s="38"/>
      <c r="AN70" s="38"/>
      <c r="AO70" s="372"/>
      <c r="AP70" s="38"/>
      <c r="AQ70" s="38"/>
      <c r="AR70" s="380"/>
      <c r="AS70" s="24"/>
      <c r="AT70" s="38"/>
      <c r="AU70" s="38"/>
      <c r="AV70" s="38"/>
      <c r="AW70" s="38"/>
      <c r="AX70" s="38"/>
      <c r="AY70" s="38"/>
      <c r="AZ70" s="376"/>
      <c r="BA70" s="139"/>
      <c r="BB70" s="38"/>
      <c r="BC70" s="38"/>
      <c r="BD70" s="22"/>
      <c r="BE70" s="24"/>
      <c r="BF70" s="38"/>
      <c r="BG70" s="38"/>
      <c r="BH70" s="38"/>
      <c r="BI70" s="38"/>
      <c r="BJ70" s="38"/>
      <c r="BK70" s="38"/>
      <c r="BL70" s="38"/>
      <c r="BM70" s="38"/>
      <c r="BN70" s="38"/>
      <c r="BO70" s="38"/>
      <c r="BP70" s="22"/>
      <c r="BQ70" s="24"/>
      <c r="BR70" s="38"/>
      <c r="BS70" s="310"/>
      <c r="BT70" s="38">
        <v>52</v>
      </c>
      <c r="BU70" s="38"/>
      <c r="BV70" s="38"/>
      <c r="BW70" s="38"/>
      <c r="BX70" s="228"/>
      <c r="BY70" s="228"/>
      <c r="BZ70" s="268"/>
      <c r="CA70" s="228"/>
      <c r="CB70" s="231"/>
      <c r="CC70" s="24"/>
      <c r="CD70" s="38"/>
      <c r="CE70" s="38">
        <v>20</v>
      </c>
      <c r="CF70" s="38"/>
      <c r="CG70" s="38"/>
      <c r="CH70" s="38"/>
      <c r="CI70" s="38"/>
      <c r="CJ70" s="38"/>
      <c r="CK70" s="228"/>
      <c r="CL70" s="268"/>
      <c r="CM70" s="38"/>
      <c r="CN70" s="231"/>
      <c r="CO70" s="252">
        <v>14</v>
      </c>
      <c r="CP70" s="38"/>
      <c r="CQ70" s="38"/>
      <c r="CR70" s="38"/>
      <c r="CS70" s="38"/>
      <c r="CT70" s="38"/>
      <c r="CU70" s="38"/>
      <c r="CV70" s="38"/>
      <c r="CW70" s="228"/>
      <c r="CX70" s="268"/>
      <c r="CY70" s="38"/>
      <c r="CZ70" s="231"/>
      <c r="DA70" s="252"/>
      <c r="DB70" s="38"/>
      <c r="DC70" s="38"/>
      <c r="DD70" s="38"/>
      <c r="DE70" s="38"/>
      <c r="DF70" s="38"/>
      <c r="DG70" s="38"/>
      <c r="DH70" s="38"/>
      <c r="DI70" s="228"/>
      <c r="DJ70" s="268"/>
      <c r="DK70" s="38"/>
      <c r="DL70" s="231"/>
      <c r="DM70" s="252"/>
      <c r="DN70" s="38"/>
      <c r="DO70" s="38"/>
      <c r="DP70" s="38"/>
      <c r="DQ70" s="38"/>
      <c r="DR70" s="38"/>
      <c r="DS70" s="38"/>
      <c r="DT70" s="38"/>
      <c r="DU70" s="228"/>
      <c r="DV70" s="268"/>
      <c r="DW70" s="38"/>
      <c r="DX70" s="231"/>
      <c r="DY70" s="252"/>
      <c r="DZ70" s="38"/>
      <c r="EA70" s="38"/>
      <c r="EB70" s="38"/>
      <c r="EC70" s="38"/>
      <c r="ED70" s="38"/>
      <c r="EE70" s="38"/>
      <c r="EF70" s="38"/>
      <c r="EG70" s="228"/>
      <c r="EH70" s="268"/>
      <c r="EI70" s="38"/>
      <c r="EJ70" s="231"/>
    </row>
    <row r="71" spans="1:140" x14ac:dyDescent="0.2">
      <c r="A71" s="19"/>
      <c r="B71" s="11" t="s">
        <v>1249</v>
      </c>
      <c r="C71" s="23">
        <v>0</v>
      </c>
      <c r="D71" s="248">
        <v>0</v>
      </c>
      <c r="E71" s="23">
        <v>1</v>
      </c>
      <c r="F71" s="25">
        <f t="shared" si="1"/>
        <v>1</v>
      </c>
      <c r="G71" s="144">
        <v>0</v>
      </c>
      <c r="H71" s="144">
        <v>0</v>
      </c>
      <c r="I71" s="144">
        <v>1</v>
      </c>
      <c r="J71" s="23">
        <v>0</v>
      </c>
      <c r="K71" s="248">
        <v>80.396999999999991</v>
      </c>
      <c r="L71" s="248">
        <v>3</v>
      </c>
      <c r="N71" s="224" t="s">
        <v>1240</v>
      </c>
      <c r="O71"/>
      <c r="P71" s="20"/>
      <c r="Q71" s="218"/>
      <c r="R71" s="218"/>
      <c r="AA71"/>
      <c r="AB71" s="134" t="s">
        <v>1614</v>
      </c>
      <c r="AC71" s="136">
        <v>2956</v>
      </c>
      <c r="AD71" s="177" t="s">
        <v>245</v>
      </c>
      <c r="AE71" s="60">
        <f t="shared" si="2"/>
        <v>11</v>
      </c>
      <c r="AF71" s="107">
        <f t="shared" si="3"/>
        <v>3</v>
      </c>
      <c r="AG71" s="370"/>
      <c r="AH71" s="371"/>
      <c r="AI71" s="372"/>
      <c r="AJ71" s="38"/>
      <c r="AK71" s="376"/>
      <c r="AL71" s="376"/>
      <c r="AM71" s="38"/>
      <c r="AN71" s="38"/>
      <c r="AO71" s="372"/>
      <c r="AP71" s="38"/>
      <c r="AQ71" s="38"/>
      <c r="AR71" s="380"/>
      <c r="AS71" s="24"/>
      <c r="AT71" s="38"/>
      <c r="AU71" s="38"/>
      <c r="AV71" s="38">
        <v>7</v>
      </c>
      <c r="AW71" s="38"/>
      <c r="AX71" s="38"/>
      <c r="AY71" s="38"/>
      <c r="AZ71" s="376"/>
      <c r="BA71" s="139"/>
      <c r="BB71" s="38"/>
      <c r="BC71" s="38"/>
      <c r="BD71" s="22"/>
      <c r="BE71" s="24"/>
      <c r="BF71" s="38"/>
      <c r="BG71" s="38"/>
      <c r="BH71" s="38"/>
      <c r="BI71" s="38"/>
      <c r="BJ71" s="38"/>
      <c r="BK71" s="38"/>
      <c r="BL71" s="38"/>
      <c r="BM71" s="38"/>
      <c r="BN71" s="38"/>
      <c r="BO71" s="38"/>
      <c r="BP71" s="22">
        <v>1</v>
      </c>
      <c r="BQ71" s="24"/>
      <c r="BR71" s="38"/>
      <c r="BS71" s="310"/>
      <c r="BT71" s="38"/>
      <c r="BU71" s="38"/>
      <c r="BV71" s="38"/>
      <c r="BW71" s="38"/>
      <c r="BX71" s="228"/>
      <c r="BY71" s="228"/>
      <c r="BZ71" s="268"/>
      <c r="CA71" s="228"/>
      <c r="CB71" s="231"/>
      <c r="CC71" s="24"/>
      <c r="CD71" s="38"/>
      <c r="CE71" s="38"/>
      <c r="CF71" s="38"/>
      <c r="CG71" s="38"/>
      <c r="CH71" s="38"/>
      <c r="CI71" s="38"/>
      <c r="CJ71" s="38"/>
      <c r="CK71" s="228"/>
      <c r="CL71" s="268"/>
      <c r="CM71" s="38"/>
      <c r="CN71" s="231"/>
      <c r="CO71" s="252"/>
      <c r="CP71" s="38"/>
      <c r="CQ71" s="38">
        <v>3</v>
      </c>
      <c r="CR71" s="38"/>
      <c r="CS71" s="38"/>
      <c r="CT71" s="38"/>
      <c r="CU71" s="38"/>
      <c r="CV71" s="38"/>
      <c r="CW71" s="228"/>
      <c r="CX71" s="268"/>
      <c r="CY71" s="38"/>
      <c r="CZ71" s="231"/>
      <c r="DA71" s="252"/>
      <c r="DB71" s="38"/>
      <c r="DC71" s="38"/>
      <c r="DD71" s="38"/>
      <c r="DE71" s="38"/>
      <c r="DF71" s="38"/>
      <c r="DG71" s="38"/>
      <c r="DH71" s="38"/>
      <c r="DI71" s="228"/>
      <c r="DJ71" s="268"/>
      <c r="DK71" s="38"/>
      <c r="DL71" s="231"/>
      <c r="DM71" s="252"/>
      <c r="DN71" s="38"/>
      <c r="DO71" s="38"/>
      <c r="DP71" s="38"/>
      <c r="DQ71" s="38"/>
      <c r="DR71" s="38"/>
      <c r="DS71" s="38"/>
      <c r="DT71" s="38"/>
      <c r="DU71" s="228"/>
      <c r="DV71" s="268"/>
      <c r="DW71" s="38"/>
      <c r="DX71" s="231"/>
      <c r="DY71" s="252"/>
      <c r="DZ71" s="38"/>
      <c r="EA71" s="38"/>
      <c r="EB71" s="38"/>
      <c r="EC71" s="38"/>
      <c r="ED71" s="38"/>
      <c r="EE71" s="38"/>
      <c r="EF71" s="38"/>
      <c r="EG71" s="228"/>
      <c r="EH71" s="268"/>
      <c r="EI71" s="38"/>
      <c r="EJ71" s="231"/>
    </row>
    <row r="72" spans="1:140" x14ac:dyDescent="0.2">
      <c r="A72" s="19"/>
      <c r="B72" s="11" t="s">
        <v>1250</v>
      </c>
      <c r="C72" s="23">
        <v>0</v>
      </c>
      <c r="D72" s="248">
        <v>0</v>
      </c>
      <c r="E72" s="23">
        <v>0</v>
      </c>
      <c r="F72" s="25">
        <f t="shared" si="1"/>
        <v>0</v>
      </c>
      <c r="G72" s="144">
        <v>0</v>
      </c>
      <c r="H72" s="144">
        <v>0</v>
      </c>
      <c r="I72" s="144">
        <v>0</v>
      </c>
      <c r="J72" s="23">
        <v>0</v>
      </c>
      <c r="K72" s="248">
        <v>0</v>
      </c>
      <c r="L72" s="248">
        <v>5</v>
      </c>
      <c r="N72" s="49" t="s">
        <v>8</v>
      </c>
      <c r="O72" s="50"/>
      <c r="P72" s="51" t="s">
        <v>1237</v>
      </c>
      <c r="Q72" s="233" t="s">
        <v>1238</v>
      </c>
      <c r="R72" s="266" t="s">
        <v>1239</v>
      </c>
      <c r="AA72"/>
      <c r="AB72" s="134" t="s">
        <v>1611</v>
      </c>
      <c r="AC72" s="133">
        <v>3223</v>
      </c>
      <c r="AD72" s="174" t="s">
        <v>42</v>
      </c>
      <c r="AE72" s="60">
        <f t="shared" si="2"/>
        <v>49</v>
      </c>
      <c r="AF72" s="107">
        <f t="shared" si="3"/>
        <v>7</v>
      </c>
      <c r="AG72" s="370"/>
      <c r="AH72" s="371"/>
      <c r="AI72" s="372"/>
      <c r="AJ72" s="38"/>
      <c r="AK72" s="376"/>
      <c r="AL72" s="376"/>
      <c r="AM72" s="38"/>
      <c r="AN72" s="38"/>
      <c r="AO72" s="372"/>
      <c r="AP72" s="38"/>
      <c r="AQ72" s="38"/>
      <c r="AR72" s="380"/>
      <c r="AS72" s="24"/>
      <c r="AT72" s="38"/>
      <c r="AU72" s="38"/>
      <c r="AV72" s="38">
        <v>1</v>
      </c>
      <c r="AW72" s="38">
        <v>26</v>
      </c>
      <c r="AX72" s="38"/>
      <c r="AY72" s="38"/>
      <c r="AZ72" s="38">
        <v>5</v>
      </c>
      <c r="BA72" s="268">
        <v>2</v>
      </c>
      <c r="BB72" s="38"/>
      <c r="BC72" s="38">
        <v>7</v>
      </c>
      <c r="BD72" s="22"/>
      <c r="BE72" s="24"/>
      <c r="BF72" s="38">
        <v>3</v>
      </c>
      <c r="BG72" s="38">
        <v>5</v>
      </c>
      <c r="BH72" s="38"/>
      <c r="BI72" s="38"/>
      <c r="BJ72" s="38"/>
      <c r="BK72" s="38"/>
      <c r="BL72" s="38"/>
      <c r="BM72" s="38"/>
      <c r="BN72" s="38"/>
      <c r="BO72" s="38"/>
      <c r="BP72" s="22"/>
      <c r="BQ72" s="24"/>
      <c r="BR72" s="38"/>
      <c r="BS72" s="310"/>
      <c r="BT72" s="38"/>
      <c r="BU72" s="38"/>
      <c r="BV72" s="38"/>
      <c r="BW72" s="38"/>
      <c r="BX72" s="228"/>
      <c r="BY72" s="228"/>
      <c r="BZ72" s="268"/>
      <c r="CA72" s="228"/>
      <c r="CB72" s="231"/>
      <c r="CC72" s="24"/>
      <c r="CD72" s="38"/>
      <c r="CE72" s="38"/>
      <c r="CF72" s="38"/>
      <c r="CG72" s="38"/>
      <c r="CH72" s="38"/>
      <c r="CI72" s="38"/>
      <c r="CJ72" s="38"/>
      <c r="CK72" s="228"/>
      <c r="CL72" s="268"/>
      <c r="CM72" s="38"/>
      <c r="CN72" s="231"/>
      <c r="CO72" s="252"/>
      <c r="CP72" s="38"/>
      <c r="CQ72" s="38"/>
      <c r="CR72" s="38"/>
      <c r="CS72" s="38"/>
      <c r="CT72" s="38"/>
      <c r="CU72" s="38"/>
      <c r="CV72" s="38"/>
      <c r="CW72" s="228"/>
      <c r="CX72" s="268"/>
      <c r="CY72" s="38"/>
      <c r="CZ72" s="231"/>
      <c r="DA72" s="252"/>
      <c r="DB72" s="38"/>
      <c r="DC72" s="38"/>
      <c r="DD72" s="38"/>
      <c r="DE72" s="38"/>
      <c r="DF72" s="38"/>
      <c r="DG72" s="38"/>
      <c r="DH72" s="38"/>
      <c r="DI72" s="228"/>
      <c r="DJ72" s="268"/>
      <c r="DK72" s="38"/>
      <c r="DL72" s="231"/>
      <c r="DM72" s="252"/>
      <c r="DN72" s="38"/>
      <c r="DO72" s="38"/>
      <c r="DP72" s="38"/>
      <c r="DQ72" s="38"/>
      <c r="DR72" s="38"/>
      <c r="DS72" s="38"/>
      <c r="DT72" s="38"/>
      <c r="DU72" s="228"/>
      <c r="DV72" s="268"/>
      <c r="DW72" s="38"/>
      <c r="DX72" s="231"/>
      <c r="DY72" s="252"/>
      <c r="DZ72" s="38"/>
      <c r="EA72" s="38"/>
      <c r="EB72" s="38"/>
      <c r="EC72" s="38"/>
      <c r="ED72" s="38"/>
      <c r="EE72" s="38"/>
      <c r="EF72" s="38"/>
      <c r="EG72" s="228"/>
      <c r="EH72" s="268"/>
      <c r="EI72" s="38"/>
      <c r="EJ72" s="231"/>
    </row>
    <row r="73" spans="1:140" x14ac:dyDescent="0.2">
      <c r="A73" s="19"/>
      <c r="B73" s="11" t="s">
        <v>296</v>
      </c>
      <c r="C73" s="23">
        <v>0</v>
      </c>
      <c r="D73" s="248">
        <v>0</v>
      </c>
      <c r="E73" s="23">
        <v>0</v>
      </c>
      <c r="F73" s="25">
        <f t="shared" si="1"/>
        <v>0</v>
      </c>
      <c r="G73" s="144">
        <v>0</v>
      </c>
      <c r="H73" s="144">
        <v>0</v>
      </c>
      <c r="I73" s="144">
        <v>0</v>
      </c>
      <c r="J73" s="23">
        <v>0</v>
      </c>
      <c r="K73" s="248">
        <v>2.1680000000000001</v>
      </c>
      <c r="L73" s="248">
        <v>4</v>
      </c>
      <c r="N73" s="52" t="s">
        <v>1243</v>
      </c>
      <c r="O73" s="53"/>
      <c r="P73" s="602">
        <f>+A63+A69+A96</f>
        <v>141</v>
      </c>
      <c r="Q73" s="234">
        <f t="shared" ref="Q73:Q86" si="4">P73/P$88</f>
        <v>0.35074626865671643</v>
      </c>
      <c r="R73" s="797">
        <f>+[1]Analysis!AH53+[1]Analysis!$AH$44</f>
        <v>3.0353728489483745E-2</v>
      </c>
      <c r="AA73" s="12"/>
      <c r="AB73" s="8" t="s">
        <v>740</v>
      </c>
      <c r="AC73" s="136">
        <v>3562</v>
      </c>
      <c r="AD73" s="139" t="s">
        <v>741</v>
      </c>
      <c r="AE73" s="60">
        <f t="shared" si="2"/>
        <v>3</v>
      </c>
      <c r="AF73" s="107">
        <f t="shared" si="3"/>
        <v>1</v>
      </c>
      <c r="AG73" s="370"/>
      <c r="AH73" s="366"/>
      <c r="AI73" s="294"/>
      <c r="AJ73" s="26"/>
      <c r="AK73" s="374"/>
      <c r="AL73" s="374"/>
      <c r="AO73" s="294"/>
      <c r="AR73" s="374"/>
      <c r="AS73" s="13"/>
      <c r="AY73"/>
      <c r="AZ73" s="374"/>
      <c r="BA73" s="4"/>
      <c r="BE73" s="13"/>
      <c r="BF73" s="26"/>
      <c r="BG73" s="26"/>
      <c r="BH73" s="26"/>
      <c r="BI73" s="26"/>
      <c r="BJ73" s="26"/>
      <c r="BK73" s="26"/>
      <c r="BL73" s="26"/>
      <c r="BM73" s="26"/>
      <c r="BP73" s="122"/>
      <c r="BQ73" s="24"/>
      <c r="BR73" s="26"/>
      <c r="BS73" s="20"/>
      <c r="BT73" s="26"/>
      <c r="BU73" s="26">
        <v>3</v>
      </c>
      <c r="BV73" s="26"/>
      <c r="BW73" s="26"/>
      <c r="BX73" s="229"/>
      <c r="BY73" s="229"/>
      <c r="BZ73" s="269"/>
      <c r="CB73" s="232"/>
      <c r="CC73" s="24"/>
      <c r="CD73" s="26"/>
      <c r="CE73" s="26"/>
      <c r="CF73" s="26"/>
      <c r="CG73" s="26"/>
      <c r="CH73" s="26"/>
      <c r="CI73" s="26"/>
      <c r="CJ73" s="26"/>
      <c r="CK73" s="229"/>
      <c r="CL73" s="269"/>
      <c r="CM73" s="26"/>
      <c r="CN73" s="232"/>
      <c r="CO73" s="252"/>
      <c r="CP73" s="26"/>
      <c r="CQ73" s="26"/>
      <c r="CR73" s="26"/>
      <c r="CS73" s="26"/>
      <c r="CT73" s="26"/>
      <c r="CU73" s="26"/>
      <c r="CV73" s="26"/>
      <c r="CW73" s="229"/>
      <c r="CX73" s="269"/>
      <c r="CY73" s="26"/>
      <c r="CZ73" s="232"/>
      <c r="DA73" s="252"/>
      <c r="DB73" s="26"/>
      <c r="DC73" s="26"/>
      <c r="DD73" s="26"/>
      <c r="DE73" s="26"/>
      <c r="DF73" s="26"/>
      <c r="DG73" s="26"/>
      <c r="DH73" s="26"/>
      <c r="DI73" s="229"/>
      <c r="DJ73" s="269"/>
      <c r="DK73" s="26"/>
      <c r="DL73" s="232"/>
      <c r="DM73" s="252"/>
      <c r="DN73" s="26"/>
      <c r="DO73" s="26"/>
      <c r="DP73" s="26"/>
      <c r="DQ73" s="26"/>
      <c r="DR73" s="26"/>
      <c r="DS73" s="26"/>
      <c r="DT73" s="26"/>
      <c r="DU73" s="229"/>
      <c r="DV73" s="269"/>
      <c r="DW73" s="26"/>
      <c r="DX73" s="232"/>
      <c r="DY73" s="252"/>
      <c r="DZ73" s="26"/>
      <c r="EA73" s="26"/>
      <c r="EB73" s="26"/>
      <c r="EC73" s="26"/>
      <c r="ED73" s="26"/>
      <c r="EE73" s="26"/>
      <c r="EF73" s="26"/>
      <c r="EG73" s="229"/>
      <c r="EH73" s="269"/>
      <c r="EI73" s="26"/>
      <c r="EJ73" s="232"/>
    </row>
    <row r="74" spans="1:140" x14ac:dyDescent="0.2">
      <c r="A74" s="19"/>
      <c r="B74" s="11" t="s">
        <v>94</v>
      </c>
      <c r="C74" s="23">
        <v>2</v>
      </c>
      <c r="D74" s="248">
        <v>0</v>
      </c>
      <c r="E74" s="23">
        <v>2</v>
      </c>
      <c r="F74" s="25">
        <f t="shared" si="1"/>
        <v>4</v>
      </c>
      <c r="G74" s="144">
        <v>0</v>
      </c>
      <c r="H74" s="144">
        <v>0</v>
      </c>
      <c r="I74" s="144">
        <v>4</v>
      </c>
      <c r="J74" s="23">
        <v>0</v>
      </c>
      <c r="K74" s="248">
        <v>500.81900000000002</v>
      </c>
      <c r="L74" s="248">
        <v>27</v>
      </c>
      <c r="N74" s="54" t="s">
        <v>1246</v>
      </c>
      <c r="O74" s="55"/>
      <c r="P74" s="23">
        <f>+A152+A142</f>
        <v>77</v>
      </c>
      <c r="Q74" s="235">
        <f t="shared" si="4"/>
        <v>0.19154228855721392</v>
      </c>
      <c r="R74" s="246">
        <f>+[1]Analysis!AH24+[1]Analysis!AH26</f>
        <v>0.12954110898661567</v>
      </c>
      <c r="AA74"/>
      <c r="AB74" s="134" t="s">
        <v>41</v>
      </c>
      <c r="AC74" s="133">
        <v>4041</v>
      </c>
      <c r="AD74" s="174" t="s">
        <v>42</v>
      </c>
      <c r="AE74" s="60">
        <f t="shared" si="2"/>
        <v>31</v>
      </c>
      <c r="AF74" s="107">
        <f t="shared" si="3"/>
        <v>12</v>
      </c>
      <c r="AG74" s="370"/>
      <c r="AH74" s="371"/>
      <c r="AI74" s="372"/>
      <c r="AJ74" s="38"/>
      <c r="AK74" s="376"/>
      <c r="AL74" s="376"/>
      <c r="AM74" s="38"/>
      <c r="AN74" s="38"/>
      <c r="AO74" s="372"/>
      <c r="AP74" s="38"/>
      <c r="AQ74" s="38"/>
      <c r="AR74" s="380"/>
      <c r="AS74" s="24"/>
      <c r="AT74" s="38"/>
      <c r="AU74" s="38"/>
      <c r="AV74" s="38"/>
      <c r="AW74" s="38"/>
      <c r="AX74" s="38"/>
      <c r="AY74" s="38"/>
      <c r="AZ74" s="376"/>
      <c r="BA74" s="139"/>
      <c r="BB74" s="38"/>
      <c r="BC74" s="38"/>
      <c r="BD74" s="22"/>
      <c r="BE74" s="24"/>
      <c r="BF74" s="38"/>
      <c r="BG74" s="38">
        <v>2</v>
      </c>
      <c r="BH74" s="38">
        <v>5</v>
      </c>
      <c r="BI74" s="38">
        <v>3</v>
      </c>
      <c r="BJ74" s="38">
        <v>4</v>
      </c>
      <c r="BK74" s="38">
        <v>1</v>
      </c>
      <c r="BL74" s="38">
        <v>1</v>
      </c>
      <c r="BM74" s="38">
        <v>2</v>
      </c>
      <c r="BN74" s="38">
        <v>5</v>
      </c>
      <c r="BO74" s="38">
        <v>2</v>
      </c>
      <c r="BP74" s="22">
        <v>4</v>
      </c>
      <c r="BQ74" s="24"/>
      <c r="BR74" s="38"/>
      <c r="BS74" s="310"/>
      <c r="BT74" s="38"/>
      <c r="BU74" s="38"/>
      <c r="BV74" s="38">
        <v>1</v>
      </c>
      <c r="BW74" s="38"/>
      <c r="BX74" s="228"/>
      <c r="BY74" s="228"/>
      <c r="BZ74" s="268"/>
      <c r="CA74" s="228"/>
      <c r="CB74" s="231"/>
      <c r="CC74" s="24"/>
      <c r="CD74" s="38"/>
      <c r="CE74" s="38">
        <v>1</v>
      </c>
      <c r="CF74" s="38"/>
      <c r="CG74" s="38"/>
      <c r="CH74" s="38"/>
      <c r="CI74" s="38"/>
      <c r="CJ74" s="38"/>
      <c r="CK74" s="228"/>
      <c r="CL74" s="268"/>
      <c r="CM74" s="38"/>
      <c r="CN74" s="231"/>
      <c r="CO74" s="252"/>
      <c r="CP74" s="38"/>
      <c r="CQ74" s="38"/>
      <c r="CR74" s="38"/>
      <c r="CS74" s="38"/>
      <c r="CT74" s="38"/>
      <c r="CU74" s="38"/>
      <c r="CV74" s="38"/>
      <c r="CW74" s="228"/>
      <c r="CX74" s="268"/>
      <c r="CY74" s="38"/>
      <c r="CZ74" s="231"/>
      <c r="DA74" s="252"/>
      <c r="DB74" s="38"/>
      <c r="DC74" s="38"/>
      <c r="DD74" s="38"/>
      <c r="DE74" s="38"/>
      <c r="DF74" s="38"/>
      <c r="DG74" s="38"/>
      <c r="DH74" s="38"/>
      <c r="DI74" s="228"/>
      <c r="DJ74" s="268"/>
      <c r="DK74" s="38"/>
      <c r="DL74" s="231"/>
      <c r="DM74" s="252"/>
      <c r="DN74" s="38"/>
      <c r="DO74" s="38"/>
      <c r="DP74" s="38"/>
      <c r="DQ74" s="38"/>
      <c r="DR74" s="38"/>
      <c r="DS74" s="38"/>
      <c r="DT74" s="38"/>
      <c r="DU74" s="228"/>
      <c r="DV74" s="268"/>
      <c r="DW74" s="38"/>
      <c r="DX74" s="231"/>
      <c r="DY74" s="252"/>
      <c r="DZ74" s="38"/>
      <c r="EA74" s="38"/>
      <c r="EB74" s="38"/>
      <c r="EC74" s="38"/>
      <c r="ED74" s="38"/>
      <c r="EE74" s="38"/>
      <c r="EF74" s="38"/>
      <c r="EG74" s="228"/>
      <c r="EH74" s="268"/>
      <c r="EI74" s="38"/>
      <c r="EJ74" s="231"/>
    </row>
    <row r="75" spans="1:140" x14ac:dyDescent="0.2">
      <c r="A75" s="19"/>
      <c r="B75" s="11" t="s">
        <v>1252</v>
      </c>
      <c r="C75" s="23">
        <v>0</v>
      </c>
      <c r="D75" s="248">
        <v>0</v>
      </c>
      <c r="E75" s="23">
        <v>0</v>
      </c>
      <c r="F75" s="25">
        <f t="shared" si="1"/>
        <v>0</v>
      </c>
      <c r="G75" s="144">
        <v>0</v>
      </c>
      <c r="H75" s="144">
        <v>0</v>
      </c>
      <c r="I75" s="144">
        <v>0</v>
      </c>
      <c r="J75" s="23">
        <v>0</v>
      </c>
      <c r="K75" s="248">
        <v>41.087000000000003</v>
      </c>
      <c r="L75" s="248">
        <v>2</v>
      </c>
      <c r="N75" s="54" t="s">
        <v>827</v>
      </c>
      <c r="O75" s="55"/>
      <c r="P75" s="23">
        <f>+A168+A159</f>
        <v>68</v>
      </c>
      <c r="Q75" s="235">
        <f t="shared" si="4"/>
        <v>0.1691542288557214</v>
      </c>
      <c r="R75" s="246">
        <f>+[1]Analysis!AH25+[1]Analysis!AH43</f>
        <v>5.461281070745698E-2</v>
      </c>
      <c r="AA75"/>
      <c r="AB75" s="134" t="s">
        <v>1612</v>
      </c>
      <c r="AC75" s="133">
        <v>4302</v>
      </c>
      <c r="AD75" s="174" t="s">
        <v>137</v>
      </c>
      <c r="AE75" s="60">
        <f t="shared" si="2"/>
        <v>6</v>
      </c>
      <c r="AF75" s="107">
        <f t="shared" si="3"/>
        <v>3</v>
      </c>
      <c r="AG75" s="370"/>
      <c r="AH75" s="371"/>
      <c r="AI75" s="372"/>
      <c r="AJ75" s="38"/>
      <c r="AK75" s="376"/>
      <c r="AL75" s="376"/>
      <c r="AM75" s="38"/>
      <c r="AN75" s="38"/>
      <c r="AO75" s="372"/>
      <c r="AP75" s="38"/>
      <c r="AQ75" s="38"/>
      <c r="AR75" s="380"/>
      <c r="AS75" s="24"/>
      <c r="AT75" s="38"/>
      <c r="AU75" s="38"/>
      <c r="AV75" s="38"/>
      <c r="AW75" s="38"/>
      <c r="AX75" s="38"/>
      <c r="AY75" s="38"/>
      <c r="AZ75" s="376"/>
      <c r="BA75" s="139"/>
      <c r="BB75" s="38"/>
      <c r="BC75" s="38"/>
      <c r="BD75" s="22"/>
      <c r="BE75" s="24"/>
      <c r="BF75" s="38"/>
      <c r="BG75" s="38">
        <v>1</v>
      </c>
      <c r="BH75" s="38"/>
      <c r="BI75" s="38"/>
      <c r="BJ75" s="38"/>
      <c r="BK75" s="38"/>
      <c r="BL75" s="38"/>
      <c r="BM75" s="38"/>
      <c r="BN75" s="38"/>
      <c r="BO75" s="38"/>
      <c r="BP75" s="22">
        <v>1</v>
      </c>
      <c r="BQ75" s="24">
        <v>4</v>
      </c>
      <c r="BR75" s="38"/>
      <c r="BS75" s="310"/>
      <c r="BT75" s="38"/>
      <c r="BU75" s="38"/>
      <c r="BV75" s="38"/>
      <c r="BW75" s="38"/>
      <c r="BX75" s="228"/>
      <c r="BY75" s="228"/>
      <c r="BZ75" s="268"/>
      <c r="CA75" s="228"/>
      <c r="CB75" s="231"/>
      <c r="CC75" s="24"/>
      <c r="CD75" s="38"/>
      <c r="CE75" s="38"/>
      <c r="CF75" s="38"/>
      <c r="CG75" s="38"/>
      <c r="CH75" s="38"/>
      <c r="CI75" s="38"/>
      <c r="CJ75" s="38"/>
      <c r="CK75" s="228"/>
      <c r="CL75" s="268"/>
      <c r="CM75" s="38"/>
      <c r="CN75" s="231"/>
      <c r="CO75" s="252"/>
      <c r="CP75" s="38"/>
      <c r="CQ75" s="38"/>
      <c r="CR75" s="38"/>
      <c r="CS75" s="38"/>
      <c r="CT75" s="38"/>
      <c r="CU75" s="38"/>
      <c r="CV75" s="38"/>
      <c r="CW75" s="228"/>
      <c r="CX75" s="268"/>
      <c r="CY75" s="38"/>
      <c r="CZ75" s="231"/>
      <c r="DA75" s="252"/>
      <c r="DB75" s="38"/>
      <c r="DC75" s="38"/>
      <c r="DD75" s="38"/>
      <c r="DE75" s="38"/>
      <c r="DF75" s="38"/>
      <c r="DG75" s="38"/>
      <c r="DH75" s="38"/>
      <c r="DI75" s="228"/>
      <c r="DJ75" s="268"/>
      <c r="DK75" s="38"/>
      <c r="DL75" s="231"/>
      <c r="DM75" s="252"/>
      <c r="DN75" s="38"/>
      <c r="DO75" s="38"/>
      <c r="DP75" s="38"/>
      <c r="DQ75" s="38"/>
      <c r="DR75" s="38"/>
      <c r="DS75" s="38"/>
      <c r="DT75" s="38"/>
      <c r="DU75" s="228"/>
      <c r="DV75" s="268"/>
      <c r="DW75" s="38"/>
      <c r="DX75" s="231"/>
      <c r="DY75" s="252"/>
      <c r="DZ75" s="38"/>
      <c r="EA75" s="38"/>
      <c r="EB75" s="38"/>
      <c r="EC75" s="38"/>
      <c r="ED75" s="38"/>
      <c r="EE75" s="38"/>
      <c r="EF75" s="38"/>
      <c r="EG75" s="228"/>
      <c r="EH75" s="268"/>
      <c r="EI75" s="38"/>
      <c r="EJ75" s="231"/>
    </row>
    <row r="76" spans="1:140" x14ac:dyDescent="0.2">
      <c r="A76" s="19"/>
      <c r="B76" s="11" t="s">
        <v>1253</v>
      </c>
      <c r="C76" s="23">
        <v>0</v>
      </c>
      <c r="D76" s="248">
        <v>0</v>
      </c>
      <c r="E76" s="23">
        <v>0</v>
      </c>
      <c r="F76" s="25">
        <f t="shared" si="1"/>
        <v>0</v>
      </c>
      <c r="G76" s="144">
        <v>0</v>
      </c>
      <c r="H76" s="144">
        <v>0</v>
      </c>
      <c r="I76" s="144">
        <v>0</v>
      </c>
      <c r="J76" s="23">
        <v>0</v>
      </c>
      <c r="K76" s="248">
        <v>648.60599999999999</v>
      </c>
      <c r="L76" s="248">
        <v>7</v>
      </c>
      <c r="N76" s="54" t="s">
        <v>289</v>
      </c>
      <c r="O76" s="55"/>
      <c r="P76" s="23">
        <f>+A138</f>
        <v>38</v>
      </c>
      <c r="Q76" s="235">
        <f t="shared" si="4"/>
        <v>9.4527363184079602E-2</v>
      </c>
      <c r="R76" s="246">
        <f>+[1]Analysis!AH22</f>
        <v>0.26111376673040154</v>
      </c>
      <c r="AA76"/>
      <c r="AB76" s="169" t="s">
        <v>1853</v>
      </c>
      <c r="AC76" s="136">
        <v>4659</v>
      </c>
      <c r="AD76" s="139" t="s">
        <v>959</v>
      </c>
      <c r="AE76" s="60">
        <f t="shared" si="2"/>
        <v>7</v>
      </c>
      <c r="AF76" s="107">
        <f t="shared" si="3"/>
        <v>3</v>
      </c>
      <c r="AG76" s="370"/>
      <c r="AH76" s="371"/>
      <c r="AI76" s="372"/>
      <c r="AJ76" s="38"/>
      <c r="AK76" s="376"/>
      <c r="AL76" s="376"/>
      <c r="AM76" s="55"/>
      <c r="AN76" s="55"/>
      <c r="AO76" s="372"/>
      <c r="AP76" s="55"/>
      <c r="AQ76" s="55"/>
      <c r="AR76" s="380"/>
      <c r="AS76" s="13"/>
      <c r="AT76" s="55"/>
      <c r="AU76" s="55"/>
      <c r="AV76" s="55"/>
      <c r="AW76" s="55"/>
      <c r="AX76" s="55"/>
      <c r="AY76" s="55"/>
      <c r="AZ76" s="376"/>
      <c r="BA76" s="226"/>
      <c r="BB76" s="55"/>
      <c r="BC76" s="55"/>
      <c r="BD76" s="76"/>
      <c r="BE76" s="13"/>
      <c r="BF76" s="38"/>
      <c r="BG76" s="38"/>
      <c r="BH76" s="38"/>
      <c r="BI76" s="38"/>
      <c r="BJ76" s="38"/>
      <c r="BK76" s="38"/>
      <c r="BL76" s="38">
        <v>5</v>
      </c>
      <c r="BM76" s="38"/>
      <c r="BN76" s="55"/>
      <c r="BO76" s="55"/>
      <c r="BP76" s="22">
        <v>1</v>
      </c>
      <c r="BQ76" s="24">
        <v>1</v>
      </c>
      <c r="BR76" s="38"/>
      <c r="BS76" s="310"/>
      <c r="BT76" s="38"/>
      <c r="BU76" s="38"/>
      <c r="BV76" s="38"/>
      <c r="BW76" s="38"/>
      <c r="BX76" s="228"/>
      <c r="BY76" s="228"/>
      <c r="BZ76" s="268"/>
      <c r="CA76" s="228"/>
      <c r="CB76" s="231"/>
      <c r="CC76" s="24"/>
      <c r="CD76" s="38"/>
      <c r="CE76" s="38"/>
      <c r="CF76" s="38"/>
      <c r="CG76" s="38"/>
      <c r="CH76" s="38"/>
      <c r="CI76" s="38"/>
      <c r="CJ76" s="38"/>
      <c r="CK76" s="228"/>
      <c r="CL76" s="268"/>
      <c r="CM76" s="38"/>
      <c r="CN76" s="231"/>
      <c r="CO76" s="252"/>
      <c r="CP76" s="38"/>
      <c r="CQ76" s="38"/>
      <c r="CR76" s="38"/>
      <c r="CS76" s="38"/>
      <c r="CT76" s="38"/>
      <c r="CU76" s="38"/>
      <c r="CV76" s="38"/>
      <c r="CW76" s="228"/>
      <c r="CX76" s="268"/>
      <c r="CY76" s="38"/>
      <c r="CZ76" s="231"/>
      <c r="DA76" s="252"/>
      <c r="DB76" s="38"/>
      <c r="DC76" s="38"/>
      <c r="DD76" s="38"/>
      <c r="DE76" s="38"/>
      <c r="DF76" s="38"/>
      <c r="DG76" s="38"/>
      <c r="DH76" s="38"/>
      <c r="DI76" s="228"/>
      <c r="DJ76" s="268"/>
      <c r="DK76" s="38"/>
      <c r="DL76" s="231"/>
      <c r="DM76" s="252"/>
      <c r="DN76" s="38"/>
      <c r="DO76" s="38"/>
      <c r="DP76" s="38"/>
      <c r="DQ76" s="38"/>
      <c r="DR76" s="38"/>
      <c r="DS76" s="38"/>
      <c r="DT76" s="38"/>
      <c r="DU76" s="228"/>
      <c r="DV76" s="268"/>
      <c r="DW76" s="38"/>
      <c r="DX76" s="231"/>
      <c r="DY76" s="252"/>
      <c r="DZ76" s="38"/>
      <c r="EA76" s="38"/>
      <c r="EB76" s="38"/>
      <c r="EC76" s="38"/>
      <c r="ED76" s="38"/>
      <c r="EE76" s="38"/>
      <c r="EF76" s="38"/>
      <c r="EG76" s="228"/>
      <c r="EH76" s="268"/>
      <c r="EI76" s="38"/>
      <c r="EJ76" s="231"/>
    </row>
    <row r="77" spans="1:140" x14ac:dyDescent="0.2">
      <c r="A77" s="19"/>
      <c r="B77" s="11" t="s">
        <v>1254</v>
      </c>
      <c r="C77" s="23">
        <v>0</v>
      </c>
      <c r="D77" s="248">
        <v>0</v>
      </c>
      <c r="E77" s="23">
        <v>0</v>
      </c>
      <c r="F77" s="25">
        <f t="shared" si="1"/>
        <v>0</v>
      </c>
      <c r="G77" s="144">
        <v>0</v>
      </c>
      <c r="H77" s="144">
        <v>0</v>
      </c>
      <c r="I77" s="144">
        <v>0</v>
      </c>
      <c r="J77" s="23">
        <v>0</v>
      </c>
      <c r="K77" s="248">
        <v>0</v>
      </c>
      <c r="L77" s="248">
        <v>0</v>
      </c>
      <c r="N77" s="64" t="s">
        <v>1155</v>
      </c>
      <c r="O77" s="55"/>
      <c r="P77" s="23">
        <f>+F182</f>
        <v>25</v>
      </c>
      <c r="Q77" s="235">
        <f t="shared" si="4"/>
        <v>6.2189054726368161E-2</v>
      </c>
      <c r="R77" s="246">
        <f>+[1]Analysis!AH21</f>
        <v>0.3083173996175908</v>
      </c>
      <c r="AA77"/>
      <c r="AB77" s="169" t="s">
        <v>974</v>
      </c>
      <c r="AC77" s="136">
        <v>4791</v>
      </c>
      <c r="AD77" s="139" t="s">
        <v>67</v>
      </c>
      <c r="AE77" s="60">
        <f t="shared" si="2"/>
        <v>18</v>
      </c>
      <c r="AF77" s="107">
        <f t="shared" si="3"/>
        <v>2</v>
      </c>
      <c r="AG77" s="370"/>
      <c r="AH77" s="371"/>
      <c r="AI77" s="372"/>
      <c r="AJ77" s="38"/>
      <c r="AK77" s="376"/>
      <c r="AL77" s="376"/>
      <c r="AM77" s="55"/>
      <c r="AN77" s="55"/>
      <c r="AO77" s="372"/>
      <c r="AP77" s="55"/>
      <c r="AQ77" s="55"/>
      <c r="AR77" s="380"/>
      <c r="AS77" s="13"/>
      <c r="AT77" s="55"/>
      <c r="AU77" s="55"/>
      <c r="AV77" s="55"/>
      <c r="AW77" s="55"/>
      <c r="AX77" s="55"/>
      <c r="AY77" s="55"/>
      <c r="AZ77" s="376"/>
      <c r="BA77" s="226"/>
      <c r="BB77" s="55"/>
      <c r="BC77" s="55"/>
      <c r="BD77" s="76"/>
      <c r="BE77" s="13"/>
      <c r="BF77" s="38"/>
      <c r="BG77" s="38"/>
      <c r="BH77" s="38"/>
      <c r="BI77" s="38"/>
      <c r="BJ77" s="38"/>
      <c r="BK77" s="38"/>
      <c r="BL77" s="38"/>
      <c r="BM77" s="38"/>
      <c r="BN77" s="55"/>
      <c r="BO77" s="55"/>
      <c r="BP77" s="22"/>
      <c r="BQ77" s="24"/>
      <c r="BR77" s="38"/>
      <c r="BS77" s="310"/>
      <c r="BT77" s="38"/>
      <c r="BU77" s="38"/>
      <c r="BV77" s="38"/>
      <c r="BW77" s="38"/>
      <c r="BX77" s="228"/>
      <c r="BY77" s="228"/>
      <c r="BZ77" s="268"/>
      <c r="CA77" s="228"/>
      <c r="CB77" s="231"/>
      <c r="CC77" s="24"/>
      <c r="CD77" s="38"/>
      <c r="CE77" s="38"/>
      <c r="CF77" s="38"/>
      <c r="CG77" s="38"/>
      <c r="CH77" s="38"/>
      <c r="CI77" s="38"/>
      <c r="CJ77" s="38"/>
      <c r="CK77" s="228"/>
      <c r="CL77" s="268"/>
      <c r="CM77" s="38">
        <v>10</v>
      </c>
      <c r="CN77" s="231"/>
      <c r="CO77" s="252"/>
      <c r="CP77" s="38"/>
      <c r="CQ77" s="38"/>
      <c r="CR77" s="38"/>
      <c r="CS77" s="38"/>
      <c r="CT77" s="38"/>
      <c r="CU77" s="38"/>
      <c r="CV77" s="38"/>
      <c r="CW77" s="228"/>
      <c r="CX77" s="268"/>
      <c r="CY77" s="38"/>
      <c r="CZ77" s="231"/>
      <c r="DA77" s="252">
        <v>8</v>
      </c>
      <c r="DB77" s="38"/>
      <c r="DC77" s="38"/>
      <c r="DD77" s="38"/>
      <c r="DE77" s="38"/>
      <c r="DF77" s="38"/>
      <c r="DG77" s="38"/>
      <c r="DH77" s="38"/>
      <c r="DI77" s="228"/>
      <c r="DJ77" s="268"/>
      <c r="DK77" s="38"/>
      <c r="DL77" s="231"/>
      <c r="DM77" s="252"/>
      <c r="DN77" s="38"/>
      <c r="DO77" s="38"/>
      <c r="DP77" s="38"/>
      <c r="DQ77" s="38"/>
      <c r="DR77" s="38"/>
      <c r="DS77" s="38"/>
      <c r="DT77" s="38"/>
      <c r="DU77" s="228"/>
      <c r="DV77" s="268"/>
      <c r="DW77" s="38"/>
      <c r="DX77" s="231"/>
      <c r="DY77" s="252"/>
      <c r="DZ77" s="38"/>
      <c r="EA77" s="38"/>
      <c r="EB77" s="38"/>
      <c r="EC77" s="38"/>
      <c r="ED77" s="38"/>
      <c r="EE77" s="38"/>
      <c r="EF77" s="38"/>
      <c r="EG77" s="228"/>
      <c r="EH77" s="268"/>
      <c r="EI77" s="38"/>
      <c r="EJ77" s="231"/>
    </row>
    <row r="78" spans="1:140" x14ac:dyDescent="0.2">
      <c r="A78" s="19"/>
      <c r="B78" s="8" t="s">
        <v>1255</v>
      </c>
      <c r="C78" s="23">
        <v>0</v>
      </c>
      <c r="D78" s="248">
        <v>0</v>
      </c>
      <c r="E78" s="23">
        <v>0</v>
      </c>
      <c r="F78" s="25">
        <f t="shared" si="1"/>
        <v>0</v>
      </c>
      <c r="G78" s="144">
        <v>0</v>
      </c>
      <c r="H78" s="144">
        <v>0</v>
      </c>
      <c r="I78" s="144">
        <v>0</v>
      </c>
      <c r="J78" s="23">
        <v>0</v>
      </c>
      <c r="K78" s="248">
        <v>15.025</v>
      </c>
      <c r="L78" s="248">
        <v>4</v>
      </c>
      <c r="N78" s="54" t="s">
        <v>45</v>
      </c>
      <c r="O78" s="55"/>
      <c r="P78" s="23">
        <f>+A36</f>
        <v>18</v>
      </c>
      <c r="Q78" s="235">
        <f t="shared" si="4"/>
        <v>4.4776119402985072E-2</v>
      </c>
      <c r="R78" s="246">
        <f>+[1]Analysis!AH23</f>
        <v>8.6639579349904391E-2</v>
      </c>
      <c r="AA78"/>
      <c r="AB78" s="169" t="s">
        <v>5674</v>
      </c>
      <c r="AC78" s="136">
        <v>4793</v>
      </c>
      <c r="AD78" s="139" t="s">
        <v>67</v>
      </c>
      <c r="AE78" s="60">
        <f t="shared" si="2"/>
        <v>8</v>
      </c>
      <c r="AF78" s="107">
        <f t="shared" si="3"/>
        <v>1</v>
      </c>
      <c r="AG78" s="370"/>
      <c r="AH78" s="371"/>
      <c r="AI78" s="372"/>
      <c r="AJ78" s="38"/>
      <c r="AK78" s="376"/>
      <c r="AL78" s="376"/>
      <c r="AM78" s="55"/>
      <c r="AN78" s="55"/>
      <c r="AO78" s="372"/>
      <c r="AP78" s="55"/>
      <c r="AQ78" s="55"/>
      <c r="AR78" s="380"/>
      <c r="AS78" s="13"/>
      <c r="AT78" s="55"/>
      <c r="AU78" s="55"/>
      <c r="AV78" s="55"/>
      <c r="AW78" s="55"/>
      <c r="AX78" s="55"/>
      <c r="AY78" s="55"/>
      <c r="AZ78" s="376"/>
      <c r="BA78" s="226"/>
      <c r="BB78" s="55"/>
      <c r="BC78" s="55"/>
      <c r="BD78" s="76"/>
      <c r="BE78" s="13"/>
      <c r="BF78" s="38"/>
      <c r="BG78" s="38"/>
      <c r="BH78" s="38"/>
      <c r="BI78" s="38"/>
      <c r="BJ78" s="38"/>
      <c r="BK78" s="38"/>
      <c r="BL78" s="38"/>
      <c r="BM78" s="38"/>
      <c r="BN78" s="55"/>
      <c r="BO78" s="55"/>
      <c r="BP78" s="22"/>
      <c r="BQ78" s="24"/>
      <c r="BR78" s="38"/>
      <c r="BS78" s="310"/>
      <c r="BT78" s="38"/>
      <c r="BU78" s="38"/>
      <c r="BV78" s="38"/>
      <c r="BW78" s="38"/>
      <c r="BX78" s="228"/>
      <c r="BY78" s="228"/>
      <c r="BZ78" s="268"/>
      <c r="CA78" s="228">
        <v>8</v>
      </c>
      <c r="CB78" s="231"/>
      <c r="CC78" s="24"/>
      <c r="CD78" s="38"/>
      <c r="CE78" s="38"/>
      <c r="CF78" s="38"/>
      <c r="CG78" s="38"/>
      <c r="CH78" s="38"/>
      <c r="CI78" s="38"/>
      <c r="CJ78" s="38"/>
      <c r="CK78" s="228"/>
      <c r="CL78" s="268"/>
      <c r="CM78" s="38"/>
      <c r="CN78" s="231"/>
      <c r="CO78" s="252"/>
      <c r="CP78" s="38"/>
      <c r="CQ78" s="38"/>
      <c r="CR78" s="38"/>
      <c r="CS78" s="38"/>
      <c r="CT78" s="38"/>
      <c r="CU78" s="38"/>
      <c r="CV78" s="38"/>
      <c r="CW78" s="228"/>
      <c r="CX78" s="268"/>
      <c r="CY78" s="38"/>
      <c r="CZ78" s="231"/>
      <c r="DA78" s="252"/>
      <c r="DB78" s="38"/>
      <c r="DC78" s="38"/>
      <c r="DD78" s="38"/>
      <c r="DE78" s="38"/>
      <c r="DF78" s="38"/>
      <c r="DG78" s="38"/>
      <c r="DH78" s="38"/>
      <c r="DI78" s="228"/>
      <c r="DJ78" s="268"/>
      <c r="DK78" s="38"/>
      <c r="DL78" s="231"/>
      <c r="DM78" s="252"/>
      <c r="DN78" s="38"/>
      <c r="DO78" s="38"/>
      <c r="DP78" s="38"/>
      <c r="DQ78" s="38"/>
      <c r="DR78" s="38"/>
      <c r="DS78" s="38"/>
      <c r="DT78" s="38"/>
      <c r="DU78" s="228"/>
      <c r="DV78" s="268"/>
      <c r="DW78" s="38"/>
      <c r="DX78" s="231"/>
      <c r="DY78" s="252"/>
      <c r="DZ78" s="38"/>
      <c r="EA78" s="38"/>
      <c r="EB78" s="38"/>
      <c r="EC78" s="38"/>
      <c r="ED78" s="38"/>
      <c r="EE78" s="38"/>
      <c r="EF78" s="38"/>
      <c r="EG78" s="228"/>
      <c r="EH78" s="268"/>
      <c r="EI78" s="38"/>
      <c r="EJ78" s="231"/>
    </row>
    <row r="79" spans="1:140" x14ac:dyDescent="0.2">
      <c r="A79" s="19"/>
      <c r="B79" s="11" t="s">
        <v>1257</v>
      </c>
      <c r="C79" s="23">
        <v>0</v>
      </c>
      <c r="D79" s="248">
        <v>0</v>
      </c>
      <c r="E79" s="23">
        <v>1</v>
      </c>
      <c r="F79" s="25">
        <f t="shared" si="1"/>
        <v>1</v>
      </c>
      <c r="G79" s="144">
        <v>0</v>
      </c>
      <c r="H79" s="144">
        <v>0</v>
      </c>
      <c r="I79" s="144">
        <v>1</v>
      </c>
      <c r="J79" s="23">
        <v>0</v>
      </c>
      <c r="K79" s="248">
        <v>0</v>
      </c>
      <c r="L79" s="248">
        <v>1</v>
      </c>
      <c r="N79" s="13" t="s">
        <v>139</v>
      </c>
      <c r="O79" s="55"/>
      <c r="P79" s="23">
        <f>A59+A87+A108</f>
        <v>9</v>
      </c>
      <c r="Q79" s="235">
        <f t="shared" si="4"/>
        <v>2.2388059701492536E-2</v>
      </c>
      <c r="R79" s="246">
        <f>+[1]Analysis!AH51</f>
        <v>5.736137667304015E-2</v>
      </c>
      <c r="AA79"/>
      <c r="AB79" s="8" t="s">
        <v>1954</v>
      </c>
      <c r="AC79" s="136">
        <v>5019</v>
      </c>
      <c r="AD79" s="174" t="s">
        <v>107</v>
      </c>
      <c r="AE79" s="60">
        <f t="shared" si="2"/>
        <v>13</v>
      </c>
      <c r="AF79" s="107">
        <f t="shared" si="3"/>
        <v>3</v>
      </c>
      <c r="AG79" s="370"/>
      <c r="AH79" s="366"/>
      <c r="AI79" s="294"/>
      <c r="AJ79" s="26"/>
      <c r="AK79" s="374"/>
      <c r="AL79" s="374"/>
      <c r="AO79" s="294"/>
      <c r="AR79" s="380"/>
      <c r="AS79" s="13"/>
      <c r="AY79"/>
      <c r="AZ79" s="374"/>
      <c r="BA79" s="4"/>
      <c r="BD79" s="76"/>
      <c r="BE79" s="13"/>
      <c r="BF79" s="26"/>
      <c r="BG79" s="26"/>
      <c r="BH79" s="26"/>
      <c r="BI79" s="26"/>
      <c r="BJ79" s="26"/>
      <c r="BK79" s="26"/>
      <c r="BL79" s="26"/>
      <c r="BM79" s="26"/>
      <c r="BP79" s="122">
        <v>5</v>
      </c>
      <c r="BQ79" s="24"/>
      <c r="BR79" s="26"/>
      <c r="BS79" s="20"/>
      <c r="BT79" s="26"/>
      <c r="BV79" s="26"/>
      <c r="BW79" s="26"/>
      <c r="BX79" s="229"/>
      <c r="BY79" s="229"/>
      <c r="BZ79" s="269"/>
      <c r="CB79" s="232"/>
      <c r="CC79" s="24"/>
      <c r="CD79" s="26"/>
      <c r="CE79" s="26"/>
      <c r="CF79" s="26"/>
      <c r="CG79" s="26"/>
      <c r="CH79" s="26"/>
      <c r="CI79" s="26"/>
      <c r="CJ79" s="26"/>
      <c r="CK79" s="229"/>
      <c r="CL79" s="269"/>
      <c r="CM79" s="26"/>
      <c r="CN79" s="232">
        <v>5</v>
      </c>
      <c r="CO79" s="252"/>
      <c r="CP79" s="26"/>
      <c r="CQ79" s="26"/>
      <c r="CR79" s="26"/>
      <c r="CS79" s="26"/>
      <c r="CT79" s="26"/>
      <c r="CU79" s="26"/>
      <c r="CV79" s="26"/>
      <c r="CW79" s="229"/>
      <c r="CX79" s="269"/>
      <c r="CY79" s="26"/>
      <c r="CZ79" s="232">
        <v>3</v>
      </c>
      <c r="DA79" s="252"/>
      <c r="DB79" s="26"/>
      <c r="DC79" s="26"/>
      <c r="DD79" s="26"/>
      <c r="DE79" s="26"/>
      <c r="DF79" s="26"/>
      <c r="DG79" s="26"/>
      <c r="DH79" s="26"/>
      <c r="DI79" s="229"/>
      <c r="DJ79" s="269"/>
      <c r="DK79" s="26"/>
      <c r="DL79" s="232"/>
      <c r="DM79" s="252"/>
      <c r="DN79" s="26"/>
      <c r="DO79" s="26"/>
      <c r="DP79" s="26"/>
      <c r="DQ79" s="26"/>
      <c r="DR79" s="26"/>
      <c r="DS79" s="26"/>
      <c r="DT79" s="26"/>
      <c r="DU79" s="229"/>
      <c r="DV79" s="269"/>
      <c r="DW79" s="26"/>
      <c r="DX79" s="232"/>
      <c r="DY79" s="252"/>
      <c r="DZ79" s="26"/>
      <c r="EA79" s="26"/>
      <c r="EB79" s="26"/>
      <c r="EC79" s="26"/>
      <c r="ED79" s="26"/>
      <c r="EE79" s="26"/>
      <c r="EF79" s="26"/>
      <c r="EG79" s="229"/>
      <c r="EH79" s="269"/>
      <c r="EI79" s="26"/>
      <c r="EJ79" s="232"/>
    </row>
    <row r="80" spans="1:140" x14ac:dyDescent="0.2">
      <c r="A80" s="19"/>
      <c r="B80" s="11" t="s">
        <v>1259</v>
      </c>
      <c r="C80" s="23">
        <v>0</v>
      </c>
      <c r="D80" s="248">
        <v>0</v>
      </c>
      <c r="E80" s="23">
        <v>0</v>
      </c>
      <c r="F80" s="25">
        <f t="shared" si="1"/>
        <v>0</v>
      </c>
      <c r="G80" s="144">
        <v>0</v>
      </c>
      <c r="H80" s="144">
        <v>0</v>
      </c>
      <c r="I80" s="144">
        <v>0</v>
      </c>
      <c r="J80" s="23">
        <v>0</v>
      </c>
      <c r="K80" s="248">
        <v>0</v>
      </c>
      <c r="L80" s="248">
        <v>0</v>
      </c>
      <c r="N80" s="54" t="s">
        <v>820</v>
      </c>
      <c r="O80" s="55"/>
      <c r="P80" s="23">
        <f>+A175</f>
        <v>8</v>
      </c>
      <c r="Q80" s="235">
        <f t="shared" si="4"/>
        <v>1.9900497512437811E-2</v>
      </c>
      <c r="R80" s="246">
        <f>+[1]Analysis!AH55</f>
        <v>3.8240917782026767E-3</v>
      </c>
      <c r="AA80"/>
      <c r="AB80" s="134" t="s">
        <v>1956</v>
      </c>
      <c r="AC80" s="133">
        <v>5034</v>
      </c>
      <c r="AD80" s="174" t="s">
        <v>684</v>
      </c>
      <c r="AE80" s="60">
        <f t="shared" si="2"/>
        <v>5</v>
      </c>
      <c r="AF80" s="107">
        <f t="shared" si="3"/>
        <v>1</v>
      </c>
      <c r="AG80" s="370"/>
      <c r="AH80" s="371"/>
      <c r="AI80" s="372"/>
      <c r="AJ80" s="38"/>
      <c r="AK80" s="376"/>
      <c r="AL80" s="376"/>
      <c r="AM80" s="38"/>
      <c r="AN80" s="38"/>
      <c r="AO80" s="372"/>
      <c r="AP80" s="38"/>
      <c r="AQ80" s="38"/>
      <c r="AR80" s="376"/>
      <c r="AS80" s="24"/>
      <c r="AT80" s="38"/>
      <c r="AU80" s="38"/>
      <c r="AV80" s="38"/>
      <c r="AW80" s="38"/>
      <c r="AX80" s="38"/>
      <c r="AY80" s="38"/>
      <c r="AZ80" s="376"/>
      <c r="BA80" s="139"/>
      <c r="BB80" s="38"/>
      <c r="BC80" s="38"/>
      <c r="BD80" s="22"/>
      <c r="BE80" s="24"/>
      <c r="BF80" s="38"/>
      <c r="BG80" s="38"/>
      <c r="BH80" s="38"/>
      <c r="BI80" s="38">
        <v>5</v>
      </c>
      <c r="BJ80" s="38"/>
      <c r="BK80" s="38"/>
      <c r="BL80" s="38"/>
      <c r="BM80" s="38"/>
      <c r="BN80" s="38"/>
      <c r="BO80" s="38"/>
      <c r="BP80" s="22"/>
      <c r="BQ80" s="24"/>
      <c r="BR80" s="38"/>
      <c r="BS80" s="310"/>
      <c r="BT80" s="38"/>
      <c r="BU80" s="38"/>
      <c r="BV80" s="38"/>
      <c r="BW80" s="38"/>
      <c r="BX80" s="228"/>
      <c r="BY80" s="228"/>
      <c r="BZ80" s="268"/>
      <c r="CA80" s="228"/>
      <c r="CB80" s="231"/>
      <c r="CC80" s="24"/>
      <c r="CD80" s="38"/>
      <c r="CE80" s="38"/>
      <c r="CF80" s="38"/>
      <c r="CG80" s="38"/>
      <c r="CH80" s="38"/>
      <c r="CI80" s="38"/>
      <c r="CJ80" s="38"/>
      <c r="CK80" s="228"/>
      <c r="CL80" s="268"/>
      <c r="CM80" s="38"/>
      <c r="CN80" s="231"/>
      <c r="CO80" s="252"/>
      <c r="CP80" s="38"/>
      <c r="CQ80" s="38"/>
      <c r="CR80" s="38"/>
      <c r="CS80" s="38"/>
      <c r="CT80" s="38"/>
      <c r="CU80" s="38"/>
      <c r="CV80" s="38"/>
      <c r="CW80" s="228"/>
      <c r="CX80" s="268"/>
      <c r="CY80" s="38"/>
      <c r="CZ80" s="231"/>
      <c r="DA80" s="252"/>
      <c r="DB80" s="38"/>
      <c r="DC80" s="38"/>
      <c r="DD80" s="38"/>
      <c r="DE80" s="38"/>
      <c r="DF80" s="38"/>
      <c r="DG80" s="38"/>
      <c r="DH80" s="38"/>
      <c r="DI80" s="228"/>
      <c r="DJ80" s="268"/>
      <c r="DK80" s="38"/>
      <c r="DL80" s="231"/>
      <c r="DM80" s="252"/>
      <c r="DN80" s="38"/>
      <c r="DO80" s="38"/>
      <c r="DP80" s="38"/>
      <c r="DQ80" s="38"/>
      <c r="DR80" s="38"/>
      <c r="DS80" s="38"/>
      <c r="DT80" s="38"/>
      <c r="DU80" s="228"/>
      <c r="DV80" s="268"/>
      <c r="DW80" s="38"/>
      <c r="DX80" s="231"/>
      <c r="DY80" s="252"/>
      <c r="DZ80" s="38"/>
      <c r="EA80" s="38"/>
      <c r="EB80" s="38"/>
      <c r="EC80" s="38"/>
      <c r="ED80" s="38"/>
      <c r="EE80" s="38"/>
      <c r="EF80" s="38"/>
      <c r="EG80" s="228"/>
      <c r="EH80" s="268"/>
      <c r="EI80" s="38"/>
      <c r="EJ80" s="231"/>
    </row>
    <row r="81" spans="1:140" x14ac:dyDescent="0.2">
      <c r="A81" s="19"/>
      <c r="B81" s="11" t="s">
        <v>1260</v>
      </c>
      <c r="C81" s="23">
        <v>0</v>
      </c>
      <c r="D81" s="248">
        <v>0</v>
      </c>
      <c r="E81" s="23">
        <v>0</v>
      </c>
      <c r="F81" s="25">
        <f t="shared" si="1"/>
        <v>0</v>
      </c>
      <c r="G81" s="144">
        <v>0</v>
      </c>
      <c r="H81" s="144">
        <v>0</v>
      </c>
      <c r="I81" s="144">
        <v>0</v>
      </c>
      <c r="J81" s="23">
        <v>0</v>
      </c>
      <c r="K81" s="248">
        <v>0</v>
      </c>
      <c r="L81" s="248">
        <v>0</v>
      </c>
      <c r="N81" s="54" t="s">
        <v>127</v>
      </c>
      <c r="O81" s="55"/>
      <c r="P81" s="23">
        <f>+A55</f>
        <v>4</v>
      </c>
      <c r="Q81" s="235">
        <f t="shared" si="4"/>
        <v>9.9502487562189053E-3</v>
      </c>
      <c r="R81" s="246">
        <f>+[1]Analysis!AH30</f>
        <v>1.27868068833652E-2</v>
      </c>
      <c r="AA81"/>
      <c r="AB81" s="134" t="s">
        <v>1053</v>
      </c>
      <c r="AC81" s="133">
        <v>5067</v>
      </c>
      <c r="AD81" s="174" t="s">
        <v>1048</v>
      </c>
      <c r="AE81" s="60">
        <f t="shared" si="2"/>
        <v>4</v>
      </c>
      <c r="AF81" s="107">
        <f t="shared" si="3"/>
        <v>2</v>
      </c>
      <c r="AG81" s="370"/>
      <c r="AH81" s="371"/>
      <c r="AI81" s="372"/>
      <c r="AJ81" s="38"/>
      <c r="AK81" s="376"/>
      <c r="AL81" s="376"/>
      <c r="AM81" s="38"/>
      <c r="AN81" s="38"/>
      <c r="AO81" s="372"/>
      <c r="AP81" s="38"/>
      <c r="AQ81" s="38"/>
      <c r="AR81" s="376"/>
      <c r="AS81" s="24"/>
      <c r="AT81" s="38"/>
      <c r="AU81" s="38"/>
      <c r="AV81" s="38"/>
      <c r="AW81" s="38"/>
      <c r="AX81" s="38"/>
      <c r="AY81" s="38"/>
      <c r="AZ81" s="376"/>
      <c r="BA81" s="139"/>
      <c r="BB81" s="38"/>
      <c r="BC81" s="38"/>
      <c r="BD81" s="38"/>
      <c r="BE81" s="24"/>
      <c r="BF81" s="38"/>
      <c r="BG81" s="38"/>
      <c r="BH81" s="38"/>
      <c r="BI81" s="38"/>
      <c r="BJ81" s="38"/>
      <c r="BK81" s="38">
        <v>2</v>
      </c>
      <c r="BL81" s="38"/>
      <c r="BM81" s="38"/>
      <c r="BN81" s="38"/>
      <c r="BO81" s="38"/>
      <c r="BP81" s="22"/>
      <c r="BQ81" s="24"/>
      <c r="BR81" s="38"/>
      <c r="BS81" s="310"/>
      <c r="BT81" s="38"/>
      <c r="BU81" s="38">
        <v>2</v>
      </c>
      <c r="BV81" s="38"/>
      <c r="BW81" s="38"/>
      <c r="BX81" s="228"/>
      <c r="BY81" s="228"/>
      <c r="BZ81" s="268"/>
      <c r="CA81" s="228"/>
      <c r="CB81" s="231"/>
      <c r="CC81" s="24"/>
      <c r="CD81" s="38"/>
      <c r="CE81" s="38"/>
      <c r="CF81" s="38"/>
      <c r="CG81" s="38"/>
      <c r="CH81" s="38"/>
      <c r="CI81" s="38"/>
      <c r="CJ81" s="38"/>
      <c r="CK81" s="228"/>
      <c r="CL81" s="268"/>
      <c r="CM81" s="38"/>
      <c r="CN81" s="231"/>
      <c r="CO81" s="252"/>
      <c r="CP81" s="38"/>
      <c r="CQ81" s="38"/>
      <c r="CR81" s="38"/>
      <c r="CS81" s="38"/>
      <c r="CT81" s="38"/>
      <c r="CU81" s="38"/>
      <c r="CV81" s="38"/>
      <c r="CW81" s="228"/>
      <c r="CX81" s="268"/>
      <c r="CY81" s="38"/>
      <c r="CZ81" s="231"/>
      <c r="DA81" s="252"/>
      <c r="DB81" s="38"/>
      <c r="DC81" s="38"/>
      <c r="DD81" s="38"/>
      <c r="DE81" s="38"/>
      <c r="DF81" s="38"/>
      <c r="DG81" s="38"/>
      <c r="DH81" s="38"/>
      <c r="DI81" s="228"/>
      <c r="DJ81" s="268"/>
      <c r="DK81" s="38"/>
      <c r="DL81" s="231"/>
      <c r="DM81" s="252"/>
      <c r="DN81" s="38"/>
      <c r="DO81" s="38"/>
      <c r="DP81" s="38"/>
      <c r="DQ81" s="38"/>
      <c r="DR81" s="38"/>
      <c r="DS81" s="38"/>
      <c r="DT81" s="38"/>
      <c r="DU81" s="228"/>
      <c r="DV81" s="268"/>
      <c r="DW81" s="38"/>
      <c r="DX81" s="231"/>
      <c r="DY81" s="252"/>
      <c r="DZ81" s="38"/>
      <c r="EA81" s="38"/>
      <c r="EB81" s="38"/>
      <c r="EC81" s="38"/>
      <c r="ED81" s="38"/>
      <c r="EE81" s="38"/>
      <c r="EF81" s="38"/>
      <c r="EG81" s="228"/>
      <c r="EH81" s="268"/>
      <c r="EI81" s="38"/>
      <c r="EJ81" s="231"/>
    </row>
    <row r="82" spans="1:140" x14ac:dyDescent="0.2">
      <c r="A82" s="68"/>
      <c r="B82" s="40" t="s">
        <v>1261</v>
      </c>
      <c r="C82" s="28">
        <v>0</v>
      </c>
      <c r="D82" s="251">
        <v>0</v>
      </c>
      <c r="E82" s="28">
        <v>0</v>
      </c>
      <c r="F82" s="42">
        <f t="shared" si="1"/>
        <v>0</v>
      </c>
      <c r="G82" s="322">
        <v>0</v>
      </c>
      <c r="H82" s="322">
        <v>0</v>
      </c>
      <c r="I82" s="322">
        <v>0</v>
      </c>
      <c r="J82" s="28">
        <v>0</v>
      </c>
      <c r="K82" s="251">
        <v>0</v>
      </c>
      <c r="L82" s="251">
        <v>1</v>
      </c>
      <c r="N82" s="54" t="s">
        <v>669</v>
      </c>
      <c r="O82" s="55"/>
      <c r="P82" s="23">
        <f>+A119</f>
        <v>3</v>
      </c>
      <c r="Q82" s="235">
        <f t="shared" si="4"/>
        <v>7.462686567164179E-3</v>
      </c>
      <c r="R82" s="246">
        <f>+[1]Analysis!AH52</f>
        <v>1.4937858508604206E-2</v>
      </c>
      <c r="AA82"/>
      <c r="AB82" s="8" t="s">
        <v>796</v>
      </c>
      <c r="AC82" s="136">
        <v>5324</v>
      </c>
      <c r="AD82" s="177" t="s">
        <v>89</v>
      </c>
      <c r="AE82" s="60">
        <f t="shared" si="2"/>
        <v>12</v>
      </c>
      <c r="AF82" s="107">
        <f t="shared" si="3"/>
        <v>3</v>
      </c>
      <c r="AG82" s="370"/>
      <c r="AH82" s="366"/>
      <c r="AI82" s="294"/>
      <c r="AJ82" s="26"/>
      <c r="AK82" s="374"/>
      <c r="AL82" s="374"/>
      <c r="AO82" s="294"/>
      <c r="AR82" s="374"/>
      <c r="AS82" s="13"/>
      <c r="AY82"/>
      <c r="AZ82" s="374"/>
      <c r="BA82" s="4"/>
      <c r="BE82" s="13"/>
      <c r="BF82" s="26"/>
      <c r="BG82" s="26"/>
      <c r="BH82" s="26"/>
      <c r="BI82" s="26"/>
      <c r="BJ82" s="26"/>
      <c r="BK82" s="26"/>
      <c r="BL82" s="26"/>
      <c r="BM82" s="26"/>
      <c r="BP82" s="122"/>
      <c r="BQ82" s="24"/>
      <c r="BR82" s="26"/>
      <c r="BS82" s="20"/>
      <c r="BT82" s="26">
        <v>3</v>
      </c>
      <c r="BV82" s="26">
        <v>7</v>
      </c>
      <c r="BW82" s="26">
        <v>2</v>
      </c>
      <c r="BX82" s="229"/>
      <c r="BY82" s="229"/>
      <c r="BZ82" s="269"/>
      <c r="CB82" s="232"/>
      <c r="CC82" s="24"/>
      <c r="CD82" s="26"/>
      <c r="CE82" s="26"/>
      <c r="CF82" s="26"/>
      <c r="CG82" s="26"/>
      <c r="CH82" s="26"/>
      <c r="CI82" s="26"/>
      <c r="CJ82" s="26"/>
      <c r="CK82" s="229"/>
      <c r="CL82" s="269"/>
      <c r="CM82" s="26"/>
      <c r="CN82" s="232"/>
      <c r="CO82" s="252"/>
      <c r="CP82" s="26"/>
      <c r="CQ82" s="26"/>
      <c r="CR82" s="26"/>
      <c r="CS82" s="26"/>
      <c r="CT82" s="26"/>
      <c r="CU82" s="26"/>
      <c r="CV82" s="26"/>
      <c r="CW82" s="229"/>
      <c r="CX82" s="269"/>
      <c r="CY82" s="26"/>
      <c r="CZ82" s="232"/>
      <c r="DA82" s="252"/>
      <c r="DB82" s="26"/>
      <c r="DC82" s="26"/>
      <c r="DD82" s="26"/>
      <c r="DE82" s="26"/>
      <c r="DF82" s="26"/>
      <c r="DG82" s="26"/>
      <c r="DH82" s="26"/>
      <c r="DI82" s="229"/>
      <c r="DJ82" s="269"/>
      <c r="DK82" s="26"/>
      <c r="DL82" s="232"/>
      <c r="DM82" s="252"/>
      <c r="DN82" s="26"/>
      <c r="DO82" s="26"/>
      <c r="DP82" s="26"/>
      <c r="DQ82" s="26"/>
      <c r="DR82" s="26"/>
      <c r="DS82" s="26"/>
      <c r="DT82" s="26"/>
      <c r="DU82" s="229"/>
      <c r="DV82" s="269"/>
      <c r="DW82" s="26"/>
      <c r="DX82" s="232"/>
      <c r="DY82" s="252"/>
      <c r="DZ82" s="26"/>
      <c r="EA82" s="26"/>
      <c r="EB82" s="26"/>
      <c r="EC82" s="26"/>
      <c r="ED82" s="26"/>
      <c r="EE82" s="26"/>
      <c r="EF82" s="26"/>
      <c r="EG82" s="229"/>
      <c r="EH82" s="269"/>
      <c r="EI82" s="26"/>
      <c r="EJ82" s="232"/>
    </row>
    <row r="83" spans="1:140" x14ac:dyDescent="0.2">
      <c r="A83" s="17"/>
      <c r="B83" s="37" t="s">
        <v>109</v>
      </c>
      <c r="C83" s="29">
        <v>1</v>
      </c>
      <c r="D83" s="249">
        <v>0</v>
      </c>
      <c r="E83" s="29">
        <v>0</v>
      </c>
      <c r="F83" s="25">
        <f t="shared" si="1"/>
        <v>1</v>
      </c>
      <c r="G83" s="144">
        <v>0</v>
      </c>
      <c r="H83" s="144">
        <v>0</v>
      </c>
      <c r="I83" s="144">
        <v>1</v>
      </c>
      <c r="J83" s="29">
        <v>0</v>
      </c>
      <c r="K83" s="249">
        <v>2260.0319999999997</v>
      </c>
      <c r="L83" s="249">
        <v>19</v>
      </c>
      <c r="N83" s="13" t="s">
        <v>1251</v>
      </c>
      <c r="O83" s="55"/>
      <c r="P83" s="23">
        <f>+A29+A111</f>
        <v>4</v>
      </c>
      <c r="Q83" s="235">
        <f t="shared" si="4"/>
        <v>9.9502487562189053E-3</v>
      </c>
      <c r="R83" s="246">
        <f>+[1]Analysis!AH34+[1]Analysis!AH46</f>
        <v>8.6042065009560229E-3</v>
      </c>
      <c r="AA83"/>
      <c r="AB83" s="8" t="s">
        <v>1025</v>
      </c>
      <c r="AC83" s="133">
        <v>5336</v>
      </c>
      <c r="AD83" s="174" t="s">
        <v>218</v>
      </c>
      <c r="AE83" s="60">
        <f t="shared" si="2"/>
        <v>1</v>
      </c>
      <c r="AF83" s="107">
        <f t="shared" si="3"/>
        <v>1</v>
      </c>
      <c r="AG83" s="370"/>
      <c r="AH83" s="366"/>
      <c r="AI83" s="294"/>
      <c r="AJ83" s="26"/>
      <c r="AK83" s="374"/>
      <c r="AL83" s="374"/>
      <c r="AO83" s="294"/>
      <c r="AR83" s="374"/>
      <c r="AS83" s="13"/>
      <c r="AY83"/>
      <c r="AZ83" s="374"/>
      <c r="BA83" s="4"/>
      <c r="BD83" s="55"/>
      <c r="BE83" s="13"/>
      <c r="BF83" s="26"/>
      <c r="BG83" s="26"/>
      <c r="BH83" s="26"/>
      <c r="BI83" s="26"/>
      <c r="BJ83" s="26"/>
      <c r="BK83" s="26"/>
      <c r="BL83" s="26"/>
      <c r="BM83" s="26"/>
      <c r="BP83" s="122"/>
      <c r="BQ83" s="24"/>
      <c r="BR83" s="26">
        <v>1</v>
      </c>
      <c r="BS83" s="20"/>
      <c r="BT83" s="26"/>
      <c r="BV83" s="26"/>
      <c r="BW83" s="26"/>
      <c r="BX83" s="229"/>
      <c r="BY83" s="229"/>
      <c r="BZ83" s="269"/>
      <c r="CB83" s="232"/>
      <c r="CC83" s="24"/>
      <c r="CD83" s="26"/>
      <c r="CE83" s="26"/>
      <c r="CF83" s="26"/>
      <c r="CG83" s="26"/>
      <c r="CH83" s="26"/>
      <c r="CI83" s="26"/>
      <c r="CJ83" s="26"/>
      <c r="CK83" s="229"/>
      <c r="CL83" s="269"/>
      <c r="CM83" s="26"/>
      <c r="CN83" s="232"/>
      <c r="CO83" s="252"/>
      <c r="CP83" s="26"/>
      <c r="CQ83" s="26"/>
      <c r="CR83" s="26"/>
      <c r="CS83" s="26"/>
      <c r="CT83" s="26"/>
      <c r="CU83" s="26"/>
      <c r="CV83" s="26"/>
      <c r="CW83" s="229"/>
      <c r="CX83" s="269"/>
      <c r="CY83" s="26"/>
      <c r="CZ83" s="232"/>
      <c r="DA83" s="252"/>
      <c r="DB83" s="26"/>
      <c r="DC83" s="26"/>
      <c r="DD83" s="26"/>
      <c r="DE83" s="26"/>
      <c r="DF83" s="26"/>
      <c r="DG83" s="26"/>
      <c r="DH83" s="26"/>
      <c r="DI83" s="229"/>
      <c r="DJ83" s="269"/>
      <c r="DK83" s="26"/>
      <c r="DL83" s="232"/>
      <c r="DM83" s="252"/>
      <c r="DN83" s="26"/>
      <c r="DO83" s="26"/>
      <c r="DP83" s="26"/>
      <c r="DQ83" s="26"/>
      <c r="DR83" s="26"/>
      <c r="DS83" s="26"/>
      <c r="DT83" s="26"/>
      <c r="DU83" s="229"/>
      <c r="DV83" s="269"/>
      <c r="DW83" s="26"/>
      <c r="DX83" s="232"/>
      <c r="DY83" s="252"/>
      <c r="DZ83" s="26"/>
      <c r="EA83" s="26"/>
      <c r="EB83" s="26"/>
      <c r="EC83" s="26"/>
      <c r="ED83" s="26"/>
      <c r="EE83" s="26"/>
      <c r="EF83" s="26"/>
      <c r="EG83" s="229"/>
      <c r="EH83" s="269"/>
      <c r="EI83" s="26"/>
      <c r="EJ83" s="232"/>
    </row>
    <row r="84" spans="1:140" x14ac:dyDescent="0.2">
      <c r="A84" s="19" t="s">
        <v>1241</v>
      </c>
      <c r="B84" s="11" t="s">
        <v>1262</v>
      </c>
      <c r="C84" s="23">
        <v>0</v>
      </c>
      <c r="D84" s="248">
        <v>0</v>
      </c>
      <c r="E84" s="23">
        <v>0</v>
      </c>
      <c r="F84" s="25">
        <f t="shared" si="1"/>
        <v>0</v>
      </c>
      <c r="G84" s="144">
        <v>0</v>
      </c>
      <c r="H84" s="144">
        <v>0</v>
      </c>
      <c r="I84" s="144">
        <v>0</v>
      </c>
      <c r="J84" s="23">
        <v>0</v>
      </c>
      <c r="K84" s="248">
        <v>1669.1469999999999</v>
      </c>
      <c r="L84" s="248">
        <v>10</v>
      </c>
      <c r="N84" s="13" t="s">
        <v>1294</v>
      </c>
      <c r="O84" s="55"/>
      <c r="P84" s="23">
        <f>+A126</f>
        <v>3</v>
      </c>
      <c r="Q84" s="235">
        <f t="shared" si="4"/>
        <v>7.462686567164179E-3</v>
      </c>
      <c r="R84" s="246">
        <f>[1]Analysis!$AH$35+[1]Analysis!$AH$39</f>
        <v>1.015774378585086E-2</v>
      </c>
      <c r="AA84"/>
      <c r="AB84" s="8" t="s">
        <v>1034</v>
      </c>
      <c r="AC84" s="136">
        <v>5341</v>
      </c>
      <c r="AD84" s="174" t="s">
        <v>218</v>
      </c>
      <c r="AE84" s="60">
        <f t="shared" si="2"/>
        <v>6</v>
      </c>
      <c r="AF84" s="107">
        <f t="shared" si="3"/>
        <v>4</v>
      </c>
      <c r="AG84" s="370"/>
      <c r="AH84" s="366"/>
      <c r="AI84" s="294"/>
      <c r="AJ84" s="26"/>
      <c r="AK84" s="374"/>
      <c r="AL84" s="374"/>
      <c r="AO84" s="294"/>
      <c r="AR84" s="376"/>
      <c r="AS84" s="13"/>
      <c r="AY84"/>
      <c r="AZ84" s="374"/>
      <c r="BA84" s="4"/>
      <c r="BD84" s="55"/>
      <c r="BE84" s="13"/>
      <c r="BF84" s="26"/>
      <c r="BG84" s="26"/>
      <c r="BH84" s="26"/>
      <c r="BI84" s="26"/>
      <c r="BJ84" s="26"/>
      <c r="BK84" s="26"/>
      <c r="BL84" s="26"/>
      <c r="BM84" s="26"/>
      <c r="BP84" s="122"/>
      <c r="BQ84" s="24"/>
      <c r="BR84" s="26"/>
      <c r="BS84" s="20"/>
      <c r="BT84" s="26"/>
      <c r="BV84" s="26"/>
      <c r="BW84" s="26"/>
      <c r="BX84" s="229"/>
      <c r="BY84" s="229"/>
      <c r="BZ84" s="269">
        <v>1</v>
      </c>
      <c r="CA84" s="229">
        <v>1</v>
      </c>
      <c r="CB84" s="232"/>
      <c r="CC84" s="24"/>
      <c r="CD84" s="26"/>
      <c r="CE84" s="26">
        <v>1</v>
      </c>
      <c r="CF84" s="26"/>
      <c r="CG84" s="26"/>
      <c r="CH84" s="26"/>
      <c r="CI84" s="26"/>
      <c r="CJ84" s="26"/>
      <c r="CK84" s="229"/>
      <c r="CL84" s="269"/>
      <c r="CM84" s="26"/>
      <c r="CN84" s="232"/>
      <c r="CO84" s="252"/>
      <c r="CP84" s="26"/>
      <c r="CQ84" s="26"/>
      <c r="CR84" s="26"/>
      <c r="CS84" s="26"/>
      <c r="CT84" s="26"/>
      <c r="CU84" s="26"/>
      <c r="CV84" s="26"/>
      <c r="CW84" s="229"/>
      <c r="CX84" s="269"/>
      <c r="CY84" s="26"/>
      <c r="CZ84" s="232"/>
      <c r="DA84" s="252"/>
      <c r="DB84" s="26"/>
      <c r="DC84" s="26"/>
      <c r="DD84" s="26"/>
      <c r="DE84" s="26"/>
      <c r="DF84" s="26"/>
      <c r="DG84" s="26"/>
      <c r="DH84" s="26"/>
      <c r="DI84" s="229"/>
      <c r="DJ84" s="269"/>
      <c r="DK84" s="26"/>
      <c r="DL84" s="232"/>
      <c r="DM84" s="252"/>
      <c r="DN84" s="26"/>
      <c r="DO84" s="26"/>
      <c r="DP84" s="26"/>
      <c r="DQ84" s="26"/>
      <c r="DR84" s="26"/>
      <c r="DS84" s="26"/>
      <c r="DT84" s="26"/>
      <c r="DU84" s="229"/>
      <c r="DV84" s="269"/>
      <c r="DW84" s="26">
        <v>3</v>
      </c>
      <c r="DX84" s="232"/>
      <c r="DY84" s="252"/>
      <c r="DZ84" s="26"/>
      <c r="EA84" s="26"/>
      <c r="EB84" s="26"/>
      <c r="EC84" s="26"/>
      <c r="ED84" s="26"/>
      <c r="EE84" s="26"/>
      <c r="EF84" s="26"/>
      <c r="EG84" s="229"/>
      <c r="EH84" s="269"/>
      <c r="EI84" s="26"/>
      <c r="EJ84" s="232"/>
    </row>
    <row r="85" spans="1:140" x14ac:dyDescent="0.2">
      <c r="A85" s="19" t="s">
        <v>1263</v>
      </c>
      <c r="B85" s="11" t="s">
        <v>1264</v>
      </c>
      <c r="C85" s="23">
        <v>0</v>
      </c>
      <c r="D85" s="248">
        <v>0</v>
      </c>
      <c r="E85" s="23">
        <v>0</v>
      </c>
      <c r="F85" s="25">
        <f t="shared" si="1"/>
        <v>0</v>
      </c>
      <c r="G85" s="144">
        <v>0</v>
      </c>
      <c r="H85" s="144">
        <v>0</v>
      </c>
      <c r="I85" s="144">
        <v>0</v>
      </c>
      <c r="J85" s="23">
        <v>0</v>
      </c>
      <c r="K85" s="248">
        <v>387.16899999999998</v>
      </c>
      <c r="L85" s="248">
        <v>6</v>
      </c>
      <c r="N85" s="54" t="s">
        <v>323</v>
      </c>
      <c r="O85" s="55"/>
      <c r="P85" s="23">
        <f>+A131</f>
        <v>2</v>
      </c>
      <c r="Q85" s="235">
        <f t="shared" si="4"/>
        <v>4.9751243781094526E-3</v>
      </c>
      <c r="R85" s="246">
        <f>+[1]Analysis!AH37</f>
        <v>4.182600382409178E-3</v>
      </c>
      <c r="AA85" s="12"/>
      <c r="AB85" s="8" t="s">
        <v>1007</v>
      </c>
      <c r="AC85" s="136">
        <v>5342</v>
      </c>
      <c r="AD85" s="174" t="s">
        <v>1008</v>
      </c>
      <c r="AE85" s="60">
        <f t="shared" si="2"/>
        <v>5</v>
      </c>
      <c r="AF85" s="107">
        <f t="shared" si="3"/>
        <v>4</v>
      </c>
      <c r="AG85" s="370"/>
      <c r="AH85" s="366"/>
      <c r="AI85" s="294"/>
      <c r="AJ85" s="26"/>
      <c r="AK85" s="374"/>
      <c r="AL85" s="374"/>
      <c r="AO85" s="294"/>
      <c r="AR85" s="376"/>
      <c r="AS85" s="13"/>
      <c r="AY85"/>
      <c r="AZ85" s="374"/>
      <c r="BA85" s="4"/>
      <c r="BD85" s="55"/>
      <c r="BE85" s="13"/>
      <c r="BF85" s="26"/>
      <c r="BG85" s="26"/>
      <c r="BH85" s="26"/>
      <c r="BI85" s="26"/>
      <c r="BJ85" s="26"/>
      <c r="BK85" s="26"/>
      <c r="BL85" s="26"/>
      <c r="BM85" s="26"/>
      <c r="BP85" s="122"/>
      <c r="BQ85" s="24"/>
      <c r="BR85" s="26"/>
      <c r="BS85" s="20"/>
      <c r="BT85" s="26"/>
      <c r="BV85" s="26"/>
      <c r="BW85" s="26"/>
      <c r="BX85" s="229"/>
      <c r="BY85" s="229"/>
      <c r="BZ85" s="269">
        <v>1</v>
      </c>
      <c r="CA85" s="229">
        <v>1</v>
      </c>
      <c r="CB85" s="232"/>
      <c r="CC85" s="24"/>
      <c r="CD85" s="26"/>
      <c r="CE85" s="26"/>
      <c r="CF85" s="26"/>
      <c r="CG85" s="26"/>
      <c r="CH85" s="26"/>
      <c r="CI85" s="26"/>
      <c r="CJ85" s="26"/>
      <c r="CK85" s="229">
        <v>2</v>
      </c>
      <c r="CL85" s="269"/>
      <c r="CM85" s="26"/>
      <c r="CN85" s="232">
        <v>1</v>
      </c>
      <c r="CO85" s="252"/>
      <c r="CP85" s="26"/>
      <c r="CQ85" s="26"/>
      <c r="CR85" s="26"/>
      <c r="CS85" s="26"/>
      <c r="CT85" s="26"/>
      <c r="CU85" s="26"/>
      <c r="CV85" s="26"/>
      <c r="CW85" s="229"/>
      <c r="CX85" s="269"/>
      <c r="CY85" s="26"/>
      <c r="CZ85" s="232"/>
      <c r="DA85" s="252"/>
      <c r="DB85" s="26"/>
      <c r="DC85" s="26"/>
      <c r="DD85" s="26"/>
      <c r="DE85" s="26"/>
      <c r="DF85" s="26"/>
      <c r="DG85" s="26"/>
      <c r="DH85" s="26"/>
      <c r="DI85" s="229"/>
      <c r="DJ85" s="269"/>
      <c r="DK85" s="26"/>
      <c r="DL85" s="232"/>
      <c r="DM85" s="252"/>
      <c r="DN85" s="26"/>
      <c r="DO85" s="26"/>
      <c r="DP85" s="26"/>
      <c r="DQ85" s="26"/>
      <c r="DR85" s="26"/>
      <c r="DS85" s="26"/>
      <c r="DT85" s="26"/>
      <c r="DU85" s="229"/>
      <c r="DV85" s="269"/>
      <c r="DW85" s="26"/>
      <c r="DX85" s="232"/>
      <c r="DY85" s="252"/>
      <c r="DZ85" s="26"/>
      <c r="EA85" s="26"/>
      <c r="EB85" s="26"/>
      <c r="EC85" s="26"/>
      <c r="ED85" s="26"/>
      <c r="EE85" s="26"/>
      <c r="EF85" s="26"/>
      <c r="EG85" s="229"/>
      <c r="EH85" s="269"/>
      <c r="EI85" s="26"/>
      <c r="EJ85" s="232"/>
    </row>
    <row r="86" spans="1:140" ht="15" customHeight="1" x14ac:dyDescent="0.2">
      <c r="A86" s="19" t="s">
        <v>1204</v>
      </c>
      <c r="B86" s="11" t="s">
        <v>1265</v>
      </c>
      <c r="C86" s="23">
        <v>0</v>
      </c>
      <c r="D86" s="248">
        <v>0</v>
      </c>
      <c r="E86" s="23">
        <v>0</v>
      </c>
      <c r="F86" s="25">
        <f t="shared" si="1"/>
        <v>0</v>
      </c>
      <c r="G86" s="144">
        <v>0</v>
      </c>
      <c r="H86" s="144">
        <v>0</v>
      </c>
      <c r="I86" s="144">
        <v>0</v>
      </c>
      <c r="J86" s="23">
        <v>0</v>
      </c>
      <c r="K86" s="248">
        <v>10970.768</v>
      </c>
      <c r="L86" s="248">
        <v>150</v>
      </c>
      <c r="N86" s="932" t="s">
        <v>5491</v>
      </c>
      <c r="O86" s="932"/>
      <c r="P86" s="23">
        <f>+A158</f>
        <v>2</v>
      </c>
      <c r="Q86" s="235">
        <f t="shared" si="4"/>
        <v>4.9751243781094526E-3</v>
      </c>
      <c r="R86" s="798">
        <f>+[1]Analysis!$AH$45</f>
        <v>1.1950286806883365E-4</v>
      </c>
      <c r="AA86"/>
      <c r="AB86" s="8" t="s">
        <v>843</v>
      </c>
      <c r="AC86" s="136">
        <v>5588</v>
      </c>
      <c r="AD86" s="174" t="s">
        <v>42</v>
      </c>
      <c r="AE86" s="60">
        <f t="shared" si="2"/>
        <v>8</v>
      </c>
      <c r="AF86" s="107">
        <f t="shared" si="3"/>
        <v>5</v>
      </c>
      <c r="AG86" s="370"/>
      <c r="AH86" s="366"/>
      <c r="AI86" s="294"/>
      <c r="AJ86" s="26"/>
      <c r="AK86" s="374"/>
      <c r="AL86" s="374"/>
      <c r="AO86" s="294"/>
      <c r="AR86" s="376"/>
      <c r="AS86" s="13"/>
      <c r="AY86"/>
      <c r="AZ86" s="374"/>
      <c r="BA86" s="4"/>
      <c r="BD86" s="55"/>
      <c r="BE86" s="13"/>
      <c r="BF86" s="26"/>
      <c r="BG86" s="26"/>
      <c r="BH86" s="26"/>
      <c r="BI86" s="26"/>
      <c r="BJ86" s="26"/>
      <c r="BK86" s="26"/>
      <c r="BL86" s="26"/>
      <c r="BM86" s="26"/>
      <c r="BP86" s="122">
        <v>1</v>
      </c>
      <c r="BQ86" s="24">
        <v>4</v>
      </c>
      <c r="BR86" s="26"/>
      <c r="BS86" s="20"/>
      <c r="BT86" s="26"/>
      <c r="BV86" s="26"/>
      <c r="BW86" s="26"/>
      <c r="BX86" s="229"/>
      <c r="BY86" s="229"/>
      <c r="BZ86" s="269"/>
      <c r="CA86" s="229">
        <v>1</v>
      </c>
      <c r="CB86" s="232"/>
      <c r="CC86" s="24"/>
      <c r="CD86" s="26">
        <v>1</v>
      </c>
      <c r="CE86" s="26"/>
      <c r="CF86" s="26"/>
      <c r="CG86" s="26"/>
      <c r="CH86" s="26"/>
      <c r="CI86" s="26"/>
      <c r="CJ86" s="26"/>
      <c r="CK86" s="229"/>
      <c r="CL86" s="269"/>
      <c r="CM86" s="26"/>
      <c r="CN86" s="232"/>
      <c r="CO86" s="252"/>
      <c r="CP86" s="26"/>
      <c r="CQ86" s="26"/>
      <c r="CR86" s="26"/>
      <c r="CS86" s="26"/>
      <c r="CT86" s="26"/>
      <c r="CU86" s="26"/>
      <c r="CV86" s="26"/>
      <c r="CW86" s="229"/>
      <c r="CX86" s="269"/>
      <c r="CY86" s="26"/>
      <c r="CZ86" s="232"/>
      <c r="DA86" s="252"/>
      <c r="DB86" s="26"/>
      <c r="DC86" s="26"/>
      <c r="DD86" s="26"/>
      <c r="DE86" s="26"/>
      <c r="DF86" s="26">
        <v>1</v>
      </c>
      <c r="DG86" s="26"/>
      <c r="DH86" s="26"/>
      <c r="DI86" s="229"/>
      <c r="DJ86" s="269"/>
      <c r="DK86" s="26"/>
      <c r="DL86" s="232"/>
      <c r="DM86" s="252"/>
      <c r="DN86" s="26"/>
      <c r="DO86" s="26"/>
      <c r="DP86" s="26"/>
      <c r="DQ86" s="26"/>
      <c r="DR86" s="26"/>
      <c r="DS86" s="26"/>
      <c r="DT86" s="26"/>
      <c r="DU86" s="229"/>
      <c r="DV86" s="269"/>
      <c r="DW86" s="26"/>
      <c r="DX86" s="232"/>
      <c r="DY86" s="252"/>
      <c r="DZ86" s="26"/>
      <c r="EA86" s="26"/>
      <c r="EB86" s="26"/>
      <c r="EC86" s="26"/>
      <c r="ED86" s="26"/>
      <c r="EE86" s="26"/>
      <c r="EF86" s="26"/>
      <c r="EG86" s="229"/>
      <c r="EH86" s="269"/>
      <c r="EI86" s="26"/>
      <c r="EJ86" s="232"/>
    </row>
    <row r="87" spans="1:140" x14ac:dyDescent="0.2">
      <c r="A87" s="27">
        <f>SUM(F83:F91)</f>
        <v>1</v>
      </c>
      <c r="B87" s="8" t="s">
        <v>1266</v>
      </c>
      <c r="C87" s="23">
        <v>0</v>
      </c>
      <c r="D87" s="248">
        <v>0</v>
      </c>
      <c r="E87" s="23">
        <v>0</v>
      </c>
      <c r="F87" s="25">
        <f t="shared" si="1"/>
        <v>0</v>
      </c>
      <c r="G87" s="144">
        <v>0</v>
      </c>
      <c r="H87" s="144">
        <v>0</v>
      </c>
      <c r="I87" s="144">
        <v>0</v>
      </c>
      <c r="J87" s="23">
        <v>0</v>
      </c>
      <c r="K87" s="248">
        <v>53211.978000000003</v>
      </c>
      <c r="L87" s="248">
        <v>109</v>
      </c>
      <c r="N87" s="65" t="s">
        <v>1256</v>
      </c>
      <c r="O87" s="66"/>
      <c r="P87" s="28">
        <f>+A134+A162+A164</f>
        <v>0</v>
      </c>
      <c r="Q87" s="236">
        <v>0</v>
      </c>
      <c r="R87" s="237">
        <f>+[1]Analysis!AH48</f>
        <v>1.7208413001912046E-2</v>
      </c>
      <c r="AA87"/>
      <c r="AB87" s="8" t="s">
        <v>278</v>
      </c>
      <c r="AC87" s="265">
        <v>5787</v>
      </c>
      <c r="AD87" s="215" t="s">
        <v>42</v>
      </c>
      <c r="AE87" s="60">
        <f t="shared" si="2"/>
        <v>3</v>
      </c>
      <c r="AF87" s="107">
        <f t="shared" si="3"/>
        <v>1</v>
      </c>
      <c r="AG87" s="370"/>
      <c r="AH87" s="366"/>
      <c r="AI87" s="294"/>
      <c r="AJ87" s="26"/>
      <c r="AK87" s="374"/>
      <c r="AL87" s="374"/>
      <c r="AO87" s="294"/>
      <c r="AR87" s="376"/>
      <c r="AS87" s="13"/>
      <c r="AY87"/>
      <c r="AZ87" s="374"/>
      <c r="BA87" s="4"/>
      <c r="BD87" s="55"/>
      <c r="BE87" s="13"/>
      <c r="BF87" s="26"/>
      <c r="BG87" s="26"/>
      <c r="BH87" s="26"/>
      <c r="BI87" s="26"/>
      <c r="BJ87" s="26"/>
      <c r="BK87" s="26"/>
      <c r="BL87" s="26"/>
      <c r="BM87" s="26"/>
      <c r="BP87" s="122"/>
      <c r="BQ87" s="24"/>
      <c r="BR87" s="26"/>
      <c r="BS87" s="20"/>
      <c r="BT87" s="26"/>
      <c r="BV87" s="26"/>
      <c r="BW87" s="26"/>
      <c r="BX87" s="229">
        <v>3</v>
      </c>
      <c r="BY87" s="229"/>
      <c r="BZ87" s="269"/>
      <c r="CB87" s="232"/>
      <c r="CC87" s="24"/>
      <c r="CD87" s="26"/>
      <c r="CE87" s="26"/>
      <c r="CF87" s="26"/>
      <c r="CG87" s="26"/>
      <c r="CH87" s="26"/>
      <c r="CI87" s="26"/>
      <c r="CJ87" s="26"/>
      <c r="CK87" s="229"/>
      <c r="CL87" s="269"/>
      <c r="CM87" s="26"/>
      <c r="CN87" s="232"/>
      <c r="CO87" s="252"/>
      <c r="CP87" s="26"/>
      <c r="CQ87" s="26"/>
      <c r="CR87" s="26"/>
      <c r="CS87" s="26"/>
      <c r="CT87" s="26"/>
      <c r="CU87" s="26"/>
      <c r="CV87" s="26"/>
      <c r="CW87" s="229"/>
      <c r="CX87" s="269"/>
      <c r="CY87" s="26"/>
      <c r="CZ87" s="232"/>
      <c r="DA87" s="252"/>
      <c r="DB87" s="26"/>
      <c r="DC87" s="26"/>
      <c r="DD87" s="26"/>
      <c r="DE87" s="26"/>
      <c r="DF87" s="26"/>
      <c r="DG87" s="26"/>
      <c r="DH87" s="26"/>
      <c r="DI87" s="229"/>
      <c r="DJ87" s="269"/>
      <c r="DK87" s="26"/>
      <c r="DL87" s="232"/>
      <c r="DM87" s="252"/>
      <c r="DN87" s="26"/>
      <c r="DO87" s="26"/>
      <c r="DP87" s="26"/>
      <c r="DQ87" s="26"/>
      <c r="DR87" s="26"/>
      <c r="DS87" s="26"/>
      <c r="DT87" s="26"/>
      <c r="DU87" s="229"/>
      <c r="DV87" s="269"/>
      <c r="DW87" s="26"/>
      <c r="DX87" s="232"/>
      <c r="DY87" s="252"/>
      <c r="DZ87" s="26"/>
      <c r="EA87" s="26"/>
      <c r="EB87" s="26"/>
      <c r="EC87" s="26"/>
      <c r="ED87" s="26"/>
      <c r="EE87" s="26"/>
      <c r="EF87" s="26"/>
      <c r="EG87" s="229"/>
      <c r="EH87" s="269"/>
      <c r="EI87" s="26"/>
      <c r="EJ87" s="232"/>
    </row>
    <row r="88" spans="1:140" x14ac:dyDescent="0.2">
      <c r="A88" s="19"/>
      <c r="B88" s="11" t="s">
        <v>1267</v>
      </c>
      <c r="C88" s="23">
        <v>0</v>
      </c>
      <c r="D88" s="248">
        <v>0</v>
      </c>
      <c r="E88" s="23">
        <v>0</v>
      </c>
      <c r="F88" s="25">
        <f t="shared" si="1"/>
        <v>0</v>
      </c>
      <c r="G88" s="144">
        <v>0</v>
      </c>
      <c r="H88" s="144">
        <v>0</v>
      </c>
      <c r="I88" s="144">
        <v>0</v>
      </c>
      <c r="J88" s="23">
        <v>0</v>
      </c>
      <c r="K88" s="248">
        <v>165.48500000000001</v>
      </c>
      <c r="L88" s="248">
        <v>1</v>
      </c>
      <c r="N88" s="65" t="s">
        <v>1258</v>
      </c>
      <c r="O88" s="66"/>
      <c r="P88" s="28">
        <f>SUM(P73:P87)</f>
        <v>402</v>
      </c>
      <c r="Q88" s="237">
        <f>SUM(Q73:Q87)</f>
        <v>0.99999999999999989</v>
      </c>
      <c r="R88" s="237">
        <f>SUM(R73:R87)</f>
        <v>0.99976099426386222</v>
      </c>
      <c r="AA88"/>
      <c r="AB88" s="8" t="s">
        <v>1148</v>
      </c>
      <c r="AC88" s="265">
        <v>5962</v>
      </c>
      <c r="AD88" s="215" t="s">
        <v>245</v>
      </c>
      <c r="AE88" s="60">
        <f t="shared" si="2"/>
        <v>21</v>
      </c>
      <c r="AF88" s="107">
        <f t="shared" si="3"/>
        <v>8</v>
      </c>
      <c r="AG88" s="370"/>
      <c r="AH88" s="366"/>
      <c r="AI88" s="294"/>
      <c r="AJ88" s="26"/>
      <c r="AK88" s="374"/>
      <c r="AL88" s="374"/>
      <c r="AO88" s="294"/>
      <c r="AR88" s="376"/>
      <c r="AS88" s="13"/>
      <c r="AY88"/>
      <c r="AZ88" s="374"/>
      <c r="BA88" s="4"/>
      <c r="BD88" s="55"/>
      <c r="BE88" s="13"/>
      <c r="BF88" s="26"/>
      <c r="BG88" s="26"/>
      <c r="BH88" s="26"/>
      <c r="BI88" s="26"/>
      <c r="BJ88" s="26"/>
      <c r="BK88" s="26"/>
      <c r="BL88" s="26"/>
      <c r="BM88" s="26"/>
      <c r="BP88" s="122"/>
      <c r="BQ88" s="24"/>
      <c r="BR88" s="26"/>
      <c r="BS88" s="20"/>
      <c r="BT88" s="26"/>
      <c r="BV88" s="26"/>
      <c r="BW88" s="26"/>
      <c r="BX88" s="229"/>
      <c r="BY88" s="229"/>
      <c r="BZ88" s="269"/>
      <c r="CB88" s="232"/>
      <c r="CC88" s="24"/>
      <c r="CD88" s="26"/>
      <c r="CE88" s="26"/>
      <c r="CF88" s="26"/>
      <c r="CG88" s="26"/>
      <c r="CH88" s="26"/>
      <c r="CI88" s="26">
        <v>1</v>
      </c>
      <c r="CJ88" s="26"/>
      <c r="CK88" s="229"/>
      <c r="CL88" s="269"/>
      <c r="CM88" s="26"/>
      <c r="CN88" s="232"/>
      <c r="CO88" s="252"/>
      <c r="CP88" s="26"/>
      <c r="CQ88" s="26"/>
      <c r="CR88" s="26">
        <v>1</v>
      </c>
      <c r="CS88" s="26"/>
      <c r="CT88" s="26"/>
      <c r="CU88" s="26"/>
      <c r="CV88" s="26"/>
      <c r="CW88" s="229"/>
      <c r="CX88" s="269"/>
      <c r="CY88" s="26">
        <v>1</v>
      </c>
      <c r="CZ88" s="232"/>
      <c r="DA88" s="252">
        <v>3</v>
      </c>
      <c r="DB88" s="26"/>
      <c r="DC88" s="26"/>
      <c r="DD88" s="26"/>
      <c r="DE88" s="26"/>
      <c r="DF88" s="26"/>
      <c r="DG88" s="26"/>
      <c r="DH88" s="26"/>
      <c r="DI88" s="229">
        <v>6</v>
      </c>
      <c r="DJ88" s="269"/>
      <c r="DK88" s="26"/>
      <c r="DL88" s="232">
        <v>1</v>
      </c>
      <c r="DM88" s="252"/>
      <c r="DN88" s="26">
        <v>4</v>
      </c>
      <c r="DO88" s="26"/>
      <c r="DP88" s="26"/>
      <c r="DQ88" s="26"/>
      <c r="DR88" s="26">
        <v>4</v>
      </c>
      <c r="DS88" s="26"/>
      <c r="DT88" s="26"/>
      <c r="DU88" s="229"/>
      <c r="DV88" s="269"/>
      <c r="DW88" s="26"/>
      <c r="DX88" s="232"/>
      <c r="DY88" s="252"/>
      <c r="DZ88" s="26"/>
      <c r="EA88" s="26"/>
      <c r="EB88" s="26"/>
      <c r="EC88" s="26"/>
      <c r="ED88" s="26"/>
      <c r="EE88" s="26"/>
      <c r="EF88" s="26"/>
      <c r="EG88" s="229"/>
      <c r="EH88" s="269"/>
      <c r="EI88" s="26"/>
      <c r="EJ88" s="232"/>
    </row>
    <row r="89" spans="1:140" x14ac:dyDescent="0.2">
      <c r="A89" s="19"/>
      <c r="B89" s="11" t="s">
        <v>1268</v>
      </c>
      <c r="C89" s="23">
        <v>0</v>
      </c>
      <c r="D89" s="248">
        <v>0</v>
      </c>
      <c r="E89" s="23">
        <v>0</v>
      </c>
      <c r="F89" s="25">
        <f t="shared" si="1"/>
        <v>0</v>
      </c>
      <c r="G89" s="144">
        <v>0</v>
      </c>
      <c r="H89" s="144">
        <v>0</v>
      </c>
      <c r="I89" s="144">
        <v>0</v>
      </c>
      <c r="J89" s="23">
        <v>0</v>
      </c>
      <c r="K89" s="248">
        <v>0</v>
      </c>
      <c r="L89" s="248">
        <v>5</v>
      </c>
      <c r="AA89"/>
      <c r="AB89" s="8" t="s">
        <v>5570</v>
      </c>
      <c r="AC89" s="133">
        <v>5979</v>
      </c>
      <c r="AD89" s="174" t="s">
        <v>632</v>
      </c>
      <c r="AE89" s="60">
        <f t="shared" si="2"/>
        <v>27</v>
      </c>
      <c r="AF89" s="107">
        <f t="shared" si="3"/>
        <v>8</v>
      </c>
      <c r="AG89" s="370"/>
      <c r="AH89" s="366"/>
      <c r="AI89" s="294"/>
      <c r="AJ89" s="26"/>
      <c r="AK89" s="374"/>
      <c r="AL89" s="374"/>
      <c r="AO89" s="294"/>
      <c r="AR89" s="374"/>
      <c r="AS89" s="13"/>
      <c r="AY89"/>
      <c r="AZ89" s="374"/>
      <c r="BA89" s="4"/>
      <c r="BE89" s="13"/>
      <c r="BF89" s="26"/>
      <c r="BG89" s="26"/>
      <c r="BH89" s="26"/>
      <c r="BI89" s="26"/>
      <c r="BJ89" s="26"/>
      <c r="BK89" s="26"/>
      <c r="BL89" s="26"/>
      <c r="BM89" s="26"/>
      <c r="BP89" s="122"/>
      <c r="BQ89" s="24"/>
      <c r="BR89" s="26"/>
      <c r="BS89" s="20"/>
      <c r="BT89" s="26"/>
      <c r="BV89" s="26"/>
      <c r="BW89" s="26"/>
      <c r="BX89" s="229"/>
      <c r="BY89" s="229">
        <v>1</v>
      </c>
      <c r="BZ89" s="269"/>
      <c r="CB89" s="232"/>
      <c r="CC89" s="24"/>
      <c r="CD89" s="26"/>
      <c r="CE89" s="26"/>
      <c r="CF89" s="26"/>
      <c r="CG89" s="26"/>
      <c r="CH89" s="26"/>
      <c r="CI89" s="26"/>
      <c r="CJ89" s="26"/>
      <c r="CK89" s="229"/>
      <c r="CL89" s="269"/>
      <c r="CM89" s="26"/>
      <c r="CN89" s="232"/>
      <c r="CO89" s="252"/>
      <c r="CP89" s="26"/>
      <c r="CQ89" s="26"/>
      <c r="CR89" s="26"/>
      <c r="CS89" s="26"/>
      <c r="CT89" s="26"/>
      <c r="CU89" s="26"/>
      <c r="CV89" s="26"/>
      <c r="CW89" s="229"/>
      <c r="CX89" s="269"/>
      <c r="CY89" s="26"/>
      <c r="CZ89" s="232"/>
      <c r="DA89" s="252"/>
      <c r="DB89" s="26"/>
      <c r="DC89" s="26"/>
      <c r="DD89" s="26"/>
      <c r="DE89" s="26"/>
      <c r="DF89" s="26"/>
      <c r="DG89" s="26"/>
      <c r="DH89" s="26"/>
      <c r="DI89" s="229"/>
      <c r="DJ89" s="269"/>
      <c r="DK89" s="26"/>
      <c r="DL89" s="232"/>
      <c r="DM89" s="252">
        <v>1</v>
      </c>
      <c r="DN89" s="26"/>
      <c r="DO89" s="26"/>
      <c r="DP89" s="26"/>
      <c r="DQ89" s="26"/>
      <c r="DR89" s="26"/>
      <c r="DS89" s="26"/>
      <c r="DT89" s="26"/>
      <c r="DU89" s="229"/>
      <c r="DV89" s="269">
        <v>9</v>
      </c>
      <c r="DW89" s="26"/>
      <c r="DX89" s="232">
        <v>3</v>
      </c>
      <c r="DY89" s="252"/>
      <c r="DZ89" s="26">
        <v>2</v>
      </c>
      <c r="EA89" s="26">
        <v>1</v>
      </c>
      <c r="EB89" s="26"/>
      <c r="EC89" s="26">
        <v>5</v>
      </c>
      <c r="ED89" s="26">
        <v>5</v>
      </c>
      <c r="EE89" s="26"/>
      <c r="EF89" s="26"/>
      <c r="EG89" s="229"/>
      <c r="EH89" s="269"/>
      <c r="EI89" s="26"/>
      <c r="EJ89" s="232"/>
    </row>
    <row r="90" spans="1:140" x14ac:dyDescent="0.2">
      <c r="A90" s="19"/>
      <c r="B90" s="11" t="s">
        <v>1269</v>
      </c>
      <c r="C90" s="23">
        <v>0</v>
      </c>
      <c r="D90" s="248">
        <v>0</v>
      </c>
      <c r="E90" s="23">
        <v>0</v>
      </c>
      <c r="F90" s="25">
        <f t="shared" si="1"/>
        <v>0</v>
      </c>
      <c r="G90" s="144">
        <v>0</v>
      </c>
      <c r="H90" s="144">
        <v>0</v>
      </c>
      <c r="I90" s="144">
        <v>0</v>
      </c>
      <c r="J90" s="23">
        <v>0</v>
      </c>
      <c r="K90" s="248">
        <v>114.40600000000001</v>
      </c>
      <c r="L90" s="248">
        <v>7</v>
      </c>
      <c r="AA90"/>
      <c r="AB90" s="8" t="s">
        <v>4337</v>
      </c>
      <c r="AC90" s="133">
        <v>5997</v>
      </c>
      <c r="AD90" s="174" t="s">
        <v>137</v>
      </c>
      <c r="AE90" s="60">
        <f t="shared" si="2"/>
        <v>4</v>
      </c>
      <c r="AF90" s="107">
        <f t="shared" si="3"/>
        <v>2</v>
      </c>
      <c r="AG90" s="370"/>
      <c r="AH90" s="366"/>
      <c r="AI90" s="294"/>
      <c r="AJ90" s="26"/>
      <c r="AK90" s="374"/>
      <c r="AL90" s="374"/>
      <c r="AO90" s="294"/>
      <c r="AR90" s="376"/>
      <c r="AS90" s="13"/>
      <c r="AY90"/>
      <c r="AZ90" s="374"/>
      <c r="BA90" s="4"/>
      <c r="BD90" s="55"/>
      <c r="BE90" s="13"/>
      <c r="BF90" s="26"/>
      <c r="BG90" s="26"/>
      <c r="BH90" s="26"/>
      <c r="BI90" s="26"/>
      <c r="BJ90" s="26"/>
      <c r="BK90" s="26"/>
      <c r="BL90" s="26"/>
      <c r="BM90" s="26"/>
      <c r="BP90" s="122">
        <v>2</v>
      </c>
      <c r="BQ90" s="24"/>
      <c r="BR90" s="26"/>
      <c r="BS90" s="20"/>
      <c r="BT90" s="26"/>
      <c r="BV90" s="26"/>
      <c r="BW90" s="26"/>
      <c r="BX90" s="229"/>
      <c r="BY90" s="229"/>
      <c r="BZ90" s="269"/>
      <c r="CA90" s="229">
        <v>2</v>
      </c>
      <c r="CB90" s="232"/>
      <c r="CC90" s="24"/>
      <c r="CD90" s="26"/>
      <c r="CE90" s="26"/>
      <c r="CF90" s="26"/>
      <c r="CG90" s="26"/>
      <c r="CH90" s="26"/>
      <c r="CI90" s="26"/>
      <c r="CJ90" s="26"/>
      <c r="CK90" s="229"/>
      <c r="CL90" s="269"/>
      <c r="CM90" s="26"/>
      <c r="CN90" s="232"/>
      <c r="CO90" s="252"/>
      <c r="CP90" s="26"/>
      <c r="CQ90" s="26"/>
      <c r="CR90" s="26"/>
      <c r="CS90" s="26"/>
      <c r="CT90" s="26"/>
      <c r="CU90" s="26"/>
      <c r="CV90" s="26"/>
      <c r="CW90" s="229"/>
      <c r="CX90" s="269"/>
      <c r="CY90" s="26"/>
      <c r="CZ90" s="232"/>
      <c r="DA90" s="252"/>
      <c r="DB90" s="26"/>
      <c r="DC90" s="26"/>
      <c r="DD90" s="26"/>
      <c r="DE90" s="26"/>
      <c r="DF90" s="26"/>
      <c r="DG90" s="26"/>
      <c r="DH90" s="26"/>
      <c r="DI90" s="229"/>
      <c r="DJ90" s="269"/>
      <c r="DK90" s="26"/>
      <c r="DL90" s="232"/>
      <c r="DM90" s="252"/>
      <c r="DN90" s="26"/>
      <c r="DO90" s="26"/>
      <c r="DP90" s="26"/>
      <c r="DQ90" s="26"/>
      <c r="DR90" s="26"/>
      <c r="DS90" s="26"/>
      <c r="DT90" s="26"/>
      <c r="DU90" s="229"/>
      <c r="DV90" s="269"/>
      <c r="DW90" s="26"/>
      <c r="DX90" s="232"/>
      <c r="DY90" s="252"/>
      <c r="DZ90" s="26"/>
      <c r="EA90" s="26"/>
      <c r="EB90" s="26"/>
      <c r="EC90" s="26"/>
      <c r="ED90" s="26"/>
      <c r="EE90" s="26"/>
      <c r="EF90" s="26"/>
      <c r="EG90" s="229"/>
      <c r="EH90" s="269"/>
      <c r="EI90" s="26"/>
      <c r="EJ90" s="232"/>
    </row>
    <row r="91" spans="1:140" x14ac:dyDescent="0.2">
      <c r="A91" s="19"/>
      <c r="B91" s="11" t="s">
        <v>1270</v>
      </c>
      <c r="C91" s="23">
        <v>0</v>
      </c>
      <c r="D91" s="248">
        <v>0</v>
      </c>
      <c r="E91" s="23">
        <v>0</v>
      </c>
      <c r="F91" s="25">
        <f t="shared" si="1"/>
        <v>0</v>
      </c>
      <c r="G91" s="144">
        <v>0</v>
      </c>
      <c r="H91" s="144">
        <v>0</v>
      </c>
      <c r="I91" s="144">
        <v>0</v>
      </c>
      <c r="J91" s="23">
        <v>0</v>
      </c>
      <c r="K91" s="248">
        <v>12925.453999999998</v>
      </c>
      <c r="L91" s="248">
        <v>60</v>
      </c>
      <c r="N91"/>
      <c r="O91"/>
      <c r="P91" s="20"/>
      <c r="Q91" s="218"/>
      <c r="R91" s="218"/>
      <c r="AA91"/>
      <c r="AB91" s="8" t="s">
        <v>800</v>
      </c>
      <c r="AC91" s="136">
        <v>6095</v>
      </c>
      <c r="AD91" s="174" t="s">
        <v>89</v>
      </c>
      <c r="AE91" s="60">
        <f t="shared" si="2"/>
        <v>6</v>
      </c>
      <c r="AF91" s="107">
        <f t="shared" si="3"/>
        <v>3</v>
      </c>
      <c r="AG91" s="370"/>
      <c r="AH91" s="366"/>
      <c r="AI91" s="294"/>
      <c r="AJ91" s="26"/>
      <c r="AK91" s="374"/>
      <c r="AL91" s="374"/>
      <c r="AO91" s="294"/>
      <c r="AR91" s="376"/>
      <c r="AS91" s="13"/>
      <c r="AY91"/>
      <c r="AZ91" s="374"/>
      <c r="BA91" s="4"/>
      <c r="BD91" s="55"/>
      <c r="BE91" s="13"/>
      <c r="BF91" s="26"/>
      <c r="BG91" s="26"/>
      <c r="BH91" s="26"/>
      <c r="BI91" s="26"/>
      <c r="BJ91" s="26"/>
      <c r="BK91" s="26"/>
      <c r="BL91" s="26"/>
      <c r="BM91" s="26"/>
      <c r="BP91" s="122"/>
      <c r="BQ91" s="24"/>
      <c r="BR91" s="26"/>
      <c r="BS91" s="20"/>
      <c r="BT91" s="26"/>
      <c r="BV91" s="26"/>
      <c r="BW91" s="26"/>
      <c r="BX91" s="229"/>
      <c r="BY91" s="229"/>
      <c r="BZ91" s="269">
        <v>1</v>
      </c>
      <c r="CB91" s="232"/>
      <c r="CC91" s="24"/>
      <c r="CD91" s="26"/>
      <c r="CE91" s="26"/>
      <c r="CF91" s="26">
        <v>3</v>
      </c>
      <c r="CG91" s="26">
        <v>2</v>
      </c>
      <c r="CH91" s="26"/>
      <c r="CI91" s="26"/>
      <c r="CJ91" s="26"/>
      <c r="CK91" s="229"/>
      <c r="CL91" s="269"/>
      <c r="CM91" s="26"/>
      <c r="CN91" s="232"/>
      <c r="CO91" s="252"/>
      <c r="CP91" s="26"/>
      <c r="CQ91" s="26"/>
      <c r="CR91" s="26"/>
      <c r="CS91" s="26"/>
      <c r="CT91" s="26"/>
      <c r="CU91" s="26"/>
      <c r="CV91" s="26"/>
      <c r="CW91" s="229"/>
      <c r="CX91" s="269"/>
      <c r="CY91" s="26"/>
      <c r="CZ91" s="232"/>
      <c r="DA91" s="252"/>
      <c r="DB91" s="26"/>
      <c r="DC91" s="26"/>
      <c r="DD91" s="26"/>
      <c r="DE91" s="26"/>
      <c r="DF91" s="26"/>
      <c r="DG91" s="26"/>
      <c r="DH91" s="26"/>
      <c r="DI91" s="229"/>
      <c r="DJ91" s="269"/>
      <c r="DK91" s="26"/>
      <c r="DL91" s="232"/>
      <c r="DM91" s="252"/>
      <c r="DN91" s="26"/>
      <c r="DO91" s="26"/>
      <c r="DP91" s="26"/>
      <c r="DQ91" s="26"/>
      <c r="DR91" s="26"/>
      <c r="DS91" s="26"/>
      <c r="DT91" s="26"/>
      <c r="DU91" s="229"/>
      <c r="DV91" s="269"/>
      <c r="DW91" s="26"/>
      <c r="DX91" s="232"/>
      <c r="DY91" s="252"/>
      <c r="DZ91" s="26"/>
      <c r="EA91" s="26"/>
      <c r="EB91" s="26"/>
      <c r="EC91" s="26"/>
      <c r="ED91" s="26"/>
      <c r="EE91" s="26"/>
      <c r="EF91" s="26"/>
      <c r="EG91" s="229"/>
      <c r="EH91" s="269"/>
      <c r="EI91" s="26"/>
      <c r="EJ91" s="232"/>
    </row>
    <row r="92" spans="1:140" x14ac:dyDescent="0.2">
      <c r="A92" s="17"/>
      <c r="B92" s="16" t="s">
        <v>338</v>
      </c>
      <c r="C92" s="29">
        <v>4</v>
      </c>
      <c r="D92" s="249">
        <v>0</v>
      </c>
      <c r="E92" s="29">
        <v>0</v>
      </c>
      <c r="F92" s="31">
        <f t="shared" si="1"/>
        <v>4</v>
      </c>
      <c r="G92" s="321">
        <v>0</v>
      </c>
      <c r="H92" s="321">
        <v>0</v>
      </c>
      <c r="I92" s="321">
        <v>4</v>
      </c>
      <c r="J92" s="36">
        <v>0</v>
      </c>
      <c r="K92" s="249">
        <v>0</v>
      </c>
      <c r="L92" s="249">
        <v>18</v>
      </c>
      <c r="O92"/>
      <c r="P92" s="20"/>
      <c r="Q92" s="218"/>
      <c r="R92" s="218"/>
      <c r="AA92"/>
      <c r="AB92" s="8" t="s">
        <v>860</v>
      </c>
      <c r="AC92" s="136">
        <v>6110</v>
      </c>
      <c r="AD92" s="174" t="s">
        <v>218</v>
      </c>
      <c r="AE92" s="60">
        <f t="shared" si="2"/>
        <v>1</v>
      </c>
      <c r="AF92" s="107">
        <f t="shared" si="3"/>
        <v>1</v>
      </c>
      <c r="AG92" s="370"/>
      <c r="AH92" s="366"/>
      <c r="AI92" s="294"/>
      <c r="AJ92" s="26"/>
      <c r="AK92" s="374"/>
      <c r="AL92" s="374"/>
      <c r="AO92" s="294"/>
      <c r="AR92" s="376"/>
      <c r="AS92" s="13"/>
      <c r="AY92"/>
      <c r="AZ92" s="374"/>
      <c r="BA92" s="4"/>
      <c r="BD92" s="55"/>
      <c r="BE92" s="13"/>
      <c r="BF92" s="26"/>
      <c r="BG92" s="26"/>
      <c r="BH92" s="26"/>
      <c r="BI92" s="26"/>
      <c r="BJ92" s="26"/>
      <c r="BK92" s="26"/>
      <c r="BL92" s="26"/>
      <c r="BM92" s="26"/>
      <c r="BP92" s="122"/>
      <c r="BQ92" s="24"/>
      <c r="BR92" s="26"/>
      <c r="BS92" s="20"/>
      <c r="BT92" s="26"/>
      <c r="BV92" s="26"/>
      <c r="BW92" s="26"/>
      <c r="BX92" s="229"/>
      <c r="BY92" s="229"/>
      <c r="BZ92" s="269"/>
      <c r="CA92" s="229">
        <v>1</v>
      </c>
      <c r="CB92" s="232"/>
      <c r="CC92" s="24"/>
      <c r="CD92" s="26"/>
      <c r="CE92" s="26"/>
      <c r="CF92" s="26"/>
      <c r="CG92" s="26"/>
      <c r="CH92" s="26"/>
      <c r="CI92" s="26"/>
      <c r="CJ92" s="26"/>
      <c r="CK92" s="229"/>
      <c r="CL92" s="269"/>
      <c r="CM92" s="26"/>
      <c r="CN92" s="232"/>
      <c r="CO92" s="252"/>
      <c r="CP92" s="26"/>
      <c r="CQ92" s="26"/>
      <c r="CR92" s="26"/>
      <c r="CS92" s="26"/>
      <c r="CT92" s="26"/>
      <c r="CU92" s="26"/>
      <c r="CV92" s="26"/>
      <c r="CW92" s="229"/>
      <c r="CX92" s="269"/>
      <c r="CY92" s="26"/>
      <c r="CZ92" s="232"/>
      <c r="DA92" s="252"/>
      <c r="DB92" s="26"/>
      <c r="DC92" s="26"/>
      <c r="DD92" s="26"/>
      <c r="DE92" s="26"/>
      <c r="DF92" s="26"/>
      <c r="DG92" s="26"/>
      <c r="DH92" s="26"/>
      <c r="DI92" s="229"/>
      <c r="DJ92" s="269"/>
      <c r="DK92" s="26"/>
      <c r="DL92" s="232"/>
      <c r="DM92" s="252"/>
      <c r="DN92" s="26"/>
      <c r="DO92" s="26"/>
      <c r="DP92" s="26"/>
      <c r="DQ92" s="26"/>
      <c r="DR92" s="26"/>
      <c r="DS92" s="26"/>
      <c r="DT92" s="26"/>
      <c r="DU92" s="229"/>
      <c r="DV92" s="269"/>
      <c r="DW92" s="26"/>
      <c r="DX92" s="232"/>
      <c r="DY92" s="252"/>
      <c r="DZ92" s="26"/>
      <c r="EA92" s="26"/>
      <c r="EB92" s="26"/>
      <c r="EC92" s="26"/>
      <c r="ED92" s="26"/>
      <c r="EE92" s="26"/>
      <c r="EF92" s="26"/>
      <c r="EG92" s="229"/>
      <c r="EH92" s="269"/>
      <c r="EI92" s="26"/>
      <c r="EJ92" s="232"/>
    </row>
    <row r="93" spans="1:140" x14ac:dyDescent="0.2">
      <c r="A93" s="19" t="s">
        <v>1241</v>
      </c>
      <c r="B93" s="8" t="s">
        <v>35</v>
      </c>
      <c r="C93" s="23">
        <v>0</v>
      </c>
      <c r="D93" s="248">
        <v>0</v>
      </c>
      <c r="E93" s="23">
        <v>0</v>
      </c>
      <c r="F93" s="25">
        <f t="shared" ref="F93:F98" si="5">+C93+D93+E93</f>
        <v>0</v>
      </c>
      <c r="G93" s="144">
        <v>0</v>
      </c>
      <c r="H93" s="144">
        <v>0</v>
      </c>
      <c r="I93" s="144">
        <v>0</v>
      </c>
      <c r="J93" s="34">
        <v>0</v>
      </c>
      <c r="K93" s="248">
        <v>95.197000000000003</v>
      </c>
      <c r="L93" s="248">
        <v>1</v>
      </c>
      <c r="N93" s="12" t="s">
        <v>1273</v>
      </c>
      <c r="O93"/>
      <c r="P93" s="20"/>
      <c r="Q93" s="218"/>
      <c r="R93" s="218"/>
      <c r="AA93"/>
      <c r="AB93" s="8" t="s">
        <v>1984</v>
      </c>
      <c r="AC93" s="136">
        <v>6161</v>
      </c>
      <c r="AD93" s="174" t="s">
        <v>42</v>
      </c>
      <c r="AE93" s="60">
        <f t="shared" si="2"/>
        <v>1</v>
      </c>
      <c r="AF93" s="107">
        <f t="shared" si="3"/>
        <v>1</v>
      </c>
      <c r="AG93" s="370"/>
      <c r="AH93" s="366"/>
      <c r="AI93" s="294"/>
      <c r="AJ93" s="26"/>
      <c r="AK93" s="374"/>
      <c r="AL93" s="374"/>
      <c r="AO93" s="294"/>
      <c r="AR93" s="376"/>
      <c r="AS93" s="13"/>
      <c r="AY93"/>
      <c r="AZ93" s="374"/>
      <c r="BA93" s="4"/>
      <c r="BD93" s="55"/>
      <c r="BE93" s="13"/>
      <c r="BF93" s="26"/>
      <c r="BG93" s="26"/>
      <c r="BH93" s="26"/>
      <c r="BI93" s="26"/>
      <c r="BJ93" s="26"/>
      <c r="BK93" s="26"/>
      <c r="BL93" s="26"/>
      <c r="BM93" s="26"/>
      <c r="BP93" s="122"/>
      <c r="BQ93" s="24"/>
      <c r="BR93" s="26"/>
      <c r="BS93" s="20"/>
      <c r="BT93" s="26"/>
      <c r="BV93" s="26"/>
      <c r="BW93" s="26"/>
      <c r="BX93" s="229"/>
      <c r="BY93" s="229"/>
      <c r="BZ93" s="269"/>
      <c r="CB93" s="232"/>
      <c r="CC93" s="24"/>
      <c r="CD93" s="26"/>
      <c r="CE93" s="26"/>
      <c r="CF93" s="26"/>
      <c r="CG93" s="26"/>
      <c r="CH93" s="26"/>
      <c r="CI93" s="26"/>
      <c r="CJ93" s="26"/>
      <c r="CK93" s="229"/>
      <c r="CL93" s="269"/>
      <c r="CM93" s="26"/>
      <c r="CN93" s="232"/>
      <c r="CO93" s="252"/>
      <c r="CP93" s="26"/>
      <c r="CQ93" s="26"/>
      <c r="CR93" s="26"/>
      <c r="CS93" s="26"/>
      <c r="CT93" s="26"/>
      <c r="CU93" s="26"/>
      <c r="CV93" s="26"/>
      <c r="CW93" s="229"/>
      <c r="CX93" s="269"/>
      <c r="CY93" s="26"/>
      <c r="CZ93" s="232"/>
      <c r="DA93" s="252"/>
      <c r="DB93" s="26"/>
      <c r="DC93" s="26"/>
      <c r="DD93" s="26"/>
      <c r="DE93" s="26"/>
      <c r="DF93" s="26"/>
      <c r="DG93" s="26"/>
      <c r="DH93" s="26"/>
      <c r="DI93" s="229"/>
      <c r="DJ93" s="269"/>
      <c r="DK93" s="26"/>
      <c r="DL93" s="232"/>
      <c r="DM93" s="252"/>
      <c r="DN93" s="26"/>
      <c r="DO93" s="26">
        <v>1</v>
      </c>
      <c r="DP93" s="26"/>
      <c r="DQ93" s="26"/>
      <c r="DR93" s="26"/>
      <c r="DS93" s="26"/>
      <c r="DT93" s="26"/>
      <c r="DU93" s="229"/>
      <c r="DV93" s="269"/>
      <c r="DW93" s="26"/>
      <c r="DX93" s="232"/>
      <c r="DY93" s="252"/>
      <c r="DZ93" s="26"/>
      <c r="EA93" s="26"/>
      <c r="EB93" s="26"/>
      <c r="EC93" s="26"/>
      <c r="ED93" s="26"/>
      <c r="EE93" s="26"/>
      <c r="EF93" s="26"/>
      <c r="EG93" s="229"/>
      <c r="EH93" s="269"/>
      <c r="EI93" s="26"/>
      <c r="EJ93" s="232"/>
    </row>
    <row r="94" spans="1:140" x14ac:dyDescent="0.2">
      <c r="A94" s="19" t="s">
        <v>1271</v>
      </c>
      <c r="B94" s="8" t="s">
        <v>1272</v>
      </c>
      <c r="C94" s="23">
        <v>0</v>
      </c>
      <c r="D94" s="248">
        <v>0</v>
      </c>
      <c r="E94" s="23">
        <v>0</v>
      </c>
      <c r="F94" s="25">
        <f t="shared" si="5"/>
        <v>0</v>
      </c>
      <c r="G94" s="144">
        <v>0</v>
      </c>
      <c r="H94" s="144">
        <v>0</v>
      </c>
      <c r="I94" s="144">
        <v>0</v>
      </c>
      <c r="J94" s="34">
        <v>0</v>
      </c>
      <c r="K94" s="248">
        <v>9.391</v>
      </c>
      <c r="L94" s="248">
        <v>5</v>
      </c>
      <c r="N94"/>
      <c r="O94"/>
      <c r="P94" s="20"/>
      <c r="Q94" s="218"/>
      <c r="R94" s="218"/>
      <c r="AA94"/>
      <c r="AB94" s="8" t="s">
        <v>771</v>
      </c>
      <c r="AC94" s="136">
        <v>6198</v>
      </c>
      <c r="AD94" s="174" t="s">
        <v>667</v>
      </c>
      <c r="AE94" s="60">
        <f t="shared" si="2"/>
        <v>3</v>
      </c>
      <c r="AF94" s="107">
        <f t="shared" si="3"/>
        <v>2</v>
      </c>
      <c r="AG94" s="370"/>
      <c r="AH94" s="366"/>
      <c r="AI94" s="294"/>
      <c r="AJ94" s="26"/>
      <c r="AK94" s="374"/>
      <c r="AL94" s="374"/>
      <c r="AO94" s="294"/>
      <c r="AR94" s="376"/>
      <c r="AS94" s="13"/>
      <c r="AY94"/>
      <c r="AZ94" s="374"/>
      <c r="BA94" s="4"/>
      <c r="BD94" s="55"/>
      <c r="BE94" s="13"/>
      <c r="BF94" s="26"/>
      <c r="BG94" s="26"/>
      <c r="BH94" s="26"/>
      <c r="BI94" s="26"/>
      <c r="BJ94" s="26"/>
      <c r="BK94" s="26"/>
      <c r="BL94" s="26"/>
      <c r="BM94" s="26"/>
      <c r="BP94" s="122"/>
      <c r="BQ94" s="24"/>
      <c r="BR94" s="26"/>
      <c r="BS94" s="20"/>
      <c r="BT94" s="26"/>
      <c r="BV94" s="26"/>
      <c r="BW94" s="26"/>
      <c r="BX94" s="229"/>
      <c r="BY94" s="229"/>
      <c r="BZ94" s="269"/>
      <c r="CB94" s="232"/>
      <c r="CC94" s="24"/>
      <c r="CD94" s="26"/>
      <c r="CE94" s="26"/>
      <c r="CF94" s="26"/>
      <c r="CG94" s="26"/>
      <c r="CH94" s="26"/>
      <c r="CI94" s="26"/>
      <c r="CJ94" s="26"/>
      <c r="CK94" s="229"/>
      <c r="CL94" s="269"/>
      <c r="CM94" s="26"/>
      <c r="CN94" s="232">
        <v>2</v>
      </c>
      <c r="CO94" s="252"/>
      <c r="CP94" s="26"/>
      <c r="CQ94" s="26"/>
      <c r="CR94" s="26"/>
      <c r="CS94" s="26"/>
      <c r="CT94" s="26"/>
      <c r="CU94" s="26"/>
      <c r="CV94" s="26"/>
      <c r="CW94" s="229"/>
      <c r="CX94" s="269"/>
      <c r="CY94" s="26">
        <v>1</v>
      </c>
      <c r="CZ94" s="232"/>
      <c r="DA94" s="252"/>
      <c r="DB94" s="26"/>
      <c r="DC94" s="26"/>
      <c r="DD94" s="26"/>
      <c r="DE94" s="26"/>
      <c r="DF94" s="26"/>
      <c r="DG94" s="26"/>
      <c r="DH94" s="26"/>
      <c r="DI94" s="229"/>
      <c r="DJ94" s="269"/>
      <c r="DK94" s="26"/>
      <c r="DL94" s="232"/>
      <c r="DM94" s="252"/>
      <c r="DN94" s="26"/>
      <c r="DO94" s="26"/>
      <c r="DP94" s="26"/>
      <c r="DQ94" s="26"/>
      <c r="DR94" s="26"/>
      <c r="DS94" s="26"/>
      <c r="DT94" s="26"/>
      <c r="DU94" s="229"/>
      <c r="DV94" s="269"/>
      <c r="DW94" s="26"/>
      <c r="DX94" s="232"/>
      <c r="DY94" s="252"/>
      <c r="DZ94" s="26"/>
      <c r="EA94" s="26"/>
      <c r="EB94" s="26"/>
      <c r="EC94" s="26"/>
      <c r="ED94" s="26"/>
      <c r="EE94" s="26"/>
      <c r="EF94" s="26"/>
      <c r="EG94" s="229"/>
      <c r="EH94" s="269"/>
      <c r="EI94" s="26"/>
      <c r="EJ94" s="232"/>
    </row>
    <row r="95" spans="1:140" x14ac:dyDescent="0.2">
      <c r="A95" s="19" t="s">
        <v>1204</v>
      </c>
      <c r="B95" s="10" t="s">
        <v>1096</v>
      </c>
      <c r="C95" s="23">
        <v>0</v>
      </c>
      <c r="D95" s="248">
        <v>0</v>
      </c>
      <c r="E95" s="23">
        <v>2</v>
      </c>
      <c r="F95" s="25">
        <f t="shared" si="5"/>
        <v>2</v>
      </c>
      <c r="G95" s="144">
        <v>0</v>
      </c>
      <c r="H95" s="144">
        <v>0</v>
      </c>
      <c r="I95" s="144">
        <v>29</v>
      </c>
      <c r="J95" s="34">
        <v>0</v>
      </c>
      <c r="K95" s="248">
        <v>0</v>
      </c>
      <c r="L95" s="248">
        <v>32</v>
      </c>
      <c r="N95"/>
      <c r="O95"/>
      <c r="P95" s="20"/>
      <c r="Q95" s="218"/>
      <c r="R95" s="218"/>
      <c r="AA95"/>
      <c r="AB95" s="8" t="s">
        <v>4260</v>
      </c>
      <c r="AC95" s="136">
        <v>6207</v>
      </c>
      <c r="AD95" s="174" t="s">
        <v>1059</v>
      </c>
      <c r="AE95" s="60">
        <f t="shared" si="2"/>
        <v>7</v>
      </c>
      <c r="AF95" s="107">
        <f t="shared" si="3"/>
        <v>6</v>
      </c>
      <c r="AG95" s="370"/>
      <c r="AH95" s="366"/>
      <c r="AI95" s="294"/>
      <c r="AJ95" s="26"/>
      <c r="AK95" s="374"/>
      <c r="AL95" s="374"/>
      <c r="AO95" s="294"/>
      <c r="AR95" s="376"/>
      <c r="AS95" s="13"/>
      <c r="AY95"/>
      <c r="AZ95" s="374"/>
      <c r="BA95" s="4"/>
      <c r="BD95" s="55"/>
      <c r="BE95" s="13"/>
      <c r="BF95" s="26"/>
      <c r="BG95" s="26"/>
      <c r="BH95" s="26"/>
      <c r="BI95" s="26"/>
      <c r="BJ95" s="26"/>
      <c r="BK95" s="26"/>
      <c r="BL95" s="26"/>
      <c r="BM95" s="26"/>
      <c r="BP95" s="122"/>
      <c r="BQ95" s="24"/>
      <c r="BR95" s="26"/>
      <c r="BS95" s="20"/>
      <c r="BT95" s="26"/>
      <c r="BV95" s="26"/>
      <c r="BW95" s="26"/>
      <c r="BX95" s="229"/>
      <c r="BY95" s="229"/>
      <c r="BZ95" s="269"/>
      <c r="CB95" s="232"/>
      <c r="CC95" s="24">
        <v>1</v>
      </c>
      <c r="CD95" s="26"/>
      <c r="CE95" s="26"/>
      <c r="CF95" s="26"/>
      <c r="CG95" s="26"/>
      <c r="CH95" s="26"/>
      <c r="CI95" s="26"/>
      <c r="CJ95" s="26"/>
      <c r="CK95" s="229"/>
      <c r="CL95" s="269"/>
      <c r="CM95" s="26"/>
      <c r="CN95" s="232"/>
      <c r="CO95" s="252">
        <v>1</v>
      </c>
      <c r="CP95" s="26">
        <v>1</v>
      </c>
      <c r="CQ95" s="26"/>
      <c r="CR95" s="26"/>
      <c r="CS95" s="26"/>
      <c r="CT95" s="26"/>
      <c r="CU95" s="26">
        <v>2</v>
      </c>
      <c r="CV95" s="26"/>
      <c r="CW95" s="229"/>
      <c r="CX95" s="269"/>
      <c r="CY95" s="26"/>
      <c r="CZ95" s="232"/>
      <c r="DA95" s="252"/>
      <c r="DB95" s="26">
        <v>1</v>
      </c>
      <c r="DC95" s="26"/>
      <c r="DD95" s="26"/>
      <c r="DE95" s="26"/>
      <c r="DF95" s="26"/>
      <c r="DG95" s="26"/>
      <c r="DH95" s="26"/>
      <c r="DI95" s="229"/>
      <c r="DJ95" s="269"/>
      <c r="DK95" s="26"/>
      <c r="DL95" s="232"/>
      <c r="DM95" s="252"/>
      <c r="DN95" s="26"/>
      <c r="DO95" s="26"/>
      <c r="DP95" s="26"/>
      <c r="DQ95" s="26"/>
      <c r="DR95" s="26"/>
      <c r="DS95" s="26"/>
      <c r="DT95" s="26"/>
      <c r="DU95" s="229"/>
      <c r="DV95" s="269"/>
      <c r="DW95" s="26"/>
      <c r="DX95" s="232"/>
      <c r="DY95" s="252"/>
      <c r="DZ95" s="26"/>
      <c r="EA95" s="26"/>
      <c r="EB95" s="26"/>
      <c r="EC95" s="26"/>
      <c r="ED95" s="26">
        <v>1</v>
      </c>
      <c r="EE95" s="26"/>
      <c r="EF95" s="26"/>
      <c r="EG95" s="229"/>
      <c r="EH95" s="269"/>
      <c r="EI95" s="26"/>
      <c r="EJ95" s="232"/>
    </row>
    <row r="96" spans="1:140" x14ac:dyDescent="0.2">
      <c r="A96" s="27">
        <f>SUM(F92:F101)</f>
        <v>21</v>
      </c>
      <c r="B96" s="69" t="s">
        <v>554</v>
      </c>
      <c r="C96" s="23">
        <v>0</v>
      </c>
      <c r="D96" s="248">
        <v>0</v>
      </c>
      <c r="E96" s="23">
        <v>3</v>
      </c>
      <c r="F96" s="25">
        <f t="shared" si="5"/>
        <v>3</v>
      </c>
      <c r="G96" s="144">
        <v>0</v>
      </c>
      <c r="H96" s="144">
        <v>0</v>
      </c>
      <c r="I96" s="144">
        <v>3</v>
      </c>
      <c r="J96" s="34">
        <v>0</v>
      </c>
      <c r="K96" s="248">
        <v>0</v>
      </c>
      <c r="L96" s="248">
        <v>4</v>
      </c>
      <c r="N96"/>
      <c r="O96"/>
      <c r="Q96" s="218"/>
      <c r="R96" s="218"/>
      <c r="AA96"/>
      <c r="AB96" s="8" t="s">
        <v>898</v>
      </c>
      <c r="AC96" s="136">
        <v>6222</v>
      </c>
      <c r="AD96" s="174" t="s">
        <v>301</v>
      </c>
      <c r="AE96" s="60">
        <f t="shared" si="2"/>
        <v>2</v>
      </c>
      <c r="AF96" s="107">
        <f t="shared" si="3"/>
        <v>2</v>
      </c>
      <c r="AG96" s="370"/>
      <c r="AH96" s="366"/>
      <c r="AI96" s="294"/>
      <c r="AJ96" s="26"/>
      <c r="AK96" s="374"/>
      <c r="AL96" s="374"/>
      <c r="AO96" s="294"/>
      <c r="AR96" s="376"/>
      <c r="AS96" s="13"/>
      <c r="AY96"/>
      <c r="AZ96" s="374"/>
      <c r="BA96" s="4"/>
      <c r="BD96" s="55"/>
      <c r="BE96" s="13"/>
      <c r="BF96" s="26"/>
      <c r="BG96" s="26"/>
      <c r="BH96" s="26"/>
      <c r="BI96" s="26"/>
      <c r="BJ96" s="26"/>
      <c r="BK96" s="26"/>
      <c r="BL96" s="26"/>
      <c r="BM96" s="26"/>
      <c r="BP96" s="122"/>
      <c r="BQ96" s="24"/>
      <c r="BR96" s="26"/>
      <c r="BS96" s="20"/>
      <c r="BT96" s="26"/>
      <c r="BV96" s="26"/>
      <c r="BW96" s="26"/>
      <c r="BX96" s="229"/>
      <c r="BY96" s="229"/>
      <c r="BZ96" s="269"/>
      <c r="CB96" s="232"/>
      <c r="CC96" s="24"/>
      <c r="CD96" s="26"/>
      <c r="CE96" s="26">
        <v>1</v>
      </c>
      <c r="CF96" s="26"/>
      <c r="CG96" s="26"/>
      <c r="CH96" s="26"/>
      <c r="CI96" s="26">
        <v>1</v>
      </c>
      <c r="CJ96" s="26"/>
      <c r="CK96" s="229"/>
      <c r="CL96" s="269"/>
      <c r="CM96" s="26"/>
      <c r="CN96" s="232"/>
      <c r="CO96" s="252"/>
      <c r="CP96" s="26"/>
      <c r="CQ96" s="26"/>
      <c r="CR96" s="26"/>
      <c r="CS96" s="26"/>
      <c r="CT96" s="26"/>
      <c r="CU96" s="26"/>
      <c r="CV96" s="26"/>
      <c r="CW96" s="229"/>
      <c r="CX96" s="269"/>
      <c r="CY96" s="26"/>
      <c r="CZ96" s="232"/>
      <c r="DA96" s="252"/>
      <c r="DB96" s="26"/>
      <c r="DC96" s="26"/>
      <c r="DD96" s="26"/>
      <c r="DE96" s="26"/>
      <c r="DF96" s="26"/>
      <c r="DG96" s="26"/>
      <c r="DH96" s="26"/>
      <c r="DI96" s="229"/>
      <c r="DJ96" s="269"/>
      <c r="DK96" s="26"/>
      <c r="DL96" s="232"/>
      <c r="DM96" s="252"/>
      <c r="DN96" s="26"/>
      <c r="DO96" s="26"/>
      <c r="DP96" s="26"/>
      <c r="DQ96" s="26"/>
      <c r="DR96" s="26"/>
      <c r="DS96" s="26"/>
      <c r="DT96" s="26"/>
      <c r="DU96" s="229"/>
      <c r="DV96" s="269"/>
      <c r="DW96" s="26"/>
      <c r="DX96" s="232"/>
      <c r="DY96" s="252"/>
      <c r="DZ96" s="26"/>
      <c r="EA96" s="26"/>
      <c r="EB96" s="26"/>
      <c r="EC96" s="26"/>
      <c r="ED96" s="26"/>
      <c r="EE96" s="26"/>
      <c r="EF96" s="26"/>
      <c r="EG96" s="229"/>
      <c r="EH96" s="269"/>
      <c r="EI96" s="26"/>
      <c r="EJ96" s="232"/>
    </row>
    <row r="97" spans="1:140" x14ac:dyDescent="0.2">
      <c r="A97" s="19"/>
      <c r="B97" s="10" t="s">
        <v>1274</v>
      </c>
      <c r="C97" s="23">
        <v>0</v>
      </c>
      <c r="D97" s="248">
        <v>0</v>
      </c>
      <c r="E97" s="23">
        <v>0</v>
      </c>
      <c r="F97" s="25">
        <f t="shared" si="5"/>
        <v>0</v>
      </c>
      <c r="G97" s="144">
        <v>0</v>
      </c>
      <c r="H97" s="144">
        <v>0</v>
      </c>
      <c r="I97" s="144">
        <v>0</v>
      </c>
      <c r="J97" s="34">
        <v>0</v>
      </c>
      <c r="K97" s="248">
        <v>0</v>
      </c>
      <c r="L97" s="248">
        <v>2</v>
      </c>
      <c r="N97"/>
      <c r="O97"/>
      <c r="P97" s="20"/>
      <c r="Q97" s="218"/>
      <c r="R97" s="218"/>
      <c r="AA97"/>
      <c r="AB97" s="8" t="s">
        <v>1047</v>
      </c>
      <c r="AC97" s="136">
        <v>6283</v>
      </c>
      <c r="AD97" s="174" t="s">
        <v>1048</v>
      </c>
      <c r="AE97" s="60">
        <f t="shared" ref="AE97:AE130" si="6">SUM(AG97:EJ97)</f>
        <v>3</v>
      </c>
      <c r="AF97" s="107">
        <f t="shared" ref="AF97:AF130" si="7">COUNTA(AG97:EJ97)</f>
        <v>2</v>
      </c>
      <c r="AG97" s="370"/>
      <c r="AH97" s="366"/>
      <c r="AI97" s="294"/>
      <c r="AJ97" s="26"/>
      <c r="AK97" s="374"/>
      <c r="AL97" s="374"/>
      <c r="AO97" s="294"/>
      <c r="AR97" s="376"/>
      <c r="AS97" s="13"/>
      <c r="AY97"/>
      <c r="AZ97" s="374"/>
      <c r="BA97" s="4"/>
      <c r="BD97" s="55"/>
      <c r="BE97" s="13"/>
      <c r="BF97" s="26"/>
      <c r="BG97" s="26"/>
      <c r="BH97" s="26"/>
      <c r="BI97" s="26"/>
      <c r="BJ97" s="26"/>
      <c r="BK97" s="26"/>
      <c r="BL97" s="26"/>
      <c r="BM97" s="26"/>
      <c r="BP97" s="122"/>
      <c r="BQ97" s="24"/>
      <c r="BR97" s="26"/>
      <c r="BS97" s="20"/>
      <c r="BT97" s="26"/>
      <c r="BV97" s="26"/>
      <c r="BW97" s="26"/>
      <c r="BX97" s="229"/>
      <c r="BY97" s="229"/>
      <c r="BZ97" s="269"/>
      <c r="CB97" s="232"/>
      <c r="CC97" s="24"/>
      <c r="CD97" s="26"/>
      <c r="CE97" s="26"/>
      <c r="CF97" s="26"/>
      <c r="CG97" s="26"/>
      <c r="CH97" s="26"/>
      <c r="CI97" s="26"/>
      <c r="CJ97" s="26"/>
      <c r="CK97" s="229"/>
      <c r="CL97" s="269"/>
      <c r="CM97" s="26"/>
      <c r="CN97" s="232"/>
      <c r="CO97" s="252">
        <v>2</v>
      </c>
      <c r="CP97" s="26"/>
      <c r="CQ97" s="26"/>
      <c r="CR97" s="26"/>
      <c r="CS97" s="26"/>
      <c r="CT97" s="26"/>
      <c r="CU97" s="26"/>
      <c r="CV97" s="26"/>
      <c r="CW97" s="229"/>
      <c r="CX97" s="269"/>
      <c r="CY97" s="26"/>
      <c r="CZ97" s="232"/>
      <c r="DA97" s="252"/>
      <c r="DB97" s="26"/>
      <c r="DC97" s="26"/>
      <c r="DD97" s="26"/>
      <c r="DE97" s="26"/>
      <c r="DF97" s="26"/>
      <c r="DG97" s="26"/>
      <c r="DH97" s="26"/>
      <c r="DI97" s="229"/>
      <c r="DJ97" s="269">
        <v>1</v>
      </c>
      <c r="DK97" s="26"/>
      <c r="DL97" s="232"/>
      <c r="DM97" s="252"/>
      <c r="DN97" s="26"/>
      <c r="DO97" s="26"/>
      <c r="DP97" s="26"/>
      <c r="DQ97" s="26"/>
      <c r="DR97" s="26"/>
      <c r="DS97" s="26"/>
      <c r="DT97" s="26"/>
      <c r="DU97" s="229"/>
      <c r="DV97" s="269"/>
      <c r="DW97" s="26"/>
      <c r="DX97" s="232"/>
      <c r="DY97" s="252"/>
      <c r="DZ97" s="26"/>
      <c r="EA97" s="26"/>
      <c r="EB97" s="26"/>
      <c r="EC97" s="26"/>
      <c r="ED97" s="26"/>
      <c r="EE97" s="26"/>
      <c r="EF97" s="26"/>
      <c r="EG97" s="229"/>
      <c r="EH97" s="269"/>
      <c r="EI97" s="26"/>
      <c r="EJ97" s="232"/>
    </row>
    <row r="98" spans="1:140" x14ac:dyDescent="0.2">
      <c r="A98" s="19"/>
      <c r="B98" s="69" t="s">
        <v>1145</v>
      </c>
      <c r="C98" s="23">
        <v>1</v>
      </c>
      <c r="D98" s="248">
        <v>0</v>
      </c>
      <c r="E98" s="23">
        <v>5</v>
      </c>
      <c r="F98" s="25">
        <f t="shared" si="5"/>
        <v>6</v>
      </c>
      <c r="G98" s="144">
        <v>1</v>
      </c>
      <c r="H98" s="144">
        <v>34.664999999999999</v>
      </c>
      <c r="I98" s="144">
        <v>48</v>
      </c>
      <c r="J98" s="34">
        <v>0</v>
      </c>
      <c r="K98" s="248">
        <v>34.664999999999999</v>
      </c>
      <c r="L98" s="248">
        <v>49</v>
      </c>
      <c r="N98"/>
      <c r="O98"/>
      <c r="P98" s="20"/>
      <c r="Q98" s="218"/>
      <c r="R98" s="218"/>
      <c r="AA98"/>
      <c r="AB98" s="8" t="s">
        <v>915</v>
      </c>
      <c r="AC98" s="133">
        <v>6328</v>
      </c>
      <c r="AD98" s="174" t="s">
        <v>42</v>
      </c>
      <c r="AE98" s="60">
        <f t="shared" si="6"/>
        <v>9</v>
      </c>
      <c r="AF98" s="107">
        <f t="shared" si="7"/>
        <v>8</v>
      </c>
      <c r="AG98" s="370"/>
      <c r="AH98" s="366"/>
      <c r="AI98" s="294"/>
      <c r="AJ98" s="26"/>
      <c r="AK98" s="374"/>
      <c r="AL98" s="374"/>
      <c r="AO98" s="294"/>
      <c r="AR98" s="376"/>
      <c r="AS98" s="13"/>
      <c r="AY98"/>
      <c r="AZ98" s="374"/>
      <c r="BA98" s="4"/>
      <c r="BD98" s="55"/>
      <c r="BE98" s="13"/>
      <c r="BF98" s="26"/>
      <c r="BG98" s="26"/>
      <c r="BH98" s="26"/>
      <c r="BI98" s="26"/>
      <c r="BJ98" s="26"/>
      <c r="BK98" s="26"/>
      <c r="BL98" s="26"/>
      <c r="BM98" s="26"/>
      <c r="BP98" s="122"/>
      <c r="BQ98" s="24"/>
      <c r="BR98" s="26">
        <v>1</v>
      </c>
      <c r="BS98" s="20"/>
      <c r="BT98" s="26"/>
      <c r="BU98" s="26">
        <v>2</v>
      </c>
      <c r="BV98" s="26">
        <v>1</v>
      </c>
      <c r="BW98" s="26">
        <v>1</v>
      </c>
      <c r="BX98" s="229"/>
      <c r="BY98" s="229"/>
      <c r="BZ98" s="269"/>
      <c r="CB98" s="232"/>
      <c r="CC98" s="24"/>
      <c r="CD98" s="26">
        <v>1</v>
      </c>
      <c r="CE98" s="26"/>
      <c r="CF98" s="26"/>
      <c r="CG98" s="26"/>
      <c r="CH98" s="26"/>
      <c r="CI98" s="26"/>
      <c r="CJ98" s="26"/>
      <c r="CK98" s="229"/>
      <c r="CL98" s="269"/>
      <c r="CM98" s="26"/>
      <c r="CN98" s="232"/>
      <c r="CO98" s="252"/>
      <c r="CP98" s="26"/>
      <c r="CQ98" s="26">
        <v>1</v>
      </c>
      <c r="CR98" s="26">
        <v>1</v>
      </c>
      <c r="CS98" s="26"/>
      <c r="CT98" s="26"/>
      <c r="CU98" s="26"/>
      <c r="CV98" s="26"/>
      <c r="CW98" s="229"/>
      <c r="CX98" s="269"/>
      <c r="CY98" s="26"/>
      <c r="CZ98" s="232"/>
      <c r="DA98" s="252"/>
      <c r="DB98" s="26"/>
      <c r="DC98" s="26"/>
      <c r="DD98" s="26"/>
      <c r="DE98" s="26"/>
      <c r="DF98" s="26"/>
      <c r="DG98" s="26"/>
      <c r="DH98" s="26"/>
      <c r="DI98" s="229"/>
      <c r="DJ98" s="269"/>
      <c r="DK98" s="26"/>
      <c r="DL98" s="232"/>
      <c r="DM98" s="252"/>
      <c r="DN98" s="26"/>
      <c r="DO98" s="26"/>
      <c r="DP98" s="26"/>
      <c r="DQ98" s="26"/>
      <c r="DR98" s="26"/>
      <c r="DS98" s="26">
        <v>1</v>
      </c>
      <c r="DT98" s="26"/>
      <c r="DU98" s="229"/>
      <c r="DV98" s="269"/>
      <c r="DW98" s="26"/>
      <c r="DX98" s="232"/>
      <c r="DY98" s="252"/>
      <c r="DZ98" s="26"/>
      <c r="EA98" s="26"/>
      <c r="EB98" s="26"/>
      <c r="EC98" s="26"/>
      <c r="ED98" s="26"/>
      <c r="EE98" s="26"/>
      <c r="EF98" s="26"/>
      <c r="EG98" s="229"/>
      <c r="EH98" s="269"/>
      <c r="EI98" s="26"/>
      <c r="EJ98" s="232"/>
    </row>
    <row r="99" spans="1:140" x14ac:dyDescent="0.2">
      <c r="B99" s="581" t="s">
        <v>4335</v>
      </c>
      <c r="C99" s="23">
        <v>0</v>
      </c>
      <c r="D99" s="248">
        <v>0</v>
      </c>
      <c r="E99" s="23">
        <v>0</v>
      </c>
      <c r="F99" s="25">
        <f t="shared" ref="F99" si="8">+C99+D99+E99</f>
        <v>0</v>
      </c>
      <c r="G99" s="144">
        <v>0</v>
      </c>
      <c r="H99" s="144">
        <v>0</v>
      </c>
      <c r="I99" s="144">
        <v>0</v>
      </c>
      <c r="J99" s="34">
        <v>0</v>
      </c>
      <c r="K99" s="248">
        <v>0</v>
      </c>
      <c r="L99" s="248">
        <v>3</v>
      </c>
      <c r="N99"/>
      <c r="O99"/>
      <c r="P99" s="20"/>
      <c r="Q99" s="218"/>
      <c r="R99" s="218"/>
      <c r="AA99"/>
      <c r="AB99" s="8" t="s">
        <v>865</v>
      </c>
      <c r="AC99" s="133">
        <v>6434</v>
      </c>
      <c r="AD99" s="174" t="s">
        <v>58</v>
      </c>
      <c r="AE99" s="60">
        <f t="shared" si="6"/>
        <v>1</v>
      </c>
      <c r="AF99" s="107">
        <f t="shared" si="7"/>
        <v>1</v>
      </c>
      <c r="AG99" s="370"/>
      <c r="AH99" s="366"/>
      <c r="AI99" s="294"/>
      <c r="AJ99" s="26"/>
      <c r="AK99" s="374"/>
      <c r="AL99" s="374"/>
      <c r="AO99" s="294"/>
      <c r="AR99" s="376"/>
      <c r="AS99" s="13"/>
      <c r="AY99"/>
      <c r="AZ99" s="374"/>
      <c r="BA99" s="4"/>
      <c r="BD99" s="55"/>
      <c r="BE99" s="13"/>
      <c r="BF99" s="26"/>
      <c r="BG99" s="26"/>
      <c r="BH99" s="26"/>
      <c r="BI99" s="26"/>
      <c r="BJ99" s="26"/>
      <c r="BK99" s="26"/>
      <c r="BL99" s="26"/>
      <c r="BM99" s="26"/>
      <c r="BP99" s="122"/>
      <c r="BQ99" s="24"/>
      <c r="BR99" s="26"/>
      <c r="BS99" s="20"/>
      <c r="BT99" s="26"/>
      <c r="BV99" s="26"/>
      <c r="BW99" s="26"/>
      <c r="BX99" s="229"/>
      <c r="BY99" s="229"/>
      <c r="BZ99" s="269"/>
      <c r="CB99" s="232"/>
      <c r="CC99" s="24"/>
      <c r="CD99" s="26"/>
      <c r="CE99" s="26"/>
      <c r="CF99" s="26"/>
      <c r="CG99" s="26"/>
      <c r="CH99" s="26"/>
      <c r="CI99" s="26"/>
      <c r="CJ99" s="26"/>
      <c r="CK99" s="229"/>
      <c r="CL99" s="269"/>
      <c r="CM99" s="26"/>
      <c r="CN99" s="232"/>
      <c r="CO99" s="252">
        <v>1</v>
      </c>
      <c r="CP99" s="26"/>
      <c r="CQ99" s="26"/>
      <c r="CR99" s="26"/>
      <c r="CS99" s="26"/>
      <c r="CT99" s="26"/>
      <c r="CU99" s="26"/>
      <c r="CV99" s="26"/>
      <c r="CW99" s="229"/>
      <c r="CX99" s="269"/>
      <c r="CY99" s="26"/>
      <c r="CZ99" s="232"/>
      <c r="DA99" s="252"/>
      <c r="DB99" s="26"/>
      <c r="DC99" s="26"/>
      <c r="DD99" s="26"/>
      <c r="DE99" s="26"/>
      <c r="DF99" s="26"/>
      <c r="DG99" s="26"/>
      <c r="DH99" s="26"/>
      <c r="DI99" s="229"/>
      <c r="DJ99" s="269"/>
      <c r="DK99" s="26"/>
      <c r="DL99" s="232"/>
      <c r="DM99" s="252"/>
      <c r="DN99" s="26"/>
      <c r="DO99" s="26"/>
      <c r="DP99" s="26"/>
      <c r="DQ99" s="26"/>
      <c r="DR99" s="26"/>
      <c r="DS99" s="26"/>
      <c r="DT99" s="26"/>
      <c r="DU99" s="229"/>
      <c r="DV99" s="269"/>
      <c r="DW99" s="26"/>
      <c r="DX99" s="232"/>
      <c r="DY99" s="252"/>
      <c r="DZ99" s="26"/>
      <c r="EA99" s="26"/>
      <c r="EB99" s="26"/>
      <c r="EC99" s="26"/>
      <c r="ED99" s="26"/>
      <c r="EE99" s="26"/>
      <c r="EF99" s="26"/>
      <c r="EG99" s="229"/>
      <c r="EH99" s="269"/>
      <c r="EI99" s="26"/>
      <c r="EJ99" s="232"/>
    </row>
    <row r="100" spans="1:140" x14ac:dyDescent="0.2">
      <c r="A100" s="19"/>
      <c r="B100" s="10" t="s">
        <v>1275</v>
      </c>
      <c r="C100" s="23">
        <v>1</v>
      </c>
      <c r="D100" s="248">
        <v>0</v>
      </c>
      <c r="E100" s="23">
        <v>0</v>
      </c>
      <c r="F100" s="25">
        <f>+C100+D100+E100</f>
        <v>1</v>
      </c>
      <c r="G100" s="144">
        <v>0</v>
      </c>
      <c r="H100" s="144">
        <v>0</v>
      </c>
      <c r="I100" s="144">
        <v>1</v>
      </c>
      <c r="J100" s="34">
        <v>0</v>
      </c>
      <c r="K100" s="248">
        <v>124.059</v>
      </c>
      <c r="L100" s="248">
        <v>5</v>
      </c>
      <c r="N100"/>
      <c r="O100"/>
      <c r="P100" s="20"/>
      <c r="Q100" s="218"/>
      <c r="R100" s="218"/>
      <c r="AA100"/>
      <c r="AB100" s="8" t="s">
        <v>401</v>
      </c>
      <c r="AC100" s="133">
        <v>6573</v>
      </c>
      <c r="AD100" s="174" t="s">
        <v>151</v>
      </c>
      <c r="AE100" s="60">
        <f t="shared" si="6"/>
        <v>1</v>
      </c>
      <c r="AF100" s="107">
        <f t="shared" si="7"/>
        <v>1</v>
      </c>
      <c r="AG100" s="370"/>
      <c r="AH100" s="366"/>
      <c r="AI100" s="294"/>
      <c r="AJ100" s="26"/>
      <c r="AK100" s="374"/>
      <c r="AL100" s="374"/>
      <c r="AO100" s="294"/>
      <c r="AR100" s="376"/>
      <c r="AS100" s="13"/>
      <c r="AY100"/>
      <c r="AZ100" s="374"/>
      <c r="BA100" s="4"/>
      <c r="BD100" s="55"/>
      <c r="BE100" s="13"/>
      <c r="BF100" s="26"/>
      <c r="BG100" s="26"/>
      <c r="BH100" s="26"/>
      <c r="BI100" s="26"/>
      <c r="BJ100" s="26"/>
      <c r="BK100" s="26"/>
      <c r="BL100" s="26"/>
      <c r="BM100" s="26"/>
      <c r="BP100" s="122"/>
      <c r="BQ100" s="24"/>
      <c r="BR100" s="26"/>
      <c r="BS100" s="20"/>
      <c r="BT100" s="26"/>
      <c r="BV100" s="26"/>
      <c r="BW100" s="26"/>
      <c r="BX100" s="229"/>
      <c r="BY100" s="229"/>
      <c r="BZ100" s="269"/>
      <c r="CB100" s="232"/>
      <c r="CC100" s="24"/>
      <c r="CD100" s="26"/>
      <c r="CE100" s="26"/>
      <c r="CF100" s="26"/>
      <c r="CG100" s="26"/>
      <c r="CH100" s="26"/>
      <c r="CI100" s="26"/>
      <c r="CJ100" s="26"/>
      <c r="CK100" s="229"/>
      <c r="CL100" s="269"/>
      <c r="CM100" s="26"/>
      <c r="CN100" s="232"/>
      <c r="CO100" s="252"/>
      <c r="CP100" s="26"/>
      <c r="CQ100" s="26"/>
      <c r="CR100" s="26"/>
      <c r="CS100" s="26"/>
      <c r="CT100" s="26"/>
      <c r="CU100" s="26"/>
      <c r="CV100" s="26"/>
      <c r="CW100" s="229"/>
      <c r="CX100" s="269"/>
      <c r="CY100" s="26"/>
      <c r="CZ100" s="232"/>
      <c r="DA100" s="252"/>
      <c r="DB100" s="26"/>
      <c r="DC100" s="26"/>
      <c r="DD100" s="26">
        <v>1</v>
      </c>
      <c r="DE100" s="26"/>
      <c r="DF100" s="26"/>
      <c r="DG100" s="26"/>
      <c r="DH100" s="26"/>
      <c r="DI100" s="229"/>
      <c r="DJ100" s="269"/>
      <c r="DK100" s="26"/>
      <c r="DL100" s="232"/>
      <c r="DM100" s="252"/>
      <c r="DN100" s="26"/>
      <c r="DO100" s="26"/>
      <c r="DP100" s="26"/>
      <c r="DQ100" s="26"/>
      <c r="DR100" s="26"/>
      <c r="DS100" s="26"/>
      <c r="DT100" s="26"/>
      <c r="DU100" s="229"/>
      <c r="DV100" s="269"/>
      <c r="DW100" s="26"/>
      <c r="DX100" s="232"/>
      <c r="DY100" s="252"/>
      <c r="DZ100" s="26"/>
      <c r="EA100" s="26"/>
      <c r="EB100" s="26"/>
      <c r="EC100" s="26"/>
      <c r="ED100" s="26"/>
      <c r="EE100" s="26"/>
      <c r="EF100" s="26"/>
      <c r="EG100" s="229"/>
      <c r="EH100" s="269"/>
      <c r="EI100" s="26"/>
      <c r="EJ100" s="232"/>
    </row>
    <row r="101" spans="1:140" x14ac:dyDescent="0.2">
      <c r="A101" s="68"/>
      <c r="B101" s="522" t="s">
        <v>255</v>
      </c>
      <c r="C101" s="28">
        <v>4</v>
      </c>
      <c r="D101" s="251">
        <v>0</v>
      </c>
      <c r="E101" s="28">
        <v>1</v>
      </c>
      <c r="F101" s="42">
        <f t="shared" ref="F101" si="9">+C101+D101+E101</f>
        <v>5</v>
      </c>
      <c r="G101" s="322">
        <v>0</v>
      </c>
      <c r="H101" s="322">
        <v>0</v>
      </c>
      <c r="I101" s="322">
        <v>5</v>
      </c>
      <c r="J101" s="43">
        <v>0</v>
      </c>
      <c r="K101" s="251">
        <v>0</v>
      </c>
      <c r="L101" s="251">
        <v>9</v>
      </c>
      <c r="N101"/>
      <c r="O101"/>
      <c r="P101" s="20"/>
      <c r="Q101" s="218"/>
      <c r="R101" s="218"/>
      <c r="AA101"/>
      <c r="AB101" s="8" t="s">
        <v>8281</v>
      </c>
      <c r="AC101" s="133">
        <v>6707</v>
      </c>
      <c r="AD101" s="174" t="s">
        <v>632</v>
      </c>
      <c r="AE101" s="60">
        <f t="shared" si="6"/>
        <v>2</v>
      </c>
      <c r="AF101" s="107">
        <f t="shared" si="7"/>
        <v>2</v>
      </c>
      <c r="AG101" s="370"/>
      <c r="AH101" s="366"/>
      <c r="AI101" s="294"/>
      <c r="AJ101" s="26"/>
      <c r="AK101" s="374"/>
      <c r="AL101" s="374"/>
      <c r="AO101" s="294"/>
      <c r="AR101" s="376"/>
      <c r="AS101" s="13"/>
      <c r="AY101"/>
      <c r="AZ101" s="374"/>
      <c r="BA101" s="4"/>
      <c r="BD101" s="55"/>
      <c r="BE101" s="13"/>
      <c r="BF101" s="26"/>
      <c r="BG101" s="26"/>
      <c r="BH101" s="26"/>
      <c r="BI101" s="26"/>
      <c r="BJ101" s="26"/>
      <c r="BK101" s="26"/>
      <c r="BL101" s="26"/>
      <c r="BM101" s="26"/>
      <c r="BP101" s="122"/>
      <c r="BQ101" s="24"/>
      <c r="BR101" s="26"/>
      <c r="BS101" s="20"/>
      <c r="BT101" s="26"/>
      <c r="BV101" s="26"/>
      <c r="BW101" s="26"/>
      <c r="BX101" s="229"/>
      <c r="BY101" s="229"/>
      <c r="BZ101" s="269"/>
      <c r="CB101" s="232"/>
      <c r="CC101" s="24"/>
      <c r="CD101" s="26"/>
      <c r="CE101" s="26"/>
      <c r="CF101" s="26"/>
      <c r="CG101" s="26"/>
      <c r="CH101" s="26"/>
      <c r="CI101" s="26"/>
      <c r="CJ101" s="26"/>
      <c r="CK101" s="229"/>
      <c r="CL101" s="269"/>
      <c r="CM101" s="26"/>
      <c r="CN101" s="232"/>
      <c r="CO101" s="252"/>
      <c r="CP101" s="26"/>
      <c r="CQ101" s="26"/>
      <c r="CR101" s="26"/>
      <c r="CS101" s="26"/>
      <c r="CT101" s="26"/>
      <c r="CU101" s="26"/>
      <c r="CV101" s="26"/>
      <c r="CW101" s="229"/>
      <c r="CX101" s="269"/>
      <c r="CY101" s="26"/>
      <c r="CZ101" s="232"/>
      <c r="DA101" s="252"/>
      <c r="DB101" s="26"/>
      <c r="DC101" s="26"/>
      <c r="DD101" s="26"/>
      <c r="DE101" s="26"/>
      <c r="DF101" s="26"/>
      <c r="DG101" s="26"/>
      <c r="DH101" s="26"/>
      <c r="DI101" s="229">
        <v>1</v>
      </c>
      <c r="DJ101" s="269"/>
      <c r="DK101" s="26"/>
      <c r="DL101" s="232"/>
      <c r="DM101" s="252"/>
      <c r="DN101" s="26"/>
      <c r="DO101" s="26"/>
      <c r="DP101" s="26"/>
      <c r="DQ101" s="26"/>
      <c r="DR101" s="26"/>
      <c r="DS101" s="26"/>
      <c r="DT101" s="26"/>
      <c r="DU101" s="229"/>
      <c r="DV101" s="269"/>
      <c r="DW101" s="26"/>
      <c r="DX101" s="232"/>
      <c r="DY101" s="252"/>
      <c r="DZ101" s="26"/>
      <c r="EA101" s="26"/>
      <c r="EB101" s="26"/>
      <c r="EC101" s="26"/>
      <c r="ED101" s="26">
        <v>1</v>
      </c>
      <c r="EE101" s="26"/>
      <c r="EF101" s="26"/>
      <c r="EG101" s="229"/>
      <c r="EH101" s="269"/>
      <c r="EI101" s="26"/>
      <c r="EJ101" s="232"/>
    </row>
    <row r="102" spans="1:140" x14ac:dyDescent="0.2">
      <c r="A102" s="17"/>
      <c r="B102" s="37" t="s">
        <v>1276</v>
      </c>
      <c r="C102" s="29">
        <v>0</v>
      </c>
      <c r="D102" s="249">
        <v>0</v>
      </c>
      <c r="E102" s="29">
        <v>0</v>
      </c>
      <c r="F102" s="31">
        <f t="shared" ref="F102:F136" si="10">+C102+D102+E102</f>
        <v>0</v>
      </c>
      <c r="G102" s="321">
        <v>0</v>
      </c>
      <c r="H102" s="321">
        <v>0</v>
      </c>
      <c r="I102" s="321">
        <v>0</v>
      </c>
      <c r="J102" s="29">
        <v>0</v>
      </c>
      <c r="K102" s="249">
        <v>4403.7559999999994</v>
      </c>
      <c r="L102" s="249">
        <v>30</v>
      </c>
      <c r="N102"/>
      <c r="O102"/>
      <c r="P102" s="20"/>
      <c r="Q102" s="218"/>
      <c r="R102" s="218"/>
      <c r="AA102"/>
      <c r="AB102" s="8" t="s">
        <v>1945</v>
      </c>
      <c r="AC102" s="133">
        <v>6810</v>
      </c>
      <c r="AD102" s="174" t="s">
        <v>89</v>
      </c>
      <c r="AE102" s="60">
        <f t="shared" si="6"/>
        <v>12</v>
      </c>
      <c r="AF102" s="107">
        <f t="shared" si="7"/>
        <v>5</v>
      </c>
      <c r="AG102" s="370"/>
      <c r="AH102" s="366"/>
      <c r="AI102" s="294"/>
      <c r="AJ102" s="26"/>
      <c r="AK102" s="374"/>
      <c r="AL102" s="374"/>
      <c r="AO102" s="294"/>
      <c r="AR102" s="376"/>
      <c r="AS102" s="13"/>
      <c r="AY102"/>
      <c r="AZ102" s="374"/>
      <c r="BA102" s="4"/>
      <c r="BD102" s="55"/>
      <c r="BE102" s="13"/>
      <c r="BF102" s="26"/>
      <c r="BG102" s="26"/>
      <c r="BH102" s="26"/>
      <c r="BI102" s="26"/>
      <c r="BJ102" s="26"/>
      <c r="BK102" s="26"/>
      <c r="BL102" s="26"/>
      <c r="BM102" s="26"/>
      <c r="BP102" s="122"/>
      <c r="BQ102" s="24"/>
      <c r="BR102" s="26"/>
      <c r="BS102" s="20"/>
      <c r="BT102" s="26"/>
      <c r="BV102" s="26"/>
      <c r="BW102" s="26"/>
      <c r="BX102" s="229"/>
      <c r="BY102" s="229"/>
      <c r="BZ102" s="269"/>
      <c r="CB102" s="232"/>
      <c r="CC102" s="24"/>
      <c r="CD102" s="26"/>
      <c r="CE102" s="26"/>
      <c r="CF102" s="26"/>
      <c r="CG102" s="26"/>
      <c r="CH102" s="26">
        <v>1</v>
      </c>
      <c r="CI102" s="26"/>
      <c r="CJ102" s="26"/>
      <c r="CK102" s="229"/>
      <c r="CL102" s="269"/>
      <c r="CM102" s="26">
        <v>3</v>
      </c>
      <c r="CN102" s="232"/>
      <c r="CO102" s="252"/>
      <c r="CP102" s="26"/>
      <c r="CQ102" s="26"/>
      <c r="CR102" s="26"/>
      <c r="CS102" s="26"/>
      <c r="CT102" s="26"/>
      <c r="CU102" s="26">
        <v>3</v>
      </c>
      <c r="CV102" s="26"/>
      <c r="CW102" s="229">
        <v>1</v>
      </c>
      <c r="CX102" s="269"/>
      <c r="CY102" s="26"/>
      <c r="CZ102" s="232"/>
      <c r="DA102" s="252"/>
      <c r="DB102" s="26"/>
      <c r="DC102" s="26"/>
      <c r="DD102" s="26"/>
      <c r="DE102" s="26"/>
      <c r="DF102" s="26"/>
      <c r="DG102" s="26"/>
      <c r="DH102" s="26"/>
      <c r="DI102" s="229"/>
      <c r="DJ102" s="269"/>
      <c r="DK102" s="26"/>
      <c r="DL102" s="232"/>
      <c r="DM102" s="252"/>
      <c r="DN102" s="26"/>
      <c r="DO102" s="26"/>
      <c r="DP102" s="26"/>
      <c r="DQ102" s="26"/>
      <c r="DR102" s="26"/>
      <c r="DS102" s="26"/>
      <c r="DT102" s="26"/>
      <c r="DU102" s="229">
        <v>4</v>
      </c>
      <c r="DV102" s="269"/>
      <c r="DW102" s="26"/>
      <c r="DX102" s="232"/>
      <c r="DY102" s="252"/>
      <c r="DZ102" s="26"/>
      <c r="EA102" s="26"/>
      <c r="EB102" s="26"/>
      <c r="EC102" s="26"/>
      <c r="ED102" s="26"/>
      <c r="EE102" s="26"/>
      <c r="EF102" s="26"/>
      <c r="EG102" s="229"/>
      <c r="EH102" s="269"/>
      <c r="EI102" s="26"/>
      <c r="EJ102" s="232"/>
    </row>
    <row r="103" spans="1:140" x14ac:dyDescent="0.2">
      <c r="A103" s="19"/>
      <c r="B103" s="70" t="s">
        <v>140</v>
      </c>
      <c r="C103" s="23">
        <v>0</v>
      </c>
      <c r="D103" s="248">
        <v>0</v>
      </c>
      <c r="E103" s="23">
        <v>1</v>
      </c>
      <c r="F103" s="25">
        <f t="shared" si="10"/>
        <v>1</v>
      </c>
      <c r="G103" s="144">
        <v>0</v>
      </c>
      <c r="H103" s="144">
        <v>0</v>
      </c>
      <c r="I103" s="144">
        <v>1</v>
      </c>
      <c r="J103" s="23">
        <v>2.1259999999999999</v>
      </c>
      <c r="K103" s="248">
        <v>112.78</v>
      </c>
      <c r="L103" s="248">
        <v>32</v>
      </c>
      <c r="N103"/>
      <c r="O103"/>
      <c r="P103" s="20"/>
      <c r="Q103" s="218"/>
      <c r="R103" s="218"/>
      <c r="AA103"/>
      <c r="AB103" s="8" t="s">
        <v>1968</v>
      </c>
      <c r="AC103" s="136">
        <v>6864</v>
      </c>
      <c r="AD103" s="174" t="s">
        <v>1085</v>
      </c>
      <c r="AE103" s="60">
        <f t="shared" si="6"/>
        <v>2</v>
      </c>
      <c r="AF103" s="107">
        <f t="shared" si="7"/>
        <v>1</v>
      </c>
      <c r="AG103" s="370"/>
      <c r="AH103" s="366"/>
      <c r="AI103" s="294"/>
      <c r="AJ103" s="26"/>
      <c r="AK103" s="374"/>
      <c r="AL103" s="374"/>
      <c r="AO103" s="294"/>
      <c r="AR103" s="376"/>
      <c r="AS103" s="13"/>
      <c r="AY103"/>
      <c r="AZ103" s="374"/>
      <c r="BA103" s="4"/>
      <c r="BD103" s="55"/>
      <c r="BE103" s="13"/>
      <c r="BF103" s="26"/>
      <c r="BG103" s="26"/>
      <c r="BH103" s="26"/>
      <c r="BI103" s="26"/>
      <c r="BJ103" s="26"/>
      <c r="BK103" s="26"/>
      <c r="BL103" s="26"/>
      <c r="BM103" s="26"/>
      <c r="BP103" s="122"/>
      <c r="BQ103" s="24"/>
      <c r="BR103" s="26"/>
      <c r="BS103" s="20"/>
      <c r="BT103" s="26"/>
      <c r="BV103" s="26"/>
      <c r="BW103" s="26"/>
      <c r="BX103" s="229"/>
      <c r="BY103" s="229"/>
      <c r="BZ103" s="269">
        <v>2</v>
      </c>
      <c r="CB103" s="232"/>
      <c r="CC103" s="24"/>
      <c r="CD103" s="26"/>
      <c r="CE103" s="26"/>
      <c r="CF103" s="26"/>
      <c r="CG103" s="26"/>
      <c r="CH103" s="26"/>
      <c r="CI103" s="26"/>
      <c r="CJ103" s="26"/>
      <c r="CK103" s="229"/>
      <c r="CL103" s="269"/>
      <c r="CM103" s="26"/>
      <c r="CN103" s="232"/>
      <c r="CO103" s="252"/>
      <c r="CP103" s="26"/>
      <c r="CQ103" s="26"/>
      <c r="CR103" s="26"/>
      <c r="CS103" s="26"/>
      <c r="CT103" s="26"/>
      <c r="CU103" s="26"/>
      <c r="CV103" s="26"/>
      <c r="CW103" s="229"/>
      <c r="CX103" s="269"/>
      <c r="CY103" s="26"/>
      <c r="CZ103" s="232"/>
      <c r="DA103" s="252"/>
      <c r="DB103" s="26"/>
      <c r="DC103" s="26"/>
      <c r="DD103" s="26"/>
      <c r="DE103" s="26"/>
      <c r="DF103" s="26"/>
      <c r="DG103" s="26"/>
      <c r="DH103" s="26"/>
      <c r="DI103" s="229"/>
      <c r="DJ103" s="269"/>
      <c r="DK103" s="26"/>
      <c r="DL103" s="232"/>
      <c r="DM103" s="252"/>
      <c r="DN103" s="26"/>
      <c r="DO103" s="26"/>
      <c r="DP103" s="26"/>
      <c r="DQ103" s="26"/>
      <c r="DR103" s="26"/>
      <c r="DS103" s="26"/>
      <c r="DT103" s="26"/>
      <c r="DU103" s="229"/>
      <c r="DV103" s="269"/>
      <c r="DW103" s="26"/>
      <c r="DX103" s="232"/>
      <c r="DY103" s="252"/>
      <c r="DZ103" s="26"/>
      <c r="EA103" s="26"/>
      <c r="EB103" s="26"/>
      <c r="EC103" s="26"/>
      <c r="ED103" s="26"/>
      <c r="EE103" s="26"/>
      <c r="EF103" s="26"/>
      <c r="EG103" s="229"/>
      <c r="EH103" s="269"/>
      <c r="EI103" s="26"/>
      <c r="EJ103" s="232"/>
    </row>
    <row r="104" spans="1:140" x14ac:dyDescent="0.2">
      <c r="A104" s="19"/>
      <c r="B104" s="11" t="s">
        <v>1409</v>
      </c>
      <c r="C104" s="23">
        <v>0</v>
      </c>
      <c r="D104" s="248">
        <v>0</v>
      </c>
      <c r="E104" s="23">
        <v>0</v>
      </c>
      <c r="F104" s="25">
        <f t="shared" si="10"/>
        <v>0</v>
      </c>
      <c r="G104" s="144">
        <v>0</v>
      </c>
      <c r="H104" s="144">
        <v>0</v>
      </c>
      <c r="I104" s="144">
        <v>0</v>
      </c>
      <c r="J104" s="23">
        <v>0</v>
      </c>
      <c r="K104" s="248">
        <v>0</v>
      </c>
      <c r="L104" s="248">
        <v>0</v>
      </c>
      <c r="N104"/>
      <c r="O104"/>
      <c r="P104" s="20"/>
      <c r="Q104" s="218"/>
      <c r="R104" s="218"/>
      <c r="AA104"/>
      <c r="AB104" s="8" t="s">
        <v>997</v>
      </c>
      <c r="AC104" s="136">
        <v>7014</v>
      </c>
      <c r="AD104" s="174" t="s">
        <v>245</v>
      </c>
      <c r="AE104" s="60">
        <f t="shared" si="6"/>
        <v>8</v>
      </c>
      <c r="AF104" s="107">
        <f t="shared" si="7"/>
        <v>3</v>
      </c>
      <c r="AG104" s="370"/>
      <c r="AH104" s="366"/>
      <c r="AI104" s="294"/>
      <c r="AJ104" s="26"/>
      <c r="AK104" s="374"/>
      <c r="AL104" s="374"/>
      <c r="AO104" s="294"/>
      <c r="AR104" s="376"/>
      <c r="AS104" s="13"/>
      <c r="AY104"/>
      <c r="AZ104" s="374"/>
      <c r="BA104" s="4"/>
      <c r="BD104" s="55"/>
      <c r="BE104" s="13"/>
      <c r="BF104" s="26"/>
      <c r="BG104" s="26"/>
      <c r="BH104" s="26"/>
      <c r="BI104" s="26"/>
      <c r="BJ104" s="26"/>
      <c r="BK104" s="26"/>
      <c r="BL104" s="26"/>
      <c r="BM104" s="26"/>
      <c r="BP104" s="122"/>
      <c r="BQ104" s="24"/>
      <c r="BR104" s="26"/>
      <c r="BS104" s="20"/>
      <c r="BT104" s="26"/>
      <c r="BV104" s="26"/>
      <c r="BW104" s="26"/>
      <c r="BX104" s="229"/>
      <c r="BY104" s="229"/>
      <c r="BZ104" s="269"/>
      <c r="CB104" s="232"/>
      <c r="CC104" s="24"/>
      <c r="CD104" s="26"/>
      <c r="CE104" s="26"/>
      <c r="CF104" s="26"/>
      <c r="CG104" s="26"/>
      <c r="CH104" s="26"/>
      <c r="CI104" s="26"/>
      <c r="CJ104" s="26"/>
      <c r="CK104" s="229"/>
      <c r="CL104" s="269"/>
      <c r="CM104" s="26"/>
      <c r="CN104" s="232"/>
      <c r="CO104" s="252"/>
      <c r="CP104" s="26"/>
      <c r="CQ104" s="26"/>
      <c r="CR104" s="26"/>
      <c r="CS104" s="26"/>
      <c r="CT104" s="26"/>
      <c r="CU104" s="26"/>
      <c r="CV104" s="26"/>
      <c r="CW104" s="229"/>
      <c r="CX104" s="269"/>
      <c r="CY104" s="26"/>
      <c r="CZ104" s="232"/>
      <c r="DA104" s="252"/>
      <c r="DB104" s="26"/>
      <c r="DC104" s="26"/>
      <c r="DD104" s="26"/>
      <c r="DE104" s="26"/>
      <c r="DF104" s="26"/>
      <c r="DG104" s="26"/>
      <c r="DH104" s="26"/>
      <c r="DI104" s="229">
        <v>4</v>
      </c>
      <c r="DJ104" s="269"/>
      <c r="DK104" s="26">
        <v>3</v>
      </c>
      <c r="DL104" s="232"/>
      <c r="DM104" s="252"/>
      <c r="DN104" s="26"/>
      <c r="DO104" s="26"/>
      <c r="DP104" s="26"/>
      <c r="DQ104" s="26"/>
      <c r="DR104" s="26"/>
      <c r="DS104" s="26"/>
      <c r="DT104" s="26"/>
      <c r="DU104" s="229"/>
      <c r="DV104" s="269"/>
      <c r="DW104" s="26"/>
      <c r="DX104" s="232"/>
      <c r="DY104" s="252">
        <v>1</v>
      </c>
      <c r="DZ104" s="26"/>
      <c r="EA104" s="26"/>
      <c r="EB104" s="26"/>
      <c r="EC104" s="26"/>
      <c r="ED104" s="26"/>
      <c r="EE104" s="26"/>
      <c r="EF104" s="26"/>
      <c r="EG104" s="229"/>
      <c r="EH104" s="269"/>
      <c r="EI104" s="26"/>
      <c r="EJ104" s="232"/>
    </row>
    <row r="105" spans="1:140" x14ac:dyDescent="0.2">
      <c r="A105" s="19" t="s">
        <v>1241</v>
      </c>
      <c r="B105" s="71" t="s">
        <v>332</v>
      </c>
      <c r="C105" s="23">
        <v>2</v>
      </c>
      <c r="D105" s="248">
        <v>0</v>
      </c>
      <c r="E105" s="23">
        <v>0</v>
      </c>
      <c r="F105" s="25">
        <f t="shared" si="10"/>
        <v>2</v>
      </c>
      <c r="G105" s="144">
        <v>0</v>
      </c>
      <c r="H105" s="144">
        <v>0</v>
      </c>
      <c r="I105" s="144">
        <v>2</v>
      </c>
      <c r="J105" s="23">
        <v>0</v>
      </c>
      <c r="K105" s="248">
        <v>2880.1559999999999</v>
      </c>
      <c r="L105" s="248">
        <v>17</v>
      </c>
      <c r="N105"/>
      <c r="O105"/>
      <c r="P105" s="20"/>
      <c r="Q105" s="218"/>
      <c r="R105" s="218"/>
      <c r="AA105"/>
      <c r="AB105" s="8" t="s">
        <v>4245</v>
      </c>
      <c r="AC105" s="136">
        <v>7156</v>
      </c>
      <c r="AD105" s="174" t="s">
        <v>151</v>
      </c>
      <c r="AE105" s="60">
        <f t="shared" si="6"/>
        <v>1</v>
      </c>
      <c r="AF105" s="107">
        <f t="shared" si="7"/>
        <v>1</v>
      </c>
      <c r="AG105" s="370"/>
      <c r="AH105" s="366"/>
      <c r="AI105" s="294"/>
      <c r="AJ105" s="26"/>
      <c r="AK105" s="374"/>
      <c r="AL105" s="374"/>
      <c r="AO105" s="294"/>
      <c r="AR105" s="376"/>
      <c r="AS105" s="13"/>
      <c r="AY105"/>
      <c r="AZ105" s="374"/>
      <c r="BA105" s="4"/>
      <c r="BD105" s="55"/>
      <c r="BE105" s="13"/>
      <c r="BF105" s="26"/>
      <c r="BG105" s="26"/>
      <c r="BH105" s="26"/>
      <c r="BI105" s="26"/>
      <c r="BJ105" s="26"/>
      <c r="BK105" s="26"/>
      <c r="BL105" s="26"/>
      <c r="BM105" s="26"/>
      <c r="BP105" s="122"/>
      <c r="BQ105" s="24"/>
      <c r="BR105" s="26"/>
      <c r="BS105" s="20"/>
      <c r="BT105" s="26"/>
      <c r="BV105" s="26"/>
      <c r="BW105" s="26"/>
      <c r="BX105" s="229"/>
      <c r="BY105" s="229"/>
      <c r="BZ105" s="269"/>
      <c r="CB105" s="232"/>
      <c r="CC105" s="24"/>
      <c r="CD105" s="26"/>
      <c r="CE105" s="26"/>
      <c r="CF105" s="26"/>
      <c r="CG105" s="26"/>
      <c r="CH105" s="26"/>
      <c r="CI105" s="26"/>
      <c r="CJ105" s="26"/>
      <c r="CK105" s="229"/>
      <c r="CL105" s="269"/>
      <c r="CM105" s="26"/>
      <c r="CN105" s="232"/>
      <c r="CO105" s="252"/>
      <c r="CP105" s="26"/>
      <c r="CQ105" s="26"/>
      <c r="CR105" s="26"/>
      <c r="CS105" s="26"/>
      <c r="CT105" s="26"/>
      <c r="CU105" s="26"/>
      <c r="CV105" s="26"/>
      <c r="CW105" s="229"/>
      <c r="CX105" s="269"/>
      <c r="CY105" s="26"/>
      <c r="CZ105" s="232"/>
      <c r="DA105" s="252"/>
      <c r="DB105" s="26"/>
      <c r="DC105" s="26"/>
      <c r="DD105" s="26"/>
      <c r="DE105" s="26"/>
      <c r="DF105" s="26"/>
      <c r="DG105" s="26"/>
      <c r="DH105" s="26"/>
      <c r="DI105" s="229"/>
      <c r="DJ105" s="269"/>
      <c r="DK105" s="26"/>
      <c r="DL105" s="232"/>
      <c r="DM105" s="252"/>
      <c r="DN105" s="26"/>
      <c r="DO105" s="26"/>
      <c r="DP105" s="26">
        <v>1</v>
      </c>
      <c r="DQ105" s="26"/>
      <c r="DR105" s="26"/>
      <c r="DS105" s="26"/>
      <c r="DT105" s="26"/>
      <c r="DU105" s="229"/>
      <c r="DV105" s="269"/>
      <c r="DW105" s="26"/>
      <c r="DX105" s="232"/>
      <c r="DY105" s="252"/>
      <c r="DZ105" s="26"/>
      <c r="EA105" s="26"/>
      <c r="EB105" s="26"/>
      <c r="EC105" s="26"/>
      <c r="ED105" s="26"/>
      <c r="EE105" s="26"/>
      <c r="EF105" s="26"/>
      <c r="EG105" s="229"/>
      <c r="EH105" s="269"/>
      <c r="EI105" s="26"/>
      <c r="EJ105" s="232"/>
    </row>
    <row r="106" spans="1:140" x14ac:dyDescent="0.2">
      <c r="A106" s="19" t="s">
        <v>1277</v>
      </c>
      <c r="B106" s="72" t="s">
        <v>1278</v>
      </c>
      <c r="C106" s="23">
        <v>0</v>
      </c>
      <c r="D106" s="248">
        <v>0</v>
      </c>
      <c r="E106" s="23">
        <v>0</v>
      </c>
      <c r="F106" s="25">
        <f t="shared" si="10"/>
        <v>0</v>
      </c>
      <c r="G106" s="144">
        <v>0</v>
      </c>
      <c r="H106" s="144">
        <v>0</v>
      </c>
      <c r="I106" s="144">
        <v>0</v>
      </c>
      <c r="J106" s="23">
        <v>0</v>
      </c>
      <c r="K106" s="248">
        <v>53.07</v>
      </c>
      <c r="L106" s="248">
        <v>2</v>
      </c>
      <c r="N106"/>
      <c r="O106"/>
      <c r="P106" s="20"/>
      <c r="Q106" s="218"/>
      <c r="R106" s="218"/>
      <c r="AA106"/>
      <c r="AB106" s="8" t="s">
        <v>972</v>
      </c>
      <c r="AC106" s="271">
        <v>7167</v>
      </c>
      <c r="AD106" s="174" t="s">
        <v>137</v>
      </c>
      <c r="AE106" s="60">
        <f t="shared" si="6"/>
        <v>10</v>
      </c>
      <c r="AF106" s="107">
        <f t="shared" si="7"/>
        <v>4</v>
      </c>
      <c r="AG106" s="370"/>
      <c r="AH106" s="366"/>
      <c r="AI106" s="294"/>
      <c r="AJ106" s="26"/>
      <c r="AK106" s="374"/>
      <c r="AL106" s="374"/>
      <c r="AO106" s="294"/>
      <c r="AR106" s="376"/>
      <c r="AS106" s="13"/>
      <c r="AY106"/>
      <c r="AZ106" s="374"/>
      <c r="BA106" s="4"/>
      <c r="BD106" s="55"/>
      <c r="BE106" s="13"/>
      <c r="BF106" s="26"/>
      <c r="BG106" s="26"/>
      <c r="BH106" s="26"/>
      <c r="BI106" s="26"/>
      <c r="BJ106" s="26"/>
      <c r="BK106" s="26"/>
      <c r="BL106" s="26"/>
      <c r="BM106" s="26"/>
      <c r="BP106" s="122"/>
      <c r="BQ106" s="24"/>
      <c r="BR106" s="26">
        <v>2</v>
      </c>
      <c r="BS106" s="20">
        <v>2</v>
      </c>
      <c r="BT106" s="26"/>
      <c r="BU106" s="26">
        <v>5</v>
      </c>
      <c r="BV106" s="26"/>
      <c r="BW106" s="26"/>
      <c r="BX106" s="229"/>
      <c r="BY106" s="229"/>
      <c r="BZ106" s="269"/>
      <c r="CB106" s="232"/>
      <c r="CC106" s="24">
        <v>1</v>
      </c>
      <c r="CD106" s="26"/>
      <c r="CE106" s="26"/>
      <c r="CF106" s="26"/>
      <c r="CG106" s="26"/>
      <c r="CH106" s="26"/>
      <c r="CI106" s="26"/>
      <c r="CJ106" s="26"/>
      <c r="CK106" s="229"/>
      <c r="CL106" s="269"/>
      <c r="CM106" s="26"/>
      <c r="CN106" s="232"/>
      <c r="CO106" s="252"/>
      <c r="CP106" s="26"/>
      <c r="CQ106" s="26"/>
      <c r="CR106" s="26"/>
      <c r="CS106" s="26"/>
      <c r="CT106" s="26"/>
      <c r="CU106" s="26"/>
      <c r="CV106" s="26"/>
      <c r="CW106" s="229"/>
      <c r="CX106" s="269"/>
      <c r="CY106" s="26"/>
      <c r="CZ106" s="232"/>
      <c r="DA106" s="252"/>
      <c r="DB106" s="26"/>
      <c r="DC106" s="26"/>
      <c r="DD106" s="26"/>
      <c r="DE106" s="26"/>
      <c r="DF106" s="26"/>
      <c r="DG106" s="26"/>
      <c r="DH106" s="26"/>
      <c r="DI106" s="229"/>
      <c r="DJ106" s="269"/>
      <c r="DK106" s="26"/>
      <c r="DL106" s="232"/>
      <c r="DM106" s="252"/>
      <c r="DN106" s="26"/>
      <c r="DO106" s="26"/>
      <c r="DP106" s="26"/>
      <c r="DQ106" s="26"/>
      <c r="DR106" s="26"/>
      <c r="DS106" s="26"/>
      <c r="DT106" s="26"/>
      <c r="DU106" s="229"/>
      <c r="DV106" s="269"/>
      <c r="DW106" s="26"/>
      <c r="DX106" s="232"/>
      <c r="DY106" s="252"/>
      <c r="DZ106" s="26"/>
      <c r="EA106" s="26"/>
      <c r="EB106" s="26"/>
      <c r="EC106" s="26"/>
      <c r="ED106" s="26"/>
      <c r="EE106" s="26"/>
      <c r="EF106" s="26"/>
      <c r="EG106" s="229"/>
      <c r="EH106" s="269"/>
      <c r="EI106" s="26"/>
      <c r="EJ106" s="232"/>
    </row>
    <row r="107" spans="1:140" x14ac:dyDescent="0.2">
      <c r="A107" s="19" t="s">
        <v>1204</v>
      </c>
      <c r="B107" s="11" t="s">
        <v>1279</v>
      </c>
      <c r="C107" s="23">
        <v>0</v>
      </c>
      <c r="D107" s="248">
        <v>0</v>
      </c>
      <c r="E107" s="23">
        <v>0</v>
      </c>
      <c r="F107" s="25">
        <f t="shared" si="10"/>
        <v>0</v>
      </c>
      <c r="G107" s="144">
        <v>0</v>
      </c>
      <c r="H107" s="144">
        <v>0</v>
      </c>
      <c r="I107" s="144">
        <v>0</v>
      </c>
      <c r="J107" s="23">
        <v>0</v>
      </c>
      <c r="K107" s="248">
        <v>476.44599999999997</v>
      </c>
      <c r="L107" s="248">
        <v>4</v>
      </c>
      <c r="N107"/>
      <c r="O107"/>
      <c r="P107" s="20"/>
      <c r="Q107" s="218"/>
      <c r="R107" s="218"/>
      <c r="AA107"/>
      <c r="AB107" s="8" t="s">
        <v>1498</v>
      </c>
      <c r="AC107" s="271">
        <v>7191</v>
      </c>
      <c r="AD107" s="174" t="s">
        <v>1395</v>
      </c>
      <c r="AE107" s="60">
        <f t="shared" si="6"/>
        <v>3</v>
      </c>
      <c r="AF107" s="107">
        <f t="shared" si="7"/>
        <v>2</v>
      </c>
      <c r="AG107" s="370"/>
      <c r="AH107" s="366"/>
      <c r="AI107" s="294"/>
      <c r="AJ107" s="26"/>
      <c r="AK107" s="374"/>
      <c r="AL107" s="374"/>
      <c r="AO107" s="294"/>
      <c r="AR107" s="376"/>
      <c r="AS107" s="13"/>
      <c r="AY107"/>
      <c r="AZ107" s="374"/>
      <c r="BA107" s="4"/>
      <c r="BD107" s="55"/>
      <c r="BE107" s="13"/>
      <c r="BF107" s="26"/>
      <c r="BG107" s="26"/>
      <c r="BH107" s="26"/>
      <c r="BI107" s="26"/>
      <c r="BJ107" s="26"/>
      <c r="BK107" s="26"/>
      <c r="BL107" s="26"/>
      <c r="BM107" s="26"/>
      <c r="BP107" s="122"/>
      <c r="BQ107" s="24"/>
      <c r="BR107" s="26"/>
      <c r="BS107" s="20"/>
      <c r="BT107" s="26"/>
      <c r="BV107" s="26"/>
      <c r="BW107" s="26"/>
      <c r="BX107" s="229"/>
      <c r="BY107" s="229"/>
      <c r="BZ107" s="269"/>
      <c r="CA107" s="229">
        <v>1</v>
      </c>
      <c r="CB107" s="232">
        <v>2</v>
      </c>
      <c r="CC107" s="24"/>
      <c r="CD107" s="26"/>
      <c r="CE107" s="26"/>
      <c r="CF107" s="26"/>
      <c r="CG107" s="26"/>
      <c r="CH107" s="26"/>
      <c r="CI107" s="26"/>
      <c r="CJ107" s="26"/>
      <c r="CK107" s="229"/>
      <c r="CL107" s="269"/>
      <c r="CM107" s="26"/>
      <c r="CN107" s="232"/>
      <c r="CO107" s="252"/>
      <c r="CP107" s="26"/>
      <c r="CQ107" s="26"/>
      <c r="CR107" s="26"/>
      <c r="CS107" s="26"/>
      <c r="CT107" s="26"/>
      <c r="CU107" s="26"/>
      <c r="CV107" s="26"/>
      <c r="CW107" s="229"/>
      <c r="CX107" s="269"/>
      <c r="CY107" s="26"/>
      <c r="CZ107" s="232"/>
      <c r="DA107" s="252"/>
      <c r="DB107" s="26"/>
      <c r="DC107" s="26"/>
      <c r="DD107" s="26"/>
      <c r="DE107" s="26"/>
      <c r="DF107" s="26"/>
      <c r="DG107" s="26"/>
      <c r="DH107" s="26"/>
      <c r="DI107" s="229"/>
      <c r="DJ107" s="269"/>
      <c r="DK107" s="26"/>
      <c r="DL107" s="232"/>
      <c r="DM107" s="252"/>
      <c r="DN107" s="26"/>
      <c r="DO107" s="26"/>
      <c r="DP107" s="26"/>
      <c r="DQ107" s="26"/>
      <c r="DR107" s="26"/>
      <c r="DS107" s="26"/>
      <c r="DT107" s="26"/>
      <c r="DU107" s="229"/>
      <c r="DV107" s="269"/>
      <c r="DW107" s="26"/>
      <c r="DX107" s="232"/>
      <c r="DY107" s="252"/>
      <c r="DZ107" s="26"/>
      <c r="EA107" s="26"/>
      <c r="EB107" s="26"/>
      <c r="EC107" s="26"/>
      <c r="ED107" s="26"/>
      <c r="EE107" s="26"/>
      <c r="EF107" s="26"/>
      <c r="EG107" s="229"/>
      <c r="EH107" s="269"/>
      <c r="EI107" s="26"/>
      <c r="EJ107" s="232"/>
    </row>
    <row r="108" spans="1:140" x14ac:dyDescent="0.2">
      <c r="A108" s="27">
        <f>SUM(F102:F109)</f>
        <v>3</v>
      </c>
      <c r="B108" s="71" t="s">
        <v>1280</v>
      </c>
      <c r="C108" s="23">
        <v>0</v>
      </c>
      <c r="D108" s="248">
        <v>0</v>
      </c>
      <c r="E108" s="23">
        <v>0</v>
      </c>
      <c r="F108" s="25">
        <f t="shared" si="10"/>
        <v>0</v>
      </c>
      <c r="G108" s="144">
        <v>0</v>
      </c>
      <c r="H108" s="144">
        <v>0</v>
      </c>
      <c r="I108" s="144">
        <v>0</v>
      </c>
      <c r="J108" s="23">
        <v>0</v>
      </c>
      <c r="K108" s="248">
        <v>246.32400000000001</v>
      </c>
      <c r="L108" s="248">
        <v>8</v>
      </c>
      <c r="N108"/>
      <c r="O108"/>
      <c r="P108" s="20"/>
      <c r="Q108" s="218"/>
      <c r="R108" s="218"/>
      <c r="AA108"/>
      <c r="AB108" s="8" t="s">
        <v>648</v>
      </c>
      <c r="AC108" s="271">
        <v>7211</v>
      </c>
      <c r="AD108" s="174" t="s">
        <v>151</v>
      </c>
      <c r="AE108" s="60">
        <f t="shared" si="6"/>
        <v>2</v>
      </c>
      <c r="AF108" s="107">
        <f t="shared" si="7"/>
        <v>2</v>
      </c>
      <c r="AG108" s="370"/>
      <c r="AH108" s="366"/>
      <c r="AI108" s="294"/>
      <c r="AJ108" s="26"/>
      <c r="AK108" s="374"/>
      <c r="AL108" s="374"/>
      <c r="AO108" s="294"/>
      <c r="AR108" s="376"/>
      <c r="AS108" s="13"/>
      <c r="AY108"/>
      <c r="AZ108" s="374"/>
      <c r="BA108" s="4"/>
      <c r="BD108" s="55"/>
      <c r="BE108" s="13"/>
      <c r="BF108" s="26"/>
      <c r="BG108" s="26"/>
      <c r="BH108" s="26"/>
      <c r="BI108" s="26"/>
      <c r="BJ108" s="26"/>
      <c r="BK108" s="26"/>
      <c r="BL108" s="26"/>
      <c r="BM108" s="26"/>
      <c r="BP108" s="122"/>
      <c r="BQ108" s="24"/>
      <c r="BR108" s="26"/>
      <c r="BS108" s="20"/>
      <c r="BT108" s="26"/>
      <c r="BV108" s="26"/>
      <c r="BW108" s="26"/>
      <c r="BX108" s="229"/>
      <c r="BY108" s="229"/>
      <c r="BZ108" s="269"/>
      <c r="CB108" s="232"/>
      <c r="CC108" s="24"/>
      <c r="CD108" s="26"/>
      <c r="CE108" s="26"/>
      <c r="CF108" s="26"/>
      <c r="CG108" s="26"/>
      <c r="CH108" s="26"/>
      <c r="CI108" s="26"/>
      <c r="CJ108" s="26"/>
      <c r="CK108" s="229"/>
      <c r="CL108" s="269"/>
      <c r="CM108" s="26">
        <v>1</v>
      </c>
      <c r="CN108" s="232">
        <v>1</v>
      </c>
      <c r="CO108" s="252"/>
      <c r="CP108" s="26"/>
      <c r="CQ108" s="26"/>
      <c r="CR108" s="26"/>
      <c r="CS108" s="26"/>
      <c r="CT108" s="26"/>
      <c r="CU108" s="26"/>
      <c r="CV108" s="26"/>
      <c r="CW108" s="229"/>
      <c r="CX108" s="269"/>
      <c r="CY108" s="26"/>
      <c r="CZ108" s="232"/>
      <c r="DA108" s="252"/>
      <c r="DB108" s="26"/>
      <c r="DC108" s="26"/>
      <c r="DD108" s="26"/>
      <c r="DE108" s="26"/>
      <c r="DF108" s="26"/>
      <c r="DG108" s="26"/>
      <c r="DH108" s="26"/>
      <c r="DI108" s="229"/>
      <c r="DJ108" s="269"/>
      <c r="DK108" s="26"/>
      <c r="DL108" s="232"/>
      <c r="DM108" s="252"/>
      <c r="DN108" s="26"/>
      <c r="DO108" s="26"/>
      <c r="DP108" s="26"/>
      <c r="DQ108" s="26"/>
      <c r="DR108" s="26"/>
      <c r="DS108" s="26"/>
      <c r="DT108" s="26"/>
      <c r="DU108" s="229"/>
      <c r="DV108" s="269"/>
      <c r="DW108" s="26"/>
      <c r="DX108" s="232"/>
      <c r="DY108" s="252"/>
      <c r="DZ108" s="26"/>
      <c r="EA108" s="26"/>
      <c r="EB108" s="26"/>
      <c r="EC108" s="26"/>
      <c r="ED108" s="26"/>
      <c r="EE108" s="26"/>
      <c r="EF108" s="26"/>
      <c r="EG108" s="229"/>
      <c r="EH108" s="269"/>
      <c r="EI108" s="26"/>
      <c r="EJ108" s="232"/>
    </row>
    <row r="109" spans="1:140" x14ac:dyDescent="0.2">
      <c r="A109" s="19"/>
      <c r="B109" s="40" t="s">
        <v>1281</v>
      </c>
      <c r="C109" s="28">
        <v>0</v>
      </c>
      <c r="D109" s="251">
        <v>0</v>
      </c>
      <c r="E109" s="28">
        <v>0</v>
      </c>
      <c r="F109" s="42">
        <f t="shared" si="10"/>
        <v>0</v>
      </c>
      <c r="G109" s="322">
        <v>0</v>
      </c>
      <c r="H109" s="322">
        <v>0</v>
      </c>
      <c r="I109" s="322">
        <v>0</v>
      </c>
      <c r="J109" s="28">
        <v>0</v>
      </c>
      <c r="K109" s="251">
        <v>102.084</v>
      </c>
      <c r="L109" s="251">
        <v>3</v>
      </c>
      <c r="N109"/>
      <c r="O109"/>
      <c r="P109" s="20"/>
      <c r="Q109" s="218"/>
      <c r="R109" s="218"/>
      <c r="AA109"/>
      <c r="AB109" s="8" t="s">
        <v>384</v>
      </c>
      <c r="AC109" s="265">
        <v>7237</v>
      </c>
      <c r="AD109" s="174" t="s">
        <v>313</v>
      </c>
      <c r="AE109" s="60">
        <f t="shared" si="6"/>
        <v>1</v>
      </c>
      <c r="AF109" s="107">
        <f t="shared" si="7"/>
        <v>1</v>
      </c>
      <c r="AG109" s="420"/>
      <c r="AH109" s="366"/>
      <c r="AI109" s="294"/>
      <c r="AJ109" s="26"/>
      <c r="AK109" s="374"/>
      <c r="AL109" s="374"/>
      <c r="AO109" s="294"/>
      <c r="AR109" s="376"/>
      <c r="AS109" s="13"/>
      <c r="AY109"/>
      <c r="AZ109" s="374"/>
      <c r="BA109" s="4"/>
      <c r="BD109" s="55"/>
      <c r="BE109" s="13"/>
      <c r="BF109" s="26"/>
      <c r="BG109" s="26"/>
      <c r="BH109" s="26"/>
      <c r="BI109" s="26"/>
      <c r="BJ109" s="26"/>
      <c r="BK109" s="26"/>
      <c r="BL109" s="26"/>
      <c r="BM109" s="26"/>
      <c r="BP109" s="122"/>
      <c r="BQ109" s="24"/>
      <c r="BR109" s="26"/>
      <c r="BS109" s="20"/>
      <c r="BT109" s="26"/>
      <c r="BV109" s="26"/>
      <c r="BW109" s="26"/>
      <c r="BX109" s="229"/>
      <c r="BY109" s="229"/>
      <c r="BZ109" s="269"/>
      <c r="CB109" s="232"/>
      <c r="CC109" s="24"/>
      <c r="CD109" s="26"/>
      <c r="CE109" s="26"/>
      <c r="CF109" s="26"/>
      <c r="CG109" s="26"/>
      <c r="CH109" s="26"/>
      <c r="CI109" s="26"/>
      <c r="CJ109" s="26"/>
      <c r="CK109" s="229"/>
      <c r="CL109" s="269"/>
      <c r="CM109" s="26"/>
      <c r="CN109" s="232"/>
      <c r="CO109" s="252"/>
      <c r="CP109" s="26"/>
      <c r="CQ109" s="26"/>
      <c r="CR109" s="26"/>
      <c r="CS109" s="26"/>
      <c r="CT109" s="26">
        <v>1</v>
      </c>
      <c r="CU109" s="26"/>
      <c r="CV109" s="26"/>
      <c r="CW109" s="229"/>
      <c r="CX109" s="269"/>
      <c r="CY109" s="26"/>
      <c r="CZ109" s="232"/>
      <c r="DA109" s="252"/>
      <c r="DB109" s="26"/>
      <c r="DC109" s="26"/>
      <c r="DD109" s="26"/>
      <c r="DE109" s="26"/>
      <c r="DF109" s="26"/>
      <c r="DG109" s="26"/>
      <c r="DH109" s="26"/>
      <c r="DI109" s="229"/>
      <c r="DJ109" s="269"/>
      <c r="DK109" s="26"/>
      <c r="DL109" s="232"/>
      <c r="DM109" s="252"/>
      <c r="DN109" s="26"/>
      <c r="DO109" s="26"/>
      <c r="DP109" s="26"/>
      <c r="DQ109" s="26"/>
      <c r="DR109" s="26"/>
      <c r="DS109" s="26"/>
      <c r="DT109" s="26"/>
      <c r="DU109" s="229"/>
      <c r="DV109" s="269"/>
      <c r="DW109" s="26"/>
      <c r="DX109" s="232"/>
      <c r="DY109" s="252"/>
      <c r="DZ109" s="26"/>
      <c r="EA109" s="26"/>
      <c r="EB109" s="26"/>
      <c r="EC109" s="26"/>
      <c r="ED109" s="26"/>
      <c r="EE109" s="26"/>
      <c r="EF109" s="26"/>
      <c r="EG109" s="229"/>
      <c r="EH109" s="269"/>
      <c r="EI109" s="26"/>
      <c r="EJ109" s="232"/>
    </row>
    <row r="110" spans="1:140" x14ac:dyDescent="0.2">
      <c r="A110" s="73" t="s">
        <v>1282</v>
      </c>
      <c r="B110" s="44" t="s">
        <v>1283</v>
      </c>
      <c r="C110" s="29">
        <v>1</v>
      </c>
      <c r="D110" s="249">
        <v>0</v>
      </c>
      <c r="E110" s="30">
        <v>0</v>
      </c>
      <c r="F110" s="31">
        <f t="shared" si="10"/>
        <v>1</v>
      </c>
      <c r="G110" s="321">
        <v>0</v>
      </c>
      <c r="H110" s="321">
        <v>0</v>
      </c>
      <c r="I110" s="321">
        <v>1</v>
      </c>
      <c r="J110" s="36">
        <v>0</v>
      </c>
      <c r="K110" s="249">
        <v>2034.1940000000002</v>
      </c>
      <c r="L110" s="249">
        <v>12</v>
      </c>
      <c r="N110"/>
      <c r="O110"/>
      <c r="P110" s="20"/>
      <c r="Q110" s="218"/>
      <c r="R110" s="218"/>
      <c r="AA110"/>
      <c r="AB110" s="8" t="s">
        <v>1159</v>
      </c>
      <c r="AC110" s="271">
        <v>7271</v>
      </c>
      <c r="AD110" s="174" t="s">
        <v>151</v>
      </c>
      <c r="AE110" s="60">
        <f t="shared" si="6"/>
        <v>4</v>
      </c>
      <c r="AF110" s="107">
        <f t="shared" si="7"/>
        <v>4</v>
      </c>
      <c r="AG110" s="370"/>
      <c r="AH110" s="366"/>
      <c r="AI110" s="294"/>
      <c r="AJ110" s="26"/>
      <c r="AK110" s="374"/>
      <c r="AL110" s="374"/>
      <c r="AO110" s="294"/>
      <c r="AR110" s="376"/>
      <c r="AS110" s="13"/>
      <c r="AY110"/>
      <c r="AZ110" s="374"/>
      <c r="BA110" s="4"/>
      <c r="BD110" s="55"/>
      <c r="BE110" s="13"/>
      <c r="BF110" s="26"/>
      <c r="BG110" s="26"/>
      <c r="BH110" s="26"/>
      <c r="BI110" s="26"/>
      <c r="BJ110" s="26"/>
      <c r="BK110" s="26"/>
      <c r="BL110" s="26"/>
      <c r="BM110" s="26"/>
      <c r="BP110" s="122"/>
      <c r="BQ110" s="24"/>
      <c r="BR110" s="26"/>
      <c r="BS110" s="20"/>
      <c r="BT110" s="26"/>
      <c r="BV110" s="26"/>
      <c r="BW110" s="26"/>
      <c r="BX110" s="229"/>
      <c r="BY110" s="229"/>
      <c r="BZ110" s="269"/>
      <c r="CB110" s="232"/>
      <c r="CC110" s="24"/>
      <c r="CD110" s="26"/>
      <c r="CE110" s="26"/>
      <c r="CF110" s="26"/>
      <c r="CG110" s="26"/>
      <c r="CH110" s="26">
        <v>1</v>
      </c>
      <c r="CI110" s="26"/>
      <c r="CJ110" s="26"/>
      <c r="CK110" s="229"/>
      <c r="CL110" s="269"/>
      <c r="CM110" s="26"/>
      <c r="CN110" s="232"/>
      <c r="CO110" s="252"/>
      <c r="CP110" s="26"/>
      <c r="CQ110" s="26"/>
      <c r="CR110" s="26"/>
      <c r="CS110" s="26"/>
      <c r="CT110" s="26"/>
      <c r="CU110" s="26"/>
      <c r="CV110" s="26"/>
      <c r="CW110" s="229"/>
      <c r="CX110" s="269">
        <v>1</v>
      </c>
      <c r="CY110" s="26"/>
      <c r="CZ110" s="232">
        <v>1</v>
      </c>
      <c r="DA110" s="252"/>
      <c r="DB110" s="26"/>
      <c r="DC110" s="26"/>
      <c r="DD110" s="26"/>
      <c r="DE110" s="26"/>
      <c r="DF110" s="26"/>
      <c r="DG110" s="26"/>
      <c r="DH110" s="26"/>
      <c r="DI110" s="229"/>
      <c r="DJ110" s="269"/>
      <c r="DK110" s="26"/>
      <c r="DL110" s="232"/>
      <c r="DM110" s="252"/>
      <c r="DN110" s="26">
        <v>1</v>
      </c>
      <c r="DO110" s="26"/>
      <c r="DP110" s="26"/>
      <c r="DQ110" s="26"/>
      <c r="DR110" s="26"/>
      <c r="DS110" s="26"/>
      <c r="DT110" s="26"/>
      <c r="DU110" s="229"/>
      <c r="DV110" s="269"/>
      <c r="DW110" s="26"/>
      <c r="DX110" s="232"/>
      <c r="DY110" s="252"/>
      <c r="DZ110" s="26"/>
      <c r="EA110" s="26"/>
      <c r="EB110" s="26"/>
      <c r="EC110" s="26"/>
      <c r="ED110" s="26"/>
      <c r="EE110" s="26"/>
      <c r="EF110" s="26"/>
      <c r="EG110" s="229"/>
      <c r="EH110" s="269"/>
      <c r="EI110" s="26"/>
      <c r="EJ110" s="232"/>
    </row>
    <row r="111" spans="1:140" x14ac:dyDescent="0.2">
      <c r="A111" s="27">
        <f>SUM(F110:F113)</f>
        <v>3</v>
      </c>
      <c r="B111" s="46" t="s">
        <v>1284</v>
      </c>
      <c r="C111" s="23">
        <v>0</v>
      </c>
      <c r="D111" s="248">
        <v>0</v>
      </c>
      <c r="E111" s="24">
        <v>0</v>
      </c>
      <c r="F111" s="25">
        <f t="shared" si="10"/>
        <v>0</v>
      </c>
      <c r="G111" s="144">
        <v>0</v>
      </c>
      <c r="H111" s="144">
        <v>0</v>
      </c>
      <c r="I111" s="144">
        <v>0</v>
      </c>
      <c r="J111" s="34">
        <v>0</v>
      </c>
      <c r="K111" s="248">
        <v>0</v>
      </c>
      <c r="L111" s="248">
        <v>1</v>
      </c>
      <c r="N111"/>
      <c r="O111"/>
      <c r="P111" s="20"/>
      <c r="Q111" s="218"/>
      <c r="R111" s="218"/>
      <c r="AA111"/>
      <c r="AB111" s="8" t="s">
        <v>1037</v>
      </c>
      <c r="AC111" s="265">
        <v>7359</v>
      </c>
      <c r="AD111" s="174" t="s">
        <v>1038</v>
      </c>
      <c r="AE111" s="60">
        <f t="shared" si="6"/>
        <v>65</v>
      </c>
      <c r="AF111" s="107">
        <f t="shared" si="7"/>
        <v>6</v>
      </c>
      <c r="AG111" s="370"/>
      <c r="AH111" s="366"/>
      <c r="AI111" s="294"/>
      <c r="AJ111" s="26"/>
      <c r="AK111" s="374"/>
      <c r="AL111" s="374"/>
      <c r="AO111" s="294"/>
      <c r="AR111" s="376"/>
      <c r="AS111" s="13"/>
      <c r="AY111"/>
      <c r="AZ111" s="374"/>
      <c r="BA111" s="4"/>
      <c r="BD111" s="55"/>
      <c r="BE111" s="13"/>
      <c r="BF111" s="26"/>
      <c r="BG111" s="26"/>
      <c r="BH111" s="26"/>
      <c r="BI111" s="26"/>
      <c r="BJ111" s="26"/>
      <c r="BK111" s="26"/>
      <c r="BL111" s="26"/>
      <c r="BM111" s="26"/>
      <c r="BP111" s="122"/>
      <c r="BQ111" s="24"/>
      <c r="BR111" s="26"/>
      <c r="BS111" s="20"/>
      <c r="BT111" s="26"/>
      <c r="BV111" s="26"/>
      <c r="BW111" s="26">
        <v>40</v>
      </c>
      <c r="BX111" s="229"/>
      <c r="BY111" s="229"/>
      <c r="BZ111" s="269"/>
      <c r="CB111" s="232"/>
      <c r="CC111" s="24"/>
      <c r="CD111" s="26"/>
      <c r="CE111" s="26"/>
      <c r="CF111" s="26"/>
      <c r="CG111" s="26">
        <v>16</v>
      </c>
      <c r="CH111" s="26"/>
      <c r="CI111" s="26"/>
      <c r="CJ111" s="26"/>
      <c r="CK111" s="229"/>
      <c r="CL111" s="269"/>
      <c r="CM111" s="26"/>
      <c r="CN111" s="232">
        <v>2</v>
      </c>
      <c r="CO111" s="252"/>
      <c r="CP111" s="26"/>
      <c r="CQ111" s="26"/>
      <c r="CR111" s="26"/>
      <c r="CS111" s="26"/>
      <c r="CT111" s="26"/>
      <c r="CU111" s="26"/>
      <c r="CV111" s="26"/>
      <c r="CW111" s="229"/>
      <c r="CX111" s="269"/>
      <c r="CY111" s="26"/>
      <c r="CZ111" s="232"/>
      <c r="DA111" s="252"/>
      <c r="DB111" s="26"/>
      <c r="DC111" s="26"/>
      <c r="DD111" s="26"/>
      <c r="DE111" s="26"/>
      <c r="DF111" s="26"/>
      <c r="DG111" s="26"/>
      <c r="DH111" s="26">
        <v>4</v>
      </c>
      <c r="DI111" s="229"/>
      <c r="DJ111" s="269"/>
      <c r="DK111" s="26"/>
      <c r="DL111" s="232"/>
      <c r="DM111" s="252"/>
      <c r="DN111" s="26"/>
      <c r="DO111" s="26"/>
      <c r="DP111" s="26"/>
      <c r="DQ111" s="26"/>
      <c r="DR111" s="26"/>
      <c r="DS111" s="26"/>
      <c r="DT111" s="26"/>
      <c r="DU111" s="229"/>
      <c r="DV111" s="269"/>
      <c r="DW111" s="26">
        <v>2</v>
      </c>
      <c r="DX111" s="232"/>
      <c r="DY111" s="252"/>
      <c r="DZ111" s="26">
        <v>1</v>
      </c>
      <c r="EA111" s="26"/>
      <c r="EB111" s="26"/>
      <c r="EC111" s="26"/>
      <c r="ED111" s="26"/>
      <c r="EE111" s="26"/>
      <c r="EF111" s="26"/>
      <c r="EG111" s="229"/>
      <c r="EH111" s="269"/>
      <c r="EI111" s="26"/>
      <c r="EJ111" s="232"/>
    </row>
    <row r="112" spans="1:140" x14ac:dyDescent="0.2">
      <c r="A112" s="27"/>
      <c r="B112" s="46" t="s">
        <v>4802</v>
      </c>
      <c r="C112" s="23">
        <v>0</v>
      </c>
      <c r="D112" s="248">
        <v>0</v>
      </c>
      <c r="E112" s="24">
        <v>0</v>
      </c>
      <c r="F112" s="25">
        <f t="shared" si="10"/>
        <v>0</v>
      </c>
      <c r="G112" s="144">
        <v>0</v>
      </c>
      <c r="H112" s="144">
        <v>0</v>
      </c>
      <c r="I112" s="144">
        <v>0</v>
      </c>
      <c r="J112" s="34">
        <v>0</v>
      </c>
      <c r="K112" s="248">
        <v>418.62299999999993</v>
      </c>
      <c r="L112" s="248">
        <v>4</v>
      </c>
      <c r="N112"/>
      <c r="O112"/>
      <c r="P112" s="20"/>
      <c r="Q112" s="218"/>
      <c r="R112" s="218"/>
      <c r="AA112"/>
      <c r="AB112" s="8" t="s">
        <v>1565</v>
      </c>
      <c r="AC112" s="133">
        <v>7570</v>
      </c>
      <c r="AD112" s="174" t="s">
        <v>137</v>
      </c>
      <c r="AE112" s="60">
        <f t="shared" si="6"/>
        <v>2</v>
      </c>
      <c r="AF112" s="107">
        <f t="shared" si="7"/>
        <v>1</v>
      </c>
      <c r="AG112" s="370"/>
      <c r="AH112" s="366"/>
      <c r="AI112" s="294"/>
      <c r="AJ112" s="26"/>
      <c r="AK112" s="374"/>
      <c r="AL112" s="374"/>
      <c r="AO112" s="294"/>
      <c r="AR112" s="376"/>
      <c r="AS112" s="13"/>
      <c r="AY112"/>
      <c r="AZ112" s="374"/>
      <c r="BA112" s="4"/>
      <c r="BD112" s="55"/>
      <c r="BE112" s="13"/>
      <c r="BF112" s="26"/>
      <c r="BG112" s="26"/>
      <c r="BH112" s="26"/>
      <c r="BI112" s="26"/>
      <c r="BJ112" s="26"/>
      <c r="BK112" s="26"/>
      <c r="BL112" s="26"/>
      <c r="BM112" s="26"/>
      <c r="BP112" s="122"/>
      <c r="BQ112" s="24"/>
      <c r="BR112" s="26">
        <v>2</v>
      </c>
      <c r="BS112" s="20"/>
      <c r="BT112" s="26"/>
      <c r="BV112" s="26"/>
      <c r="BW112" s="26"/>
      <c r="BX112" s="229"/>
      <c r="BY112" s="229"/>
      <c r="BZ112" s="269"/>
      <c r="CB112" s="232"/>
      <c r="CC112" s="24"/>
      <c r="CD112" s="26"/>
      <c r="CE112" s="26"/>
      <c r="CF112" s="26"/>
      <c r="CG112" s="26"/>
      <c r="CH112" s="26"/>
      <c r="CI112" s="26"/>
      <c r="CJ112" s="26"/>
      <c r="CK112" s="229"/>
      <c r="CL112" s="269"/>
      <c r="CM112" s="26"/>
      <c r="CN112" s="232"/>
      <c r="CO112" s="252"/>
      <c r="CP112" s="26"/>
      <c r="CQ112" s="26"/>
      <c r="CR112" s="26"/>
      <c r="CS112" s="26"/>
      <c r="CT112" s="26"/>
      <c r="CU112" s="26"/>
      <c r="CV112" s="26"/>
      <c r="CW112" s="229"/>
      <c r="CX112" s="269"/>
      <c r="CY112" s="26"/>
      <c r="CZ112" s="232"/>
      <c r="DA112" s="252"/>
      <c r="DB112" s="26"/>
      <c r="DC112" s="26"/>
      <c r="DD112" s="26"/>
      <c r="DE112" s="26"/>
      <c r="DF112" s="26"/>
      <c r="DG112" s="26"/>
      <c r="DH112" s="26"/>
      <c r="DI112" s="229"/>
      <c r="DJ112" s="269"/>
      <c r="DK112" s="26"/>
      <c r="DL112" s="232"/>
      <c r="DM112" s="252"/>
      <c r="DN112" s="26"/>
      <c r="DO112" s="26"/>
      <c r="DP112" s="26"/>
      <c r="DQ112" s="26"/>
      <c r="DR112" s="26"/>
      <c r="DS112" s="26"/>
      <c r="DT112" s="26"/>
      <c r="DU112" s="229"/>
      <c r="DV112" s="269"/>
      <c r="DW112" s="26"/>
      <c r="DX112" s="232"/>
      <c r="DY112" s="252"/>
      <c r="DZ112" s="26"/>
      <c r="EA112" s="26"/>
      <c r="EB112" s="26"/>
      <c r="EC112" s="26"/>
      <c r="ED112" s="26"/>
      <c r="EE112" s="26"/>
      <c r="EF112" s="26"/>
      <c r="EG112" s="229"/>
      <c r="EH112" s="269"/>
      <c r="EI112" s="26"/>
      <c r="EJ112" s="232"/>
    </row>
    <row r="113" spans="1:140" x14ac:dyDescent="0.2">
      <c r="A113" s="14"/>
      <c r="B113" s="47" t="s">
        <v>713</v>
      </c>
      <c r="C113" s="28">
        <v>2</v>
      </c>
      <c r="D113" s="251">
        <v>0</v>
      </c>
      <c r="E113" s="41">
        <v>0</v>
      </c>
      <c r="F113" s="42">
        <f t="shared" si="10"/>
        <v>2</v>
      </c>
      <c r="G113" s="322">
        <v>0</v>
      </c>
      <c r="H113" s="322">
        <v>0</v>
      </c>
      <c r="I113" s="322">
        <v>2</v>
      </c>
      <c r="J113" s="43">
        <v>0</v>
      </c>
      <c r="K113" s="251">
        <v>11636.801000000001</v>
      </c>
      <c r="L113" s="251">
        <v>57</v>
      </c>
      <c r="N113"/>
      <c r="O113"/>
      <c r="P113" s="20"/>
      <c r="Q113" s="218"/>
      <c r="R113" s="218"/>
      <c r="AA113"/>
      <c r="AB113" s="8" t="s">
        <v>150</v>
      </c>
      <c r="AC113" s="133">
        <v>7760</v>
      </c>
      <c r="AD113" s="174" t="s">
        <v>151</v>
      </c>
      <c r="AE113" s="60">
        <f t="shared" si="6"/>
        <v>1</v>
      </c>
      <c r="AF113" s="107">
        <f t="shared" si="7"/>
        <v>1</v>
      </c>
      <c r="AG113" s="370"/>
      <c r="AH113" s="366"/>
      <c r="AI113" s="294"/>
      <c r="AJ113" s="26"/>
      <c r="AK113" s="374"/>
      <c r="AL113" s="374"/>
      <c r="AO113" s="294"/>
      <c r="AR113" s="376"/>
      <c r="AS113" s="13"/>
      <c r="AY113"/>
      <c r="AZ113" s="374"/>
      <c r="BA113" s="4"/>
      <c r="BD113" s="55"/>
      <c r="BE113" s="13"/>
      <c r="BF113" s="26"/>
      <c r="BG113" s="26"/>
      <c r="BH113" s="26"/>
      <c r="BI113" s="26"/>
      <c r="BJ113" s="26"/>
      <c r="BK113" s="26"/>
      <c r="BL113" s="26"/>
      <c r="BM113" s="26"/>
      <c r="BP113" s="122"/>
      <c r="BQ113" s="24"/>
      <c r="BR113" s="26"/>
      <c r="BS113" s="20"/>
      <c r="BT113" s="26"/>
      <c r="BV113" s="26"/>
      <c r="BW113" s="26"/>
      <c r="BX113" s="229"/>
      <c r="BY113" s="229"/>
      <c r="BZ113" s="269"/>
      <c r="CB113" s="232"/>
      <c r="CC113" s="24">
        <v>1</v>
      </c>
      <c r="CD113" s="26"/>
      <c r="CE113" s="26"/>
      <c r="CF113" s="26"/>
      <c r="CG113" s="26"/>
      <c r="CH113" s="26"/>
      <c r="CI113" s="26"/>
      <c r="CJ113" s="26"/>
      <c r="CK113" s="229"/>
      <c r="CL113" s="269"/>
      <c r="CM113" s="26"/>
      <c r="CN113" s="232"/>
      <c r="CO113" s="252"/>
      <c r="CP113" s="26"/>
      <c r="CQ113" s="26"/>
      <c r="CR113" s="26"/>
      <c r="CS113" s="26"/>
      <c r="CT113" s="26"/>
      <c r="CU113" s="26"/>
      <c r="CV113" s="26"/>
      <c r="CW113" s="229"/>
      <c r="CX113" s="269"/>
      <c r="CY113" s="26"/>
      <c r="CZ113" s="232"/>
      <c r="DA113" s="252"/>
      <c r="DB113" s="26"/>
      <c r="DC113" s="26"/>
      <c r="DD113" s="26"/>
      <c r="DE113" s="26"/>
      <c r="DF113" s="26"/>
      <c r="DG113" s="26"/>
      <c r="DH113" s="26"/>
      <c r="DI113" s="229"/>
      <c r="DJ113" s="269"/>
      <c r="DK113" s="26"/>
      <c r="DL113" s="232"/>
      <c r="DM113" s="252"/>
      <c r="DN113" s="26"/>
      <c r="DO113" s="26"/>
      <c r="DP113" s="26"/>
      <c r="DQ113" s="26"/>
      <c r="DR113" s="26"/>
      <c r="DS113" s="26"/>
      <c r="DT113" s="26"/>
      <c r="DU113" s="229"/>
      <c r="DV113" s="269"/>
      <c r="DW113" s="26"/>
      <c r="DX113" s="232"/>
      <c r="DY113" s="252"/>
      <c r="DZ113" s="26"/>
      <c r="EA113" s="26"/>
      <c r="EB113" s="26"/>
      <c r="EC113" s="26"/>
      <c r="ED113" s="26"/>
      <c r="EE113" s="26"/>
      <c r="EF113" s="26"/>
      <c r="EG113" s="229"/>
      <c r="EH113" s="269"/>
      <c r="EI113" s="26"/>
      <c r="EJ113" s="232"/>
    </row>
    <row r="114" spans="1:140" x14ac:dyDescent="0.2">
      <c r="A114" s="19"/>
      <c r="B114" s="11" t="s">
        <v>1285</v>
      </c>
      <c r="C114" s="23">
        <v>0</v>
      </c>
      <c r="D114" s="248">
        <v>0</v>
      </c>
      <c r="E114" s="23">
        <v>0</v>
      </c>
      <c r="F114" s="25">
        <f t="shared" si="10"/>
        <v>0</v>
      </c>
      <c r="G114" s="144">
        <v>0</v>
      </c>
      <c r="H114" s="144">
        <v>0</v>
      </c>
      <c r="I114" s="144">
        <v>0</v>
      </c>
      <c r="J114" s="23">
        <v>0</v>
      </c>
      <c r="K114" s="248">
        <v>540.59199999999998</v>
      </c>
      <c r="L114" s="248">
        <v>17</v>
      </c>
      <c r="N114"/>
      <c r="O114"/>
      <c r="P114" s="20"/>
      <c r="Q114" s="218"/>
      <c r="R114" s="218"/>
      <c r="AA114"/>
      <c r="AB114" s="8" t="s">
        <v>514</v>
      </c>
      <c r="AC114" s="133">
        <v>7811</v>
      </c>
      <c r="AD114" s="174" t="s">
        <v>239</v>
      </c>
      <c r="AE114" s="60">
        <f t="shared" si="6"/>
        <v>52</v>
      </c>
      <c r="AF114" s="107">
        <f t="shared" si="7"/>
        <v>1</v>
      </c>
      <c r="AG114" s="370"/>
      <c r="AH114" s="366"/>
      <c r="AI114" s="294"/>
      <c r="AJ114" s="26"/>
      <c r="AK114" s="374"/>
      <c r="AL114" s="374"/>
      <c r="AO114" s="294"/>
      <c r="AR114" s="376"/>
      <c r="AS114" s="13"/>
      <c r="AY114"/>
      <c r="AZ114" s="374"/>
      <c r="BA114" s="4"/>
      <c r="BD114" s="55"/>
      <c r="BE114" s="13"/>
      <c r="BF114" s="26"/>
      <c r="BG114" s="26"/>
      <c r="BH114" s="26"/>
      <c r="BI114" s="26"/>
      <c r="BJ114" s="26"/>
      <c r="BK114" s="26"/>
      <c r="BL114" s="26"/>
      <c r="BM114" s="26"/>
      <c r="BP114" s="122"/>
      <c r="BQ114" s="24"/>
      <c r="BR114" s="26"/>
      <c r="BS114" s="20"/>
      <c r="BT114" s="26"/>
      <c r="BV114" s="26"/>
      <c r="BW114" s="26"/>
      <c r="BX114" s="229"/>
      <c r="BY114" s="229"/>
      <c r="BZ114" s="269"/>
      <c r="CB114" s="232"/>
      <c r="CC114" s="24"/>
      <c r="CD114" s="26"/>
      <c r="CE114" s="26"/>
      <c r="CF114" s="26"/>
      <c r="CG114" s="26"/>
      <c r="CH114" s="26"/>
      <c r="CI114" s="26"/>
      <c r="CJ114" s="26"/>
      <c r="CK114" s="229">
        <v>52</v>
      </c>
      <c r="CL114" s="269"/>
      <c r="CM114" s="26"/>
      <c r="CN114" s="232"/>
      <c r="CO114" s="252"/>
      <c r="CP114" s="26"/>
      <c r="CQ114" s="26"/>
      <c r="CR114" s="26"/>
      <c r="CS114" s="26"/>
      <c r="CT114" s="26"/>
      <c r="CU114" s="26"/>
      <c r="CV114" s="26"/>
      <c r="CW114" s="229"/>
      <c r="CX114" s="269"/>
      <c r="CY114" s="26"/>
      <c r="CZ114" s="232"/>
      <c r="DA114" s="252"/>
      <c r="DB114" s="26"/>
      <c r="DC114" s="26"/>
      <c r="DD114" s="26"/>
      <c r="DE114" s="26"/>
      <c r="DF114" s="26"/>
      <c r="DG114" s="26"/>
      <c r="DH114" s="26"/>
      <c r="DI114" s="229"/>
      <c r="DJ114" s="269"/>
      <c r="DK114" s="26"/>
      <c r="DL114" s="232"/>
      <c r="DM114" s="252"/>
      <c r="DN114" s="26"/>
      <c r="DO114" s="26"/>
      <c r="DP114" s="26"/>
      <c r="DQ114" s="26"/>
      <c r="DR114" s="26"/>
      <c r="DS114" s="26"/>
      <c r="DT114" s="26"/>
      <c r="DU114" s="229"/>
      <c r="DV114" s="269"/>
      <c r="DW114" s="26"/>
      <c r="DX114" s="232"/>
      <c r="DY114" s="252"/>
      <c r="DZ114" s="26"/>
      <c r="EA114" s="26"/>
      <c r="EB114" s="26"/>
      <c r="EC114" s="26"/>
      <c r="ED114" s="26"/>
      <c r="EE114" s="26"/>
      <c r="EF114" s="26"/>
      <c r="EG114" s="229"/>
      <c r="EH114" s="269"/>
      <c r="EI114" s="26"/>
      <c r="EJ114" s="232"/>
    </row>
    <row r="115" spans="1:140" x14ac:dyDescent="0.2">
      <c r="A115" s="19"/>
      <c r="B115" s="11"/>
      <c r="C115" s="23">
        <v>0</v>
      </c>
      <c r="D115" s="248">
        <v>0</v>
      </c>
      <c r="E115" s="23">
        <v>0</v>
      </c>
      <c r="F115" s="25"/>
      <c r="G115" s="144">
        <v>0</v>
      </c>
      <c r="H115" s="144">
        <v>0</v>
      </c>
      <c r="I115" s="144">
        <v>0</v>
      </c>
      <c r="J115" s="23">
        <v>0</v>
      </c>
      <c r="K115" s="248">
        <v>0</v>
      </c>
      <c r="L115" s="248">
        <v>0</v>
      </c>
      <c r="N115"/>
      <c r="O115"/>
      <c r="P115" s="20"/>
      <c r="Q115" s="218"/>
      <c r="R115" s="218"/>
      <c r="AA115"/>
      <c r="AB115" s="8" t="s">
        <v>1175</v>
      </c>
      <c r="AC115" s="133">
        <v>7849</v>
      </c>
      <c r="AD115" s="174" t="s">
        <v>137</v>
      </c>
      <c r="AE115" s="60">
        <f>SUM(AG115:EJ115)</f>
        <v>1</v>
      </c>
      <c r="AF115" s="107">
        <f>COUNTA(AG115:EJ115)</f>
        <v>1</v>
      </c>
      <c r="AG115" s="370"/>
      <c r="AH115" s="366"/>
      <c r="AI115" s="294"/>
      <c r="AJ115" s="26"/>
      <c r="AK115" s="374"/>
      <c r="AL115" s="374"/>
      <c r="AO115" s="294"/>
      <c r="AR115" s="376"/>
      <c r="AS115" s="13"/>
      <c r="AY115"/>
      <c r="AZ115" s="374"/>
      <c r="BA115" s="4"/>
      <c r="BD115" s="55"/>
      <c r="BE115" s="13"/>
      <c r="BF115" s="26"/>
      <c r="BG115" s="26"/>
      <c r="BH115" s="26"/>
      <c r="BI115" s="26"/>
      <c r="BJ115" s="26"/>
      <c r="BK115" s="26"/>
      <c r="BL115" s="26"/>
      <c r="BM115" s="26"/>
      <c r="BP115" s="122"/>
      <c r="BQ115" s="24"/>
      <c r="BR115" s="26"/>
      <c r="BS115" s="20"/>
      <c r="BT115" s="26"/>
      <c r="BV115" s="26"/>
      <c r="BW115" s="26"/>
      <c r="BX115" s="229"/>
      <c r="BY115" s="229"/>
      <c r="BZ115" s="269"/>
      <c r="CB115" s="232"/>
      <c r="CC115" s="24"/>
      <c r="CD115" s="26"/>
      <c r="CE115" s="26"/>
      <c r="CF115" s="26"/>
      <c r="CG115" s="26"/>
      <c r="CH115" s="26"/>
      <c r="CI115" s="26"/>
      <c r="CJ115" s="26"/>
      <c r="CK115" s="229"/>
      <c r="CL115" s="269"/>
      <c r="CM115" s="26"/>
      <c r="CN115" s="232"/>
      <c r="CO115" s="252"/>
      <c r="CP115" s="26"/>
      <c r="CQ115" s="26"/>
      <c r="CR115" s="26"/>
      <c r="CS115" s="26"/>
      <c r="CT115" s="26"/>
      <c r="CU115" s="26"/>
      <c r="CV115" s="26"/>
      <c r="CW115" s="229"/>
      <c r="CX115" s="269"/>
      <c r="CY115" s="26"/>
      <c r="CZ115" s="232"/>
      <c r="DA115" s="252"/>
      <c r="DB115" s="26"/>
      <c r="DC115" s="26"/>
      <c r="DD115" s="26"/>
      <c r="DE115" s="26"/>
      <c r="DF115" s="26"/>
      <c r="DG115" s="26"/>
      <c r="DH115" s="26"/>
      <c r="DI115" s="229"/>
      <c r="DJ115" s="269"/>
      <c r="DK115" s="26"/>
      <c r="DL115" s="232"/>
      <c r="DM115" s="252"/>
      <c r="DN115" s="26"/>
      <c r="DO115" s="26"/>
      <c r="DP115" s="26"/>
      <c r="DQ115" s="26"/>
      <c r="DR115" s="26"/>
      <c r="DS115" s="26"/>
      <c r="DT115" s="26"/>
      <c r="DU115" s="229"/>
      <c r="DV115" s="269"/>
      <c r="DW115" s="26"/>
      <c r="DX115" s="232"/>
      <c r="DY115" s="252"/>
      <c r="DZ115" s="26"/>
      <c r="EA115" s="26"/>
      <c r="EB115" s="26"/>
      <c r="EC115" s="26"/>
      <c r="ED115" s="26"/>
      <c r="EE115" s="26">
        <v>1</v>
      </c>
      <c r="EF115" s="26"/>
      <c r="EG115" s="229"/>
      <c r="EH115" s="269"/>
      <c r="EI115" s="26"/>
      <c r="EJ115" s="232"/>
    </row>
    <row r="116" spans="1:140" x14ac:dyDescent="0.2">
      <c r="A116" s="19" t="s">
        <v>1286</v>
      </c>
      <c r="B116" s="11" t="s">
        <v>1287</v>
      </c>
      <c r="C116" s="23">
        <v>0</v>
      </c>
      <c r="D116" s="248">
        <v>0</v>
      </c>
      <c r="E116" s="23">
        <v>0</v>
      </c>
      <c r="F116" s="25">
        <f t="shared" si="10"/>
        <v>0</v>
      </c>
      <c r="G116" s="144">
        <v>0</v>
      </c>
      <c r="H116" s="144">
        <v>0</v>
      </c>
      <c r="I116" s="144">
        <v>0</v>
      </c>
      <c r="J116" s="23">
        <v>0</v>
      </c>
      <c r="K116" s="248">
        <v>0</v>
      </c>
      <c r="L116" s="248">
        <v>0</v>
      </c>
      <c r="N116"/>
      <c r="O116"/>
      <c r="P116" s="20"/>
      <c r="Q116" s="218"/>
      <c r="R116" s="218"/>
      <c r="AA116"/>
      <c r="AB116" s="8" t="s">
        <v>1121</v>
      </c>
      <c r="AC116" s="133">
        <v>7864</v>
      </c>
      <c r="AD116" s="174" t="s">
        <v>78</v>
      </c>
      <c r="AE116" s="60">
        <f t="shared" si="6"/>
        <v>1</v>
      </c>
      <c r="AF116" s="107">
        <f t="shared" si="7"/>
        <v>1</v>
      </c>
      <c r="AG116" s="370"/>
      <c r="AH116" s="366"/>
      <c r="AI116" s="294"/>
      <c r="AJ116" s="26"/>
      <c r="AK116" s="374"/>
      <c r="AL116" s="374"/>
      <c r="AO116" s="294"/>
      <c r="AR116" s="376"/>
      <c r="AS116" s="13"/>
      <c r="AY116"/>
      <c r="AZ116" s="374"/>
      <c r="BA116" s="4"/>
      <c r="BD116" s="55"/>
      <c r="BE116" s="13"/>
      <c r="BF116" s="26"/>
      <c r="BG116" s="26"/>
      <c r="BH116" s="26"/>
      <c r="BI116" s="26"/>
      <c r="BJ116" s="26"/>
      <c r="BK116" s="26"/>
      <c r="BL116" s="26"/>
      <c r="BM116" s="26"/>
      <c r="BP116" s="122"/>
      <c r="BQ116" s="24"/>
      <c r="BR116" s="26"/>
      <c r="BS116" s="20"/>
      <c r="BT116" s="26"/>
      <c r="BV116" s="26"/>
      <c r="BW116" s="26"/>
      <c r="BX116" s="229"/>
      <c r="BY116" s="229"/>
      <c r="BZ116" s="269"/>
      <c r="CB116" s="232"/>
      <c r="CC116" s="24"/>
      <c r="CD116" s="26"/>
      <c r="CE116" s="26"/>
      <c r="CF116" s="26"/>
      <c r="CG116" s="26"/>
      <c r="CH116" s="26"/>
      <c r="CI116" s="26"/>
      <c r="CJ116" s="26"/>
      <c r="CK116" s="229"/>
      <c r="CL116" s="269"/>
      <c r="CM116" s="26"/>
      <c r="CN116" s="232"/>
      <c r="CO116" s="252"/>
      <c r="CP116" s="26"/>
      <c r="CQ116" s="26"/>
      <c r="CR116" s="26"/>
      <c r="CS116" s="26"/>
      <c r="CT116" s="26"/>
      <c r="CU116" s="26"/>
      <c r="CV116" s="26">
        <v>1</v>
      </c>
      <c r="CW116" s="229"/>
      <c r="CX116" s="269"/>
      <c r="CY116" s="26"/>
      <c r="CZ116" s="232"/>
      <c r="DA116" s="252"/>
      <c r="DB116" s="26"/>
      <c r="DC116" s="26"/>
      <c r="DD116" s="26"/>
      <c r="DE116" s="26"/>
      <c r="DF116" s="26"/>
      <c r="DG116" s="26"/>
      <c r="DH116" s="26"/>
      <c r="DI116" s="229"/>
      <c r="DJ116" s="269"/>
      <c r="DK116" s="26"/>
      <c r="DL116" s="232"/>
      <c r="DM116" s="252"/>
      <c r="DN116" s="26"/>
      <c r="DO116" s="26"/>
      <c r="DP116" s="26"/>
      <c r="DQ116" s="26"/>
      <c r="DR116" s="26"/>
      <c r="DS116" s="26"/>
      <c r="DT116" s="26"/>
      <c r="DU116" s="229"/>
      <c r="DV116" s="269"/>
      <c r="DW116" s="26"/>
      <c r="DX116" s="232"/>
      <c r="DY116" s="252"/>
      <c r="DZ116" s="26"/>
      <c r="EA116" s="26"/>
      <c r="EB116" s="26"/>
      <c r="EC116" s="26"/>
      <c r="ED116" s="26"/>
      <c r="EE116" s="26"/>
      <c r="EF116" s="26"/>
      <c r="EG116" s="229"/>
      <c r="EH116" s="269"/>
      <c r="EI116" s="26"/>
      <c r="EJ116" s="232"/>
    </row>
    <row r="117" spans="1:140" x14ac:dyDescent="0.2">
      <c r="A117" s="19" t="s">
        <v>1288</v>
      </c>
      <c r="B117" s="11" t="s">
        <v>1289</v>
      </c>
      <c r="C117" s="23">
        <v>0</v>
      </c>
      <c r="D117" s="248">
        <v>0</v>
      </c>
      <c r="E117" s="23">
        <v>0</v>
      </c>
      <c r="F117" s="25">
        <f t="shared" si="10"/>
        <v>0</v>
      </c>
      <c r="G117" s="144">
        <v>0</v>
      </c>
      <c r="H117" s="144">
        <v>0</v>
      </c>
      <c r="I117" s="144">
        <v>0</v>
      </c>
      <c r="J117" s="23">
        <v>0</v>
      </c>
      <c r="K117" s="248">
        <v>52027.697999999997</v>
      </c>
      <c r="L117" s="248">
        <v>56</v>
      </c>
      <c r="N117"/>
      <c r="O117"/>
      <c r="P117" s="20"/>
      <c r="Q117" s="218"/>
      <c r="R117" s="218"/>
      <c r="AA117"/>
      <c r="AB117" s="8" t="s">
        <v>1186</v>
      </c>
      <c r="AC117" s="133">
        <v>7883</v>
      </c>
      <c r="AD117" s="174" t="s">
        <v>1346</v>
      </c>
      <c r="AE117" s="60">
        <f t="shared" si="6"/>
        <v>5</v>
      </c>
      <c r="AF117" s="107">
        <f t="shared" si="7"/>
        <v>3</v>
      </c>
      <c r="AG117" s="370"/>
      <c r="AH117" s="366"/>
      <c r="AI117" s="294"/>
      <c r="AJ117" s="26"/>
      <c r="AK117" s="374"/>
      <c r="AL117" s="374"/>
      <c r="AO117" s="294"/>
      <c r="AR117" s="376"/>
      <c r="AS117" s="13"/>
      <c r="AY117"/>
      <c r="AZ117" s="374"/>
      <c r="BA117" s="4"/>
      <c r="BD117" s="55"/>
      <c r="BE117" s="13"/>
      <c r="BF117" s="26"/>
      <c r="BG117" s="26"/>
      <c r="BH117" s="26"/>
      <c r="BI117" s="26"/>
      <c r="BJ117" s="26"/>
      <c r="BK117" s="26"/>
      <c r="BL117" s="26"/>
      <c r="BM117" s="26"/>
      <c r="BP117" s="122"/>
      <c r="BQ117" s="24"/>
      <c r="BR117" s="26"/>
      <c r="BS117" s="20"/>
      <c r="BT117" s="26"/>
      <c r="BV117" s="26"/>
      <c r="BW117" s="26"/>
      <c r="BX117" s="229"/>
      <c r="BY117" s="229"/>
      <c r="BZ117" s="269"/>
      <c r="CB117" s="232"/>
      <c r="CC117" s="24"/>
      <c r="CD117" s="26"/>
      <c r="CE117" s="26"/>
      <c r="CF117" s="26"/>
      <c r="CG117" s="26"/>
      <c r="CH117" s="26"/>
      <c r="CI117" s="26"/>
      <c r="CJ117" s="26"/>
      <c r="CK117" s="229"/>
      <c r="CL117" s="269"/>
      <c r="CM117" s="26"/>
      <c r="CN117" s="232"/>
      <c r="CO117" s="252"/>
      <c r="CP117" s="26"/>
      <c r="CQ117" s="26"/>
      <c r="CR117" s="26"/>
      <c r="CS117" s="26"/>
      <c r="CT117" s="26"/>
      <c r="CU117" s="26"/>
      <c r="CV117" s="26"/>
      <c r="CW117" s="229"/>
      <c r="CX117" s="269"/>
      <c r="CY117" s="26"/>
      <c r="CZ117" s="232">
        <v>2</v>
      </c>
      <c r="DA117" s="252"/>
      <c r="DB117" s="26"/>
      <c r="DC117" s="26"/>
      <c r="DD117" s="26"/>
      <c r="DE117" s="26"/>
      <c r="DF117" s="26"/>
      <c r="DG117" s="26"/>
      <c r="DH117" s="26"/>
      <c r="DI117" s="229"/>
      <c r="DJ117" s="269"/>
      <c r="DK117" s="26">
        <v>1</v>
      </c>
      <c r="DL117" s="232">
        <v>2</v>
      </c>
      <c r="DM117" s="252"/>
      <c r="DN117" s="26"/>
      <c r="DO117" s="26"/>
      <c r="DP117" s="26"/>
      <c r="DQ117" s="26"/>
      <c r="DR117" s="26"/>
      <c r="DS117" s="26"/>
      <c r="DT117" s="26"/>
      <c r="DU117" s="229"/>
      <c r="DV117" s="269"/>
      <c r="DW117" s="26"/>
      <c r="DX117" s="232"/>
      <c r="DY117" s="252"/>
      <c r="DZ117" s="26"/>
      <c r="EA117" s="26"/>
      <c r="EB117" s="26"/>
      <c r="EC117" s="26"/>
      <c r="ED117" s="26"/>
      <c r="EE117" s="26"/>
      <c r="EF117" s="26"/>
      <c r="EG117" s="229"/>
      <c r="EH117" s="269"/>
      <c r="EI117" s="26"/>
      <c r="EJ117" s="232"/>
    </row>
    <row r="118" spans="1:140" x14ac:dyDescent="0.2">
      <c r="A118" s="19" t="s">
        <v>1204</v>
      </c>
      <c r="B118" s="11" t="s">
        <v>1290</v>
      </c>
      <c r="C118" s="23">
        <v>0</v>
      </c>
      <c r="D118" s="248">
        <v>0</v>
      </c>
      <c r="E118" s="23">
        <v>0</v>
      </c>
      <c r="F118" s="25">
        <f t="shared" si="10"/>
        <v>0</v>
      </c>
      <c r="G118" s="144">
        <v>0</v>
      </c>
      <c r="H118" s="144">
        <v>0</v>
      </c>
      <c r="I118" s="144">
        <v>0</v>
      </c>
      <c r="J118" s="23">
        <v>0</v>
      </c>
      <c r="K118" s="248">
        <v>14696.721000000001</v>
      </c>
      <c r="L118" s="248">
        <v>14</v>
      </c>
      <c r="N118"/>
      <c r="O118"/>
      <c r="P118" s="20"/>
      <c r="Q118" s="218"/>
      <c r="R118" s="218"/>
      <c r="AA118"/>
      <c r="AB118" s="8" t="s">
        <v>1021</v>
      </c>
      <c r="AC118" s="133">
        <v>7997</v>
      </c>
      <c r="AD118" s="174" t="s">
        <v>42</v>
      </c>
      <c r="AE118" s="60">
        <f t="shared" si="6"/>
        <v>9</v>
      </c>
      <c r="AF118" s="107">
        <f t="shared" si="7"/>
        <v>3</v>
      </c>
      <c r="AG118" s="370"/>
      <c r="AH118" s="366"/>
      <c r="AI118" s="294"/>
      <c r="AJ118" s="26"/>
      <c r="AK118" s="374"/>
      <c r="AL118" s="374"/>
      <c r="AO118" s="294"/>
      <c r="AR118" s="376"/>
      <c r="AS118" s="13"/>
      <c r="AY118"/>
      <c r="AZ118" s="374"/>
      <c r="BA118" s="4"/>
      <c r="BD118" s="55"/>
      <c r="BE118" s="13"/>
      <c r="BF118" s="26"/>
      <c r="BG118" s="26"/>
      <c r="BH118" s="26"/>
      <c r="BI118" s="26"/>
      <c r="BJ118" s="26"/>
      <c r="BK118" s="26"/>
      <c r="BL118" s="26"/>
      <c r="BM118" s="26"/>
      <c r="BP118" s="122"/>
      <c r="BQ118" s="24"/>
      <c r="BR118" s="26"/>
      <c r="BS118" s="20"/>
      <c r="BT118" s="26"/>
      <c r="BV118" s="26"/>
      <c r="BW118" s="26"/>
      <c r="BX118" s="229"/>
      <c r="BY118" s="229"/>
      <c r="BZ118" s="269"/>
      <c r="CB118" s="232"/>
      <c r="CC118" s="24"/>
      <c r="CD118" s="26"/>
      <c r="CE118" s="26"/>
      <c r="CF118" s="26"/>
      <c r="CG118" s="26"/>
      <c r="CH118" s="26"/>
      <c r="CI118" s="26"/>
      <c r="CJ118" s="26"/>
      <c r="CK118" s="229"/>
      <c r="CL118" s="269"/>
      <c r="CM118" s="26"/>
      <c r="CN118" s="232"/>
      <c r="CO118" s="252"/>
      <c r="CP118" s="26"/>
      <c r="CQ118" s="26"/>
      <c r="CR118" s="26"/>
      <c r="CS118" s="26"/>
      <c r="CT118" s="26"/>
      <c r="CU118" s="26"/>
      <c r="CV118" s="26"/>
      <c r="CW118" s="229"/>
      <c r="CX118" s="269"/>
      <c r="CY118" s="26"/>
      <c r="CZ118" s="232"/>
      <c r="DA118" s="252"/>
      <c r="DB118" s="26"/>
      <c r="DC118" s="26"/>
      <c r="DD118" s="26"/>
      <c r="DE118" s="26"/>
      <c r="DF118" s="26"/>
      <c r="DG118" s="26"/>
      <c r="DH118" s="26"/>
      <c r="DI118" s="229">
        <v>1</v>
      </c>
      <c r="DJ118" s="269"/>
      <c r="DK118" s="26"/>
      <c r="DL118" s="232"/>
      <c r="DM118" s="252"/>
      <c r="DN118" s="26"/>
      <c r="DO118" s="26"/>
      <c r="DP118" s="26"/>
      <c r="DQ118" s="26"/>
      <c r="DR118" s="26"/>
      <c r="DS118" s="26"/>
      <c r="DT118" s="26"/>
      <c r="DU118" s="229"/>
      <c r="DV118" s="269"/>
      <c r="DW118" s="26"/>
      <c r="DX118" s="232"/>
      <c r="DY118" s="252">
        <v>5</v>
      </c>
      <c r="DZ118" s="26"/>
      <c r="EA118" s="26"/>
      <c r="EB118" s="26"/>
      <c r="EC118" s="26">
        <v>3</v>
      </c>
      <c r="ED118" s="26"/>
      <c r="EE118" s="26"/>
      <c r="EF118" s="26"/>
      <c r="EG118" s="229"/>
      <c r="EH118" s="269"/>
      <c r="EI118" s="26"/>
      <c r="EJ118" s="232"/>
    </row>
    <row r="119" spans="1:140" x14ac:dyDescent="0.2">
      <c r="A119" s="27">
        <f>SUM(F114:F122)</f>
        <v>3</v>
      </c>
      <c r="B119" s="11" t="s">
        <v>1291</v>
      </c>
      <c r="C119" s="23">
        <v>0</v>
      </c>
      <c r="D119" s="248">
        <v>0</v>
      </c>
      <c r="E119" s="23">
        <v>0</v>
      </c>
      <c r="F119" s="25">
        <f t="shared" si="10"/>
        <v>0</v>
      </c>
      <c r="G119" s="144">
        <v>0</v>
      </c>
      <c r="H119" s="144">
        <v>0</v>
      </c>
      <c r="I119" s="144">
        <v>0</v>
      </c>
      <c r="J119" s="23">
        <v>0</v>
      </c>
      <c r="K119" s="248">
        <v>0</v>
      </c>
      <c r="L119" s="248">
        <v>1</v>
      </c>
      <c r="N119"/>
      <c r="O119"/>
      <c r="P119" s="20"/>
      <c r="Q119" s="218"/>
      <c r="R119" s="218"/>
      <c r="AA119"/>
      <c r="AB119" s="8" t="s">
        <v>6563</v>
      </c>
      <c r="AC119" s="133">
        <v>8027</v>
      </c>
      <c r="AD119" s="174" t="s">
        <v>301</v>
      </c>
      <c r="AE119" s="60">
        <f t="shared" si="6"/>
        <v>2</v>
      </c>
      <c r="AF119" s="107">
        <f t="shared" si="7"/>
        <v>1</v>
      </c>
      <c r="AG119" s="370"/>
      <c r="AH119" s="366"/>
      <c r="AI119" s="294"/>
      <c r="AJ119" s="26"/>
      <c r="AK119" s="374"/>
      <c r="AL119" s="374"/>
      <c r="AO119" s="294"/>
      <c r="AR119" s="376"/>
      <c r="AS119" s="13"/>
      <c r="AY119"/>
      <c r="AZ119" s="374"/>
      <c r="BA119" s="4"/>
      <c r="BD119" s="55"/>
      <c r="BE119" s="13"/>
      <c r="BF119" s="26"/>
      <c r="BG119" s="26"/>
      <c r="BH119" s="26"/>
      <c r="BI119" s="26"/>
      <c r="BJ119" s="26"/>
      <c r="BK119" s="26"/>
      <c r="BL119" s="26"/>
      <c r="BM119" s="26"/>
      <c r="BP119" s="122"/>
      <c r="BQ119" s="24"/>
      <c r="BR119" s="26"/>
      <c r="BS119" s="20"/>
      <c r="BT119" s="26"/>
      <c r="BV119" s="26"/>
      <c r="BW119" s="26"/>
      <c r="BX119" s="229"/>
      <c r="BY119" s="229"/>
      <c r="BZ119" s="269"/>
      <c r="CB119" s="232"/>
      <c r="CC119" s="24"/>
      <c r="CD119" s="26"/>
      <c r="CE119" s="26"/>
      <c r="CF119" s="26"/>
      <c r="CG119" s="26"/>
      <c r="CH119" s="26"/>
      <c r="CI119" s="26"/>
      <c r="CJ119" s="26"/>
      <c r="CK119" s="229"/>
      <c r="CL119" s="269"/>
      <c r="CM119" s="26">
        <v>2</v>
      </c>
      <c r="CN119" s="232"/>
      <c r="CO119" s="252"/>
      <c r="CP119" s="26"/>
      <c r="CQ119" s="26"/>
      <c r="CR119" s="26"/>
      <c r="CS119" s="26"/>
      <c r="CT119" s="26"/>
      <c r="CU119" s="26"/>
      <c r="CV119" s="26"/>
      <c r="CW119" s="229"/>
      <c r="CX119" s="269"/>
      <c r="CY119" s="26"/>
      <c r="CZ119" s="232"/>
      <c r="DA119" s="252"/>
      <c r="DB119" s="26"/>
      <c r="DC119" s="26"/>
      <c r="DD119" s="26"/>
      <c r="DE119" s="26"/>
      <c r="DF119" s="26"/>
      <c r="DG119" s="26"/>
      <c r="DH119" s="26"/>
      <c r="DI119" s="229"/>
      <c r="DJ119" s="269"/>
      <c r="DK119" s="26"/>
      <c r="DL119" s="232"/>
      <c r="DM119" s="252"/>
      <c r="DN119" s="26"/>
      <c r="DO119" s="26"/>
      <c r="DP119" s="26"/>
      <c r="DQ119" s="26"/>
      <c r="DR119" s="26"/>
      <c r="DS119" s="26"/>
      <c r="DT119" s="26"/>
      <c r="DU119" s="229"/>
      <c r="DV119" s="269"/>
      <c r="DW119" s="26"/>
      <c r="DX119" s="232"/>
      <c r="DY119" s="252"/>
      <c r="DZ119" s="26"/>
      <c r="EA119" s="26"/>
      <c r="EB119" s="26"/>
      <c r="EC119" s="26"/>
      <c r="ED119" s="26"/>
      <c r="EE119" s="26"/>
      <c r="EF119" s="26"/>
      <c r="EG119" s="229"/>
      <c r="EH119" s="269"/>
      <c r="EI119" s="26"/>
      <c r="EJ119" s="232"/>
    </row>
    <row r="120" spans="1:140" x14ac:dyDescent="0.2">
      <c r="A120" s="19"/>
      <c r="B120" s="11" t="s">
        <v>1292</v>
      </c>
      <c r="C120" s="23">
        <v>0</v>
      </c>
      <c r="D120" s="248">
        <v>0</v>
      </c>
      <c r="E120" s="23">
        <v>0</v>
      </c>
      <c r="F120" s="25">
        <f t="shared" si="10"/>
        <v>0</v>
      </c>
      <c r="G120" s="144">
        <v>0</v>
      </c>
      <c r="H120" s="144">
        <v>0</v>
      </c>
      <c r="I120" s="144">
        <v>0</v>
      </c>
      <c r="J120" s="23">
        <v>0</v>
      </c>
      <c r="K120" s="248">
        <v>0</v>
      </c>
      <c r="L120" s="248">
        <v>0</v>
      </c>
      <c r="N120"/>
      <c r="O120"/>
      <c r="P120" s="20"/>
      <c r="Q120" s="218"/>
      <c r="R120" s="218"/>
      <c r="AA120"/>
      <c r="AB120" s="8" t="s">
        <v>1095</v>
      </c>
      <c r="AC120" s="133">
        <v>8055</v>
      </c>
      <c r="AD120" s="174" t="s">
        <v>301</v>
      </c>
      <c r="AE120" s="60">
        <f t="shared" si="6"/>
        <v>4</v>
      </c>
      <c r="AF120" s="107">
        <f t="shared" si="7"/>
        <v>2</v>
      </c>
      <c r="AG120" s="370"/>
      <c r="AH120" s="366"/>
      <c r="AI120" s="294"/>
      <c r="AJ120" s="26"/>
      <c r="AK120" s="374"/>
      <c r="AL120" s="374"/>
      <c r="AO120" s="294"/>
      <c r="AR120" s="376"/>
      <c r="AS120" s="13"/>
      <c r="AY120"/>
      <c r="AZ120" s="374"/>
      <c r="BA120" s="4"/>
      <c r="BD120" s="55"/>
      <c r="BE120" s="13"/>
      <c r="BF120" s="26"/>
      <c r="BG120" s="26"/>
      <c r="BH120" s="26"/>
      <c r="BI120" s="26"/>
      <c r="BJ120" s="26"/>
      <c r="BK120" s="26"/>
      <c r="BL120" s="26"/>
      <c r="BM120" s="26"/>
      <c r="BP120" s="122"/>
      <c r="BQ120" s="24"/>
      <c r="BR120" s="26"/>
      <c r="BS120" s="20"/>
      <c r="BT120" s="26"/>
      <c r="BV120" s="26"/>
      <c r="BW120" s="26"/>
      <c r="BX120" s="229"/>
      <c r="BY120" s="229"/>
      <c r="BZ120" s="269"/>
      <c r="CB120" s="232"/>
      <c r="CC120" s="24"/>
      <c r="CD120" s="26"/>
      <c r="CE120" s="26"/>
      <c r="CF120" s="26"/>
      <c r="CG120" s="26"/>
      <c r="CH120" s="26">
        <v>1</v>
      </c>
      <c r="CI120" s="26"/>
      <c r="CJ120" s="26"/>
      <c r="CK120" s="229"/>
      <c r="CL120" s="269"/>
      <c r="CM120" s="26">
        <v>3</v>
      </c>
      <c r="CN120" s="232"/>
      <c r="CO120" s="252"/>
      <c r="CP120" s="26"/>
      <c r="CQ120" s="26"/>
      <c r="CR120" s="26"/>
      <c r="CS120" s="26"/>
      <c r="CT120" s="26"/>
      <c r="CU120" s="26"/>
      <c r="CV120" s="26"/>
      <c r="CW120" s="229"/>
      <c r="CX120" s="269"/>
      <c r="CY120" s="26"/>
      <c r="CZ120" s="232"/>
      <c r="DA120" s="252"/>
      <c r="DB120" s="26"/>
      <c r="DC120" s="26"/>
      <c r="DD120" s="26"/>
      <c r="DE120" s="26"/>
      <c r="DF120" s="26"/>
      <c r="DG120" s="26"/>
      <c r="DH120" s="26"/>
      <c r="DI120" s="229"/>
      <c r="DJ120" s="269"/>
      <c r="DK120" s="26"/>
      <c r="DL120" s="232"/>
      <c r="DM120" s="252"/>
      <c r="DN120" s="26"/>
      <c r="DO120" s="26"/>
      <c r="DP120" s="26"/>
      <c r="DQ120" s="26"/>
      <c r="DR120" s="26"/>
      <c r="DS120" s="26"/>
      <c r="DT120" s="26"/>
      <c r="DU120" s="229"/>
      <c r="DV120" s="269"/>
      <c r="DW120" s="26"/>
      <c r="DX120" s="232"/>
      <c r="DY120" s="252"/>
      <c r="DZ120" s="26"/>
      <c r="EA120" s="26"/>
      <c r="EB120" s="26"/>
      <c r="EC120" s="26"/>
      <c r="ED120" s="26"/>
      <c r="EE120" s="26"/>
      <c r="EF120" s="26"/>
      <c r="EG120" s="229"/>
      <c r="EH120" s="269"/>
      <c r="EI120" s="26"/>
      <c r="EJ120" s="232"/>
    </row>
    <row r="121" spans="1:140" x14ac:dyDescent="0.2">
      <c r="A121" s="19"/>
      <c r="B121" s="11" t="s">
        <v>670</v>
      </c>
      <c r="C121" s="23">
        <v>1</v>
      </c>
      <c r="D121" s="248">
        <v>0</v>
      </c>
      <c r="E121" s="23">
        <v>1</v>
      </c>
      <c r="F121" s="25">
        <f t="shared" si="10"/>
        <v>2</v>
      </c>
      <c r="G121" s="144">
        <v>0</v>
      </c>
      <c r="H121" s="144">
        <v>0</v>
      </c>
      <c r="I121" s="144">
        <v>2</v>
      </c>
      <c r="J121" s="23">
        <v>0</v>
      </c>
      <c r="K121" s="248">
        <v>4312.6930000000002</v>
      </c>
      <c r="L121" s="248">
        <v>39</v>
      </c>
      <c r="N121"/>
      <c r="O121"/>
      <c r="P121" s="20"/>
      <c r="Q121" s="218"/>
      <c r="R121" s="218"/>
      <c r="AA121"/>
      <c r="AB121" s="8" t="s">
        <v>1088</v>
      </c>
      <c r="AC121" s="133">
        <v>8060</v>
      </c>
      <c r="AD121" s="174" t="s">
        <v>1085</v>
      </c>
      <c r="AE121" s="60">
        <f t="shared" si="6"/>
        <v>3</v>
      </c>
      <c r="AF121" s="107">
        <f t="shared" si="7"/>
        <v>2</v>
      </c>
      <c r="AG121" s="370"/>
      <c r="AH121" s="366"/>
      <c r="AI121" s="294"/>
      <c r="AJ121" s="26"/>
      <c r="AK121" s="374"/>
      <c r="AL121" s="374"/>
      <c r="AO121" s="294"/>
      <c r="AR121" s="376"/>
      <c r="AS121" s="13"/>
      <c r="AY121"/>
      <c r="AZ121" s="374"/>
      <c r="BA121" s="4"/>
      <c r="BD121" s="55"/>
      <c r="BE121" s="13"/>
      <c r="BF121" s="26"/>
      <c r="BG121" s="26"/>
      <c r="BH121" s="26"/>
      <c r="BI121" s="26"/>
      <c r="BJ121" s="26"/>
      <c r="BK121" s="26"/>
      <c r="BL121" s="26"/>
      <c r="BM121" s="26"/>
      <c r="BP121" s="122"/>
      <c r="BQ121" s="24"/>
      <c r="BR121" s="26"/>
      <c r="BS121" s="20"/>
      <c r="BT121" s="26"/>
      <c r="BV121" s="26"/>
      <c r="BW121" s="26"/>
      <c r="BX121" s="229"/>
      <c r="BY121" s="229"/>
      <c r="BZ121" s="269"/>
      <c r="CB121" s="232"/>
      <c r="CC121" s="24"/>
      <c r="CD121" s="26"/>
      <c r="CE121" s="26"/>
      <c r="CF121" s="26"/>
      <c r="CG121" s="26"/>
      <c r="CH121" s="26"/>
      <c r="CI121" s="26"/>
      <c r="CJ121" s="26"/>
      <c r="CK121" s="229"/>
      <c r="CL121" s="269"/>
      <c r="CM121" s="26"/>
      <c r="CN121" s="232"/>
      <c r="CO121" s="252"/>
      <c r="CP121" s="26"/>
      <c r="CQ121" s="26"/>
      <c r="CR121" s="26"/>
      <c r="CS121" s="26">
        <v>1</v>
      </c>
      <c r="CT121" s="26">
        <v>2</v>
      </c>
      <c r="CU121" s="26"/>
      <c r="CV121" s="26"/>
      <c r="CW121" s="229"/>
      <c r="CX121" s="269"/>
      <c r="CY121" s="26"/>
      <c r="CZ121" s="232"/>
      <c r="DA121" s="252"/>
      <c r="DB121" s="26"/>
      <c r="DC121" s="26"/>
      <c r="DD121" s="26"/>
      <c r="DE121" s="26"/>
      <c r="DF121" s="26"/>
      <c r="DG121" s="26"/>
      <c r="DH121" s="26"/>
      <c r="DI121" s="229"/>
      <c r="DJ121" s="269"/>
      <c r="DK121" s="26"/>
      <c r="DL121" s="232"/>
      <c r="DM121" s="252"/>
      <c r="DN121" s="26"/>
      <c r="DO121" s="26"/>
      <c r="DP121" s="26"/>
      <c r="DQ121" s="26"/>
      <c r="DR121" s="26"/>
      <c r="DS121" s="26"/>
      <c r="DT121" s="26"/>
      <c r="DU121" s="229"/>
      <c r="DV121" s="269"/>
      <c r="DW121" s="26"/>
      <c r="DX121" s="232"/>
      <c r="DY121" s="252"/>
      <c r="DZ121" s="26"/>
      <c r="EA121" s="26"/>
      <c r="EB121" s="26"/>
      <c r="EC121" s="26"/>
      <c r="ED121" s="26"/>
      <c r="EE121" s="26"/>
      <c r="EF121" s="26"/>
      <c r="EG121" s="229"/>
      <c r="EH121" s="269"/>
      <c r="EI121" s="26"/>
      <c r="EJ121" s="232"/>
    </row>
    <row r="122" spans="1:140" x14ac:dyDescent="0.2">
      <c r="A122" s="19"/>
      <c r="B122" s="11" t="s">
        <v>681</v>
      </c>
      <c r="C122" s="23">
        <v>0</v>
      </c>
      <c r="D122" s="248">
        <v>0</v>
      </c>
      <c r="E122" s="23">
        <v>1</v>
      </c>
      <c r="F122" s="42">
        <f t="shared" si="10"/>
        <v>1</v>
      </c>
      <c r="G122" s="322">
        <v>0</v>
      </c>
      <c r="H122" s="322">
        <v>0</v>
      </c>
      <c r="I122" s="322">
        <v>1</v>
      </c>
      <c r="J122" s="23">
        <v>0</v>
      </c>
      <c r="K122" s="248">
        <v>24611.357999999997</v>
      </c>
      <c r="L122" s="248">
        <v>25</v>
      </c>
      <c r="N122"/>
      <c r="O122"/>
      <c r="P122" s="20"/>
      <c r="Q122" s="218"/>
      <c r="R122" s="218"/>
      <c r="AA122"/>
      <c r="AB122" s="8" t="s">
        <v>1093</v>
      </c>
      <c r="AC122" s="133">
        <v>8142</v>
      </c>
      <c r="AD122" s="174" t="s">
        <v>63</v>
      </c>
      <c r="AE122" s="60">
        <f t="shared" si="6"/>
        <v>2</v>
      </c>
      <c r="AF122" s="107">
        <f t="shared" si="7"/>
        <v>1</v>
      </c>
      <c r="AG122" s="370"/>
      <c r="AH122" s="366"/>
      <c r="AI122" s="294"/>
      <c r="AJ122" s="26"/>
      <c r="AK122" s="374"/>
      <c r="AL122" s="374"/>
      <c r="AO122" s="294"/>
      <c r="AR122" s="376"/>
      <c r="AS122" s="13"/>
      <c r="AY122"/>
      <c r="AZ122" s="374"/>
      <c r="BA122" s="4"/>
      <c r="BD122" s="55"/>
      <c r="BE122" s="13"/>
      <c r="BF122" s="26"/>
      <c r="BG122" s="26"/>
      <c r="BH122" s="26"/>
      <c r="BI122" s="26"/>
      <c r="BJ122" s="26"/>
      <c r="BK122" s="26"/>
      <c r="BL122" s="26"/>
      <c r="BM122" s="26"/>
      <c r="BP122" s="122"/>
      <c r="BQ122" s="24"/>
      <c r="BR122" s="26"/>
      <c r="BS122" s="20"/>
      <c r="BT122" s="26"/>
      <c r="BV122" s="26"/>
      <c r="BW122" s="26"/>
      <c r="BX122" s="229"/>
      <c r="BY122" s="229"/>
      <c r="BZ122" s="269"/>
      <c r="CB122" s="232"/>
      <c r="CC122" s="24"/>
      <c r="CD122" s="26"/>
      <c r="CE122" s="26"/>
      <c r="CF122" s="26"/>
      <c r="CG122" s="26"/>
      <c r="CH122" s="26"/>
      <c r="CI122" s="26"/>
      <c r="CJ122" s="26"/>
      <c r="CK122" s="229"/>
      <c r="CL122" s="269"/>
      <c r="CM122" s="26"/>
      <c r="CN122" s="232"/>
      <c r="CO122" s="252"/>
      <c r="CP122" s="26"/>
      <c r="CQ122" s="26"/>
      <c r="CR122" s="26"/>
      <c r="CS122" s="26"/>
      <c r="CT122" s="26"/>
      <c r="CU122" s="26"/>
      <c r="CV122" s="26"/>
      <c r="CW122" s="229"/>
      <c r="CX122" s="269"/>
      <c r="CY122" s="26"/>
      <c r="CZ122" s="232"/>
      <c r="DA122" s="252"/>
      <c r="DB122" s="26"/>
      <c r="DC122" s="26">
        <v>2</v>
      </c>
      <c r="DD122" s="26"/>
      <c r="DE122" s="26"/>
      <c r="DF122" s="26"/>
      <c r="DG122" s="26"/>
      <c r="DH122" s="26"/>
      <c r="DI122" s="229"/>
      <c r="DJ122" s="269"/>
      <c r="DK122" s="26"/>
      <c r="DL122" s="232"/>
      <c r="DM122" s="252"/>
      <c r="DN122" s="26"/>
      <c r="DO122" s="26"/>
      <c r="DP122" s="26"/>
      <c r="DQ122" s="26"/>
      <c r="DR122" s="26"/>
      <c r="DS122" s="26"/>
      <c r="DT122" s="26"/>
      <c r="DU122" s="229"/>
      <c r="DV122" s="269"/>
      <c r="DW122" s="26"/>
      <c r="DX122" s="232"/>
      <c r="DY122" s="252"/>
      <c r="DZ122" s="26"/>
      <c r="EA122" s="26"/>
      <c r="EB122" s="26"/>
      <c r="EC122" s="26"/>
      <c r="ED122" s="26"/>
      <c r="EE122" s="26"/>
      <c r="EF122" s="26"/>
      <c r="EG122" s="229"/>
      <c r="EH122" s="269"/>
      <c r="EI122" s="26"/>
      <c r="EJ122" s="232"/>
    </row>
    <row r="123" spans="1:140" x14ac:dyDescent="0.2">
      <c r="A123" s="17"/>
      <c r="B123" s="44" t="s">
        <v>1293</v>
      </c>
      <c r="C123" s="29">
        <v>1</v>
      </c>
      <c r="D123" s="249">
        <v>0</v>
      </c>
      <c r="E123" s="29">
        <v>2</v>
      </c>
      <c r="F123" s="31">
        <f t="shared" si="10"/>
        <v>3</v>
      </c>
      <c r="G123" s="321">
        <v>0</v>
      </c>
      <c r="H123" s="321">
        <v>0</v>
      </c>
      <c r="I123" s="321">
        <v>3</v>
      </c>
      <c r="J123" s="74">
        <v>10.5</v>
      </c>
      <c r="K123" s="249">
        <v>323.61699999999996</v>
      </c>
      <c r="L123" s="249">
        <v>17</v>
      </c>
      <c r="N123"/>
      <c r="O123"/>
      <c r="P123" s="20"/>
      <c r="Q123" s="218"/>
      <c r="R123" s="218"/>
      <c r="AA123"/>
      <c r="AB123" s="8" t="s">
        <v>1178</v>
      </c>
      <c r="AC123" s="133">
        <v>8260</v>
      </c>
      <c r="AD123" s="174" t="s">
        <v>137</v>
      </c>
      <c r="AE123" s="60">
        <f t="shared" si="6"/>
        <v>6</v>
      </c>
      <c r="AF123" s="107">
        <f t="shared" si="7"/>
        <v>2</v>
      </c>
      <c r="AG123" s="370"/>
      <c r="AH123" s="366"/>
      <c r="AI123" s="294"/>
      <c r="AJ123" s="26"/>
      <c r="AK123" s="374"/>
      <c r="AL123" s="374"/>
      <c r="AO123" s="294"/>
      <c r="AR123" s="376"/>
      <c r="AS123" s="13"/>
      <c r="AY123"/>
      <c r="AZ123" s="374"/>
      <c r="BA123" s="4"/>
      <c r="BD123" s="55"/>
      <c r="BE123" s="13"/>
      <c r="BF123" s="26"/>
      <c r="BG123" s="26"/>
      <c r="BH123" s="26"/>
      <c r="BI123" s="26"/>
      <c r="BJ123" s="26"/>
      <c r="BK123" s="26"/>
      <c r="BL123" s="26"/>
      <c r="BM123" s="26"/>
      <c r="BP123" s="122"/>
      <c r="BQ123" s="24"/>
      <c r="BR123" s="26"/>
      <c r="BS123" s="20"/>
      <c r="BT123" s="26"/>
      <c r="BV123" s="26"/>
      <c r="BW123" s="26"/>
      <c r="BX123" s="229"/>
      <c r="BY123" s="229"/>
      <c r="BZ123" s="269"/>
      <c r="CB123" s="232"/>
      <c r="CC123" s="24"/>
      <c r="CD123" s="26"/>
      <c r="CE123" s="26">
        <v>2</v>
      </c>
      <c r="CF123" s="26"/>
      <c r="CG123" s="26"/>
      <c r="CH123" s="26"/>
      <c r="CI123" s="26"/>
      <c r="CJ123" s="26"/>
      <c r="CK123" s="229"/>
      <c r="CL123" s="269"/>
      <c r="CM123" s="26"/>
      <c r="CN123" s="232"/>
      <c r="CO123" s="252"/>
      <c r="CP123" s="26"/>
      <c r="CQ123" s="26"/>
      <c r="CR123" s="26"/>
      <c r="CS123" s="26"/>
      <c r="CT123" s="26"/>
      <c r="CU123" s="26"/>
      <c r="CV123" s="26"/>
      <c r="CW123" s="229"/>
      <c r="CX123" s="269"/>
      <c r="CY123" s="26"/>
      <c r="CZ123" s="232">
        <v>4</v>
      </c>
      <c r="DA123" s="252"/>
      <c r="DB123" s="26"/>
      <c r="DC123" s="26"/>
      <c r="DD123" s="26"/>
      <c r="DE123" s="26"/>
      <c r="DF123" s="26"/>
      <c r="DG123" s="26"/>
      <c r="DH123" s="26"/>
      <c r="DI123" s="229"/>
      <c r="DJ123" s="269"/>
      <c r="DK123" s="26"/>
      <c r="DL123" s="232"/>
      <c r="DM123" s="252"/>
      <c r="DN123" s="26"/>
      <c r="DO123" s="26"/>
      <c r="DP123" s="26"/>
      <c r="DQ123" s="26"/>
      <c r="DR123" s="26"/>
      <c r="DS123" s="26"/>
      <c r="DT123" s="26"/>
      <c r="DU123" s="229"/>
      <c r="DV123" s="269"/>
      <c r="DW123" s="26"/>
      <c r="DX123" s="232"/>
      <c r="DY123" s="252"/>
      <c r="DZ123" s="26"/>
      <c r="EA123" s="26"/>
      <c r="EB123" s="26"/>
      <c r="EC123" s="26"/>
      <c r="ED123" s="26"/>
      <c r="EE123" s="26"/>
      <c r="EF123" s="26"/>
      <c r="EG123" s="229"/>
      <c r="EH123" s="269"/>
      <c r="EI123" s="26"/>
      <c r="EJ123" s="232"/>
    </row>
    <row r="124" spans="1:140" x14ac:dyDescent="0.2">
      <c r="A124" s="19" t="s">
        <v>1294</v>
      </c>
      <c r="B124" s="46" t="s">
        <v>1295</v>
      </c>
      <c r="C124" s="23">
        <v>0</v>
      </c>
      <c r="D124" s="248">
        <v>0</v>
      </c>
      <c r="E124" s="23">
        <v>0</v>
      </c>
      <c r="F124" s="25">
        <f t="shared" si="10"/>
        <v>0</v>
      </c>
      <c r="G124" s="144">
        <v>0</v>
      </c>
      <c r="H124" s="144">
        <v>0</v>
      </c>
      <c r="I124" s="144">
        <v>0</v>
      </c>
      <c r="J124" s="32">
        <v>0</v>
      </c>
      <c r="K124" s="248">
        <v>16479.541999999998</v>
      </c>
      <c r="L124" s="248">
        <v>15</v>
      </c>
      <c r="N124"/>
      <c r="O124"/>
      <c r="P124" s="20"/>
      <c r="Q124" s="218"/>
      <c r="R124" s="218"/>
      <c r="AA124"/>
      <c r="AB124" s="8" t="s">
        <v>765</v>
      </c>
      <c r="AC124" s="133">
        <v>8383</v>
      </c>
      <c r="AD124" s="174" t="s">
        <v>766</v>
      </c>
      <c r="AE124" s="60">
        <f t="shared" si="6"/>
        <v>1</v>
      </c>
      <c r="AF124" s="107">
        <f t="shared" si="7"/>
        <v>1</v>
      </c>
      <c r="AG124" s="370"/>
      <c r="AH124" s="366"/>
      <c r="AI124" s="294"/>
      <c r="AJ124" s="26"/>
      <c r="AK124" s="374"/>
      <c r="AL124" s="374"/>
      <c r="AO124" s="294"/>
      <c r="AR124" s="376"/>
      <c r="AS124" s="13"/>
      <c r="AY124"/>
      <c r="AZ124" s="374"/>
      <c r="BA124" s="4"/>
      <c r="BD124" s="55"/>
      <c r="BE124" s="13"/>
      <c r="BF124" s="26"/>
      <c r="BG124" s="26"/>
      <c r="BH124" s="26"/>
      <c r="BI124" s="26"/>
      <c r="BJ124" s="26"/>
      <c r="BK124" s="26"/>
      <c r="BL124" s="26"/>
      <c r="BM124" s="26"/>
      <c r="BP124" s="122"/>
      <c r="BQ124" s="24"/>
      <c r="BR124" s="26"/>
      <c r="BS124" s="20"/>
      <c r="BT124" s="26"/>
      <c r="BV124" s="26"/>
      <c r="BW124" s="26"/>
      <c r="BX124" s="229"/>
      <c r="BY124" s="229"/>
      <c r="BZ124" s="269"/>
      <c r="CB124" s="232">
        <v>1</v>
      </c>
      <c r="CC124" s="24"/>
      <c r="CD124" s="26"/>
      <c r="CE124" s="26"/>
      <c r="CF124" s="26"/>
      <c r="CG124" s="26"/>
      <c r="CH124" s="26"/>
      <c r="CI124" s="26"/>
      <c r="CJ124" s="26"/>
      <c r="CK124" s="229"/>
      <c r="CL124" s="269"/>
      <c r="CM124" s="26"/>
      <c r="CN124" s="232"/>
      <c r="CO124" s="252"/>
      <c r="CP124" s="26"/>
      <c r="CQ124" s="26"/>
      <c r="CR124" s="26"/>
      <c r="CS124" s="26"/>
      <c r="CT124" s="26"/>
      <c r="CU124" s="26"/>
      <c r="CV124" s="26"/>
      <c r="CW124" s="229"/>
      <c r="CX124" s="269"/>
      <c r="CY124" s="26"/>
      <c r="CZ124" s="232"/>
      <c r="DA124" s="252"/>
      <c r="DB124" s="26"/>
      <c r="DC124" s="26"/>
      <c r="DD124" s="26"/>
      <c r="DE124" s="26"/>
      <c r="DF124" s="26"/>
      <c r="DG124" s="26"/>
      <c r="DH124" s="26"/>
      <c r="DI124" s="229"/>
      <c r="DJ124" s="269"/>
      <c r="DK124" s="26"/>
      <c r="DL124" s="232"/>
      <c r="DM124" s="252"/>
      <c r="DN124" s="26"/>
      <c r="DO124" s="26"/>
      <c r="DP124" s="26"/>
      <c r="DQ124" s="26"/>
      <c r="DR124" s="26"/>
      <c r="DS124" s="26"/>
      <c r="DT124" s="26"/>
      <c r="DU124" s="229"/>
      <c r="DV124" s="269"/>
      <c r="DW124" s="26"/>
      <c r="DX124" s="232"/>
      <c r="DY124" s="252"/>
      <c r="DZ124" s="26"/>
      <c r="EA124" s="26"/>
      <c r="EB124" s="26"/>
      <c r="EC124" s="26"/>
      <c r="ED124" s="26"/>
      <c r="EE124" s="26"/>
      <c r="EF124" s="26"/>
      <c r="EG124" s="229"/>
      <c r="EH124" s="269"/>
      <c r="EI124" s="26"/>
      <c r="EJ124" s="232"/>
    </row>
    <row r="125" spans="1:140" x14ac:dyDescent="0.2">
      <c r="A125" s="19" t="s">
        <v>1204</v>
      </c>
      <c r="B125" s="46" t="s">
        <v>1296</v>
      </c>
      <c r="C125" s="23">
        <v>0</v>
      </c>
      <c r="D125" s="248">
        <v>0</v>
      </c>
      <c r="E125" s="23">
        <v>0</v>
      </c>
      <c r="F125" s="25">
        <f t="shared" si="10"/>
        <v>0</v>
      </c>
      <c r="G125" s="144">
        <v>0</v>
      </c>
      <c r="H125" s="144">
        <v>0</v>
      </c>
      <c r="I125" s="144">
        <v>0</v>
      </c>
      <c r="J125" s="34">
        <v>0</v>
      </c>
      <c r="K125" s="248">
        <v>36.01</v>
      </c>
      <c r="L125" s="248">
        <v>1</v>
      </c>
      <c r="N125"/>
      <c r="O125"/>
      <c r="P125" s="20"/>
      <c r="Q125" s="218"/>
      <c r="R125" s="218"/>
      <c r="AA125"/>
      <c r="AB125" s="8" t="s">
        <v>2401</v>
      </c>
      <c r="AC125" s="133">
        <v>8438</v>
      </c>
      <c r="AD125" s="174" t="s">
        <v>1008</v>
      </c>
      <c r="AE125" s="60">
        <f t="shared" si="6"/>
        <v>3</v>
      </c>
      <c r="AF125" s="107">
        <f t="shared" si="7"/>
        <v>3</v>
      </c>
      <c r="AG125" s="370"/>
      <c r="AH125" s="366"/>
      <c r="AI125" s="294"/>
      <c r="AJ125" s="26"/>
      <c r="AK125" s="374"/>
      <c r="AL125" s="374"/>
      <c r="AO125" s="294"/>
      <c r="AR125" s="376"/>
      <c r="AS125" s="13"/>
      <c r="AY125"/>
      <c r="AZ125" s="374"/>
      <c r="BA125" s="4"/>
      <c r="BD125" s="55"/>
      <c r="BE125" s="13"/>
      <c r="BF125" s="26"/>
      <c r="BG125" s="26"/>
      <c r="BH125" s="26"/>
      <c r="BI125" s="26"/>
      <c r="BJ125" s="26"/>
      <c r="BK125" s="26"/>
      <c r="BL125" s="26"/>
      <c r="BM125" s="26"/>
      <c r="BP125" s="122"/>
      <c r="BQ125" s="24"/>
      <c r="BR125" s="26"/>
      <c r="BS125" s="20"/>
      <c r="BT125" s="26"/>
      <c r="BV125" s="26"/>
      <c r="BW125" s="26"/>
      <c r="BX125" s="229"/>
      <c r="BY125" s="229"/>
      <c r="BZ125" s="269"/>
      <c r="CB125" s="232"/>
      <c r="CC125" s="24"/>
      <c r="CD125" s="26"/>
      <c r="CE125" s="26"/>
      <c r="CF125" s="26"/>
      <c r="CG125" s="26"/>
      <c r="CH125" s="26"/>
      <c r="CI125" s="26"/>
      <c r="CJ125" s="26"/>
      <c r="CK125" s="229"/>
      <c r="CL125" s="269"/>
      <c r="CM125" s="26"/>
      <c r="CN125" s="232"/>
      <c r="CO125" s="252"/>
      <c r="CP125" s="26"/>
      <c r="CQ125" s="26"/>
      <c r="CR125" s="26"/>
      <c r="CS125" s="26"/>
      <c r="CT125" s="26"/>
      <c r="CU125" s="26"/>
      <c r="CV125" s="26"/>
      <c r="CW125" s="229"/>
      <c r="CX125" s="269"/>
      <c r="CY125" s="26"/>
      <c r="CZ125" s="232"/>
      <c r="DA125" s="252"/>
      <c r="DB125" s="26">
        <v>1</v>
      </c>
      <c r="DC125" s="26"/>
      <c r="DD125" s="26"/>
      <c r="DE125" s="26"/>
      <c r="DF125" s="26"/>
      <c r="DG125" s="26"/>
      <c r="DH125" s="26"/>
      <c r="DI125" s="229"/>
      <c r="DJ125" s="269"/>
      <c r="DK125" s="26"/>
      <c r="DL125" s="232"/>
      <c r="DM125" s="252">
        <v>1</v>
      </c>
      <c r="DN125" s="26"/>
      <c r="DO125" s="26"/>
      <c r="DP125" s="26"/>
      <c r="DQ125" s="26"/>
      <c r="DR125" s="26"/>
      <c r="DS125" s="26"/>
      <c r="DT125" s="26"/>
      <c r="DU125" s="229"/>
      <c r="DV125" s="269"/>
      <c r="DW125" s="26"/>
      <c r="DX125" s="232"/>
      <c r="DY125" s="252"/>
      <c r="DZ125" s="26"/>
      <c r="EA125" s="26"/>
      <c r="EB125" s="26"/>
      <c r="EC125" s="26"/>
      <c r="ED125" s="26">
        <v>1</v>
      </c>
      <c r="EE125" s="26"/>
      <c r="EF125" s="26"/>
      <c r="EG125" s="229"/>
      <c r="EH125" s="269"/>
      <c r="EI125" s="26"/>
      <c r="EJ125" s="232"/>
    </row>
    <row r="126" spans="1:140" x14ac:dyDescent="0.2">
      <c r="A126" s="27">
        <f>SUM(F123:F129)</f>
        <v>3</v>
      </c>
      <c r="B126" s="46" t="s">
        <v>1297</v>
      </c>
      <c r="C126" s="23">
        <v>0</v>
      </c>
      <c r="D126" s="248">
        <v>0</v>
      </c>
      <c r="E126" s="23">
        <v>0</v>
      </c>
      <c r="F126" s="25">
        <f t="shared" si="10"/>
        <v>0</v>
      </c>
      <c r="G126" s="144">
        <v>0</v>
      </c>
      <c r="H126" s="144">
        <v>0</v>
      </c>
      <c r="I126" s="144">
        <v>0</v>
      </c>
      <c r="J126" s="32">
        <v>0</v>
      </c>
      <c r="K126" s="248">
        <v>0</v>
      </c>
      <c r="L126" s="248">
        <v>0</v>
      </c>
      <c r="N126"/>
      <c r="O126"/>
      <c r="P126" s="20"/>
      <c r="Q126" s="218"/>
      <c r="R126" s="218"/>
      <c r="AA126"/>
      <c r="AB126" s="8" t="s">
        <v>1946</v>
      </c>
      <c r="AC126" s="133">
        <v>8480</v>
      </c>
      <c r="AD126" s="174" t="s">
        <v>9096</v>
      </c>
      <c r="AE126" s="60">
        <f t="shared" si="6"/>
        <v>2</v>
      </c>
      <c r="AF126" s="107">
        <f t="shared" si="7"/>
        <v>2</v>
      </c>
      <c r="AG126" s="370"/>
      <c r="AH126" s="366"/>
      <c r="AI126" s="294"/>
      <c r="AJ126" s="26"/>
      <c r="AK126" s="374"/>
      <c r="AL126" s="374"/>
      <c r="AO126" s="294"/>
      <c r="AR126" s="376"/>
      <c r="AS126" s="13"/>
      <c r="AY126"/>
      <c r="AZ126" s="374"/>
      <c r="BA126" s="4"/>
      <c r="BD126" s="55"/>
      <c r="BE126" s="13"/>
      <c r="BF126" s="26"/>
      <c r="BG126" s="26"/>
      <c r="BH126" s="26"/>
      <c r="BI126" s="26"/>
      <c r="BJ126" s="26"/>
      <c r="BK126" s="26"/>
      <c r="BL126" s="26"/>
      <c r="BM126" s="26"/>
      <c r="BP126" s="122"/>
      <c r="BQ126" s="24"/>
      <c r="BR126" s="26"/>
      <c r="BS126" s="20"/>
      <c r="BT126" s="26"/>
      <c r="BV126" s="26"/>
      <c r="BW126" s="26"/>
      <c r="BX126" s="229"/>
      <c r="BY126" s="229"/>
      <c r="BZ126" s="269"/>
      <c r="CB126" s="232"/>
      <c r="CC126" s="24"/>
      <c r="CD126" s="26"/>
      <c r="CE126" s="26"/>
      <c r="CF126" s="26"/>
      <c r="CG126" s="26"/>
      <c r="CH126" s="26"/>
      <c r="CI126" s="26"/>
      <c r="CJ126" s="26"/>
      <c r="CK126" s="229"/>
      <c r="CL126" s="269"/>
      <c r="CM126" s="26"/>
      <c r="CN126" s="232"/>
      <c r="CO126" s="252"/>
      <c r="CP126" s="26"/>
      <c r="CQ126" s="26"/>
      <c r="CR126" s="26"/>
      <c r="CS126" s="26"/>
      <c r="CT126" s="26"/>
      <c r="CU126" s="26"/>
      <c r="CV126" s="26"/>
      <c r="CW126" s="229"/>
      <c r="CX126" s="269"/>
      <c r="CY126" s="26"/>
      <c r="CZ126" s="232"/>
      <c r="DA126" s="252"/>
      <c r="DB126" s="26"/>
      <c r="DC126" s="26"/>
      <c r="DD126" s="26"/>
      <c r="DE126" s="26"/>
      <c r="DF126" s="26"/>
      <c r="DG126" s="26"/>
      <c r="DH126" s="26"/>
      <c r="DI126" s="229"/>
      <c r="DJ126" s="269"/>
      <c r="DK126" s="26"/>
      <c r="DL126" s="232"/>
      <c r="DM126" s="252"/>
      <c r="DN126" s="26"/>
      <c r="DO126" s="26"/>
      <c r="DP126" s="26">
        <v>1</v>
      </c>
      <c r="DQ126" s="26"/>
      <c r="DR126" s="26"/>
      <c r="DS126" s="26"/>
      <c r="DT126" s="26"/>
      <c r="DU126" s="229"/>
      <c r="DV126" s="269"/>
      <c r="DW126" s="26"/>
      <c r="DX126" s="232"/>
      <c r="DY126" s="252"/>
      <c r="DZ126" s="26"/>
      <c r="EA126" s="26"/>
      <c r="EB126" s="26"/>
      <c r="EC126" s="26"/>
      <c r="ED126" s="26"/>
      <c r="EE126" s="26">
        <v>1</v>
      </c>
      <c r="EF126" s="26"/>
      <c r="EG126" s="229"/>
      <c r="EH126" s="269"/>
      <c r="EI126" s="26"/>
      <c r="EJ126" s="232"/>
    </row>
    <row r="127" spans="1:140" x14ac:dyDescent="0.2">
      <c r="A127" s="27"/>
      <c r="B127" s="46"/>
      <c r="C127" s="23">
        <v>0</v>
      </c>
      <c r="D127" s="248">
        <v>0</v>
      </c>
      <c r="E127" s="23">
        <v>0</v>
      </c>
      <c r="F127" s="25"/>
      <c r="G127" s="144">
        <v>0</v>
      </c>
      <c r="H127" s="144">
        <v>0</v>
      </c>
      <c r="I127" s="144">
        <v>0</v>
      </c>
      <c r="J127" s="32">
        <v>0</v>
      </c>
      <c r="K127" s="248">
        <v>99.748000000000005</v>
      </c>
      <c r="L127" s="248">
        <v>7</v>
      </c>
      <c r="N127"/>
      <c r="O127"/>
      <c r="P127" s="20"/>
      <c r="Q127" s="218"/>
      <c r="R127" s="218"/>
      <c r="AA127"/>
      <c r="AB127" s="8" t="s">
        <v>1944</v>
      </c>
      <c r="AC127" s="133">
        <v>8521</v>
      </c>
      <c r="AD127" s="174" t="s">
        <v>58</v>
      </c>
      <c r="AE127" s="60">
        <f>SUM(AG127:EJ127)</f>
        <v>2</v>
      </c>
      <c r="AF127" s="107">
        <f>COUNTA(AG127:EJ127)</f>
        <v>1</v>
      </c>
      <c r="AG127" s="370"/>
      <c r="AH127" s="366"/>
      <c r="AI127" s="294"/>
      <c r="AJ127" s="26"/>
      <c r="AK127" s="374"/>
      <c r="AL127" s="374"/>
      <c r="AO127" s="294"/>
      <c r="AR127" s="376"/>
      <c r="AS127" s="13"/>
      <c r="AY127"/>
      <c r="AZ127" s="374"/>
      <c r="BA127" s="4"/>
      <c r="BD127" s="55"/>
      <c r="BE127" s="13"/>
      <c r="BF127" s="26"/>
      <c r="BG127" s="26"/>
      <c r="BH127" s="26"/>
      <c r="BI127" s="26"/>
      <c r="BJ127" s="26"/>
      <c r="BK127" s="26"/>
      <c r="BL127" s="26"/>
      <c r="BM127" s="26"/>
      <c r="BP127" s="122"/>
      <c r="BQ127" s="24"/>
      <c r="BR127" s="26"/>
      <c r="BS127" s="20"/>
      <c r="BT127" s="26"/>
      <c r="BV127" s="26"/>
      <c r="BW127" s="26"/>
      <c r="BX127" s="229"/>
      <c r="BY127" s="229"/>
      <c r="BZ127" s="269"/>
      <c r="CB127" s="232"/>
      <c r="CC127" s="24"/>
      <c r="CD127" s="26"/>
      <c r="CE127" s="26"/>
      <c r="CF127" s="26"/>
      <c r="CG127" s="26"/>
      <c r="CH127" s="26"/>
      <c r="CI127" s="26"/>
      <c r="CJ127" s="26"/>
      <c r="CK127" s="229"/>
      <c r="CL127" s="269"/>
      <c r="CM127" s="26"/>
      <c r="CN127" s="232"/>
      <c r="CO127" s="252"/>
      <c r="CP127" s="26"/>
      <c r="CQ127" s="26"/>
      <c r="CR127" s="26"/>
      <c r="CS127" s="26"/>
      <c r="CT127" s="26"/>
      <c r="CU127" s="26"/>
      <c r="CV127" s="26"/>
      <c r="CW127" s="229"/>
      <c r="CX127" s="269"/>
      <c r="CY127" s="26"/>
      <c r="CZ127" s="232"/>
      <c r="DA127" s="252"/>
      <c r="DB127" s="26"/>
      <c r="DC127" s="26"/>
      <c r="DD127" s="26"/>
      <c r="DE127" s="26"/>
      <c r="DF127" s="26"/>
      <c r="DG127" s="26"/>
      <c r="DH127" s="26"/>
      <c r="DI127" s="229"/>
      <c r="DJ127" s="269"/>
      <c r="DK127" s="26"/>
      <c r="DL127" s="232"/>
      <c r="DM127" s="252"/>
      <c r="DN127" s="26"/>
      <c r="DO127" s="26"/>
      <c r="DP127" s="26"/>
      <c r="DQ127" s="26"/>
      <c r="DR127" s="26"/>
      <c r="DS127" s="26"/>
      <c r="DT127" s="26"/>
      <c r="DU127" s="229"/>
      <c r="DV127" s="269"/>
      <c r="DW127" s="26"/>
      <c r="DX127" s="232"/>
      <c r="DY127" s="252"/>
      <c r="DZ127" s="26"/>
      <c r="EA127" s="26"/>
      <c r="EB127" s="26"/>
      <c r="EC127" s="26"/>
      <c r="ED127" s="26"/>
      <c r="EE127" s="26">
        <v>2</v>
      </c>
      <c r="EF127" s="26"/>
      <c r="EG127" s="229"/>
      <c r="EH127" s="269"/>
      <c r="EI127" s="26"/>
      <c r="EJ127" s="232"/>
    </row>
    <row r="128" spans="1:140" x14ac:dyDescent="0.2">
      <c r="A128" s="27"/>
      <c r="B128" s="46" t="s">
        <v>1298</v>
      </c>
      <c r="C128" s="23">
        <v>0</v>
      </c>
      <c r="D128" s="248">
        <v>0</v>
      </c>
      <c r="E128" s="23">
        <v>0</v>
      </c>
      <c r="F128" s="25">
        <f t="shared" si="10"/>
        <v>0</v>
      </c>
      <c r="G128" s="144">
        <v>0</v>
      </c>
      <c r="H128" s="144">
        <v>0</v>
      </c>
      <c r="I128" s="144">
        <v>0</v>
      </c>
      <c r="J128" s="32">
        <v>0</v>
      </c>
      <c r="K128" s="550">
        <v>11849.189000000002</v>
      </c>
      <c r="L128" s="550">
        <v>32</v>
      </c>
      <c r="N128"/>
      <c r="O128"/>
      <c r="P128" s="20"/>
      <c r="Q128" s="218"/>
      <c r="R128" s="218"/>
      <c r="AA128"/>
      <c r="AB128" s="8" t="s">
        <v>492</v>
      </c>
      <c r="AC128" s="133">
        <v>8637</v>
      </c>
      <c r="AD128" s="174" t="s">
        <v>218</v>
      </c>
      <c r="AE128" s="60">
        <f t="shared" si="6"/>
        <v>3</v>
      </c>
      <c r="AF128" s="107">
        <f t="shared" si="7"/>
        <v>1</v>
      </c>
      <c r="AG128" s="370"/>
      <c r="AH128" s="366"/>
      <c r="AI128" s="294"/>
      <c r="AJ128" s="26"/>
      <c r="AK128" s="374"/>
      <c r="AL128" s="374"/>
      <c r="AO128" s="294"/>
      <c r="AR128" s="376"/>
      <c r="AS128" s="13"/>
      <c r="AY128"/>
      <c r="AZ128" s="374"/>
      <c r="BA128" s="4"/>
      <c r="BD128" s="55"/>
      <c r="BE128" s="13"/>
      <c r="BF128" s="26"/>
      <c r="BG128" s="26"/>
      <c r="BH128" s="26"/>
      <c r="BI128" s="26"/>
      <c r="BJ128" s="26"/>
      <c r="BK128" s="26"/>
      <c r="BL128" s="26"/>
      <c r="BM128" s="26"/>
      <c r="BP128" s="122"/>
      <c r="BQ128" s="24"/>
      <c r="BR128" s="26"/>
      <c r="BS128" s="20"/>
      <c r="BT128" s="26"/>
      <c r="BV128" s="26"/>
      <c r="BW128" s="26"/>
      <c r="BX128" s="229"/>
      <c r="BY128" s="229"/>
      <c r="BZ128" s="269"/>
      <c r="CB128" s="232"/>
      <c r="CC128" s="24"/>
      <c r="CD128" s="26"/>
      <c r="CE128" s="26"/>
      <c r="CF128" s="26"/>
      <c r="CG128" s="26"/>
      <c r="CH128" s="26"/>
      <c r="CI128" s="26"/>
      <c r="CJ128" s="26"/>
      <c r="CK128" s="229"/>
      <c r="CL128" s="269"/>
      <c r="CM128" s="26"/>
      <c r="CN128" s="232"/>
      <c r="CO128" s="252"/>
      <c r="CP128" s="26"/>
      <c r="CQ128" s="26"/>
      <c r="CR128" s="26"/>
      <c r="CS128" s="26"/>
      <c r="CT128" s="26"/>
      <c r="CU128" s="26"/>
      <c r="CV128" s="26"/>
      <c r="CW128" s="229"/>
      <c r="CX128" s="269"/>
      <c r="CY128" s="26"/>
      <c r="CZ128" s="232">
        <v>3</v>
      </c>
      <c r="DA128" s="252"/>
      <c r="DB128" s="26"/>
      <c r="DC128" s="26"/>
      <c r="DD128" s="26"/>
      <c r="DE128" s="26"/>
      <c r="DF128" s="26"/>
      <c r="DG128" s="26"/>
      <c r="DH128" s="26"/>
      <c r="DI128" s="229"/>
      <c r="DJ128" s="269"/>
      <c r="DK128" s="26"/>
      <c r="DL128" s="232"/>
      <c r="DM128" s="252"/>
      <c r="DN128" s="26"/>
      <c r="DO128" s="26"/>
      <c r="DP128" s="26"/>
      <c r="DQ128" s="26"/>
      <c r="DR128" s="26"/>
      <c r="DS128" s="26"/>
      <c r="DT128" s="26"/>
      <c r="DU128" s="229"/>
      <c r="DV128" s="269"/>
      <c r="DW128" s="26"/>
      <c r="DX128" s="232"/>
      <c r="DY128" s="252"/>
      <c r="DZ128" s="26"/>
      <c r="EA128" s="26"/>
      <c r="EB128" s="26"/>
      <c r="EC128" s="26"/>
      <c r="ED128" s="26"/>
      <c r="EE128" s="26"/>
      <c r="EF128" s="26"/>
      <c r="EG128" s="229"/>
      <c r="EH128" s="269"/>
      <c r="EI128" s="26"/>
      <c r="EJ128" s="232"/>
    </row>
    <row r="129" spans="1:140" ht="12.75" customHeight="1" x14ac:dyDescent="0.25">
      <c r="A129" s="14"/>
      <c r="B129" s="46" t="s">
        <v>1299</v>
      </c>
      <c r="C129" s="23">
        <v>0</v>
      </c>
      <c r="D129" s="248">
        <v>0</v>
      </c>
      <c r="E129" s="23">
        <v>0</v>
      </c>
      <c r="F129" s="25">
        <f t="shared" si="10"/>
        <v>0</v>
      </c>
      <c r="G129" s="144">
        <v>0</v>
      </c>
      <c r="H129" s="144">
        <v>0</v>
      </c>
      <c r="I129" s="144">
        <v>0</v>
      </c>
      <c r="J129" s="32">
        <v>0</v>
      </c>
      <c r="K129" s="550">
        <v>28.33</v>
      </c>
      <c r="L129" s="550">
        <v>3</v>
      </c>
      <c r="N129" s="356" t="s">
        <v>6195</v>
      </c>
      <c r="AA129"/>
      <c r="AB129" s="8" t="s">
        <v>990</v>
      </c>
      <c r="AC129" s="133">
        <v>8696</v>
      </c>
      <c r="AD129" s="174" t="s">
        <v>991</v>
      </c>
      <c r="AE129" s="60">
        <f t="shared" si="6"/>
        <v>2</v>
      </c>
      <c r="AF129" s="107">
        <f t="shared" si="7"/>
        <v>2</v>
      </c>
      <c r="AG129" s="370"/>
      <c r="AH129" s="366"/>
      <c r="AI129" s="294"/>
      <c r="AJ129" s="26"/>
      <c r="AK129" s="374"/>
      <c r="AL129" s="374"/>
      <c r="AO129" s="294"/>
      <c r="AR129" s="376"/>
      <c r="AS129" s="13"/>
      <c r="AY129"/>
      <c r="AZ129" s="374"/>
      <c r="BA129" s="4"/>
      <c r="BD129" s="55"/>
      <c r="BE129" s="13"/>
      <c r="BF129" s="26"/>
      <c r="BG129" s="26"/>
      <c r="BH129" s="26"/>
      <c r="BI129" s="26"/>
      <c r="BJ129" s="26"/>
      <c r="BK129" s="26"/>
      <c r="BL129" s="26"/>
      <c r="BM129" s="26"/>
      <c r="BP129" s="122"/>
      <c r="BQ129" s="24"/>
      <c r="BR129" s="26"/>
      <c r="BS129" s="20"/>
      <c r="BT129" s="26"/>
      <c r="BV129" s="26"/>
      <c r="BW129" s="26"/>
      <c r="BX129" s="229"/>
      <c r="BY129" s="229"/>
      <c r="BZ129" s="269"/>
      <c r="CB129" s="232"/>
      <c r="CC129" s="24">
        <v>1</v>
      </c>
      <c r="CD129" s="26"/>
      <c r="CE129" s="26">
        <v>1</v>
      </c>
      <c r="CF129" s="26"/>
      <c r="CG129" s="26"/>
      <c r="CH129" s="26"/>
      <c r="CI129" s="26"/>
      <c r="CJ129" s="26"/>
      <c r="CK129" s="229"/>
      <c r="CL129" s="269"/>
      <c r="CM129" s="26"/>
      <c r="CN129" s="232"/>
      <c r="CO129" s="252"/>
      <c r="CP129" s="26"/>
      <c r="CQ129" s="26"/>
      <c r="CR129" s="26"/>
      <c r="CS129" s="26"/>
      <c r="CT129" s="26"/>
      <c r="CU129" s="26"/>
      <c r="CV129" s="26"/>
      <c r="CW129" s="229"/>
      <c r="CX129" s="269"/>
      <c r="CY129" s="26"/>
      <c r="CZ129" s="232"/>
      <c r="DA129" s="252"/>
      <c r="DB129" s="26"/>
      <c r="DC129" s="26"/>
      <c r="DD129" s="26"/>
      <c r="DE129" s="26"/>
      <c r="DF129" s="26"/>
      <c r="DG129" s="26"/>
      <c r="DH129" s="26"/>
      <c r="DI129" s="229"/>
      <c r="DJ129" s="269"/>
      <c r="DK129" s="26"/>
      <c r="DL129" s="232"/>
      <c r="DM129" s="252"/>
      <c r="DN129" s="26"/>
      <c r="DO129" s="26"/>
      <c r="DP129" s="26"/>
      <c r="DQ129" s="26"/>
      <c r="DR129" s="26"/>
      <c r="DS129" s="26"/>
      <c r="DT129" s="26"/>
      <c r="DU129" s="229"/>
      <c r="DV129" s="269"/>
      <c r="DW129" s="26"/>
      <c r="DX129" s="232"/>
      <c r="DY129" s="252"/>
      <c r="DZ129" s="26"/>
      <c r="EA129" s="26"/>
      <c r="EB129" s="26"/>
      <c r="EC129" s="26"/>
      <c r="ED129" s="26"/>
      <c r="EE129" s="26"/>
      <c r="EF129" s="26"/>
      <c r="EG129" s="229"/>
      <c r="EH129" s="269"/>
      <c r="EI129" s="26"/>
      <c r="EJ129" s="232"/>
    </row>
    <row r="130" spans="1:140" ht="13.5" customHeight="1" x14ac:dyDescent="0.25">
      <c r="A130" s="19" t="s">
        <v>323</v>
      </c>
      <c r="B130" s="37" t="s">
        <v>1300</v>
      </c>
      <c r="C130" s="29">
        <v>0</v>
      </c>
      <c r="D130" s="249">
        <v>0</v>
      </c>
      <c r="E130" s="29">
        <v>1</v>
      </c>
      <c r="F130" s="31">
        <f t="shared" si="10"/>
        <v>1</v>
      </c>
      <c r="G130" s="321">
        <v>0</v>
      </c>
      <c r="H130" s="321">
        <v>0</v>
      </c>
      <c r="I130" s="321">
        <v>1</v>
      </c>
      <c r="J130" s="29">
        <v>35</v>
      </c>
      <c r="K130" s="249">
        <v>539941.79799999995</v>
      </c>
      <c r="L130" s="249">
        <v>20</v>
      </c>
      <c r="N130" s="356"/>
      <c r="AA130"/>
      <c r="AB130" s="8" t="s">
        <v>1943</v>
      </c>
      <c r="AC130" s="133">
        <v>8855</v>
      </c>
      <c r="AD130" s="174" t="s">
        <v>42</v>
      </c>
      <c r="AE130" s="60">
        <f t="shared" si="6"/>
        <v>3</v>
      </c>
      <c r="AF130" s="107">
        <f t="shared" si="7"/>
        <v>2</v>
      </c>
      <c r="AG130" s="370"/>
      <c r="AH130" s="366"/>
      <c r="AI130" s="294"/>
      <c r="AJ130" s="26"/>
      <c r="AK130" s="374"/>
      <c r="AL130" s="374"/>
      <c r="AO130" s="294"/>
      <c r="AR130" s="376"/>
      <c r="AS130" s="13"/>
      <c r="AY130"/>
      <c r="AZ130" s="374"/>
      <c r="BA130" s="4"/>
      <c r="BD130" s="55"/>
      <c r="BE130" s="13"/>
      <c r="BF130" s="26"/>
      <c r="BG130" s="26"/>
      <c r="BH130" s="26"/>
      <c r="BI130" s="26"/>
      <c r="BJ130" s="26"/>
      <c r="BK130" s="26"/>
      <c r="BL130" s="26"/>
      <c r="BM130" s="26"/>
      <c r="BP130" s="122"/>
      <c r="BQ130" s="24"/>
      <c r="BR130" s="26"/>
      <c r="BS130" s="20"/>
      <c r="BT130" s="26"/>
      <c r="BV130" s="26"/>
      <c r="BW130" s="26"/>
      <c r="BX130" s="229"/>
      <c r="BY130" s="229"/>
      <c r="BZ130" s="269"/>
      <c r="CB130" s="232"/>
      <c r="CC130" s="24"/>
      <c r="CD130" s="26"/>
      <c r="CE130" s="26"/>
      <c r="CF130" s="26"/>
      <c r="CG130" s="26"/>
      <c r="CH130" s="26"/>
      <c r="CI130" s="26"/>
      <c r="CJ130" s="26"/>
      <c r="CK130" s="229"/>
      <c r="CL130" s="269"/>
      <c r="CM130" s="26"/>
      <c r="CN130" s="232"/>
      <c r="CO130" s="252"/>
      <c r="CP130" s="26"/>
      <c r="CQ130" s="26">
        <v>1</v>
      </c>
      <c r="CR130" s="26">
        <v>2</v>
      </c>
      <c r="CS130" s="26"/>
      <c r="CT130" s="26"/>
      <c r="CU130" s="26"/>
      <c r="CV130" s="26"/>
      <c r="CW130" s="229"/>
      <c r="CX130" s="269"/>
      <c r="CY130" s="26"/>
      <c r="CZ130" s="232"/>
      <c r="DA130" s="252"/>
      <c r="DB130" s="26"/>
      <c r="DC130" s="26"/>
      <c r="DD130" s="26"/>
      <c r="DE130" s="26"/>
      <c r="DF130" s="26"/>
      <c r="DG130" s="26"/>
      <c r="DH130" s="26"/>
      <c r="DI130" s="229"/>
      <c r="DJ130" s="269"/>
      <c r="DK130" s="26"/>
      <c r="DL130" s="232"/>
      <c r="DM130" s="252"/>
      <c r="DN130" s="26"/>
      <c r="DO130" s="26"/>
      <c r="DP130" s="26"/>
      <c r="DQ130" s="26"/>
      <c r="DR130" s="26"/>
      <c r="DS130" s="26"/>
      <c r="DT130" s="26"/>
      <c r="DU130" s="229"/>
      <c r="DV130" s="269"/>
      <c r="DW130" s="26"/>
      <c r="DX130" s="232"/>
      <c r="DY130" s="252"/>
      <c r="DZ130" s="26"/>
      <c r="EA130" s="26"/>
      <c r="EB130" s="26"/>
      <c r="EC130" s="26"/>
      <c r="ED130" s="26"/>
      <c r="EE130" s="26"/>
      <c r="EF130" s="26"/>
      <c r="EG130" s="229"/>
      <c r="EH130" s="269"/>
      <c r="EI130" s="26"/>
      <c r="EJ130" s="232"/>
    </row>
    <row r="131" spans="1:140" ht="13.5" customHeight="1" x14ac:dyDescent="0.2">
      <c r="A131" s="39">
        <f>SUM(F130:F131)</f>
        <v>2</v>
      </c>
      <c r="B131" s="40" t="s">
        <v>324</v>
      </c>
      <c r="C131" s="28">
        <v>0</v>
      </c>
      <c r="D131" s="251">
        <v>0</v>
      </c>
      <c r="E131" s="28">
        <v>1</v>
      </c>
      <c r="F131" s="42">
        <f t="shared" si="10"/>
        <v>1</v>
      </c>
      <c r="G131" s="322">
        <v>0</v>
      </c>
      <c r="H131" s="322">
        <v>0</v>
      </c>
      <c r="I131" s="322">
        <v>1</v>
      </c>
      <c r="J131" s="43">
        <v>0</v>
      </c>
      <c r="K131" s="251">
        <v>0</v>
      </c>
      <c r="L131" s="251">
        <v>4</v>
      </c>
      <c r="N131" s="353" t="s">
        <v>6192</v>
      </c>
      <c r="O131" s="354"/>
      <c r="P131" s="355"/>
      <c r="Q131" s="346"/>
      <c r="R131" s="258" t="s">
        <v>1237</v>
      </c>
      <c r="AA131"/>
      <c r="AB131" s="8" t="s">
        <v>1685</v>
      </c>
      <c r="AC131" s="133">
        <v>8868</v>
      </c>
      <c r="AD131" s="174" t="s">
        <v>117</v>
      </c>
      <c r="AE131" s="60">
        <f t="shared" ref="AE131:AE168" si="11">SUM(AG131:EJ131)</f>
        <v>11</v>
      </c>
      <c r="AF131" s="107">
        <f t="shared" ref="AF131:AF165" si="12">COUNTA(AG131:EJ131)</f>
        <v>1</v>
      </c>
      <c r="AG131" s="370"/>
      <c r="AH131" s="366"/>
      <c r="AI131" s="294"/>
      <c r="AJ131" s="26"/>
      <c r="AK131" s="374"/>
      <c r="AL131" s="374"/>
      <c r="AO131" s="294"/>
      <c r="AR131" s="376"/>
      <c r="AS131" s="13"/>
      <c r="AY131"/>
      <c r="AZ131" s="374"/>
      <c r="BA131" s="4"/>
      <c r="BD131" s="55"/>
      <c r="BE131" s="13"/>
      <c r="BF131" s="26"/>
      <c r="BG131" s="26"/>
      <c r="BH131" s="26"/>
      <c r="BI131" s="26"/>
      <c r="BJ131" s="26"/>
      <c r="BK131" s="26"/>
      <c r="BL131" s="26"/>
      <c r="BM131" s="26"/>
      <c r="BP131" s="122"/>
      <c r="BQ131" s="24"/>
      <c r="BR131" s="26"/>
      <c r="BS131" s="20"/>
      <c r="BT131" s="26"/>
      <c r="BV131" s="26"/>
      <c r="BW131" s="26"/>
      <c r="BX131" s="229"/>
      <c r="BY131" s="229"/>
      <c r="BZ131" s="269"/>
      <c r="CB131" s="232"/>
      <c r="CC131" s="24"/>
      <c r="CD131" s="26"/>
      <c r="CE131" s="26"/>
      <c r="CF131" s="26"/>
      <c r="CG131" s="26"/>
      <c r="CH131" s="26"/>
      <c r="CI131" s="26"/>
      <c r="CJ131" s="26"/>
      <c r="CK131" s="229"/>
      <c r="CL131" s="269"/>
      <c r="CM131" s="26"/>
      <c r="CN131" s="232"/>
      <c r="CO131" s="252"/>
      <c r="CP131" s="26">
        <v>11</v>
      </c>
      <c r="CQ131" s="26"/>
      <c r="CR131" s="26"/>
      <c r="CS131" s="26"/>
      <c r="CT131" s="26"/>
      <c r="CU131" s="26"/>
      <c r="CV131" s="26"/>
      <c r="CW131" s="229"/>
      <c r="CX131" s="269"/>
      <c r="CY131" s="26"/>
      <c r="CZ131" s="232"/>
      <c r="DA131" s="252"/>
      <c r="DB131" s="26"/>
      <c r="DC131" s="26"/>
      <c r="DD131" s="26"/>
      <c r="DE131" s="26"/>
      <c r="DF131" s="26"/>
      <c r="DG131" s="26"/>
      <c r="DH131" s="26"/>
      <c r="DI131" s="229"/>
      <c r="DJ131" s="269"/>
      <c r="DK131" s="26"/>
      <c r="DL131" s="232"/>
      <c r="DM131" s="252"/>
      <c r="DN131" s="26"/>
      <c r="DO131" s="26"/>
      <c r="DP131" s="26"/>
      <c r="DQ131" s="26"/>
      <c r="DR131" s="26"/>
      <c r="DS131" s="26"/>
      <c r="DT131" s="26"/>
      <c r="DU131" s="229"/>
      <c r="DV131" s="269"/>
      <c r="DW131" s="26"/>
      <c r="DX131" s="232"/>
      <c r="DY131" s="252"/>
      <c r="DZ131" s="26"/>
      <c r="EA131" s="26"/>
      <c r="EB131" s="26"/>
      <c r="EC131" s="26"/>
      <c r="ED131" s="26"/>
      <c r="EE131" s="26"/>
      <c r="EF131" s="26"/>
      <c r="EG131" s="229"/>
      <c r="EH131" s="269"/>
      <c r="EI131" s="26"/>
      <c r="EJ131" s="232"/>
    </row>
    <row r="132" spans="1:140" ht="15" x14ac:dyDescent="0.2">
      <c r="A132" s="75" t="s">
        <v>1301</v>
      </c>
      <c r="B132" s="11" t="s">
        <v>1302</v>
      </c>
      <c r="C132" s="23">
        <v>0</v>
      </c>
      <c r="D132" s="248">
        <v>0</v>
      </c>
      <c r="E132" s="24">
        <v>0</v>
      </c>
      <c r="F132" s="31">
        <f t="shared" si="10"/>
        <v>0</v>
      </c>
      <c r="G132" s="321">
        <v>0</v>
      </c>
      <c r="H132" s="321">
        <v>0</v>
      </c>
      <c r="I132" s="321">
        <v>0</v>
      </c>
      <c r="J132" s="34">
        <v>0</v>
      </c>
      <c r="K132" s="248">
        <v>156737.76099999997</v>
      </c>
      <c r="L132" s="248">
        <v>1578</v>
      </c>
      <c r="N132" s="334" t="s">
        <v>117</v>
      </c>
      <c r="O132" s="335"/>
      <c r="P132" s="336"/>
      <c r="Q132" s="777"/>
      <c r="R132" s="431">
        <f>+L230</f>
        <v>56</v>
      </c>
      <c r="AA132" s="21"/>
      <c r="AB132" s="8" t="s">
        <v>746</v>
      </c>
      <c r="AC132" s="133">
        <v>8950</v>
      </c>
      <c r="AD132" s="174" t="s">
        <v>741</v>
      </c>
      <c r="AE132" s="60">
        <f t="shared" si="11"/>
        <v>2</v>
      </c>
      <c r="AF132" s="107">
        <f t="shared" si="12"/>
        <v>1</v>
      </c>
      <c r="AG132" s="370"/>
      <c r="AH132" s="366"/>
      <c r="AI132" s="294"/>
      <c r="AJ132" s="26"/>
      <c r="AK132" s="374"/>
      <c r="AL132" s="374"/>
      <c r="AO132" s="294"/>
      <c r="AR132" s="376"/>
      <c r="AS132" s="13"/>
      <c r="AY132"/>
      <c r="AZ132" s="374"/>
      <c r="BA132" s="4"/>
      <c r="BD132" s="55"/>
      <c r="BE132" s="13"/>
      <c r="BF132" s="26"/>
      <c r="BG132" s="26"/>
      <c r="BH132" s="26"/>
      <c r="BI132" s="26"/>
      <c r="BJ132" s="26"/>
      <c r="BK132" s="26"/>
      <c r="BL132" s="26"/>
      <c r="BM132" s="26"/>
      <c r="BP132" s="122"/>
      <c r="BQ132" s="24"/>
      <c r="BR132" s="26"/>
      <c r="BS132" s="20"/>
      <c r="BT132" s="26"/>
      <c r="BV132" s="26"/>
      <c r="BW132" s="26"/>
      <c r="BX132" s="229"/>
      <c r="BY132" s="229"/>
      <c r="BZ132" s="269"/>
      <c r="CB132" s="232"/>
      <c r="CC132" s="24"/>
      <c r="CD132" s="26"/>
      <c r="CE132" s="26"/>
      <c r="CF132" s="26"/>
      <c r="CG132" s="26"/>
      <c r="CH132" s="26"/>
      <c r="CI132" s="26"/>
      <c r="CJ132" s="26"/>
      <c r="CK132" s="229"/>
      <c r="CL132" s="269"/>
      <c r="CM132" s="26"/>
      <c r="CN132" s="232"/>
      <c r="CO132" s="252"/>
      <c r="CP132" s="26"/>
      <c r="CQ132" s="26"/>
      <c r="CR132" s="26"/>
      <c r="CS132" s="26"/>
      <c r="CT132" s="26"/>
      <c r="CU132" s="26"/>
      <c r="CV132" s="26"/>
      <c r="CW132" s="229"/>
      <c r="CX132" s="269"/>
      <c r="CY132" s="26"/>
      <c r="CZ132" s="232"/>
      <c r="DA132" s="252"/>
      <c r="DB132" s="26"/>
      <c r="DC132" s="26"/>
      <c r="DD132" s="26"/>
      <c r="DE132" s="26"/>
      <c r="DF132" s="26">
        <v>2</v>
      </c>
      <c r="DG132" s="26"/>
      <c r="DH132" s="26"/>
      <c r="DI132" s="229"/>
      <c r="DJ132" s="269"/>
      <c r="DK132" s="26"/>
      <c r="DL132" s="232"/>
      <c r="DM132" s="252"/>
      <c r="DN132" s="26"/>
      <c r="DO132" s="26"/>
      <c r="DP132" s="26"/>
      <c r="DQ132" s="26"/>
      <c r="DR132" s="26"/>
      <c r="DS132" s="26"/>
      <c r="DT132" s="26"/>
      <c r="DU132" s="229"/>
      <c r="DV132" s="269"/>
      <c r="DW132" s="26"/>
      <c r="DX132" s="232"/>
      <c r="DY132" s="252"/>
      <c r="DZ132" s="26"/>
      <c r="EA132" s="26"/>
      <c r="EB132" s="26"/>
      <c r="EC132" s="26"/>
      <c r="ED132" s="26"/>
      <c r="EE132" s="26"/>
      <c r="EF132" s="26"/>
      <c r="EG132" s="229"/>
      <c r="EH132" s="269"/>
      <c r="EI132" s="26"/>
      <c r="EJ132" s="232"/>
    </row>
    <row r="133" spans="1:140" ht="25.5" x14ac:dyDescent="0.2">
      <c r="A133" s="75"/>
      <c r="B133" s="11"/>
      <c r="C133" s="23">
        <v>0</v>
      </c>
      <c r="D133" s="248">
        <v>0</v>
      </c>
      <c r="E133" s="24">
        <v>0</v>
      </c>
      <c r="F133" s="25"/>
      <c r="G133" s="144">
        <v>0</v>
      </c>
      <c r="H133" s="144">
        <v>0</v>
      </c>
      <c r="I133" s="144">
        <v>0</v>
      </c>
      <c r="J133" s="34">
        <v>0</v>
      </c>
      <c r="K133" s="248">
        <v>12591.026999999998</v>
      </c>
      <c r="L133" s="248">
        <v>97</v>
      </c>
      <c r="N133" s="337"/>
      <c r="O133" s="339"/>
      <c r="P133" s="340"/>
      <c r="Q133" s="348"/>
      <c r="R133" s="351"/>
      <c r="AA133" s="21"/>
      <c r="AB133" s="8" t="s">
        <v>1720</v>
      </c>
      <c r="AC133" s="133">
        <v>9007</v>
      </c>
      <c r="AD133" s="825" t="s">
        <v>9644</v>
      </c>
      <c r="AE133" s="60">
        <f t="shared" ref="AE133" si="13">SUM(AG133:EJ133)</f>
        <v>2</v>
      </c>
      <c r="AF133" s="107">
        <f t="shared" ref="AF133" si="14">COUNTA(AG133:EJ133)</f>
        <v>1</v>
      </c>
      <c r="AG133" s="370"/>
      <c r="AH133" s="366"/>
      <c r="AI133" s="294"/>
      <c r="AJ133" s="26"/>
      <c r="AK133" s="374"/>
      <c r="AL133" s="374"/>
      <c r="AO133" s="294"/>
      <c r="AR133" s="376"/>
      <c r="AS133" s="13"/>
      <c r="AY133"/>
      <c r="AZ133" s="374"/>
      <c r="BA133" s="4"/>
      <c r="BD133" s="55"/>
      <c r="BE133" s="13"/>
      <c r="BF133" s="26"/>
      <c r="BG133" s="26"/>
      <c r="BH133" s="26"/>
      <c r="BI133" s="26"/>
      <c r="BJ133" s="26"/>
      <c r="BK133" s="26"/>
      <c r="BL133" s="26"/>
      <c r="BM133" s="26"/>
      <c r="BP133" s="122"/>
      <c r="BQ133" s="24"/>
      <c r="BR133" s="26"/>
      <c r="BS133" s="20"/>
      <c r="BT133" s="26"/>
      <c r="BV133" s="26"/>
      <c r="BW133" s="26"/>
      <c r="BX133" s="229"/>
      <c r="BY133" s="229"/>
      <c r="BZ133" s="269"/>
      <c r="CB133" s="232"/>
      <c r="CC133" s="24"/>
      <c r="CD133" s="26"/>
      <c r="CE133" s="26"/>
      <c r="CF133" s="26"/>
      <c r="CG133" s="26"/>
      <c r="CH133" s="26"/>
      <c r="CI133" s="26"/>
      <c r="CJ133" s="26"/>
      <c r="CK133" s="229"/>
      <c r="CL133" s="269"/>
      <c r="CM133" s="26"/>
      <c r="CN133" s="232"/>
      <c r="CO133" s="252"/>
      <c r="CP133" s="26"/>
      <c r="CQ133" s="26"/>
      <c r="CR133" s="26"/>
      <c r="CS133" s="26"/>
      <c r="CT133" s="26"/>
      <c r="CU133" s="26"/>
      <c r="CV133" s="26"/>
      <c r="CW133" s="229"/>
      <c r="CX133" s="269"/>
      <c r="CY133" s="26"/>
      <c r="CZ133" s="232"/>
      <c r="DA133" s="252"/>
      <c r="DB133" s="26"/>
      <c r="DC133" s="26"/>
      <c r="DD133" s="26"/>
      <c r="DE133" s="26"/>
      <c r="DF133" s="26"/>
      <c r="DG133" s="26"/>
      <c r="DH133" s="26"/>
      <c r="DI133" s="229"/>
      <c r="DJ133" s="269"/>
      <c r="DK133" s="26"/>
      <c r="DL133" s="232"/>
      <c r="DM133" s="252"/>
      <c r="DN133" s="26"/>
      <c r="DO133" s="26"/>
      <c r="DP133" s="26"/>
      <c r="DQ133" s="26"/>
      <c r="DR133" s="26"/>
      <c r="DS133" s="26"/>
      <c r="DT133" s="26"/>
      <c r="DU133" s="229"/>
      <c r="DV133" s="269"/>
      <c r="DW133" s="26"/>
      <c r="DX133" s="232"/>
      <c r="DY133" s="252"/>
      <c r="DZ133" s="26"/>
      <c r="EA133" s="26"/>
      <c r="EB133" s="26"/>
      <c r="EC133" s="26"/>
      <c r="ED133" s="26"/>
      <c r="EE133" s="26">
        <v>2</v>
      </c>
      <c r="EF133" s="26"/>
      <c r="EG133" s="229"/>
      <c r="EH133" s="269"/>
      <c r="EI133" s="26"/>
      <c r="EJ133" s="232"/>
    </row>
    <row r="134" spans="1:140" ht="15" x14ac:dyDescent="0.2">
      <c r="A134" s="27">
        <f>+F132+F134</f>
        <v>0</v>
      </c>
      <c r="B134" s="11" t="s">
        <v>1303</v>
      </c>
      <c r="C134" s="23">
        <v>0</v>
      </c>
      <c r="D134" s="248">
        <v>0</v>
      </c>
      <c r="E134" s="24">
        <v>0</v>
      </c>
      <c r="F134" s="25">
        <f t="shared" si="10"/>
        <v>0</v>
      </c>
      <c r="G134" s="144">
        <v>0</v>
      </c>
      <c r="H134" s="144">
        <v>0</v>
      </c>
      <c r="I134" s="144">
        <v>0</v>
      </c>
      <c r="J134" s="34">
        <v>0</v>
      </c>
      <c r="K134" s="248">
        <v>420.10299999999995</v>
      </c>
      <c r="L134" s="248">
        <v>4</v>
      </c>
      <c r="N134" s="337" t="s">
        <v>42</v>
      </c>
      <c r="O134" s="338"/>
      <c r="P134" s="339"/>
      <c r="Q134" s="348"/>
      <c r="R134" s="350">
        <f>+L232</f>
        <v>38</v>
      </c>
      <c r="AA134" s="21"/>
      <c r="AB134" s="8" t="s">
        <v>1015</v>
      </c>
      <c r="AC134" s="133">
        <v>9176</v>
      </c>
      <c r="AD134" s="174" t="s">
        <v>741</v>
      </c>
      <c r="AE134" s="60">
        <f t="shared" si="11"/>
        <v>8</v>
      </c>
      <c r="AF134" s="107">
        <f t="shared" si="12"/>
        <v>1</v>
      </c>
      <c r="AG134" s="370"/>
      <c r="AH134" s="366"/>
      <c r="AI134" s="294"/>
      <c r="AJ134" s="26"/>
      <c r="AK134" s="374"/>
      <c r="AL134" s="374"/>
      <c r="AO134" s="294"/>
      <c r="AR134" s="376"/>
      <c r="AS134" s="13"/>
      <c r="AY134"/>
      <c r="AZ134" s="374"/>
      <c r="BA134" s="4"/>
      <c r="BD134" s="55"/>
      <c r="BE134" s="13"/>
      <c r="BF134" s="26"/>
      <c r="BG134" s="26"/>
      <c r="BH134" s="26"/>
      <c r="BI134" s="26"/>
      <c r="BJ134" s="26"/>
      <c r="BK134" s="26"/>
      <c r="BL134" s="26"/>
      <c r="BM134" s="26"/>
      <c r="BP134" s="122"/>
      <c r="BQ134" s="24"/>
      <c r="BR134" s="26"/>
      <c r="BS134" s="20"/>
      <c r="BT134" s="26"/>
      <c r="BV134" s="26"/>
      <c r="BW134" s="26"/>
      <c r="BX134" s="229"/>
      <c r="BY134" s="229"/>
      <c r="BZ134" s="269"/>
      <c r="CB134" s="232"/>
      <c r="CC134" s="24"/>
      <c r="CD134" s="26"/>
      <c r="CE134" s="26"/>
      <c r="CF134" s="26"/>
      <c r="CG134" s="26"/>
      <c r="CH134" s="26"/>
      <c r="CI134" s="26"/>
      <c r="CJ134" s="26"/>
      <c r="CK134" s="229"/>
      <c r="CL134" s="269"/>
      <c r="CM134" s="26"/>
      <c r="CN134" s="232"/>
      <c r="CO134" s="252"/>
      <c r="CP134" s="26"/>
      <c r="CQ134" s="26"/>
      <c r="CR134" s="26"/>
      <c r="CS134" s="26"/>
      <c r="CT134" s="26"/>
      <c r="CU134" s="26"/>
      <c r="CV134" s="26"/>
      <c r="CW134" s="229"/>
      <c r="CX134" s="269"/>
      <c r="CY134" s="26"/>
      <c r="CZ134" s="232"/>
      <c r="DA134" s="252"/>
      <c r="DB134" s="26"/>
      <c r="DC134" s="26"/>
      <c r="DD134" s="26"/>
      <c r="DE134" s="26"/>
      <c r="DF134" s="26"/>
      <c r="DG134" s="26"/>
      <c r="DH134" s="26"/>
      <c r="DI134" s="229"/>
      <c r="DJ134" s="269"/>
      <c r="DK134" s="26"/>
      <c r="DL134" s="232"/>
      <c r="DM134" s="252">
        <v>8</v>
      </c>
      <c r="DN134" s="26"/>
      <c r="DO134" s="26"/>
      <c r="DP134" s="26"/>
      <c r="DQ134" s="26"/>
      <c r="DR134" s="26"/>
      <c r="DS134" s="26"/>
      <c r="DT134" s="26"/>
      <c r="DU134" s="229"/>
      <c r="DV134" s="269"/>
      <c r="DW134" s="26"/>
      <c r="DX134" s="232"/>
      <c r="DY134" s="252"/>
      <c r="DZ134" s="26"/>
      <c r="EA134" s="26"/>
      <c r="EB134" s="26"/>
      <c r="EC134" s="26"/>
      <c r="ED134" s="26"/>
      <c r="EE134" s="26"/>
      <c r="EF134" s="26"/>
      <c r="EG134" s="229"/>
      <c r="EH134" s="269"/>
      <c r="EI134" s="26"/>
      <c r="EJ134" s="232"/>
    </row>
    <row r="135" spans="1:140" ht="15" customHeight="1" x14ac:dyDescent="0.2">
      <c r="A135" s="17" t="s">
        <v>289</v>
      </c>
      <c r="B135" s="601" t="s">
        <v>721</v>
      </c>
      <c r="C135" s="602">
        <v>3</v>
      </c>
      <c r="D135" s="600">
        <v>0</v>
      </c>
      <c r="E135" s="30">
        <v>28</v>
      </c>
      <c r="F135" s="603">
        <f t="shared" si="10"/>
        <v>31</v>
      </c>
      <c r="G135" s="604">
        <v>4</v>
      </c>
      <c r="H135" s="604">
        <v>518.55400000000009</v>
      </c>
      <c r="I135" s="604">
        <v>97</v>
      </c>
      <c r="J135" s="602">
        <v>164.67600000000002</v>
      </c>
      <c r="K135" s="600">
        <v>121203.53099999999</v>
      </c>
      <c r="L135" s="600">
        <v>603</v>
      </c>
      <c r="N135" s="337" t="s">
        <v>137</v>
      </c>
      <c r="O135" s="338"/>
      <c r="P135" s="339"/>
      <c r="Q135" s="348"/>
      <c r="R135" s="350">
        <f>+L300</f>
        <v>37</v>
      </c>
      <c r="AA135" s="21"/>
      <c r="AB135" s="8" t="s">
        <v>568</v>
      </c>
      <c r="AC135" s="133">
        <v>9181</v>
      </c>
      <c r="AD135" s="174" t="s">
        <v>42</v>
      </c>
      <c r="AE135" s="60">
        <f t="shared" si="11"/>
        <v>15</v>
      </c>
      <c r="AF135" s="107">
        <f t="shared" si="12"/>
        <v>6</v>
      </c>
      <c r="AG135" s="370"/>
      <c r="AH135" s="366"/>
      <c r="AI135" s="294"/>
      <c r="AJ135" s="26"/>
      <c r="AK135" s="374"/>
      <c r="AL135" s="374"/>
      <c r="AO135" s="294"/>
      <c r="AR135" s="376"/>
      <c r="AS135" s="13"/>
      <c r="AY135"/>
      <c r="AZ135" s="374"/>
      <c r="BA135" s="4"/>
      <c r="BD135" s="55"/>
      <c r="BE135" s="13"/>
      <c r="BF135" s="26"/>
      <c r="BG135" s="26"/>
      <c r="BH135" s="26"/>
      <c r="BI135" s="26"/>
      <c r="BJ135" s="26"/>
      <c r="BK135" s="26"/>
      <c r="BL135" s="26"/>
      <c r="BM135" s="26"/>
      <c r="BP135" s="122"/>
      <c r="BQ135" s="24"/>
      <c r="BR135" s="26"/>
      <c r="BS135" s="20"/>
      <c r="BT135" s="26"/>
      <c r="BV135" s="26"/>
      <c r="BW135" s="26"/>
      <c r="BX135" s="229"/>
      <c r="BY135" s="229"/>
      <c r="BZ135" s="269"/>
      <c r="CB135" s="232"/>
      <c r="CC135" s="24"/>
      <c r="CD135" s="26"/>
      <c r="CE135" s="26"/>
      <c r="CF135" s="26"/>
      <c r="CG135" s="26"/>
      <c r="CH135" s="26"/>
      <c r="CI135" s="26"/>
      <c r="CJ135" s="26"/>
      <c r="CK135" s="229"/>
      <c r="CL135" s="269"/>
      <c r="CM135" s="26"/>
      <c r="CN135" s="232"/>
      <c r="CO135" s="252"/>
      <c r="CP135" s="26">
        <v>1</v>
      </c>
      <c r="CQ135" s="26">
        <v>3</v>
      </c>
      <c r="CR135" s="26">
        <v>1</v>
      </c>
      <c r="CS135" s="26">
        <v>2</v>
      </c>
      <c r="CT135" s="26"/>
      <c r="CU135" s="26"/>
      <c r="CV135" s="26"/>
      <c r="CW135" s="229"/>
      <c r="CX135" s="269"/>
      <c r="CY135" s="26"/>
      <c r="CZ135" s="232"/>
      <c r="DA135" s="252"/>
      <c r="DB135" s="26"/>
      <c r="DC135" s="26"/>
      <c r="DD135" s="26"/>
      <c r="DE135" s="26"/>
      <c r="DF135" s="26"/>
      <c r="DG135" s="26"/>
      <c r="DH135" s="26"/>
      <c r="DI135" s="229"/>
      <c r="DJ135" s="269"/>
      <c r="DK135" s="26"/>
      <c r="DL135" s="232">
        <v>3</v>
      </c>
      <c r="DM135" s="252"/>
      <c r="DN135" s="26"/>
      <c r="DO135" s="26"/>
      <c r="DP135" s="26"/>
      <c r="DQ135" s="26"/>
      <c r="DR135" s="26"/>
      <c r="DS135" s="26"/>
      <c r="DT135" s="26"/>
      <c r="DU135" s="229"/>
      <c r="DV135" s="269"/>
      <c r="DW135" s="26"/>
      <c r="DX135" s="232"/>
      <c r="DY135" s="252"/>
      <c r="DZ135" s="26"/>
      <c r="EA135" s="26"/>
      <c r="EB135" s="26"/>
      <c r="EC135" s="26"/>
      <c r="ED135" s="26"/>
      <c r="EE135" s="26"/>
      <c r="EF135" s="26">
        <v>5</v>
      </c>
      <c r="EG135" s="229"/>
      <c r="EH135" s="269"/>
      <c r="EI135" s="26"/>
      <c r="EJ135" s="232"/>
    </row>
    <row r="136" spans="1:140" ht="15" x14ac:dyDescent="0.2">
      <c r="A136" s="19" t="s">
        <v>1204</v>
      </c>
      <c r="B136" s="8" t="s">
        <v>290</v>
      </c>
      <c r="C136" s="23">
        <v>0</v>
      </c>
      <c r="D136" s="248">
        <v>0</v>
      </c>
      <c r="E136" s="24">
        <v>2</v>
      </c>
      <c r="F136" s="25">
        <f t="shared" si="10"/>
        <v>2</v>
      </c>
      <c r="G136" s="144">
        <v>0</v>
      </c>
      <c r="H136" s="144">
        <v>0</v>
      </c>
      <c r="I136" s="144">
        <v>2</v>
      </c>
      <c r="J136" s="23">
        <v>35.4</v>
      </c>
      <c r="K136" s="248">
        <v>43793.144000000015</v>
      </c>
      <c r="L136" s="248">
        <v>130</v>
      </c>
      <c r="N136" s="337" t="s">
        <v>218</v>
      </c>
      <c r="O136" s="339"/>
      <c r="P136" s="339"/>
      <c r="Q136" s="348"/>
      <c r="R136" s="350">
        <f>+L283</f>
        <v>18</v>
      </c>
      <c r="AA136" s="21"/>
      <c r="AB136" s="8" t="s">
        <v>920</v>
      </c>
      <c r="AC136" s="133">
        <v>9247</v>
      </c>
      <c r="AD136" s="174" t="s">
        <v>107</v>
      </c>
      <c r="AE136" s="60">
        <f t="shared" si="11"/>
        <v>1</v>
      </c>
      <c r="AF136" s="107">
        <f t="shared" si="12"/>
        <v>1</v>
      </c>
      <c r="AG136" s="370"/>
      <c r="AH136" s="366"/>
      <c r="AI136" s="294"/>
      <c r="AJ136" s="26"/>
      <c r="AK136" s="374"/>
      <c r="AL136" s="374"/>
      <c r="AO136" s="294"/>
      <c r="AR136" s="376"/>
      <c r="AS136" s="13"/>
      <c r="AY136"/>
      <c r="AZ136" s="374"/>
      <c r="BA136" s="4"/>
      <c r="BD136" s="55"/>
      <c r="BE136" s="13"/>
      <c r="BF136" s="26"/>
      <c r="BG136" s="26"/>
      <c r="BH136" s="26"/>
      <c r="BI136" s="26"/>
      <c r="BJ136" s="26"/>
      <c r="BK136" s="26"/>
      <c r="BL136" s="26"/>
      <c r="BM136" s="26"/>
      <c r="BP136" s="122"/>
      <c r="BQ136" s="24"/>
      <c r="BR136" s="26"/>
      <c r="BS136" s="20"/>
      <c r="BT136" s="26"/>
      <c r="BV136" s="26"/>
      <c r="BW136" s="26"/>
      <c r="BX136" s="229"/>
      <c r="BY136" s="229"/>
      <c r="BZ136" s="269"/>
      <c r="CB136" s="232"/>
      <c r="CC136" s="24"/>
      <c r="CD136" s="26"/>
      <c r="CE136" s="26"/>
      <c r="CF136" s="26"/>
      <c r="CG136" s="26"/>
      <c r="CH136" s="26"/>
      <c r="CI136" s="26"/>
      <c r="CJ136" s="26"/>
      <c r="CK136" s="229"/>
      <c r="CL136" s="269"/>
      <c r="CM136" s="26"/>
      <c r="CN136" s="232"/>
      <c r="CO136" s="252"/>
      <c r="CP136" s="26"/>
      <c r="CQ136" s="26"/>
      <c r="CR136" s="26"/>
      <c r="CS136" s="26"/>
      <c r="CT136" s="26"/>
      <c r="CU136" s="26"/>
      <c r="CV136" s="26"/>
      <c r="CW136" s="229"/>
      <c r="CX136" s="269"/>
      <c r="CY136" s="26"/>
      <c r="CZ136" s="232"/>
      <c r="DA136" s="252"/>
      <c r="DB136" s="26"/>
      <c r="DC136" s="26"/>
      <c r="DD136" s="26"/>
      <c r="DE136" s="26"/>
      <c r="DF136" s="26"/>
      <c r="DG136" s="26"/>
      <c r="DH136" s="26"/>
      <c r="DI136" s="229"/>
      <c r="DJ136" s="269">
        <v>1</v>
      </c>
      <c r="DK136" s="26"/>
      <c r="DL136" s="232"/>
      <c r="DM136" s="252"/>
      <c r="DN136" s="26"/>
      <c r="DO136" s="26"/>
      <c r="DP136" s="26"/>
      <c r="DQ136" s="26"/>
      <c r="DR136" s="26"/>
      <c r="DS136" s="26"/>
      <c r="DT136" s="26"/>
      <c r="DU136" s="229"/>
      <c r="DV136" s="269"/>
      <c r="DW136" s="26"/>
      <c r="DX136" s="232"/>
      <c r="DY136" s="252"/>
      <c r="DZ136" s="26"/>
      <c r="EA136" s="26"/>
      <c r="EB136" s="26"/>
      <c r="EC136" s="26"/>
      <c r="ED136" s="26"/>
      <c r="EE136" s="26"/>
      <c r="EF136" s="26"/>
      <c r="EG136" s="229"/>
      <c r="EH136" s="269"/>
      <c r="EI136" s="26"/>
      <c r="EJ136" s="232"/>
    </row>
    <row r="137" spans="1:140" ht="15" x14ac:dyDescent="0.2">
      <c r="A137" s="19"/>
      <c r="B137" s="9" t="s">
        <v>1410</v>
      </c>
      <c r="C137" s="23">
        <v>0</v>
      </c>
      <c r="D137" s="248">
        <v>0</v>
      </c>
      <c r="E137" s="24">
        <v>0</v>
      </c>
      <c r="F137" s="25">
        <f t="shared" ref="F137:F146" si="15">+C137+D137+E137</f>
        <v>0</v>
      </c>
      <c r="G137" s="144">
        <v>0</v>
      </c>
      <c r="H137" s="144">
        <v>0</v>
      </c>
      <c r="I137" s="144">
        <v>0</v>
      </c>
      <c r="J137" s="23">
        <v>0</v>
      </c>
      <c r="K137" s="248">
        <v>59971.366999999977</v>
      </c>
      <c r="L137" s="248">
        <v>185</v>
      </c>
      <c r="N137" s="337" t="s">
        <v>78</v>
      </c>
      <c r="O137" s="339"/>
      <c r="P137" s="340"/>
      <c r="Q137" s="341"/>
      <c r="R137" s="351">
        <f>+L233</f>
        <v>14</v>
      </c>
      <c r="AA137" s="21"/>
      <c r="AB137" s="8" t="s">
        <v>1731</v>
      </c>
      <c r="AC137" s="133">
        <v>9251</v>
      </c>
      <c r="AD137" s="174" t="s">
        <v>718</v>
      </c>
      <c r="AE137" s="60">
        <f t="shared" si="11"/>
        <v>1</v>
      </c>
      <c r="AF137" s="107">
        <f t="shared" si="12"/>
        <v>1</v>
      </c>
      <c r="AG137" s="370"/>
      <c r="AH137" s="366"/>
      <c r="AI137" s="294"/>
      <c r="AJ137" s="26"/>
      <c r="AK137" s="374"/>
      <c r="AL137" s="374"/>
      <c r="AO137" s="294"/>
      <c r="AR137" s="376"/>
      <c r="AS137" s="13"/>
      <c r="AY137"/>
      <c r="AZ137" s="374"/>
      <c r="BA137" s="4"/>
      <c r="BD137" s="55"/>
      <c r="BE137" s="13"/>
      <c r="BF137" s="26"/>
      <c r="BG137" s="26"/>
      <c r="BH137" s="26"/>
      <c r="BI137" s="26"/>
      <c r="BJ137" s="26"/>
      <c r="BK137" s="26"/>
      <c r="BL137" s="26"/>
      <c r="BM137" s="26"/>
      <c r="BP137" s="122"/>
      <c r="BQ137" s="24"/>
      <c r="BR137" s="26"/>
      <c r="BS137" s="20"/>
      <c r="BT137" s="26"/>
      <c r="BV137" s="26"/>
      <c r="BW137" s="26"/>
      <c r="BX137" s="229"/>
      <c r="BY137" s="229"/>
      <c r="BZ137" s="269"/>
      <c r="CB137" s="232"/>
      <c r="CC137" s="24"/>
      <c r="CD137" s="26"/>
      <c r="CE137" s="26"/>
      <c r="CF137" s="26"/>
      <c r="CG137" s="26"/>
      <c r="CH137" s="26"/>
      <c r="CI137" s="26"/>
      <c r="CJ137" s="26"/>
      <c r="CK137" s="229"/>
      <c r="CL137" s="269"/>
      <c r="CM137" s="26"/>
      <c r="CN137" s="232"/>
      <c r="CO137" s="252"/>
      <c r="CP137" s="26"/>
      <c r="CQ137" s="26"/>
      <c r="CR137" s="26"/>
      <c r="CS137" s="26"/>
      <c r="CT137" s="26"/>
      <c r="CU137" s="26"/>
      <c r="CV137" s="26">
        <v>1</v>
      </c>
      <c r="CW137" s="229"/>
      <c r="CX137" s="269"/>
      <c r="CY137" s="26"/>
      <c r="CZ137" s="232"/>
      <c r="DA137" s="252"/>
      <c r="DB137" s="26"/>
      <c r="DC137" s="26"/>
      <c r="DD137" s="26"/>
      <c r="DE137" s="26"/>
      <c r="DF137" s="26"/>
      <c r="DG137" s="26"/>
      <c r="DH137" s="26"/>
      <c r="DI137" s="229"/>
      <c r="DJ137" s="269"/>
      <c r="DK137" s="26"/>
      <c r="DL137" s="232"/>
      <c r="DM137" s="252"/>
      <c r="DN137" s="26"/>
      <c r="DO137" s="26"/>
      <c r="DP137" s="26"/>
      <c r="DQ137" s="26"/>
      <c r="DR137" s="26"/>
      <c r="DS137" s="26"/>
      <c r="DT137" s="26"/>
      <c r="DU137" s="229"/>
      <c r="DV137" s="269"/>
      <c r="DW137" s="26"/>
      <c r="DX137" s="232"/>
      <c r="DY137" s="252"/>
      <c r="DZ137" s="26"/>
      <c r="EA137" s="26"/>
      <c r="EB137" s="26"/>
      <c r="EC137" s="26"/>
      <c r="ED137" s="26"/>
      <c r="EE137" s="26"/>
      <c r="EF137" s="26"/>
      <c r="EG137" s="229"/>
      <c r="EH137" s="269"/>
      <c r="EI137" s="26"/>
      <c r="EJ137" s="232"/>
    </row>
    <row r="138" spans="1:140" ht="15" x14ac:dyDescent="0.2">
      <c r="A138" s="39">
        <f>SUM(F135:F138)</f>
        <v>38</v>
      </c>
      <c r="B138" s="14" t="s">
        <v>649</v>
      </c>
      <c r="C138" s="28">
        <v>1</v>
      </c>
      <c r="D138" s="251">
        <v>0</v>
      </c>
      <c r="E138" s="41">
        <v>4</v>
      </c>
      <c r="F138" s="42">
        <f t="shared" si="15"/>
        <v>5</v>
      </c>
      <c r="G138" s="322">
        <v>0</v>
      </c>
      <c r="H138" s="322">
        <v>0</v>
      </c>
      <c r="I138" s="322">
        <v>12</v>
      </c>
      <c r="J138" s="28">
        <v>36.6</v>
      </c>
      <c r="K138" s="251">
        <v>2630.1189999999997</v>
      </c>
      <c r="L138" s="251">
        <v>52</v>
      </c>
      <c r="N138" s="337" t="s">
        <v>151</v>
      </c>
      <c r="O138" s="339"/>
      <c r="P138" s="340"/>
      <c r="Q138" s="341"/>
      <c r="R138" s="351">
        <f>+L206</f>
        <v>14</v>
      </c>
      <c r="AA138" s="21"/>
      <c r="AB138" s="8" t="s">
        <v>953</v>
      </c>
      <c r="AC138" s="133">
        <v>9260</v>
      </c>
      <c r="AD138" s="174" t="s">
        <v>107</v>
      </c>
      <c r="AE138" s="60">
        <f t="shared" si="11"/>
        <v>1</v>
      </c>
      <c r="AF138" s="107">
        <f t="shared" si="12"/>
        <v>1</v>
      </c>
      <c r="AG138" s="370"/>
      <c r="AH138" s="366"/>
      <c r="AI138" s="294"/>
      <c r="AJ138" s="26"/>
      <c r="AK138" s="374"/>
      <c r="AL138" s="374"/>
      <c r="AO138" s="294"/>
      <c r="AR138" s="376"/>
      <c r="AS138" s="13"/>
      <c r="AY138"/>
      <c r="AZ138" s="374"/>
      <c r="BA138" s="4"/>
      <c r="BD138" s="55"/>
      <c r="BE138" s="13"/>
      <c r="BF138" s="26"/>
      <c r="BG138" s="26"/>
      <c r="BH138" s="26"/>
      <c r="BI138" s="26"/>
      <c r="BJ138" s="26"/>
      <c r="BK138" s="26"/>
      <c r="BL138" s="26"/>
      <c r="BM138" s="26"/>
      <c r="BP138" s="122"/>
      <c r="BQ138" s="24"/>
      <c r="BR138" s="26"/>
      <c r="BS138" s="20"/>
      <c r="BT138" s="26"/>
      <c r="BV138" s="26"/>
      <c r="BW138" s="26"/>
      <c r="BX138" s="229"/>
      <c r="BY138" s="229"/>
      <c r="BZ138" s="269"/>
      <c r="CB138" s="232"/>
      <c r="CC138" s="24">
        <v>1</v>
      </c>
      <c r="CD138" s="26"/>
      <c r="CE138" s="26"/>
      <c r="CF138" s="26"/>
      <c r="CG138" s="26"/>
      <c r="CH138" s="26"/>
      <c r="CI138" s="26"/>
      <c r="CJ138" s="26"/>
      <c r="CK138" s="229"/>
      <c r="CL138" s="269"/>
      <c r="CM138" s="26"/>
      <c r="CN138" s="232"/>
      <c r="CO138" s="252"/>
      <c r="CP138" s="26"/>
      <c r="CQ138" s="26"/>
      <c r="CR138" s="26"/>
      <c r="CS138" s="26"/>
      <c r="CT138" s="26"/>
      <c r="CU138" s="26"/>
      <c r="CV138" s="26"/>
      <c r="CW138" s="229"/>
      <c r="CX138" s="269"/>
      <c r="CY138" s="26"/>
      <c r="CZ138" s="232"/>
      <c r="DA138" s="252"/>
      <c r="DB138" s="26"/>
      <c r="DC138" s="26"/>
      <c r="DD138" s="26"/>
      <c r="DE138" s="26"/>
      <c r="DF138" s="26"/>
      <c r="DG138" s="26"/>
      <c r="DH138" s="26"/>
      <c r="DI138" s="229"/>
      <c r="DJ138" s="269"/>
      <c r="DK138" s="26"/>
      <c r="DL138" s="232"/>
      <c r="DM138" s="252"/>
      <c r="DN138" s="26"/>
      <c r="DO138" s="26"/>
      <c r="DP138" s="26"/>
      <c r="DQ138" s="26"/>
      <c r="DR138" s="26"/>
      <c r="DS138" s="26"/>
      <c r="DT138" s="26"/>
      <c r="DU138" s="229"/>
      <c r="DV138" s="269"/>
      <c r="DW138" s="26"/>
      <c r="DX138" s="232"/>
      <c r="DY138" s="252"/>
      <c r="DZ138" s="26"/>
      <c r="EA138" s="26"/>
      <c r="EB138" s="26"/>
      <c r="EC138" s="26"/>
      <c r="ED138" s="26"/>
      <c r="EE138" s="26"/>
      <c r="EF138" s="26"/>
      <c r="EG138" s="229"/>
      <c r="EH138" s="269"/>
      <c r="EI138" s="26"/>
      <c r="EJ138" s="232"/>
    </row>
    <row r="139" spans="1:140" ht="15" x14ac:dyDescent="0.2">
      <c r="A139" s="37"/>
      <c r="B139" s="76" t="s">
        <v>395</v>
      </c>
      <c r="C139" s="23">
        <v>0</v>
      </c>
      <c r="D139" s="252">
        <v>0</v>
      </c>
      <c r="E139" s="23">
        <v>1</v>
      </c>
      <c r="F139" s="31">
        <f t="shared" si="15"/>
        <v>1</v>
      </c>
      <c r="G139" s="321">
        <v>0</v>
      </c>
      <c r="H139" s="321">
        <v>0</v>
      </c>
      <c r="I139" s="321">
        <v>1</v>
      </c>
      <c r="J139" s="34">
        <v>0</v>
      </c>
      <c r="K139" s="600">
        <v>0</v>
      </c>
      <c r="L139" s="600">
        <v>4</v>
      </c>
      <c r="N139" s="337" t="s">
        <v>718</v>
      </c>
      <c r="O139" s="339"/>
      <c r="P139" s="340"/>
      <c r="Q139" s="341"/>
      <c r="R139" s="351">
        <f>+L207</f>
        <v>11</v>
      </c>
      <c r="AA139" s="21"/>
      <c r="AB139" s="8" t="s">
        <v>2398</v>
      </c>
      <c r="AC139" s="133">
        <v>9292</v>
      </c>
      <c r="AD139" s="174" t="s">
        <v>42</v>
      </c>
      <c r="AE139" s="60">
        <f t="shared" si="11"/>
        <v>3</v>
      </c>
      <c r="AF139" s="107">
        <f t="shared" si="12"/>
        <v>3</v>
      </c>
      <c r="AG139" s="370"/>
      <c r="AH139" s="366"/>
      <c r="AI139" s="294"/>
      <c r="AJ139" s="26"/>
      <c r="AK139" s="374"/>
      <c r="AL139" s="374"/>
      <c r="AO139" s="294"/>
      <c r="AR139" s="376"/>
      <c r="AS139" s="13"/>
      <c r="AY139"/>
      <c r="AZ139" s="374"/>
      <c r="BA139" s="4"/>
      <c r="BD139" s="55"/>
      <c r="BE139" s="13"/>
      <c r="BF139" s="26"/>
      <c r="BG139" s="26"/>
      <c r="BH139" s="26"/>
      <c r="BI139" s="26"/>
      <c r="BJ139" s="26"/>
      <c r="BK139" s="26"/>
      <c r="BL139" s="26"/>
      <c r="BM139" s="26"/>
      <c r="BP139" s="122"/>
      <c r="BQ139" s="24"/>
      <c r="BR139" s="26"/>
      <c r="BS139" s="20"/>
      <c r="BT139" s="26"/>
      <c r="BV139" s="26"/>
      <c r="BW139" s="26"/>
      <c r="BX139" s="229"/>
      <c r="BY139" s="229"/>
      <c r="BZ139" s="269"/>
      <c r="CB139" s="232"/>
      <c r="CC139" s="24"/>
      <c r="CD139" s="26"/>
      <c r="CE139" s="26"/>
      <c r="CF139" s="26"/>
      <c r="CG139" s="26"/>
      <c r="CH139" s="26"/>
      <c r="CI139" s="26">
        <v>1</v>
      </c>
      <c r="CJ139" s="26"/>
      <c r="CK139" s="229"/>
      <c r="CL139" s="269"/>
      <c r="CM139" s="26"/>
      <c r="CN139" s="232"/>
      <c r="CO139" s="252"/>
      <c r="CP139" s="26">
        <v>1</v>
      </c>
      <c r="CQ139" s="26"/>
      <c r="CR139" s="26"/>
      <c r="CS139" s="26">
        <v>1</v>
      </c>
      <c r="CT139" s="26"/>
      <c r="CU139" s="26"/>
      <c r="CV139" s="26"/>
      <c r="CW139" s="229"/>
      <c r="CX139" s="269"/>
      <c r="CY139" s="26"/>
      <c r="CZ139" s="232"/>
      <c r="DA139" s="252"/>
      <c r="DB139" s="26"/>
      <c r="DC139" s="26"/>
      <c r="DD139" s="26"/>
      <c r="DE139" s="26"/>
      <c r="DF139" s="26"/>
      <c r="DG139" s="26"/>
      <c r="DH139" s="26"/>
      <c r="DI139" s="229"/>
      <c r="DJ139" s="269"/>
      <c r="DK139" s="26"/>
      <c r="DL139" s="232"/>
      <c r="DM139" s="252"/>
      <c r="DN139" s="26"/>
      <c r="DO139" s="26"/>
      <c r="DP139" s="26"/>
      <c r="DQ139" s="26"/>
      <c r="DR139" s="26"/>
      <c r="DS139" s="26"/>
      <c r="DT139" s="26"/>
      <c r="DU139" s="229"/>
      <c r="DV139" s="269"/>
      <c r="DW139" s="26"/>
      <c r="DX139" s="232"/>
      <c r="DY139" s="252"/>
      <c r="DZ139" s="26"/>
      <c r="EA139" s="26"/>
      <c r="EB139" s="26"/>
      <c r="EC139" s="26"/>
      <c r="ED139" s="26"/>
      <c r="EE139" s="26"/>
      <c r="EF139" s="26"/>
      <c r="EG139" s="229"/>
      <c r="EH139" s="269"/>
      <c r="EI139" s="26"/>
      <c r="EJ139" s="232"/>
    </row>
    <row r="140" spans="1:140" ht="15" x14ac:dyDescent="0.2">
      <c r="A140" s="77" t="s">
        <v>80</v>
      </c>
      <c r="B140" s="76" t="s">
        <v>403</v>
      </c>
      <c r="C140" s="23">
        <v>5</v>
      </c>
      <c r="D140" s="252">
        <v>0</v>
      </c>
      <c r="E140" s="23">
        <v>5</v>
      </c>
      <c r="F140" s="25">
        <f t="shared" si="15"/>
        <v>10</v>
      </c>
      <c r="G140" s="144">
        <v>2</v>
      </c>
      <c r="H140" s="144">
        <v>1255.42</v>
      </c>
      <c r="I140" s="144">
        <v>13</v>
      </c>
      <c r="J140" s="23">
        <v>46.003999999999998</v>
      </c>
      <c r="K140" s="248">
        <v>1255.42</v>
      </c>
      <c r="L140" s="248">
        <v>15</v>
      </c>
      <c r="N140" s="337" t="s">
        <v>89</v>
      </c>
      <c r="O140" s="339"/>
      <c r="P140" s="340"/>
      <c r="Q140" s="341"/>
      <c r="R140" s="351">
        <f>+L249</f>
        <v>11</v>
      </c>
      <c r="AA140" s="21"/>
      <c r="AB140" s="8" t="s">
        <v>6197</v>
      </c>
      <c r="AC140" s="133">
        <v>9416</v>
      </c>
      <c r="AD140" s="174" t="s">
        <v>42</v>
      </c>
      <c r="AE140" s="60">
        <f t="shared" si="11"/>
        <v>15</v>
      </c>
      <c r="AF140" s="107">
        <f t="shared" si="12"/>
        <v>13</v>
      </c>
      <c r="AG140" s="370"/>
      <c r="AH140" s="366"/>
      <c r="AI140" s="294"/>
      <c r="AJ140" s="26"/>
      <c r="AK140" s="374"/>
      <c r="AL140" s="374"/>
      <c r="AO140" s="294"/>
      <c r="AR140" s="376"/>
      <c r="AS140" s="13"/>
      <c r="AY140"/>
      <c r="AZ140" s="374"/>
      <c r="BA140" s="4"/>
      <c r="BD140" s="55"/>
      <c r="BE140" s="13"/>
      <c r="BF140" s="26"/>
      <c r="BG140" s="26"/>
      <c r="BH140" s="26"/>
      <c r="BI140" s="26"/>
      <c r="BJ140" s="26"/>
      <c r="BK140" s="26"/>
      <c r="BL140" s="26"/>
      <c r="BM140" s="26"/>
      <c r="BP140" s="122"/>
      <c r="BQ140" s="24"/>
      <c r="BR140" s="26"/>
      <c r="BS140" s="20"/>
      <c r="BT140" s="26"/>
      <c r="BV140" s="26"/>
      <c r="BW140" s="26"/>
      <c r="BX140" s="229"/>
      <c r="BY140" s="229"/>
      <c r="BZ140" s="269"/>
      <c r="CB140" s="232"/>
      <c r="CC140" s="24"/>
      <c r="CD140" s="26"/>
      <c r="CE140" s="26"/>
      <c r="CF140" s="26"/>
      <c r="CG140" s="26"/>
      <c r="CH140" s="26"/>
      <c r="CI140" s="26"/>
      <c r="CJ140" s="26">
        <v>2</v>
      </c>
      <c r="CK140" s="229">
        <v>1</v>
      </c>
      <c r="CL140" s="269">
        <v>1</v>
      </c>
      <c r="CM140" s="26"/>
      <c r="CN140" s="232">
        <v>1</v>
      </c>
      <c r="CO140" s="252">
        <v>1</v>
      </c>
      <c r="CP140" s="26"/>
      <c r="CQ140" s="26">
        <v>1</v>
      </c>
      <c r="CR140" s="26">
        <v>1</v>
      </c>
      <c r="CS140" s="26"/>
      <c r="CT140" s="26"/>
      <c r="CU140" s="26">
        <v>1</v>
      </c>
      <c r="CV140" s="26"/>
      <c r="CW140" s="229">
        <v>1</v>
      </c>
      <c r="CX140" s="269"/>
      <c r="CY140" s="26"/>
      <c r="CZ140" s="232"/>
      <c r="DA140" s="252"/>
      <c r="DB140" s="26"/>
      <c r="DC140" s="26"/>
      <c r="DD140" s="26">
        <v>2</v>
      </c>
      <c r="DE140" s="26">
        <v>1</v>
      </c>
      <c r="DF140" s="26"/>
      <c r="DG140" s="26"/>
      <c r="DH140" s="26">
        <v>1</v>
      </c>
      <c r="DI140" s="229">
        <v>1</v>
      </c>
      <c r="DJ140" s="269"/>
      <c r="DK140" s="26"/>
      <c r="DL140" s="232"/>
      <c r="DM140" s="252"/>
      <c r="DN140" s="26"/>
      <c r="DO140" s="26"/>
      <c r="DP140" s="26"/>
      <c r="DQ140" s="26"/>
      <c r="DR140" s="26"/>
      <c r="DS140" s="26"/>
      <c r="DT140" s="26"/>
      <c r="DU140" s="229"/>
      <c r="DV140" s="269"/>
      <c r="DW140" s="26"/>
      <c r="DX140" s="232"/>
      <c r="DY140" s="252"/>
      <c r="DZ140" s="26"/>
      <c r="EA140" s="26"/>
      <c r="EB140" s="26"/>
      <c r="EC140" s="26"/>
      <c r="ED140" s="26"/>
      <c r="EE140" s="26"/>
      <c r="EF140" s="26"/>
      <c r="EG140" s="229"/>
      <c r="EH140" s="269"/>
      <c r="EI140" s="26"/>
      <c r="EJ140" s="232"/>
    </row>
    <row r="141" spans="1:140" ht="15" x14ac:dyDescent="0.2">
      <c r="A141" s="77" t="s">
        <v>1204</v>
      </c>
      <c r="B141" s="76" t="s">
        <v>145</v>
      </c>
      <c r="C141" s="23">
        <v>1</v>
      </c>
      <c r="D141" s="252">
        <v>0</v>
      </c>
      <c r="E141" s="23">
        <v>0</v>
      </c>
      <c r="F141" s="25">
        <f t="shared" si="15"/>
        <v>1</v>
      </c>
      <c r="G141" s="144">
        <v>0</v>
      </c>
      <c r="H141" s="144">
        <v>0</v>
      </c>
      <c r="I141" s="144">
        <v>1</v>
      </c>
      <c r="J141" s="23">
        <v>17.5</v>
      </c>
      <c r="K141" s="248">
        <v>0</v>
      </c>
      <c r="L141" s="248">
        <v>2</v>
      </c>
      <c r="N141" s="337" t="s">
        <v>58</v>
      </c>
      <c r="O141" s="339"/>
      <c r="P141" s="340"/>
      <c r="Q141" s="341"/>
      <c r="R141" s="351">
        <f>+L219</f>
        <v>10</v>
      </c>
      <c r="AA141" s="21"/>
      <c r="AB141" s="8" t="s">
        <v>4277</v>
      </c>
      <c r="AC141" s="133">
        <v>9502</v>
      </c>
      <c r="AD141" s="174" t="s">
        <v>42</v>
      </c>
      <c r="AE141" s="60">
        <f t="shared" si="11"/>
        <v>7</v>
      </c>
      <c r="AF141" s="107">
        <f t="shared" si="12"/>
        <v>6</v>
      </c>
      <c r="AG141" s="370"/>
      <c r="AH141" s="366"/>
      <c r="AI141" s="294"/>
      <c r="AJ141" s="26"/>
      <c r="AK141" s="374"/>
      <c r="AL141" s="374"/>
      <c r="AO141" s="294"/>
      <c r="AR141" s="376"/>
      <c r="AS141" s="13"/>
      <c r="AY141"/>
      <c r="AZ141" s="374"/>
      <c r="BA141" s="4"/>
      <c r="BD141" s="55"/>
      <c r="BE141" s="13"/>
      <c r="BF141" s="26"/>
      <c r="BG141" s="26"/>
      <c r="BH141" s="26"/>
      <c r="BI141" s="26"/>
      <c r="BJ141" s="26"/>
      <c r="BK141" s="26"/>
      <c r="BL141" s="26"/>
      <c r="BM141" s="26"/>
      <c r="BP141" s="122"/>
      <c r="BQ141" s="24"/>
      <c r="BR141" s="26"/>
      <c r="BS141" s="20"/>
      <c r="BT141" s="26"/>
      <c r="BV141" s="26"/>
      <c r="BW141" s="26"/>
      <c r="BX141" s="229"/>
      <c r="BY141" s="229"/>
      <c r="BZ141" s="269"/>
      <c r="CB141" s="232"/>
      <c r="CC141" s="24"/>
      <c r="CD141" s="26"/>
      <c r="CE141" s="26"/>
      <c r="CF141" s="26"/>
      <c r="CG141" s="26"/>
      <c r="CH141" s="26"/>
      <c r="CI141" s="26">
        <v>1</v>
      </c>
      <c r="CJ141" s="26">
        <v>2</v>
      </c>
      <c r="CK141" s="229"/>
      <c r="CL141" s="269"/>
      <c r="CM141" s="26"/>
      <c r="CN141" s="232"/>
      <c r="CO141" s="252"/>
      <c r="CP141" s="26"/>
      <c r="CQ141" s="26"/>
      <c r="CR141" s="26"/>
      <c r="CS141" s="26">
        <v>1</v>
      </c>
      <c r="CT141" s="26"/>
      <c r="CU141" s="26"/>
      <c r="CV141" s="26"/>
      <c r="CW141" s="229"/>
      <c r="CX141" s="269"/>
      <c r="CY141" s="26"/>
      <c r="CZ141" s="232"/>
      <c r="DA141" s="252"/>
      <c r="DB141" s="26"/>
      <c r="DF141" s="26"/>
      <c r="DG141" s="26"/>
      <c r="DH141" s="26">
        <v>1</v>
      </c>
      <c r="DJ141" s="269"/>
      <c r="DK141" s="26"/>
      <c r="DL141" s="232"/>
      <c r="DM141" s="252"/>
      <c r="DN141" s="26"/>
      <c r="DO141" s="26"/>
      <c r="DP141" s="26"/>
      <c r="DQ141" s="26">
        <v>1</v>
      </c>
      <c r="DR141" s="26"/>
      <c r="DS141" s="26"/>
      <c r="DT141" s="26"/>
      <c r="DU141" s="229"/>
      <c r="DV141" s="269">
        <v>1</v>
      </c>
      <c r="DW141" s="26"/>
      <c r="DX141" s="232"/>
      <c r="DY141" s="252"/>
      <c r="DZ141" s="26"/>
      <c r="EA141" s="26"/>
      <c r="EB141" s="26"/>
      <c r="EC141" s="26"/>
      <c r="ED141" s="26"/>
      <c r="EE141" s="26"/>
      <c r="EF141" s="26"/>
      <c r="EG141" s="229"/>
      <c r="EH141" s="269"/>
      <c r="EI141" s="26"/>
      <c r="EJ141" s="232"/>
    </row>
    <row r="142" spans="1:140" ht="15" x14ac:dyDescent="0.2">
      <c r="A142" s="78">
        <f>SUM(F139:F147)</f>
        <v>18</v>
      </c>
      <c r="B142" s="46" t="s">
        <v>1304</v>
      </c>
      <c r="C142" s="23">
        <v>0</v>
      </c>
      <c r="D142" s="248">
        <v>0</v>
      </c>
      <c r="E142" s="24">
        <v>0</v>
      </c>
      <c r="F142" s="25">
        <f t="shared" si="15"/>
        <v>0</v>
      </c>
      <c r="G142" s="144">
        <v>0</v>
      </c>
      <c r="H142" s="144">
        <v>0</v>
      </c>
      <c r="I142" s="144">
        <v>0</v>
      </c>
      <c r="J142" s="23">
        <v>0</v>
      </c>
      <c r="K142" s="248">
        <v>323.54700000000003</v>
      </c>
      <c r="L142" s="248">
        <v>10</v>
      </c>
      <c r="N142" s="342" t="s">
        <v>107</v>
      </c>
      <c r="O142" s="343"/>
      <c r="P142" s="344"/>
      <c r="Q142" s="345"/>
      <c r="R142" s="352">
        <f>+L244</f>
        <v>9</v>
      </c>
      <c r="AA142" s="21"/>
      <c r="AB142" s="8" t="s">
        <v>2006</v>
      </c>
      <c r="AC142" s="133">
        <v>9558</v>
      </c>
      <c r="AD142" s="174" t="s">
        <v>504</v>
      </c>
      <c r="AE142" s="60">
        <f t="shared" si="11"/>
        <v>4</v>
      </c>
      <c r="AF142" s="107">
        <f t="shared" si="12"/>
        <v>2</v>
      </c>
      <c r="AG142" s="370"/>
      <c r="AH142" s="366"/>
      <c r="AI142" s="294"/>
      <c r="AJ142" s="26"/>
      <c r="AK142" s="374"/>
      <c r="AL142" s="374"/>
      <c r="AO142" s="294"/>
      <c r="AR142" s="376"/>
      <c r="AS142" s="13"/>
      <c r="AY142"/>
      <c r="AZ142" s="374"/>
      <c r="BA142" s="4"/>
      <c r="BD142" s="55"/>
      <c r="BE142" s="13"/>
      <c r="BF142" s="26"/>
      <c r="BG142" s="26"/>
      <c r="BH142" s="26"/>
      <c r="BI142" s="26"/>
      <c r="BJ142" s="26"/>
      <c r="BK142" s="26"/>
      <c r="BL142" s="26"/>
      <c r="BM142" s="26"/>
      <c r="BP142" s="122"/>
      <c r="BQ142" s="24"/>
      <c r="BR142" s="26"/>
      <c r="BS142" s="20"/>
      <c r="BT142" s="26"/>
      <c r="BV142" s="26"/>
      <c r="BW142" s="26"/>
      <c r="BX142" s="229"/>
      <c r="BY142" s="229"/>
      <c r="BZ142" s="269"/>
      <c r="CB142" s="232"/>
      <c r="CC142" s="24"/>
      <c r="CD142" s="26"/>
      <c r="CE142" s="26"/>
      <c r="CF142" s="26"/>
      <c r="CG142" s="26"/>
      <c r="CH142" s="26"/>
      <c r="CI142" s="26"/>
      <c r="CJ142" s="26"/>
      <c r="CK142" s="229"/>
      <c r="CL142" s="269"/>
      <c r="CM142" s="26"/>
      <c r="CN142" s="232">
        <v>2</v>
      </c>
      <c r="CO142" s="252"/>
      <c r="CP142" s="26"/>
      <c r="CQ142" s="26"/>
      <c r="CR142" s="26"/>
      <c r="CS142" s="26"/>
      <c r="CT142" s="26"/>
      <c r="CU142" s="26"/>
      <c r="CV142" s="26"/>
      <c r="CW142" s="229"/>
      <c r="CX142" s="269"/>
      <c r="CY142" s="26"/>
      <c r="CZ142" s="232"/>
      <c r="DA142" s="252"/>
      <c r="DB142" s="26"/>
      <c r="DC142" s="26"/>
      <c r="DD142" s="26"/>
      <c r="DE142" s="26"/>
      <c r="DF142" s="26"/>
      <c r="DG142" s="26"/>
      <c r="DH142" s="26"/>
      <c r="DI142" s="229"/>
      <c r="DJ142" s="269">
        <v>2</v>
      </c>
      <c r="DK142" s="26"/>
      <c r="DL142" s="232"/>
      <c r="DM142" s="252"/>
      <c r="DN142" s="26"/>
      <c r="DO142" s="26"/>
      <c r="DP142" s="26"/>
      <c r="DQ142" s="26"/>
      <c r="DR142" s="26"/>
      <c r="DS142" s="26"/>
      <c r="DT142" s="26"/>
      <c r="DU142" s="229"/>
      <c r="DV142" s="269"/>
      <c r="DW142" s="26"/>
      <c r="DX142" s="232"/>
      <c r="DY142" s="252"/>
      <c r="DZ142" s="26"/>
      <c r="EA142" s="26"/>
      <c r="EB142" s="26"/>
      <c r="EC142" s="26"/>
      <c r="ED142" s="26"/>
      <c r="EE142" s="26"/>
      <c r="EF142" s="26"/>
      <c r="EG142" s="229"/>
      <c r="EH142" s="269"/>
      <c r="EI142" s="26"/>
      <c r="EJ142" s="232"/>
    </row>
    <row r="143" spans="1:140" x14ac:dyDescent="0.2">
      <c r="A143" s="78"/>
      <c r="B143" s="46" t="s">
        <v>70</v>
      </c>
      <c r="C143" s="23">
        <v>1</v>
      </c>
      <c r="D143" s="252">
        <v>0</v>
      </c>
      <c r="E143" s="24">
        <v>2</v>
      </c>
      <c r="F143" s="25">
        <f t="shared" si="15"/>
        <v>3</v>
      </c>
      <c r="G143" s="144">
        <v>1</v>
      </c>
      <c r="H143" s="144">
        <v>24.472000000000001</v>
      </c>
      <c r="I143" s="144">
        <v>3</v>
      </c>
      <c r="J143" s="23">
        <v>0.6</v>
      </c>
      <c r="K143" s="248">
        <v>43.35</v>
      </c>
      <c r="L143" s="248">
        <v>5</v>
      </c>
      <c r="AA143" s="21"/>
      <c r="AB143" s="8" t="s">
        <v>1937</v>
      </c>
      <c r="AC143" s="133">
        <v>9572</v>
      </c>
      <c r="AD143" s="174" t="s">
        <v>228</v>
      </c>
      <c r="AE143" s="60">
        <f t="shared" si="11"/>
        <v>7</v>
      </c>
      <c r="AF143" s="107">
        <f t="shared" si="12"/>
        <v>4</v>
      </c>
      <c r="AG143" s="370"/>
      <c r="AH143" s="366"/>
      <c r="AI143" s="294"/>
      <c r="AJ143" s="26"/>
      <c r="AK143" s="374"/>
      <c r="AL143" s="374"/>
      <c r="AO143" s="294"/>
      <c r="AR143" s="376"/>
      <c r="AS143" s="13"/>
      <c r="AY143"/>
      <c r="AZ143" s="374"/>
      <c r="BA143" s="4"/>
      <c r="BD143" s="55"/>
      <c r="BE143" s="13"/>
      <c r="BF143" s="26"/>
      <c r="BG143" s="26"/>
      <c r="BH143" s="26"/>
      <c r="BI143" s="26"/>
      <c r="BJ143" s="26"/>
      <c r="BK143" s="26"/>
      <c r="BL143" s="26"/>
      <c r="BM143" s="26"/>
      <c r="BP143" s="122"/>
      <c r="BQ143" s="24"/>
      <c r="BR143" s="26"/>
      <c r="BS143" s="20"/>
      <c r="BT143" s="26"/>
      <c r="BV143" s="26"/>
      <c r="BW143" s="26"/>
      <c r="BX143" s="229"/>
      <c r="BY143" s="229"/>
      <c r="BZ143" s="269"/>
      <c r="CB143" s="232"/>
      <c r="CC143" s="24"/>
      <c r="CD143" s="26"/>
      <c r="CE143" s="26"/>
      <c r="CF143" s="26"/>
      <c r="CG143" s="26">
        <v>3</v>
      </c>
      <c r="CH143" s="26"/>
      <c r="CI143" s="26"/>
      <c r="CJ143" s="26">
        <v>1</v>
      </c>
      <c r="CK143" s="229"/>
      <c r="CL143" s="269"/>
      <c r="CM143" s="26"/>
      <c r="CN143" s="232"/>
      <c r="CO143" s="252"/>
      <c r="CP143" s="26"/>
      <c r="CQ143" s="26"/>
      <c r="CR143" s="26"/>
      <c r="CS143" s="26"/>
      <c r="CT143" s="26"/>
      <c r="CU143" s="26">
        <v>2</v>
      </c>
      <c r="CV143" s="26"/>
      <c r="CW143" s="229"/>
      <c r="CX143" s="269"/>
      <c r="CY143" s="26"/>
      <c r="CZ143" s="232"/>
      <c r="DA143" s="252"/>
      <c r="DB143" s="26"/>
      <c r="DC143" s="26"/>
      <c r="DD143" s="26"/>
      <c r="DE143" s="26"/>
      <c r="DF143" s="26"/>
      <c r="DG143" s="26"/>
      <c r="DH143" s="26"/>
      <c r="DI143" s="229"/>
      <c r="DJ143" s="269"/>
      <c r="DK143" s="26"/>
      <c r="DL143" s="232"/>
      <c r="DM143" s="252"/>
      <c r="DN143" s="26">
        <v>1</v>
      </c>
      <c r="DO143" s="26"/>
      <c r="DP143" s="26"/>
      <c r="DQ143" s="26"/>
      <c r="DR143" s="26"/>
      <c r="DS143" s="26"/>
      <c r="DT143" s="26"/>
      <c r="DU143" s="229"/>
      <c r="DV143" s="269"/>
      <c r="DW143" s="26"/>
      <c r="DX143" s="232"/>
      <c r="DY143" s="252"/>
      <c r="DZ143" s="26"/>
      <c r="EA143" s="26"/>
      <c r="EB143" s="26"/>
      <c r="EC143" s="26"/>
      <c r="ED143" s="26"/>
      <c r="EE143" s="26"/>
      <c r="EF143" s="26"/>
      <c r="EG143" s="229"/>
      <c r="EH143" s="269"/>
      <c r="EI143" s="26"/>
      <c r="EJ143" s="232"/>
    </row>
    <row r="144" spans="1:140" x14ac:dyDescent="0.2">
      <c r="A144" s="79"/>
      <c r="B144" s="46" t="s">
        <v>1305</v>
      </c>
      <c r="C144" s="23">
        <v>0</v>
      </c>
      <c r="D144" s="252">
        <v>0</v>
      </c>
      <c r="E144" s="24">
        <v>0</v>
      </c>
      <c r="F144" s="25">
        <f t="shared" si="15"/>
        <v>0</v>
      </c>
      <c r="G144" s="144">
        <v>0</v>
      </c>
      <c r="H144" s="144">
        <v>0</v>
      </c>
      <c r="I144" s="144">
        <v>0</v>
      </c>
      <c r="J144" s="23">
        <v>0</v>
      </c>
      <c r="K144" s="248">
        <v>1591.962</v>
      </c>
      <c r="L144" s="248">
        <v>30</v>
      </c>
      <c r="AA144" s="21"/>
      <c r="AB144" s="8" t="s">
        <v>2999</v>
      </c>
      <c r="AC144" s="133">
        <v>9626</v>
      </c>
      <c r="AD144" s="174" t="s">
        <v>1059</v>
      </c>
      <c r="AE144" s="60">
        <f t="shared" si="11"/>
        <v>15</v>
      </c>
      <c r="AF144" s="107">
        <f t="shared" si="12"/>
        <v>2</v>
      </c>
      <c r="AG144" s="370"/>
      <c r="AH144" s="366"/>
      <c r="AI144" s="294"/>
      <c r="AJ144" s="26"/>
      <c r="AK144" s="374"/>
      <c r="AL144" s="374"/>
      <c r="AO144" s="294"/>
      <c r="AR144" s="376"/>
      <c r="AS144" s="13"/>
      <c r="AY144"/>
      <c r="AZ144" s="374"/>
      <c r="BA144" s="4"/>
      <c r="BD144" s="55"/>
      <c r="BE144" s="13"/>
      <c r="BF144" s="26"/>
      <c r="BG144" s="26"/>
      <c r="BH144" s="26"/>
      <c r="BI144" s="26"/>
      <c r="BJ144" s="26"/>
      <c r="BK144" s="26"/>
      <c r="BL144" s="26"/>
      <c r="BM144" s="26"/>
      <c r="BP144" s="122"/>
      <c r="BQ144" s="24"/>
      <c r="BR144" s="26"/>
      <c r="BS144" s="20"/>
      <c r="BT144" s="26"/>
      <c r="BV144" s="26"/>
      <c r="BW144" s="26"/>
      <c r="BX144" s="229"/>
      <c r="BY144" s="229"/>
      <c r="BZ144" s="269"/>
      <c r="CB144" s="232"/>
      <c r="CC144" s="24"/>
      <c r="CD144" s="26"/>
      <c r="CE144" s="26"/>
      <c r="CF144" s="26"/>
      <c r="CG144" s="26"/>
      <c r="CH144" s="26"/>
      <c r="CI144" s="26"/>
      <c r="CJ144" s="26"/>
      <c r="CK144" s="229">
        <v>6</v>
      </c>
      <c r="CL144" s="269"/>
      <c r="CM144" s="26"/>
      <c r="CN144" s="232"/>
      <c r="CO144" s="252"/>
      <c r="CP144" s="26"/>
      <c r="CQ144" s="26"/>
      <c r="CR144" s="26"/>
      <c r="CS144" s="26"/>
      <c r="CT144" s="26"/>
      <c r="CU144" s="26"/>
      <c r="CV144" s="26"/>
      <c r="CW144" s="229"/>
      <c r="CX144" s="269"/>
      <c r="CY144" s="26"/>
      <c r="CZ144" s="232"/>
      <c r="DA144" s="252"/>
      <c r="DB144" s="26"/>
      <c r="DC144" s="26"/>
      <c r="DD144" s="26">
        <v>9</v>
      </c>
      <c r="DE144" s="26"/>
      <c r="DF144" s="26"/>
      <c r="DG144" s="26"/>
      <c r="DH144" s="26"/>
      <c r="DI144" s="229"/>
      <c r="DJ144" s="269"/>
      <c r="DK144" s="26"/>
      <c r="DL144" s="232"/>
      <c r="DM144" s="252"/>
      <c r="DN144" s="26"/>
      <c r="DO144" s="26"/>
      <c r="DP144" s="26"/>
      <c r="DQ144" s="26"/>
      <c r="DR144" s="26"/>
      <c r="DS144" s="26"/>
      <c r="DT144" s="26"/>
      <c r="DU144" s="229"/>
      <c r="DV144" s="269"/>
      <c r="DW144" s="26"/>
      <c r="DX144" s="232"/>
      <c r="DY144" s="252"/>
      <c r="DZ144" s="26"/>
      <c r="EA144" s="26"/>
      <c r="EB144" s="26"/>
      <c r="EC144" s="26"/>
      <c r="ED144" s="26"/>
      <c r="EE144" s="26"/>
      <c r="EF144" s="26"/>
      <c r="EG144" s="229"/>
      <c r="EH144" s="269"/>
      <c r="EI144" s="26"/>
      <c r="EJ144" s="232"/>
    </row>
    <row r="145" spans="1:140" ht="15" x14ac:dyDescent="0.2">
      <c r="A145" s="79"/>
      <c r="B145" s="45" t="s">
        <v>1306</v>
      </c>
      <c r="C145" s="23">
        <v>0</v>
      </c>
      <c r="D145" s="252">
        <v>0</v>
      </c>
      <c r="E145" s="24">
        <v>0</v>
      </c>
      <c r="F145" s="25">
        <f t="shared" si="15"/>
        <v>0</v>
      </c>
      <c r="G145" s="144">
        <v>0</v>
      </c>
      <c r="H145" s="144">
        <v>0</v>
      </c>
      <c r="I145" s="144">
        <v>0</v>
      </c>
      <c r="J145" s="23">
        <v>0</v>
      </c>
      <c r="K145" s="248">
        <v>15873.556</v>
      </c>
      <c r="L145" s="248">
        <v>257</v>
      </c>
      <c r="N145" s="353" t="s">
        <v>6190</v>
      </c>
      <c r="O145" s="354"/>
      <c r="P145" s="355"/>
      <c r="Q145" s="346"/>
      <c r="R145" s="258" t="s">
        <v>6177</v>
      </c>
      <c r="S145" s="333"/>
      <c r="AA145"/>
      <c r="AB145" s="8" t="s">
        <v>1068</v>
      </c>
      <c r="AC145" s="133">
        <v>9666</v>
      </c>
      <c r="AD145" s="174" t="s">
        <v>1670</v>
      </c>
      <c r="AE145" s="60">
        <f t="shared" si="11"/>
        <v>2</v>
      </c>
      <c r="AF145" s="107">
        <f t="shared" si="12"/>
        <v>1</v>
      </c>
      <c r="AG145" s="370"/>
      <c r="AH145" s="366"/>
      <c r="AI145" s="294"/>
      <c r="AJ145" s="26"/>
      <c r="AK145" s="374"/>
      <c r="AL145" s="374"/>
      <c r="AO145" s="294"/>
      <c r="AR145" s="376"/>
      <c r="AS145" s="13"/>
      <c r="AY145"/>
      <c r="AZ145" s="374"/>
      <c r="BA145" s="4"/>
      <c r="BD145" s="55"/>
      <c r="BE145" s="13"/>
      <c r="BF145" s="26"/>
      <c r="BG145" s="26"/>
      <c r="BH145" s="26"/>
      <c r="BI145" s="26"/>
      <c r="BJ145" s="26"/>
      <c r="BK145" s="26"/>
      <c r="BL145" s="26"/>
      <c r="BM145" s="26"/>
      <c r="BP145" s="122"/>
      <c r="BQ145" s="24"/>
      <c r="BR145" s="26"/>
      <c r="BS145" s="20"/>
      <c r="BT145" s="26"/>
      <c r="BV145" s="26"/>
      <c r="BW145" s="26"/>
      <c r="BX145" s="229"/>
      <c r="BY145" s="229"/>
      <c r="BZ145" s="269"/>
      <c r="CB145" s="232"/>
      <c r="CC145" s="24"/>
      <c r="CD145" s="26"/>
      <c r="CE145" s="26"/>
      <c r="CF145" s="26"/>
      <c r="CG145" s="26"/>
      <c r="CH145" s="26"/>
      <c r="CI145" s="26"/>
      <c r="CJ145" s="26"/>
      <c r="CK145" s="521"/>
      <c r="CL145" s="269"/>
      <c r="CM145" s="26"/>
      <c r="CN145" s="232"/>
      <c r="CO145" s="252"/>
      <c r="CP145" s="26"/>
      <c r="CQ145" s="26"/>
      <c r="CR145" s="26"/>
      <c r="CS145" s="26"/>
      <c r="CT145" s="26"/>
      <c r="CU145" s="26"/>
      <c r="CV145" s="26"/>
      <c r="CW145" s="521"/>
      <c r="CX145" s="269"/>
      <c r="CY145" s="26"/>
      <c r="CZ145" s="232"/>
      <c r="DA145" s="252"/>
      <c r="DB145" s="26"/>
      <c r="DC145" s="26">
        <v>2</v>
      </c>
      <c r="DD145" s="26"/>
      <c r="DE145" s="26"/>
      <c r="DF145" s="26"/>
      <c r="DG145" s="26"/>
      <c r="DH145" s="26"/>
      <c r="DI145" s="521"/>
      <c r="DJ145" s="269"/>
      <c r="DK145" s="26"/>
      <c r="DL145" s="232"/>
      <c r="DM145" s="252"/>
      <c r="DN145" s="26"/>
      <c r="DO145" s="26"/>
      <c r="DP145" s="26"/>
      <c r="DQ145" s="26"/>
      <c r="DR145" s="26"/>
      <c r="DS145" s="26"/>
      <c r="DT145" s="26"/>
      <c r="DU145" s="521"/>
      <c r="DV145" s="269"/>
      <c r="DW145" s="26"/>
      <c r="DX145" s="232"/>
      <c r="DY145" s="252"/>
      <c r="DZ145" s="26"/>
      <c r="EA145" s="26"/>
      <c r="EB145" s="26"/>
      <c r="EC145" s="26"/>
      <c r="ED145" s="26"/>
      <c r="EE145" s="26"/>
      <c r="EF145" s="26"/>
      <c r="EG145" s="521"/>
      <c r="EH145" s="269"/>
      <c r="EI145" s="26"/>
      <c r="EJ145" s="232"/>
    </row>
    <row r="146" spans="1:140" ht="15" x14ac:dyDescent="0.2">
      <c r="A146" s="79"/>
      <c r="B146" s="8" t="s">
        <v>1101</v>
      </c>
      <c r="C146" s="23">
        <v>0</v>
      </c>
      <c r="D146" s="252">
        <v>0</v>
      </c>
      <c r="E146" s="24">
        <v>0</v>
      </c>
      <c r="F146" s="25">
        <f t="shared" si="15"/>
        <v>0</v>
      </c>
      <c r="G146" s="144">
        <v>0</v>
      </c>
      <c r="H146" s="144">
        <v>0</v>
      </c>
      <c r="I146" s="144">
        <v>0</v>
      </c>
      <c r="J146" s="23">
        <v>0</v>
      </c>
      <c r="K146" s="248">
        <v>2242.6669999999995</v>
      </c>
      <c r="L146" s="248">
        <v>45</v>
      </c>
      <c r="N146" s="334" t="s">
        <v>151</v>
      </c>
      <c r="O146" s="335"/>
      <c r="P146" s="336"/>
      <c r="Q146" s="335"/>
      <c r="R146" s="431">
        <f>+W206</f>
        <v>1076</v>
      </c>
      <c r="S146" s="229"/>
      <c r="AA146"/>
      <c r="AB146" s="8" t="s">
        <v>4204</v>
      </c>
      <c r="AC146" s="133">
        <v>9672</v>
      </c>
      <c r="AD146" s="174" t="s">
        <v>1381</v>
      </c>
      <c r="AE146" s="60">
        <f t="shared" si="11"/>
        <v>1</v>
      </c>
      <c r="AF146" s="107">
        <f t="shared" si="12"/>
        <v>1</v>
      </c>
      <c r="AG146" s="370"/>
      <c r="AH146" s="366"/>
      <c r="AI146" s="294"/>
      <c r="AJ146" s="26"/>
      <c r="AK146" s="374"/>
      <c r="AL146" s="374"/>
      <c r="AO146" s="294"/>
      <c r="AR146" s="376"/>
      <c r="AS146" s="13"/>
      <c r="AY146"/>
      <c r="AZ146" s="374"/>
      <c r="BA146" s="4"/>
      <c r="BD146" s="55"/>
      <c r="BE146" s="13"/>
      <c r="BF146" s="26"/>
      <c r="BG146" s="26"/>
      <c r="BH146" s="26"/>
      <c r="BI146" s="26"/>
      <c r="BJ146" s="26"/>
      <c r="BK146" s="26"/>
      <c r="BL146" s="26"/>
      <c r="BM146" s="26"/>
      <c r="BP146" s="122"/>
      <c r="BQ146" s="24"/>
      <c r="BR146" s="26"/>
      <c r="BS146" s="20"/>
      <c r="BT146" s="26"/>
      <c r="BV146" s="26"/>
      <c r="BW146" s="26">
        <v>1</v>
      </c>
      <c r="BX146" s="229"/>
      <c r="BY146" s="229"/>
      <c r="BZ146" s="269"/>
      <c r="CB146" s="232"/>
      <c r="CC146" s="24"/>
      <c r="CD146" s="26"/>
      <c r="CE146" s="26"/>
      <c r="CF146" s="26"/>
      <c r="CG146" s="26"/>
      <c r="CH146" s="26"/>
      <c r="CI146" s="26"/>
      <c r="CJ146" s="26"/>
      <c r="CK146" s="521"/>
      <c r="CL146" s="269"/>
      <c r="CM146" s="26"/>
      <c r="CN146" s="232"/>
      <c r="CO146" s="252"/>
      <c r="CP146" s="26"/>
      <c r="CQ146" s="26"/>
      <c r="CR146" s="26"/>
      <c r="CS146" s="26"/>
      <c r="CT146" s="26"/>
      <c r="CU146" s="26"/>
      <c r="CV146" s="26"/>
      <c r="CW146" s="521"/>
      <c r="CX146" s="269"/>
      <c r="CY146" s="26"/>
      <c r="CZ146" s="232"/>
      <c r="DA146" s="252"/>
      <c r="DB146" s="26"/>
      <c r="DC146" s="26"/>
      <c r="DD146" s="26"/>
      <c r="DE146" s="26"/>
      <c r="DF146" s="26"/>
      <c r="DG146" s="26"/>
      <c r="DH146" s="26"/>
      <c r="DI146" s="521"/>
      <c r="DJ146" s="269"/>
      <c r="DK146" s="26"/>
      <c r="DL146" s="232"/>
      <c r="DM146" s="252"/>
      <c r="DN146" s="26"/>
      <c r="DO146" s="26"/>
      <c r="DP146" s="26"/>
      <c r="DQ146" s="26"/>
      <c r="DR146" s="26"/>
      <c r="DS146" s="26"/>
      <c r="DT146" s="26"/>
      <c r="DU146" s="521"/>
      <c r="DV146" s="269"/>
      <c r="DW146" s="26"/>
      <c r="DX146" s="232"/>
      <c r="DY146" s="252"/>
      <c r="DZ146" s="26"/>
      <c r="EA146" s="26"/>
      <c r="EB146" s="26"/>
      <c r="EC146" s="26"/>
      <c r="ED146" s="26"/>
      <c r="EE146" s="26"/>
      <c r="EF146" s="26"/>
      <c r="EG146" s="521"/>
      <c r="EH146" s="269"/>
      <c r="EI146" s="26"/>
      <c r="EJ146" s="232"/>
    </row>
    <row r="147" spans="1:140" ht="15" x14ac:dyDescent="0.2">
      <c r="A147" s="40"/>
      <c r="B147" s="47" t="s">
        <v>380</v>
      </c>
      <c r="C147" s="28">
        <v>1</v>
      </c>
      <c r="D147" s="253">
        <v>0</v>
      </c>
      <c r="E147" s="28">
        <v>2</v>
      </c>
      <c r="F147" s="25">
        <f t="shared" ref="F147:F165" si="16">+C147+D147+E147</f>
        <v>3</v>
      </c>
      <c r="G147" s="144">
        <v>1</v>
      </c>
      <c r="H147" s="144">
        <v>16.548999999999999</v>
      </c>
      <c r="I147" s="144">
        <v>15</v>
      </c>
      <c r="J147" s="43">
        <v>0</v>
      </c>
      <c r="K147" s="251">
        <v>14026.360000000006</v>
      </c>
      <c r="L147" s="251">
        <v>297</v>
      </c>
      <c r="N147" s="337" t="s">
        <v>42</v>
      </c>
      <c r="O147" s="338"/>
      <c r="P147" s="339"/>
      <c r="Q147" s="339"/>
      <c r="R147" s="350">
        <f>+W232</f>
        <v>185</v>
      </c>
      <c r="AA147"/>
      <c r="AB147" s="8" t="s">
        <v>4550</v>
      </c>
      <c r="AC147" s="133">
        <v>9705</v>
      </c>
      <c r="AD147" s="174" t="s">
        <v>313</v>
      </c>
      <c r="AE147" s="60">
        <f t="shared" si="11"/>
        <v>7</v>
      </c>
      <c r="AF147" s="107">
        <f t="shared" si="12"/>
        <v>3</v>
      </c>
      <c r="AG147" s="370"/>
      <c r="AH147" s="366"/>
      <c r="AI147" s="294"/>
      <c r="AJ147" s="26"/>
      <c r="AK147" s="374"/>
      <c r="AL147" s="374"/>
      <c r="AO147" s="294"/>
      <c r="AR147" s="376"/>
      <c r="AS147" s="13"/>
      <c r="AY147"/>
      <c r="AZ147" s="374"/>
      <c r="BA147" s="4"/>
      <c r="BD147" s="55"/>
      <c r="BE147" s="13"/>
      <c r="BF147" s="26"/>
      <c r="BG147" s="26"/>
      <c r="BH147" s="26"/>
      <c r="BI147" s="26"/>
      <c r="BJ147" s="26"/>
      <c r="BK147" s="26"/>
      <c r="BL147" s="26"/>
      <c r="BM147" s="26"/>
      <c r="BP147" s="122"/>
      <c r="BQ147" s="24"/>
      <c r="BR147" s="26"/>
      <c r="BS147" s="20"/>
      <c r="BT147" s="26"/>
      <c r="BV147" s="26"/>
      <c r="BW147" s="26"/>
      <c r="BX147" s="229"/>
      <c r="BY147" s="229"/>
      <c r="BZ147" s="269"/>
      <c r="CB147" s="232"/>
      <c r="CC147" s="24"/>
      <c r="CD147" s="26"/>
      <c r="CE147" s="26"/>
      <c r="CF147" s="26"/>
      <c r="CG147" s="26"/>
      <c r="CH147" s="26"/>
      <c r="CI147" s="26"/>
      <c r="CJ147" s="26"/>
      <c r="CK147" s="521"/>
      <c r="CL147" s="269"/>
      <c r="CM147" s="26"/>
      <c r="CN147" s="232"/>
      <c r="CO147" s="252"/>
      <c r="CP147" s="26"/>
      <c r="CQ147" s="26"/>
      <c r="CR147" s="26"/>
      <c r="CS147" s="26"/>
      <c r="CT147" s="26"/>
      <c r="CU147" s="26"/>
      <c r="CV147" s="26">
        <v>1</v>
      </c>
      <c r="CW147" s="521"/>
      <c r="CX147" s="269">
        <v>3</v>
      </c>
      <c r="CY147" s="26"/>
      <c r="CZ147" s="232"/>
      <c r="DA147" s="252"/>
      <c r="DB147" s="26"/>
      <c r="DC147" s="26"/>
      <c r="DD147" s="26"/>
      <c r="DE147" s="26"/>
      <c r="DF147" s="26"/>
      <c r="DG147" s="26"/>
      <c r="DH147" s="26"/>
      <c r="DI147" s="521"/>
      <c r="DJ147" s="269"/>
      <c r="DK147" s="26"/>
      <c r="DL147" s="232"/>
      <c r="DM147" s="252"/>
      <c r="DN147" s="26"/>
      <c r="DO147" s="26"/>
      <c r="DP147" s="26"/>
      <c r="DQ147" s="26"/>
      <c r="DR147" s="26"/>
      <c r="DS147" s="26"/>
      <c r="DT147" s="26"/>
      <c r="DU147" s="521"/>
      <c r="DV147" s="269">
        <v>3</v>
      </c>
      <c r="DW147" s="26"/>
      <c r="DX147" s="232"/>
      <c r="DY147" s="252"/>
      <c r="DZ147" s="26"/>
      <c r="EA147" s="26"/>
      <c r="EB147" s="26"/>
      <c r="EC147" s="26"/>
      <c r="ED147" s="26"/>
      <c r="EE147" s="26"/>
      <c r="EF147" s="26"/>
      <c r="EG147" s="521"/>
      <c r="EH147" s="269"/>
      <c r="EI147" s="26"/>
      <c r="EJ147" s="232"/>
    </row>
    <row r="148" spans="1:140" ht="15" x14ac:dyDescent="0.2">
      <c r="A148" s="17"/>
      <c r="B148" s="44" t="s">
        <v>572</v>
      </c>
      <c r="C148" s="29">
        <v>5</v>
      </c>
      <c r="D148" s="254">
        <v>0</v>
      </c>
      <c r="E148" s="30">
        <v>17</v>
      </c>
      <c r="F148" s="31">
        <f t="shared" si="16"/>
        <v>22</v>
      </c>
      <c r="G148" s="321">
        <v>2</v>
      </c>
      <c r="H148" s="321">
        <v>41.344999999999999</v>
      </c>
      <c r="I148" s="321">
        <v>1103</v>
      </c>
      <c r="J148" s="74">
        <v>2.8400000000000003</v>
      </c>
      <c r="K148" s="600">
        <v>41.344999999999999</v>
      </c>
      <c r="L148" s="600">
        <v>1103</v>
      </c>
      <c r="N148" s="337" t="s">
        <v>117</v>
      </c>
      <c r="O148" s="338"/>
      <c r="P148" s="339"/>
      <c r="Q148" s="339"/>
      <c r="R148" s="350">
        <f>+W230</f>
        <v>156</v>
      </c>
      <c r="AA148"/>
      <c r="AB148" s="8" t="s">
        <v>3738</v>
      </c>
      <c r="AC148" s="133">
        <v>9769</v>
      </c>
      <c r="AD148" s="174" t="s">
        <v>1381</v>
      </c>
      <c r="AE148" s="60">
        <f t="shared" si="11"/>
        <v>2</v>
      </c>
      <c r="AF148" s="107">
        <f t="shared" si="12"/>
        <v>2</v>
      </c>
      <c r="AG148" s="370"/>
      <c r="AH148" s="366"/>
      <c r="AI148" s="294"/>
      <c r="AJ148" s="26"/>
      <c r="AK148" s="374"/>
      <c r="AL148" s="374"/>
      <c r="AO148" s="294"/>
      <c r="AR148" s="376"/>
      <c r="AS148" s="13"/>
      <c r="AY148"/>
      <c r="AZ148" s="374"/>
      <c r="BA148" s="4"/>
      <c r="BD148" s="55"/>
      <c r="BE148" s="13"/>
      <c r="BF148" s="26"/>
      <c r="BG148" s="26"/>
      <c r="BH148" s="26"/>
      <c r="BI148" s="26"/>
      <c r="BJ148" s="26"/>
      <c r="BK148" s="26"/>
      <c r="BL148" s="26"/>
      <c r="BM148" s="26"/>
      <c r="BP148" s="122"/>
      <c r="BQ148" s="24"/>
      <c r="BR148" s="26"/>
      <c r="BS148" s="20"/>
      <c r="BT148" s="26"/>
      <c r="BV148" s="26"/>
      <c r="BW148" s="26"/>
      <c r="BX148" s="229"/>
      <c r="BY148" s="229"/>
      <c r="BZ148" s="269"/>
      <c r="CB148" s="232"/>
      <c r="CC148" s="24"/>
      <c r="CD148" s="26"/>
      <c r="CE148" s="26"/>
      <c r="CF148" s="26">
        <v>1</v>
      </c>
      <c r="CG148" s="26">
        <v>1</v>
      </c>
      <c r="CH148" s="26"/>
      <c r="CI148" s="26"/>
      <c r="CJ148" s="26"/>
      <c r="CK148" s="521"/>
      <c r="CL148" s="269"/>
      <c r="CM148" s="26"/>
      <c r="CN148" s="232"/>
      <c r="CO148" s="252"/>
      <c r="CP148" s="26"/>
      <c r="CQ148" s="26"/>
      <c r="CR148" s="26"/>
      <c r="CS148" s="26"/>
      <c r="CT148" s="26"/>
      <c r="CU148" s="26"/>
      <c r="CV148" s="26"/>
      <c r="CW148" s="521"/>
      <c r="CX148" s="269"/>
      <c r="CY148" s="26"/>
      <c r="CZ148" s="232"/>
      <c r="DA148" s="252"/>
      <c r="DB148" s="26"/>
      <c r="DC148" s="26"/>
      <c r="DD148" s="26"/>
      <c r="DE148" s="26"/>
      <c r="DF148" s="26"/>
      <c r="DG148" s="26"/>
      <c r="DH148" s="26"/>
      <c r="DI148" s="521"/>
      <c r="DJ148" s="269"/>
      <c r="DK148" s="26"/>
      <c r="DL148" s="232"/>
      <c r="DM148" s="252"/>
      <c r="DN148" s="26"/>
      <c r="DO148" s="26"/>
      <c r="DP148" s="26"/>
      <c r="DQ148" s="26"/>
      <c r="DR148" s="26"/>
      <c r="DS148" s="26"/>
      <c r="DT148" s="26"/>
      <c r="DU148" s="521"/>
      <c r="DV148" s="269"/>
      <c r="DW148" s="26"/>
      <c r="DX148" s="232"/>
      <c r="DY148" s="252"/>
      <c r="DZ148" s="26"/>
      <c r="EA148" s="26"/>
      <c r="EB148" s="26"/>
      <c r="EC148" s="26"/>
      <c r="ED148" s="26"/>
      <c r="EE148" s="26"/>
      <c r="EF148" s="26"/>
      <c r="EG148" s="521"/>
      <c r="EH148" s="269"/>
      <c r="EI148" s="26"/>
      <c r="EJ148" s="232"/>
    </row>
    <row r="149" spans="1:140" ht="15" x14ac:dyDescent="0.2">
      <c r="A149" s="19"/>
      <c r="B149" s="46" t="s">
        <v>172</v>
      </c>
      <c r="C149" s="23">
        <v>2</v>
      </c>
      <c r="D149" s="252">
        <v>0</v>
      </c>
      <c r="E149" s="24">
        <v>13</v>
      </c>
      <c r="F149" s="25">
        <f t="shared" si="16"/>
        <v>15</v>
      </c>
      <c r="G149" s="144">
        <v>3</v>
      </c>
      <c r="H149" s="144">
        <v>2760.7680000000009</v>
      </c>
      <c r="I149" s="144">
        <v>108</v>
      </c>
      <c r="J149" s="34">
        <v>0</v>
      </c>
      <c r="K149" s="248">
        <v>2923.1200000000008</v>
      </c>
      <c r="L149" s="248">
        <v>161</v>
      </c>
      <c r="N149" s="337" t="s">
        <v>137</v>
      </c>
      <c r="O149" s="339"/>
      <c r="P149" s="339"/>
      <c r="Q149" s="339"/>
      <c r="R149" s="350">
        <f>+W300</f>
        <v>67</v>
      </c>
      <c r="AA149"/>
      <c r="AB149" s="8" t="s">
        <v>4812</v>
      </c>
      <c r="AC149" s="133">
        <v>9811</v>
      </c>
      <c r="AD149" s="174" t="s">
        <v>228</v>
      </c>
      <c r="AE149" s="60">
        <f t="shared" si="11"/>
        <v>2</v>
      </c>
      <c r="AF149" s="107">
        <f t="shared" si="12"/>
        <v>1</v>
      </c>
      <c r="AG149" s="370"/>
      <c r="AH149" s="366"/>
      <c r="AI149" s="294"/>
      <c r="AJ149" s="26"/>
      <c r="AK149" s="374"/>
      <c r="AL149" s="374"/>
      <c r="AO149" s="294"/>
      <c r="AR149" s="376"/>
      <c r="AS149" s="13"/>
      <c r="AY149"/>
      <c r="AZ149" s="374"/>
      <c r="BA149" s="4"/>
      <c r="BD149" s="55"/>
      <c r="BE149" s="13"/>
      <c r="BF149" s="26"/>
      <c r="BG149" s="26"/>
      <c r="BH149" s="26"/>
      <c r="BI149" s="26"/>
      <c r="BJ149" s="26"/>
      <c r="BK149" s="26"/>
      <c r="BL149" s="26"/>
      <c r="BM149" s="26"/>
      <c r="BP149" s="122"/>
      <c r="BQ149" s="24"/>
      <c r="BR149" s="26"/>
      <c r="BS149" s="20"/>
      <c r="BT149" s="26"/>
      <c r="BV149" s="26"/>
      <c r="BW149" s="26"/>
      <c r="BX149" s="229"/>
      <c r="BY149" s="229"/>
      <c r="BZ149" s="269"/>
      <c r="CB149" s="232"/>
      <c r="CC149" s="24"/>
      <c r="CD149" s="26"/>
      <c r="CE149" s="26"/>
      <c r="CF149" s="26"/>
      <c r="CG149" s="26"/>
      <c r="CH149" s="26"/>
      <c r="CI149" s="26"/>
      <c r="CJ149" s="26"/>
      <c r="CK149" s="229"/>
      <c r="CL149" s="269"/>
      <c r="CM149" s="26"/>
      <c r="CN149" s="232">
        <v>2</v>
      </c>
      <c r="CO149" s="252"/>
      <c r="CP149" s="26"/>
      <c r="CQ149" s="26"/>
      <c r="CR149" s="26"/>
      <c r="CS149" s="26"/>
      <c r="CT149" s="26"/>
      <c r="CU149" s="26"/>
      <c r="CV149" s="26"/>
      <c r="CW149" s="229"/>
      <c r="CX149" s="269"/>
      <c r="CY149" s="26"/>
      <c r="CZ149" s="232"/>
      <c r="DA149" s="252"/>
      <c r="DB149" s="26"/>
      <c r="DC149" s="26"/>
      <c r="DD149" s="26"/>
      <c r="DE149" s="26"/>
      <c r="DF149" s="26"/>
      <c r="DG149" s="26"/>
      <c r="DH149" s="26"/>
      <c r="DI149" s="229"/>
      <c r="DJ149" s="269"/>
      <c r="DK149" s="26"/>
      <c r="DL149" s="232"/>
      <c r="DM149" s="252"/>
      <c r="DN149" s="26"/>
      <c r="DO149" s="26"/>
      <c r="DP149" s="26"/>
      <c r="DQ149" s="26"/>
      <c r="DR149" s="26"/>
      <c r="DS149" s="26"/>
      <c r="DT149" s="26"/>
      <c r="DU149" s="229"/>
      <c r="DV149" s="269"/>
      <c r="DW149" s="26"/>
      <c r="DX149" s="232"/>
      <c r="DY149" s="252"/>
      <c r="DZ149" s="26"/>
      <c r="EA149" s="26"/>
      <c r="EB149" s="26"/>
      <c r="EC149" s="26"/>
      <c r="ED149" s="26"/>
      <c r="EE149" s="26"/>
      <c r="EF149" s="26"/>
      <c r="EG149" s="229"/>
      <c r="EH149" s="269"/>
      <c r="EI149" s="26"/>
      <c r="EJ149" s="232"/>
    </row>
    <row r="150" spans="1:140" ht="15" x14ac:dyDescent="0.2">
      <c r="A150" s="19" t="s">
        <v>1307</v>
      </c>
      <c r="B150" s="46" t="s">
        <v>1111</v>
      </c>
      <c r="C150" s="23">
        <v>2</v>
      </c>
      <c r="D150" s="252">
        <v>0</v>
      </c>
      <c r="E150" s="24">
        <v>7</v>
      </c>
      <c r="F150" s="25">
        <f t="shared" si="16"/>
        <v>9</v>
      </c>
      <c r="G150" s="144">
        <v>0</v>
      </c>
      <c r="H150" s="144">
        <v>0</v>
      </c>
      <c r="I150" s="144">
        <v>12</v>
      </c>
      <c r="J150" s="32">
        <v>5.46</v>
      </c>
      <c r="K150" s="248">
        <v>242.00700000000001</v>
      </c>
      <c r="L150" s="248">
        <v>14</v>
      </c>
      <c r="N150" s="337" t="s">
        <v>218</v>
      </c>
      <c r="O150" s="339"/>
      <c r="P150" s="340"/>
      <c r="Q150" s="429"/>
      <c r="R150" s="351">
        <f>+W283</f>
        <v>61</v>
      </c>
      <c r="AA150"/>
      <c r="AB150" s="8" t="s">
        <v>5600</v>
      </c>
      <c r="AC150" s="133">
        <v>9847</v>
      </c>
      <c r="AD150" s="174" t="s">
        <v>1059</v>
      </c>
      <c r="AE150" s="60">
        <f t="shared" si="11"/>
        <v>5</v>
      </c>
      <c r="AF150" s="107">
        <f t="shared" si="12"/>
        <v>1</v>
      </c>
      <c r="AG150" s="370"/>
      <c r="AH150" s="366"/>
      <c r="AI150" s="294"/>
      <c r="AJ150" s="26"/>
      <c r="AK150" s="374"/>
      <c r="AL150" s="374"/>
      <c r="AO150" s="294"/>
      <c r="AR150" s="376"/>
      <c r="AS150" s="13"/>
      <c r="AY150"/>
      <c r="AZ150" s="374"/>
      <c r="BA150" s="4"/>
      <c r="BD150" s="55"/>
      <c r="BE150" s="13"/>
      <c r="BF150" s="26"/>
      <c r="BG150" s="26"/>
      <c r="BH150" s="26"/>
      <c r="BI150" s="26"/>
      <c r="BJ150" s="26"/>
      <c r="BK150" s="26"/>
      <c r="BL150" s="26"/>
      <c r="BM150" s="26"/>
      <c r="BP150" s="122"/>
      <c r="BQ150" s="24"/>
      <c r="BR150" s="26"/>
      <c r="BS150" s="20"/>
      <c r="BT150" s="26"/>
      <c r="BV150" s="26"/>
      <c r="BW150" s="26"/>
      <c r="BX150" s="229"/>
      <c r="BY150" s="229"/>
      <c r="BZ150" s="269"/>
      <c r="CB150" s="232"/>
      <c r="CC150" s="24"/>
      <c r="CD150" s="26"/>
      <c r="CE150" s="26"/>
      <c r="CF150" s="26"/>
      <c r="CG150" s="26"/>
      <c r="CH150" s="26"/>
      <c r="CI150" s="26"/>
      <c r="CJ150" s="26"/>
      <c r="CK150" s="229"/>
      <c r="CL150" s="269"/>
      <c r="CM150" s="26"/>
      <c r="CN150" s="232"/>
      <c r="CO150" s="252"/>
      <c r="CP150" s="26"/>
      <c r="CQ150" s="26"/>
      <c r="CR150" s="26"/>
      <c r="CS150" s="26"/>
      <c r="CT150" s="26"/>
      <c r="CU150" s="26"/>
      <c r="CV150" s="26"/>
      <c r="CW150" s="229">
        <v>5</v>
      </c>
      <c r="CX150" s="269"/>
      <c r="CY150" s="26"/>
      <c r="CZ150" s="232"/>
      <c r="DA150" s="252"/>
      <c r="DB150" s="26"/>
      <c r="DC150" s="26"/>
      <c r="DD150" s="26"/>
      <c r="DE150" s="26"/>
      <c r="DF150" s="26"/>
      <c r="DG150" s="26"/>
      <c r="DH150" s="26"/>
      <c r="DI150" s="229"/>
      <c r="DJ150" s="269"/>
      <c r="DK150" s="26"/>
      <c r="DL150" s="232"/>
      <c r="DM150" s="252"/>
      <c r="DN150" s="26"/>
      <c r="DO150" s="26"/>
      <c r="DP150" s="26"/>
      <c r="DQ150" s="26"/>
      <c r="DR150" s="26"/>
      <c r="DS150" s="26"/>
      <c r="DT150" s="26"/>
      <c r="DU150" s="229"/>
      <c r="DV150" s="269"/>
      <c r="DW150" s="26"/>
      <c r="DX150" s="232"/>
      <c r="DY150" s="252"/>
      <c r="DZ150" s="26"/>
      <c r="EA150" s="26"/>
      <c r="EB150" s="26"/>
      <c r="EC150" s="26"/>
      <c r="ED150" s="26"/>
      <c r="EE150" s="26"/>
      <c r="EF150" s="26"/>
      <c r="EG150" s="229"/>
      <c r="EH150" s="269"/>
      <c r="EI150" s="26"/>
      <c r="EJ150" s="232"/>
    </row>
    <row r="151" spans="1:140" ht="15" x14ac:dyDescent="0.2">
      <c r="A151" s="19" t="s">
        <v>1308</v>
      </c>
      <c r="B151" s="46" t="s">
        <v>360</v>
      </c>
      <c r="C151" s="23">
        <v>0</v>
      </c>
      <c r="D151" s="252">
        <v>0</v>
      </c>
      <c r="E151" s="24">
        <v>0</v>
      </c>
      <c r="F151" s="25">
        <f t="shared" si="16"/>
        <v>0</v>
      </c>
      <c r="G151" s="144">
        <v>0</v>
      </c>
      <c r="H151" s="144">
        <v>0</v>
      </c>
      <c r="I151" s="144">
        <v>0</v>
      </c>
      <c r="J151" s="32">
        <v>0</v>
      </c>
      <c r="K151" s="248">
        <v>276.50400000000002</v>
      </c>
      <c r="L151" s="248">
        <v>46</v>
      </c>
      <c r="N151" s="337" t="s">
        <v>245</v>
      </c>
      <c r="O151" s="339"/>
      <c r="P151" s="340"/>
      <c r="Q151" s="429"/>
      <c r="R151" s="351">
        <f>+W306</f>
        <v>60</v>
      </c>
      <c r="AA151"/>
      <c r="AB151" s="8" t="s">
        <v>4269</v>
      </c>
      <c r="AC151" s="133">
        <v>9863</v>
      </c>
      <c r="AD151" s="174" t="s">
        <v>42</v>
      </c>
      <c r="AE151" s="60">
        <f t="shared" si="11"/>
        <v>1</v>
      </c>
      <c r="AF151" s="107">
        <f t="shared" si="12"/>
        <v>1</v>
      </c>
      <c r="AG151" s="370"/>
      <c r="AH151" s="366"/>
      <c r="AI151" s="294"/>
      <c r="AJ151" s="26"/>
      <c r="AK151" s="374"/>
      <c r="AL151" s="374"/>
      <c r="AO151" s="294"/>
      <c r="AR151" s="376"/>
      <c r="AS151" s="13"/>
      <c r="AY151"/>
      <c r="AZ151" s="374"/>
      <c r="BA151" s="4"/>
      <c r="BD151" s="55"/>
      <c r="BE151" s="13"/>
      <c r="BF151" s="26"/>
      <c r="BG151" s="26"/>
      <c r="BH151" s="26"/>
      <c r="BI151" s="26"/>
      <c r="BJ151" s="26"/>
      <c r="BK151" s="26"/>
      <c r="BL151" s="26"/>
      <c r="BM151" s="26"/>
      <c r="BP151" s="122"/>
      <c r="BQ151" s="24"/>
      <c r="BR151" s="26"/>
      <c r="BS151" s="20"/>
      <c r="BT151" s="26"/>
      <c r="BV151" s="26"/>
      <c r="BW151" s="26"/>
      <c r="BX151" s="229"/>
      <c r="BY151" s="229"/>
      <c r="BZ151" s="269"/>
      <c r="CB151" s="232"/>
      <c r="CC151" s="24"/>
      <c r="CD151" s="26"/>
      <c r="CE151" s="26"/>
      <c r="CF151" s="26"/>
      <c r="CG151" s="26"/>
      <c r="CH151" s="26"/>
      <c r="CI151" s="26"/>
      <c r="CJ151" s="26"/>
      <c r="CK151" s="229"/>
      <c r="CL151" s="269"/>
      <c r="CM151" s="26"/>
      <c r="CN151" s="232"/>
      <c r="CO151" s="252"/>
      <c r="CP151" s="26"/>
      <c r="CQ151" s="26"/>
      <c r="CR151" s="26"/>
      <c r="CS151" s="26"/>
      <c r="CT151" s="26"/>
      <c r="CU151" s="26"/>
      <c r="CV151" s="26"/>
      <c r="CW151" s="229"/>
      <c r="CX151" s="269"/>
      <c r="CY151" s="26"/>
      <c r="CZ151" s="232"/>
      <c r="DA151" s="252"/>
      <c r="DB151" s="26"/>
      <c r="DC151" s="26"/>
      <c r="DD151" s="26"/>
      <c r="DE151" s="26"/>
      <c r="DF151" s="26"/>
      <c r="DG151" s="26"/>
      <c r="DH151" s="26"/>
      <c r="DI151" s="229"/>
      <c r="DJ151" s="269"/>
      <c r="DK151" s="26"/>
      <c r="DL151" s="232"/>
      <c r="DM151" s="252"/>
      <c r="DN151" s="26"/>
      <c r="DO151" s="26"/>
      <c r="DP151" s="26"/>
      <c r="DQ151" s="26"/>
      <c r="DR151" s="26"/>
      <c r="DS151" s="26"/>
      <c r="DT151" s="26"/>
      <c r="DU151" s="229"/>
      <c r="DV151" s="269"/>
      <c r="DW151" s="26"/>
      <c r="DX151" s="232">
        <v>1</v>
      </c>
      <c r="DY151" s="252"/>
      <c r="DZ151" s="26"/>
      <c r="EA151" s="26"/>
      <c r="EB151" s="26"/>
      <c r="EC151" s="26"/>
      <c r="ED151" s="26"/>
      <c r="EE151" s="26"/>
      <c r="EF151" s="26"/>
      <c r="EG151" s="229"/>
      <c r="EH151" s="269"/>
      <c r="EI151" s="26"/>
      <c r="EJ151" s="232"/>
    </row>
    <row r="152" spans="1:140" ht="15" x14ac:dyDescent="0.2">
      <c r="A152" s="27">
        <f>SUM(F148:F154)</f>
        <v>59</v>
      </c>
      <c r="B152" s="46" t="s">
        <v>690</v>
      </c>
      <c r="C152" s="23">
        <v>2</v>
      </c>
      <c r="D152" s="252">
        <v>0</v>
      </c>
      <c r="E152" s="24">
        <v>7</v>
      </c>
      <c r="F152" s="25">
        <f t="shared" si="16"/>
        <v>9</v>
      </c>
      <c r="G152" s="144">
        <v>0</v>
      </c>
      <c r="H152" s="144">
        <v>0</v>
      </c>
      <c r="I152" s="144">
        <v>14</v>
      </c>
      <c r="J152" s="32">
        <v>6.55</v>
      </c>
      <c r="K152" s="248">
        <v>8.8859999999999992</v>
      </c>
      <c r="L152" s="248">
        <v>31</v>
      </c>
      <c r="N152" s="337" t="s">
        <v>67</v>
      </c>
      <c r="O152" s="339"/>
      <c r="P152" s="340"/>
      <c r="Q152" s="429"/>
      <c r="R152" s="351">
        <f>+W227</f>
        <v>53</v>
      </c>
      <c r="AA152"/>
      <c r="AB152" s="8" t="s">
        <v>762</v>
      </c>
      <c r="AC152" s="133">
        <v>9889</v>
      </c>
      <c r="AD152" s="174" t="s">
        <v>228</v>
      </c>
      <c r="AE152" s="60">
        <f t="shared" si="11"/>
        <v>2</v>
      </c>
      <c r="AF152" s="107">
        <f t="shared" si="12"/>
        <v>2</v>
      </c>
      <c r="AG152" s="370"/>
      <c r="AH152" s="366"/>
      <c r="AI152" s="294"/>
      <c r="AJ152" s="26"/>
      <c r="AK152" s="374"/>
      <c r="AL152" s="374"/>
      <c r="AO152" s="294"/>
      <c r="AR152" s="376"/>
      <c r="AS152" s="13"/>
      <c r="AY152"/>
      <c r="AZ152" s="374"/>
      <c r="BA152" s="4"/>
      <c r="BD152" s="55"/>
      <c r="BE152" s="13"/>
      <c r="BF152" s="26"/>
      <c r="BG152" s="26"/>
      <c r="BH152" s="26"/>
      <c r="BI152" s="26"/>
      <c r="BJ152" s="26"/>
      <c r="BK152" s="26"/>
      <c r="BL152" s="26"/>
      <c r="BM152" s="26"/>
      <c r="BP152" s="122"/>
      <c r="BQ152" s="24"/>
      <c r="BR152" s="26"/>
      <c r="BS152" s="20"/>
      <c r="BT152" s="26"/>
      <c r="BV152" s="26"/>
      <c r="BW152" s="26"/>
      <c r="BX152" s="229"/>
      <c r="BY152" s="229"/>
      <c r="BZ152" s="269"/>
      <c r="CB152" s="232"/>
      <c r="CC152" s="24"/>
      <c r="CD152" s="26"/>
      <c r="CE152" s="26"/>
      <c r="CF152" s="26"/>
      <c r="CG152" s="26"/>
      <c r="CH152" s="26"/>
      <c r="CI152" s="26"/>
      <c r="CJ152" s="26"/>
      <c r="CK152" s="229"/>
      <c r="CL152" s="269"/>
      <c r="CM152" s="26"/>
      <c r="CN152" s="232"/>
      <c r="CO152" s="252"/>
      <c r="CP152" s="26"/>
      <c r="CQ152" s="26"/>
      <c r="CR152" s="26"/>
      <c r="CS152" s="26"/>
      <c r="CT152" s="26"/>
      <c r="CU152" s="26"/>
      <c r="CV152" s="26"/>
      <c r="CW152" s="229"/>
      <c r="CX152" s="269"/>
      <c r="CY152" s="26"/>
      <c r="CZ152" s="232"/>
      <c r="DA152" s="252"/>
      <c r="DB152" s="26"/>
      <c r="DC152" s="26"/>
      <c r="DD152" s="26"/>
      <c r="DE152" s="26"/>
      <c r="DF152" s="26"/>
      <c r="DG152" s="26"/>
      <c r="DH152" s="26"/>
      <c r="DI152" s="229"/>
      <c r="DJ152" s="269"/>
      <c r="DK152" s="26"/>
      <c r="DL152" s="232"/>
      <c r="DM152" s="252"/>
      <c r="DN152" s="26">
        <v>1</v>
      </c>
      <c r="DO152" s="26"/>
      <c r="DP152" s="26"/>
      <c r="DQ152" s="26"/>
      <c r="DR152" s="26">
        <v>1</v>
      </c>
      <c r="DS152" s="26"/>
      <c r="DT152" s="26"/>
      <c r="DU152" s="229"/>
      <c r="DV152" s="269"/>
      <c r="DW152" s="26"/>
      <c r="DX152" s="232"/>
      <c r="DY152" s="252"/>
      <c r="DZ152" s="26"/>
      <c r="EA152" s="26"/>
      <c r="EB152" s="26"/>
      <c r="EC152" s="26"/>
      <c r="ED152" s="26"/>
      <c r="EE152" s="26"/>
      <c r="EF152" s="26"/>
      <c r="EG152" s="229"/>
      <c r="EH152" s="269"/>
      <c r="EI152" s="26"/>
      <c r="EJ152" s="232"/>
    </row>
    <row r="153" spans="1:140" ht="15" x14ac:dyDescent="0.2">
      <c r="A153" s="48"/>
      <c r="B153" s="46" t="s">
        <v>1309</v>
      </c>
      <c r="C153" s="23">
        <v>0</v>
      </c>
      <c r="D153" s="252">
        <v>0</v>
      </c>
      <c r="E153" s="24">
        <v>0</v>
      </c>
      <c r="F153" s="25">
        <f t="shared" si="16"/>
        <v>0</v>
      </c>
      <c r="G153" s="144">
        <v>0</v>
      </c>
      <c r="H153" s="144">
        <v>0</v>
      </c>
      <c r="I153" s="144">
        <v>0</v>
      </c>
      <c r="J153" s="32">
        <v>0</v>
      </c>
      <c r="K153" s="248">
        <v>0</v>
      </c>
      <c r="L153" s="248">
        <v>0</v>
      </c>
      <c r="N153" s="337" t="s">
        <v>89</v>
      </c>
      <c r="O153" s="339"/>
      <c r="P153" s="340"/>
      <c r="Q153" s="429"/>
      <c r="R153" s="351">
        <f>+W249</f>
        <v>46</v>
      </c>
      <c r="AA153"/>
      <c r="AB153" s="8" t="s">
        <v>9665</v>
      </c>
      <c r="AC153" s="133">
        <v>9902</v>
      </c>
      <c r="AD153" s="174" t="s">
        <v>228</v>
      </c>
      <c r="AE153" s="60">
        <f t="shared" ref="AE153" si="17">SUM(AG153:EJ153)</f>
        <v>14</v>
      </c>
      <c r="AF153" s="107">
        <f t="shared" ref="AF153" si="18">COUNTA(AG153:EJ153)</f>
        <v>2</v>
      </c>
      <c r="AG153" s="370"/>
      <c r="AH153" s="366"/>
      <c r="AI153" s="294"/>
      <c r="AJ153" s="26"/>
      <c r="AK153" s="374"/>
      <c r="AL153" s="374"/>
      <c r="AO153" s="294"/>
      <c r="AR153" s="376"/>
      <c r="AS153" s="13"/>
      <c r="AY153"/>
      <c r="AZ153" s="374"/>
      <c r="BA153" s="4"/>
      <c r="BD153" s="55"/>
      <c r="BE153" s="13"/>
      <c r="BF153" s="26"/>
      <c r="BG153" s="26"/>
      <c r="BH153" s="26"/>
      <c r="BI153" s="26"/>
      <c r="BJ153" s="26"/>
      <c r="BK153" s="26"/>
      <c r="BL153" s="26"/>
      <c r="BM153" s="26"/>
      <c r="BP153" s="122"/>
      <c r="BQ153" s="24"/>
      <c r="BR153" s="26"/>
      <c r="BS153" s="20"/>
      <c r="BT153" s="26"/>
      <c r="BV153" s="26"/>
      <c r="BW153" s="26"/>
      <c r="BX153" s="229"/>
      <c r="BY153" s="229"/>
      <c r="BZ153" s="269"/>
      <c r="CB153" s="232"/>
      <c r="CC153" s="24"/>
      <c r="CD153" s="26"/>
      <c r="CE153" s="26"/>
      <c r="CF153" s="26"/>
      <c r="CG153" s="26"/>
      <c r="CH153" s="26"/>
      <c r="CI153" s="26"/>
      <c r="CJ153" s="26"/>
      <c r="CK153" s="229"/>
      <c r="CL153" s="269"/>
      <c r="CM153" s="26"/>
      <c r="CN153" s="232"/>
      <c r="CO153" s="252"/>
      <c r="CP153" s="26"/>
      <c r="CQ153" s="26"/>
      <c r="CR153" s="26"/>
      <c r="CS153" s="26"/>
      <c r="CT153" s="26"/>
      <c r="CU153" s="26"/>
      <c r="CV153" s="26"/>
      <c r="CW153" s="229"/>
      <c r="CX153" s="269"/>
      <c r="CY153" s="26"/>
      <c r="CZ153" s="232"/>
      <c r="DA153" s="252"/>
      <c r="DB153" s="26"/>
      <c r="DC153" s="26"/>
      <c r="DD153" s="26"/>
      <c r="DE153" s="26"/>
      <c r="DF153" s="26"/>
      <c r="DG153" s="26"/>
      <c r="DH153" s="26"/>
      <c r="DI153" s="229"/>
      <c r="DJ153" s="269"/>
      <c r="DK153" s="26"/>
      <c r="DL153" s="232"/>
      <c r="DM153" s="252"/>
      <c r="DN153" s="26"/>
      <c r="DO153" s="26"/>
      <c r="DP153" s="26"/>
      <c r="DQ153" s="26"/>
      <c r="DR153" s="26"/>
      <c r="DS153" s="26"/>
      <c r="DT153" s="26"/>
      <c r="DU153" s="229"/>
      <c r="DV153" s="269"/>
      <c r="DW153" s="26"/>
      <c r="DX153" s="232"/>
      <c r="DY153" s="252"/>
      <c r="DZ153" s="26"/>
      <c r="EA153" s="26"/>
      <c r="EB153" s="26"/>
      <c r="EC153" s="26"/>
      <c r="ED153" s="26"/>
      <c r="EE153" s="26"/>
      <c r="EF153" s="26">
        <v>1</v>
      </c>
      <c r="EG153" s="229">
        <v>13</v>
      </c>
      <c r="EH153" s="269"/>
      <c r="EI153" s="26"/>
      <c r="EJ153" s="232"/>
    </row>
    <row r="154" spans="1:140" ht="15" x14ac:dyDescent="0.2">
      <c r="A154" s="19"/>
      <c r="B154" s="47" t="s">
        <v>152</v>
      </c>
      <c r="C154" s="28">
        <v>0</v>
      </c>
      <c r="D154" s="253">
        <v>0</v>
      </c>
      <c r="E154" s="41">
        <v>4</v>
      </c>
      <c r="F154" s="42">
        <f t="shared" si="16"/>
        <v>4</v>
      </c>
      <c r="G154" s="322">
        <v>0</v>
      </c>
      <c r="H154" s="322">
        <v>0</v>
      </c>
      <c r="I154" s="322">
        <v>8</v>
      </c>
      <c r="J154" s="80">
        <v>0</v>
      </c>
      <c r="K154" s="251">
        <v>0</v>
      </c>
      <c r="L154" s="251">
        <v>8</v>
      </c>
      <c r="N154" s="337" t="s">
        <v>58</v>
      </c>
      <c r="O154" s="339"/>
      <c r="P154" s="340"/>
      <c r="Q154" s="429"/>
      <c r="R154" s="351">
        <f>+W219</f>
        <v>37</v>
      </c>
      <c r="AA154"/>
      <c r="AB154" s="8" t="s">
        <v>6198</v>
      </c>
      <c r="AC154" s="136">
        <v>9904</v>
      </c>
      <c r="AD154" s="174" t="s">
        <v>350</v>
      </c>
      <c r="AE154" s="60">
        <f t="shared" si="11"/>
        <v>8</v>
      </c>
      <c r="AF154" s="107">
        <f t="shared" si="12"/>
        <v>6</v>
      </c>
      <c r="AG154" s="370"/>
      <c r="AH154" s="371"/>
      <c r="AI154" s="372"/>
      <c r="AJ154" s="38"/>
      <c r="AK154" s="376"/>
      <c r="AL154" s="376"/>
      <c r="AM154" s="55"/>
      <c r="AN154" s="55"/>
      <c r="AO154" s="372"/>
      <c r="AP154" s="55"/>
      <c r="AQ154" s="55"/>
      <c r="AR154" s="376"/>
      <c r="AS154" s="13"/>
      <c r="AT154" s="55"/>
      <c r="AU154" s="55"/>
      <c r="AV154" s="55"/>
      <c r="AW154" s="55"/>
      <c r="AX154" s="55"/>
      <c r="AY154" s="55"/>
      <c r="AZ154" s="376"/>
      <c r="BA154" s="226"/>
      <c r="BB154" s="55"/>
      <c r="BC154" s="55"/>
      <c r="BD154" s="55"/>
      <c r="BE154" s="13"/>
      <c r="BF154" s="38"/>
      <c r="BG154" s="38"/>
      <c r="BH154" s="38"/>
      <c r="BI154" s="38"/>
      <c r="BJ154" s="38"/>
      <c r="BK154" s="38"/>
      <c r="BL154" s="38"/>
      <c r="BM154" s="38"/>
      <c r="BN154" s="55"/>
      <c r="BO154" s="55"/>
      <c r="BP154" s="122"/>
      <c r="BQ154" s="24"/>
      <c r="BR154" s="38"/>
      <c r="BS154" s="310"/>
      <c r="BT154" s="38"/>
      <c r="BU154" s="38"/>
      <c r="BV154" s="38"/>
      <c r="BW154" s="38"/>
      <c r="BX154" s="228"/>
      <c r="BY154" s="228"/>
      <c r="BZ154" s="268"/>
      <c r="CA154" s="228"/>
      <c r="CB154" s="232"/>
      <c r="CC154" s="24"/>
      <c r="CD154" s="38"/>
      <c r="CE154" s="38"/>
      <c r="CF154" s="38"/>
      <c r="CG154" s="38"/>
      <c r="CH154" s="38"/>
      <c r="CI154" s="38"/>
      <c r="CJ154" s="38">
        <v>1</v>
      </c>
      <c r="CK154" s="228"/>
      <c r="CL154" s="268"/>
      <c r="CM154" s="38"/>
      <c r="CN154" s="232"/>
      <c r="CO154" s="252"/>
      <c r="CP154" s="38"/>
      <c r="CQ154" s="38"/>
      <c r="CR154" s="38"/>
      <c r="CS154" s="38"/>
      <c r="CT154" s="38"/>
      <c r="CU154" s="38"/>
      <c r="CV154" s="38"/>
      <c r="CW154" s="228"/>
      <c r="CX154" s="268"/>
      <c r="CY154" s="38">
        <v>3</v>
      </c>
      <c r="CZ154" s="232"/>
      <c r="DA154" s="252"/>
      <c r="DB154" s="38"/>
      <c r="DC154" s="38"/>
      <c r="DD154" s="38"/>
      <c r="DE154" s="38"/>
      <c r="DF154" s="38"/>
      <c r="DG154" s="38">
        <v>1</v>
      </c>
      <c r="DH154" s="38">
        <v>1</v>
      </c>
      <c r="DI154" s="228"/>
      <c r="DJ154" s="268">
        <v>1</v>
      </c>
      <c r="DK154" s="38"/>
      <c r="DL154" s="232"/>
      <c r="DM154" s="252"/>
      <c r="DN154" s="38"/>
      <c r="DO154" s="38"/>
      <c r="DP154" s="38"/>
      <c r="DQ154" s="38"/>
      <c r="DR154" s="38"/>
      <c r="DS154" s="38"/>
      <c r="DT154" s="38"/>
      <c r="DU154" s="228"/>
      <c r="DV154" s="268"/>
      <c r="DW154" s="38"/>
      <c r="DX154" s="232">
        <v>1</v>
      </c>
      <c r="DY154" s="252"/>
      <c r="DZ154" s="38"/>
      <c r="EA154" s="38"/>
      <c r="EB154" s="38"/>
      <c r="EC154" s="38"/>
      <c r="ED154" s="38"/>
      <c r="EE154" s="38"/>
      <c r="EF154" s="38"/>
      <c r="EG154" s="228"/>
      <c r="EH154" s="268"/>
      <c r="EI154" s="38"/>
      <c r="EJ154" s="232"/>
    </row>
    <row r="155" spans="1:140" ht="15" x14ac:dyDescent="0.2">
      <c r="A155" s="298" t="s">
        <v>4594</v>
      </c>
      <c r="B155" s="35" t="s">
        <v>1831</v>
      </c>
      <c r="C155" s="59">
        <v>0</v>
      </c>
      <c r="D155" s="249">
        <v>0</v>
      </c>
      <c r="E155" s="30">
        <v>0</v>
      </c>
      <c r="F155" s="31">
        <f t="shared" si="16"/>
        <v>0</v>
      </c>
      <c r="G155" s="321">
        <v>1</v>
      </c>
      <c r="H155" s="321">
        <v>9.5470000000000006</v>
      </c>
      <c r="I155" s="321">
        <v>1</v>
      </c>
      <c r="J155" s="145">
        <v>0</v>
      </c>
      <c r="K155" s="249">
        <v>9.5470000000000006</v>
      </c>
      <c r="L155" s="249">
        <v>2</v>
      </c>
      <c r="N155" s="342" t="s">
        <v>1038</v>
      </c>
      <c r="O155" s="343"/>
      <c r="P155" s="344"/>
      <c r="Q155" s="430"/>
      <c r="R155" s="352">
        <f>+W287</f>
        <v>32</v>
      </c>
      <c r="AA155"/>
      <c r="AB155" s="8" t="s">
        <v>5555</v>
      </c>
      <c r="AC155" s="136">
        <v>9948</v>
      </c>
      <c r="AD155" s="174" t="s">
        <v>1059</v>
      </c>
      <c r="AE155" s="60">
        <f t="shared" si="11"/>
        <v>20</v>
      </c>
      <c r="AF155" s="107">
        <f t="shared" si="12"/>
        <v>4</v>
      </c>
      <c r="AG155" s="370"/>
      <c r="AH155" s="371"/>
      <c r="AI155" s="372"/>
      <c r="AJ155" s="38"/>
      <c r="AK155" s="376"/>
      <c r="AL155" s="376"/>
      <c r="AM155" s="55"/>
      <c r="AN155" s="55"/>
      <c r="AO155" s="372"/>
      <c r="AP155" s="55"/>
      <c r="AQ155" s="55"/>
      <c r="AR155" s="376"/>
      <c r="AS155" s="13"/>
      <c r="AT155" s="55"/>
      <c r="AU155" s="55"/>
      <c r="AV155" s="55"/>
      <c r="AW155" s="55"/>
      <c r="AX155" s="55"/>
      <c r="AY155" s="55"/>
      <c r="AZ155" s="376"/>
      <c r="BA155" s="226"/>
      <c r="BB155" s="55"/>
      <c r="BC155" s="55"/>
      <c r="BD155" s="55"/>
      <c r="BE155" s="13"/>
      <c r="BF155" s="38"/>
      <c r="BG155" s="38"/>
      <c r="BH155" s="38"/>
      <c r="BI155" s="38"/>
      <c r="BJ155" s="38"/>
      <c r="BK155" s="38"/>
      <c r="BL155" s="38"/>
      <c r="BM155" s="38"/>
      <c r="BN155" s="55"/>
      <c r="BO155" s="55"/>
      <c r="BP155" s="104"/>
      <c r="BQ155" s="24"/>
      <c r="BR155" s="38"/>
      <c r="BS155" s="310"/>
      <c r="BT155" s="38"/>
      <c r="BU155" s="38"/>
      <c r="BV155" s="38"/>
      <c r="BW155" s="38"/>
      <c r="BX155" s="228"/>
      <c r="BY155" s="228"/>
      <c r="BZ155" s="268"/>
      <c r="CA155" s="228"/>
      <c r="CB155" s="232"/>
      <c r="CC155" s="24"/>
      <c r="CD155" s="38"/>
      <c r="CE155" s="38"/>
      <c r="CF155" s="38"/>
      <c r="CG155" s="38"/>
      <c r="CH155" s="38"/>
      <c r="CI155" s="38"/>
      <c r="CJ155" s="38"/>
      <c r="CK155" s="228"/>
      <c r="CL155" s="268"/>
      <c r="CM155" s="38"/>
      <c r="CN155" s="232"/>
      <c r="CO155" s="252"/>
      <c r="CP155" s="38"/>
      <c r="CQ155" s="38"/>
      <c r="CR155" s="38"/>
      <c r="CS155" s="38"/>
      <c r="CT155" s="38"/>
      <c r="CU155" s="38"/>
      <c r="CV155" s="38"/>
      <c r="CW155" s="228"/>
      <c r="CX155" s="268"/>
      <c r="CY155" s="38"/>
      <c r="CZ155" s="232"/>
      <c r="DA155" s="252"/>
      <c r="DB155" s="38"/>
      <c r="DC155" s="38"/>
      <c r="DD155" s="38"/>
      <c r="DE155" s="38"/>
      <c r="DF155" s="38"/>
      <c r="DG155" s="38"/>
      <c r="DH155" s="38"/>
      <c r="DI155" s="228"/>
      <c r="DJ155" s="268"/>
      <c r="DK155" s="38"/>
      <c r="DL155" s="232"/>
      <c r="DM155" s="252"/>
      <c r="DN155" s="38"/>
      <c r="DO155" s="38"/>
      <c r="DP155" s="38"/>
      <c r="DQ155" s="38">
        <v>1</v>
      </c>
      <c r="DR155" s="38"/>
      <c r="DS155" s="38">
        <v>1</v>
      </c>
      <c r="DT155" s="38"/>
      <c r="DU155" s="228"/>
      <c r="DV155" s="268">
        <v>9</v>
      </c>
      <c r="DW155" s="38">
        <v>9</v>
      </c>
      <c r="DX155" s="232"/>
      <c r="DY155" s="252"/>
      <c r="DZ155" s="38"/>
      <c r="EA155" s="38"/>
      <c r="EB155" s="38"/>
      <c r="EC155" s="38"/>
      <c r="ED155" s="38"/>
      <c r="EE155" s="38"/>
      <c r="EF155" s="38"/>
      <c r="EG155" s="228"/>
      <c r="EH155" s="268"/>
      <c r="EI155" s="38"/>
      <c r="EJ155" s="232"/>
    </row>
    <row r="156" spans="1:140" x14ac:dyDescent="0.2">
      <c r="A156" s="299"/>
      <c r="B156" s="302" t="s">
        <v>5939</v>
      </c>
      <c r="C156" s="22">
        <v>0</v>
      </c>
      <c r="D156" s="248">
        <v>0</v>
      </c>
      <c r="E156" s="24">
        <v>1</v>
      </c>
      <c r="F156" s="25">
        <f t="shared" si="16"/>
        <v>1</v>
      </c>
      <c r="G156" s="144">
        <v>0</v>
      </c>
      <c r="H156" s="144">
        <v>0</v>
      </c>
      <c r="I156" s="144">
        <v>1</v>
      </c>
      <c r="J156" s="146">
        <v>0</v>
      </c>
      <c r="K156" s="248">
        <v>31.209</v>
      </c>
      <c r="L156" s="248">
        <v>2</v>
      </c>
      <c r="AA156"/>
      <c r="AB156" s="8" t="s">
        <v>1980</v>
      </c>
      <c r="AC156" s="136">
        <v>9956</v>
      </c>
      <c r="AD156" s="174" t="s">
        <v>245</v>
      </c>
      <c r="AE156" s="60">
        <f t="shared" si="11"/>
        <v>11</v>
      </c>
      <c r="AF156" s="107">
        <f t="shared" si="12"/>
        <v>4</v>
      </c>
      <c r="AG156" s="370"/>
      <c r="AH156" s="371"/>
      <c r="AI156" s="372"/>
      <c r="AJ156" s="38"/>
      <c r="AK156" s="376"/>
      <c r="AL156" s="376"/>
      <c r="AM156" s="55"/>
      <c r="AN156" s="55"/>
      <c r="AO156" s="372"/>
      <c r="AP156" s="55"/>
      <c r="AQ156" s="55"/>
      <c r="AR156" s="376"/>
      <c r="AS156" s="13"/>
      <c r="AT156" s="55"/>
      <c r="AU156" s="55"/>
      <c r="AV156" s="55"/>
      <c r="AW156" s="55"/>
      <c r="AX156" s="55"/>
      <c r="AY156" s="55"/>
      <c r="AZ156" s="376"/>
      <c r="BA156" s="226"/>
      <c r="BB156" s="55"/>
      <c r="BC156" s="55"/>
      <c r="BD156" s="55"/>
      <c r="BE156" s="13"/>
      <c r="BF156" s="38"/>
      <c r="BG156" s="38"/>
      <c r="BH156" s="38"/>
      <c r="BI156" s="38"/>
      <c r="BJ156" s="38"/>
      <c r="BK156" s="38"/>
      <c r="BL156" s="38"/>
      <c r="BM156" s="38"/>
      <c r="BN156" s="55"/>
      <c r="BO156" s="55"/>
      <c r="BP156" s="104"/>
      <c r="BQ156" s="24"/>
      <c r="BR156" s="38"/>
      <c r="BS156" s="310"/>
      <c r="BT156" s="38"/>
      <c r="BU156" s="38"/>
      <c r="BV156" s="38"/>
      <c r="BW156" s="38"/>
      <c r="BX156" s="228"/>
      <c r="BY156" s="228"/>
      <c r="BZ156" s="268"/>
      <c r="CA156" s="228"/>
      <c r="CB156" s="232"/>
      <c r="CC156" s="24"/>
      <c r="CD156" s="38"/>
      <c r="CE156" s="38"/>
      <c r="CF156" s="38"/>
      <c r="CG156" s="38"/>
      <c r="CH156" s="38"/>
      <c r="CI156" s="38"/>
      <c r="CJ156" s="38"/>
      <c r="CK156" s="228"/>
      <c r="CL156" s="268"/>
      <c r="CM156" s="38"/>
      <c r="CN156" s="232"/>
      <c r="CO156" s="252"/>
      <c r="CP156" s="38"/>
      <c r="CQ156" s="38">
        <v>1</v>
      </c>
      <c r="CR156" s="38">
        <v>2</v>
      </c>
      <c r="CS156" s="38"/>
      <c r="CT156" s="38"/>
      <c r="CU156" s="38"/>
      <c r="CV156" s="38"/>
      <c r="CW156" s="228"/>
      <c r="CX156" s="268"/>
      <c r="CY156" s="38"/>
      <c r="CZ156" s="232"/>
      <c r="DA156" s="252"/>
      <c r="DB156" s="38"/>
      <c r="DC156" s="38"/>
      <c r="DD156" s="38"/>
      <c r="DE156" s="38"/>
      <c r="DF156" s="38"/>
      <c r="DG156" s="38"/>
      <c r="DH156" s="38"/>
      <c r="DI156" s="228"/>
      <c r="DJ156" s="268"/>
      <c r="DK156" s="38">
        <v>4</v>
      </c>
      <c r="DL156" s="232"/>
      <c r="DM156" s="252"/>
      <c r="DN156" s="38"/>
      <c r="DO156" s="38"/>
      <c r="DP156" s="38"/>
      <c r="DQ156" s="38">
        <v>4</v>
      </c>
      <c r="DR156" s="38"/>
      <c r="DS156" s="38"/>
      <c r="DT156" s="38"/>
      <c r="DU156" s="228"/>
      <c r="DV156" s="268"/>
      <c r="DW156" s="38"/>
      <c r="DX156" s="232"/>
      <c r="DY156" s="252"/>
      <c r="DZ156" s="38"/>
      <c r="EA156" s="38"/>
      <c r="EB156" s="38"/>
      <c r="EC156" s="38"/>
      <c r="ED156" s="38"/>
      <c r="EE156" s="38"/>
      <c r="EF156" s="38"/>
      <c r="EG156" s="228"/>
      <c r="EH156" s="268"/>
      <c r="EI156" s="38"/>
      <c r="EJ156" s="232"/>
    </row>
    <row r="157" spans="1:140" x14ac:dyDescent="0.2">
      <c r="A157" s="300" t="s">
        <v>1832</v>
      </c>
      <c r="B157" s="11" t="s">
        <v>1835</v>
      </c>
      <c r="C157" s="22">
        <v>1</v>
      </c>
      <c r="D157" s="248">
        <v>0</v>
      </c>
      <c r="E157" s="24">
        <v>0</v>
      </c>
      <c r="F157" s="25">
        <f t="shared" si="16"/>
        <v>1</v>
      </c>
      <c r="G157" s="144">
        <v>0</v>
      </c>
      <c r="H157" s="144">
        <v>0</v>
      </c>
      <c r="I157" s="144">
        <v>1</v>
      </c>
      <c r="J157" s="146">
        <v>40</v>
      </c>
      <c r="K157" s="248">
        <v>264462.80699999997</v>
      </c>
      <c r="L157" s="248">
        <v>5</v>
      </c>
      <c r="AA157"/>
      <c r="AB157" s="8" t="s">
        <v>5817</v>
      </c>
      <c r="AC157" s="136">
        <v>9981</v>
      </c>
      <c r="AD157" s="174" t="s">
        <v>1387</v>
      </c>
      <c r="AE157" s="60">
        <f t="shared" si="11"/>
        <v>2</v>
      </c>
      <c r="AF157" s="107">
        <f t="shared" si="12"/>
        <v>2</v>
      </c>
      <c r="AG157" s="370"/>
      <c r="AH157" s="371"/>
      <c r="AI157" s="372"/>
      <c r="AJ157" s="38"/>
      <c r="AK157" s="376"/>
      <c r="AL157" s="376"/>
      <c r="AM157" s="55"/>
      <c r="AN157" s="55"/>
      <c r="AO157" s="372"/>
      <c r="AP157" s="55"/>
      <c r="AQ157" s="55"/>
      <c r="AR157" s="376"/>
      <c r="AS157" s="13"/>
      <c r="AT157" s="55"/>
      <c r="AU157" s="55"/>
      <c r="AV157" s="55"/>
      <c r="AW157" s="55"/>
      <c r="AX157" s="55"/>
      <c r="AY157" s="55"/>
      <c r="AZ157" s="376"/>
      <c r="BA157" s="226"/>
      <c r="BB157" s="55"/>
      <c r="BC157" s="55"/>
      <c r="BD157" s="55"/>
      <c r="BE157" s="13"/>
      <c r="BF157" s="38"/>
      <c r="BG157" s="38"/>
      <c r="BH157" s="38"/>
      <c r="BI157" s="38"/>
      <c r="BJ157" s="38"/>
      <c r="BK157" s="38"/>
      <c r="BL157" s="38"/>
      <c r="BM157" s="38"/>
      <c r="BN157" s="55"/>
      <c r="BO157" s="55"/>
      <c r="BP157" s="104"/>
      <c r="BQ157" s="24"/>
      <c r="BR157" s="38"/>
      <c r="BS157" s="310"/>
      <c r="BT157" s="38"/>
      <c r="BU157" s="38"/>
      <c r="BV157" s="38"/>
      <c r="BW157" s="38"/>
      <c r="BX157" s="228"/>
      <c r="BY157" s="228"/>
      <c r="BZ157" s="268"/>
      <c r="CA157" s="228"/>
      <c r="CB157" s="232"/>
      <c r="CC157" s="24"/>
      <c r="CD157" s="38"/>
      <c r="CE157" s="38"/>
      <c r="CF157" s="38"/>
      <c r="CG157" s="38"/>
      <c r="CH157" s="38"/>
      <c r="CI157" s="38"/>
      <c r="CJ157" s="38"/>
      <c r="CK157" s="228"/>
      <c r="CL157" s="268"/>
      <c r="CM157" s="38"/>
      <c r="CN157" s="232"/>
      <c r="CO157" s="252"/>
      <c r="CP157" s="38"/>
      <c r="CQ157" s="38"/>
      <c r="CR157" s="38"/>
      <c r="CS157" s="38"/>
      <c r="CT157" s="38"/>
      <c r="CU157" s="38"/>
      <c r="CV157" s="38"/>
      <c r="CW157" s="228"/>
      <c r="CX157" s="268"/>
      <c r="CY157" s="38"/>
      <c r="CZ157" s="232"/>
      <c r="DA157" s="252"/>
      <c r="DB157" s="38"/>
      <c r="DC157" s="38"/>
      <c r="DD157" s="38"/>
      <c r="DE157" s="38"/>
      <c r="DF157" s="38"/>
      <c r="DG157" s="38">
        <v>1</v>
      </c>
      <c r="DH157" s="38">
        <v>1</v>
      </c>
      <c r="DI157" s="228"/>
      <c r="DJ157" s="268"/>
      <c r="DK157" s="38"/>
      <c r="DL157" s="232"/>
      <c r="DM157" s="252"/>
      <c r="DN157" s="38"/>
      <c r="DO157" s="38"/>
      <c r="DP157" s="38"/>
      <c r="DQ157" s="38"/>
      <c r="DR157" s="38"/>
      <c r="DS157" s="38"/>
      <c r="DT157" s="38"/>
      <c r="DU157" s="228"/>
      <c r="DV157" s="268"/>
      <c r="DW157" s="38"/>
      <c r="DX157" s="232"/>
      <c r="DY157" s="252"/>
      <c r="DZ157" s="38"/>
      <c r="EA157" s="38"/>
      <c r="EB157" s="38"/>
      <c r="EC157" s="38"/>
      <c r="ED157" s="38"/>
      <c r="EE157" s="38"/>
      <c r="EF157" s="38"/>
      <c r="EG157" s="228"/>
      <c r="EH157" s="268"/>
      <c r="EI157" s="38"/>
      <c r="EJ157" s="232"/>
    </row>
    <row r="158" spans="1:140" x14ac:dyDescent="0.2">
      <c r="A158" s="605">
        <f>SUM(F155:F159)</f>
        <v>2</v>
      </c>
      <c r="B158" s="302" t="s">
        <v>1834</v>
      </c>
      <c r="C158" s="22">
        <v>0</v>
      </c>
      <c r="D158" s="248">
        <v>0</v>
      </c>
      <c r="E158" s="24">
        <v>0</v>
      </c>
      <c r="F158" s="25">
        <f t="shared" si="16"/>
        <v>0</v>
      </c>
      <c r="G158" s="144">
        <v>0</v>
      </c>
      <c r="H158" s="144">
        <v>0</v>
      </c>
      <c r="I158" s="144">
        <v>0</v>
      </c>
      <c r="J158" s="146">
        <v>0</v>
      </c>
      <c r="K158" s="248">
        <v>82918.652300000016</v>
      </c>
      <c r="L158" s="248">
        <v>98</v>
      </c>
      <c r="AA158"/>
      <c r="AB158" s="13" t="s">
        <v>1133</v>
      </c>
      <c r="AC158" s="136">
        <v>10014</v>
      </c>
      <c r="AD158" s="174" t="s">
        <v>107</v>
      </c>
      <c r="AE158" s="60">
        <f t="shared" si="11"/>
        <v>2</v>
      </c>
      <c r="AF158" s="107">
        <f t="shared" si="12"/>
        <v>1</v>
      </c>
      <c r="AG158" s="370"/>
      <c r="AH158" s="371"/>
      <c r="AI158" s="372"/>
      <c r="AJ158" s="38"/>
      <c r="AK158" s="376"/>
      <c r="AL158" s="376"/>
      <c r="AM158" s="55"/>
      <c r="AN158" s="55"/>
      <c r="AO158" s="372"/>
      <c r="AP158" s="55"/>
      <c r="AQ158" s="55"/>
      <c r="AR158" s="376"/>
      <c r="AS158" s="13"/>
      <c r="AT158" s="55"/>
      <c r="AU158" s="55"/>
      <c r="AV158" s="55"/>
      <c r="AW158" s="55"/>
      <c r="AX158" s="55"/>
      <c r="AY158" s="55"/>
      <c r="AZ158" s="376"/>
      <c r="BA158" s="226"/>
      <c r="BB158" s="55"/>
      <c r="BC158" s="55"/>
      <c r="BD158" s="55"/>
      <c r="BE158" s="13"/>
      <c r="BF158" s="38"/>
      <c r="BG158" s="38"/>
      <c r="BH158" s="38"/>
      <c r="BI158" s="38"/>
      <c r="BJ158" s="38"/>
      <c r="BK158" s="38"/>
      <c r="BL158" s="38"/>
      <c r="BM158" s="38"/>
      <c r="BN158" s="55"/>
      <c r="BO158" s="55"/>
      <c r="BP158" s="104"/>
      <c r="BQ158" s="24"/>
      <c r="BR158" s="38"/>
      <c r="BS158" s="310"/>
      <c r="BT158" s="38"/>
      <c r="BU158" s="38"/>
      <c r="BV158" s="38"/>
      <c r="BW158" s="38"/>
      <c r="BX158" s="228"/>
      <c r="BY158" s="228"/>
      <c r="BZ158" s="268"/>
      <c r="CA158" s="228"/>
      <c r="CB158" s="232"/>
      <c r="CC158" s="24"/>
      <c r="CD158" s="38"/>
      <c r="CE158" s="38"/>
      <c r="CF158" s="38"/>
      <c r="CG158" s="38"/>
      <c r="CH158" s="38"/>
      <c r="CI158" s="38"/>
      <c r="CJ158" s="38"/>
      <c r="CK158" s="228"/>
      <c r="CL158" s="268"/>
      <c r="CM158" s="38"/>
      <c r="CN158" s="232"/>
      <c r="CO158" s="252"/>
      <c r="CP158" s="38"/>
      <c r="CQ158" s="38"/>
      <c r="CR158" s="38"/>
      <c r="CS158" s="38"/>
      <c r="CT158" s="38"/>
      <c r="CU158" s="38"/>
      <c r="CV158" s="38"/>
      <c r="CW158" s="228"/>
      <c r="CX158" s="268"/>
      <c r="CY158" s="38"/>
      <c r="CZ158" s="232"/>
      <c r="DA158" s="252"/>
      <c r="DB158" s="38"/>
      <c r="DC158" s="38"/>
      <c r="DD158" s="38"/>
      <c r="DE158" s="38"/>
      <c r="DF158" s="38">
        <v>2</v>
      </c>
      <c r="DG158" s="38"/>
      <c r="DH158" s="38"/>
      <c r="DI158" s="228"/>
      <c r="DJ158" s="268"/>
      <c r="DK158" s="38"/>
      <c r="DL158" s="232"/>
      <c r="DM158" s="252"/>
      <c r="DN158" s="38"/>
      <c r="DO158" s="38"/>
      <c r="DP158" s="38"/>
      <c r="DQ158" s="38"/>
      <c r="DR158" s="38"/>
      <c r="DS158" s="38"/>
      <c r="DT158" s="38"/>
      <c r="DU158" s="228"/>
      <c r="DV158" s="268"/>
      <c r="DW158" s="38"/>
      <c r="DX158" s="232"/>
      <c r="DY158" s="252"/>
      <c r="DZ158" s="38"/>
      <c r="EA158" s="38"/>
      <c r="EB158" s="38"/>
      <c r="EC158" s="38"/>
      <c r="ED158" s="38"/>
      <c r="EE158" s="38"/>
      <c r="EF158" s="38"/>
      <c r="EG158" s="228"/>
      <c r="EH158" s="268"/>
      <c r="EI158" s="38"/>
      <c r="EJ158" s="232"/>
    </row>
    <row r="159" spans="1:140" x14ac:dyDescent="0.2">
      <c r="A159" s="301"/>
      <c r="B159" s="40" t="s">
        <v>8400</v>
      </c>
      <c r="C159" s="63">
        <v>0</v>
      </c>
      <c r="D159" s="251">
        <v>0</v>
      </c>
      <c r="E159" s="41">
        <v>0</v>
      </c>
      <c r="F159" s="42">
        <f t="shared" si="16"/>
        <v>0</v>
      </c>
      <c r="G159" s="322">
        <v>0</v>
      </c>
      <c r="H159" s="322">
        <v>0</v>
      </c>
      <c r="I159" s="322">
        <v>0</v>
      </c>
      <c r="J159" s="147">
        <v>0</v>
      </c>
      <c r="K159" s="251">
        <v>2148.8049999999998</v>
      </c>
      <c r="L159" s="251">
        <v>3</v>
      </c>
      <c r="AA159"/>
      <c r="AB159" s="13" t="s">
        <v>5916</v>
      </c>
      <c r="AC159" s="136">
        <v>10053</v>
      </c>
      <c r="AD159" s="174" t="s">
        <v>983</v>
      </c>
      <c r="AE159" s="60">
        <f t="shared" si="11"/>
        <v>1</v>
      </c>
      <c r="AF159" s="107">
        <f t="shared" si="12"/>
        <v>1</v>
      </c>
      <c r="AG159" s="370"/>
      <c r="AH159" s="371"/>
      <c r="AI159" s="372"/>
      <c r="AJ159" s="38"/>
      <c r="AK159" s="376"/>
      <c r="AL159" s="376"/>
      <c r="AM159" s="55"/>
      <c r="AN159" s="55"/>
      <c r="AO159" s="372"/>
      <c r="AP159" s="55"/>
      <c r="AQ159" s="55"/>
      <c r="AR159" s="376"/>
      <c r="AS159" s="13"/>
      <c r="AT159" s="55"/>
      <c r="AU159" s="55"/>
      <c r="AV159" s="55"/>
      <c r="AW159" s="55"/>
      <c r="AX159" s="55"/>
      <c r="AY159" s="55"/>
      <c r="AZ159" s="376"/>
      <c r="BA159" s="226"/>
      <c r="BB159" s="55"/>
      <c r="BC159" s="55"/>
      <c r="BD159" s="55"/>
      <c r="BE159" s="13"/>
      <c r="BF159" s="38"/>
      <c r="BG159" s="38"/>
      <c r="BH159" s="38"/>
      <c r="BI159" s="38"/>
      <c r="BJ159" s="38"/>
      <c r="BK159" s="38"/>
      <c r="BL159" s="38"/>
      <c r="BM159" s="38"/>
      <c r="BN159" s="55"/>
      <c r="BO159" s="55"/>
      <c r="BP159" s="104"/>
      <c r="BQ159" s="24"/>
      <c r="BR159" s="38"/>
      <c r="BS159" s="310"/>
      <c r="BT159" s="38"/>
      <c r="BU159" s="38"/>
      <c r="BV159" s="38"/>
      <c r="BW159" s="38"/>
      <c r="BX159" s="228"/>
      <c r="BY159" s="228"/>
      <c r="BZ159" s="268"/>
      <c r="CA159" s="228"/>
      <c r="CB159" s="232"/>
      <c r="CC159" s="24"/>
      <c r="CD159" s="38"/>
      <c r="CE159" s="38"/>
      <c r="CF159" s="38"/>
      <c r="CG159" s="38"/>
      <c r="CH159" s="38"/>
      <c r="CI159" s="38"/>
      <c r="CJ159" s="38"/>
      <c r="CK159" s="228"/>
      <c r="CL159" s="268"/>
      <c r="CM159" s="38"/>
      <c r="CN159" s="232"/>
      <c r="CO159" s="252"/>
      <c r="CP159" s="38"/>
      <c r="CQ159" s="38"/>
      <c r="CR159" s="38"/>
      <c r="CS159" s="38"/>
      <c r="CT159" s="38"/>
      <c r="CU159" s="38"/>
      <c r="CV159" s="38"/>
      <c r="CW159" s="228"/>
      <c r="CX159" s="268"/>
      <c r="CY159" s="38"/>
      <c r="CZ159" s="232"/>
      <c r="DA159" s="252"/>
      <c r="DB159" s="38"/>
      <c r="DC159" s="38"/>
      <c r="DD159" s="38"/>
      <c r="DE159" s="38"/>
      <c r="DF159" s="38">
        <v>1</v>
      </c>
      <c r="DG159" s="38"/>
      <c r="DH159" s="38"/>
      <c r="DI159" s="228"/>
      <c r="DJ159" s="268"/>
      <c r="DK159" s="38"/>
      <c r="DL159" s="232"/>
      <c r="DM159" s="252"/>
      <c r="DN159" s="38"/>
      <c r="DO159" s="38"/>
      <c r="DP159" s="38"/>
      <c r="DQ159" s="38"/>
      <c r="DR159" s="38"/>
      <c r="DS159" s="38"/>
      <c r="DT159" s="38"/>
      <c r="DU159" s="228"/>
      <c r="DV159" s="268"/>
      <c r="DW159" s="38"/>
      <c r="DX159" s="232"/>
      <c r="DY159" s="252"/>
      <c r="DZ159" s="38"/>
      <c r="EA159" s="38"/>
      <c r="EB159" s="38"/>
      <c r="EC159" s="38"/>
      <c r="ED159" s="38"/>
      <c r="EE159" s="38"/>
      <c r="EF159" s="38"/>
      <c r="EG159" s="228"/>
      <c r="EH159" s="268"/>
      <c r="EI159" s="38"/>
      <c r="EJ159" s="232"/>
    </row>
    <row r="160" spans="1:140" x14ac:dyDescent="0.2">
      <c r="A160" s="17" t="s">
        <v>1310</v>
      </c>
      <c r="B160" s="37" t="s">
        <v>1311</v>
      </c>
      <c r="C160" s="58">
        <v>0</v>
      </c>
      <c r="D160" s="249">
        <v>0</v>
      </c>
      <c r="E160" s="58">
        <v>0</v>
      </c>
      <c r="F160" s="25">
        <f t="shared" si="16"/>
        <v>0</v>
      </c>
      <c r="G160" s="144">
        <v>0</v>
      </c>
      <c r="H160" s="144">
        <v>0</v>
      </c>
      <c r="I160" s="144">
        <v>0</v>
      </c>
      <c r="J160" s="36">
        <v>0</v>
      </c>
      <c r="K160" s="249">
        <v>104.96600000000001</v>
      </c>
      <c r="L160" s="249">
        <v>6</v>
      </c>
      <c r="Y160" s="423" t="s">
        <v>1360</v>
      </c>
      <c r="Z160" s="422" t="s">
        <v>7922</v>
      </c>
      <c r="AA160"/>
      <c r="AB160" s="13" t="s">
        <v>6045</v>
      </c>
      <c r="AC160" s="136">
        <v>10096</v>
      </c>
      <c r="AD160" s="174" t="s">
        <v>67</v>
      </c>
      <c r="AE160" s="60">
        <f t="shared" ref="AE160" si="19">SUM(AG160:EJ160)</f>
        <v>3</v>
      </c>
      <c r="AF160" s="107">
        <f t="shared" ref="AF160" si="20">COUNTA(AG160:EJ160)</f>
        <v>1</v>
      </c>
      <c r="AG160" s="370"/>
      <c r="AH160" s="371"/>
      <c r="AI160" s="372"/>
      <c r="AJ160" s="38"/>
      <c r="AK160" s="376"/>
      <c r="AL160" s="376"/>
      <c r="AM160" s="55"/>
      <c r="AN160" s="55"/>
      <c r="AO160" s="372"/>
      <c r="AP160" s="55"/>
      <c r="AQ160" s="55"/>
      <c r="AR160" s="376"/>
      <c r="AS160" s="13"/>
      <c r="AT160" s="55"/>
      <c r="AU160" s="55"/>
      <c r="AV160" s="55"/>
      <c r="AW160" s="55"/>
      <c r="AX160" s="55"/>
      <c r="AY160" s="55"/>
      <c r="AZ160" s="376"/>
      <c r="BA160" s="226"/>
      <c r="BB160" s="55"/>
      <c r="BC160" s="55"/>
      <c r="BD160" s="55"/>
      <c r="BE160" s="13"/>
      <c r="BF160" s="38"/>
      <c r="BG160" s="38"/>
      <c r="BH160" s="38"/>
      <c r="BI160" s="38"/>
      <c r="BJ160" s="38"/>
      <c r="BK160" s="38"/>
      <c r="BL160" s="38"/>
      <c r="BM160" s="38"/>
      <c r="BN160" s="55"/>
      <c r="BO160" s="55"/>
      <c r="BP160" s="104"/>
      <c r="BQ160" s="24"/>
      <c r="BR160" s="38"/>
      <c r="BS160" s="310"/>
      <c r="BT160" s="38"/>
      <c r="BU160" s="38"/>
      <c r="BV160" s="38"/>
      <c r="BW160" s="38"/>
      <c r="BX160" s="228"/>
      <c r="BY160" s="228"/>
      <c r="BZ160" s="268"/>
      <c r="CA160" s="228"/>
      <c r="CB160" s="232"/>
      <c r="CC160" s="24"/>
      <c r="CD160" s="38"/>
      <c r="CE160" s="38"/>
      <c r="CF160" s="38"/>
      <c r="CG160" s="38"/>
      <c r="CH160" s="38"/>
      <c r="CI160" s="38"/>
      <c r="CJ160" s="38"/>
      <c r="CK160" s="228"/>
      <c r="CL160" s="268"/>
      <c r="CM160" s="38"/>
      <c r="CN160" s="232"/>
      <c r="CO160" s="252"/>
      <c r="CP160" s="38"/>
      <c r="CQ160" s="38"/>
      <c r="CR160" s="38"/>
      <c r="CS160" s="38"/>
      <c r="CT160" s="38"/>
      <c r="CU160" s="38"/>
      <c r="CV160" s="38"/>
      <c r="CW160" s="228"/>
      <c r="CX160" s="268"/>
      <c r="CY160" s="38"/>
      <c r="CZ160" s="232"/>
      <c r="DA160" s="252"/>
      <c r="DB160" s="38"/>
      <c r="DC160" s="38"/>
      <c r="DD160" s="38"/>
      <c r="DE160" s="38"/>
      <c r="DF160" s="38"/>
      <c r="DG160" s="38"/>
      <c r="DH160" s="38"/>
      <c r="DI160" s="228"/>
      <c r="DJ160" s="268"/>
      <c r="DK160" s="38"/>
      <c r="DL160" s="232"/>
      <c r="DM160" s="252"/>
      <c r="DN160" s="38"/>
      <c r="DO160" s="38"/>
      <c r="DP160" s="38"/>
      <c r="DQ160" s="38"/>
      <c r="DR160" s="38"/>
      <c r="DS160" s="38"/>
      <c r="DT160" s="38"/>
      <c r="DU160" s="228"/>
      <c r="DV160" s="268"/>
      <c r="DW160" s="38"/>
      <c r="DX160" s="232"/>
      <c r="DY160" s="252"/>
      <c r="DZ160" s="38"/>
      <c r="EA160" s="38"/>
      <c r="EB160" s="38"/>
      <c r="EC160" s="38"/>
      <c r="ED160" s="38">
        <v>3</v>
      </c>
      <c r="EE160" s="38"/>
      <c r="EF160" s="38"/>
      <c r="EG160" s="228"/>
      <c r="EH160" s="268"/>
      <c r="EI160" s="38"/>
      <c r="EJ160" s="232"/>
    </row>
    <row r="161" spans="1:140" x14ac:dyDescent="0.2">
      <c r="A161" s="19" t="s">
        <v>1204</v>
      </c>
      <c r="B161" s="11" t="s">
        <v>1312</v>
      </c>
      <c r="C161" s="38">
        <v>0</v>
      </c>
      <c r="D161" s="248">
        <v>0</v>
      </c>
      <c r="E161" s="38">
        <v>0</v>
      </c>
      <c r="F161" s="25">
        <f t="shared" si="16"/>
        <v>0</v>
      </c>
      <c r="G161" s="144">
        <v>0</v>
      </c>
      <c r="H161" s="144">
        <v>0</v>
      </c>
      <c r="I161" s="144">
        <v>0</v>
      </c>
      <c r="J161" s="34">
        <v>0</v>
      </c>
      <c r="K161" s="248">
        <v>7835.4270000000006</v>
      </c>
      <c r="L161" s="248">
        <v>9</v>
      </c>
      <c r="Y161" s="516" t="s">
        <v>1153</v>
      </c>
      <c r="Z161" s="514" t="s">
        <v>7907</v>
      </c>
      <c r="AA161"/>
      <c r="AB161" s="13" t="s">
        <v>5467</v>
      </c>
      <c r="AC161" s="136">
        <v>10124</v>
      </c>
      <c r="AD161" s="174" t="s">
        <v>523</v>
      </c>
      <c r="AE161" s="60">
        <f t="shared" si="11"/>
        <v>1</v>
      </c>
      <c r="AF161" s="107">
        <f t="shared" si="12"/>
        <v>1</v>
      </c>
      <c r="AG161" s="370"/>
      <c r="AH161" s="371"/>
      <c r="AI161" s="372"/>
      <c r="AJ161" s="38"/>
      <c r="AK161" s="376"/>
      <c r="AL161" s="376"/>
      <c r="AM161" s="55"/>
      <c r="AN161" s="55"/>
      <c r="AO161" s="372"/>
      <c r="AP161" s="55"/>
      <c r="AQ161" s="55"/>
      <c r="AR161" s="376"/>
      <c r="AS161" s="13"/>
      <c r="AT161" s="55"/>
      <c r="AU161" s="55"/>
      <c r="AV161" s="55"/>
      <c r="AW161" s="55"/>
      <c r="AX161" s="55"/>
      <c r="AY161" s="55"/>
      <c r="AZ161" s="376"/>
      <c r="BA161" s="226"/>
      <c r="BB161" s="55"/>
      <c r="BC161" s="55"/>
      <c r="BD161" s="55"/>
      <c r="BE161" s="13"/>
      <c r="BF161" s="38"/>
      <c r="BG161" s="38"/>
      <c r="BH161" s="38"/>
      <c r="BI161" s="38"/>
      <c r="BJ161" s="38"/>
      <c r="BK161" s="38"/>
      <c r="BL161" s="38"/>
      <c r="BM161" s="38"/>
      <c r="BN161" s="55"/>
      <c r="BO161" s="55"/>
      <c r="BP161" s="104"/>
      <c r="BQ161" s="24"/>
      <c r="BR161" s="38"/>
      <c r="BS161" s="310"/>
      <c r="BT161" s="38"/>
      <c r="BU161" s="38"/>
      <c r="BV161" s="38"/>
      <c r="BW161" s="38"/>
      <c r="BX161" s="228"/>
      <c r="BY161" s="228"/>
      <c r="BZ161" s="268"/>
      <c r="CA161" s="228"/>
      <c r="CB161" s="232"/>
      <c r="CC161" s="24"/>
      <c r="CD161" s="38"/>
      <c r="CE161" s="38"/>
      <c r="CF161" s="38"/>
      <c r="CG161" s="38"/>
      <c r="CH161" s="38"/>
      <c r="CI161" s="38"/>
      <c r="CJ161" s="38"/>
      <c r="CK161" s="228"/>
      <c r="CL161" s="268"/>
      <c r="CM161" s="38"/>
      <c r="CN161" s="232"/>
      <c r="CO161" s="252"/>
      <c r="CP161" s="38"/>
      <c r="CQ161" s="38"/>
      <c r="CR161" s="38"/>
      <c r="CS161" s="38"/>
      <c r="CT161" s="38"/>
      <c r="CU161" s="38"/>
      <c r="CV161" s="38"/>
      <c r="CW161" s="228"/>
      <c r="CX161" s="268"/>
      <c r="CY161" s="38"/>
      <c r="CZ161" s="232"/>
      <c r="DA161" s="252"/>
      <c r="DB161" s="38"/>
      <c r="DC161" s="38"/>
      <c r="DD161" s="38"/>
      <c r="DE161" s="38">
        <v>1</v>
      </c>
      <c r="DF161" s="38"/>
      <c r="DG161" s="38"/>
      <c r="DH161" s="38"/>
      <c r="DI161" s="228"/>
      <c r="DJ161" s="268"/>
      <c r="DK161" s="38"/>
      <c r="DL161" s="232"/>
      <c r="DM161" s="252"/>
      <c r="DN161" s="38"/>
      <c r="DO161" s="38"/>
      <c r="DP161" s="38"/>
      <c r="DQ161" s="38"/>
      <c r="DR161" s="38"/>
      <c r="DS161" s="38"/>
      <c r="DT161" s="38"/>
      <c r="DU161" s="228"/>
      <c r="DV161" s="268"/>
      <c r="DW161" s="38"/>
      <c r="DX161" s="232"/>
      <c r="DY161" s="252"/>
      <c r="DZ161" s="38"/>
      <c r="EA161" s="38"/>
      <c r="EB161" s="38"/>
      <c r="EC161" s="38"/>
      <c r="ED161" s="38"/>
      <c r="EE161" s="38"/>
      <c r="EF161" s="38"/>
      <c r="EG161" s="228"/>
      <c r="EH161" s="268"/>
      <c r="EI161" s="38"/>
      <c r="EJ161" s="232"/>
    </row>
    <row r="162" spans="1:140" x14ac:dyDescent="0.2">
      <c r="A162" s="39">
        <f>SUM(F160:F162)</f>
        <v>0</v>
      </c>
      <c r="B162" s="40" t="s">
        <v>1313</v>
      </c>
      <c r="C162" s="62">
        <v>0</v>
      </c>
      <c r="D162" s="251">
        <v>0</v>
      </c>
      <c r="E162" s="62">
        <v>0</v>
      </c>
      <c r="F162" s="42">
        <f t="shared" si="16"/>
        <v>0</v>
      </c>
      <c r="G162" s="322">
        <v>0</v>
      </c>
      <c r="H162" s="322">
        <v>0</v>
      </c>
      <c r="I162" s="322">
        <v>0</v>
      </c>
      <c r="J162" s="43">
        <v>0</v>
      </c>
      <c r="K162" s="251">
        <v>3077.695999999999</v>
      </c>
      <c r="L162" s="251">
        <v>400</v>
      </c>
      <c r="N162"/>
      <c r="O162"/>
      <c r="P162" s="20"/>
      <c r="Q162" s="218"/>
      <c r="R162" s="218"/>
      <c r="Y162" s="516" t="s">
        <v>1362</v>
      </c>
      <c r="Z162" s="514" t="s">
        <v>7919</v>
      </c>
      <c r="AA162"/>
      <c r="AB162" s="13" t="s">
        <v>5925</v>
      </c>
      <c r="AC162" s="136">
        <v>10182</v>
      </c>
      <c r="AD162" s="174" t="s">
        <v>504</v>
      </c>
      <c r="AE162" s="60">
        <f t="shared" si="11"/>
        <v>24</v>
      </c>
      <c r="AF162" s="107">
        <f t="shared" si="12"/>
        <v>2</v>
      </c>
      <c r="AG162" s="370"/>
      <c r="AH162" s="371"/>
      <c r="AI162" s="372"/>
      <c r="AJ162" s="38"/>
      <c r="AK162" s="376"/>
      <c r="AL162" s="376"/>
      <c r="AM162" s="55"/>
      <c r="AN162" s="55"/>
      <c r="AO162" s="372"/>
      <c r="AP162" s="55"/>
      <c r="AQ162" s="55"/>
      <c r="AR162" s="376"/>
      <c r="AS162" s="13"/>
      <c r="AT162" s="55"/>
      <c r="AU162" s="55"/>
      <c r="AV162" s="55"/>
      <c r="AW162" s="55"/>
      <c r="AX162" s="55"/>
      <c r="AY162" s="55"/>
      <c r="AZ162" s="376"/>
      <c r="BA162" s="226"/>
      <c r="BB162" s="55"/>
      <c r="BC162" s="55"/>
      <c r="BD162" s="55"/>
      <c r="BE162" s="13"/>
      <c r="BF162" s="38"/>
      <c r="BG162" s="38"/>
      <c r="BH162" s="38"/>
      <c r="BI162" s="38"/>
      <c r="BJ162" s="38"/>
      <c r="BK162" s="38"/>
      <c r="BL162" s="38"/>
      <c r="BM162" s="38"/>
      <c r="BN162" s="55"/>
      <c r="BO162" s="55"/>
      <c r="BP162" s="104"/>
      <c r="BQ162" s="24"/>
      <c r="BR162" s="38"/>
      <c r="BS162" s="310"/>
      <c r="BT162" s="38"/>
      <c r="BU162" s="38"/>
      <c r="BV162" s="38"/>
      <c r="BW162" s="38"/>
      <c r="BX162" s="228"/>
      <c r="BY162" s="228"/>
      <c r="BZ162" s="268"/>
      <c r="CA162" s="228"/>
      <c r="CB162" s="232"/>
      <c r="CC162" s="24"/>
      <c r="CD162" s="38"/>
      <c r="CE162" s="38"/>
      <c r="CF162" s="38"/>
      <c r="CG162" s="38"/>
      <c r="CH162" s="38"/>
      <c r="CI162" s="38"/>
      <c r="CJ162" s="38"/>
      <c r="CK162" s="228"/>
      <c r="CL162" s="268"/>
      <c r="CM162" s="38"/>
      <c r="CN162" s="232"/>
      <c r="CO162" s="252"/>
      <c r="CP162" s="38"/>
      <c r="CQ162" s="38"/>
      <c r="CR162" s="38"/>
      <c r="CS162" s="38"/>
      <c r="CT162" s="38"/>
      <c r="CU162" s="38"/>
      <c r="CV162" s="38"/>
      <c r="CW162" s="228"/>
      <c r="CX162" s="268"/>
      <c r="CY162" s="38"/>
      <c r="CZ162" s="232"/>
      <c r="DA162" s="252"/>
      <c r="DB162" s="38"/>
      <c r="DC162" s="38"/>
      <c r="DD162" s="38"/>
      <c r="DE162" s="38"/>
      <c r="DF162" s="38"/>
      <c r="DG162" s="38"/>
      <c r="DH162" s="38"/>
      <c r="DI162" s="228"/>
      <c r="DJ162" s="268">
        <v>5</v>
      </c>
      <c r="DK162" s="38"/>
      <c r="DL162" s="232"/>
      <c r="DM162" s="252"/>
      <c r="DN162" s="38"/>
      <c r="DO162" s="38"/>
      <c r="DP162" s="38"/>
      <c r="DQ162" s="38"/>
      <c r="DR162" s="38"/>
      <c r="DS162" s="38"/>
      <c r="DT162" s="38">
        <v>19</v>
      </c>
      <c r="DU162" s="228"/>
      <c r="DV162" s="268"/>
      <c r="DW162" s="38"/>
      <c r="DX162" s="232"/>
      <c r="DY162" s="252"/>
      <c r="DZ162" s="38"/>
      <c r="EA162" s="38"/>
      <c r="EB162" s="38"/>
      <c r="EC162" s="38"/>
      <c r="ED162" s="38"/>
      <c r="EE162" s="38"/>
      <c r="EF162" s="38"/>
      <c r="EG162" s="228"/>
      <c r="EH162" s="268"/>
      <c r="EI162" s="38"/>
      <c r="EJ162" s="232"/>
    </row>
    <row r="163" spans="1:140" x14ac:dyDescent="0.2">
      <c r="A163" s="17" t="s">
        <v>1314</v>
      </c>
      <c r="B163" s="37" t="s">
        <v>1315</v>
      </c>
      <c r="C163" s="58">
        <v>0</v>
      </c>
      <c r="D163" s="249">
        <v>0</v>
      </c>
      <c r="E163" s="58">
        <v>0</v>
      </c>
      <c r="F163" s="31">
        <f t="shared" si="16"/>
        <v>0</v>
      </c>
      <c r="G163" s="321">
        <v>0</v>
      </c>
      <c r="H163" s="321">
        <v>0</v>
      </c>
      <c r="I163" s="321">
        <v>0</v>
      </c>
      <c r="J163" s="36">
        <v>0</v>
      </c>
      <c r="K163" s="249">
        <v>0</v>
      </c>
      <c r="L163" s="249">
        <v>2</v>
      </c>
      <c r="N163"/>
      <c r="O163"/>
      <c r="P163" s="20"/>
      <c r="Q163" s="218"/>
      <c r="R163" s="218"/>
      <c r="Y163" s="516" t="s">
        <v>67</v>
      </c>
      <c r="Z163" s="514" t="s">
        <v>9491</v>
      </c>
      <c r="AA163"/>
      <c r="AB163" s="795" t="s">
        <v>9194</v>
      </c>
      <c r="AC163" s="136">
        <v>10186</v>
      </c>
      <c r="AD163" s="174" t="s">
        <v>245</v>
      </c>
      <c r="AE163" s="60">
        <f t="shared" si="11"/>
        <v>1</v>
      </c>
      <c r="AF163" s="107">
        <f t="shared" si="12"/>
        <v>1</v>
      </c>
      <c r="AG163" s="370"/>
      <c r="AH163" s="371"/>
      <c r="AI163" s="372"/>
      <c r="AJ163" s="38"/>
      <c r="AK163" s="376"/>
      <c r="AL163" s="376"/>
      <c r="AM163" s="55"/>
      <c r="AN163" s="55"/>
      <c r="AO163" s="372"/>
      <c r="AP163" s="55"/>
      <c r="AQ163" s="55"/>
      <c r="AR163" s="376"/>
      <c r="AS163" s="13"/>
      <c r="AT163" s="55"/>
      <c r="AU163" s="55"/>
      <c r="AV163" s="55"/>
      <c r="AW163" s="55"/>
      <c r="AX163" s="55"/>
      <c r="AY163" s="55"/>
      <c r="AZ163" s="376"/>
      <c r="BA163" s="226"/>
      <c r="BB163" s="55"/>
      <c r="BC163" s="55"/>
      <c r="BD163" s="55"/>
      <c r="BE163" s="13"/>
      <c r="BF163" s="38"/>
      <c r="BG163" s="38"/>
      <c r="BH163" s="38"/>
      <c r="BI163" s="38"/>
      <c r="BJ163" s="38"/>
      <c r="BK163" s="38"/>
      <c r="BL163" s="38"/>
      <c r="BM163" s="38"/>
      <c r="BN163" s="55"/>
      <c r="BO163" s="55"/>
      <c r="BP163" s="104"/>
      <c r="BQ163" s="24"/>
      <c r="BR163" s="38"/>
      <c r="BS163" s="310"/>
      <c r="BT163" s="38"/>
      <c r="BU163" s="38"/>
      <c r="BV163" s="38"/>
      <c r="BW163" s="38"/>
      <c r="BX163" s="228"/>
      <c r="BY163" s="228"/>
      <c r="BZ163" s="268"/>
      <c r="CA163" s="228"/>
      <c r="CB163" s="232"/>
      <c r="CC163" s="24"/>
      <c r="CD163" s="38"/>
      <c r="CE163" s="38"/>
      <c r="CF163" s="38"/>
      <c r="CG163" s="38"/>
      <c r="CH163" s="38"/>
      <c r="CI163" s="38"/>
      <c r="CJ163" s="38"/>
      <c r="CK163" s="228"/>
      <c r="CL163" s="268"/>
      <c r="CM163" s="38"/>
      <c r="CN163" s="232"/>
      <c r="CO163" s="252"/>
      <c r="CP163" s="38"/>
      <c r="CQ163" s="38"/>
      <c r="CR163" s="38"/>
      <c r="CS163" s="38"/>
      <c r="CT163" s="38"/>
      <c r="CU163" s="38"/>
      <c r="CV163" s="38"/>
      <c r="CW163" s="228"/>
      <c r="CX163" s="268"/>
      <c r="CY163" s="38"/>
      <c r="CZ163" s="232"/>
      <c r="DA163" s="252"/>
      <c r="DB163" s="38"/>
      <c r="DC163" s="38"/>
      <c r="DD163" s="38"/>
      <c r="DE163" s="38"/>
      <c r="DF163" s="38"/>
      <c r="DG163" s="38"/>
      <c r="DH163" s="38"/>
      <c r="DI163" s="228"/>
      <c r="DJ163" s="268"/>
      <c r="DK163" s="38"/>
      <c r="DL163" s="232"/>
      <c r="DM163" s="252"/>
      <c r="DN163" s="38"/>
      <c r="DO163" s="38"/>
      <c r="DP163" s="38"/>
      <c r="DQ163" s="38">
        <v>1</v>
      </c>
      <c r="DR163" s="38"/>
      <c r="DS163" s="38"/>
      <c r="DT163" s="38"/>
      <c r="DU163" s="228"/>
      <c r="DV163" s="268"/>
      <c r="DW163" s="38"/>
      <c r="DX163" s="232"/>
      <c r="DY163" s="252"/>
      <c r="DZ163" s="38"/>
      <c r="EA163" s="38"/>
      <c r="EB163" s="38"/>
      <c r="EC163" s="38"/>
      <c r="ED163" s="38"/>
      <c r="EE163" s="38"/>
      <c r="EF163" s="38"/>
      <c r="EG163" s="228"/>
      <c r="EH163" s="268"/>
      <c r="EI163" s="38"/>
      <c r="EJ163" s="232"/>
    </row>
    <row r="164" spans="1:140" ht="18" x14ac:dyDescent="0.25">
      <c r="A164" s="27">
        <f>SUM(F163:F164)</f>
        <v>0</v>
      </c>
      <c r="B164" s="11" t="s">
        <v>1316</v>
      </c>
      <c r="C164" s="38">
        <v>0</v>
      </c>
      <c r="D164" s="248">
        <v>0</v>
      </c>
      <c r="E164" s="38">
        <v>0</v>
      </c>
      <c r="F164" s="25">
        <f t="shared" si="16"/>
        <v>0</v>
      </c>
      <c r="G164" s="144">
        <v>0</v>
      </c>
      <c r="H164" s="144">
        <v>0</v>
      </c>
      <c r="I164" s="144">
        <v>0</v>
      </c>
      <c r="J164" s="34">
        <v>0</v>
      </c>
      <c r="K164" s="248">
        <v>495.44100000000003</v>
      </c>
      <c r="L164" s="248">
        <v>13</v>
      </c>
      <c r="N164" s="356" t="s">
        <v>6194</v>
      </c>
      <c r="O164" s="356"/>
      <c r="P164" s="20"/>
      <c r="Q164" s="218"/>
      <c r="R164" s="218"/>
      <c r="Y164" s="516" t="s">
        <v>8031</v>
      </c>
      <c r="Z164" s="514" t="s">
        <v>8038</v>
      </c>
      <c r="AA164"/>
      <c r="AB164" s="13" t="s">
        <v>6784</v>
      </c>
      <c r="AC164" s="136">
        <v>10268</v>
      </c>
      <c r="AD164" s="174" t="s">
        <v>1381</v>
      </c>
      <c r="AE164" s="60">
        <f t="shared" si="11"/>
        <v>1</v>
      </c>
      <c r="AF164" s="107">
        <f t="shared" si="12"/>
        <v>1</v>
      </c>
      <c r="AG164" s="370"/>
      <c r="AH164" s="371"/>
      <c r="AI164" s="372"/>
      <c r="AJ164" s="38"/>
      <c r="AK164" s="376"/>
      <c r="AL164" s="376"/>
      <c r="AM164" s="55"/>
      <c r="AN164" s="55"/>
      <c r="AO164" s="372"/>
      <c r="AP164" s="55"/>
      <c r="AQ164" s="55"/>
      <c r="AR164" s="376"/>
      <c r="AS164" s="13"/>
      <c r="AT164" s="55"/>
      <c r="AU164" s="55"/>
      <c r="AV164" s="55"/>
      <c r="AW164" s="55"/>
      <c r="AX164" s="55"/>
      <c r="AY164" s="55"/>
      <c r="AZ164" s="376"/>
      <c r="BA164" s="226"/>
      <c r="BB164" s="55"/>
      <c r="BC164" s="55"/>
      <c r="BD164" s="55"/>
      <c r="BE164" s="13"/>
      <c r="BF164" s="38"/>
      <c r="BG164" s="38"/>
      <c r="BH164" s="38"/>
      <c r="BI164" s="38"/>
      <c r="BJ164" s="38"/>
      <c r="BK164" s="38"/>
      <c r="BL164" s="38"/>
      <c r="BM164" s="38"/>
      <c r="BN164" s="55"/>
      <c r="BO164" s="55"/>
      <c r="BP164" s="104"/>
      <c r="BQ164" s="24"/>
      <c r="BR164" s="38"/>
      <c r="BS164" s="310"/>
      <c r="BT164" s="38"/>
      <c r="BU164" s="38"/>
      <c r="BV164" s="38"/>
      <c r="BW164" s="38"/>
      <c r="BX164" s="228"/>
      <c r="BY164" s="228"/>
      <c r="BZ164" s="268"/>
      <c r="CA164" s="228"/>
      <c r="CB164" s="232"/>
      <c r="CC164" s="24"/>
      <c r="CD164" s="38"/>
      <c r="CE164" s="38"/>
      <c r="CF164" s="38"/>
      <c r="CG164" s="38"/>
      <c r="CH164" s="38"/>
      <c r="CI164" s="38"/>
      <c r="CJ164" s="38"/>
      <c r="CK164" s="228"/>
      <c r="CL164" s="268"/>
      <c r="CM164" s="38"/>
      <c r="CN164" s="232"/>
      <c r="CO164" s="252"/>
      <c r="CP164" s="38"/>
      <c r="CQ164" s="38"/>
      <c r="CR164" s="38"/>
      <c r="CS164" s="38"/>
      <c r="CT164" s="38"/>
      <c r="CU164" s="38"/>
      <c r="CV164" s="38"/>
      <c r="CW164" s="228"/>
      <c r="CX164" s="268"/>
      <c r="CY164" s="38"/>
      <c r="CZ164" s="232"/>
      <c r="DA164" s="252"/>
      <c r="DB164" s="38"/>
      <c r="DC164" s="38"/>
      <c r="DD164" s="38"/>
      <c r="DE164" s="38"/>
      <c r="DF164" s="38"/>
      <c r="DG164" s="38"/>
      <c r="DH164" s="38"/>
      <c r="DI164" s="228"/>
      <c r="DJ164" s="268"/>
      <c r="DK164" s="38"/>
      <c r="DL164" s="232"/>
      <c r="DM164" s="252"/>
      <c r="DN164" s="38"/>
      <c r="DO164" s="38"/>
      <c r="DP164" s="38">
        <v>1</v>
      </c>
      <c r="DQ164" s="38"/>
      <c r="DR164" s="38"/>
      <c r="DS164" s="38"/>
      <c r="DT164" s="38"/>
      <c r="DU164" s="228"/>
      <c r="DV164" s="268"/>
      <c r="DW164" s="38"/>
      <c r="DX164" s="232"/>
      <c r="DY164" s="252"/>
      <c r="DZ164" s="38"/>
      <c r="EA164" s="38"/>
      <c r="EB164" s="38"/>
      <c r="EC164" s="38"/>
      <c r="ED164" s="38"/>
      <c r="EE164" s="38"/>
      <c r="EF164" s="38"/>
      <c r="EG164" s="228"/>
      <c r="EH164" s="268"/>
      <c r="EI164" s="38"/>
      <c r="EJ164" s="232"/>
    </row>
    <row r="165" spans="1:140" ht="15" customHeight="1" x14ac:dyDescent="0.2">
      <c r="A165" s="17" t="s">
        <v>827</v>
      </c>
      <c r="B165" s="44" t="s">
        <v>836</v>
      </c>
      <c r="C165" s="58">
        <v>6</v>
      </c>
      <c r="D165" s="249">
        <v>0</v>
      </c>
      <c r="E165" s="58">
        <v>47</v>
      </c>
      <c r="F165" s="31">
        <f t="shared" si="16"/>
        <v>53</v>
      </c>
      <c r="G165" s="321">
        <v>6</v>
      </c>
      <c r="H165" s="321">
        <v>1845.4909999999998</v>
      </c>
      <c r="I165" s="321">
        <v>140</v>
      </c>
      <c r="J165" s="74">
        <v>740.75338000000011</v>
      </c>
      <c r="K165" s="249">
        <v>1845.4909999999998</v>
      </c>
      <c r="L165" s="249">
        <v>142</v>
      </c>
      <c r="R165" s="218"/>
      <c r="Y165" s="516" t="s">
        <v>151</v>
      </c>
      <c r="Z165" s="514" t="s">
        <v>9612</v>
      </c>
      <c r="AA165"/>
      <c r="AB165" s="13" t="s">
        <v>6791</v>
      </c>
      <c r="AC165" s="136">
        <v>10285</v>
      </c>
      <c r="AD165" s="174" t="s">
        <v>1381</v>
      </c>
      <c r="AE165" s="60">
        <f t="shared" si="11"/>
        <v>2</v>
      </c>
      <c r="AF165" s="107">
        <f t="shared" si="12"/>
        <v>2</v>
      </c>
      <c r="AG165" s="370"/>
      <c r="AH165" s="371"/>
      <c r="AI165" s="372"/>
      <c r="AJ165" s="38"/>
      <c r="AK165" s="376"/>
      <c r="AL165" s="376"/>
      <c r="AM165" s="55"/>
      <c r="AN165" s="55"/>
      <c r="AO165" s="372"/>
      <c r="AP165" s="55"/>
      <c r="AQ165" s="55"/>
      <c r="AR165" s="376"/>
      <c r="AS165" s="13"/>
      <c r="AT165" s="55"/>
      <c r="AU165" s="55"/>
      <c r="AV165" s="55"/>
      <c r="AW165" s="55"/>
      <c r="AX165" s="55"/>
      <c r="AY165" s="55"/>
      <c r="AZ165" s="376"/>
      <c r="BA165" s="226"/>
      <c r="BB165" s="55"/>
      <c r="BC165" s="55"/>
      <c r="BD165" s="55"/>
      <c r="BE165" s="13"/>
      <c r="BF165" s="38"/>
      <c r="BG165" s="38"/>
      <c r="BH165" s="38"/>
      <c r="BI165" s="38"/>
      <c r="BJ165" s="38"/>
      <c r="BK165" s="38"/>
      <c r="BL165" s="38"/>
      <c r="BM165" s="38"/>
      <c r="BN165" s="55"/>
      <c r="BO165" s="55"/>
      <c r="BP165" s="104"/>
      <c r="BQ165" s="24"/>
      <c r="BR165" s="38"/>
      <c r="BS165" s="310"/>
      <c r="BT165" s="38"/>
      <c r="BU165" s="38"/>
      <c r="BV165" s="38"/>
      <c r="BW165" s="38"/>
      <c r="BX165" s="228"/>
      <c r="BY165" s="228"/>
      <c r="BZ165" s="268"/>
      <c r="CA165" s="228"/>
      <c r="CB165" s="232"/>
      <c r="CC165" s="38"/>
      <c r="CD165" s="38"/>
      <c r="CE165" s="38"/>
      <c r="CF165" s="38"/>
      <c r="CG165" s="38"/>
      <c r="CH165" s="38"/>
      <c r="CI165" s="38"/>
      <c r="CJ165" s="38"/>
      <c r="CK165" s="228"/>
      <c r="CL165" s="268"/>
      <c r="CM165" s="38"/>
      <c r="CN165" s="232"/>
      <c r="CO165" s="228"/>
      <c r="CP165" s="38"/>
      <c r="CQ165" s="38"/>
      <c r="CR165" s="38"/>
      <c r="CS165" s="38"/>
      <c r="CT165" s="38"/>
      <c r="CU165" s="38"/>
      <c r="CV165" s="38"/>
      <c r="CW165" s="228"/>
      <c r="CX165" s="268"/>
      <c r="CY165" s="38"/>
      <c r="CZ165" s="232"/>
      <c r="DA165" s="228"/>
      <c r="DB165" s="38"/>
      <c r="DC165" s="38"/>
      <c r="DD165" s="38"/>
      <c r="DE165" s="38"/>
      <c r="DF165" s="38"/>
      <c r="DG165" s="38"/>
      <c r="DH165" s="38"/>
      <c r="DI165" s="228"/>
      <c r="DJ165" s="268"/>
      <c r="DK165" s="38"/>
      <c r="DL165" s="232"/>
      <c r="DM165" s="228"/>
      <c r="DN165" s="38"/>
      <c r="DO165" s="38"/>
      <c r="DP165" s="38"/>
      <c r="DQ165" s="38"/>
      <c r="DR165" s="38"/>
      <c r="DS165" s="38"/>
      <c r="DT165" s="38"/>
      <c r="DU165" s="228"/>
      <c r="DV165" s="268"/>
      <c r="DW165" s="38"/>
      <c r="DX165" s="232">
        <v>1</v>
      </c>
      <c r="DY165" s="228"/>
      <c r="DZ165" s="38">
        <v>1</v>
      </c>
      <c r="EA165" s="38"/>
      <c r="EB165" s="38"/>
      <c r="EC165" s="38"/>
      <c r="ED165" s="38"/>
      <c r="EE165" s="38"/>
      <c r="EF165" s="38"/>
      <c r="EG165" s="228"/>
      <c r="EH165" s="268"/>
      <c r="EI165" s="38"/>
      <c r="EJ165" s="232"/>
    </row>
    <row r="166" spans="1:140" ht="15" customHeight="1" x14ac:dyDescent="0.2">
      <c r="A166" s="19"/>
      <c r="B166" s="46" t="s">
        <v>911</v>
      </c>
      <c r="C166" s="38">
        <v>0</v>
      </c>
      <c r="D166" s="248">
        <v>0</v>
      </c>
      <c r="E166" s="38">
        <v>1</v>
      </c>
      <c r="F166" s="25">
        <f t="shared" ref="F166:F182" si="21">+C166+D166+E166</f>
        <v>1</v>
      </c>
      <c r="G166" s="144">
        <v>0</v>
      </c>
      <c r="H166" s="144">
        <v>0</v>
      </c>
      <c r="I166" s="144">
        <v>1</v>
      </c>
      <c r="J166" s="32">
        <v>0</v>
      </c>
      <c r="K166" s="248">
        <v>138.84800000000001</v>
      </c>
      <c r="L166" s="248">
        <v>7</v>
      </c>
      <c r="N166" s="357" t="s">
        <v>6193</v>
      </c>
      <c r="O166" s="358"/>
      <c r="P166" s="359"/>
      <c r="Q166" s="360"/>
      <c r="R166" s="258" t="s">
        <v>1237</v>
      </c>
      <c r="Y166" s="516" t="s">
        <v>1702</v>
      </c>
      <c r="Z166" s="514" t="s">
        <v>7923</v>
      </c>
      <c r="AA166"/>
      <c r="AB166" s="13" t="s">
        <v>7347</v>
      </c>
      <c r="AC166" s="136">
        <v>10286</v>
      </c>
      <c r="AD166" s="174" t="s">
        <v>151</v>
      </c>
      <c r="AE166" s="60">
        <f t="shared" si="11"/>
        <v>4</v>
      </c>
      <c r="AF166" s="107">
        <f t="shared" ref="AF166:AF168" si="22">COUNTA(AG166:EJ166)</f>
        <v>3</v>
      </c>
      <c r="AG166" s="370"/>
      <c r="AH166" s="371"/>
      <c r="AI166" s="372"/>
      <c r="AJ166" s="38"/>
      <c r="AK166" s="376"/>
      <c r="AL166" s="376"/>
      <c r="AM166" s="55"/>
      <c r="AN166" s="55"/>
      <c r="AO166" s="372"/>
      <c r="AP166" s="55"/>
      <c r="AQ166" s="55"/>
      <c r="AR166" s="376"/>
      <c r="AS166" s="13"/>
      <c r="AT166" s="55"/>
      <c r="AU166" s="55"/>
      <c r="AV166" s="55"/>
      <c r="AW166" s="55"/>
      <c r="AX166" s="55"/>
      <c r="AY166" s="55"/>
      <c r="AZ166" s="376"/>
      <c r="BA166" s="226"/>
      <c r="BB166" s="55"/>
      <c r="BC166" s="55"/>
      <c r="BD166" s="55"/>
      <c r="BE166" s="13"/>
      <c r="BF166" s="38"/>
      <c r="BG166" s="38"/>
      <c r="BH166" s="38"/>
      <c r="BI166" s="38"/>
      <c r="BJ166" s="38"/>
      <c r="BK166" s="38"/>
      <c r="BL166" s="38"/>
      <c r="BM166" s="38"/>
      <c r="BN166" s="55"/>
      <c r="BO166" s="55"/>
      <c r="BP166" s="104"/>
      <c r="BQ166" s="24"/>
      <c r="BR166" s="38"/>
      <c r="BS166" s="310"/>
      <c r="BT166" s="38"/>
      <c r="BU166" s="38"/>
      <c r="BV166" s="38"/>
      <c r="BW166" s="38"/>
      <c r="BX166" s="228"/>
      <c r="BY166" s="228"/>
      <c r="BZ166" s="268"/>
      <c r="CA166" s="228"/>
      <c r="CB166" s="232"/>
      <c r="CC166" s="38"/>
      <c r="CD166" s="38"/>
      <c r="CE166" s="38"/>
      <c r="CF166" s="38"/>
      <c r="CG166" s="38"/>
      <c r="CH166" s="38"/>
      <c r="CI166" s="38"/>
      <c r="CJ166" s="38"/>
      <c r="CK166" s="228"/>
      <c r="CL166" s="268"/>
      <c r="CM166" s="38"/>
      <c r="CN166" s="232"/>
      <c r="CO166" s="228"/>
      <c r="CP166" s="38"/>
      <c r="CQ166" s="38"/>
      <c r="CR166" s="38"/>
      <c r="CS166" s="38"/>
      <c r="CT166" s="38"/>
      <c r="CU166" s="38"/>
      <c r="CV166" s="38"/>
      <c r="CW166" s="228"/>
      <c r="CX166" s="268"/>
      <c r="CY166" s="38"/>
      <c r="CZ166" s="232"/>
      <c r="DA166" s="228"/>
      <c r="DB166" s="38"/>
      <c r="DC166" s="38"/>
      <c r="DD166" s="38"/>
      <c r="DE166" s="38"/>
      <c r="DF166" s="38"/>
      <c r="DG166" s="38"/>
      <c r="DH166" s="38"/>
      <c r="DI166" s="228"/>
      <c r="DJ166" s="268"/>
      <c r="DK166" s="38"/>
      <c r="DL166" s="232"/>
      <c r="DM166" s="228"/>
      <c r="DN166" s="38"/>
      <c r="DO166" s="38"/>
      <c r="DP166" s="38"/>
      <c r="DQ166" s="38"/>
      <c r="DR166" s="38"/>
      <c r="DS166" s="38"/>
      <c r="DT166" s="38">
        <v>1</v>
      </c>
      <c r="DU166" s="228"/>
      <c r="DV166" s="268">
        <v>2</v>
      </c>
      <c r="DW166" s="38"/>
      <c r="DX166" s="232"/>
      <c r="DY166" s="228"/>
      <c r="DZ166" s="38">
        <v>1</v>
      </c>
      <c r="EA166" s="38"/>
      <c r="EB166" s="38"/>
      <c r="EC166" s="38"/>
      <c r="ED166" s="38"/>
      <c r="EE166" s="38"/>
      <c r="EF166" s="38"/>
      <c r="EG166" s="228"/>
      <c r="EH166" s="268"/>
      <c r="EI166" s="38"/>
      <c r="EJ166" s="232"/>
    </row>
    <row r="167" spans="1:140" ht="15" x14ac:dyDescent="0.2">
      <c r="A167" s="19" t="s">
        <v>1204</v>
      </c>
      <c r="B167" s="45" t="s">
        <v>1317</v>
      </c>
      <c r="C167" s="38">
        <v>0</v>
      </c>
      <c r="D167" s="248">
        <v>0</v>
      </c>
      <c r="E167" s="38">
        <v>1</v>
      </c>
      <c r="F167" s="25">
        <f t="shared" si="21"/>
        <v>1</v>
      </c>
      <c r="G167" s="144">
        <v>0</v>
      </c>
      <c r="H167" s="144">
        <v>0</v>
      </c>
      <c r="I167" s="144">
        <v>1</v>
      </c>
      <c r="J167" s="32">
        <v>100</v>
      </c>
      <c r="K167" s="248">
        <v>3030.6680000000001</v>
      </c>
      <c r="L167" s="248">
        <v>19</v>
      </c>
      <c r="N167" s="337" t="s">
        <v>6186</v>
      </c>
      <c r="O167" s="339"/>
      <c r="P167" s="340"/>
      <c r="Q167" s="348"/>
      <c r="R167" s="349">
        <f>+F62</f>
        <v>67</v>
      </c>
      <c r="Y167" s="516" t="s">
        <v>1703</v>
      </c>
      <c r="Z167" s="514" t="s">
        <v>7909</v>
      </c>
      <c r="AA167"/>
      <c r="AB167" s="13" t="s">
        <v>8141</v>
      </c>
      <c r="AC167" s="136">
        <v>10289</v>
      </c>
      <c r="AD167" s="174" t="s">
        <v>918</v>
      </c>
      <c r="AE167" s="60">
        <f t="shared" ref="AE167" si="23">SUM(AG167:EJ167)</f>
        <v>2</v>
      </c>
      <c r="AF167" s="107">
        <f t="shared" ref="AF167" si="24">COUNTA(AG167:EJ167)</f>
        <v>2</v>
      </c>
      <c r="AG167" s="370"/>
      <c r="AH167" s="371"/>
      <c r="AI167" s="372"/>
      <c r="AJ167" s="38"/>
      <c r="AK167" s="376"/>
      <c r="AL167" s="376"/>
      <c r="AM167" s="55"/>
      <c r="AN167" s="55"/>
      <c r="AO167" s="372"/>
      <c r="AP167" s="55"/>
      <c r="AQ167" s="55"/>
      <c r="AR167" s="376"/>
      <c r="AS167" s="13"/>
      <c r="AT167" s="55"/>
      <c r="AU167" s="55"/>
      <c r="AV167" s="55"/>
      <c r="AW167" s="55"/>
      <c r="AX167" s="55"/>
      <c r="AY167" s="55"/>
      <c r="AZ167" s="376"/>
      <c r="BA167" s="226"/>
      <c r="BB167" s="55"/>
      <c r="BC167" s="55"/>
      <c r="BD167" s="55"/>
      <c r="BE167" s="13"/>
      <c r="BF167" s="38"/>
      <c r="BG167" s="38"/>
      <c r="BH167" s="38"/>
      <c r="BI167" s="38"/>
      <c r="BJ167" s="38"/>
      <c r="BK167" s="38"/>
      <c r="BL167" s="38"/>
      <c r="BM167" s="38"/>
      <c r="BN167" s="55"/>
      <c r="BO167" s="55"/>
      <c r="BP167" s="104"/>
      <c r="BQ167" s="24"/>
      <c r="BR167" s="38"/>
      <c r="BS167" s="310"/>
      <c r="BT167" s="38"/>
      <c r="BU167" s="38"/>
      <c r="BV167" s="38"/>
      <c r="BW167" s="38"/>
      <c r="BX167" s="228"/>
      <c r="BY167" s="228"/>
      <c r="BZ167" s="268"/>
      <c r="CA167" s="228"/>
      <c r="CB167" s="232"/>
      <c r="CC167" s="38"/>
      <c r="CD167" s="38"/>
      <c r="CE167" s="38"/>
      <c r="CF167" s="38"/>
      <c r="CG167" s="38"/>
      <c r="CH167" s="38"/>
      <c r="CI167" s="38"/>
      <c r="CJ167" s="38"/>
      <c r="CK167" s="228"/>
      <c r="CL167" s="268"/>
      <c r="CM167" s="38"/>
      <c r="CN167" s="232"/>
      <c r="CO167" s="228"/>
      <c r="CP167" s="38"/>
      <c r="CQ167" s="38"/>
      <c r="CR167" s="38"/>
      <c r="CS167" s="38"/>
      <c r="CT167" s="38"/>
      <c r="CU167" s="38"/>
      <c r="CV167" s="38"/>
      <c r="CW167" s="228"/>
      <c r="CX167" s="268"/>
      <c r="CY167" s="38"/>
      <c r="CZ167" s="232"/>
      <c r="DA167" s="228"/>
      <c r="DB167" s="38"/>
      <c r="DC167" s="38"/>
      <c r="DD167" s="38"/>
      <c r="DE167" s="38"/>
      <c r="DF167" s="38"/>
      <c r="DG167" s="38"/>
      <c r="DH167" s="38"/>
      <c r="DI167" s="228"/>
      <c r="DJ167" s="268"/>
      <c r="DK167" s="38"/>
      <c r="DL167" s="232"/>
      <c r="DM167" s="228"/>
      <c r="DN167" s="38"/>
      <c r="DO167" s="38"/>
      <c r="DP167" s="38"/>
      <c r="DQ167" s="38"/>
      <c r="DR167" s="38"/>
      <c r="DS167" s="38"/>
      <c r="DT167" s="38"/>
      <c r="DU167" s="228"/>
      <c r="DV167" s="268"/>
      <c r="DW167" s="38"/>
      <c r="DX167" s="232"/>
      <c r="DY167" s="228"/>
      <c r="DZ167" s="38"/>
      <c r="EA167" s="38"/>
      <c r="EB167" s="38"/>
      <c r="EC167" s="38"/>
      <c r="ED167" s="38">
        <v>1</v>
      </c>
      <c r="EE167" s="38">
        <v>1</v>
      </c>
      <c r="EF167" s="38"/>
      <c r="EG167" s="228"/>
      <c r="EH167" s="268"/>
      <c r="EI167" s="38"/>
      <c r="EJ167" s="232"/>
    </row>
    <row r="168" spans="1:140" ht="15" x14ac:dyDescent="0.2">
      <c r="A168" s="27">
        <f>SUM(F165:F170)</f>
        <v>68</v>
      </c>
      <c r="B168" s="46" t="s">
        <v>1318</v>
      </c>
      <c r="C168" s="38">
        <v>0</v>
      </c>
      <c r="D168" s="248">
        <v>0</v>
      </c>
      <c r="E168" s="38">
        <v>0</v>
      </c>
      <c r="F168" s="25">
        <f t="shared" si="21"/>
        <v>0</v>
      </c>
      <c r="G168" s="144">
        <v>0</v>
      </c>
      <c r="H168" s="144">
        <v>0</v>
      </c>
      <c r="I168" s="144">
        <v>0</v>
      </c>
      <c r="J168" s="32">
        <v>0</v>
      </c>
      <c r="K168" s="248">
        <v>1726.998</v>
      </c>
      <c r="L168" s="248">
        <v>1</v>
      </c>
      <c r="N168" s="337" t="s">
        <v>836</v>
      </c>
      <c r="O168" s="338"/>
      <c r="P168" s="339"/>
      <c r="Q168" s="348"/>
      <c r="R168" s="350">
        <f>+F165</f>
        <v>53</v>
      </c>
      <c r="Y168" s="516" t="s">
        <v>1354</v>
      </c>
      <c r="Z168" s="514" t="s">
        <v>7914</v>
      </c>
      <c r="AA168"/>
      <c r="AB168" s="13" t="s">
        <v>6446</v>
      </c>
      <c r="AC168" s="136">
        <v>10292</v>
      </c>
      <c r="AD168" s="174" t="s">
        <v>42</v>
      </c>
      <c r="AE168" s="60">
        <f t="shared" si="11"/>
        <v>1</v>
      </c>
      <c r="AF168" s="107">
        <f t="shared" si="22"/>
        <v>1</v>
      </c>
      <c r="AG168" s="370"/>
      <c r="AH168" s="371"/>
      <c r="AI168" s="372"/>
      <c r="AJ168" s="38"/>
      <c r="AK168" s="376"/>
      <c r="AL168" s="376"/>
      <c r="AM168" s="55"/>
      <c r="AN168" s="55"/>
      <c r="AO168" s="372"/>
      <c r="AP168" s="55"/>
      <c r="AQ168" s="55"/>
      <c r="AR168" s="376"/>
      <c r="AS168" s="13"/>
      <c r="AT168" s="55"/>
      <c r="AU168" s="55"/>
      <c r="AV168" s="55"/>
      <c r="AW168" s="55"/>
      <c r="AX168" s="55"/>
      <c r="AY168" s="55"/>
      <c r="AZ168" s="376"/>
      <c r="BA168" s="226"/>
      <c r="BB168" s="55"/>
      <c r="BC168" s="55"/>
      <c r="BD168" s="55"/>
      <c r="BE168" s="13"/>
      <c r="BF168" s="38"/>
      <c r="BG168" s="38"/>
      <c r="BH168" s="38"/>
      <c r="BI168" s="38"/>
      <c r="BJ168" s="38"/>
      <c r="BK168" s="38"/>
      <c r="BL168" s="38"/>
      <c r="BM168" s="38"/>
      <c r="BN168" s="55"/>
      <c r="BO168" s="55"/>
      <c r="BP168" s="104"/>
      <c r="BQ168" s="24"/>
      <c r="BR168" s="38"/>
      <c r="BS168" s="310"/>
      <c r="BT168" s="38"/>
      <c r="BU168" s="38"/>
      <c r="BV168" s="38"/>
      <c r="BW168" s="38"/>
      <c r="BX168" s="228"/>
      <c r="BY168" s="228"/>
      <c r="BZ168" s="268"/>
      <c r="CA168" s="228"/>
      <c r="CB168" s="232"/>
      <c r="CC168" s="38"/>
      <c r="CD168" s="38"/>
      <c r="CE168" s="38"/>
      <c r="CF168" s="38"/>
      <c r="CG168" s="38"/>
      <c r="CH168" s="38"/>
      <c r="CI168" s="38"/>
      <c r="CJ168" s="38"/>
      <c r="CK168" s="228"/>
      <c r="CL168" s="268"/>
      <c r="CM168" s="38"/>
      <c r="CN168" s="232"/>
      <c r="CO168" s="228"/>
      <c r="CP168" s="38"/>
      <c r="CQ168" s="38"/>
      <c r="CR168" s="38"/>
      <c r="CS168" s="38"/>
      <c r="CT168" s="38"/>
      <c r="CU168" s="38"/>
      <c r="CV168" s="38"/>
      <c r="CW168" s="228"/>
      <c r="CX168" s="268"/>
      <c r="CY168" s="38"/>
      <c r="CZ168" s="232"/>
      <c r="DA168" s="228"/>
      <c r="DB168" s="38"/>
      <c r="DC168" s="38"/>
      <c r="DD168" s="38"/>
      <c r="DE168" s="38"/>
      <c r="DF168" s="38"/>
      <c r="DG168" s="38"/>
      <c r="DH168" s="38"/>
      <c r="DI168" s="228"/>
      <c r="DJ168" s="268"/>
      <c r="DK168" s="38"/>
      <c r="DL168" s="232"/>
      <c r="DM168" s="228"/>
      <c r="DN168" s="38"/>
      <c r="DO168" s="38"/>
      <c r="DP168" s="38"/>
      <c r="DQ168" s="38"/>
      <c r="DR168" s="38"/>
      <c r="DS168" s="38">
        <v>1</v>
      </c>
      <c r="DT168" s="38"/>
      <c r="DU168" s="228"/>
      <c r="DV168" s="268"/>
      <c r="DW168" s="38"/>
      <c r="DX168" s="232"/>
      <c r="DY168" s="228"/>
      <c r="DZ168" s="38"/>
      <c r="EA168" s="38"/>
      <c r="EB168" s="38"/>
      <c r="EC168" s="38"/>
      <c r="ED168" s="38"/>
      <c r="EE168" s="38"/>
      <c r="EF168" s="38"/>
      <c r="EG168" s="228"/>
      <c r="EH168" s="268"/>
      <c r="EI168" s="38"/>
      <c r="EJ168" s="232"/>
    </row>
    <row r="169" spans="1:140" ht="15" x14ac:dyDescent="0.2">
      <c r="B169" s="11" t="s">
        <v>923</v>
      </c>
      <c r="C169" s="38">
        <v>3</v>
      </c>
      <c r="D169" s="248">
        <v>0</v>
      </c>
      <c r="E169" s="38">
        <v>10</v>
      </c>
      <c r="F169" s="25">
        <f t="shared" si="21"/>
        <v>13</v>
      </c>
      <c r="G169" s="144">
        <v>2</v>
      </c>
      <c r="H169" s="144">
        <v>477.25199999999995</v>
      </c>
      <c r="I169" s="144">
        <v>32</v>
      </c>
      <c r="J169" s="34">
        <v>0</v>
      </c>
      <c r="K169" s="248">
        <v>1569.7160000000001</v>
      </c>
      <c r="L169" s="248">
        <v>46</v>
      </c>
      <c r="N169" s="337" t="s">
        <v>6187</v>
      </c>
      <c r="O169" s="339"/>
      <c r="P169" s="339"/>
      <c r="Q169" s="348"/>
      <c r="R169" s="350">
        <f>+F135</f>
        <v>31</v>
      </c>
      <c r="Y169" s="516" t="s">
        <v>1378</v>
      </c>
      <c r="Z169" s="514" t="s">
        <v>7932</v>
      </c>
      <c r="AA169"/>
      <c r="AB169" s="13" t="s">
        <v>7290</v>
      </c>
      <c r="AC169" s="136">
        <v>10320</v>
      </c>
      <c r="AD169" s="174" t="s">
        <v>1385</v>
      </c>
      <c r="AE169" s="60">
        <v>4</v>
      </c>
      <c r="AF169" s="107">
        <v>2</v>
      </c>
      <c r="AG169" s="370"/>
      <c r="AH169" s="371"/>
      <c r="AI169" s="372"/>
      <c r="AJ169" s="38"/>
      <c r="AK169" s="376"/>
      <c r="AL169" s="376"/>
      <c r="AM169" s="55"/>
      <c r="AN169" s="55"/>
      <c r="AO169" s="372"/>
      <c r="AP169" s="55"/>
      <c r="AQ169" s="55"/>
      <c r="AR169" s="376"/>
      <c r="AS169" s="13"/>
      <c r="AT169" s="55"/>
      <c r="AU169" s="55"/>
      <c r="AV169" s="55"/>
      <c r="AW169" s="55"/>
      <c r="AX169" s="55"/>
      <c r="AY169" s="55"/>
      <c r="AZ169" s="376"/>
      <c r="BA169" s="226"/>
      <c r="BB169" s="55"/>
      <c r="BC169" s="55"/>
      <c r="BD169" s="55"/>
      <c r="BE169" s="13"/>
      <c r="BF169" s="38"/>
      <c r="BG169" s="38"/>
      <c r="BH169" s="38"/>
      <c r="BI169" s="38"/>
      <c r="BJ169" s="38"/>
      <c r="BK169" s="38"/>
      <c r="BL169" s="38"/>
      <c r="BM169" s="38"/>
      <c r="BN169" s="55"/>
      <c r="BO169" s="55"/>
      <c r="BP169" s="104"/>
      <c r="BQ169" s="24"/>
      <c r="BR169" s="38"/>
      <c r="BS169" s="310"/>
      <c r="BT169" s="38"/>
      <c r="BU169" s="38"/>
      <c r="BV169" s="38"/>
      <c r="BW169" s="38"/>
      <c r="BX169" s="228"/>
      <c r="BY169" s="228"/>
      <c r="BZ169" s="268"/>
      <c r="CA169" s="228"/>
      <c r="CB169" s="232"/>
      <c r="CC169" s="38"/>
      <c r="CD169" s="38"/>
      <c r="CE169" s="38"/>
      <c r="CF169" s="38"/>
      <c r="CG169" s="38"/>
      <c r="CH169" s="38"/>
      <c r="CI169" s="38"/>
      <c r="CJ169" s="38"/>
      <c r="CK169" s="228"/>
      <c r="CL169" s="268"/>
      <c r="CM169" s="38"/>
      <c r="CN169" s="232"/>
      <c r="CO169" s="228"/>
      <c r="CP169" s="38"/>
      <c r="CQ169" s="38"/>
      <c r="CR169" s="38"/>
      <c r="CS169" s="38"/>
      <c r="CT169" s="38"/>
      <c r="CU169" s="38"/>
      <c r="CV169" s="38"/>
      <c r="CW169" s="228"/>
      <c r="CX169" s="268"/>
      <c r="CY169" s="38"/>
      <c r="CZ169" s="232">
        <v>2</v>
      </c>
      <c r="DA169" s="228"/>
      <c r="DB169" s="38"/>
      <c r="DC169" s="38"/>
      <c r="DD169" s="38"/>
      <c r="DE169" s="38"/>
      <c r="DF169" s="38"/>
      <c r="DG169" s="38"/>
      <c r="DH169" s="38"/>
      <c r="DI169" s="228"/>
      <c r="DJ169" s="268"/>
      <c r="DK169" s="38"/>
      <c r="DL169" s="232"/>
      <c r="DM169" s="228"/>
      <c r="DN169" s="38">
        <v>2</v>
      </c>
      <c r="DO169" s="38"/>
      <c r="DP169" s="38"/>
      <c r="DQ169" s="38"/>
      <c r="DR169" s="38"/>
      <c r="DS169" s="38"/>
      <c r="DT169" s="38"/>
      <c r="DU169" s="228"/>
      <c r="DV169" s="268"/>
      <c r="DW169" s="38"/>
      <c r="DX169" s="232"/>
      <c r="DY169" s="228"/>
      <c r="DZ169" s="38"/>
      <c r="EA169" s="38"/>
      <c r="EB169" s="38"/>
      <c r="EC169" s="38"/>
      <c r="ED169" s="38"/>
      <c r="EE169" s="38"/>
      <c r="EF169" s="38"/>
      <c r="EG169" s="228"/>
      <c r="EH169" s="268"/>
      <c r="EI169" s="38"/>
      <c r="EJ169" s="232"/>
    </row>
    <row r="170" spans="1:140" ht="25.5" x14ac:dyDescent="0.2">
      <c r="A170" s="8"/>
      <c r="B170" s="46" t="s">
        <v>1319</v>
      </c>
      <c r="C170" s="38">
        <v>0</v>
      </c>
      <c r="D170" s="248">
        <v>0</v>
      </c>
      <c r="E170" s="38">
        <v>0</v>
      </c>
      <c r="F170" s="42">
        <f t="shared" si="21"/>
        <v>0</v>
      </c>
      <c r="G170" s="322">
        <v>0</v>
      </c>
      <c r="H170" s="322">
        <v>0</v>
      </c>
      <c r="I170" s="322">
        <v>0</v>
      </c>
      <c r="J170" s="43">
        <v>0</v>
      </c>
      <c r="K170" s="248">
        <v>0</v>
      </c>
      <c r="L170" s="248">
        <v>4</v>
      </c>
      <c r="N170" s="337" t="s">
        <v>6185</v>
      </c>
      <c r="O170" s="338"/>
      <c r="P170" s="339"/>
      <c r="Q170" s="348"/>
      <c r="R170" s="350">
        <f>+F60</f>
        <v>28</v>
      </c>
      <c r="Y170" s="516" t="s">
        <v>718</v>
      </c>
      <c r="Z170" s="514" t="s">
        <v>8402</v>
      </c>
      <c r="AA170"/>
      <c r="AB170" s="13" t="s">
        <v>7393</v>
      </c>
      <c r="AC170" s="136">
        <v>10340</v>
      </c>
      <c r="AD170" s="174" t="s">
        <v>1381</v>
      </c>
      <c r="AE170" s="60">
        <f>SUM(AG170:EJ170)</f>
        <v>2</v>
      </c>
      <c r="AF170" s="107">
        <f>COUNTA(AG170:EJ170)</f>
        <v>2</v>
      </c>
      <c r="AG170" s="370"/>
      <c r="AH170" s="371"/>
      <c r="AI170" s="372"/>
      <c r="AJ170" s="38"/>
      <c r="AK170" s="376"/>
      <c r="AL170" s="376"/>
      <c r="AM170" s="55"/>
      <c r="AN170" s="55"/>
      <c r="AO170" s="372"/>
      <c r="AP170" s="55"/>
      <c r="AQ170" s="55"/>
      <c r="AR170" s="376"/>
      <c r="AS170" s="13"/>
      <c r="AT170" s="55"/>
      <c r="AU170" s="55"/>
      <c r="AV170" s="55"/>
      <c r="AW170" s="55"/>
      <c r="AX170" s="55"/>
      <c r="AY170" s="55"/>
      <c r="AZ170" s="376"/>
      <c r="BA170" s="226"/>
      <c r="BB170" s="55"/>
      <c r="BC170" s="55"/>
      <c r="BD170" s="55"/>
      <c r="BE170" s="13"/>
      <c r="BF170" s="38"/>
      <c r="BG170" s="38"/>
      <c r="BH170" s="38"/>
      <c r="BI170" s="38"/>
      <c r="BJ170" s="38"/>
      <c r="BK170" s="38"/>
      <c r="BL170" s="38"/>
      <c r="BM170" s="38"/>
      <c r="BN170" s="55"/>
      <c r="BO170" s="55"/>
      <c r="BP170" s="104"/>
      <c r="BQ170" s="24"/>
      <c r="BR170" s="38"/>
      <c r="BS170" s="310"/>
      <c r="BT170" s="38"/>
      <c r="BU170" s="38"/>
      <c r="BV170" s="38"/>
      <c r="BW170" s="38"/>
      <c r="BX170" s="228"/>
      <c r="BY170" s="228"/>
      <c r="BZ170" s="268"/>
      <c r="CA170" s="228"/>
      <c r="CB170" s="232"/>
      <c r="CC170" s="38"/>
      <c r="CD170" s="38"/>
      <c r="CE170" s="38"/>
      <c r="CF170" s="38"/>
      <c r="CG170" s="38"/>
      <c r="CH170" s="38"/>
      <c r="CI170" s="38"/>
      <c r="CJ170" s="38"/>
      <c r="CK170" s="228"/>
      <c r="CL170" s="268"/>
      <c r="CM170" s="38"/>
      <c r="CN170" s="232"/>
      <c r="CO170" s="228"/>
      <c r="CP170" s="38"/>
      <c r="CQ170" s="38"/>
      <c r="CR170" s="38"/>
      <c r="CS170" s="38"/>
      <c r="CT170" s="38"/>
      <c r="CU170" s="38"/>
      <c r="CV170" s="38"/>
      <c r="CW170" s="228"/>
      <c r="CX170" s="268"/>
      <c r="CY170" s="38"/>
      <c r="CZ170" s="232">
        <v>1</v>
      </c>
      <c r="DA170" s="228"/>
      <c r="DB170" s="38"/>
      <c r="DC170" s="38"/>
      <c r="DD170" s="38"/>
      <c r="DE170" s="38"/>
      <c r="DF170" s="38"/>
      <c r="DG170" s="38"/>
      <c r="DH170" s="38"/>
      <c r="DI170" s="228"/>
      <c r="DJ170" s="268"/>
      <c r="DK170" s="38"/>
      <c r="DL170" s="232"/>
      <c r="DM170" s="228"/>
      <c r="DN170" s="38"/>
      <c r="DO170" s="38">
        <v>1</v>
      </c>
      <c r="DP170" s="38"/>
      <c r="DQ170" s="38"/>
      <c r="DR170" s="38"/>
      <c r="DS170" s="38"/>
      <c r="DT170" s="38"/>
      <c r="DU170" s="228"/>
      <c r="DV170" s="268"/>
      <c r="DW170" s="38"/>
      <c r="DX170" s="232"/>
      <c r="DY170" s="228"/>
      <c r="DZ170" s="38"/>
      <c r="EA170" s="38"/>
      <c r="EB170" s="38"/>
      <c r="EC170" s="38"/>
      <c r="ED170" s="38"/>
      <c r="EE170" s="38"/>
      <c r="EF170" s="38"/>
      <c r="EG170" s="228"/>
      <c r="EH170" s="268"/>
      <c r="EI170" s="38"/>
      <c r="EJ170" s="232"/>
    </row>
    <row r="171" spans="1:140" ht="38.25" x14ac:dyDescent="0.2">
      <c r="A171" s="5" t="s">
        <v>1320</v>
      </c>
      <c r="B171" s="81" t="s">
        <v>1320</v>
      </c>
      <c r="C171" s="82">
        <v>0</v>
      </c>
      <c r="D171" s="255">
        <v>0</v>
      </c>
      <c r="E171" s="82">
        <v>0</v>
      </c>
      <c r="F171" s="42">
        <f t="shared" si="21"/>
        <v>0</v>
      </c>
      <c r="G171" s="322">
        <v>0</v>
      </c>
      <c r="H171" s="322">
        <v>0</v>
      </c>
      <c r="I171" s="322">
        <v>0</v>
      </c>
      <c r="J171" s="84">
        <v>0</v>
      </c>
      <c r="K171" s="255">
        <v>2486.6059999999998</v>
      </c>
      <c r="L171" s="255">
        <v>8</v>
      </c>
      <c r="N171" s="337" t="s">
        <v>1155</v>
      </c>
      <c r="O171" s="339"/>
      <c r="P171" s="340"/>
      <c r="Q171" s="341"/>
      <c r="R171" s="351">
        <f>+F182</f>
        <v>25</v>
      </c>
      <c r="Y171" s="516" t="s">
        <v>117</v>
      </c>
      <c r="Z171" s="514" t="s">
        <v>8133</v>
      </c>
      <c r="AA171"/>
      <c r="AB171" s="13" t="s">
        <v>8840</v>
      </c>
      <c r="AC171" s="136">
        <v>10352</v>
      </c>
      <c r="AD171" s="174" t="s">
        <v>1038</v>
      </c>
      <c r="AE171" s="60">
        <f>SUM(AG171:EJ171)</f>
        <v>2</v>
      </c>
      <c r="AF171" s="107">
        <f>COUNTA(AG171:EJ171)</f>
        <v>1</v>
      </c>
      <c r="AG171" s="370"/>
      <c r="AH171" s="371"/>
      <c r="AI171" s="372"/>
      <c r="AJ171" s="38"/>
      <c r="AK171" s="376"/>
      <c r="AL171" s="376"/>
      <c r="AM171" s="55"/>
      <c r="AN171" s="55"/>
      <c r="AO171" s="372"/>
      <c r="AP171" s="55"/>
      <c r="AQ171" s="55"/>
      <c r="AR171" s="376"/>
      <c r="AS171" s="13"/>
      <c r="AT171" s="55"/>
      <c r="AU171" s="55"/>
      <c r="AV171" s="55"/>
      <c r="AW171" s="55"/>
      <c r="AX171" s="55"/>
      <c r="AY171" s="55"/>
      <c r="AZ171" s="376"/>
      <c r="BA171" s="226"/>
      <c r="BB171" s="55"/>
      <c r="BC171" s="55"/>
      <c r="BD171" s="55"/>
      <c r="BE171" s="13"/>
      <c r="BF171" s="38"/>
      <c r="BG171" s="38"/>
      <c r="BH171" s="38"/>
      <c r="BI171" s="38"/>
      <c r="BJ171" s="38"/>
      <c r="BK171" s="38"/>
      <c r="BL171" s="38"/>
      <c r="BM171" s="38"/>
      <c r="BN171" s="55"/>
      <c r="BO171" s="55"/>
      <c r="BP171" s="104"/>
      <c r="BQ171" s="24"/>
      <c r="BR171" s="38"/>
      <c r="BS171" s="310"/>
      <c r="BT171" s="38"/>
      <c r="BU171" s="38"/>
      <c r="BV171" s="38"/>
      <c r="BW171" s="38"/>
      <c r="BX171" s="228"/>
      <c r="BY171" s="228"/>
      <c r="BZ171" s="268"/>
      <c r="CA171" s="228"/>
      <c r="CB171" s="232"/>
      <c r="CC171" s="38"/>
      <c r="CD171" s="38"/>
      <c r="CE171" s="38"/>
      <c r="CF171" s="38"/>
      <c r="CG171" s="38"/>
      <c r="CH171" s="38"/>
      <c r="CI171" s="38"/>
      <c r="CJ171" s="38"/>
      <c r="CK171" s="228"/>
      <c r="CL171" s="268"/>
      <c r="CM171" s="38"/>
      <c r="CN171" s="232"/>
      <c r="CO171" s="228"/>
      <c r="CP171" s="38"/>
      <c r="CQ171" s="38"/>
      <c r="CR171" s="38"/>
      <c r="CS171" s="38"/>
      <c r="CT171" s="38"/>
      <c r="CU171" s="38"/>
      <c r="CV171" s="38"/>
      <c r="CW171" s="228"/>
      <c r="CX171" s="268"/>
      <c r="CY171" s="38"/>
      <c r="CZ171" s="232"/>
      <c r="DA171" s="228"/>
      <c r="DB171" s="38"/>
      <c r="DC171" s="38"/>
      <c r="DD171" s="38"/>
      <c r="DE171" s="38"/>
      <c r="DF171" s="38"/>
      <c r="DG171" s="38"/>
      <c r="DH171" s="38"/>
      <c r="DI171" s="228"/>
      <c r="DJ171" s="268"/>
      <c r="DK171" s="38"/>
      <c r="DL171" s="232"/>
      <c r="DM171" s="228"/>
      <c r="DN171" s="38"/>
      <c r="DO171" s="38"/>
      <c r="DP171" s="38">
        <v>2</v>
      </c>
      <c r="DQ171" s="38"/>
      <c r="DR171" s="38"/>
      <c r="DS171" s="38"/>
      <c r="DT171" s="38"/>
      <c r="DU171" s="228"/>
      <c r="DV171" s="268"/>
      <c r="DW171" s="38"/>
      <c r="DX171" s="232"/>
      <c r="DY171" s="228"/>
      <c r="DZ171" s="38"/>
      <c r="EA171" s="38"/>
      <c r="EB171" s="38"/>
      <c r="EC171" s="38"/>
      <c r="ED171" s="38"/>
      <c r="EE171" s="38"/>
      <c r="EF171" s="38"/>
      <c r="EG171" s="228"/>
      <c r="EH171" s="268"/>
      <c r="EI171" s="38"/>
      <c r="EJ171" s="232"/>
    </row>
    <row r="172" spans="1:140" ht="15" x14ac:dyDescent="0.2">
      <c r="A172" s="19"/>
      <c r="B172" s="11" t="s">
        <v>1321</v>
      </c>
      <c r="C172" s="23">
        <v>0</v>
      </c>
      <c r="D172" s="248">
        <v>0</v>
      </c>
      <c r="E172" s="23">
        <v>0</v>
      </c>
      <c r="F172" s="31">
        <f t="shared" si="21"/>
        <v>0</v>
      </c>
      <c r="G172" s="321">
        <v>0</v>
      </c>
      <c r="H172" s="321">
        <v>0</v>
      </c>
      <c r="I172" s="321">
        <v>0</v>
      </c>
      <c r="J172" s="34">
        <v>0</v>
      </c>
      <c r="K172" s="248">
        <v>0</v>
      </c>
      <c r="L172" s="248">
        <v>0</v>
      </c>
      <c r="N172" s="337" t="s">
        <v>6183</v>
      </c>
      <c r="R172" s="351">
        <f>+F148</f>
        <v>22</v>
      </c>
      <c r="Y172" s="516" t="s">
        <v>253</v>
      </c>
      <c r="Z172" s="514" t="s">
        <v>9490</v>
      </c>
      <c r="AA172"/>
      <c r="AB172" s="13" t="s">
        <v>9666</v>
      </c>
      <c r="AC172" s="137">
        <v>10431</v>
      </c>
      <c r="AD172" s="174" t="s">
        <v>107</v>
      </c>
      <c r="AE172" s="60">
        <f>SUM(AG172:EJ172)</f>
        <v>0</v>
      </c>
      <c r="AF172" s="107">
        <f>COUNTA(AG172:EJ172)</f>
        <v>1</v>
      </c>
      <c r="AG172" s="370"/>
      <c r="AH172" s="371"/>
      <c r="AI172" s="372"/>
      <c r="AJ172" s="38"/>
      <c r="AK172" s="376"/>
      <c r="AL172" s="376"/>
      <c r="AM172" s="55"/>
      <c r="AN172" s="55"/>
      <c r="AO172" s="372"/>
      <c r="AP172" s="55"/>
      <c r="AQ172" s="55"/>
      <c r="AR172" s="716"/>
      <c r="AS172" s="55"/>
      <c r="AT172" s="55"/>
      <c r="AU172" s="55"/>
      <c r="AV172" s="55"/>
      <c r="AW172" s="55"/>
      <c r="AX172" s="55"/>
      <c r="AY172" s="55"/>
      <c r="AZ172" s="376"/>
      <c r="BA172" s="226"/>
      <c r="BB172" s="55"/>
      <c r="BC172" s="55"/>
      <c r="BD172" s="76"/>
      <c r="BE172" s="55"/>
      <c r="BF172" s="38"/>
      <c r="BG172" s="38"/>
      <c r="BH172" s="38"/>
      <c r="BI172" s="38"/>
      <c r="BJ172" s="38"/>
      <c r="BK172" s="38"/>
      <c r="BL172" s="38"/>
      <c r="BM172" s="38"/>
      <c r="BN172" s="55"/>
      <c r="BO172" s="55"/>
      <c r="BP172" s="122"/>
      <c r="BQ172" s="38"/>
      <c r="BR172" s="38"/>
      <c r="BS172" s="310"/>
      <c r="BT172" s="38"/>
      <c r="BU172" s="38"/>
      <c r="BV172" s="38"/>
      <c r="BW172" s="38"/>
      <c r="BX172" s="228"/>
      <c r="BY172" s="228"/>
      <c r="BZ172" s="268"/>
      <c r="CA172" s="228"/>
      <c r="CB172" s="232"/>
      <c r="CC172" s="38"/>
      <c r="CD172" s="38"/>
      <c r="CE172" s="38"/>
      <c r="CF172" s="38"/>
      <c r="CG172" s="38"/>
      <c r="CH172" s="38"/>
      <c r="CI172" s="38"/>
      <c r="CJ172" s="38"/>
      <c r="CK172" s="228"/>
      <c r="CL172" s="268"/>
      <c r="CM172" s="38"/>
      <c r="CN172" s="232"/>
      <c r="CO172" s="228"/>
      <c r="CP172" s="38"/>
      <c r="CQ172" s="38"/>
      <c r="CR172" s="38"/>
      <c r="CS172" s="38"/>
      <c r="CT172" s="38"/>
      <c r="CU172" s="38"/>
      <c r="CV172" s="38"/>
      <c r="CW172" s="228"/>
      <c r="CX172" s="268"/>
      <c r="CY172" s="38"/>
      <c r="CZ172" s="232"/>
      <c r="DA172" s="228"/>
      <c r="DB172" s="38"/>
      <c r="DC172" s="38"/>
      <c r="DD172" s="38"/>
      <c r="DE172" s="38"/>
      <c r="DF172" s="38"/>
      <c r="DG172" s="38"/>
      <c r="DH172" s="38"/>
      <c r="DI172" s="228"/>
      <c r="DJ172" s="268"/>
      <c r="DK172" s="38"/>
      <c r="DL172" s="232"/>
      <c r="DM172" s="228"/>
      <c r="DN172" s="38"/>
      <c r="DO172" s="38"/>
      <c r="DP172" s="38"/>
      <c r="DQ172" s="38"/>
      <c r="DR172" s="38"/>
      <c r="DS172" s="38"/>
      <c r="DT172" s="38"/>
      <c r="DU172" s="228"/>
      <c r="DV172" s="268"/>
      <c r="DW172" s="38"/>
      <c r="DX172" s="232"/>
      <c r="DY172" s="228"/>
      <c r="DZ172" s="38"/>
      <c r="EA172" s="38"/>
      <c r="EB172" s="38"/>
      <c r="EC172" s="38"/>
      <c r="ED172" s="38"/>
      <c r="EE172" s="38"/>
      <c r="EF172" s="38"/>
      <c r="EG172" s="228"/>
      <c r="EH172" s="268">
        <v>0</v>
      </c>
      <c r="EI172" s="38"/>
      <c r="EJ172" s="232"/>
    </row>
    <row r="173" spans="1:140" ht="15" x14ac:dyDescent="0.2">
      <c r="A173" s="19" t="s">
        <v>820</v>
      </c>
      <c r="B173" s="11" t="s">
        <v>1322</v>
      </c>
      <c r="C173" s="23">
        <v>0</v>
      </c>
      <c r="D173" s="248">
        <v>0</v>
      </c>
      <c r="E173" s="23">
        <v>0</v>
      </c>
      <c r="F173" s="25">
        <f t="shared" si="21"/>
        <v>0</v>
      </c>
      <c r="G173" s="144">
        <v>0</v>
      </c>
      <c r="H173" s="144">
        <v>0</v>
      </c>
      <c r="I173" s="144">
        <v>0</v>
      </c>
      <c r="J173" s="34">
        <v>0</v>
      </c>
      <c r="K173" s="248">
        <v>0.68500000000000005</v>
      </c>
      <c r="L173" s="248">
        <v>1</v>
      </c>
      <c r="N173" s="337" t="s">
        <v>6184</v>
      </c>
      <c r="O173" s="339"/>
      <c r="P173" s="340"/>
      <c r="Q173" s="341"/>
      <c r="R173" s="351">
        <f>+F149</f>
        <v>15</v>
      </c>
      <c r="Y173" s="516" t="s">
        <v>983</v>
      </c>
      <c r="Z173" s="514" t="s">
        <v>7909</v>
      </c>
      <c r="AA173"/>
      <c r="AB173" s="176" t="s">
        <v>7119</v>
      </c>
      <c r="AC173" s="544">
        <f>COUNTA(AC65:AC172)</f>
        <v>108</v>
      </c>
      <c r="AD173" s="5" t="s">
        <v>6934</v>
      </c>
      <c r="AE173" s="208">
        <f>SUM(AE65:AE172)</f>
        <v>1885</v>
      </c>
      <c r="AF173" s="208">
        <f>SUM(AF65:AF172)</f>
        <v>269</v>
      </c>
      <c r="AG173" s="922" t="s">
        <v>6935</v>
      </c>
      <c r="AH173" s="923"/>
      <c r="AI173" s="182">
        <f t="shared" ref="AI173:BN173" si="25">SUM(AI65:AI172)</f>
        <v>0</v>
      </c>
      <c r="AJ173" s="182">
        <f t="shared" si="25"/>
        <v>0</v>
      </c>
      <c r="AK173" s="182">
        <f t="shared" si="25"/>
        <v>0</v>
      </c>
      <c r="AL173" s="182">
        <f t="shared" si="25"/>
        <v>0</v>
      </c>
      <c r="AM173" s="182">
        <f t="shared" si="25"/>
        <v>0</v>
      </c>
      <c r="AN173" s="182">
        <f t="shared" si="25"/>
        <v>961</v>
      </c>
      <c r="AO173" s="182">
        <f t="shared" si="25"/>
        <v>0</v>
      </c>
      <c r="AP173" s="182">
        <f t="shared" si="25"/>
        <v>0</v>
      </c>
      <c r="AQ173" s="182">
        <f t="shared" si="25"/>
        <v>0</v>
      </c>
      <c r="AR173" s="545">
        <f t="shared" si="25"/>
        <v>0</v>
      </c>
      <c r="AS173" s="182">
        <f t="shared" si="25"/>
        <v>0</v>
      </c>
      <c r="AT173" s="182">
        <f t="shared" si="25"/>
        <v>0</v>
      </c>
      <c r="AU173" s="182">
        <f t="shared" si="25"/>
        <v>88</v>
      </c>
      <c r="AV173" s="182">
        <f t="shared" si="25"/>
        <v>8</v>
      </c>
      <c r="AW173" s="182">
        <f t="shared" si="25"/>
        <v>26</v>
      </c>
      <c r="AX173" s="182">
        <f t="shared" si="25"/>
        <v>0</v>
      </c>
      <c r="AY173" s="182">
        <f t="shared" si="25"/>
        <v>0</v>
      </c>
      <c r="AZ173" s="182">
        <f t="shared" si="25"/>
        <v>5</v>
      </c>
      <c r="BA173" s="182">
        <f t="shared" si="25"/>
        <v>2</v>
      </c>
      <c r="BB173" s="182">
        <f t="shared" si="25"/>
        <v>0</v>
      </c>
      <c r="BC173" s="182">
        <f t="shared" si="25"/>
        <v>7</v>
      </c>
      <c r="BD173" s="545">
        <f t="shared" si="25"/>
        <v>0</v>
      </c>
      <c r="BE173" s="182">
        <f t="shared" si="25"/>
        <v>0</v>
      </c>
      <c r="BF173" s="182">
        <f t="shared" si="25"/>
        <v>3</v>
      </c>
      <c r="BG173" s="182">
        <f t="shared" si="25"/>
        <v>8</v>
      </c>
      <c r="BH173" s="182">
        <f t="shared" si="25"/>
        <v>5</v>
      </c>
      <c r="BI173" s="182">
        <f t="shared" si="25"/>
        <v>11</v>
      </c>
      <c r="BJ173" s="182">
        <f t="shared" si="25"/>
        <v>4</v>
      </c>
      <c r="BK173" s="182">
        <f t="shared" si="25"/>
        <v>3</v>
      </c>
      <c r="BL173" s="182">
        <f t="shared" si="25"/>
        <v>6</v>
      </c>
      <c r="BM173" s="182">
        <f t="shared" si="25"/>
        <v>2</v>
      </c>
      <c r="BN173" s="182">
        <f t="shared" si="25"/>
        <v>5</v>
      </c>
      <c r="BO173" s="182">
        <f t="shared" ref="BO173:CT173" si="26">SUM(BO65:BO172)</f>
        <v>2</v>
      </c>
      <c r="BP173" s="545">
        <f t="shared" si="26"/>
        <v>15</v>
      </c>
      <c r="BQ173" s="182">
        <f t="shared" si="26"/>
        <v>9</v>
      </c>
      <c r="BR173" s="182">
        <f t="shared" si="26"/>
        <v>6</v>
      </c>
      <c r="BS173" s="182">
        <f t="shared" si="26"/>
        <v>2</v>
      </c>
      <c r="BT173" s="182">
        <f t="shared" si="26"/>
        <v>56</v>
      </c>
      <c r="BU173" s="182">
        <f t="shared" si="26"/>
        <v>37</v>
      </c>
      <c r="BV173" s="182">
        <f t="shared" si="26"/>
        <v>16</v>
      </c>
      <c r="BW173" s="182">
        <f t="shared" si="26"/>
        <v>44</v>
      </c>
      <c r="BX173" s="182">
        <f t="shared" si="26"/>
        <v>8</v>
      </c>
      <c r="BY173" s="182">
        <f t="shared" si="26"/>
        <v>1</v>
      </c>
      <c r="BZ173" s="182">
        <f t="shared" si="26"/>
        <v>5</v>
      </c>
      <c r="CA173" s="182">
        <f t="shared" si="26"/>
        <v>15</v>
      </c>
      <c r="CB173" s="545">
        <f t="shared" si="26"/>
        <v>3</v>
      </c>
      <c r="CC173" s="182">
        <f t="shared" si="26"/>
        <v>5</v>
      </c>
      <c r="CD173" s="182">
        <f t="shared" si="26"/>
        <v>2</v>
      </c>
      <c r="CE173" s="182">
        <f t="shared" si="26"/>
        <v>26</v>
      </c>
      <c r="CF173" s="182">
        <f t="shared" si="26"/>
        <v>4</v>
      </c>
      <c r="CG173" s="182">
        <f t="shared" si="26"/>
        <v>22</v>
      </c>
      <c r="CH173" s="182">
        <f t="shared" si="26"/>
        <v>3</v>
      </c>
      <c r="CI173" s="182">
        <f t="shared" si="26"/>
        <v>4</v>
      </c>
      <c r="CJ173" s="182">
        <f t="shared" si="26"/>
        <v>6</v>
      </c>
      <c r="CK173" s="182">
        <f t="shared" si="26"/>
        <v>61</v>
      </c>
      <c r="CL173" s="182">
        <f t="shared" si="26"/>
        <v>1</v>
      </c>
      <c r="CM173" s="182">
        <f t="shared" si="26"/>
        <v>19</v>
      </c>
      <c r="CN173" s="545">
        <f t="shared" si="26"/>
        <v>16</v>
      </c>
      <c r="CO173" s="182">
        <f t="shared" si="26"/>
        <v>19</v>
      </c>
      <c r="CP173" s="182">
        <f t="shared" si="26"/>
        <v>14</v>
      </c>
      <c r="CQ173" s="182">
        <f t="shared" si="26"/>
        <v>10</v>
      </c>
      <c r="CR173" s="182">
        <f t="shared" si="26"/>
        <v>8</v>
      </c>
      <c r="CS173" s="182">
        <f t="shared" si="26"/>
        <v>5</v>
      </c>
      <c r="CT173" s="182">
        <f t="shared" si="26"/>
        <v>3</v>
      </c>
      <c r="CU173" s="182">
        <f t="shared" ref="CU173:DZ173" si="27">SUM(CU65:CU172)</f>
        <v>8</v>
      </c>
      <c r="CV173" s="182">
        <f t="shared" si="27"/>
        <v>3</v>
      </c>
      <c r="CW173" s="182">
        <f t="shared" si="27"/>
        <v>7</v>
      </c>
      <c r="CX173" s="182">
        <f t="shared" si="27"/>
        <v>4</v>
      </c>
      <c r="CY173" s="182">
        <f t="shared" si="27"/>
        <v>5</v>
      </c>
      <c r="CZ173" s="545">
        <f t="shared" si="27"/>
        <v>16</v>
      </c>
      <c r="DA173" s="182">
        <f t="shared" si="27"/>
        <v>11</v>
      </c>
      <c r="DB173" s="182">
        <f t="shared" si="27"/>
        <v>2</v>
      </c>
      <c r="DC173" s="182">
        <f t="shared" si="27"/>
        <v>4</v>
      </c>
      <c r="DD173" s="182">
        <f t="shared" si="27"/>
        <v>12</v>
      </c>
      <c r="DE173" s="182">
        <f t="shared" si="27"/>
        <v>2</v>
      </c>
      <c r="DF173" s="182">
        <f t="shared" si="27"/>
        <v>6</v>
      </c>
      <c r="DG173" s="182">
        <f t="shared" si="27"/>
        <v>2</v>
      </c>
      <c r="DH173" s="182">
        <f t="shared" si="27"/>
        <v>8</v>
      </c>
      <c r="DI173" s="182">
        <f t="shared" si="27"/>
        <v>13</v>
      </c>
      <c r="DJ173" s="182">
        <f t="shared" si="27"/>
        <v>10</v>
      </c>
      <c r="DK173" s="182">
        <f t="shared" si="27"/>
        <v>8</v>
      </c>
      <c r="DL173" s="545">
        <f t="shared" si="27"/>
        <v>6</v>
      </c>
      <c r="DM173" s="746">
        <f t="shared" si="27"/>
        <v>10</v>
      </c>
      <c r="DN173" s="182">
        <f t="shared" si="27"/>
        <v>9</v>
      </c>
      <c r="DO173" s="182">
        <f t="shared" si="27"/>
        <v>2</v>
      </c>
      <c r="DP173" s="182">
        <f t="shared" si="27"/>
        <v>5</v>
      </c>
      <c r="DQ173" s="182">
        <f t="shared" si="27"/>
        <v>7</v>
      </c>
      <c r="DR173" s="182">
        <f t="shared" si="27"/>
        <v>5</v>
      </c>
      <c r="DS173" s="182">
        <f t="shared" si="27"/>
        <v>3</v>
      </c>
      <c r="DT173" s="182">
        <f t="shared" si="27"/>
        <v>20</v>
      </c>
      <c r="DU173" s="182">
        <f t="shared" si="27"/>
        <v>4</v>
      </c>
      <c r="DV173" s="182">
        <f t="shared" si="27"/>
        <v>24</v>
      </c>
      <c r="DW173" s="182">
        <f t="shared" si="27"/>
        <v>14</v>
      </c>
      <c r="DX173" s="545">
        <f t="shared" si="27"/>
        <v>6</v>
      </c>
      <c r="DY173" s="746">
        <f t="shared" si="27"/>
        <v>6</v>
      </c>
      <c r="DZ173" s="182">
        <f t="shared" si="27"/>
        <v>5</v>
      </c>
      <c r="EA173" s="182">
        <f t="shared" ref="EA173:EJ173" si="28">SUM(EA65:EA172)</f>
        <v>1</v>
      </c>
      <c r="EB173" s="182">
        <f t="shared" si="28"/>
        <v>0</v>
      </c>
      <c r="EC173" s="182">
        <f t="shared" si="28"/>
        <v>8</v>
      </c>
      <c r="ED173" s="182">
        <f t="shared" si="28"/>
        <v>12</v>
      </c>
      <c r="EE173" s="182">
        <f t="shared" si="28"/>
        <v>7</v>
      </c>
      <c r="EF173" s="182">
        <f t="shared" si="28"/>
        <v>6</v>
      </c>
      <c r="EG173" s="182">
        <f t="shared" si="28"/>
        <v>13</v>
      </c>
      <c r="EH173" s="182">
        <v>0</v>
      </c>
      <c r="EI173" s="182">
        <f t="shared" si="28"/>
        <v>0</v>
      </c>
      <c r="EJ173" s="545">
        <f t="shared" si="28"/>
        <v>0</v>
      </c>
    </row>
    <row r="174" spans="1:140" ht="15" x14ac:dyDescent="0.2">
      <c r="A174" s="19" t="s">
        <v>1204</v>
      </c>
      <c r="B174" s="11" t="s">
        <v>1323</v>
      </c>
      <c r="C174" s="23">
        <v>0</v>
      </c>
      <c r="D174" s="248">
        <v>0</v>
      </c>
      <c r="E174" s="23">
        <v>3</v>
      </c>
      <c r="F174" s="25">
        <f t="shared" si="21"/>
        <v>3</v>
      </c>
      <c r="G174" s="144">
        <v>0</v>
      </c>
      <c r="H174" s="144">
        <v>0</v>
      </c>
      <c r="I174" s="144">
        <v>5</v>
      </c>
      <c r="J174" s="34">
        <v>0</v>
      </c>
      <c r="K174" s="248">
        <v>225.09300000000002</v>
      </c>
      <c r="L174" s="248">
        <v>6</v>
      </c>
      <c r="N174" s="337" t="s">
        <v>923</v>
      </c>
      <c r="O174" s="339"/>
      <c r="P174" s="340"/>
      <c r="Q174" s="341"/>
      <c r="R174" s="351">
        <f>+F169</f>
        <v>13</v>
      </c>
      <c r="Y174" s="516" t="s">
        <v>991</v>
      </c>
      <c r="Z174" s="514" t="s">
        <v>7924</v>
      </c>
      <c r="AA174"/>
      <c r="AB174" s="21"/>
      <c r="AF174"/>
      <c r="AG174" s="367">
        <f>+AG69+AG71+AG76+AG83+AG84+AG90+AG110+AG112+AG154+AG85+AG106+AG92+AG103</f>
        <v>0</v>
      </c>
      <c r="AH174" s="371"/>
      <c r="AI174" s="294"/>
      <c r="AJ174" s="26"/>
      <c r="AK174" s="374"/>
      <c r="AL174" s="374"/>
      <c r="AM174" s="26"/>
      <c r="AN174" s="26"/>
      <c r="AO174" s="294"/>
      <c r="AP174" s="26"/>
      <c r="AQ174" s="26"/>
      <c r="AR174" s="374"/>
      <c r="AS174" s="26"/>
      <c r="AT174" s="26"/>
      <c r="AU174" s="26"/>
      <c r="AV174" s="26"/>
      <c r="AW174" s="26"/>
      <c r="AX174" s="26"/>
      <c r="AY174" s="26"/>
      <c r="AZ174" s="374"/>
      <c r="BA174" s="135"/>
      <c r="BB174" s="26"/>
      <c r="BC174" s="26"/>
      <c r="BD174" s="26"/>
      <c r="BE174" s="26"/>
      <c r="BF174" s="26"/>
      <c r="BG174" s="26"/>
      <c r="BH174" s="26"/>
      <c r="BI174" s="26"/>
      <c r="BJ174" s="26"/>
      <c r="BK174" s="26"/>
      <c r="BL174" s="26"/>
      <c r="BM174" s="26"/>
      <c r="BS174" s="20"/>
      <c r="BT174" s="26"/>
      <c r="BV174" s="381"/>
      <c r="BW174" s="26"/>
      <c r="BX174" s="218"/>
      <c r="BZ174" s="4"/>
      <c r="CA174" s="218"/>
      <c r="CC174" s="26"/>
      <c r="CM174"/>
    </row>
    <row r="175" spans="1:140" ht="15" customHeight="1" x14ac:dyDescent="0.2">
      <c r="A175" s="548">
        <f>SUM(F172:F181)</f>
        <v>8</v>
      </c>
      <c r="B175" s="549" t="s">
        <v>1324</v>
      </c>
      <c r="C175" s="327">
        <v>0</v>
      </c>
      <c r="D175" s="550">
        <v>0</v>
      </c>
      <c r="E175" s="327">
        <v>0</v>
      </c>
      <c r="F175" s="551">
        <f t="shared" si="21"/>
        <v>0</v>
      </c>
      <c r="G175" s="552">
        <v>0</v>
      </c>
      <c r="H175" s="552">
        <v>0</v>
      </c>
      <c r="I175" s="552">
        <v>0</v>
      </c>
      <c r="J175" s="553">
        <v>0</v>
      </c>
      <c r="K175" s="550">
        <v>0</v>
      </c>
      <c r="L175" s="550">
        <v>0</v>
      </c>
      <c r="N175" s="337" t="s">
        <v>6196</v>
      </c>
      <c r="O175" s="339"/>
      <c r="P175" s="340"/>
      <c r="Q175" s="341"/>
      <c r="R175" s="351">
        <f>+F150</f>
        <v>9</v>
      </c>
      <c r="Y175" s="516" t="s">
        <v>695</v>
      </c>
      <c r="Z175" s="514" t="s">
        <v>7908</v>
      </c>
      <c r="AA175"/>
      <c r="AB175" s="21"/>
      <c r="AF175"/>
      <c r="AG175" s="294"/>
      <c r="AH175" s="366"/>
      <c r="AI175" s="294"/>
      <c r="AJ175" s="26"/>
      <c r="AK175" s="374"/>
      <c r="AL175" s="374"/>
      <c r="AM175" s="26"/>
      <c r="AN175" s="26"/>
      <c r="AO175" s="294"/>
      <c r="AP175" s="26"/>
      <c r="AQ175" s="26"/>
      <c r="AR175" s="374"/>
      <c r="AS175" s="26"/>
      <c r="AT175" s="26"/>
      <c r="AU175" s="26"/>
      <c r="AV175" s="26"/>
      <c r="AW175" s="26"/>
      <c r="AX175" s="26"/>
      <c r="AY175" s="26"/>
      <c r="AZ175" s="374"/>
      <c r="BA175" s="135"/>
      <c r="BB175" s="26"/>
      <c r="BC175" s="26"/>
      <c r="BD175" s="26"/>
      <c r="BE175" s="26"/>
      <c r="BF175" s="26"/>
      <c r="BG175" s="26"/>
      <c r="BH175" s="26"/>
      <c r="BI175" s="26"/>
      <c r="BJ175" s="26"/>
      <c r="BK175" s="26"/>
      <c r="BL175" s="26"/>
      <c r="BM175" s="26"/>
      <c r="BS175" s="20"/>
      <c r="BT175" s="26"/>
      <c r="BV175" s="381"/>
      <c r="BW175" s="26"/>
      <c r="BX175" s="218"/>
      <c r="BZ175" s="4"/>
      <c r="CA175" s="218"/>
      <c r="CC175" s="26"/>
      <c r="CM175"/>
    </row>
    <row r="176" spans="1:140" ht="15" x14ac:dyDescent="0.2">
      <c r="A176" s="148"/>
      <c r="B176" s="149" t="s">
        <v>1833</v>
      </c>
      <c r="C176" s="23">
        <v>2</v>
      </c>
      <c r="D176" s="248">
        <v>0</v>
      </c>
      <c r="E176" s="23">
        <v>2</v>
      </c>
      <c r="F176" s="25">
        <f t="shared" si="21"/>
        <v>4</v>
      </c>
      <c r="G176" s="144">
        <v>0</v>
      </c>
      <c r="H176" s="144">
        <v>0</v>
      </c>
      <c r="I176" s="144">
        <v>4</v>
      </c>
      <c r="J176" s="34">
        <v>0</v>
      </c>
      <c r="K176" s="248">
        <v>0</v>
      </c>
      <c r="L176" s="248">
        <v>4</v>
      </c>
      <c r="N176" s="342" t="s">
        <v>6188</v>
      </c>
      <c r="O176" s="343"/>
      <c r="P176" s="344"/>
      <c r="Q176" s="345"/>
      <c r="R176" s="352">
        <f>+F152</f>
        <v>9</v>
      </c>
      <c r="Y176" s="516" t="s">
        <v>818</v>
      </c>
      <c r="Z176" s="514" t="s">
        <v>7925</v>
      </c>
      <c r="AA176"/>
      <c r="AB176" s="21"/>
      <c r="AF176"/>
      <c r="AG176" s="294"/>
      <c r="AH176" s="366"/>
      <c r="AI176" s="294"/>
      <c r="AJ176" s="26"/>
      <c r="AK176" s="374"/>
      <c r="AL176" s="374"/>
      <c r="AM176" s="26"/>
      <c r="AN176" s="26"/>
      <c r="AO176" s="294"/>
      <c r="AP176" s="26"/>
      <c r="AQ176" s="26"/>
      <c r="AR176" s="374"/>
      <c r="AS176" s="26"/>
      <c r="AT176" s="26"/>
      <c r="AU176" s="26"/>
      <c r="AV176" s="26"/>
      <c r="AW176" s="26"/>
      <c r="AX176" s="26"/>
      <c r="AY176" s="26"/>
      <c r="AZ176" s="374"/>
      <c r="BA176" s="135"/>
      <c r="BB176" s="26"/>
      <c r="BC176" s="26"/>
      <c r="BD176" s="26"/>
      <c r="BE176" s="26"/>
      <c r="BF176" s="26"/>
      <c r="BG176" s="26"/>
      <c r="BH176" s="26"/>
      <c r="BI176" s="26"/>
      <c r="BJ176" s="26"/>
      <c r="BK176" s="26"/>
      <c r="BL176" s="26"/>
      <c r="BM176" s="26"/>
      <c r="BS176" s="20"/>
      <c r="BT176" s="26"/>
      <c r="BV176" s="381"/>
      <c r="BW176" s="26"/>
      <c r="BX176" s="218"/>
      <c r="BZ176" s="4"/>
      <c r="CA176" s="218"/>
      <c r="CC176" s="26"/>
      <c r="CM176"/>
    </row>
    <row r="177" spans="1:16383" x14ac:dyDescent="0.2">
      <c r="B177" s="11" t="s">
        <v>1325</v>
      </c>
      <c r="C177" s="23">
        <v>0</v>
      </c>
      <c r="D177" s="248">
        <v>0</v>
      </c>
      <c r="E177" s="23">
        <v>0</v>
      </c>
      <c r="F177" s="25">
        <f t="shared" si="21"/>
        <v>0</v>
      </c>
      <c r="G177" s="144">
        <v>0</v>
      </c>
      <c r="H177" s="144">
        <v>0</v>
      </c>
      <c r="I177" s="144">
        <v>0</v>
      </c>
      <c r="J177" s="34">
        <v>0</v>
      </c>
      <c r="K177" s="248">
        <v>0</v>
      </c>
      <c r="L177" s="248">
        <v>3</v>
      </c>
      <c r="Y177" s="516" t="s">
        <v>1002</v>
      </c>
      <c r="Z177" s="514" t="s">
        <v>7909</v>
      </c>
      <c r="AA177"/>
      <c r="AB177" s="207"/>
      <c r="AF177"/>
      <c r="AG177" s="294"/>
      <c r="AH177" s="294"/>
      <c r="AI177" s="294"/>
      <c r="AJ177" s="26"/>
      <c r="AK177" s="374"/>
      <c r="AL177" s="374"/>
      <c r="AN177" s="26"/>
      <c r="AO177" s="294"/>
      <c r="AP177" s="26"/>
      <c r="AQ177" s="26"/>
      <c r="AR177" s="374"/>
      <c r="AS177" s="26"/>
      <c r="AT177" s="26"/>
      <c r="AU177" s="26"/>
      <c r="AV177" s="26"/>
      <c r="AW177" s="26"/>
      <c r="AX177" s="26"/>
      <c r="AY177" s="26"/>
      <c r="AZ177" s="374"/>
      <c r="BA177" s="135"/>
      <c r="BB177" s="26"/>
      <c r="BC177" s="26"/>
      <c r="BD177" s="26"/>
      <c r="BE177" s="26"/>
      <c r="BF177" s="26"/>
      <c r="BG177" s="26"/>
      <c r="BH177" s="26"/>
      <c r="BI177" s="26"/>
      <c r="BJ177" s="26"/>
      <c r="BK177" s="26"/>
      <c r="BL177" s="26"/>
      <c r="BM177" s="26"/>
      <c r="BS177" s="20"/>
      <c r="BT177" s="26"/>
      <c r="BV177" s="381"/>
      <c r="BW177" s="26"/>
      <c r="BX177" s="218"/>
      <c r="BZ177" s="4"/>
      <c r="CA177" s="218"/>
      <c r="CC177" s="26"/>
      <c r="CM177"/>
    </row>
    <row r="178" spans="1:16383" x14ac:dyDescent="0.2">
      <c r="A178" s="48"/>
      <c r="B178" s="11" t="s">
        <v>1326</v>
      </c>
      <c r="C178" s="23">
        <v>0</v>
      </c>
      <c r="D178" s="248">
        <v>0</v>
      </c>
      <c r="E178" s="23">
        <v>0</v>
      </c>
      <c r="F178" s="25">
        <f t="shared" si="21"/>
        <v>0</v>
      </c>
      <c r="G178" s="144">
        <v>0</v>
      </c>
      <c r="H178" s="144">
        <v>0</v>
      </c>
      <c r="I178" s="144">
        <v>0</v>
      </c>
      <c r="J178" s="34">
        <v>0</v>
      </c>
      <c r="K178" s="248">
        <v>16.663</v>
      </c>
      <c r="L178" s="248">
        <v>1</v>
      </c>
      <c r="N178" s="353" t="s">
        <v>6189</v>
      </c>
      <c r="O178" s="354"/>
      <c r="P178" s="355"/>
      <c r="Q178" s="346"/>
      <c r="R178" s="258" t="s">
        <v>6177</v>
      </c>
      <c r="Y178" s="516" t="s">
        <v>1381</v>
      </c>
      <c r="Z178" s="514" t="s">
        <v>9816</v>
      </c>
      <c r="AA178"/>
      <c r="AB178" s="21"/>
      <c r="AC178" s="924"/>
      <c r="AD178" s="924"/>
      <c r="AE178" s="924"/>
      <c r="AF178" s="924"/>
      <c r="AG178" s="925"/>
      <c r="AH178" s="925"/>
      <c r="AI178" s="294"/>
      <c r="AJ178" s="26"/>
      <c r="AK178" s="374"/>
      <c r="AL178" s="374"/>
      <c r="AM178" s="26"/>
      <c r="AN178" s="26"/>
      <c r="AO178" s="294"/>
      <c r="AP178" s="26"/>
      <c r="AQ178" s="26"/>
      <c r="AR178" s="374"/>
      <c r="AS178" s="26"/>
      <c r="AT178" s="26"/>
      <c r="AU178" s="26"/>
      <c r="AV178" s="26"/>
      <c r="AW178" s="26"/>
      <c r="AX178" s="26"/>
      <c r="AY178" s="26"/>
      <c r="AZ178" s="374"/>
      <c r="BA178" s="135"/>
      <c r="BB178" s="26"/>
      <c r="BC178" s="26"/>
      <c r="BD178" s="26"/>
      <c r="BE178" s="26"/>
      <c r="BF178" s="26"/>
      <c r="BG178" s="26"/>
      <c r="BH178" s="26"/>
      <c r="BI178" s="26"/>
      <c r="BJ178" s="26"/>
      <c r="BK178" s="26"/>
      <c r="BL178" s="26"/>
      <c r="BM178" s="26"/>
      <c r="BS178" s="20"/>
      <c r="BT178" s="26"/>
      <c r="BV178" s="381"/>
      <c r="BW178" s="26"/>
      <c r="BX178" s="218"/>
      <c r="BZ178" s="4"/>
      <c r="CA178" s="218"/>
      <c r="CC178" s="26"/>
      <c r="CM178"/>
    </row>
    <row r="179" spans="1:16383" ht="15" customHeight="1" x14ac:dyDescent="0.2">
      <c r="A179" s="48"/>
      <c r="B179" s="11" t="s">
        <v>821</v>
      </c>
      <c r="C179" s="23">
        <v>0</v>
      </c>
      <c r="D179" s="248">
        <v>0</v>
      </c>
      <c r="E179" s="23">
        <v>1</v>
      </c>
      <c r="F179" s="25">
        <f t="shared" si="21"/>
        <v>1</v>
      </c>
      <c r="G179" s="144">
        <v>1</v>
      </c>
      <c r="H179" s="144">
        <v>311.84100000000001</v>
      </c>
      <c r="I179" s="144">
        <v>3</v>
      </c>
      <c r="J179" s="34">
        <v>0</v>
      </c>
      <c r="K179" s="248">
        <v>245717.56300000005</v>
      </c>
      <c r="L179" s="248">
        <v>2581</v>
      </c>
      <c r="N179" s="334" t="s">
        <v>6183</v>
      </c>
      <c r="O179" s="335"/>
      <c r="P179" s="336"/>
      <c r="Q179" s="347"/>
      <c r="R179" s="349">
        <f>+I148</f>
        <v>1103</v>
      </c>
      <c r="Y179" s="516" t="s">
        <v>1008</v>
      </c>
      <c r="Z179" s="514" t="s">
        <v>9197</v>
      </c>
      <c r="AA179"/>
      <c r="AB179" s="21"/>
      <c r="AD179" s="21"/>
      <c r="AE179" s="26"/>
      <c r="AF179" s="26"/>
      <c r="AG179" s="294"/>
      <c r="AH179" s="366"/>
      <c r="AI179" s="294"/>
      <c r="AJ179" s="26"/>
      <c r="AK179" s="374"/>
      <c r="AL179" s="374"/>
      <c r="AM179" s="26"/>
      <c r="AN179" s="26"/>
      <c r="AO179" s="294"/>
      <c r="AP179" s="26"/>
      <c r="AQ179" s="26"/>
      <c r="AR179" s="374"/>
      <c r="AS179" s="26"/>
      <c r="AT179" s="26"/>
      <c r="AU179" s="26"/>
      <c r="AV179" s="26"/>
      <c r="AW179" s="26"/>
      <c r="AX179" s="26"/>
      <c r="AY179" s="26"/>
      <c r="AZ179" s="374"/>
      <c r="BA179" s="135"/>
      <c r="BB179" s="26"/>
      <c r="BC179" s="26"/>
      <c r="BD179" s="26"/>
      <c r="BE179" s="26"/>
      <c r="BF179" s="26"/>
      <c r="BG179" s="26"/>
      <c r="BH179" s="26"/>
      <c r="BI179" s="26"/>
      <c r="BJ179" s="26"/>
      <c r="BK179" s="26"/>
      <c r="BL179" s="26"/>
      <c r="BM179" s="26"/>
      <c r="BS179" s="20"/>
      <c r="BT179" s="26"/>
      <c r="BV179" s="381"/>
      <c r="BW179" s="26"/>
      <c r="BX179" s="218"/>
      <c r="BZ179" s="4"/>
      <c r="CA179" s="218"/>
      <c r="CC179" s="26"/>
      <c r="CM179"/>
    </row>
    <row r="180" spans="1:16383" ht="14.25" customHeight="1" x14ac:dyDescent="0.2">
      <c r="A180" s="48"/>
      <c r="B180" s="45" t="s">
        <v>1327</v>
      </c>
      <c r="C180" s="23">
        <v>0</v>
      </c>
      <c r="D180" s="248">
        <v>0</v>
      </c>
      <c r="E180" s="23">
        <v>0</v>
      </c>
      <c r="F180" s="25">
        <f t="shared" si="21"/>
        <v>0</v>
      </c>
      <c r="G180" s="144">
        <v>0</v>
      </c>
      <c r="H180" s="144">
        <v>0</v>
      </c>
      <c r="I180" s="144">
        <v>0</v>
      </c>
      <c r="J180" s="34">
        <v>0</v>
      </c>
      <c r="K180" s="248">
        <v>0</v>
      </c>
      <c r="L180" s="248">
        <v>2</v>
      </c>
      <c r="N180" s="337" t="s">
        <v>6186</v>
      </c>
      <c r="O180" s="338"/>
      <c r="P180" s="339"/>
      <c r="Q180" s="348"/>
      <c r="R180" s="350">
        <f>+I62</f>
        <v>301</v>
      </c>
      <c r="Y180" s="516" t="s">
        <v>1346</v>
      </c>
      <c r="Z180" s="514" t="s">
        <v>7910</v>
      </c>
      <c r="AA180"/>
      <c r="AB180" s="21"/>
      <c r="AC180" s="21"/>
      <c r="AD180" s="211"/>
      <c r="AE180" s="26"/>
      <c r="AF180" s="26"/>
      <c r="AG180" s="294"/>
      <c r="AH180" s="294"/>
      <c r="AI180" s="366"/>
      <c r="AJ180" s="26"/>
      <c r="AK180" s="374"/>
      <c r="AL180" s="374"/>
      <c r="AM180" s="26"/>
      <c r="AN180" s="26"/>
      <c r="AO180" s="294"/>
      <c r="AP180" s="26"/>
      <c r="AQ180" s="26"/>
      <c r="AR180" s="374"/>
      <c r="AS180" s="26"/>
      <c r="AT180" s="26"/>
      <c r="AU180" s="26"/>
      <c r="AV180" s="26"/>
      <c r="AW180" s="26"/>
      <c r="AX180" s="26"/>
      <c r="AY180" s="26"/>
      <c r="AZ180" s="374"/>
      <c r="BA180" s="26"/>
      <c r="BB180" s="135"/>
      <c r="BC180" s="26"/>
      <c r="BD180" s="26"/>
      <c r="BE180" s="26"/>
      <c r="BF180" s="26"/>
      <c r="BG180" s="26"/>
      <c r="BH180" s="26"/>
      <c r="BI180" s="26"/>
      <c r="BJ180" s="26"/>
      <c r="BK180" s="26"/>
      <c r="BL180" s="26"/>
      <c r="BM180" s="26"/>
      <c r="BN180" s="26"/>
      <c r="BS180" s="20"/>
      <c r="BT180" s="26"/>
      <c r="BV180" s="381"/>
      <c r="BW180" s="26"/>
      <c r="BX180" s="229"/>
      <c r="CA180" s="219"/>
      <c r="CC180" s="218"/>
      <c r="CD180" s="26"/>
      <c r="CM180"/>
      <c r="CN180"/>
    </row>
    <row r="181" spans="1:16383" ht="15" customHeight="1" x14ac:dyDescent="0.2">
      <c r="A181" s="19"/>
      <c r="B181" s="11" t="s">
        <v>1328</v>
      </c>
      <c r="C181" s="23">
        <v>0</v>
      </c>
      <c r="D181" s="248">
        <v>0</v>
      </c>
      <c r="E181" s="23">
        <v>0</v>
      </c>
      <c r="F181" s="25">
        <f t="shared" si="21"/>
        <v>0</v>
      </c>
      <c r="G181" s="144">
        <v>0</v>
      </c>
      <c r="H181" s="144">
        <v>0</v>
      </c>
      <c r="I181" s="144">
        <v>0</v>
      </c>
      <c r="J181" s="34">
        <v>0</v>
      </c>
      <c r="K181" s="248">
        <v>1956030.5673</v>
      </c>
      <c r="L181" s="248">
        <v>8367</v>
      </c>
      <c r="N181" s="337" t="s">
        <v>6185</v>
      </c>
      <c r="O181" s="338"/>
      <c r="P181" s="339"/>
      <c r="Q181" s="348"/>
      <c r="R181" s="350">
        <f>+I60</f>
        <v>163</v>
      </c>
      <c r="Y181" s="516" t="s">
        <v>2440</v>
      </c>
      <c r="Z181" s="514" t="s">
        <v>7909</v>
      </c>
      <c r="AA181"/>
      <c r="AB181" s="21"/>
      <c r="AC181" s="211" t="s">
        <v>5565</v>
      </c>
      <c r="AD181" s="21"/>
      <c r="AE181" s="26"/>
      <c r="AF181" s="26"/>
      <c r="AG181" s="294"/>
      <c r="AH181" s="366"/>
      <c r="AI181" s="294"/>
      <c r="AJ181" s="26"/>
      <c r="AK181" s="374"/>
      <c r="AL181" s="374"/>
      <c r="AM181" s="26"/>
      <c r="AN181" s="26"/>
      <c r="AO181" s="294"/>
      <c r="AP181" s="26"/>
      <c r="AQ181" s="26"/>
      <c r="AR181" s="374"/>
      <c r="AS181" s="26"/>
      <c r="AT181" s="26"/>
      <c r="AU181" s="26"/>
      <c r="AV181" s="26"/>
      <c r="AW181" s="26"/>
      <c r="AX181" s="26"/>
      <c r="AY181" s="26"/>
      <c r="AZ181" s="374"/>
      <c r="BA181" s="135"/>
      <c r="BB181" s="26"/>
      <c r="BC181" s="26"/>
      <c r="BD181" s="26"/>
      <c r="BE181" s="26"/>
      <c r="BF181" s="26"/>
      <c r="BG181" s="26"/>
      <c r="BH181" s="26"/>
      <c r="BI181" s="26"/>
      <c r="BJ181" s="26"/>
      <c r="BK181" s="26"/>
      <c r="BL181" s="26"/>
      <c r="BM181" s="26"/>
      <c r="BS181" s="20"/>
      <c r="BT181" s="26"/>
      <c r="BV181" s="381"/>
      <c r="BW181" s="26"/>
      <c r="BX181" s="218"/>
      <c r="BZ181" s="4"/>
      <c r="CA181" s="218"/>
      <c r="CC181" s="26"/>
      <c r="CM181"/>
    </row>
    <row r="182" spans="1:16383" ht="15" customHeight="1" x14ac:dyDescent="0.2">
      <c r="A182" s="212" t="s">
        <v>1155</v>
      </c>
      <c r="B182" s="610" t="s">
        <v>1155</v>
      </c>
      <c r="C182" s="58">
        <v>3</v>
      </c>
      <c r="D182" s="600">
        <v>0</v>
      </c>
      <c r="E182" s="58">
        <v>22</v>
      </c>
      <c r="F182" s="603">
        <f t="shared" si="21"/>
        <v>25</v>
      </c>
      <c r="G182" s="608">
        <v>0</v>
      </c>
      <c r="H182" s="604">
        <v>0</v>
      </c>
      <c r="I182" s="608">
        <v>52</v>
      </c>
      <c r="J182" s="792">
        <v>1267.9000000000001</v>
      </c>
      <c r="K182" s="227">
        <v>0</v>
      </c>
      <c r="L182" s="600">
        <v>52</v>
      </c>
      <c r="N182" s="337" t="s">
        <v>836</v>
      </c>
      <c r="O182" s="339"/>
      <c r="P182" s="339"/>
      <c r="Q182" s="348"/>
      <c r="R182" s="350">
        <f>+I165</f>
        <v>140</v>
      </c>
      <c r="Y182" s="516" t="s">
        <v>741</v>
      </c>
      <c r="Z182" s="514" t="s">
        <v>7910</v>
      </c>
      <c r="AA182"/>
      <c r="AB182" s="21"/>
      <c r="AC182" s="211"/>
      <c r="AD182" s="21"/>
      <c r="AE182" s="26"/>
      <c r="AF182" s="26"/>
      <c r="AG182" s="294"/>
      <c r="AH182" s="366"/>
      <c r="AI182" s="294"/>
      <c r="AJ182" s="26"/>
      <c r="AK182" s="374"/>
      <c r="AL182" s="374"/>
      <c r="AM182" s="26"/>
      <c r="AN182" s="26"/>
      <c r="AO182" s="294"/>
      <c r="AP182" s="26"/>
      <c r="AQ182" s="26"/>
      <c r="AR182" s="374"/>
      <c r="AS182" s="26"/>
      <c r="AT182" s="26"/>
      <c r="AU182" s="26"/>
      <c r="AV182" s="26"/>
      <c r="AW182" s="26"/>
      <c r="AX182" s="26"/>
      <c r="AY182" s="26"/>
      <c r="AZ182" s="374"/>
      <c r="BA182" s="135"/>
      <c r="BB182" s="26"/>
      <c r="BC182" s="26"/>
      <c r="BD182" s="26"/>
      <c r="BE182" s="26"/>
      <c r="BF182" s="26"/>
      <c r="BG182" s="26"/>
      <c r="BH182" s="26"/>
      <c r="BI182" s="26"/>
      <c r="BJ182" s="26"/>
      <c r="BK182" s="26"/>
      <c r="BL182" s="26"/>
      <c r="BM182" s="26"/>
      <c r="BS182" s="20"/>
      <c r="BT182" s="26"/>
      <c r="BV182" s="381"/>
      <c r="BW182" s="26"/>
      <c r="BX182" s="218"/>
      <c r="BZ182" s="4"/>
      <c r="CA182" s="218"/>
      <c r="CC182" s="26"/>
      <c r="CM182"/>
      <c r="CP182" s="218"/>
    </row>
    <row r="183" spans="1:16383" ht="15" customHeight="1" x14ac:dyDescent="0.2">
      <c r="A183" s="105"/>
      <c r="B183" s="40" t="s">
        <v>8401</v>
      </c>
      <c r="C183" s="62">
        <v>0</v>
      </c>
      <c r="D183" s="251">
        <v>0</v>
      </c>
      <c r="E183" s="62">
        <v>0</v>
      </c>
      <c r="F183" s="42">
        <f t="shared" ref="F183" si="29">+C183+D183+E183</f>
        <v>0</v>
      </c>
      <c r="G183" s="609">
        <v>0</v>
      </c>
      <c r="H183" s="322">
        <v>0</v>
      </c>
      <c r="I183" s="609">
        <v>0</v>
      </c>
      <c r="J183" s="147">
        <v>0</v>
      </c>
      <c r="K183" s="240">
        <v>0</v>
      </c>
      <c r="L183" s="251">
        <v>0</v>
      </c>
      <c r="N183" s="337" t="s">
        <v>6184</v>
      </c>
      <c r="O183" s="339"/>
      <c r="P183" s="340"/>
      <c r="Q183" s="341"/>
      <c r="R183" s="351">
        <f>+I149</f>
        <v>108</v>
      </c>
      <c r="Y183" s="516" t="s">
        <v>42</v>
      </c>
      <c r="Z183" s="514" t="s">
        <v>9613</v>
      </c>
      <c r="AA183"/>
      <c r="AB183" s="21"/>
      <c r="AC183" s="211"/>
      <c r="AD183" s="21"/>
      <c r="AE183" s="26"/>
      <c r="AF183" s="26"/>
      <c r="AG183" s="294"/>
      <c r="AH183" s="366"/>
      <c r="AI183" s="294"/>
      <c r="AJ183" s="26"/>
      <c r="AK183" s="374"/>
      <c r="AL183" s="374"/>
      <c r="AM183" s="26"/>
      <c r="AN183" s="26"/>
      <c r="AO183" s="294"/>
      <c r="AP183" s="26"/>
      <c r="AQ183" s="26"/>
      <c r="AR183" s="374"/>
      <c r="AS183" s="26"/>
      <c r="AT183" s="26"/>
      <c r="AU183" s="26"/>
      <c r="AV183" s="26"/>
      <c r="AW183" s="26"/>
      <c r="AX183" s="26"/>
      <c r="AY183" s="26"/>
      <c r="AZ183" s="374"/>
      <c r="BA183" s="135"/>
      <c r="BB183" s="26"/>
      <c r="BC183" s="26"/>
      <c r="BD183" s="26"/>
      <c r="BE183" s="26"/>
      <c r="BF183" s="26"/>
      <c r="BG183" s="26"/>
      <c r="BH183" s="26"/>
      <c r="BI183" s="26"/>
      <c r="BJ183" s="26"/>
      <c r="BK183" s="26"/>
      <c r="BL183" s="26"/>
      <c r="BM183" s="26"/>
      <c r="BS183" s="20"/>
      <c r="BT183" s="26"/>
      <c r="BV183" s="381"/>
      <c r="BW183" s="26"/>
      <c r="BX183" s="218"/>
      <c r="BZ183" s="4"/>
      <c r="CA183" s="218"/>
      <c r="CC183" s="26"/>
      <c r="CM183"/>
      <c r="CP183" s="218"/>
    </row>
    <row r="184" spans="1:16383" ht="15" x14ac:dyDescent="0.2">
      <c r="A184" s="92" t="s">
        <v>1329</v>
      </c>
      <c r="B184" s="14"/>
      <c r="C184" s="606">
        <f t="shared" ref="C184:L184" si="30">SUM(C27:C183)</f>
        <v>86</v>
      </c>
      <c r="D184" s="606">
        <f t="shared" si="30"/>
        <v>0</v>
      </c>
      <c r="E184" s="606">
        <f t="shared" si="30"/>
        <v>316</v>
      </c>
      <c r="F184" s="607">
        <f t="shared" si="30"/>
        <v>402</v>
      </c>
      <c r="G184" s="606">
        <f t="shared" si="30"/>
        <v>54</v>
      </c>
      <c r="H184" s="606">
        <f t="shared" si="30"/>
        <v>14997.922040000001</v>
      </c>
      <c r="I184" s="606">
        <f t="shared" si="30"/>
        <v>2313</v>
      </c>
      <c r="J184" s="606">
        <f t="shared" si="30"/>
        <v>2678.8613800000003</v>
      </c>
      <c r="K184" s="606">
        <f t="shared" si="30"/>
        <v>3927059.0566400001</v>
      </c>
      <c r="L184" s="606">
        <f t="shared" si="30"/>
        <v>19047</v>
      </c>
      <c r="N184" s="554" t="s">
        <v>6187</v>
      </c>
      <c r="O184" s="555"/>
      <c r="P184" s="556"/>
      <c r="Q184" s="557"/>
      <c r="R184" s="558">
        <f>+I135</f>
        <v>97</v>
      </c>
      <c r="Y184" s="516" t="s">
        <v>78</v>
      </c>
      <c r="Z184" s="514" t="s">
        <v>7915</v>
      </c>
      <c r="AA184" s="21"/>
      <c r="AB184" s="21"/>
      <c r="AC184" s="211"/>
      <c r="AD184" s="21"/>
      <c r="AE184" s="26"/>
      <c r="AF184" s="26"/>
      <c r="AG184" s="294"/>
      <c r="AH184" s="366"/>
      <c r="AI184" s="294"/>
      <c r="AJ184" s="26"/>
      <c r="AK184" s="374"/>
      <c r="AL184" s="374"/>
      <c r="AM184" s="26"/>
      <c r="AN184" s="26"/>
      <c r="AO184" s="294"/>
      <c r="AP184" s="26"/>
      <c r="AQ184" s="26"/>
      <c r="AR184" s="374"/>
      <c r="AS184" s="26"/>
      <c r="AT184" s="26"/>
      <c r="AU184" s="26"/>
      <c r="AV184" s="26"/>
      <c r="AW184" s="26"/>
      <c r="AX184" s="26"/>
      <c r="AY184" s="26"/>
      <c r="AZ184" s="374"/>
      <c r="BA184" s="135"/>
      <c r="BB184" s="26"/>
      <c r="BC184" s="26"/>
      <c r="BD184" s="26"/>
      <c r="BE184" s="26"/>
      <c r="BF184" s="26"/>
      <c r="BG184" s="26"/>
      <c r="BH184" s="26"/>
      <c r="BI184" s="26"/>
      <c r="BJ184" s="26"/>
      <c r="BK184" s="26"/>
      <c r="BL184" s="26"/>
      <c r="BM184" s="26"/>
      <c r="BS184" s="20"/>
      <c r="BT184" s="26"/>
      <c r="BV184" s="381"/>
      <c r="BW184" s="26"/>
      <c r="BX184" s="218"/>
      <c r="BZ184" s="4"/>
      <c r="CA184" s="218"/>
      <c r="CC184" s="26"/>
      <c r="CM184"/>
      <c r="CP184" s="218"/>
    </row>
    <row r="185" spans="1:16383" ht="12.75" customHeight="1" x14ac:dyDescent="0.2">
      <c r="N185" s="337" t="s">
        <v>1155</v>
      </c>
      <c r="O185" s="339"/>
      <c r="P185" s="340"/>
      <c r="Q185" s="341"/>
      <c r="R185" s="351">
        <f>+I182</f>
        <v>52</v>
      </c>
      <c r="Y185" s="516" t="s">
        <v>1394</v>
      </c>
      <c r="Z185" s="514" t="s">
        <v>7919</v>
      </c>
      <c r="AA185" s="21"/>
      <c r="AB185" s="21"/>
      <c r="AC185" s="211"/>
      <c r="AD185" s="21"/>
      <c r="AE185" s="26"/>
      <c r="AF185" s="26"/>
      <c r="AG185" s="294"/>
      <c r="AH185" s="366"/>
      <c r="AI185" s="294"/>
      <c r="AJ185" s="26"/>
      <c r="AK185" s="374"/>
      <c r="AL185" s="374"/>
      <c r="AM185" s="26"/>
      <c r="AN185" s="26"/>
      <c r="AO185" s="294"/>
      <c r="AP185" s="26"/>
      <c r="AQ185" s="26"/>
      <c r="AR185" s="374"/>
      <c r="AS185" s="26"/>
      <c r="AT185" s="26"/>
      <c r="AU185" s="26"/>
      <c r="AV185" s="26"/>
      <c r="AW185" s="26"/>
      <c r="AX185" s="26"/>
      <c r="AY185" s="26"/>
      <c r="AZ185" s="374"/>
      <c r="BA185" s="135"/>
      <c r="BB185" s="26"/>
      <c r="BC185" s="26"/>
      <c r="BD185" s="26"/>
      <c r="BE185" s="26"/>
      <c r="BF185" s="26"/>
      <c r="BG185" s="26"/>
      <c r="BH185" s="26"/>
      <c r="BI185" s="26"/>
      <c r="BJ185" s="26"/>
      <c r="BK185" s="26"/>
      <c r="BL185" s="26"/>
      <c r="BM185" s="26"/>
      <c r="BS185" s="20"/>
      <c r="BT185" s="26"/>
      <c r="BV185" s="381"/>
      <c r="BW185" s="26"/>
      <c r="BX185" s="218"/>
      <c r="BZ185" s="4"/>
      <c r="CA185" s="218"/>
      <c r="CC185" s="26"/>
      <c r="CM185"/>
      <c r="CP185" s="218"/>
    </row>
    <row r="186" spans="1:16383" s="1" customFormat="1" ht="13.5" customHeight="1" x14ac:dyDescent="0.2">
      <c r="A186"/>
      <c r="B186"/>
      <c r="C186"/>
      <c r="D186" s="218"/>
      <c r="E186"/>
      <c r="F186"/>
      <c r="G186"/>
      <c r="H186"/>
      <c r="I186"/>
      <c r="J186"/>
      <c r="K186"/>
      <c r="L186"/>
      <c r="N186" s="337" t="s">
        <v>923</v>
      </c>
      <c r="O186" s="339"/>
      <c r="P186" s="340"/>
      <c r="Q186" s="341"/>
      <c r="R186" s="351">
        <f>+I169</f>
        <v>32</v>
      </c>
      <c r="Y186" s="516" t="s">
        <v>1395</v>
      </c>
      <c r="Z186" s="514" t="s">
        <v>7932</v>
      </c>
      <c r="AA186" s="329"/>
      <c r="AB186" s="21"/>
      <c r="AC186" s="211"/>
      <c r="AD186" s="21"/>
      <c r="AE186" s="26"/>
      <c r="AF186" s="26"/>
      <c r="AG186" s="294"/>
      <c r="AH186" s="366"/>
      <c r="AI186" s="294"/>
      <c r="AJ186" s="26"/>
      <c r="AK186" s="374"/>
      <c r="AL186" s="374"/>
      <c r="AM186" s="26"/>
      <c r="AN186" s="26"/>
      <c r="AO186" s="294"/>
      <c r="AP186" s="26"/>
      <c r="AQ186" s="26"/>
      <c r="AR186" s="374"/>
      <c r="AS186" s="26"/>
      <c r="AT186" s="26"/>
      <c r="AU186" s="26"/>
      <c r="AV186" s="26"/>
      <c r="AW186" s="26"/>
      <c r="AX186" s="26"/>
      <c r="AY186" s="26"/>
      <c r="AZ186" s="374"/>
      <c r="BA186" s="135"/>
      <c r="BB186" s="26"/>
      <c r="BC186" s="26"/>
      <c r="BD186" s="26"/>
      <c r="BE186" s="26"/>
      <c r="BF186" s="26"/>
      <c r="BG186" s="26"/>
      <c r="BH186" s="26"/>
      <c r="BI186" s="26"/>
      <c r="BJ186" s="26"/>
      <c r="BK186" s="26"/>
      <c r="BL186" s="26"/>
      <c r="BM186" s="26"/>
      <c r="BN186"/>
      <c r="BO186"/>
      <c r="BP186"/>
      <c r="BQ186"/>
      <c r="BR186"/>
      <c r="BS186" s="20"/>
      <c r="BT186" s="26"/>
      <c r="BU186" s="26"/>
      <c r="BV186" s="381"/>
      <c r="BW186" s="26"/>
      <c r="BX186" s="218"/>
      <c r="BY186" s="218"/>
      <c r="BZ186" s="4"/>
      <c r="CA186" s="218"/>
      <c r="CB186" s="218"/>
      <c r="CC186" s="26"/>
      <c r="CD186"/>
      <c r="CE186"/>
      <c r="CF186"/>
      <c r="CG186"/>
      <c r="CH186"/>
      <c r="CI186"/>
      <c r="CJ186"/>
      <c r="CK186"/>
      <c r="CL186"/>
      <c r="CM186"/>
      <c r="CN186" s="218"/>
      <c r="CO186" s="218"/>
      <c r="CP186" s="218"/>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row>
    <row r="187" spans="1:16383" ht="12.75" customHeight="1" x14ac:dyDescent="0.2">
      <c r="N187" s="337" t="s">
        <v>1212</v>
      </c>
      <c r="O187" s="339"/>
      <c r="P187" s="340"/>
      <c r="Q187" s="341"/>
      <c r="R187" s="351">
        <f>+I35</f>
        <v>25</v>
      </c>
      <c r="Y187" s="516" t="s">
        <v>218</v>
      </c>
      <c r="Z187" s="514" t="s">
        <v>8407</v>
      </c>
      <c r="AA187" s="21"/>
      <c r="AB187" s="21"/>
      <c r="AC187" s="211"/>
      <c r="AD187" s="21"/>
      <c r="AE187" s="26"/>
      <c r="AF187" s="26"/>
      <c r="AG187" s="294"/>
      <c r="AH187" s="366"/>
      <c r="AI187" s="294"/>
      <c r="AJ187" s="26"/>
      <c r="AK187" s="374"/>
      <c r="AL187" s="374"/>
      <c r="AO187" s="294"/>
      <c r="AR187" s="374"/>
      <c r="AS187" s="20"/>
      <c r="AY187"/>
      <c r="AZ187" s="374"/>
      <c r="BA187" s="4"/>
      <c r="BF187" s="26"/>
      <c r="BG187" s="26"/>
      <c r="BH187" s="26"/>
      <c r="BI187" s="26"/>
      <c r="BJ187" s="26"/>
      <c r="BK187" s="26"/>
      <c r="BL187" s="26"/>
      <c r="BM187" s="26"/>
      <c r="BS187" s="20"/>
      <c r="BT187" s="26"/>
      <c r="BV187" s="381"/>
      <c r="BW187" s="26"/>
      <c r="BX187" s="218"/>
      <c r="BZ187" s="4"/>
      <c r="CA187" s="218"/>
      <c r="CC187" s="26"/>
      <c r="CK187" t="s">
        <v>5790</v>
      </c>
      <c r="CM187"/>
      <c r="CP187" s="218"/>
    </row>
    <row r="188" spans="1:16383" ht="14.25" customHeight="1" x14ac:dyDescent="0.2">
      <c r="M188" s="26"/>
      <c r="N188" s="342" t="s">
        <v>6188</v>
      </c>
      <c r="O188" s="343"/>
      <c r="P188" s="344"/>
      <c r="Q188" s="345"/>
      <c r="R188" s="352">
        <f>+I152</f>
        <v>14</v>
      </c>
      <c r="Y188" s="516" t="s">
        <v>1397</v>
      </c>
      <c r="Z188" s="514" t="s">
        <v>7929</v>
      </c>
      <c r="AA188" s="21"/>
      <c r="AB188" s="21"/>
      <c r="AC188" s="211"/>
      <c r="AD188" s="21"/>
      <c r="AF188"/>
      <c r="AG188" s="294"/>
      <c r="AH188" s="366"/>
      <c r="AI188" s="294"/>
      <c r="AJ188" s="26"/>
      <c r="AK188" s="374"/>
      <c r="AL188" s="374"/>
      <c r="AO188" s="294"/>
      <c r="AR188" s="374"/>
      <c r="AS188" s="20"/>
      <c r="AY188"/>
      <c r="AZ188" s="374"/>
      <c r="BA188" s="4"/>
      <c r="BF188" s="26"/>
      <c r="BG188" s="26"/>
      <c r="BH188" s="26"/>
      <c r="BI188" s="26"/>
      <c r="BJ188" s="26"/>
      <c r="BK188" s="26"/>
      <c r="BL188" s="26"/>
      <c r="BM188" s="26"/>
      <c r="BS188" s="20"/>
      <c r="BT188" s="26"/>
      <c r="BV188" s="381"/>
      <c r="BW188" s="26"/>
      <c r="BX188" s="218"/>
      <c r="BZ188" s="4"/>
      <c r="CA188" s="218"/>
      <c r="CC188" s="26"/>
      <c r="CM188"/>
      <c r="CP188" s="218"/>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c r="AML188" s="1"/>
      <c r="AMM188" s="1"/>
      <c r="AMN188" s="1"/>
      <c r="AMO188" s="1"/>
      <c r="AMP188" s="1"/>
      <c r="AMQ188" s="1"/>
      <c r="AMR188" s="1"/>
      <c r="AMS188" s="1"/>
      <c r="AMT188" s="1"/>
      <c r="AMU188" s="1"/>
      <c r="AMV188" s="1"/>
      <c r="AMW188" s="1"/>
      <c r="AMX188" s="1"/>
      <c r="AMY188" s="1"/>
      <c r="AMZ188" s="1"/>
      <c r="ANA188" s="1"/>
      <c r="ANB188" s="1"/>
      <c r="ANC188" s="1"/>
      <c r="AND188" s="1"/>
      <c r="ANE188" s="1"/>
      <c r="ANF188" s="1"/>
      <c r="ANG188" s="1"/>
      <c r="ANH188" s="1"/>
      <c r="ANI188" s="1"/>
      <c r="ANJ188" s="1"/>
      <c r="ANK188" s="1"/>
      <c r="ANL188" s="1"/>
      <c r="ANM188" s="1"/>
      <c r="ANN188" s="1"/>
      <c r="ANO188" s="1"/>
      <c r="ANP188" s="1"/>
      <c r="ANQ188" s="1"/>
      <c r="ANR188" s="1"/>
      <c r="ANS188" s="1"/>
      <c r="ANT188" s="1"/>
      <c r="ANU188" s="1"/>
      <c r="ANV188" s="1"/>
      <c r="ANW188" s="1"/>
      <c r="ANX188" s="1"/>
      <c r="ANY188" s="1"/>
      <c r="ANZ188" s="1"/>
      <c r="AOA188" s="1"/>
      <c r="AOB188" s="1"/>
      <c r="AOC188" s="1"/>
      <c r="AOD188" s="1"/>
      <c r="AOE188" s="1"/>
      <c r="AOF188" s="1"/>
      <c r="AOG188" s="1"/>
      <c r="AOH188" s="1"/>
      <c r="AOI188" s="1"/>
      <c r="AOJ188" s="1"/>
      <c r="AOK188" s="1"/>
      <c r="AOL188" s="1"/>
      <c r="AOM188" s="1"/>
      <c r="AON188" s="1"/>
      <c r="AOO188" s="1"/>
      <c r="AOP188" s="1"/>
      <c r="AOQ188" s="1"/>
      <c r="AOR188" s="1"/>
      <c r="AOS188" s="1"/>
      <c r="AOT188" s="1"/>
      <c r="AOU188" s="1"/>
      <c r="AOV188" s="1"/>
      <c r="AOW188" s="1"/>
      <c r="AOX188" s="1"/>
      <c r="AOY188" s="1"/>
      <c r="AOZ188" s="1"/>
      <c r="APA188" s="1"/>
      <c r="APB188" s="1"/>
      <c r="APC188" s="1"/>
      <c r="APD188" s="1"/>
      <c r="APE188" s="1"/>
      <c r="APF188" s="1"/>
      <c r="APG188" s="1"/>
      <c r="APH188" s="1"/>
      <c r="API188" s="1"/>
      <c r="APJ188" s="1"/>
      <c r="APK188" s="1"/>
      <c r="APL188" s="1"/>
      <c r="APM188" s="1"/>
      <c r="APN188" s="1"/>
      <c r="APO188" s="1"/>
      <c r="APP188" s="1"/>
      <c r="APQ188" s="1"/>
      <c r="APR188" s="1"/>
      <c r="APS188" s="1"/>
      <c r="APT188" s="1"/>
      <c r="APU188" s="1"/>
      <c r="APV188" s="1"/>
      <c r="APW188" s="1"/>
      <c r="APX188" s="1"/>
      <c r="APY188" s="1"/>
      <c r="APZ188" s="1"/>
      <c r="AQA188" s="1"/>
      <c r="AQB188" s="1"/>
      <c r="AQC188" s="1"/>
      <c r="AQD188" s="1"/>
      <c r="AQE188" s="1"/>
      <c r="AQF188" s="1"/>
      <c r="AQG188" s="1"/>
      <c r="AQH188" s="1"/>
      <c r="AQI188" s="1"/>
      <c r="AQJ188" s="1"/>
      <c r="AQK188" s="1"/>
      <c r="AQL188" s="1"/>
      <c r="AQM188" s="1"/>
      <c r="AQN188" s="1"/>
      <c r="AQO188" s="1"/>
      <c r="AQP188" s="1"/>
      <c r="AQQ188" s="1"/>
      <c r="AQR188" s="1"/>
      <c r="AQS188" s="1"/>
      <c r="AQT188" s="1"/>
      <c r="AQU188" s="1"/>
      <c r="AQV188" s="1"/>
      <c r="AQW188" s="1"/>
      <c r="AQX188" s="1"/>
      <c r="AQY188" s="1"/>
      <c r="AQZ188" s="1"/>
      <c r="ARA188" s="1"/>
      <c r="ARB188" s="1"/>
      <c r="ARC188" s="1"/>
      <c r="ARD188" s="1"/>
      <c r="ARE188" s="1"/>
      <c r="ARF188" s="1"/>
      <c r="ARG188" s="1"/>
      <c r="ARH188" s="1"/>
      <c r="ARI188" s="1"/>
      <c r="ARJ188" s="1"/>
      <c r="ARK188" s="1"/>
      <c r="ARL188" s="1"/>
      <c r="ARM188" s="1"/>
      <c r="ARN188" s="1"/>
      <c r="ARO188" s="1"/>
      <c r="ARP188" s="1"/>
      <c r="ARQ188" s="1"/>
      <c r="ARR188" s="1"/>
      <c r="ARS188" s="1"/>
      <c r="ART188" s="1"/>
      <c r="ARU188" s="1"/>
      <c r="ARV188" s="1"/>
      <c r="ARW188" s="1"/>
      <c r="ARX188" s="1"/>
      <c r="ARY188" s="1"/>
      <c r="ARZ188" s="1"/>
      <c r="ASA188" s="1"/>
      <c r="ASB188" s="1"/>
      <c r="ASC188" s="1"/>
      <c r="ASD188" s="1"/>
      <c r="ASE188" s="1"/>
      <c r="ASF188" s="1"/>
      <c r="ASG188" s="1"/>
      <c r="ASH188" s="1"/>
      <c r="ASI188" s="1"/>
      <c r="ASJ188" s="1"/>
      <c r="ASK188" s="1"/>
      <c r="ASL188" s="1"/>
      <c r="ASM188" s="1"/>
      <c r="ASN188" s="1"/>
      <c r="ASO188" s="1"/>
      <c r="ASP188" s="1"/>
      <c r="ASQ188" s="1"/>
      <c r="ASR188" s="1"/>
      <c r="ASS188" s="1"/>
      <c r="AST188" s="1"/>
      <c r="ASU188" s="1"/>
      <c r="ASV188" s="1"/>
      <c r="ASW188" s="1"/>
      <c r="ASX188" s="1"/>
      <c r="ASY188" s="1"/>
      <c r="ASZ188" s="1"/>
      <c r="ATA188" s="1"/>
      <c r="ATB188" s="1"/>
      <c r="ATC188" s="1"/>
      <c r="ATD188" s="1"/>
      <c r="ATE188" s="1"/>
      <c r="ATF188" s="1"/>
      <c r="ATG188" s="1"/>
      <c r="ATH188" s="1"/>
      <c r="ATI188" s="1"/>
      <c r="ATJ188" s="1"/>
      <c r="ATK188" s="1"/>
      <c r="ATL188" s="1"/>
      <c r="ATM188" s="1"/>
      <c r="ATN188" s="1"/>
      <c r="ATO188" s="1"/>
      <c r="ATP188" s="1"/>
      <c r="ATQ188" s="1"/>
      <c r="ATR188" s="1"/>
      <c r="ATS188" s="1"/>
      <c r="ATT188" s="1"/>
      <c r="ATU188" s="1"/>
      <c r="ATV188" s="1"/>
      <c r="ATW188" s="1"/>
      <c r="ATX188" s="1"/>
      <c r="ATY188" s="1"/>
      <c r="ATZ188" s="1"/>
      <c r="AUA188" s="1"/>
      <c r="AUB188" s="1"/>
      <c r="AUC188" s="1"/>
      <c r="AUD188" s="1"/>
      <c r="AUE188" s="1"/>
      <c r="AUF188" s="1"/>
      <c r="AUG188" s="1"/>
      <c r="AUH188" s="1"/>
      <c r="AUI188" s="1"/>
      <c r="AUJ188" s="1"/>
      <c r="AUK188" s="1"/>
      <c r="AUL188" s="1"/>
      <c r="AUM188" s="1"/>
      <c r="AUN188" s="1"/>
      <c r="AUO188" s="1"/>
      <c r="AUP188" s="1"/>
      <c r="AUQ188" s="1"/>
      <c r="AUR188" s="1"/>
      <c r="AUS188" s="1"/>
      <c r="AUT188" s="1"/>
      <c r="AUU188" s="1"/>
      <c r="AUV188" s="1"/>
      <c r="AUW188" s="1"/>
      <c r="AUX188" s="1"/>
      <c r="AUY188" s="1"/>
      <c r="AUZ188" s="1"/>
      <c r="AVA188" s="1"/>
      <c r="AVB188" s="1"/>
      <c r="AVC188" s="1"/>
      <c r="AVD188" s="1"/>
      <c r="AVE188" s="1"/>
      <c r="AVF188" s="1"/>
      <c r="AVG188" s="1"/>
      <c r="AVH188" s="1"/>
      <c r="AVI188" s="1"/>
      <c r="AVJ188" s="1"/>
      <c r="AVK188" s="1"/>
      <c r="AVL188" s="1"/>
      <c r="AVM188" s="1"/>
      <c r="AVN188" s="1"/>
      <c r="AVO188" s="1"/>
      <c r="AVP188" s="1"/>
      <c r="AVQ188" s="1"/>
      <c r="AVR188" s="1"/>
      <c r="AVS188" s="1"/>
      <c r="AVT188" s="1"/>
      <c r="AVU188" s="1"/>
      <c r="AVV188" s="1"/>
      <c r="AVW188" s="1"/>
      <c r="AVX188" s="1"/>
      <c r="AVY188" s="1"/>
      <c r="AVZ188" s="1"/>
      <c r="AWA188" s="1"/>
      <c r="AWB188" s="1"/>
      <c r="AWC188" s="1"/>
      <c r="AWD188" s="1"/>
      <c r="AWE188" s="1"/>
      <c r="AWF188" s="1"/>
      <c r="AWG188" s="1"/>
      <c r="AWH188" s="1"/>
      <c r="AWI188" s="1"/>
      <c r="AWJ188" s="1"/>
      <c r="AWK188" s="1"/>
      <c r="AWL188" s="1"/>
      <c r="AWM188" s="1"/>
      <c r="AWN188" s="1"/>
      <c r="AWO188" s="1"/>
      <c r="AWP188" s="1"/>
      <c r="AWQ188" s="1"/>
      <c r="AWR188" s="1"/>
      <c r="AWS188" s="1"/>
      <c r="AWT188" s="1"/>
      <c r="AWU188" s="1"/>
      <c r="AWV188" s="1"/>
      <c r="AWW188" s="1"/>
      <c r="AWX188" s="1"/>
      <c r="AWY188" s="1"/>
      <c r="AWZ188" s="1"/>
      <c r="AXA188" s="1"/>
      <c r="AXB188" s="1"/>
      <c r="AXC188" s="1"/>
      <c r="AXD188" s="1"/>
      <c r="AXE188" s="1"/>
      <c r="AXF188" s="1"/>
      <c r="AXG188" s="1"/>
      <c r="AXH188" s="1"/>
      <c r="AXI188" s="1"/>
      <c r="AXJ188" s="1"/>
      <c r="AXK188" s="1"/>
      <c r="AXL188" s="1"/>
      <c r="AXM188" s="1"/>
      <c r="AXN188" s="1"/>
      <c r="AXO188" s="1"/>
      <c r="AXP188" s="1"/>
      <c r="AXQ188" s="1"/>
      <c r="AXR188" s="1"/>
      <c r="AXS188" s="1"/>
      <c r="AXT188" s="1"/>
      <c r="AXU188" s="1"/>
      <c r="AXV188" s="1"/>
      <c r="AXW188" s="1"/>
      <c r="AXX188" s="1"/>
      <c r="AXY188" s="1"/>
      <c r="AXZ188" s="1"/>
      <c r="AYA188" s="1"/>
      <c r="AYB188" s="1"/>
      <c r="AYC188" s="1"/>
      <c r="AYD188" s="1"/>
      <c r="AYE188" s="1"/>
      <c r="AYF188" s="1"/>
      <c r="AYG188" s="1"/>
      <c r="AYH188" s="1"/>
      <c r="AYI188" s="1"/>
      <c r="AYJ188" s="1"/>
      <c r="AYK188" s="1"/>
      <c r="AYL188" s="1"/>
      <c r="AYM188" s="1"/>
      <c r="AYN188" s="1"/>
      <c r="AYO188" s="1"/>
      <c r="AYP188" s="1"/>
      <c r="AYQ188" s="1"/>
      <c r="AYR188" s="1"/>
      <c r="AYS188" s="1"/>
      <c r="AYT188" s="1"/>
      <c r="AYU188" s="1"/>
      <c r="AYV188" s="1"/>
      <c r="AYW188" s="1"/>
      <c r="AYX188" s="1"/>
      <c r="AYY188" s="1"/>
      <c r="AYZ188" s="1"/>
      <c r="AZA188" s="1"/>
      <c r="AZB188" s="1"/>
      <c r="AZC188" s="1"/>
      <c r="AZD188" s="1"/>
      <c r="AZE188" s="1"/>
      <c r="AZF188" s="1"/>
      <c r="AZG188" s="1"/>
      <c r="AZH188" s="1"/>
      <c r="AZI188" s="1"/>
      <c r="AZJ188" s="1"/>
      <c r="AZK188" s="1"/>
      <c r="AZL188" s="1"/>
      <c r="AZM188" s="1"/>
      <c r="AZN188" s="1"/>
      <c r="AZO188" s="1"/>
      <c r="AZP188" s="1"/>
      <c r="AZQ188" s="1"/>
      <c r="AZR188" s="1"/>
      <c r="AZS188" s="1"/>
      <c r="AZT188" s="1"/>
      <c r="AZU188" s="1"/>
      <c r="AZV188" s="1"/>
      <c r="AZW188" s="1"/>
      <c r="AZX188" s="1"/>
      <c r="AZY188" s="1"/>
      <c r="AZZ188" s="1"/>
      <c r="BAA188" s="1"/>
      <c r="BAB188" s="1"/>
      <c r="BAC188" s="1"/>
      <c r="BAD188" s="1"/>
      <c r="BAE188" s="1"/>
      <c r="BAF188" s="1"/>
      <c r="BAG188" s="1"/>
      <c r="BAH188" s="1"/>
      <c r="BAI188" s="1"/>
      <c r="BAJ188" s="1"/>
      <c r="BAK188" s="1"/>
      <c r="BAL188" s="1"/>
      <c r="BAM188" s="1"/>
      <c r="BAN188" s="1"/>
      <c r="BAO188" s="1"/>
      <c r="BAP188" s="1"/>
      <c r="BAQ188" s="1"/>
      <c r="BAR188" s="1"/>
      <c r="BAS188" s="1"/>
      <c r="BAT188" s="1"/>
      <c r="BAU188" s="1"/>
      <c r="BAV188" s="1"/>
      <c r="BAW188" s="1"/>
      <c r="BAX188" s="1"/>
      <c r="BAY188" s="1"/>
      <c r="BAZ188" s="1"/>
      <c r="BBA188" s="1"/>
      <c r="BBB188" s="1"/>
      <c r="BBC188" s="1"/>
      <c r="BBD188" s="1"/>
      <c r="BBE188" s="1"/>
      <c r="BBF188" s="1"/>
      <c r="BBG188" s="1"/>
      <c r="BBH188" s="1"/>
      <c r="BBI188" s="1"/>
      <c r="BBJ188" s="1"/>
      <c r="BBK188" s="1"/>
      <c r="BBL188" s="1"/>
      <c r="BBM188" s="1"/>
      <c r="BBN188" s="1"/>
      <c r="BBO188" s="1"/>
      <c r="BBP188" s="1"/>
      <c r="BBQ188" s="1"/>
      <c r="BBR188" s="1"/>
      <c r="BBS188" s="1"/>
      <c r="BBT188" s="1"/>
      <c r="BBU188" s="1"/>
      <c r="BBV188" s="1"/>
      <c r="BBW188" s="1"/>
      <c r="BBX188" s="1"/>
      <c r="BBY188" s="1"/>
      <c r="BBZ188" s="1"/>
      <c r="BCA188" s="1"/>
      <c r="BCB188" s="1"/>
      <c r="BCC188" s="1"/>
      <c r="BCD188" s="1"/>
      <c r="BCE188" s="1"/>
      <c r="BCF188" s="1"/>
      <c r="BCG188" s="1"/>
      <c r="BCH188" s="1"/>
      <c r="BCI188" s="1"/>
      <c r="BCJ188" s="1"/>
      <c r="BCK188" s="1"/>
      <c r="BCL188" s="1"/>
      <c r="BCM188" s="1"/>
      <c r="BCN188" s="1"/>
      <c r="BCO188" s="1"/>
      <c r="BCP188" s="1"/>
      <c r="BCQ188" s="1"/>
      <c r="BCR188" s="1"/>
      <c r="BCS188" s="1"/>
      <c r="BCT188" s="1"/>
      <c r="BCU188" s="1"/>
      <c r="BCV188" s="1"/>
      <c r="BCW188" s="1"/>
      <c r="BCX188" s="1"/>
      <c r="BCY188" s="1"/>
      <c r="BCZ188" s="1"/>
      <c r="BDA188" s="1"/>
      <c r="BDB188" s="1"/>
      <c r="BDC188" s="1"/>
      <c r="BDD188" s="1"/>
      <c r="BDE188" s="1"/>
      <c r="BDF188" s="1"/>
      <c r="BDG188" s="1"/>
      <c r="BDH188" s="1"/>
      <c r="BDI188" s="1"/>
      <c r="BDJ188" s="1"/>
      <c r="BDK188" s="1"/>
      <c r="BDL188" s="1"/>
      <c r="BDM188" s="1"/>
      <c r="BDN188" s="1"/>
      <c r="BDO188" s="1"/>
      <c r="BDP188" s="1"/>
      <c r="BDQ188" s="1"/>
      <c r="BDR188" s="1"/>
      <c r="BDS188" s="1"/>
      <c r="BDT188" s="1"/>
      <c r="BDU188" s="1"/>
      <c r="BDV188" s="1"/>
      <c r="BDW188" s="1"/>
      <c r="BDX188" s="1"/>
      <c r="BDY188" s="1"/>
      <c r="BDZ188" s="1"/>
      <c r="BEA188" s="1"/>
      <c r="BEB188" s="1"/>
      <c r="BEC188" s="1"/>
      <c r="BED188" s="1"/>
      <c r="BEE188" s="1"/>
      <c r="BEF188" s="1"/>
      <c r="BEG188" s="1"/>
      <c r="BEH188" s="1"/>
      <c r="BEI188" s="1"/>
      <c r="BEJ188" s="1"/>
      <c r="BEK188" s="1"/>
      <c r="BEL188" s="1"/>
      <c r="BEM188" s="1"/>
      <c r="BEN188" s="1"/>
      <c r="BEO188" s="1"/>
      <c r="BEP188" s="1"/>
      <c r="BEQ188" s="1"/>
      <c r="BER188" s="1"/>
      <c r="BES188" s="1"/>
      <c r="BET188" s="1"/>
      <c r="BEU188" s="1"/>
      <c r="BEV188" s="1"/>
      <c r="BEW188" s="1"/>
      <c r="BEX188" s="1"/>
      <c r="BEY188" s="1"/>
      <c r="BEZ188" s="1"/>
      <c r="BFA188" s="1"/>
      <c r="BFB188" s="1"/>
      <c r="BFC188" s="1"/>
      <c r="BFD188" s="1"/>
      <c r="BFE188" s="1"/>
      <c r="BFF188" s="1"/>
      <c r="BFG188" s="1"/>
      <c r="BFH188" s="1"/>
      <c r="BFI188" s="1"/>
      <c r="BFJ188" s="1"/>
      <c r="BFK188" s="1"/>
      <c r="BFL188" s="1"/>
      <c r="BFM188" s="1"/>
      <c r="BFN188" s="1"/>
      <c r="BFO188" s="1"/>
      <c r="BFP188" s="1"/>
      <c r="BFQ188" s="1"/>
      <c r="BFR188" s="1"/>
      <c r="BFS188" s="1"/>
      <c r="BFT188" s="1"/>
      <c r="BFU188" s="1"/>
      <c r="BFV188" s="1"/>
      <c r="BFW188" s="1"/>
      <c r="BFX188" s="1"/>
      <c r="BFY188" s="1"/>
      <c r="BFZ188" s="1"/>
      <c r="BGA188" s="1"/>
      <c r="BGB188" s="1"/>
      <c r="BGC188" s="1"/>
      <c r="BGD188" s="1"/>
      <c r="BGE188" s="1"/>
      <c r="BGF188" s="1"/>
      <c r="BGG188" s="1"/>
      <c r="BGH188" s="1"/>
      <c r="BGI188" s="1"/>
      <c r="BGJ188" s="1"/>
      <c r="BGK188" s="1"/>
      <c r="BGL188" s="1"/>
      <c r="BGM188" s="1"/>
      <c r="BGN188" s="1"/>
      <c r="BGO188" s="1"/>
      <c r="BGP188" s="1"/>
      <c r="BGQ188" s="1"/>
      <c r="BGR188" s="1"/>
      <c r="BGS188" s="1"/>
      <c r="BGT188" s="1"/>
      <c r="BGU188" s="1"/>
      <c r="BGV188" s="1"/>
      <c r="BGW188" s="1"/>
      <c r="BGX188" s="1"/>
      <c r="BGY188" s="1"/>
      <c r="BGZ188" s="1"/>
      <c r="BHA188" s="1"/>
      <c r="BHB188" s="1"/>
      <c r="BHC188" s="1"/>
      <c r="BHD188" s="1"/>
      <c r="BHE188" s="1"/>
      <c r="BHF188" s="1"/>
      <c r="BHG188" s="1"/>
      <c r="BHH188" s="1"/>
      <c r="BHI188" s="1"/>
      <c r="BHJ188" s="1"/>
      <c r="BHK188" s="1"/>
      <c r="BHL188" s="1"/>
      <c r="BHM188" s="1"/>
      <c r="BHN188" s="1"/>
      <c r="BHO188" s="1"/>
      <c r="BHP188" s="1"/>
      <c r="BHQ188" s="1"/>
      <c r="BHR188" s="1"/>
      <c r="BHS188" s="1"/>
      <c r="BHT188" s="1"/>
      <c r="BHU188" s="1"/>
      <c r="BHV188" s="1"/>
      <c r="BHW188" s="1"/>
      <c r="BHX188" s="1"/>
      <c r="BHY188" s="1"/>
      <c r="BHZ188" s="1"/>
      <c r="BIA188" s="1"/>
      <c r="BIB188" s="1"/>
      <c r="BIC188" s="1"/>
      <c r="BID188" s="1"/>
      <c r="BIE188" s="1"/>
      <c r="BIF188" s="1"/>
      <c r="BIG188" s="1"/>
      <c r="BIH188" s="1"/>
      <c r="BII188" s="1"/>
      <c r="BIJ188" s="1"/>
      <c r="BIK188" s="1"/>
      <c r="BIL188" s="1"/>
      <c r="BIM188" s="1"/>
      <c r="BIN188" s="1"/>
      <c r="BIO188" s="1"/>
      <c r="BIP188" s="1"/>
      <c r="BIQ188" s="1"/>
      <c r="BIR188" s="1"/>
      <c r="BIS188" s="1"/>
      <c r="BIT188" s="1"/>
      <c r="BIU188" s="1"/>
      <c r="BIV188" s="1"/>
      <c r="BIW188" s="1"/>
      <c r="BIX188" s="1"/>
      <c r="BIY188" s="1"/>
      <c r="BIZ188" s="1"/>
      <c r="BJA188" s="1"/>
      <c r="BJB188" s="1"/>
      <c r="BJC188" s="1"/>
      <c r="BJD188" s="1"/>
      <c r="BJE188" s="1"/>
      <c r="BJF188" s="1"/>
      <c r="BJG188" s="1"/>
      <c r="BJH188" s="1"/>
      <c r="BJI188" s="1"/>
      <c r="BJJ188" s="1"/>
      <c r="BJK188" s="1"/>
      <c r="BJL188" s="1"/>
      <c r="BJM188" s="1"/>
      <c r="BJN188" s="1"/>
      <c r="BJO188" s="1"/>
      <c r="BJP188" s="1"/>
      <c r="BJQ188" s="1"/>
      <c r="BJR188" s="1"/>
      <c r="BJS188" s="1"/>
      <c r="BJT188" s="1"/>
      <c r="BJU188" s="1"/>
      <c r="BJV188" s="1"/>
      <c r="BJW188" s="1"/>
      <c r="BJX188" s="1"/>
      <c r="BJY188" s="1"/>
      <c r="BJZ188" s="1"/>
      <c r="BKA188" s="1"/>
      <c r="BKB188" s="1"/>
      <c r="BKC188" s="1"/>
      <c r="BKD188" s="1"/>
      <c r="BKE188" s="1"/>
      <c r="BKF188" s="1"/>
      <c r="BKG188" s="1"/>
      <c r="BKH188" s="1"/>
      <c r="BKI188" s="1"/>
      <c r="BKJ188" s="1"/>
      <c r="BKK188" s="1"/>
      <c r="BKL188" s="1"/>
      <c r="BKM188" s="1"/>
      <c r="BKN188" s="1"/>
      <c r="BKO188" s="1"/>
      <c r="BKP188" s="1"/>
      <c r="BKQ188" s="1"/>
      <c r="BKR188" s="1"/>
      <c r="BKS188" s="1"/>
      <c r="BKT188" s="1"/>
      <c r="BKU188" s="1"/>
      <c r="BKV188" s="1"/>
      <c r="BKW188" s="1"/>
      <c r="BKX188" s="1"/>
      <c r="BKY188" s="1"/>
      <c r="BKZ188" s="1"/>
      <c r="BLA188" s="1"/>
      <c r="BLB188" s="1"/>
      <c r="BLC188" s="1"/>
      <c r="BLD188" s="1"/>
      <c r="BLE188" s="1"/>
      <c r="BLF188" s="1"/>
      <c r="BLG188" s="1"/>
      <c r="BLH188" s="1"/>
      <c r="BLI188" s="1"/>
      <c r="BLJ188" s="1"/>
      <c r="BLK188" s="1"/>
      <c r="BLL188" s="1"/>
      <c r="BLM188" s="1"/>
      <c r="BLN188" s="1"/>
      <c r="BLO188" s="1"/>
      <c r="BLP188" s="1"/>
      <c r="BLQ188" s="1"/>
      <c r="BLR188" s="1"/>
      <c r="BLS188" s="1"/>
      <c r="BLT188" s="1"/>
      <c r="BLU188" s="1"/>
      <c r="BLV188" s="1"/>
      <c r="BLW188" s="1"/>
      <c r="BLX188" s="1"/>
      <c r="BLY188" s="1"/>
      <c r="BLZ188" s="1"/>
      <c r="BMA188" s="1"/>
      <c r="BMB188" s="1"/>
      <c r="BMC188" s="1"/>
      <c r="BMD188" s="1"/>
      <c r="BME188" s="1"/>
      <c r="BMF188" s="1"/>
      <c r="BMG188" s="1"/>
      <c r="BMH188" s="1"/>
      <c r="BMI188" s="1"/>
      <c r="BMJ188" s="1"/>
      <c r="BMK188" s="1"/>
      <c r="BML188" s="1"/>
      <c r="BMM188" s="1"/>
      <c r="BMN188" s="1"/>
      <c r="BMO188" s="1"/>
      <c r="BMP188" s="1"/>
      <c r="BMQ188" s="1"/>
      <c r="BMR188" s="1"/>
      <c r="BMS188" s="1"/>
      <c r="BMT188" s="1"/>
      <c r="BMU188" s="1"/>
      <c r="BMV188" s="1"/>
      <c r="BMW188" s="1"/>
      <c r="BMX188" s="1"/>
      <c r="BMY188" s="1"/>
      <c r="BMZ188" s="1"/>
      <c r="BNA188" s="1"/>
      <c r="BNB188" s="1"/>
      <c r="BNC188" s="1"/>
      <c r="BND188" s="1"/>
      <c r="BNE188" s="1"/>
      <c r="BNF188" s="1"/>
      <c r="BNG188" s="1"/>
      <c r="BNH188" s="1"/>
      <c r="BNI188" s="1"/>
      <c r="BNJ188" s="1"/>
      <c r="BNK188" s="1"/>
      <c r="BNL188" s="1"/>
      <c r="BNM188" s="1"/>
      <c r="BNN188" s="1"/>
      <c r="BNO188" s="1"/>
      <c r="BNP188" s="1"/>
      <c r="BNQ188" s="1"/>
      <c r="BNR188" s="1"/>
      <c r="BNS188" s="1"/>
      <c r="BNT188" s="1"/>
      <c r="BNU188" s="1"/>
      <c r="BNV188" s="1"/>
      <c r="BNW188" s="1"/>
      <c r="BNX188" s="1"/>
      <c r="BNY188" s="1"/>
      <c r="BNZ188" s="1"/>
      <c r="BOA188" s="1"/>
      <c r="BOB188" s="1"/>
      <c r="BOC188" s="1"/>
      <c r="BOD188" s="1"/>
      <c r="BOE188" s="1"/>
      <c r="BOF188" s="1"/>
      <c r="BOG188" s="1"/>
      <c r="BOH188" s="1"/>
      <c r="BOI188" s="1"/>
      <c r="BOJ188" s="1"/>
      <c r="BOK188" s="1"/>
      <c r="BOL188" s="1"/>
      <c r="BOM188" s="1"/>
      <c r="BON188" s="1"/>
      <c r="BOO188" s="1"/>
      <c r="BOP188" s="1"/>
      <c r="BOQ188" s="1"/>
      <c r="BOR188" s="1"/>
      <c r="BOS188" s="1"/>
      <c r="BOT188" s="1"/>
      <c r="BOU188" s="1"/>
      <c r="BOV188" s="1"/>
      <c r="BOW188" s="1"/>
      <c r="BOX188" s="1"/>
      <c r="BOY188" s="1"/>
      <c r="BOZ188" s="1"/>
      <c r="BPA188" s="1"/>
      <c r="BPB188" s="1"/>
      <c r="BPC188" s="1"/>
      <c r="BPD188" s="1"/>
      <c r="BPE188" s="1"/>
      <c r="BPF188" s="1"/>
      <c r="BPG188" s="1"/>
      <c r="BPH188" s="1"/>
      <c r="BPI188" s="1"/>
      <c r="BPJ188" s="1"/>
      <c r="BPK188" s="1"/>
      <c r="BPL188" s="1"/>
      <c r="BPM188" s="1"/>
      <c r="BPN188" s="1"/>
      <c r="BPO188" s="1"/>
      <c r="BPP188" s="1"/>
      <c r="BPQ188" s="1"/>
      <c r="BPR188" s="1"/>
      <c r="BPS188" s="1"/>
      <c r="BPT188" s="1"/>
      <c r="BPU188" s="1"/>
      <c r="BPV188" s="1"/>
      <c r="BPW188" s="1"/>
      <c r="BPX188" s="1"/>
      <c r="BPY188" s="1"/>
      <c r="BPZ188" s="1"/>
      <c r="BQA188" s="1"/>
      <c r="BQB188" s="1"/>
      <c r="BQC188" s="1"/>
      <c r="BQD188" s="1"/>
      <c r="BQE188" s="1"/>
      <c r="BQF188" s="1"/>
      <c r="BQG188" s="1"/>
      <c r="BQH188" s="1"/>
      <c r="BQI188" s="1"/>
      <c r="BQJ188" s="1"/>
      <c r="BQK188" s="1"/>
      <c r="BQL188" s="1"/>
      <c r="BQM188" s="1"/>
      <c r="BQN188" s="1"/>
      <c r="BQO188" s="1"/>
      <c r="BQP188" s="1"/>
      <c r="BQQ188" s="1"/>
      <c r="BQR188" s="1"/>
      <c r="BQS188" s="1"/>
      <c r="BQT188" s="1"/>
      <c r="BQU188" s="1"/>
      <c r="BQV188" s="1"/>
      <c r="BQW188" s="1"/>
      <c r="BQX188" s="1"/>
      <c r="BQY188" s="1"/>
      <c r="BQZ188" s="1"/>
      <c r="BRA188" s="1"/>
      <c r="BRB188" s="1"/>
      <c r="BRC188" s="1"/>
      <c r="BRD188" s="1"/>
      <c r="BRE188" s="1"/>
      <c r="BRF188" s="1"/>
      <c r="BRG188" s="1"/>
      <c r="BRH188" s="1"/>
      <c r="BRI188" s="1"/>
      <c r="BRJ188" s="1"/>
      <c r="BRK188" s="1"/>
      <c r="BRL188" s="1"/>
      <c r="BRM188" s="1"/>
      <c r="BRN188" s="1"/>
      <c r="BRO188" s="1"/>
      <c r="BRP188" s="1"/>
      <c r="BRQ188" s="1"/>
      <c r="BRR188" s="1"/>
      <c r="BRS188" s="1"/>
      <c r="BRT188" s="1"/>
      <c r="BRU188" s="1"/>
      <c r="BRV188" s="1"/>
      <c r="BRW188" s="1"/>
      <c r="BRX188" s="1"/>
      <c r="BRY188" s="1"/>
      <c r="BRZ188" s="1"/>
      <c r="BSA188" s="1"/>
      <c r="BSB188" s="1"/>
      <c r="BSC188" s="1"/>
      <c r="BSD188" s="1"/>
      <c r="BSE188" s="1"/>
      <c r="BSF188" s="1"/>
      <c r="BSG188" s="1"/>
      <c r="BSH188" s="1"/>
      <c r="BSI188" s="1"/>
      <c r="BSJ188" s="1"/>
      <c r="BSK188" s="1"/>
      <c r="BSL188" s="1"/>
      <c r="BSM188" s="1"/>
      <c r="BSN188" s="1"/>
      <c r="BSO188" s="1"/>
      <c r="BSP188" s="1"/>
      <c r="BSQ188" s="1"/>
      <c r="BSR188" s="1"/>
      <c r="BSS188" s="1"/>
      <c r="BST188" s="1"/>
      <c r="BSU188" s="1"/>
      <c r="BSV188" s="1"/>
      <c r="BSW188" s="1"/>
      <c r="BSX188" s="1"/>
      <c r="BSY188" s="1"/>
      <c r="BSZ188" s="1"/>
      <c r="BTA188" s="1"/>
      <c r="BTB188" s="1"/>
      <c r="BTC188" s="1"/>
      <c r="BTD188" s="1"/>
      <c r="BTE188" s="1"/>
      <c r="BTF188" s="1"/>
      <c r="BTG188" s="1"/>
      <c r="BTH188" s="1"/>
      <c r="BTI188" s="1"/>
      <c r="BTJ188" s="1"/>
      <c r="BTK188" s="1"/>
      <c r="BTL188" s="1"/>
      <c r="BTM188" s="1"/>
      <c r="BTN188" s="1"/>
      <c r="BTO188" s="1"/>
      <c r="BTP188" s="1"/>
      <c r="BTQ188" s="1"/>
      <c r="BTR188" s="1"/>
      <c r="BTS188" s="1"/>
      <c r="BTT188" s="1"/>
      <c r="BTU188" s="1"/>
      <c r="BTV188" s="1"/>
      <c r="BTW188" s="1"/>
      <c r="BTX188" s="1"/>
      <c r="BTY188" s="1"/>
      <c r="BTZ188" s="1"/>
      <c r="BUA188" s="1"/>
      <c r="BUB188" s="1"/>
      <c r="BUC188" s="1"/>
      <c r="BUD188" s="1"/>
      <c r="BUE188" s="1"/>
      <c r="BUF188" s="1"/>
      <c r="BUG188" s="1"/>
      <c r="BUH188" s="1"/>
      <c r="BUI188" s="1"/>
      <c r="BUJ188" s="1"/>
      <c r="BUK188" s="1"/>
      <c r="BUL188" s="1"/>
      <c r="BUM188" s="1"/>
      <c r="BUN188" s="1"/>
      <c r="BUO188" s="1"/>
      <c r="BUP188" s="1"/>
      <c r="BUQ188" s="1"/>
      <c r="BUR188" s="1"/>
      <c r="BUS188" s="1"/>
      <c r="BUT188" s="1"/>
      <c r="BUU188" s="1"/>
      <c r="BUV188" s="1"/>
      <c r="BUW188" s="1"/>
      <c r="BUX188" s="1"/>
      <c r="BUY188" s="1"/>
      <c r="BUZ188" s="1"/>
      <c r="BVA188" s="1"/>
      <c r="BVB188" s="1"/>
      <c r="BVC188" s="1"/>
      <c r="BVD188" s="1"/>
      <c r="BVE188" s="1"/>
      <c r="BVF188" s="1"/>
      <c r="BVG188" s="1"/>
      <c r="BVH188" s="1"/>
      <c r="BVI188" s="1"/>
      <c r="BVJ188" s="1"/>
      <c r="BVK188" s="1"/>
      <c r="BVL188" s="1"/>
      <c r="BVM188" s="1"/>
      <c r="BVN188" s="1"/>
      <c r="BVO188" s="1"/>
      <c r="BVP188" s="1"/>
      <c r="BVQ188" s="1"/>
      <c r="BVR188" s="1"/>
      <c r="BVS188" s="1"/>
      <c r="BVT188" s="1"/>
      <c r="BVU188" s="1"/>
      <c r="BVV188" s="1"/>
      <c r="BVW188" s="1"/>
      <c r="BVX188" s="1"/>
      <c r="BVY188" s="1"/>
      <c r="BVZ188" s="1"/>
      <c r="BWA188" s="1"/>
      <c r="BWB188" s="1"/>
      <c r="BWC188" s="1"/>
      <c r="BWD188" s="1"/>
      <c r="BWE188" s="1"/>
      <c r="BWF188" s="1"/>
      <c r="BWG188" s="1"/>
      <c r="BWH188" s="1"/>
      <c r="BWI188" s="1"/>
      <c r="BWJ188" s="1"/>
      <c r="BWK188" s="1"/>
      <c r="BWL188" s="1"/>
      <c r="BWM188" s="1"/>
      <c r="BWN188" s="1"/>
      <c r="BWO188" s="1"/>
      <c r="BWP188" s="1"/>
      <c r="BWQ188" s="1"/>
      <c r="BWR188" s="1"/>
      <c r="BWS188" s="1"/>
      <c r="BWT188" s="1"/>
      <c r="BWU188" s="1"/>
      <c r="BWV188" s="1"/>
      <c r="BWW188" s="1"/>
      <c r="BWX188" s="1"/>
      <c r="BWY188" s="1"/>
      <c r="BWZ188" s="1"/>
      <c r="BXA188" s="1"/>
      <c r="BXB188" s="1"/>
      <c r="BXC188" s="1"/>
      <c r="BXD188" s="1"/>
      <c r="BXE188" s="1"/>
      <c r="BXF188" s="1"/>
      <c r="BXG188" s="1"/>
      <c r="BXH188" s="1"/>
      <c r="BXI188" s="1"/>
      <c r="BXJ188" s="1"/>
      <c r="BXK188" s="1"/>
      <c r="BXL188" s="1"/>
      <c r="BXM188" s="1"/>
      <c r="BXN188" s="1"/>
      <c r="BXO188" s="1"/>
      <c r="BXP188" s="1"/>
      <c r="BXQ188" s="1"/>
      <c r="BXR188" s="1"/>
      <c r="BXS188" s="1"/>
      <c r="BXT188" s="1"/>
      <c r="BXU188" s="1"/>
      <c r="BXV188" s="1"/>
      <c r="BXW188" s="1"/>
      <c r="BXX188" s="1"/>
      <c r="BXY188" s="1"/>
      <c r="BXZ188" s="1"/>
      <c r="BYA188" s="1"/>
      <c r="BYB188" s="1"/>
      <c r="BYC188" s="1"/>
      <c r="BYD188" s="1"/>
      <c r="BYE188" s="1"/>
      <c r="BYF188" s="1"/>
      <c r="BYG188" s="1"/>
      <c r="BYH188" s="1"/>
      <c r="BYI188" s="1"/>
      <c r="BYJ188" s="1"/>
      <c r="BYK188" s="1"/>
      <c r="BYL188" s="1"/>
      <c r="BYM188" s="1"/>
      <c r="BYN188" s="1"/>
      <c r="BYO188" s="1"/>
      <c r="BYP188" s="1"/>
      <c r="BYQ188" s="1"/>
      <c r="BYR188" s="1"/>
      <c r="BYS188" s="1"/>
      <c r="BYT188" s="1"/>
      <c r="BYU188" s="1"/>
      <c r="BYV188" s="1"/>
      <c r="BYW188" s="1"/>
      <c r="BYX188" s="1"/>
      <c r="BYY188" s="1"/>
      <c r="BYZ188" s="1"/>
      <c r="BZA188" s="1"/>
      <c r="BZB188" s="1"/>
      <c r="BZC188" s="1"/>
      <c r="BZD188" s="1"/>
      <c r="BZE188" s="1"/>
      <c r="BZF188" s="1"/>
      <c r="BZG188" s="1"/>
      <c r="BZH188" s="1"/>
      <c r="BZI188" s="1"/>
      <c r="BZJ188" s="1"/>
      <c r="BZK188" s="1"/>
      <c r="BZL188" s="1"/>
      <c r="BZM188" s="1"/>
      <c r="BZN188" s="1"/>
      <c r="BZO188" s="1"/>
      <c r="BZP188" s="1"/>
      <c r="BZQ188" s="1"/>
      <c r="BZR188" s="1"/>
      <c r="BZS188" s="1"/>
      <c r="BZT188" s="1"/>
      <c r="BZU188" s="1"/>
      <c r="BZV188" s="1"/>
      <c r="BZW188" s="1"/>
      <c r="BZX188" s="1"/>
      <c r="BZY188" s="1"/>
      <c r="BZZ188" s="1"/>
      <c r="CAA188" s="1"/>
      <c r="CAB188" s="1"/>
      <c r="CAC188" s="1"/>
      <c r="CAD188" s="1"/>
      <c r="CAE188" s="1"/>
      <c r="CAF188" s="1"/>
      <c r="CAG188" s="1"/>
      <c r="CAH188" s="1"/>
      <c r="CAI188" s="1"/>
      <c r="CAJ188" s="1"/>
      <c r="CAK188" s="1"/>
      <c r="CAL188" s="1"/>
      <c r="CAM188" s="1"/>
      <c r="CAN188" s="1"/>
      <c r="CAO188" s="1"/>
      <c r="CAP188" s="1"/>
      <c r="CAQ188" s="1"/>
      <c r="CAR188" s="1"/>
      <c r="CAS188" s="1"/>
      <c r="CAT188" s="1"/>
      <c r="CAU188" s="1"/>
      <c r="CAV188" s="1"/>
      <c r="CAW188" s="1"/>
      <c r="CAX188" s="1"/>
      <c r="CAY188" s="1"/>
      <c r="CAZ188" s="1"/>
      <c r="CBA188" s="1"/>
      <c r="CBB188" s="1"/>
      <c r="CBC188" s="1"/>
      <c r="CBD188" s="1"/>
      <c r="CBE188" s="1"/>
      <c r="CBF188" s="1"/>
      <c r="CBG188" s="1"/>
      <c r="CBH188" s="1"/>
      <c r="CBI188" s="1"/>
      <c r="CBJ188" s="1"/>
      <c r="CBK188" s="1"/>
      <c r="CBL188" s="1"/>
      <c r="CBM188" s="1"/>
      <c r="CBN188" s="1"/>
      <c r="CBO188" s="1"/>
      <c r="CBP188" s="1"/>
      <c r="CBQ188" s="1"/>
      <c r="CBR188" s="1"/>
      <c r="CBS188" s="1"/>
      <c r="CBT188" s="1"/>
      <c r="CBU188" s="1"/>
      <c r="CBV188" s="1"/>
      <c r="CBW188" s="1"/>
      <c r="CBX188" s="1"/>
      <c r="CBY188" s="1"/>
      <c r="CBZ188" s="1"/>
      <c r="CCA188" s="1"/>
      <c r="CCB188" s="1"/>
      <c r="CCC188" s="1"/>
      <c r="CCD188" s="1"/>
      <c r="CCE188" s="1"/>
      <c r="CCF188" s="1"/>
      <c r="CCG188" s="1"/>
      <c r="CCH188" s="1"/>
      <c r="CCI188" s="1"/>
      <c r="CCJ188" s="1"/>
      <c r="CCK188" s="1"/>
      <c r="CCL188" s="1"/>
      <c r="CCM188" s="1"/>
      <c r="CCN188" s="1"/>
      <c r="CCO188" s="1"/>
      <c r="CCP188" s="1"/>
      <c r="CCQ188" s="1"/>
      <c r="CCR188" s="1"/>
      <c r="CCS188" s="1"/>
      <c r="CCT188" s="1"/>
      <c r="CCU188" s="1"/>
      <c r="CCV188" s="1"/>
      <c r="CCW188" s="1"/>
      <c r="CCX188" s="1"/>
      <c r="CCY188" s="1"/>
      <c r="CCZ188" s="1"/>
      <c r="CDA188" s="1"/>
      <c r="CDB188" s="1"/>
      <c r="CDC188" s="1"/>
      <c r="CDD188" s="1"/>
      <c r="CDE188" s="1"/>
      <c r="CDF188" s="1"/>
      <c r="CDG188" s="1"/>
      <c r="CDH188" s="1"/>
      <c r="CDI188" s="1"/>
      <c r="CDJ188" s="1"/>
      <c r="CDK188" s="1"/>
      <c r="CDL188" s="1"/>
      <c r="CDM188" s="1"/>
      <c r="CDN188" s="1"/>
      <c r="CDO188" s="1"/>
      <c r="CDP188" s="1"/>
      <c r="CDQ188" s="1"/>
      <c r="CDR188" s="1"/>
      <c r="CDS188" s="1"/>
      <c r="CDT188" s="1"/>
      <c r="CDU188" s="1"/>
      <c r="CDV188" s="1"/>
      <c r="CDW188" s="1"/>
      <c r="CDX188" s="1"/>
      <c r="CDY188" s="1"/>
      <c r="CDZ188" s="1"/>
      <c r="CEA188" s="1"/>
      <c r="CEB188" s="1"/>
      <c r="CEC188" s="1"/>
      <c r="CED188" s="1"/>
      <c r="CEE188" s="1"/>
      <c r="CEF188" s="1"/>
      <c r="CEG188" s="1"/>
      <c r="CEH188" s="1"/>
      <c r="CEI188" s="1"/>
      <c r="CEJ188" s="1"/>
      <c r="CEK188" s="1"/>
      <c r="CEL188" s="1"/>
      <c r="CEM188" s="1"/>
      <c r="CEN188" s="1"/>
      <c r="CEO188" s="1"/>
      <c r="CEP188" s="1"/>
      <c r="CEQ188" s="1"/>
      <c r="CER188" s="1"/>
      <c r="CES188" s="1"/>
      <c r="CET188" s="1"/>
      <c r="CEU188" s="1"/>
      <c r="CEV188" s="1"/>
      <c r="CEW188" s="1"/>
      <c r="CEX188" s="1"/>
      <c r="CEY188" s="1"/>
      <c r="CEZ188" s="1"/>
      <c r="CFA188" s="1"/>
      <c r="CFB188" s="1"/>
      <c r="CFC188" s="1"/>
      <c r="CFD188" s="1"/>
      <c r="CFE188" s="1"/>
      <c r="CFF188" s="1"/>
      <c r="CFG188" s="1"/>
      <c r="CFH188" s="1"/>
      <c r="CFI188" s="1"/>
      <c r="CFJ188" s="1"/>
      <c r="CFK188" s="1"/>
      <c r="CFL188" s="1"/>
      <c r="CFM188" s="1"/>
      <c r="CFN188" s="1"/>
      <c r="CFO188" s="1"/>
      <c r="CFP188" s="1"/>
      <c r="CFQ188" s="1"/>
      <c r="CFR188" s="1"/>
      <c r="CFS188" s="1"/>
      <c r="CFT188" s="1"/>
      <c r="CFU188" s="1"/>
      <c r="CFV188" s="1"/>
      <c r="CFW188" s="1"/>
      <c r="CFX188" s="1"/>
      <c r="CFY188" s="1"/>
      <c r="CFZ188" s="1"/>
      <c r="CGA188" s="1"/>
      <c r="CGB188" s="1"/>
      <c r="CGC188" s="1"/>
      <c r="CGD188" s="1"/>
      <c r="CGE188" s="1"/>
      <c r="CGF188" s="1"/>
      <c r="CGG188" s="1"/>
      <c r="CGH188" s="1"/>
      <c r="CGI188" s="1"/>
      <c r="CGJ188" s="1"/>
      <c r="CGK188" s="1"/>
      <c r="CGL188" s="1"/>
      <c r="CGM188" s="1"/>
      <c r="CGN188" s="1"/>
      <c r="CGO188" s="1"/>
      <c r="CGP188" s="1"/>
      <c r="CGQ188" s="1"/>
      <c r="CGR188" s="1"/>
      <c r="CGS188" s="1"/>
      <c r="CGT188" s="1"/>
      <c r="CGU188" s="1"/>
      <c r="CGV188" s="1"/>
      <c r="CGW188" s="1"/>
      <c r="CGX188" s="1"/>
      <c r="CGY188" s="1"/>
      <c r="CGZ188" s="1"/>
      <c r="CHA188" s="1"/>
      <c r="CHB188" s="1"/>
      <c r="CHC188" s="1"/>
      <c r="CHD188" s="1"/>
      <c r="CHE188" s="1"/>
      <c r="CHF188" s="1"/>
      <c r="CHG188" s="1"/>
      <c r="CHH188" s="1"/>
      <c r="CHI188" s="1"/>
      <c r="CHJ188" s="1"/>
      <c r="CHK188" s="1"/>
      <c r="CHL188" s="1"/>
      <c r="CHM188" s="1"/>
      <c r="CHN188" s="1"/>
      <c r="CHO188" s="1"/>
      <c r="CHP188" s="1"/>
      <c r="CHQ188" s="1"/>
      <c r="CHR188" s="1"/>
      <c r="CHS188" s="1"/>
      <c r="CHT188" s="1"/>
      <c r="CHU188" s="1"/>
      <c r="CHV188" s="1"/>
      <c r="CHW188" s="1"/>
      <c r="CHX188" s="1"/>
      <c r="CHY188" s="1"/>
      <c r="CHZ188" s="1"/>
      <c r="CIA188" s="1"/>
      <c r="CIB188" s="1"/>
      <c r="CIC188" s="1"/>
      <c r="CID188" s="1"/>
      <c r="CIE188" s="1"/>
      <c r="CIF188" s="1"/>
      <c r="CIG188" s="1"/>
      <c r="CIH188" s="1"/>
      <c r="CII188" s="1"/>
      <c r="CIJ188" s="1"/>
      <c r="CIK188" s="1"/>
      <c r="CIL188" s="1"/>
      <c r="CIM188" s="1"/>
      <c r="CIN188" s="1"/>
      <c r="CIO188" s="1"/>
      <c r="CIP188" s="1"/>
      <c r="CIQ188" s="1"/>
      <c r="CIR188" s="1"/>
      <c r="CIS188" s="1"/>
      <c r="CIT188" s="1"/>
      <c r="CIU188" s="1"/>
      <c r="CIV188" s="1"/>
      <c r="CIW188" s="1"/>
      <c r="CIX188" s="1"/>
      <c r="CIY188" s="1"/>
      <c r="CIZ188" s="1"/>
      <c r="CJA188" s="1"/>
      <c r="CJB188" s="1"/>
      <c r="CJC188" s="1"/>
      <c r="CJD188" s="1"/>
      <c r="CJE188" s="1"/>
      <c r="CJF188" s="1"/>
      <c r="CJG188" s="1"/>
      <c r="CJH188" s="1"/>
      <c r="CJI188" s="1"/>
      <c r="CJJ188" s="1"/>
      <c r="CJK188" s="1"/>
      <c r="CJL188" s="1"/>
      <c r="CJM188" s="1"/>
      <c r="CJN188" s="1"/>
      <c r="CJO188" s="1"/>
      <c r="CJP188" s="1"/>
      <c r="CJQ188" s="1"/>
      <c r="CJR188" s="1"/>
      <c r="CJS188" s="1"/>
      <c r="CJT188" s="1"/>
      <c r="CJU188" s="1"/>
      <c r="CJV188" s="1"/>
      <c r="CJW188" s="1"/>
      <c r="CJX188" s="1"/>
      <c r="CJY188" s="1"/>
      <c r="CJZ188" s="1"/>
      <c r="CKA188" s="1"/>
      <c r="CKB188" s="1"/>
      <c r="CKC188" s="1"/>
      <c r="CKD188" s="1"/>
      <c r="CKE188" s="1"/>
      <c r="CKF188" s="1"/>
      <c r="CKG188" s="1"/>
      <c r="CKH188" s="1"/>
      <c r="CKI188" s="1"/>
      <c r="CKJ188" s="1"/>
      <c r="CKK188" s="1"/>
      <c r="CKL188" s="1"/>
      <c r="CKM188" s="1"/>
      <c r="CKN188" s="1"/>
      <c r="CKO188" s="1"/>
      <c r="CKP188" s="1"/>
      <c r="CKQ188" s="1"/>
      <c r="CKR188" s="1"/>
      <c r="CKS188" s="1"/>
      <c r="CKT188" s="1"/>
      <c r="CKU188" s="1"/>
      <c r="CKV188" s="1"/>
      <c r="CKW188" s="1"/>
      <c r="CKX188" s="1"/>
      <c r="CKY188" s="1"/>
      <c r="CKZ188" s="1"/>
      <c r="CLA188" s="1"/>
      <c r="CLB188" s="1"/>
      <c r="CLC188" s="1"/>
      <c r="CLD188" s="1"/>
      <c r="CLE188" s="1"/>
      <c r="CLF188" s="1"/>
      <c r="CLG188" s="1"/>
      <c r="CLH188" s="1"/>
      <c r="CLI188" s="1"/>
      <c r="CLJ188" s="1"/>
      <c r="CLK188" s="1"/>
      <c r="CLL188" s="1"/>
      <c r="CLM188" s="1"/>
      <c r="CLN188" s="1"/>
      <c r="CLO188" s="1"/>
      <c r="CLP188" s="1"/>
      <c r="CLQ188" s="1"/>
      <c r="CLR188" s="1"/>
      <c r="CLS188" s="1"/>
      <c r="CLT188" s="1"/>
      <c r="CLU188" s="1"/>
      <c r="CLV188" s="1"/>
      <c r="CLW188" s="1"/>
      <c r="CLX188" s="1"/>
      <c r="CLY188" s="1"/>
      <c r="CLZ188" s="1"/>
      <c r="CMA188" s="1"/>
      <c r="CMB188" s="1"/>
      <c r="CMC188" s="1"/>
      <c r="CMD188" s="1"/>
      <c r="CME188" s="1"/>
      <c r="CMF188" s="1"/>
      <c r="CMG188" s="1"/>
      <c r="CMH188" s="1"/>
      <c r="CMI188" s="1"/>
      <c r="CMJ188" s="1"/>
      <c r="CMK188" s="1"/>
      <c r="CML188" s="1"/>
      <c r="CMM188" s="1"/>
      <c r="CMN188" s="1"/>
      <c r="CMO188" s="1"/>
      <c r="CMP188" s="1"/>
      <c r="CMQ188" s="1"/>
      <c r="CMR188" s="1"/>
      <c r="CMS188" s="1"/>
      <c r="CMT188" s="1"/>
      <c r="CMU188" s="1"/>
      <c r="CMV188" s="1"/>
      <c r="CMW188" s="1"/>
      <c r="CMX188" s="1"/>
      <c r="CMY188" s="1"/>
      <c r="CMZ188" s="1"/>
      <c r="CNA188" s="1"/>
      <c r="CNB188" s="1"/>
      <c r="CNC188" s="1"/>
      <c r="CND188" s="1"/>
      <c r="CNE188" s="1"/>
      <c r="CNF188" s="1"/>
      <c r="CNG188" s="1"/>
      <c r="CNH188" s="1"/>
      <c r="CNI188" s="1"/>
      <c r="CNJ188" s="1"/>
      <c r="CNK188" s="1"/>
      <c r="CNL188" s="1"/>
      <c r="CNM188" s="1"/>
      <c r="CNN188" s="1"/>
      <c r="CNO188" s="1"/>
      <c r="CNP188" s="1"/>
      <c r="CNQ188" s="1"/>
      <c r="CNR188" s="1"/>
      <c r="CNS188" s="1"/>
      <c r="CNT188" s="1"/>
      <c r="CNU188" s="1"/>
      <c r="CNV188" s="1"/>
      <c r="CNW188" s="1"/>
      <c r="CNX188" s="1"/>
      <c r="CNY188" s="1"/>
      <c r="CNZ188" s="1"/>
      <c r="COA188" s="1"/>
      <c r="COB188" s="1"/>
      <c r="COC188" s="1"/>
      <c r="COD188" s="1"/>
      <c r="COE188" s="1"/>
      <c r="COF188" s="1"/>
      <c r="COG188" s="1"/>
      <c r="COH188" s="1"/>
      <c r="COI188" s="1"/>
      <c r="COJ188" s="1"/>
      <c r="COK188" s="1"/>
      <c r="COL188" s="1"/>
      <c r="COM188" s="1"/>
      <c r="CON188" s="1"/>
      <c r="COO188" s="1"/>
      <c r="COP188" s="1"/>
      <c r="COQ188" s="1"/>
      <c r="COR188" s="1"/>
      <c r="COS188" s="1"/>
      <c r="COT188" s="1"/>
      <c r="COU188" s="1"/>
      <c r="COV188" s="1"/>
      <c r="COW188" s="1"/>
      <c r="COX188" s="1"/>
      <c r="COY188" s="1"/>
      <c r="COZ188" s="1"/>
      <c r="CPA188" s="1"/>
      <c r="CPB188" s="1"/>
      <c r="CPC188" s="1"/>
      <c r="CPD188" s="1"/>
      <c r="CPE188" s="1"/>
      <c r="CPF188" s="1"/>
      <c r="CPG188" s="1"/>
      <c r="CPH188" s="1"/>
      <c r="CPI188" s="1"/>
      <c r="CPJ188" s="1"/>
      <c r="CPK188" s="1"/>
      <c r="CPL188" s="1"/>
      <c r="CPM188" s="1"/>
      <c r="CPN188" s="1"/>
      <c r="CPO188" s="1"/>
      <c r="CPP188" s="1"/>
      <c r="CPQ188" s="1"/>
      <c r="CPR188" s="1"/>
      <c r="CPS188" s="1"/>
      <c r="CPT188" s="1"/>
      <c r="CPU188" s="1"/>
      <c r="CPV188" s="1"/>
      <c r="CPW188" s="1"/>
      <c r="CPX188" s="1"/>
      <c r="CPY188" s="1"/>
      <c r="CPZ188" s="1"/>
      <c r="CQA188" s="1"/>
      <c r="CQB188" s="1"/>
      <c r="CQC188" s="1"/>
      <c r="CQD188" s="1"/>
      <c r="CQE188" s="1"/>
      <c r="CQF188" s="1"/>
      <c r="CQG188" s="1"/>
      <c r="CQH188" s="1"/>
      <c r="CQI188" s="1"/>
      <c r="CQJ188" s="1"/>
      <c r="CQK188" s="1"/>
      <c r="CQL188" s="1"/>
      <c r="CQM188" s="1"/>
      <c r="CQN188" s="1"/>
      <c r="CQO188" s="1"/>
      <c r="CQP188" s="1"/>
      <c r="CQQ188" s="1"/>
      <c r="CQR188" s="1"/>
      <c r="CQS188" s="1"/>
      <c r="CQT188" s="1"/>
      <c r="CQU188" s="1"/>
      <c r="CQV188" s="1"/>
      <c r="CQW188" s="1"/>
      <c r="CQX188" s="1"/>
      <c r="CQY188" s="1"/>
      <c r="CQZ188" s="1"/>
      <c r="CRA188" s="1"/>
      <c r="CRB188" s="1"/>
      <c r="CRC188" s="1"/>
      <c r="CRD188" s="1"/>
      <c r="CRE188" s="1"/>
      <c r="CRF188" s="1"/>
      <c r="CRG188" s="1"/>
      <c r="CRH188" s="1"/>
      <c r="CRI188" s="1"/>
      <c r="CRJ188" s="1"/>
      <c r="CRK188" s="1"/>
      <c r="CRL188" s="1"/>
      <c r="CRM188" s="1"/>
      <c r="CRN188" s="1"/>
      <c r="CRO188" s="1"/>
      <c r="CRP188" s="1"/>
      <c r="CRQ188" s="1"/>
      <c r="CRR188" s="1"/>
      <c r="CRS188" s="1"/>
      <c r="CRT188" s="1"/>
      <c r="CRU188" s="1"/>
      <c r="CRV188" s="1"/>
      <c r="CRW188" s="1"/>
      <c r="CRX188" s="1"/>
      <c r="CRY188" s="1"/>
      <c r="CRZ188" s="1"/>
      <c r="CSA188" s="1"/>
      <c r="CSB188" s="1"/>
      <c r="CSC188" s="1"/>
      <c r="CSD188" s="1"/>
      <c r="CSE188" s="1"/>
      <c r="CSF188" s="1"/>
      <c r="CSG188" s="1"/>
      <c r="CSH188" s="1"/>
      <c r="CSI188" s="1"/>
      <c r="CSJ188" s="1"/>
      <c r="CSK188" s="1"/>
      <c r="CSL188" s="1"/>
      <c r="CSM188" s="1"/>
      <c r="CSN188" s="1"/>
      <c r="CSO188" s="1"/>
      <c r="CSP188" s="1"/>
      <c r="CSQ188" s="1"/>
      <c r="CSR188" s="1"/>
      <c r="CSS188" s="1"/>
      <c r="CST188" s="1"/>
      <c r="CSU188" s="1"/>
      <c r="CSV188" s="1"/>
      <c r="CSW188" s="1"/>
      <c r="CSX188" s="1"/>
      <c r="CSY188" s="1"/>
      <c r="CSZ188" s="1"/>
      <c r="CTA188" s="1"/>
      <c r="CTB188" s="1"/>
      <c r="CTC188" s="1"/>
      <c r="CTD188" s="1"/>
      <c r="CTE188" s="1"/>
      <c r="CTF188" s="1"/>
      <c r="CTG188" s="1"/>
      <c r="CTH188" s="1"/>
      <c r="CTI188" s="1"/>
      <c r="CTJ188" s="1"/>
      <c r="CTK188" s="1"/>
      <c r="CTL188" s="1"/>
      <c r="CTM188" s="1"/>
      <c r="CTN188" s="1"/>
      <c r="CTO188" s="1"/>
      <c r="CTP188" s="1"/>
      <c r="CTQ188" s="1"/>
      <c r="CTR188" s="1"/>
      <c r="CTS188" s="1"/>
      <c r="CTT188" s="1"/>
      <c r="CTU188" s="1"/>
      <c r="CTV188" s="1"/>
      <c r="CTW188" s="1"/>
      <c r="CTX188" s="1"/>
      <c r="CTY188" s="1"/>
      <c r="CTZ188" s="1"/>
      <c r="CUA188" s="1"/>
      <c r="CUB188" s="1"/>
      <c r="CUC188" s="1"/>
      <c r="CUD188" s="1"/>
      <c r="CUE188" s="1"/>
      <c r="CUF188" s="1"/>
      <c r="CUG188" s="1"/>
      <c r="CUH188" s="1"/>
      <c r="CUI188" s="1"/>
      <c r="CUJ188" s="1"/>
      <c r="CUK188" s="1"/>
      <c r="CUL188" s="1"/>
      <c r="CUM188" s="1"/>
      <c r="CUN188" s="1"/>
      <c r="CUO188" s="1"/>
      <c r="CUP188" s="1"/>
      <c r="CUQ188" s="1"/>
      <c r="CUR188" s="1"/>
      <c r="CUS188" s="1"/>
      <c r="CUT188" s="1"/>
      <c r="CUU188" s="1"/>
      <c r="CUV188" s="1"/>
      <c r="CUW188" s="1"/>
      <c r="CUX188" s="1"/>
      <c r="CUY188" s="1"/>
      <c r="CUZ188" s="1"/>
      <c r="CVA188" s="1"/>
      <c r="CVB188" s="1"/>
      <c r="CVC188" s="1"/>
      <c r="CVD188" s="1"/>
      <c r="CVE188" s="1"/>
      <c r="CVF188" s="1"/>
      <c r="CVG188" s="1"/>
      <c r="CVH188" s="1"/>
      <c r="CVI188" s="1"/>
      <c r="CVJ188" s="1"/>
      <c r="CVK188" s="1"/>
      <c r="CVL188" s="1"/>
      <c r="CVM188" s="1"/>
      <c r="CVN188" s="1"/>
      <c r="CVO188" s="1"/>
      <c r="CVP188" s="1"/>
      <c r="CVQ188" s="1"/>
      <c r="CVR188" s="1"/>
      <c r="CVS188" s="1"/>
      <c r="CVT188" s="1"/>
      <c r="CVU188" s="1"/>
      <c r="CVV188" s="1"/>
      <c r="CVW188" s="1"/>
      <c r="CVX188" s="1"/>
      <c r="CVY188" s="1"/>
      <c r="CVZ188" s="1"/>
      <c r="CWA188" s="1"/>
      <c r="CWB188" s="1"/>
      <c r="CWC188" s="1"/>
      <c r="CWD188" s="1"/>
      <c r="CWE188" s="1"/>
      <c r="CWF188" s="1"/>
      <c r="CWG188" s="1"/>
      <c r="CWH188" s="1"/>
      <c r="CWI188" s="1"/>
      <c r="CWJ188" s="1"/>
      <c r="CWK188" s="1"/>
      <c r="CWL188" s="1"/>
      <c r="CWM188" s="1"/>
      <c r="CWN188" s="1"/>
      <c r="CWO188" s="1"/>
      <c r="CWP188" s="1"/>
      <c r="CWQ188" s="1"/>
      <c r="CWR188" s="1"/>
      <c r="CWS188" s="1"/>
      <c r="CWT188" s="1"/>
      <c r="CWU188" s="1"/>
      <c r="CWV188" s="1"/>
      <c r="CWW188" s="1"/>
      <c r="CWX188" s="1"/>
      <c r="CWY188" s="1"/>
      <c r="CWZ188" s="1"/>
      <c r="CXA188" s="1"/>
      <c r="CXB188" s="1"/>
      <c r="CXC188" s="1"/>
      <c r="CXD188" s="1"/>
      <c r="CXE188" s="1"/>
      <c r="CXF188" s="1"/>
      <c r="CXG188" s="1"/>
      <c r="CXH188" s="1"/>
      <c r="CXI188" s="1"/>
      <c r="CXJ188" s="1"/>
      <c r="CXK188" s="1"/>
      <c r="CXL188" s="1"/>
      <c r="CXM188" s="1"/>
      <c r="CXN188" s="1"/>
      <c r="CXO188" s="1"/>
      <c r="CXP188" s="1"/>
      <c r="CXQ188" s="1"/>
      <c r="CXR188" s="1"/>
      <c r="CXS188" s="1"/>
      <c r="CXT188" s="1"/>
      <c r="CXU188" s="1"/>
      <c r="CXV188" s="1"/>
      <c r="CXW188" s="1"/>
      <c r="CXX188" s="1"/>
      <c r="CXY188" s="1"/>
      <c r="CXZ188" s="1"/>
      <c r="CYA188" s="1"/>
      <c r="CYB188" s="1"/>
      <c r="CYC188" s="1"/>
      <c r="CYD188" s="1"/>
      <c r="CYE188" s="1"/>
      <c r="CYF188" s="1"/>
      <c r="CYG188" s="1"/>
      <c r="CYH188" s="1"/>
      <c r="CYI188" s="1"/>
      <c r="CYJ188" s="1"/>
      <c r="CYK188" s="1"/>
      <c r="CYL188" s="1"/>
      <c r="CYM188" s="1"/>
      <c r="CYN188" s="1"/>
      <c r="CYO188" s="1"/>
      <c r="CYP188" s="1"/>
      <c r="CYQ188" s="1"/>
      <c r="CYR188" s="1"/>
      <c r="CYS188" s="1"/>
      <c r="CYT188" s="1"/>
      <c r="CYU188" s="1"/>
      <c r="CYV188" s="1"/>
      <c r="CYW188" s="1"/>
      <c r="CYX188" s="1"/>
      <c r="CYY188" s="1"/>
      <c r="CYZ188" s="1"/>
      <c r="CZA188" s="1"/>
      <c r="CZB188" s="1"/>
      <c r="CZC188" s="1"/>
      <c r="CZD188" s="1"/>
      <c r="CZE188" s="1"/>
      <c r="CZF188" s="1"/>
      <c r="CZG188" s="1"/>
      <c r="CZH188" s="1"/>
      <c r="CZI188" s="1"/>
      <c r="CZJ188" s="1"/>
      <c r="CZK188" s="1"/>
      <c r="CZL188" s="1"/>
      <c r="CZM188" s="1"/>
      <c r="CZN188" s="1"/>
      <c r="CZO188" s="1"/>
      <c r="CZP188" s="1"/>
      <c r="CZQ188" s="1"/>
      <c r="CZR188" s="1"/>
      <c r="CZS188" s="1"/>
      <c r="CZT188" s="1"/>
      <c r="CZU188" s="1"/>
      <c r="CZV188" s="1"/>
      <c r="CZW188" s="1"/>
      <c r="CZX188" s="1"/>
      <c r="CZY188" s="1"/>
      <c r="CZZ188" s="1"/>
      <c r="DAA188" s="1"/>
      <c r="DAB188" s="1"/>
      <c r="DAC188" s="1"/>
      <c r="DAD188" s="1"/>
      <c r="DAE188" s="1"/>
      <c r="DAF188" s="1"/>
      <c r="DAG188" s="1"/>
      <c r="DAH188" s="1"/>
      <c r="DAI188" s="1"/>
      <c r="DAJ188" s="1"/>
      <c r="DAK188" s="1"/>
      <c r="DAL188" s="1"/>
      <c r="DAM188" s="1"/>
      <c r="DAN188" s="1"/>
      <c r="DAO188" s="1"/>
      <c r="DAP188" s="1"/>
      <c r="DAQ188" s="1"/>
      <c r="DAR188" s="1"/>
      <c r="DAS188" s="1"/>
      <c r="DAT188" s="1"/>
      <c r="DAU188" s="1"/>
      <c r="DAV188" s="1"/>
      <c r="DAW188" s="1"/>
      <c r="DAX188" s="1"/>
      <c r="DAY188" s="1"/>
      <c r="DAZ188" s="1"/>
      <c r="DBA188" s="1"/>
      <c r="DBB188" s="1"/>
      <c r="DBC188" s="1"/>
      <c r="DBD188" s="1"/>
      <c r="DBE188" s="1"/>
      <c r="DBF188" s="1"/>
      <c r="DBG188" s="1"/>
      <c r="DBH188" s="1"/>
      <c r="DBI188" s="1"/>
      <c r="DBJ188" s="1"/>
      <c r="DBK188" s="1"/>
      <c r="DBL188" s="1"/>
      <c r="DBM188" s="1"/>
      <c r="DBN188" s="1"/>
      <c r="DBO188" s="1"/>
      <c r="DBP188" s="1"/>
      <c r="DBQ188" s="1"/>
      <c r="DBR188" s="1"/>
      <c r="DBS188" s="1"/>
      <c r="DBT188" s="1"/>
      <c r="DBU188" s="1"/>
      <c r="DBV188" s="1"/>
      <c r="DBW188" s="1"/>
      <c r="DBX188" s="1"/>
      <c r="DBY188" s="1"/>
      <c r="DBZ188" s="1"/>
      <c r="DCA188" s="1"/>
      <c r="DCB188" s="1"/>
      <c r="DCC188" s="1"/>
      <c r="DCD188" s="1"/>
      <c r="DCE188" s="1"/>
      <c r="DCF188" s="1"/>
      <c r="DCG188" s="1"/>
      <c r="DCH188" s="1"/>
      <c r="DCI188" s="1"/>
      <c r="DCJ188" s="1"/>
      <c r="DCK188" s="1"/>
      <c r="DCL188" s="1"/>
      <c r="DCM188" s="1"/>
      <c r="DCN188" s="1"/>
      <c r="DCO188" s="1"/>
      <c r="DCP188" s="1"/>
      <c r="DCQ188" s="1"/>
      <c r="DCR188" s="1"/>
      <c r="DCS188" s="1"/>
      <c r="DCT188" s="1"/>
      <c r="DCU188" s="1"/>
      <c r="DCV188" s="1"/>
      <c r="DCW188" s="1"/>
      <c r="DCX188" s="1"/>
      <c r="DCY188" s="1"/>
      <c r="DCZ188" s="1"/>
      <c r="DDA188" s="1"/>
      <c r="DDB188" s="1"/>
      <c r="DDC188" s="1"/>
      <c r="DDD188" s="1"/>
      <c r="DDE188" s="1"/>
      <c r="DDF188" s="1"/>
      <c r="DDG188" s="1"/>
      <c r="DDH188" s="1"/>
      <c r="DDI188" s="1"/>
      <c r="DDJ188" s="1"/>
      <c r="DDK188" s="1"/>
      <c r="DDL188" s="1"/>
      <c r="DDM188" s="1"/>
      <c r="DDN188" s="1"/>
      <c r="DDO188" s="1"/>
      <c r="DDP188" s="1"/>
      <c r="DDQ188" s="1"/>
      <c r="DDR188" s="1"/>
      <c r="DDS188" s="1"/>
      <c r="DDT188" s="1"/>
      <c r="DDU188" s="1"/>
      <c r="DDV188" s="1"/>
      <c r="DDW188" s="1"/>
      <c r="DDX188" s="1"/>
      <c r="DDY188" s="1"/>
      <c r="DDZ188" s="1"/>
      <c r="DEA188" s="1"/>
      <c r="DEB188" s="1"/>
      <c r="DEC188" s="1"/>
      <c r="DED188" s="1"/>
      <c r="DEE188" s="1"/>
      <c r="DEF188" s="1"/>
      <c r="DEG188" s="1"/>
      <c r="DEH188" s="1"/>
      <c r="DEI188" s="1"/>
      <c r="DEJ188" s="1"/>
      <c r="DEK188" s="1"/>
      <c r="DEL188" s="1"/>
      <c r="DEM188" s="1"/>
      <c r="DEN188" s="1"/>
      <c r="DEO188" s="1"/>
      <c r="DEP188" s="1"/>
      <c r="DEQ188" s="1"/>
      <c r="DER188" s="1"/>
      <c r="DES188" s="1"/>
      <c r="DET188" s="1"/>
      <c r="DEU188" s="1"/>
      <c r="DEV188" s="1"/>
      <c r="DEW188" s="1"/>
      <c r="DEX188" s="1"/>
      <c r="DEY188" s="1"/>
      <c r="DEZ188" s="1"/>
      <c r="DFA188" s="1"/>
      <c r="DFB188" s="1"/>
      <c r="DFC188" s="1"/>
      <c r="DFD188" s="1"/>
      <c r="DFE188" s="1"/>
      <c r="DFF188" s="1"/>
      <c r="DFG188" s="1"/>
      <c r="DFH188" s="1"/>
      <c r="DFI188" s="1"/>
      <c r="DFJ188" s="1"/>
      <c r="DFK188" s="1"/>
      <c r="DFL188" s="1"/>
      <c r="DFM188" s="1"/>
      <c r="DFN188" s="1"/>
      <c r="DFO188" s="1"/>
      <c r="DFP188" s="1"/>
      <c r="DFQ188" s="1"/>
      <c r="DFR188" s="1"/>
      <c r="DFS188" s="1"/>
      <c r="DFT188" s="1"/>
      <c r="DFU188" s="1"/>
      <c r="DFV188" s="1"/>
      <c r="DFW188" s="1"/>
      <c r="DFX188" s="1"/>
      <c r="DFY188" s="1"/>
      <c r="DFZ188" s="1"/>
      <c r="DGA188" s="1"/>
      <c r="DGB188" s="1"/>
      <c r="DGC188" s="1"/>
      <c r="DGD188" s="1"/>
      <c r="DGE188" s="1"/>
      <c r="DGF188" s="1"/>
      <c r="DGG188" s="1"/>
      <c r="DGH188" s="1"/>
      <c r="DGI188" s="1"/>
      <c r="DGJ188" s="1"/>
      <c r="DGK188" s="1"/>
      <c r="DGL188" s="1"/>
      <c r="DGM188" s="1"/>
      <c r="DGN188" s="1"/>
      <c r="DGO188" s="1"/>
      <c r="DGP188" s="1"/>
      <c r="DGQ188" s="1"/>
      <c r="DGR188" s="1"/>
      <c r="DGS188" s="1"/>
      <c r="DGT188" s="1"/>
      <c r="DGU188" s="1"/>
      <c r="DGV188" s="1"/>
      <c r="DGW188" s="1"/>
      <c r="DGX188" s="1"/>
      <c r="DGY188" s="1"/>
      <c r="DGZ188" s="1"/>
      <c r="DHA188" s="1"/>
      <c r="DHB188" s="1"/>
      <c r="DHC188" s="1"/>
      <c r="DHD188" s="1"/>
      <c r="DHE188" s="1"/>
      <c r="DHF188" s="1"/>
      <c r="DHG188" s="1"/>
      <c r="DHH188" s="1"/>
      <c r="DHI188" s="1"/>
      <c r="DHJ188" s="1"/>
      <c r="DHK188" s="1"/>
      <c r="DHL188" s="1"/>
      <c r="DHM188" s="1"/>
      <c r="DHN188" s="1"/>
      <c r="DHO188" s="1"/>
      <c r="DHP188" s="1"/>
      <c r="DHQ188" s="1"/>
      <c r="DHR188" s="1"/>
      <c r="DHS188" s="1"/>
      <c r="DHT188" s="1"/>
      <c r="DHU188" s="1"/>
      <c r="DHV188" s="1"/>
      <c r="DHW188" s="1"/>
      <c r="DHX188" s="1"/>
      <c r="DHY188" s="1"/>
      <c r="DHZ188" s="1"/>
      <c r="DIA188" s="1"/>
      <c r="DIB188" s="1"/>
      <c r="DIC188" s="1"/>
      <c r="DID188" s="1"/>
      <c r="DIE188" s="1"/>
      <c r="DIF188" s="1"/>
      <c r="DIG188" s="1"/>
      <c r="DIH188" s="1"/>
      <c r="DII188" s="1"/>
      <c r="DIJ188" s="1"/>
      <c r="DIK188" s="1"/>
      <c r="DIL188" s="1"/>
      <c r="DIM188" s="1"/>
      <c r="DIN188" s="1"/>
      <c r="DIO188" s="1"/>
      <c r="DIP188" s="1"/>
      <c r="DIQ188" s="1"/>
      <c r="DIR188" s="1"/>
      <c r="DIS188" s="1"/>
      <c r="DIT188" s="1"/>
      <c r="DIU188" s="1"/>
      <c r="DIV188" s="1"/>
      <c r="DIW188" s="1"/>
      <c r="DIX188" s="1"/>
      <c r="DIY188" s="1"/>
      <c r="DIZ188" s="1"/>
      <c r="DJA188" s="1"/>
      <c r="DJB188" s="1"/>
      <c r="DJC188" s="1"/>
      <c r="DJD188" s="1"/>
      <c r="DJE188" s="1"/>
      <c r="DJF188" s="1"/>
      <c r="DJG188" s="1"/>
      <c r="DJH188" s="1"/>
      <c r="DJI188" s="1"/>
      <c r="DJJ188" s="1"/>
      <c r="DJK188" s="1"/>
      <c r="DJL188" s="1"/>
      <c r="DJM188" s="1"/>
      <c r="DJN188" s="1"/>
      <c r="DJO188" s="1"/>
      <c r="DJP188" s="1"/>
      <c r="DJQ188" s="1"/>
      <c r="DJR188" s="1"/>
      <c r="DJS188" s="1"/>
      <c r="DJT188" s="1"/>
      <c r="DJU188" s="1"/>
      <c r="DJV188" s="1"/>
      <c r="DJW188" s="1"/>
      <c r="DJX188" s="1"/>
      <c r="DJY188" s="1"/>
      <c r="DJZ188" s="1"/>
      <c r="DKA188" s="1"/>
      <c r="DKB188" s="1"/>
      <c r="DKC188" s="1"/>
      <c r="DKD188" s="1"/>
      <c r="DKE188" s="1"/>
      <c r="DKF188" s="1"/>
      <c r="DKG188" s="1"/>
      <c r="DKH188" s="1"/>
      <c r="DKI188" s="1"/>
      <c r="DKJ188" s="1"/>
      <c r="DKK188" s="1"/>
      <c r="DKL188" s="1"/>
      <c r="DKM188" s="1"/>
      <c r="DKN188" s="1"/>
      <c r="DKO188" s="1"/>
      <c r="DKP188" s="1"/>
      <c r="DKQ188" s="1"/>
      <c r="DKR188" s="1"/>
      <c r="DKS188" s="1"/>
      <c r="DKT188" s="1"/>
      <c r="DKU188" s="1"/>
      <c r="DKV188" s="1"/>
      <c r="DKW188" s="1"/>
      <c r="DKX188" s="1"/>
      <c r="DKY188" s="1"/>
      <c r="DKZ188" s="1"/>
      <c r="DLA188" s="1"/>
      <c r="DLB188" s="1"/>
      <c r="DLC188" s="1"/>
      <c r="DLD188" s="1"/>
      <c r="DLE188" s="1"/>
      <c r="DLF188" s="1"/>
      <c r="DLG188" s="1"/>
      <c r="DLH188" s="1"/>
      <c r="DLI188" s="1"/>
      <c r="DLJ188" s="1"/>
      <c r="DLK188" s="1"/>
      <c r="DLL188" s="1"/>
      <c r="DLM188" s="1"/>
      <c r="DLN188" s="1"/>
      <c r="DLO188" s="1"/>
      <c r="DLP188" s="1"/>
      <c r="DLQ188" s="1"/>
      <c r="DLR188" s="1"/>
      <c r="DLS188" s="1"/>
      <c r="DLT188" s="1"/>
      <c r="DLU188" s="1"/>
      <c r="DLV188" s="1"/>
      <c r="DLW188" s="1"/>
      <c r="DLX188" s="1"/>
      <c r="DLY188" s="1"/>
      <c r="DLZ188" s="1"/>
      <c r="DMA188" s="1"/>
      <c r="DMB188" s="1"/>
      <c r="DMC188" s="1"/>
      <c r="DMD188" s="1"/>
      <c r="DME188" s="1"/>
      <c r="DMF188" s="1"/>
      <c r="DMG188" s="1"/>
      <c r="DMH188" s="1"/>
      <c r="DMI188" s="1"/>
      <c r="DMJ188" s="1"/>
      <c r="DMK188" s="1"/>
      <c r="DML188" s="1"/>
      <c r="DMM188" s="1"/>
      <c r="DMN188" s="1"/>
      <c r="DMO188" s="1"/>
      <c r="DMP188" s="1"/>
      <c r="DMQ188" s="1"/>
      <c r="DMR188" s="1"/>
      <c r="DMS188" s="1"/>
      <c r="DMT188" s="1"/>
      <c r="DMU188" s="1"/>
      <c r="DMV188" s="1"/>
      <c r="DMW188" s="1"/>
      <c r="DMX188" s="1"/>
      <c r="DMY188" s="1"/>
      <c r="DMZ188" s="1"/>
      <c r="DNA188" s="1"/>
      <c r="DNB188" s="1"/>
      <c r="DNC188" s="1"/>
      <c r="DND188" s="1"/>
      <c r="DNE188" s="1"/>
      <c r="DNF188" s="1"/>
      <c r="DNG188" s="1"/>
      <c r="DNH188" s="1"/>
      <c r="DNI188" s="1"/>
      <c r="DNJ188" s="1"/>
      <c r="DNK188" s="1"/>
      <c r="DNL188" s="1"/>
      <c r="DNM188" s="1"/>
      <c r="DNN188" s="1"/>
      <c r="DNO188" s="1"/>
      <c r="DNP188" s="1"/>
      <c r="DNQ188" s="1"/>
      <c r="DNR188" s="1"/>
      <c r="DNS188" s="1"/>
      <c r="DNT188" s="1"/>
      <c r="DNU188" s="1"/>
      <c r="DNV188" s="1"/>
      <c r="DNW188" s="1"/>
      <c r="DNX188" s="1"/>
      <c r="DNY188" s="1"/>
      <c r="DNZ188" s="1"/>
      <c r="DOA188" s="1"/>
      <c r="DOB188" s="1"/>
      <c r="DOC188" s="1"/>
      <c r="DOD188" s="1"/>
      <c r="DOE188" s="1"/>
      <c r="DOF188" s="1"/>
      <c r="DOG188" s="1"/>
      <c r="DOH188" s="1"/>
      <c r="DOI188" s="1"/>
      <c r="DOJ188" s="1"/>
      <c r="DOK188" s="1"/>
      <c r="DOL188" s="1"/>
      <c r="DOM188" s="1"/>
      <c r="DON188" s="1"/>
      <c r="DOO188" s="1"/>
      <c r="DOP188" s="1"/>
      <c r="DOQ188" s="1"/>
      <c r="DOR188" s="1"/>
      <c r="DOS188" s="1"/>
      <c r="DOT188" s="1"/>
      <c r="DOU188" s="1"/>
      <c r="DOV188" s="1"/>
      <c r="DOW188" s="1"/>
      <c r="DOX188" s="1"/>
      <c r="DOY188" s="1"/>
      <c r="DOZ188" s="1"/>
      <c r="DPA188" s="1"/>
      <c r="DPB188" s="1"/>
      <c r="DPC188" s="1"/>
      <c r="DPD188" s="1"/>
      <c r="DPE188" s="1"/>
      <c r="DPF188" s="1"/>
      <c r="DPG188" s="1"/>
      <c r="DPH188" s="1"/>
      <c r="DPI188" s="1"/>
      <c r="DPJ188" s="1"/>
      <c r="DPK188" s="1"/>
      <c r="DPL188" s="1"/>
      <c r="DPM188" s="1"/>
      <c r="DPN188" s="1"/>
      <c r="DPO188" s="1"/>
      <c r="DPP188" s="1"/>
      <c r="DPQ188" s="1"/>
      <c r="DPR188" s="1"/>
      <c r="DPS188" s="1"/>
      <c r="DPT188" s="1"/>
      <c r="DPU188" s="1"/>
      <c r="DPV188" s="1"/>
      <c r="DPW188" s="1"/>
      <c r="DPX188" s="1"/>
      <c r="DPY188" s="1"/>
      <c r="DPZ188" s="1"/>
      <c r="DQA188" s="1"/>
      <c r="DQB188" s="1"/>
      <c r="DQC188" s="1"/>
      <c r="DQD188" s="1"/>
      <c r="DQE188" s="1"/>
      <c r="DQF188" s="1"/>
      <c r="DQG188" s="1"/>
      <c r="DQH188" s="1"/>
      <c r="DQI188" s="1"/>
      <c r="DQJ188" s="1"/>
      <c r="DQK188" s="1"/>
      <c r="DQL188" s="1"/>
      <c r="DQM188" s="1"/>
      <c r="DQN188" s="1"/>
      <c r="DQO188" s="1"/>
      <c r="DQP188" s="1"/>
      <c r="DQQ188" s="1"/>
      <c r="DQR188" s="1"/>
      <c r="DQS188" s="1"/>
      <c r="DQT188" s="1"/>
      <c r="DQU188" s="1"/>
      <c r="DQV188" s="1"/>
      <c r="DQW188" s="1"/>
      <c r="DQX188" s="1"/>
      <c r="DQY188" s="1"/>
      <c r="DQZ188" s="1"/>
      <c r="DRA188" s="1"/>
      <c r="DRB188" s="1"/>
      <c r="DRC188" s="1"/>
      <c r="DRD188" s="1"/>
      <c r="DRE188" s="1"/>
      <c r="DRF188" s="1"/>
      <c r="DRG188" s="1"/>
      <c r="DRH188" s="1"/>
      <c r="DRI188" s="1"/>
      <c r="DRJ188" s="1"/>
      <c r="DRK188" s="1"/>
      <c r="DRL188" s="1"/>
      <c r="DRM188" s="1"/>
      <c r="DRN188" s="1"/>
      <c r="DRO188" s="1"/>
      <c r="DRP188" s="1"/>
      <c r="DRQ188" s="1"/>
      <c r="DRR188" s="1"/>
      <c r="DRS188" s="1"/>
      <c r="DRT188" s="1"/>
      <c r="DRU188" s="1"/>
      <c r="DRV188" s="1"/>
      <c r="DRW188" s="1"/>
      <c r="DRX188" s="1"/>
      <c r="DRY188" s="1"/>
      <c r="DRZ188" s="1"/>
      <c r="DSA188" s="1"/>
      <c r="DSB188" s="1"/>
      <c r="DSC188" s="1"/>
      <c r="DSD188" s="1"/>
      <c r="DSE188" s="1"/>
      <c r="DSF188" s="1"/>
      <c r="DSG188" s="1"/>
      <c r="DSH188" s="1"/>
      <c r="DSI188" s="1"/>
      <c r="DSJ188" s="1"/>
      <c r="DSK188" s="1"/>
      <c r="DSL188" s="1"/>
      <c r="DSM188" s="1"/>
      <c r="DSN188" s="1"/>
      <c r="DSO188" s="1"/>
      <c r="DSP188" s="1"/>
      <c r="DSQ188" s="1"/>
      <c r="DSR188" s="1"/>
      <c r="DSS188" s="1"/>
      <c r="DST188" s="1"/>
      <c r="DSU188" s="1"/>
      <c r="DSV188" s="1"/>
      <c r="DSW188" s="1"/>
      <c r="DSX188" s="1"/>
      <c r="DSY188" s="1"/>
      <c r="DSZ188" s="1"/>
      <c r="DTA188" s="1"/>
      <c r="DTB188" s="1"/>
      <c r="DTC188" s="1"/>
      <c r="DTD188" s="1"/>
      <c r="DTE188" s="1"/>
      <c r="DTF188" s="1"/>
      <c r="DTG188" s="1"/>
      <c r="DTH188" s="1"/>
      <c r="DTI188" s="1"/>
      <c r="DTJ188" s="1"/>
      <c r="DTK188" s="1"/>
      <c r="DTL188" s="1"/>
      <c r="DTM188" s="1"/>
      <c r="DTN188" s="1"/>
      <c r="DTO188" s="1"/>
      <c r="DTP188" s="1"/>
      <c r="DTQ188" s="1"/>
      <c r="DTR188" s="1"/>
      <c r="DTS188" s="1"/>
      <c r="DTT188" s="1"/>
      <c r="DTU188" s="1"/>
      <c r="DTV188" s="1"/>
      <c r="DTW188" s="1"/>
      <c r="DTX188" s="1"/>
      <c r="DTY188" s="1"/>
      <c r="DTZ188" s="1"/>
      <c r="DUA188" s="1"/>
      <c r="DUB188" s="1"/>
      <c r="DUC188" s="1"/>
      <c r="DUD188" s="1"/>
      <c r="DUE188" s="1"/>
      <c r="DUF188" s="1"/>
      <c r="DUG188" s="1"/>
      <c r="DUH188" s="1"/>
      <c r="DUI188" s="1"/>
      <c r="DUJ188" s="1"/>
      <c r="DUK188" s="1"/>
      <c r="DUL188" s="1"/>
      <c r="DUM188" s="1"/>
      <c r="DUN188" s="1"/>
      <c r="DUO188" s="1"/>
      <c r="DUP188" s="1"/>
      <c r="DUQ188" s="1"/>
      <c r="DUR188" s="1"/>
      <c r="DUS188" s="1"/>
      <c r="DUT188" s="1"/>
      <c r="DUU188" s="1"/>
      <c r="DUV188" s="1"/>
      <c r="DUW188" s="1"/>
      <c r="DUX188" s="1"/>
      <c r="DUY188" s="1"/>
      <c r="DUZ188" s="1"/>
      <c r="DVA188" s="1"/>
      <c r="DVB188" s="1"/>
      <c r="DVC188" s="1"/>
      <c r="DVD188" s="1"/>
      <c r="DVE188" s="1"/>
      <c r="DVF188" s="1"/>
      <c r="DVG188" s="1"/>
      <c r="DVH188" s="1"/>
      <c r="DVI188" s="1"/>
      <c r="DVJ188" s="1"/>
      <c r="DVK188" s="1"/>
      <c r="DVL188" s="1"/>
      <c r="DVM188" s="1"/>
      <c r="DVN188" s="1"/>
      <c r="DVO188" s="1"/>
      <c r="DVP188" s="1"/>
      <c r="DVQ188" s="1"/>
      <c r="DVR188" s="1"/>
      <c r="DVS188" s="1"/>
      <c r="DVT188" s="1"/>
      <c r="DVU188" s="1"/>
      <c r="DVV188" s="1"/>
      <c r="DVW188" s="1"/>
      <c r="DVX188" s="1"/>
      <c r="DVY188" s="1"/>
      <c r="DVZ188" s="1"/>
      <c r="DWA188" s="1"/>
      <c r="DWB188" s="1"/>
      <c r="DWC188" s="1"/>
      <c r="DWD188" s="1"/>
      <c r="DWE188" s="1"/>
      <c r="DWF188" s="1"/>
      <c r="DWG188" s="1"/>
      <c r="DWH188" s="1"/>
      <c r="DWI188" s="1"/>
      <c r="DWJ188" s="1"/>
      <c r="DWK188" s="1"/>
      <c r="DWL188" s="1"/>
      <c r="DWM188" s="1"/>
      <c r="DWN188" s="1"/>
      <c r="DWO188" s="1"/>
      <c r="DWP188" s="1"/>
      <c r="DWQ188" s="1"/>
      <c r="DWR188" s="1"/>
      <c r="DWS188" s="1"/>
      <c r="DWT188" s="1"/>
      <c r="DWU188" s="1"/>
      <c r="DWV188" s="1"/>
      <c r="DWW188" s="1"/>
      <c r="DWX188" s="1"/>
      <c r="DWY188" s="1"/>
      <c r="DWZ188" s="1"/>
      <c r="DXA188" s="1"/>
      <c r="DXB188" s="1"/>
      <c r="DXC188" s="1"/>
      <c r="DXD188" s="1"/>
      <c r="DXE188" s="1"/>
      <c r="DXF188" s="1"/>
      <c r="DXG188" s="1"/>
      <c r="DXH188" s="1"/>
      <c r="DXI188" s="1"/>
      <c r="DXJ188" s="1"/>
      <c r="DXK188" s="1"/>
      <c r="DXL188" s="1"/>
      <c r="DXM188" s="1"/>
      <c r="DXN188" s="1"/>
      <c r="DXO188" s="1"/>
      <c r="DXP188" s="1"/>
      <c r="DXQ188" s="1"/>
      <c r="DXR188" s="1"/>
      <c r="DXS188" s="1"/>
      <c r="DXT188" s="1"/>
      <c r="DXU188" s="1"/>
      <c r="DXV188" s="1"/>
      <c r="DXW188" s="1"/>
      <c r="DXX188" s="1"/>
      <c r="DXY188" s="1"/>
      <c r="DXZ188" s="1"/>
      <c r="DYA188" s="1"/>
      <c r="DYB188" s="1"/>
      <c r="DYC188" s="1"/>
      <c r="DYD188" s="1"/>
      <c r="DYE188" s="1"/>
      <c r="DYF188" s="1"/>
      <c r="DYG188" s="1"/>
      <c r="DYH188" s="1"/>
      <c r="DYI188" s="1"/>
      <c r="DYJ188" s="1"/>
      <c r="DYK188" s="1"/>
      <c r="DYL188" s="1"/>
      <c r="DYM188" s="1"/>
      <c r="DYN188" s="1"/>
      <c r="DYO188" s="1"/>
      <c r="DYP188" s="1"/>
      <c r="DYQ188" s="1"/>
      <c r="DYR188" s="1"/>
      <c r="DYS188" s="1"/>
      <c r="DYT188" s="1"/>
      <c r="DYU188" s="1"/>
      <c r="DYV188" s="1"/>
      <c r="DYW188" s="1"/>
      <c r="DYX188" s="1"/>
      <c r="DYY188" s="1"/>
      <c r="DYZ188" s="1"/>
      <c r="DZA188" s="1"/>
      <c r="DZB188" s="1"/>
      <c r="DZC188" s="1"/>
      <c r="DZD188" s="1"/>
      <c r="DZE188" s="1"/>
      <c r="DZF188" s="1"/>
      <c r="DZG188" s="1"/>
      <c r="DZH188" s="1"/>
      <c r="DZI188" s="1"/>
      <c r="DZJ188" s="1"/>
      <c r="DZK188" s="1"/>
      <c r="DZL188" s="1"/>
      <c r="DZM188" s="1"/>
      <c r="DZN188" s="1"/>
      <c r="DZO188" s="1"/>
      <c r="DZP188" s="1"/>
      <c r="DZQ188" s="1"/>
      <c r="DZR188" s="1"/>
      <c r="DZS188" s="1"/>
      <c r="DZT188" s="1"/>
      <c r="DZU188" s="1"/>
      <c r="DZV188" s="1"/>
      <c r="DZW188" s="1"/>
      <c r="DZX188" s="1"/>
      <c r="DZY188" s="1"/>
      <c r="DZZ188" s="1"/>
      <c r="EAA188" s="1"/>
      <c r="EAB188" s="1"/>
      <c r="EAC188" s="1"/>
      <c r="EAD188" s="1"/>
      <c r="EAE188" s="1"/>
      <c r="EAF188" s="1"/>
      <c r="EAG188" s="1"/>
      <c r="EAH188" s="1"/>
      <c r="EAI188" s="1"/>
      <c r="EAJ188" s="1"/>
      <c r="EAK188" s="1"/>
      <c r="EAL188" s="1"/>
      <c r="EAM188" s="1"/>
      <c r="EAN188" s="1"/>
      <c r="EAO188" s="1"/>
      <c r="EAP188" s="1"/>
      <c r="EAQ188" s="1"/>
      <c r="EAR188" s="1"/>
      <c r="EAS188" s="1"/>
      <c r="EAT188" s="1"/>
      <c r="EAU188" s="1"/>
      <c r="EAV188" s="1"/>
      <c r="EAW188" s="1"/>
      <c r="EAX188" s="1"/>
      <c r="EAY188" s="1"/>
      <c r="EAZ188" s="1"/>
      <c r="EBA188" s="1"/>
      <c r="EBB188" s="1"/>
      <c r="EBC188" s="1"/>
      <c r="EBD188" s="1"/>
      <c r="EBE188" s="1"/>
      <c r="EBF188" s="1"/>
      <c r="EBG188" s="1"/>
      <c r="EBH188" s="1"/>
      <c r="EBI188" s="1"/>
      <c r="EBJ188" s="1"/>
      <c r="EBK188" s="1"/>
      <c r="EBL188" s="1"/>
      <c r="EBM188" s="1"/>
      <c r="EBN188" s="1"/>
      <c r="EBO188" s="1"/>
      <c r="EBP188" s="1"/>
      <c r="EBQ188" s="1"/>
      <c r="EBR188" s="1"/>
      <c r="EBS188" s="1"/>
      <c r="EBT188" s="1"/>
      <c r="EBU188" s="1"/>
      <c r="EBV188" s="1"/>
      <c r="EBW188" s="1"/>
      <c r="EBX188" s="1"/>
      <c r="EBY188" s="1"/>
      <c r="EBZ188" s="1"/>
      <c r="ECA188" s="1"/>
      <c r="ECB188" s="1"/>
      <c r="ECC188" s="1"/>
      <c r="ECD188" s="1"/>
      <c r="ECE188" s="1"/>
      <c r="ECF188" s="1"/>
      <c r="ECG188" s="1"/>
      <c r="ECH188" s="1"/>
      <c r="ECI188" s="1"/>
      <c r="ECJ188" s="1"/>
      <c r="ECK188" s="1"/>
      <c r="ECL188" s="1"/>
      <c r="ECM188" s="1"/>
      <c r="ECN188" s="1"/>
      <c r="ECO188" s="1"/>
      <c r="ECP188" s="1"/>
      <c r="ECQ188" s="1"/>
      <c r="ECR188" s="1"/>
      <c r="ECS188" s="1"/>
      <c r="ECT188" s="1"/>
      <c r="ECU188" s="1"/>
      <c r="ECV188" s="1"/>
      <c r="ECW188" s="1"/>
      <c r="ECX188" s="1"/>
      <c r="ECY188" s="1"/>
      <c r="ECZ188" s="1"/>
      <c r="EDA188" s="1"/>
      <c r="EDB188" s="1"/>
      <c r="EDC188" s="1"/>
      <c r="EDD188" s="1"/>
      <c r="EDE188" s="1"/>
      <c r="EDF188" s="1"/>
      <c r="EDG188" s="1"/>
      <c r="EDH188" s="1"/>
      <c r="EDI188" s="1"/>
      <c r="EDJ188" s="1"/>
      <c r="EDK188" s="1"/>
      <c r="EDL188" s="1"/>
      <c r="EDM188" s="1"/>
      <c r="EDN188" s="1"/>
      <c r="EDO188" s="1"/>
      <c r="EDP188" s="1"/>
      <c r="EDQ188" s="1"/>
      <c r="EDR188" s="1"/>
      <c r="EDS188" s="1"/>
      <c r="EDT188" s="1"/>
      <c r="EDU188" s="1"/>
      <c r="EDV188" s="1"/>
      <c r="EDW188" s="1"/>
      <c r="EDX188" s="1"/>
      <c r="EDY188" s="1"/>
      <c r="EDZ188" s="1"/>
      <c r="EEA188" s="1"/>
      <c r="EEB188" s="1"/>
      <c r="EEC188" s="1"/>
      <c r="EED188" s="1"/>
      <c r="EEE188" s="1"/>
      <c r="EEF188" s="1"/>
      <c r="EEG188" s="1"/>
      <c r="EEH188" s="1"/>
      <c r="EEI188" s="1"/>
      <c r="EEJ188" s="1"/>
      <c r="EEK188" s="1"/>
      <c r="EEL188" s="1"/>
      <c r="EEM188" s="1"/>
      <c r="EEN188" s="1"/>
      <c r="EEO188" s="1"/>
      <c r="EEP188" s="1"/>
      <c r="EEQ188" s="1"/>
      <c r="EER188" s="1"/>
      <c r="EES188" s="1"/>
      <c r="EET188" s="1"/>
      <c r="EEU188" s="1"/>
      <c r="EEV188" s="1"/>
      <c r="EEW188" s="1"/>
      <c r="EEX188" s="1"/>
      <c r="EEY188" s="1"/>
      <c r="EEZ188" s="1"/>
      <c r="EFA188" s="1"/>
      <c r="EFB188" s="1"/>
      <c r="EFC188" s="1"/>
      <c r="EFD188" s="1"/>
      <c r="EFE188" s="1"/>
      <c r="EFF188" s="1"/>
      <c r="EFG188" s="1"/>
      <c r="EFH188" s="1"/>
      <c r="EFI188" s="1"/>
      <c r="EFJ188" s="1"/>
      <c r="EFK188" s="1"/>
      <c r="EFL188" s="1"/>
      <c r="EFM188" s="1"/>
      <c r="EFN188" s="1"/>
      <c r="EFO188" s="1"/>
      <c r="EFP188" s="1"/>
      <c r="EFQ188" s="1"/>
      <c r="EFR188" s="1"/>
      <c r="EFS188" s="1"/>
      <c r="EFT188" s="1"/>
      <c r="EFU188" s="1"/>
      <c r="EFV188" s="1"/>
      <c r="EFW188" s="1"/>
      <c r="EFX188" s="1"/>
      <c r="EFY188" s="1"/>
      <c r="EFZ188" s="1"/>
      <c r="EGA188" s="1"/>
      <c r="EGB188" s="1"/>
      <c r="EGC188" s="1"/>
      <c r="EGD188" s="1"/>
      <c r="EGE188" s="1"/>
      <c r="EGF188" s="1"/>
      <c r="EGG188" s="1"/>
      <c r="EGH188" s="1"/>
      <c r="EGI188" s="1"/>
      <c r="EGJ188" s="1"/>
      <c r="EGK188" s="1"/>
      <c r="EGL188" s="1"/>
      <c r="EGM188" s="1"/>
      <c r="EGN188" s="1"/>
      <c r="EGO188" s="1"/>
      <c r="EGP188" s="1"/>
      <c r="EGQ188" s="1"/>
      <c r="EGR188" s="1"/>
      <c r="EGS188" s="1"/>
      <c r="EGT188" s="1"/>
      <c r="EGU188" s="1"/>
      <c r="EGV188" s="1"/>
      <c r="EGW188" s="1"/>
      <c r="EGX188" s="1"/>
      <c r="EGY188" s="1"/>
      <c r="EGZ188" s="1"/>
      <c r="EHA188" s="1"/>
      <c r="EHB188" s="1"/>
      <c r="EHC188" s="1"/>
      <c r="EHD188" s="1"/>
      <c r="EHE188" s="1"/>
      <c r="EHF188" s="1"/>
      <c r="EHG188" s="1"/>
      <c r="EHH188" s="1"/>
      <c r="EHI188" s="1"/>
      <c r="EHJ188" s="1"/>
      <c r="EHK188" s="1"/>
      <c r="EHL188" s="1"/>
      <c r="EHM188" s="1"/>
      <c r="EHN188" s="1"/>
      <c r="EHO188" s="1"/>
      <c r="EHP188" s="1"/>
      <c r="EHQ188" s="1"/>
      <c r="EHR188" s="1"/>
      <c r="EHS188" s="1"/>
      <c r="EHT188" s="1"/>
      <c r="EHU188" s="1"/>
      <c r="EHV188" s="1"/>
      <c r="EHW188" s="1"/>
      <c r="EHX188" s="1"/>
      <c r="EHY188" s="1"/>
      <c r="EHZ188" s="1"/>
      <c r="EIA188" s="1"/>
      <c r="EIB188" s="1"/>
      <c r="EIC188" s="1"/>
      <c r="EID188" s="1"/>
      <c r="EIE188" s="1"/>
      <c r="EIF188" s="1"/>
      <c r="EIG188" s="1"/>
      <c r="EIH188" s="1"/>
      <c r="EII188" s="1"/>
      <c r="EIJ188" s="1"/>
      <c r="EIK188" s="1"/>
      <c r="EIL188" s="1"/>
      <c r="EIM188" s="1"/>
      <c r="EIN188" s="1"/>
      <c r="EIO188" s="1"/>
      <c r="EIP188" s="1"/>
      <c r="EIQ188" s="1"/>
      <c r="EIR188" s="1"/>
      <c r="EIS188" s="1"/>
      <c r="EIT188" s="1"/>
      <c r="EIU188" s="1"/>
      <c r="EIV188" s="1"/>
      <c r="EIW188" s="1"/>
      <c r="EIX188" s="1"/>
      <c r="EIY188" s="1"/>
      <c r="EIZ188" s="1"/>
      <c r="EJA188" s="1"/>
      <c r="EJB188" s="1"/>
      <c r="EJC188" s="1"/>
      <c r="EJD188" s="1"/>
      <c r="EJE188" s="1"/>
      <c r="EJF188" s="1"/>
      <c r="EJG188" s="1"/>
      <c r="EJH188" s="1"/>
      <c r="EJI188" s="1"/>
      <c r="EJJ188" s="1"/>
      <c r="EJK188" s="1"/>
      <c r="EJL188" s="1"/>
      <c r="EJM188" s="1"/>
      <c r="EJN188" s="1"/>
      <c r="EJO188" s="1"/>
      <c r="EJP188" s="1"/>
      <c r="EJQ188" s="1"/>
      <c r="EJR188" s="1"/>
      <c r="EJS188" s="1"/>
      <c r="EJT188" s="1"/>
      <c r="EJU188" s="1"/>
      <c r="EJV188" s="1"/>
      <c r="EJW188" s="1"/>
      <c r="EJX188" s="1"/>
      <c r="EJY188" s="1"/>
      <c r="EJZ188" s="1"/>
      <c r="EKA188" s="1"/>
      <c r="EKB188" s="1"/>
      <c r="EKC188" s="1"/>
      <c r="EKD188" s="1"/>
      <c r="EKE188" s="1"/>
      <c r="EKF188" s="1"/>
      <c r="EKG188" s="1"/>
      <c r="EKH188" s="1"/>
      <c r="EKI188" s="1"/>
      <c r="EKJ188" s="1"/>
      <c r="EKK188" s="1"/>
      <c r="EKL188" s="1"/>
      <c r="EKM188" s="1"/>
      <c r="EKN188" s="1"/>
      <c r="EKO188" s="1"/>
      <c r="EKP188" s="1"/>
      <c r="EKQ188" s="1"/>
      <c r="EKR188" s="1"/>
      <c r="EKS188" s="1"/>
      <c r="EKT188" s="1"/>
      <c r="EKU188" s="1"/>
      <c r="EKV188" s="1"/>
      <c r="EKW188" s="1"/>
      <c r="EKX188" s="1"/>
      <c r="EKY188" s="1"/>
      <c r="EKZ188" s="1"/>
      <c r="ELA188" s="1"/>
      <c r="ELB188" s="1"/>
      <c r="ELC188" s="1"/>
      <c r="ELD188" s="1"/>
      <c r="ELE188" s="1"/>
      <c r="ELF188" s="1"/>
      <c r="ELG188" s="1"/>
      <c r="ELH188" s="1"/>
      <c r="ELI188" s="1"/>
      <c r="ELJ188" s="1"/>
      <c r="ELK188" s="1"/>
      <c r="ELL188" s="1"/>
      <c r="ELM188" s="1"/>
      <c r="ELN188" s="1"/>
      <c r="ELO188" s="1"/>
      <c r="ELP188" s="1"/>
      <c r="ELQ188" s="1"/>
      <c r="ELR188" s="1"/>
      <c r="ELS188" s="1"/>
      <c r="ELT188" s="1"/>
      <c r="ELU188" s="1"/>
      <c r="ELV188" s="1"/>
      <c r="ELW188" s="1"/>
      <c r="ELX188" s="1"/>
      <c r="ELY188" s="1"/>
      <c r="ELZ188" s="1"/>
      <c r="EMA188" s="1"/>
      <c r="EMB188" s="1"/>
      <c r="EMC188" s="1"/>
      <c r="EMD188" s="1"/>
      <c r="EME188" s="1"/>
      <c r="EMF188" s="1"/>
      <c r="EMG188" s="1"/>
      <c r="EMH188" s="1"/>
      <c r="EMI188" s="1"/>
      <c r="EMJ188" s="1"/>
      <c r="EMK188" s="1"/>
      <c r="EML188" s="1"/>
      <c r="EMM188" s="1"/>
      <c r="EMN188" s="1"/>
      <c r="EMO188" s="1"/>
      <c r="EMP188" s="1"/>
      <c r="EMQ188" s="1"/>
      <c r="EMR188" s="1"/>
      <c r="EMS188" s="1"/>
      <c r="EMT188" s="1"/>
      <c r="EMU188" s="1"/>
      <c r="EMV188" s="1"/>
      <c r="EMW188" s="1"/>
      <c r="EMX188" s="1"/>
      <c r="EMY188" s="1"/>
      <c r="EMZ188" s="1"/>
      <c r="ENA188" s="1"/>
      <c r="ENB188" s="1"/>
      <c r="ENC188" s="1"/>
      <c r="END188" s="1"/>
      <c r="ENE188" s="1"/>
      <c r="ENF188" s="1"/>
      <c r="ENG188" s="1"/>
      <c r="ENH188" s="1"/>
      <c r="ENI188" s="1"/>
      <c r="ENJ188" s="1"/>
      <c r="ENK188" s="1"/>
      <c r="ENL188" s="1"/>
      <c r="ENM188" s="1"/>
      <c r="ENN188" s="1"/>
      <c r="ENO188" s="1"/>
      <c r="ENP188" s="1"/>
      <c r="ENQ188" s="1"/>
      <c r="ENR188" s="1"/>
      <c r="ENS188" s="1"/>
      <c r="ENT188" s="1"/>
      <c r="ENU188" s="1"/>
      <c r="ENV188" s="1"/>
      <c r="ENW188" s="1"/>
      <c r="ENX188" s="1"/>
      <c r="ENY188" s="1"/>
      <c r="ENZ188" s="1"/>
      <c r="EOA188" s="1"/>
      <c r="EOB188" s="1"/>
      <c r="EOC188" s="1"/>
      <c r="EOD188" s="1"/>
      <c r="EOE188" s="1"/>
      <c r="EOF188" s="1"/>
      <c r="EOG188" s="1"/>
      <c r="EOH188" s="1"/>
      <c r="EOI188" s="1"/>
      <c r="EOJ188" s="1"/>
      <c r="EOK188" s="1"/>
      <c r="EOL188" s="1"/>
      <c r="EOM188" s="1"/>
      <c r="EON188" s="1"/>
      <c r="EOO188" s="1"/>
      <c r="EOP188" s="1"/>
      <c r="EOQ188" s="1"/>
      <c r="EOR188" s="1"/>
      <c r="EOS188" s="1"/>
      <c r="EOT188" s="1"/>
      <c r="EOU188" s="1"/>
      <c r="EOV188" s="1"/>
      <c r="EOW188" s="1"/>
      <c r="EOX188" s="1"/>
      <c r="EOY188" s="1"/>
      <c r="EOZ188" s="1"/>
      <c r="EPA188" s="1"/>
      <c r="EPB188" s="1"/>
      <c r="EPC188" s="1"/>
      <c r="EPD188" s="1"/>
      <c r="EPE188" s="1"/>
      <c r="EPF188" s="1"/>
      <c r="EPG188" s="1"/>
      <c r="EPH188" s="1"/>
      <c r="EPI188" s="1"/>
      <c r="EPJ188" s="1"/>
      <c r="EPK188" s="1"/>
      <c r="EPL188" s="1"/>
      <c r="EPM188" s="1"/>
      <c r="EPN188" s="1"/>
      <c r="EPO188" s="1"/>
      <c r="EPP188" s="1"/>
      <c r="EPQ188" s="1"/>
      <c r="EPR188" s="1"/>
      <c r="EPS188" s="1"/>
      <c r="EPT188" s="1"/>
      <c r="EPU188" s="1"/>
      <c r="EPV188" s="1"/>
      <c r="EPW188" s="1"/>
      <c r="EPX188" s="1"/>
      <c r="EPY188" s="1"/>
      <c r="EPZ188" s="1"/>
      <c r="EQA188" s="1"/>
      <c r="EQB188" s="1"/>
      <c r="EQC188" s="1"/>
      <c r="EQD188" s="1"/>
      <c r="EQE188" s="1"/>
      <c r="EQF188" s="1"/>
      <c r="EQG188" s="1"/>
      <c r="EQH188" s="1"/>
      <c r="EQI188" s="1"/>
      <c r="EQJ188" s="1"/>
      <c r="EQK188" s="1"/>
      <c r="EQL188" s="1"/>
      <c r="EQM188" s="1"/>
      <c r="EQN188" s="1"/>
      <c r="EQO188" s="1"/>
      <c r="EQP188" s="1"/>
      <c r="EQQ188" s="1"/>
      <c r="EQR188" s="1"/>
      <c r="EQS188" s="1"/>
      <c r="EQT188" s="1"/>
      <c r="EQU188" s="1"/>
      <c r="EQV188" s="1"/>
      <c r="EQW188" s="1"/>
      <c r="EQX188" s="1"/>
      <c r="EQY188" s="1"/>
      <c r="EQZ188" s="1"/>
      <c r="ERA188" s="1"/>
      <c r="ERB188" s="1"/>
      <c r="ERC188" s="1"/>
      <c r="ERD188" s="1"/>
      <c r="ERE188" s="1"/>
      <c r="ERF188" s="1"/>
      <c r="ERG188" s="1"/>
      <c r="ERH188" s="1"/>
      <c r="ERI188" s="1"/>
      <c r="ERJ188" s="1"/>
      <c r="ERK188" s="1"/>
      <c r="ERL188" s="1"/>
      <c r="ERM188" s="1"/>
      <c r="ERN188" s="1"/>
      <c r="ERO188" s="1"/>
      <c r="ERP188" s="1"/>
      <c r="ERQ188" s="1"/>
      <c r="ERR188" s="1"/>
      <c r="ERS188" s="1"/>
      <c r="ERT188" s="1"/>
      <c r="ERU188" s="1"/>
      <c r="ERV188" s="1"/>
      <c r="ERW188" s="1"/>
      <c r="ERX188" s="1"/>
      <c r="ERY188" s="1"/>
      <c r="ERZ188" s="1"/>
      <c r="ESA188" s="1"/>
      <c r="ESB188" s="1"/>
      <c r="ESC188" s="1"/>
      <c r="ESD188" s="1"/>
      <c r="ESE188" s="1"/>
      <c r="ESF188" s="1"/>
      <c r="ESG188" s="1"/>
      <c r="ESH188" s="1"/>
      <c r="ESI188" s="1"/>
      <c r="ESJ188" s="1"/>
      <c r="ESK188" s="1"/>
      <c r="ESL188" s="1"/>
      <c r="ESM188" s="1"/>
      <c r="ESN188" s="1"/>
      <c r="ESO188" s="1"/>
      <c r="ESP188" s="1"/>
      <c r="ESQ188" s="1"/>
      <c r="ESR188" s="1"/>
      <c r="ESS188" s="1"/>
      <c r="EST188" s="1"/>
      <c r="ESU188" s="1"/>
      <c r="ESV188" s="1"/>
      <c r="ESW188" s="1"/>
      <c r="ESX188" s="1"/>
      <c r="ESY188" s="1"/>
      <c r="ESZ188" s="1"/>
      <c r="ETA188" s="1"/>
      <c r="ETB188" s="1"/>
      <c r="ETC188" s="1"/>
      <c r="ETD188" s="1"/>
      <c r="ETE188" s="1"/>
      <c r="ETF188" s="1"/>
      <c r="ETG188" s="1"/>
      <c r="ETH188" s="1"/>
      <c r="ETI188" s="1"/>
      <c r="ETJ188" s="1"/>
      <c r="ETK188" s="1"/>
      <c r="ETL188" s="1"/>
      <c r="ETM188" s="1"/>
      <c r="ETN188" s="1"/>
      <c r="ETO188" s="1"/>
      <c r="ETP188" s="1"/>
      <c r="ETQ188" s="1"/>
      <c r="ETR188" s="1"/>
      <c r="ETS188" s="1"/>
      <c r="ETT188" s="1"/>
      <c r="ETU188" s="1"/>
      <c r="ETV188" s="1"/>
      <c r="ETW188" s="1"/>
      <c r="ETX188" s="1"/>
      <c r="ETY188" s="1"/>
      <c r="ETZ188" s="1"/>
      <c r="EUA188" s="1"/>
      <c r="EUB188" s="1"/>
      <c r="EUC188" s="1"/>
      <c r="EUD188" s="1"/>
      <c r="EUE188" s="1"/>
      <c r="EUF188" s="1"/>
      <c r="EUG188" s="1"/>
      <c r="EUH188" s="1"/>
      <c r="EUI188" s="1"/>
      <c r="EUJ188" s="1"/>
      <c r="EUK188" s="1"/>
      <c r="EUL188" s="1"/>
      <c r="EUM188" s="1"/>
      <c r="EUN188" s="1"/>
      <c r="EUO188" s="1"/>
      <c r="EUP188" s="1"/>
      <c r="EUQ188" s="1"/>
      <c r="EUR188" s="1"/>
      <c r="EUS188" s="1"/>
      <c r="EUT188" s="1"/>
      <c r="EUU188" s="1"/>
      <c r="EUV188" s="1"/>
      <c r="EUW188" s="1"/>
      <c r="EUX188" s="1"/>
      <c r="EUY188" s="1"/>
      <c r="EUZ188" s="1"/>
      <c r="EVA188" s="1"/>
      <c r="EVB188" s="1"/>
      <c r="EVC188" s="1"/>
      <c r="EVD188" s="1"/>
      <c r="EVE188" s="1"/>
      <c r="EVF188" s="1"/>
      <c r="EVG188" s="1"/>
      <c r="EVH188" s="1"/>
      <c r="EVI188" s="1"/>
      <c r="EVJ188" s="1"/>
      <c r="EVK188" s="1"/>
      <c r="EVL188" s="1"/>
      <c r="EVM188" s="1"/>
      <c r="EVN188" s="1"/>
      <c r="EVO188" s="1"/>
      <c r="EVP188" s="1"/>
      <c r="EVQ188" s="1"/>
      <c r="EVR188" s="1"/>
      <c r="EVS188" s="1"/>
      <c r="EVT188" s="1"/>
      <c r="EVU188" s="1"/>
      <c r="EVV188" s="1"/>
      <c r="EVW188" s="1"/>
      <c r="EVX188" s="1"/>
      <c r="EVY188" s="1"/>
      <c r="EVZ188" s="1"/>
      <c r="EWA188" s="1"/>
      <c r="EWB188" s="1"/>
      <c r="EWC188" s="1"/>
      <c r="EWD188" s="1"/>
      <c r="EWE188" s="1"/>
      <c r="EWF188" s="1"/>
      <c r="EWG188" s="1"/>
      <c r="EWH188" s="1"/>
      <c r="EWI188" s="1"/>
      <c r="EWJ188" s="1"/>
      <c r="EWK188" s="1"/>
      <c r="EWL188" s="1"/>
      <c r="EWM188" s="1"/>
      <c r="EWN188" s="1"/>
      <c r="EWO188" s="1"/>
      <c r="EWP188" s="1"/>
      <c r="EWQ188" s="1"/>
      <c r="EWR188" s="1"/>
      <c r="EWS188" s="1"/>
      <c r="EWT188" s="1"/>
      <c r="EWU188" s="1"/>
      <c r="EWV188" s="1"/>
      <c r="EWW188" s="1"/>
      <c r="EWX188" s="1"/>
      <c r="EWY188" s="1"/>
      <c r="EWZ188" s="1"/>
      <c r="EXA188" s="1"/>
      <c r="EXB188" s="1"/>
      <c r="EXC188" s="1"/>
      <c r="EXD188" s="1"/>
      <c r="EXE188" s="1"/>
      <c r="EXF188" s="1"/>
      <c r="EXG188" s="1"/>
      <c r="EXH188" s="1"/>
      <c r="EXI188" s="1"/>
      <c r="EXJ188" s="1"/>
      <c r="EXK188" s="1"/>
      <c r="EXL188" s="1"/>
      <c r="EXM188" s="1"/>
      <c r="EXN188" s="1"/>
      <c r="EXO188" s="1"/>
      <c r="EXP188" s="1"/>
      <c r="EXQ188" s="1"/>
      <c r="EXR188" s="1"/>
      <c r="EXS188" s="1"/>
      <c r="EXT188" s="1"/>
      <c r="EXU188" s="1"/>
      <c r="EXV188" s="1"/>
      <c r="EXW188" s="1"/>
      <c r="EXX188" s="1"/>
      <c r="EXY188" s="1"/>
      <c r="EXZ188" s="1"/>
      <c r="EYA188" s="1"/>
      <c r="EYB188" s="1"/>
      <c r="EYC188" s="1"/>
      <c r="EYD188" s="1"/>
      <c r="EYE188" s="1"/>
      <c r="EYF188" s="1"/>
      <c r="EYG188" s="1"/>
      <c r="EYH188" s="1"/>
      <c r="EYI188" s="1"/>
      <c r="EYJ188" s="1"/>
      <c r="EYK188" s="1"/>
      <c r="EYL188" s="1"/>
      <c r="EYM188" s="1"/>
      <c r="EYN188" s="1"/>
      <c r="EYO188" s="1"/>
      <c r="EYP188" s="1"/>
      <c r="EYQ188" s="1"/>
      <c r="EYR188" s="1"/>
      <c r="EYS188" s="1"/>
      <c r="EYT188" s="1"/>
      <c r="EYU188" s="1"/>
      <c r="EYV188" s="1"/>
      <c r="EYW188" s="1"/>
      <c r="EYX188" s="1"/>
      <c r="EYY188" s="1"/>
      <c r="EYZ188" s="1"/>
      <c r="EZA188" s="1"/>
      <c r="EZB188" s="1"/>
      <c r="EZC188" s="1"/>
      <c r="EZD188" s="1"/>
      <c r="EZE188" s="1"/>
      <c r="EZF188" s="1"/>
      <c r="EZG188" s="1"/>
      <c r="EZH188" s="1"/>
      <c r="EZI188" s="1"/>
      <c r="EZJ188" s="1"/>
      <c r="EZK188" s="1"/>
      <c r="EZL188" s="1"/>
      <c r="EZM188" s="1"/>
      <c r="EZN188" s="1"/>
      <c r="EZO188" s="1"/>
      <c r="EZP188" s="1"/>
      <c r="EZQ188" s="1"/>
      <c r="EZR188" s="1"/>
      <c r="EZS188" s="1"/>
      <c r="EZT188" s="1"/>
      <c r="EZU188" s="1"/>
      <c r="EZV188" s="1"/>
      <c r="EZW188" s="1"/>
      <c r="EZX188" s="1"/>
      <c r="EZY188" s="1"/>
      <c r="EZZ188" s="1"/>
      <c r="FAA188" s="1"/>
      <c r="FAB188" s="1"/>
      <c r="FAC188" s="1"/>
      <c r="FAD188" s="1"/>
      <c r="FAE188" s="1"/>
      <c r="FAF188" s="1"/>
      <c r="FAG188" s="1"/>
      <c r="FAH188" s="1"/>
      <c r="FAI188" s="1"/>
      <c r="FAJ188" s="1"/>
      <c r="FAK188" s="1"/>
      <c r="FAL188" s="1"/>
      <c r="FAM188" s="1"/>
      <c r="FAN188" s="1"/>
      <c r="FAO188" s="1"/>
      <c r="FAP188" s="1"/>
      <c r="FAQ188" s="1"/>
      <c r="FAR188" s="1"/>
      <c r="FAS188" s="1"/>
      <c r="FAT188" s="1"/>
      <c r="FAU188" s="1"/>
      <c r="FAV188" s="1"/>
      <c r="FAW188" s="1"/>
      <c r="FAX188" s="1"/>
      <c r="FAY188" s="1"/>
      <c r="FAZ188" s="1"/>
      <c r="FBA188" s="1"/>
      <c r="FBB188" s="1"/>
      <c r="FBC188" s="1"/>
      <c r="FBD188" s="1"/>
      <c r="FBE188" s="1"/>
      <c r="FBF188" s="1"/>
      <c r="FBG188" s="1"/>
      <c r="FBH188" s="1"/>
      <c r="FBI188" s="1"/>
      <c r="FBJ188" s="1"/>
      <c r="FBK188" s="1"/>
      <c r="FBL188" s="1"/>
      <c r="FBM188" s="1"/>
      <c r="FBN188" s="1"/>
      <c r="FBO188" s="1"/>
      <c r="FBP188" s="1"/>
      <c r="FBQ188" s="1"/>
      <c r="FBR188" s="1"/>
      <c r="FBS188" s="1"/>
      <c r="FBT188" s="1"/>
      <c r="FBU188" s="1"/>
      <c r="FBV188" s="1"/>
      <c r="FBW188" s="1"/>
      <c r="FBX188" s="1"/>
      <c r="FBY188" s="1"/>
      <c r="FBZ188" s="1"/>
      <c r="FCA188" s="1"/>
      <c r="FCB188" s="1"/>
      <c r="FCC188" s="1"/>
      <c r="FCD188" s="1"/>
      <c r="FCE188" s="1"/>
      <c r="FCF188" s="1"/>
      <c r="FCG188" s="1"/>
      <c r="FCH188" s="1"/>
      <c r="FCI188" s="1"/>
      <c r="FCJ188" s="1"/>
      <c r="FCK188" s="1"/>
      <c r="FCL188" s="1"/>
      <c r="FCM188" s="1"/>
      <c r="FCN188" s="1"/>
      <c r="FCO188" s="1"/>
      <c r="FCP188" s="1"/>
      <c r="FCQ188" s="1"/>
      <c r="FCR188" s="1"/>
      <c r="FCS188" s="1"/>
      <c r="FCT188" s="1"/>
      <c r="FCU188" s="1"/>
      <c r="FCV188" s="1"/>
      <c r="FCW188" s="1"/>
      <c r="FCX188" s="1"/>
      <c r="FCY188" s="1"/>
      <c r="FCZ188" s="1"/>
      <c r="FDA188" s="1"/>
      <c r="FDB188" s="1"/>
      <c r="FDC188" s="1"/>
      <c r="FDD188" s="1"/>
      <c r="FDE188" s="1"/>
      <c r="FDF188" s="1"/>
      <c r="FDG188" s="1"/>
      <c r="FDH188" s="1"/>
      <c r="FDI188" s="1"/>
      <c r="FDJ188" s="1"/>
      <c r="FDK188" s="1"/>
      <c r="FDL188" s="1"/>
      <c r="FDM188" s="1"/>
      <c r="FDN188" s="1"/>
      <c r="FDO188" s="1"/>
      <c r="FDP188" s="1"/>
      <c r="FDQ188" s="1"/>
      <c r="FDR188" s="1"/>
      <c r="FDS188" s="1"/>
      <c r="FDT188" s="1"/>
      <c r="FDU188" s="1"/>
      <c r="FDV188" s="1"/>
      <c r="FDW188" s="1"/>
      <c r="FDX188" s="1"/>
      <c r="FDY188" s="1"/>
      <c r="FDZ188" s="1"/>
      <c r="FEA188" s="1"/>
      <c r="FEB188" s="1"/>
      <c r="FEC188" s="1"/>
      <c r="FED188" s="1"/>
      <c r="FEE188" s="1"/>
      <c r="FEF188" s="1"/>
      <c r="FEG188" s="1"/>
      <c r="FEH188" s="1"/>
      <c r="FEI188" s="1"/>
      <c r="FEJ188" s="1"/>
      <c r="FEK188" s="1"/>
      <c r="FEL188" s="1"/>
      <c r="FEM188" s="1"/>
      <c r="FEN188" s="1"/>
      <c r="FEO188" s="1"/>
      <c r="FEP188" s="1"/>
      <c r="FEQ188" s="1"/>
      <c r="FER188" s="1"/>
      <c r="FES188" s="1"/>
      <c r="FET188" s="1"/>
      <c r="FEU188" s="1"/>
      <c r="FEV188" s="1"/>
      <c r="FEW188" s="1"/>
      <c r="FEX188" s="1"/>
      <c r="FEY188" s="1"/>
      <c r="FEZ188" s="1"/>
      <c r="FFA188" s="1"/>
      <c r="FFB188" s="1"/>
      <c r="FFC188" s="1"/>
      <c r="FFD188" s="1"/>
      <c r="FFE188" s="1"/>
      <c r="FFF188" s="1"/>
      <c r="FFG188" s="1"/>
      <c r="FFH188" s="1"/>
      <c r="FFI188" s="1"/>
      <c r="FFJ188" s="1"/>
      <c r="FFK188" s="1"/>
      <c r="FFL188" s="1"/>
      <c r="FFM188" s="1"/>
      <c r="FFN188" s="1"/>
      <c r="FFO188" s="1"/>
      <c r="FFP188" s="1"/>
      <c r="FFQ188" s="1"/>
      <c r="FFR188" s="1"/>
      <c r="FFS188" s="1"/>
      <c r="FFT188" s="1"/>
      <c r="FFU188" s="1"/>
      <c r="FFV188" s="1"/>
      <c r="FFW188" s="1"/>
      <c r="FFX188" s="1"/>
      <c r="FFY188" s="1"/>
      <c r="FFZ188" s="1"/>
      <c r="FGA188" s="1"/>
      <c r="FGB188" s="1"/>
      <c r="FGC188" s="1"/>
      <c r="FGD188" s="1"/>
      <c r="FGE188" s="1"/>
      <c r="FGF188" s="1"/>
      <c r="FGG188" s="1"/>
      <c r="FGH188" s="1"/>
      <c r="FGI188" s="1"/>
      <c r="FGJ188" s="1"/>
      <c r="FGK188" s="1"/>
      <c r="FGL188" s="1"/>
      <c r="FGM188" s="1"/>
      <c r="FGN188" s="1"/>
      <c r="FGO188" s="1"/>
      <c r="FGP188" s="1"/>
      <c r="FGQ188" s="1"/>
      <c r="FGR188" s="1"/>
      <c r="FGS188" s="1"/>
      <c r="FGT188" s="1"/>
      <c r="FGU188" s="1"/>
      <c r="FGV188" s="1"/>
      <c r="FGW188" s="1"/>
      <c r="FGX188" s="1"/>
      <c r="FGY188" s="1"/>
      <c r="FGZ188" s="1"/>
      <c r="FHA188" s="1"/>
      <c r="FHB188" s="1"/>
      <c r="FHC188" s="1"/>
      <c r="FHD188" s="1"/>
      <c r="FHE188" s="1"/>
      <c r="FHF188" s="1"/>
      <c r="FHG188" s="1"/>
      <c r="FHH188" s="1"/>
      <c r="FHI188" s="1"/>
      <c r="FHJ188" s="1"/>
      <c r="FHK188" s="1"/>
      <c r="FHL188" s="1"/>
      <c r="FHM188" s="1"/>
      <c r="FHN188" s="1"/>
      <c r="FHO188" s="1"/>
      <c r="FHP188" s="1"/>
      <c r="FHQ188" s="1"/>
      <c r="FHR188" s="1"/>
      <c r="FHS188" s="1"/>
      <c r="FHT188" s="1"/>
      <c r="FHU188" s="1"/>
      <c r="FHV188" s="1"/>
      <c r="FHW188" s="1"/>
      <c r="FHX188" s="1"/>
      <c r="FHY188" s="1"/>
      <c r="FHZ188" s="1"/>
      <c r="FIA188" s="1"/>
      <c r="FIB188" s="1"/>
      <c r="FIC188" s="1"/>
      <c r="FID188" s="1"/>
      <c r="FIE188" s="1"/>
      <c r="FIF188" s="1"/>
      <c r="FIG188" s="1"/>
      <c r="FIH188" s="1"/>
      <c r="FII188" s="1"/>
      <c r="FIJ188" s="1"/>
      <c r="FIK188" s="1"/>
      <c r="FIL188" s="1"/>
      <c r="FIM188" s="1"/>
      <c r="FIN188" s="1"/>
      <c r="FIO188" s="1"/>
      <c r="FIP188" s="1"/>
      <c r="FIQ188" s="1"/>
      <c r="FIR188" s="1"/>
      <c r="FIS188" s="1"/>
      <c r="FIT188" s="1"/>
      <c r="FIU188" s="1"/>
      <c r="FIV188" s="1"/>
      <c r="FIW188" s="1"/>
      <c r="FIX188" s="1"/>
      <c r="FIY188" s="1"/>
      <c r="FIZ188" s="1"/>
      <c r="FJA188" s="1"/>
      <c r="FJB188" s="1"/>
      <c r="FJC188" s="1"/>
      <c r="FJD188" s="1"/>
      <c r="FJE188" s="1"/>
      <c r="FJF188" s="1"/>
      <c r="FJG188" s="1"/>
      <c r="FJH188" s="1"/>
      <c r="FJI188" s="1"/>
      <c r="FJJ188" s="1"/>
      <c r="FJK188" s="1"/>
      <c r="FJL188" s="1"/>
      <c r="FJM188" s="1"/>
      <c r="FJN188" s="1"/>
      <c r="FJO188" s="1"/>
      <c r="FJP188" s="1"/>
      <c r="FJQ188" s="1"/>
      <c r="FJR188" s="1"/>
      <c r="FJS188" s="1"/>
      <c r="FJT188" s="1"/>
      <c r="FJU188" s="1"/>
      <c r="FJV188" s="1"/>
      <c r="FJW188" s="1"/>
      <c r="FJX188" s="1"/>
      <c r="FJY188" s="1"/>
      <c r="FJZ188" s="1"/>
      <c r="FKA188" s="1"/>
      <c r="FKB188" s="1"/>
      <c r="FKC188" s="1"/>
      <c r="FKD188" s="1"/>
      <c r="FKE188" s="1"/>
      <c r="FKF188" s="1"/>
      <c r="FKG188" s="1"/>
      <c r="FKH188" s="1"/>
      <c r="FKI188" s="1"/>
      <c r="FKJ188" s="1"/>
      <c r="FKK188" s="1"/>
      <c r="FKL188" s="1"/>
      <c r="FKM188" s="1"/>
      <c r="FKN188" s="1"/>
      <c r="FKO188" s="1"/>
      <c r="FKP188" s="1"/>
      <c r="FKQ188" s="1"/>
      <c r="FKR188" s="1"/>
      <c r="FKS188" s="1"/>
      <c r="FKT188" s="1"/>
      <c r="FKU188" s="1"/>
      <c r="FKV188" s="1"/>
      <c r="FKW188" s="1"/>
      <c r="FKX188" s="1"/>
      <c r="FKY188" s="1"/>
      <c r="FKZ188" s="1"/>
      <c r="FLA188" s="1"/>
      <c r="FLB188" s="1"/>
      <c r="FLC188" s="1"/>
      <c r="FLD188" s="1"/>
      <c r="FLE188" s="1"/>
      <c r="FLF188" s="1"/>
      <c r="FLG188" s="1"/>
      <c r="FLH188" s="1"/>
      <c r="FLI188" s="1"/>
      <c r="FLJ188" s="1"/>
      <c r="FLK188" s="1"/>
      <c r="FLL188" s="1"/>
      <c r="FLM188" s="1"/>
      <c r="FLN188" s="1"/>
      <c r="FLO188" s="1"/>
      <c r="FLP188" s="1"/>
      <c r="FLQ188" s="1"/>
      <c r="FLR188" s="1"/>
      <c r="FLS188" s="1"/>
      <c r="FLT188" s="1"/>
      <c r="FLU188" s="1"/>
      <c r="FLV188" s="1"/>
      <c r="FLW188" s="1"/>
      <c r="FLX188" s="1"/>
      <c r="FLY188" s="1"/>
      <c r="FLZ188" s="1"/>
      <c r="FMA188" s="1"/>
      <c r="FMB188" s="1"/>
      <c r="FMC188" s="1"/>
      <c r="FMD188" s="1"/>
      <c r="FME188" s="1"/>
      <c r="FMF188" s="1"/>
      <c r="FMG188" s="1"/>
      <c r="FMH188" s="1"/>
      <c r="FMI188" s="1"/>
      <c r="FMJ188" s="1"/>
      <c r="FMK188" s="1"/>
      <c r="FML188" s="1"/>
      <c r="FMM188" s="1"/>
      <c r="FMN188" s="1"/>
      <c r="FMO188" s="1"/>
      <c r="FMP188" s="1"/>
      <c r="FMQ188" s="1"/>
      <c r="FMR188" s="1"/>
      <c r="FMS188" s="1"/>
      <c r="FMT188" s="1"/>
      <c r="FMU188" s="1"/>
      <c r="FMV188" s="1"/>
      <c r="FMW188" s="1"/>
      <c r="FMX188" s="1"/>
      <c r="FMY188" s="1"/>
      <c r="FMZ188" s="1"/>
      <c r="FNA188" s="1"/>
      <c r="FNB188" s="1"/>
      <c r="FNC188" s="1"/>
      <c r="FND188" s="1"/>
      <c r="FNE188" s="1"/>
      <c r="FNF188" s="1"/>
      <c r="FNG188" s="1"/>
      <c r="FNH188" s="1"/>
      <c r="FNI188" s="1"/>
      <c r="FNJ188" s="1"/>
      <c r="FNK188" s="1"/>
      <c r="FNL188" s="1"/>
      <c r="FNM188" s="1"/>
      <c r="FNN188" s="1"/>
      <c r="FNO188" s="1"/>
      <c r="FNP188" s="1"/>
      <c r="FNQ188" s="1"/>
      <c r="FNR188" s="1"/>
      <c r="FNS188" s="1"/>
      <c r="FNT188" s="1"/>
      <c r="FNU188" s="1"/>
      <c r="FNV188" s="1"/>
      <c r="FNW188" s="1"/>
      <c r="FNX188" s="1"/>
      <c r="FNY188" s="1"/>
      <c r="FNZ188" s="1"/>
      <c r="FOA188" s="1"/>
      <c r="FOB188" s="1"/>
      <c r="FOC188" s="1"/>
      <c r="FOD188" s="1"/>
      <c r="FOE188" s="1"/>
      <c r="FOF188" s="1"/>
      <c r="FOG188" s="1"/>
      <c r="FOH188" s="1"/>
      <c r="FOI188" s="1"/>
      <c r="FOJ188" s="1"/>
      <c r="FOK188" s="1"/>
      <c r="FOL188" s="1"/>
      <c r="FOM188" s="1"/>
      <c r="FON188" s="1"/>
      <c r="FOO188" s="1"/>
      <c r="FOP188" s="1"/>
      <c r="FOQ188" s="1"/>
      <c r="FOR188" s="1"/>
      <c r="FOS188" s="1"/>
      <c r="FOT188" s="1"/>
      <c r="FOU188" s="1"/>
      <c r="FOV188" s="1"/>
      <c r="FOW188" s="1"/>
      <c r="FOX188" s="1"/>
      <c r="FOY188" s="1"/>
      <c r="FOZ188" s="1"/>
      <c r="FPA188" s="1"/>
      <c r="FPB188" s="1"/>
      <c r="FPC188" s="1"/>
      <c r="FPD188" s="1"/>
      <c r="FPE188" s="1"/>
      <c r="FPF188" s="1"/>
      <c r="FPG188" s="1"/>
      <c r="FPH188" s="1"/>
      <c r="FPI188" s="1"/>
      <c r="FPJ188" s="1"/>
      <c r="FPK188" s="1"/>
      <c r="FPL188" s="1"/>
      <c r="FPM188" s="1"/>
      <c r="FPN188" s="1"/>
      <c r="FPO188" s="1"/>
      <c r="FPP188" s="1"/>
      <c r="FPQ188" s="1"/>
      <c r="FPR188" s="1"/>
      <c r="FPS188" s="1"/>
      <c r="FPT188" s="1"/>
      <c r="FPU188" s="1"/>
      <c r="FPV188" s="1"/>
      <c r="FPW188" s="1"/>
      <c r="FPX188" s="1"/>
      <c r="FPY188" s="1"/>
      <c r="FPZ188" s="1"/>
      <c r="FQA188" s="1"/>
      <c r="FQB188" s="1"/>
      <c r="FQC188" s="1"/>
      <c r="FQD188" s="1"/>
      <c r="FQE188" s="1"/>
      <c r="FQF188" s="1"/>
      <c r="FQG188" s="1"/>
      <c r="FQH188" s="1"/>
      <c r="FQI188" s="1"/>
      <c r="FQJ188" s="1"/>
      <c r="FQK188" s="1"/>
      <c r="FQL188" s="1"/>
      <c r="FQM188" s="1"/>
      <c r="FQN188" s="1"/>
      <c r="FQO188" s="1"/>
      <c r="FQP188" s="1"/>
      <c r="FQQ188" s="1"/>
      <c r="FQR188" s="1"/>
      <c r="FQS188" s="1"/>
      <c r="FQT188" s="1"/>
      <c r="FQU188" s="1"/>
      <c r="FQV188" s="1"/>
      <c r="FQW188" s="1"/>
      <c r="FQX188" s="1"/>
      <c r="FQY188" s="1"/>
      <c r="FQZ188" s="1"/>
      <c r="FRA188" s="1"/>
      <c r="FRB188" s="1"/>
      <c r="FRC188" s="1"/>
      <c r="FRD188" s="1"/>
      <c r="FRE188" s="1"/>
      <c r="FRF188" s="1"/>
      <c r="FRG188" s="1"/>
      <c r="FRH188" s="1"/>
      <c r="FRI188" s="1"/>
      <c r="FRJ188" s="1"/>
      <c r="FRK188" s="1"/>
      <c r="FRL188" s="1"/>
      <c r="FRM188" s="1"/>
      <c r="FRN188" s="1"/>
      <c r="FRO188" s="1"/>
      <c r="FRP188" s="1"/>
      <c r="FRQ188" s="1"/>
      <c r="FRR188" s="1"/>
      <c r="FRS188" s="1"/>
      <c r="FRT188" s="1"/>
      <c r="FRU188" s="1"/>
      <c r="FRV188" s="1"/>
      <c r="FRW188" s="1"/>
      <c r="FRX188" s="1"/>
      <c r="FRY188" s="1"/>
      <c r="FRZ188" s="1"/>
      <c r="FSA188" s="1"/>
      <c r="FSB188" s="1"/>
      <c r="FSC188" s="1"/>
      <c r="FSD188" s="1"/>
      <c r="FSE188" s="1"/>
      <c r="FSF188" s="1"/>
      <c r="FSG188" s="1"/>
      <c r="FSH188" s="1"/>
      <c r="FSI188" s="1"/>
      <c r="FSJ188" s="1"/>
      <c r="FSK188" s="1"/>
      <c r="FSL188" s="1"/>
      <c r="FSM188" s="1"/>
      <c r="FSN188" s="1"/>
      <c r="FSO188" s="1"/>
      <c r="FSP188" s="1"/>
      <c r="FSQ188" s="1"/>
      <c r="FSR188" s="1"/>
      <c r="FSS188" s="1"/>
      <c r="FST188" s="1"/>
      <c r="FSU188" s="1"/>
      <c r="FSV188" s="1"/>
      <c r="FSW188" s="1"/>
      <c r="FSX188" s="1"/>
      <c r="FSY188" s="1"/>
      <c r="FSZ188" s="1"/>
      <c r="FTA188" s="1"/>
      <c r="FTB188" s="1"/>
      <c r="FTC188" s="1"/>
      <c r="FTD188" s="1"/>
      <c r="FTE188" s="1"/>
      <c r="FTF188" s="1"/>
      <c r="FTG188" s="1"/>
      <c r="FTH188" s="1"/>
      <c r="FTI188" s="1"/>
      <c r="FTJ188" s="1"/>
      <c r="FTK188" s="1"/>
      <c r="FTL188" s="1"/>
      <c r="FTM188" s="1"/>
      <c r="FTN188" s="1"/>
      <c r="FTO188" s="1"/>
      <c r="FTP188" s="1"/>
      <c r="FTQ188" s="1"/>
      <c r="FTR188" s="1"/>
      <c r="FTS188" s="1"/>
      <c r="FTT188" s="1"/>
      <c r="FTU188" s="1"/>
      <c r="FTV188" s="1"/>
      <c r="FTW188" s="1"/>
      <c r="FTX188" s="1"/>
      <c r="FTY188" s="1"/>
      <c r="FTZ188" s="1"/>
      <c r="FUA188" s="1"/>
      <c r="FUB188" s="1"/>
      <c r="FUC188" s="1"/>
      <c r="FUD188" s="1"/>
      <c r="FUE188" s="1"/>
      <c r="FUF188" s="1"/>
      <c r="FUG188" s="1"/>
      <c r="FUH188" s="1"/>
      <c r="FUI188" s="1"/>
      <c r="FUJ188" s="1"/>
      <c r="FUK188" s="1"/>
      <c r="FUL188" s="1"/>
      <c r="FUM188" s="1"/>
      <c r="FUN188" s="1"/>
      <c r="FUO188" s="1"/>
      <c r="FUP188" s="1"/>
      <c r="FUQ188" s="1"/>
      <c r="FUR188" s="1"/>
      <c r="FUS188" s="1"/>
      <c r="FUT188" s="1"/>
      <c r="FUU188" s="1"/>
      <c r="FUV188" s="1"/>
      <c r="FUW188" s="1"/>
      <c r="FUX188" s="1"/>
      <c r="FUY188" s="1"/>
      <c r="FUZ188" s="1"/>
      <c r="FVA188" s="1"/>
      <c r="FVB188" s="1"/>
      <c r="FVC188" s="1"/>
      <c r="FVD188" s="1"/>
      <c r="FVE188" s="1"/>
      <c r="FVF188" s="1"/>
      <c r="FVG188" s="1"/>
      <c r="FVH188" s="1"/>
      <c r="FVI188" s="1"/>
      <c r="FVJ188" s="1"/>
      <c r="FVK188" s="1"/>
      <c r="FVL188" s="1"/>
      <c r="FVM188" s="1"/>
      <c r="FVN188" s="1"/>
      <c r="FVO188" s="1"/>
      <c r="FVP188" s="1"/>
      <c r="FVQ188" s="1"/>
      <c r="FVR188" s="1"/>
      <c r="FVS188" s="1"/>
      <c r="FVT188" s="1"/>
      <c r="FVU188" s="1"/>
      <c r="FVV188" s="1"/>
      <c r="FVW188" s="1"/>
      <c r="FVX188" s="1"/>
      <c r="FVY188" s="1"/>
      <c r="FVZ188" s="1"/>
      <c r="FWA188" s="1"/>
      <c r="FWB188" s="1"/>
      <c r="FWC188" s="1"/>
      <c r="FWD188" s="1"/>
      <c r="FWE188" s="1"/>
      <c r="FWF188" s="1"/>
      <c r="FWG188" s="1"/>
      <c r="FWH188" s="1"/>
      <c r="FWI188" s="1"/>
      <c r="FWJ188" s="1"/>
      <c r="FWK188" s="1"/>
      <c r="FWL188" s="1"/>
      <c r="FWM188" s="1"/>
      <c r="FWN188" s="1"/>
      <c r="FWO188" s="1"/>
      <c r="FWP188" s="1"/>
      <c r="FWQ188" s="1"/>
      <c r="FWR188" s="1"/>
      <c r="FWS188" s="1"/>
      <c r="FWT188" s="1"/>
      <c r="FWU188" s="1"/>
      <c r="FWV188" s="1"/>
      <c r="FWW188" s="1"/>
      <c r="FWX188" s="1"/>
      <c r="FWY188" s="1"/>
      <c r="FWZ188" s="1"/>
      <c r="FXA188" s="1"/>
      <c r="FXB188" s="1"/>
      <c r="FXC188" s="1"/>
      <c r="FXD188" s="1"/>
      <c r="FXE188" s="1"/>
      <c r="FXF188" s="1"/>
      <c r="FXG188" s="1"/>
      <c r="FXH188" s="1"/>
      <c r="FXI188" s="1"/>
      <c r="FXJ188" s="1"/>
      <c r="FXK188" s="1"/>
      <c r="FXL188" s="1"/>
      <c r="FXM188" s="1"/>
      <c r="FXN188" s="1"/>
      <c r="FXO188" s="1"/>
      <c r="FXP188" s="1"/>
      <c r="FXQ188" s="1"/>
      <c r="FXR188" s="1"/>
      <c r="FXS188" s="1"/>
      <c r="FXT188" s="1"/>
      <c r="FXU188" s="1"/>
      <c r="FXV188" s="1"/>
      <c r="FXW188" s="1"/>
      <c r="FXX188" s="1"/>
      <c r="FXY188" s="1"/>
      <c r="FXZ188" s="1"/>
      <c r="FYA188" s="1"/>
      <c r="FYB188" s="1"/>
      <c r="FYC188" s="1"/>
      <c r="FYD188" s="1"/>
      <c r="FYE188" s="1"/>
      <c r="FYF188" s="1"/>
      <c r="FYG188" s="1"/>
      <c r="FYH188" s="1"/>
      <c r="FYI188" s="1"/>
      <c r="FYJ188" s="1"/>
      <c r="FYK188" s="1"/>
      <c r="FYL188" s="1"/>
      <c r="FYM188" s="1"/>
      <c r="FYN188" s="1"/>
      <c r="FYO188" s="1"/>
      <c r="FYP188" s="1"/>
      <c r="FYQ188" s="1"/>
      <c r="FYR188" s="1"/>
      <c r="FYS188" s="1"/>
      <c r="FYT188" s="1"/>
      <c r="FYU188" s="1"/>
      <c r="FYV188" s="1"/>
      <c r="FYW188" s="1"/>
      <c r="FYX188" s="1"/>
      <c r="FYY188" s="1"/>
      <c r="FYZ188" s="1"/>
      <c r="FZA188" s="1"/>
      <c r="FZB188" s="1"/>
      <c r="FZC188" s="1"/>
      <c r="FZD188" s="1"/>
      <c r="FZE188" s="1"/>
      <c r="FZF188" s="1"/>
      <c r="FZG188" s="1"/>
      <c r="FZH188" s="1"/>
      <c r="FZI188" s="1"/>
      <c r="FZJ188" s="1"/>
      <c r="FZK188" s="1"/>
      <c r="FZL188" s="1"/>
      <c r="FZM188" s="1"/>
      <c r="FZN188" s="1"/>
      <c r="FZO188" s="1"/>
      <c r="FZP188" s="1"/>
      <c r="FZQ188" s="1"/>
      <c r="FZR188" s="1"/>
      <c r="FZS188" s="1"/>
      <c r="FZT188" s="1"/>
      <c r="FZU188" s="1"/>
      <c r="FZV188" s="1"/>
      <c r="FZW188" s="1"/>
      <c r="FZX188" s="1"/>
      <c r="FZY188" s="1"/>
      <c r="FZZ188" s="1"/>
      <c r="GAA188" s="1"/>
      <c r="GAB188" s="1"/>
      <c r="GAC188" s="1"/>
      <c r="GAD188" s="1"/>
      <c r="GAE188" s="1"/>
      <c r="GAF188" s="1"/>
      <c r="GAG188" s="1"/>
      <c r="GAH188" s="1"/>
      <c r="GAI188" s="1"/>
      <c r="GAJ188" s="1"/>
      <c r="GAK188" s="1"/>
      <c r="GAL188" s="1"/>
      <c r="GAM188" s="1"/>
      <c r="GAN188" s="1"/>
      <c r="GAO188" s="1"/>
      <c r="GAP188" s="1"/>
      <c r="GAQ188" s="1"/>
      <c r="GAR188" s="1"/>
      <c r="GAS188" s="1"/>
      <c r="GAT188" s="1"/>
      <c r="GAU188" s="1"/>
      <c r="GAV188" s="1"/>
      <c r="GAW188" s="1"/>
      <c r="GAX188" s="1"/>
      <c r="GAY188" s="1"/>
      <c r="GAZ188" s="1"/>
      <c r="GBA188" s="1"/>
      <c r="GBB188" s="1"/>
      <c r="GBC188" s="1"/>
      <c r="GBD188" s="1"/>
      <c r="GBE188" s="1"/>
      <c r="GBF188" s="1"/>
      <c r="GBG188" s="1"/>
      <c r="GBH188" s="1"/>
      <c r="GBI188" s="1"/>
      <c r="GBJ188" s="1"/>
      <c r="GBK188" s="1"/>
      <c r="GBL188" s="1"/>
      <c r="GBM188" s="1"/>
      <c r="GBN188" s="1"/>
      <c r="GBO188" s="1"/>
      <c r="GBP188" s="1"/>
      <c r="GBQ188" s="1"/>
      <c r="GBR188" s="1"/>
      <c r="GBS188" s="1"/>
      <c r="GBT188" s="1"/>
      <c r="GBU188" s="1"/>
      <c r="GBV188" s="1"/>
      <c r="GBW188" s="1"/>
      <c r="GBX188" s="1"/>
      <c r="GBY188" s="1"/>
      <c r="GBZ188" s="1"/>
      <c r="GCA188" s="1"/>
      <c r="GCB188" s="1"/>
      <c r="GCC188" s="1"/>
      <c r="GCD188" s="1"/>
      <c r="GCE188" s="1"/>
      <c r="GCF188" s="1"/>
      <c r="GCG188" s="1"/>
      <c r="GCH188" s="1"/>
      <c r="GCI188" s="1"/>
      <c r="GCJ188" s="1"/>
      <c r="GCK188" s="1"/>
      <c r="GCL188" s="1"/>
      <c r="GCM188" s="1"/>
      <c r="GCN188" s="1"/>
      <c r="GCO188" s="1"/>
      <c r="GCP188" s="1"/>
      <c r="GCQ188" s="1"/>
      <c r="GCR188" s="1"/>
      <c r="GCS188" s="1"/>
      <c r="GCT188" s="1"/>
      <c r="GCU188" s="1"/>
      <c r="GCV188" s="1"/>
      <c r="GCW188" s="1"/>
      <c r="GCX188" s="1"/>
      <c r="GCY188" s="1"/>
      <c r="GCZ188" s="1"/>
      <c r="GDA188" s="1"/>
      <c r="GDB188" s="1"/>
      <c r="GDC188" s="1"/>
      <c r="GDD188" s="1"/>
      <c r="GDE188" s="1"/>
      <c r="GDF188" s="1"/>
      <c r="GDG188" s="1"/>
      <c r="GDH188" s="1"/>
      <c r="GDI188" s="1"/>
      <c r="GDJ188" s="1"/>
      <c r="GDK188" s="1"/>
      <c r="GDL188" s="1"/>
      <c r="GDM188" s="1"/>
      <c r="GDN188" s="1"/>
      <c r="GDO188" s="1"/>
      <c r="GDP188" s="1"/>
      <c r="GDQ188" s="1"/>
      <c r="GDR188" s="1"/>
      <c r="GDS188" s="1"/>
      <c r="GDT188" s="1"/>
      <c r="GDU188" s="1"/>
      <c r="GDV188" s="1"/>
      <c r="GDW188" s="1"/>
      <c r="GDX188" s="1"/>
      <c r="GDY188" s="1"/>
      <c r="GDZ188" s="1"/>
      <c r="GEA188" s="1"/>
      <c r="GEB188" s="1"/>
      <c r="GEC188" s="1"/>
      <c r="GED188" s="1"/>
      <c r="GEE188" s="1"/>
      <c r="GEF188" s="1"/>
      <c r="GEG188" s="1"/>
      <c r="GEH188" s="1"/>
      <c r="GEI188" s="1"/>
      <c r="GEJ188" s="1"/>
      <c r="GEK188" s="1"/>
      <c r="GEL188" s="1"/>
      <c r="GEM188" s="1"/>
      <c r="GEN188" s="1"/>
      <c r="GEO188" s="1"/>
      <c r="GEP188" s="1"/>
      <c r="GEQ188" s="1"/>
      <c r="GER188" s="1"/>
      <c r="GES188" s="1"/>
      <c r="GET188" s="1"/>
      <c r="GEU188" s="1"/>
      <c r="GEV188" s="1"/>
      <c r="GEW188" s="1"/>
      <c r="GEX188" s="1"/>
      <c r="GEY188" s="1"/>
      <c r="GEZ188" s="1"/>
      <c r="GFA188" s="1"/>
      <c r="GFB188" s="1"/>
      <c r="GFC188" s="1"/>
      <c r="GFD188" s="1"/>
      <c r="GFE188" s="1"/>
      <c r="GFF188" s="1"/>
      <c r="GFG188" s="1"/>
      <c r="GFH188" s="1"/>
      <c r="GFI188" s="1"/>
      <c r="GFJ188" s="1"/>
      <c r="GFK188" s="1"/>
      <c r="GFL188" s="1"/>
      <c r="GFM188" s="1"/>
      <c r="GFN188" s="1"/>
      <c r="GFO188" s="1"/>
      <c r="GFP188" s="1"/>
      <c r="GFQ188" s="1"/>
      <c r="GFR188" s="1"/>
      <c r="GFS188" s="1"/>
      <c r="GFT188" s="1"/>
      <c r="GFU188" s="1"/>
      <c r="GFV188" s="1"/>
      <c r="GFW188" s="1"/>
      <c r="GFX188" s="1"/>
      <c r="GFY188" s="1"/>
      <c r="GFZ188" s="1"/>
      <c r="GGA188" s="1"/>
      <c r="GGB188" s="1"/>
      <c r="GGC188" s="1"/>
      <c r="GGD188" s="1"/>
      <c r="GGE188" s="1"/>
      <c r="GGF188" s="1"/>
      <c r="GGG188" s="1"/>
      <c r="GGH188" s="1"/>
      <c r="GGI188" s="1"/>
      <c r="GGJ188" s="1"/>
      <c r="GGK188" s="1"/>
      <c r="GGL188" s="1"/>
      <c r="GGM188" s="1"/>
      <c r="GGN188" s="1"/>
      <c r="GGO188" s="1"/>
      <c r="GGP188" s="1"/>
      <c r="GGQ188" s="1"/>
      <c r="GGR188" s="1"/>
      <c r="GGS188" s="1"/>
      <c r="GGT188" s="1"/>
      <c r="GGU188" s="1"/>
      <c r="GGV188" s="1"/>
      <c r="GGW188" s="1"/>
      <c r="GGX188" s="1"/>
      <c r="GGY188" s="1"/>
      <c r="GGZ188" s="1"/>
      <c r="GHA188" s="1"/>
      <c r="GHB188" s="1"/>
      <c r="GHC188" s="1"/>
      <c r="GHD188" s="1"/>
      <c r="GHE188" s="1"/>
      <c r="GHF188" s="1"/>
      <c r="GHG188" s="1"/>
      <c r="GHH188" s="1"/>
      <c r="GHI188" s="1"/>
      <c r="GHJ188" s="1"/>
      <c r="GHK188" s="1"/>
      <c r="GHL188" s="1"/>
      <c r="GHM188" s="1"/>
      <c r="GHN188" s="1"/>
      <c r="GHO188" s="1"/>
      <c r="GHP188" s="1"/>
      <c r="GHQ188" s="1"/>
      <c r="GHR188" s="1"/>
      <c r="GHS188" s="1"/>
      <c r="GHT188" s="1"/>
      <c r="GHU188" s="1"/>
      <c r="GHV188" s="1"/>
      <c r="GHW188" s="1"/>
      <c r="GHX188" s="1"/>
      <c r="GHY188" s="1"/>
      <c r="GHZ188" s="1"/>
      <c r="GIA188" s="1"/>
      <c r="GIB188" s="1"/>
      <c r="GIC188" s="1"/>
      <c r="GID188" s="1"/>
      <c r="GIE188" s="1"/>
      <c r="GIF188" s="1"/>
      <c r="GIG188" s="1"/>
      <c r="GIH188" s="1"/>
      <c r="GII188" s="1"/>
      <c r="GIJ188" s="1"/>
      <c r="GIK188" s="1"/>
      <c r="GIL188" s="1"/>
      <c r="GIM188" s="1"/>
      <c r="GIN188" s="1"/>
      <c r="GIO188" s="1"/>
      <c r="GIP188" s="1"/>
      <c r="GIQ188" s="1"/>
      <c r="GIR188" s="1"/>
      <c r="GIS188" s="1"/>
      <c r="GIT188" s="1"/>
      <c r="GIU188" s="1"/>
      <c r="GIV188" s="1"/>
      <c r="GIW188" s="1"/>
      <c r="GIX188" s="1"/>
      <c r="GIY188" s="1"/>
      <c r="GIZ188" s="1"/>
      <c r="GJA188" s="1"/>
      <c r="GJB188" s="1"/>
      <c r="GJC188" s="1"/>
      <c r="GJD188" s="1"/>
      <c r="GJE188" s="1"/>
      <c r="GJF188" s="1"/>
      <c r="GJG188" s="1"/>
      <c r="GJH188" s="1"/>
      <c r="GJI188" s="1"/>
      <c r="GJJ188" s="1"/>
      <c r="GJK188" s="1"/>
      <c r="GJL188" s="1"/>
      <c r="GJM188" s="1"/>
      <c r="GJN188" s="1"/>
      <c r="GJO188" s="1"/>
      <c r="GJP188" s="1"/>
      <c r="GJQ188" s="1"/>
      <c r="GJR188" s="1"/>
      <c r="GJS188" s="1"/>
      <c r="GJT188" s="1"/>
      <c r="GJU188" s="1"/>
      <c r="GJV188" s="1"/>
      <c r="GJW188" s="1"/>
      <c r="GJX188" s="1"/>
      <c r="GJY188" s="1"/>
      <c r="GJZ188" s="1"/>
      <c r="GKA188" s="1"/>
      <c r="GKB188" s="1"/>
      <c r="GKC188" s="1"/>
      <c r="GKD188" s="1"/>
      <c r="GKE188" s="1"/>
      <c r="GKF188" s="1"/>
      <c r="GKG188" s="1"/>
      <c r="GKH188" s="1"/>
      <c r="GKI188" s="1"/>
      <c r="GKJ188" s="1"/>
      <c r="GKK188" s="1"/>
      <c r="GKL188" s="1"/>
      <c r="GKM188" s="1"/>
      <c r="GKN188" s="1"/>
      <c r="GKO188" s="1"/>
      <c r="GKP188" s="1"/>
      <c r="GKQ188" s="1"/>
      <c r="GKR188" s="1"/>
      <c r="GKS188" s="1"/>
      <c r="GKT188" s="1"/>
      <c r="GKU188" s="1"/>
      <c r="GKV188" s="1"/>
      <c r="GKW188" s="1"/>
      <c r="GKX188" s="1"/>
      <c r="GKY188" s="1"/>
      <c r="GKZ188" s="1"/>
      <c r="GLA188" s="1"/>
      <c r="GLB188" s="1"/>
      <c r="GLC188" s="1"/>
      <c r="GLD188" s="1"/>
      <c r="GLE188" s="1"/>
      <c r="GLF188" s="1"/>
      <c r="GLG188" s="1"/>
      <c r="GLH188" s="1"/>
      <c r="GLI188" s="1"/>
      <c r="GLJ188" s="1"/>
      <c r="GLK188" s="1"/>
      <c r="GLL188" s="1"/>
      <c r="GLM188" s="1"/>
      <c r="GLN188" s="1"/>
      <c r="GLO188" s="1"/>
      <c r="GLP188" s="1"/>
      <c r="GLQ188" s="1"/>
      <c r="GLR188" s="1"/>
      <c r="GLS188" s="1"/>
      <c r="GLT188" s="1"/>
      <c r="GLU188" s="1"/>
      <c r="GLV188" s="1"/>
      <c r="GLW188" s="1"/>
      <c r="GLX188" s="1"/>
      <c r="GLY188" s="1"/>
      <c r="GLZ188" s="1"/>
      <c r="GMA188" s="1"/>
      <c r="GMB188" s="1"/>
      <c r="GMC188" s="1"/>
      <c r="GMD188" s="1"/>
      <c r="GME188" s="1"/>
      <c r="GMF188" s="1"/>
      <c r="GMG188" s="1"/>
      <c r="GMH188" s="1"/>
      <c r="GMI188" s="1"/>
      <c r="GMJ188" s="1"/>
      <c r="GMK188" s="1"/>
      <c r="GML188" s="1"/>
      <c r="GMM188" s="1"/>
      <c r="GMN188" s="1"/>
      <c r="GMO188" s="1"/>
      <c r="GMP188" s="1"/>
      <c r="GMQ188" s="1"/>
      <c r="GMR188" s="1"/>
      <c r="GMS188" s="1"/>
      <c r="GMT188" s="1"/>
      <c r="GMU188" s="1"/>
      <c r="GMV188" s="1"/>
      <c r="GMW188" s="1"/>
      <c r="GMX188" s="1"/>
      <c r="GMY188" s="1"/>
      <c r="GMZ188" s="1"/>
      <c r="GNA188" s="1"/>
      <c r="GNB188" s="1"/>
      <c r="GNC188" s="1"/>
      <c r="GND188" s="1"/>
      <c r="GNE188" s="1"/>
      <c r="GNF188" s="1"/>
      <c r="GNG188" s="1"/>
      <c r="GNH188" s="1"/>
      <c r="GNI188" s="1"/>
      <c r="GNJ188" s="1"/>
      <c r="GNK188" s="1"/>
      <c r="GNL188" s="1"/>
      <c r="GNM188" s="1"/>
      <c r="GNN188" s="1"/>
      <c r="GNO188" s="1"/>
      <c r="GNP188" s="1"/>
      <c r="GNQ188" s="1"/>
      <c r="GNR188" s="1"/>
      <c r="GNS188" s="1"/>
      <c r="GNT188" s="1"/>
      <c r="GNU188" s="1"/>
      <c r="GNV188" s="1"/>
      <c r="GNW188" s="1"/>
      <c r="GNX188" s="1"/>
      <c r="GNY188" s="1"/>
      <c r="GNZ188" s="1"/>
      <c r="GOA188" s="1"/>
      <c r="GOB188" s="1"/>
      <c r="GOC188" s="1"/>
      <c r="GOD188" s="1"/>
      <c r="GOE188" s="1"/>
      <c r="GOF188" s="1"/>
      <c r="GOG188" s="1"/>
      <c r="GOH188" s="1"/>
      <c r="GOI188" s="1"/>
      <c r="GOJ188" s="1"/>
      <c r="GOK188" s="1"/>
      <c r="GOL188" s="1"/>
      <c r="GOM188" s="1"/>
      <c r="GON188" s="1"/>
      <c r="GOO188" s="1"/>
      <c r="GOP188" s="1"/>
      <c r="GOQ188" s="1"/>
      <c r="GOR188" s="1"/>
      <c r="GOS188" s="1"/>
      <c r="GOT188" s="1"/>
      <c r="GOU188" s="1"/>
      <c r="GOV188" s="1"/>
      <c r="GOW188" s="1"/>
      <c r="GOX188" s="1"/>
      <c r="GOY188" s="1"/>
      <c r="GOZ188" s="1"/>
      <c r="GPA188" s="1"/>
      <c r="GPB188" s="1"/>
      <c r="GPC188" s="1"/>
      <c r="GPD188" s="1"/>
      <c r="GPE188" s="1"/>
      <c r="GPF188" s="1"/>
      <c r="GPG188" s="1"/>
      <c r="GPH188" s="1"/>
      <c r="GPI188" s="1"/>
      <c r="GPJ188" s="1"/>
      <c r="GPK188" s="1"/>
      <c r="GPL188" s="1"/>
      <c r="GPM188" s="1"/>
      <c r="GPN188" s="1"/>
      <c r="GPO188" s="1"/>
      <c r="GPP188" s="1"/>
      <c r="GPQ188" s="1"/>
      <c r="GPR188" s="1"/>
      <c r="GPS188" s="1"/>
      <c r="GPT188" s="1"/>
      <c r="GPU188" s="1"/>
      <c r="GPV188" s="1"/>
      <c r="GPW188" s="1"/>
      <c r="GPX188" s="1"/>
      <c r="GPY188" s="1"/>
      <c r="GPZ188" s="1"/>
      <c r="GQA188" s="1"/>
      <c r="GQB188" s="1"/>
      <c r="GQC188" s="1"/>
      <c r="GQD188" s="1"/>
      <c r="GQE188" s="1"/>
      <c r="GQF188" s="1"/>
      <c r="GQG188" s="1"/>
      <c r="GQH188" s="1"/>
      <c r="GQI188" s="1"/>
      <c r="GQJ188" s="1"/>
      <c r="GQK188" s="1"/>
      <c r="GQL188" s="1"/>
      <c r="GQM188" s="1"/>
      <c r="GQN188" s="1"/>
      <c r="GQO188" s="1"/>
      <c r="GQP188" s="1"/>
      <c r="GQQ188" s="1"/>
      <c r="GQR188" s="1"/>
      <c r="GQS188" s="1"/>
      <c r="GQT188" s="1"/>
      <c r="GQU188" s="1"/>
      <c r="GQV188" s="1"/>
      <c r="GQW188" s="1"/>
      <c r="GQX188" s="1"/>
      <c r="GQY188" s="1"/>
      <c r="GQZ188" s="1"/>
      <c r="GRA188" s="1"/>
      <c r="GRB188" s="1"/>
      <c r="GRC188" s="1"/>
      <c r="GRD188" s="1"/>
      <c r="GRE188" s="1"/>
      <c r="GRF188" s="1"/>
      <c r="GRG188" s="1"/>
      <c r="GRH188" s="1"/>
      <c r="GRI188" s="1"/>
      <c r="GRJ188" s="1"/>
      <c r="GRK188" s="1"/>
      <c r="GRL188" s="1"/>
      <c r="GRM188" s="1"/>
      <c r="GRN188" s="1"/>
      <c r="GRO188" s="1"/>
      <c r="GRP188" s="1"/>
      <c r="GRQ188" s="1"/>
      <c r="GRR188" s="1"/>
      <c r="GRS188" s="1"/>
      <c r="GRT188" s="1"/>
      <c r="GRU188" s="1"/>
      <c r="GRV188" s="1"/>
      <c r="GRW188" s="1"/>
      <c r="GRX188" s="1"/>
      <c r="GRY188" s="1"/>
      <c r="GRZ188" s="1"/>
      <c r="GSA188" s="1"/>
      <c r="GSB188" s="1"/>
      <c r="GSC188" s="1"/>
      <c r="GSD188" s="1"/>
      <c r="GSE188" s="1"/>
      <c r="GSF188" s="1"/>
      <c r="GSG188" s="1"/>
      <c r="GSH188" s="1"/>
      <c r="GSI188" s="1"/>
      <c r="GSJ188" s="1"/>
      <c r="GSK188" s="1"/>
      <c r="GSL188" s="1"/>
      <c r="GSM188" s="1"/>
      <c r="GSN188" s="1"/>
      <c r="GSO188" s="1"/>
      <c r="GSP188" s="1"/>
      <c r="GSQ188" s="1"/>
      <c r="GSR188" s="1"/>
      <c r="GSS188" s="1"/>
      <c r="GST188" s="1"/>
      <c r="GSU188" s="1"/>
      <c r="GSV188" s="1"/>
      <c r="GSW188" s="1"/>
      <c r="GSX188" s="1"/>
      <c r="GSY188" s="1"/>
      <c r="GSZ188" s="1"/>
      <c r="GTA188" s="1"/>
      <c r="GTB188" s="1"/>
      <c r="GTC188" s="1"/>
      <c r="GTD188" s="1"/>
      <c r="GTE188" s="1"/>
      <c r="GTF188" s="1"/>
      <c r="GTG188" s="1"/>
      <c r="GTH188" s="1"/>
      <c r="GTI188" s="1"/>
      <c r="GTJ188" s="1"/>
      <c r="GTK188" s="1"/>
      <c r="GTL188" s="1"/>
      <c r="GTM188" s="1"/>
      <c r="GTN188" s="1"/>
      <c r="GTO188" s="1"/>
      <c r="GTP188" s="1"/>
      <c r="GTQ188" s="1"/>
      <c r="GTR188" s="1"/>
      <c r="GTS188" s="1"/>
      <c r="GTT188" s="1"/>
      <c r="GTU188" s="1"/>
      <c r="GTV188" s="1"/>
      <c r="GTW188" s="1"/>
      <c r="GTX188" s="1"/>
      <c r="GTY188" s="1"/>
      <c r="GTZ188" s="1"/>
      <c r="GUA188" s="1"/>
      <c r="GUB188" s="1"/>
      <c r="GUC188" s="1"/>
      <c r="GUD188" s="1"/>
      <c r="GUE188" s="1"/>
      <c r="GUF188" s="1"/>
      <c r="GUG188" s="1"/>
      <c r="GUH188" s="1"/>
      <c r="GUI188" s="1"/>
      <c r="GUJ188" s="1"/>
      <c r="GUK188" s="1"/>
      <c r="GUL188" s="1"/>
      <c r="GUM188" s="1"/>
      <c r="GUN188" s="1"/>
      <c r="GUO188" s="1"/>
      <c r="GUP188" s="1"/>
      <c r="GUQ188" s="1"/>
      <c r="GUR188" s="1"/>
      <c r="GUS188" s="1"/>
      <c r="GUT188" s="1"/>
      <c r="GUU188" s="1"/>
      <c r="GUV188" s="1"/>
      <c r="GUW188" s="1"/>
      <c r="GUX188" s="1"/>
      <c r="GUY188" s="1"/>
      <c r="GUZ188" s="1"/>
      <c r="GVA188" s="1"/>
      <c r="GVB188" s="1"/>
      <c r="GVC188" s="1"/>
      <c r="GVD188" s="1"/>
      <c r="GVE188" s="1"/>
      <c r="GVF188" s="1"/>
      <c r="GVG188" s="1"/>
      <c r="GVH188" s="1"/>
      <c r="GVI188" s="1"/>
      <c r="GVJ188" s="1"/>
      <c r="GVK188" s="1"/>
      <c r="GVL188" s="1"/>
      <c r="GVM188" s="1"/>
      <c r="GVN188" s="1"/>
      <c r="GVO188" s="1"/>
      <c r="GVP188" s="1"/>
      <c r="GVQ188" s="1"/>
      <c r="GVR188" s="1"/>
      <c r="GVS188" s="1"/>
      <c r="GVT188" s="1"/>
      <c r="GVU188" s="1"/>
      <c r="GVV188" s="1"/>
      <c r="GVW188" s="1"/>
      <c r="GVX188" s="1"/>
      <c r="GVY188" s="1"/>
      <c r="GVZ188" s="1"/>
      <c r="GWA188" s="1"/>
      <c r="GWB188" s="1"/>
      <c r="GWC188" s="1"/>
      <c r="GWD188" s="1"/>
      <c r="GWE188" s="1"/>
      <c r="GWF188" s="1"/>
      <c r="GWG188" s="1"/>
      <c r="GWH188" s="1"/>
      <c r="GWI188" s="1"/>
      <c r="GWJ188" s="1"/>
      <c r="GWK188" s="1"/>
      <c r="GWL188" s="1"/>
      <c r="GWM188" s="1"/>
      <c r="GWN188" s="1"/>
      <c r="GWO188" s="1"/>
      <c r="GWP188" s="1"/>
      <c r="GWQ188" s="1"/>
      <c r="GWR188" s="1"/>
      <c r="GWS188" s="1"/>
      <c r="GWT188" s="1"/>
      <c r="GWU188" s="1"/>
      <c r="GWV188" s="1"/>
      <c r="GWW188" s="1"/>
      <c r="GWX188" s="1"/>
      <c r="GWY188" s="1"/>
      <c r="GWZ188" s="1"/>
      <c r="GXA188" s="1"/>
      <c r="GXB188" s="1"/>
      <c r="GXC188" s="1"/>
      <c r="GXD188" s="1"/>
      <c r="GXE188" s="1"/>
      <c r="GXF188" s="1"/>
      <c r="GXG188" s="1"/>
      <c r="GXH188" s="1"/>
      <c r="GXI188" s="1"/>
      <c r="GXJ188" s="1"/>
      <c r="GXK188" s="1"/>
      <c r="GXL188" s="1"/>
      <c r="GXM188" s="1"/>
      <c r="GXN188" s="1"/>
      <c r="GXO188" s="1"/>
      <c r="GXP188" s="1"/>
      <c r="GXQ188" s="1"/>
      <c r="GXR188" s="1"/>
      <c r="GXS188" s="1"/>
      <c r="GXT188" s="1"/>
      <c r="GXU188" s="1"/>
      <c r="GXV188" s="1"/>
      <c r="GXW188" s="1"/>
      <c r="GXX188" s="1"/>
      <c r="GXY188" s="1"/>
      <c r="GXZ188" s="1"/>
      <c r="GYA188" s="1"/>
      <c r="GYB188" s="1"/>
      <c r="GYC188" s="1"/>
      <c r="GYD188" s="1"/>
      <c r="GYE188" s="1"/>
      <c r="GYF188" s="1"/>
      <c r="GYG188" s="1"/>
      <c r="GYH188" s="1"/>
      <c r="GYI188" s="1"/>
      <c r="GYJ188" s="1"/>
      <c r="GYK188" s="1"/>
      <c r="GYL188" s="1"/>
      <c r="GYM188" s="1"/>
      <c r="GYN188" s="1"/>
      <c r="GYO188" s="1"/>
      <c r="GYP188" s="1"/>
      <c r="GYQ188" s="1"/>
      <c r="GYR188" s="1"/>
      <c r="GYS188" s="1"/>
      <c r="GYT188" s="1"/>
      <c r="GYU188" s="1"/>
      <c r="GYV188" s="1"/>
      <c r="GYW188" s="1"/>
      <c r="GYX188" s="1"/>
      <c r="GYY188" s="1"/>
      <c r="GYZ188" s="1"/>
      <c r="GZA188" s="1"/>
      <c r="GZB188" s="1"/>
      <c r="GZC188" s="1"/>
      <c r="GZD188" s="1"/>
      <c r="GZE188" s="1"/>
      <c r="GZF188" s="1"/>
      <c r="GZG188" s="1"/>
      <c r="GZH188" s="1"/>
      <c r="GZI188" s="1"/>
      <c r="GZJ188" s="1"/>
      <c r="GZK188" s="1"/>
      <c r="GZL188" s="1"/>
      <c r="GZM188" s="1"/>
      <c r="GZN188" s="1"/>
      <c r="GZO188" s="1"/>
      <c r="GZP188" s="1"/>
      <c r="GZQ188" s="1"/>
      <c r="GZR188" s="1"/>
      <c r="GZS188" s="1"/>
      <c r="GZT188" s="1"/>
      <c r="GZU188" s="1"/>
      <c r="GZV188" s="1"/>
      <c r="GZW188" s="1"/>
      <c r="GZX188" s="1"/>
      <c r="GZY188" s="1"/>
      <c r="GZZ188" s="1"/>
      <c r="HAA188" s="1"/>
      <c r="HAB188" s="1"/>
      <c r="HAC188" s="1"/>
      <c r="HAD188" s="1"/>
      <c r="HAE188" s="1"/>
      <c r="HAF188" s="1"/>
      <c r="HAG188" s="1"/>
      <c r="HAH188" s="1"/>
      <c r="HAI188" s="1"/>
      <c r="HAJ188" s="1"/>
      <c r="HAK188" s="1"/>
      <c r="HAL188" s="1"/>
      <c r="HAM188" s="1"/>
      <c r="HAN188" s="1"/>
      <c r="HAO188" s="1"/>
      <c r="HAP188" s="1"/>
      <c r="HAQ188" s="1"/>
      <c r="HAR188" s="1"/>
      <c r="HAS188" s="1"/>
      <c r="HAT188" s="1"/>
      <c r="HAU188" s="1"/>
      <c r="HAV188" s="1"/>
      <c r="HAW188" s="1"/>
      <c r="HAX188" s="1"/>
      <c r="HAY188" s="1"/>
      <c r="HAZ188" s="1"/>
      <c r="HBA188" s="1"/>
      <c r="HBB188" s="1"/>
      <c r="HBC188" s="1"/>
      <c r="HBD188" s="1"/>
      <c r="HBE188" s="1"/>
      <c r="HBF188" s="1"/>
      <c r="HBG188" s="1"/>
      <c r="HBH188" s="1"/>
      <c r="HBI188" s="1"/>
      <c r="HBJ188" s="1"/>
      <c r="HBK188" s="1"/>
      <c r="HBL188" s="1"/>
      <c r="HBM188" s="1"/>
      <c r="HBN188" s="1"/>
      <c r="HBO188" s="1"/>
      <c r="HBP188" s="1"/>
      <c r="HBQ188" s="1"/>
      <c r="HBR188" s="1"/>
      <c r="HBS188" s="1"/>
      <c r="HBT188" s="1"/>
      <c r="HBU188" s="1"/>
      <c r="HBV188" s="1"/>
      <c r="HBW188" s="1"/>
      <c r="HBX188" s="1"/>
      <c r="HBY188" s="1"/>
      <c r="HBZ188" s="1"/>
      <c r="HCA188" s="1"/>
      <c r="HCB188" s="1"/>
      <c r="HCC188" s="1"/>
      <c r="HCD188" s="1"/>
      <c r="HCE188" s="1"/>
      <c r="HCF188" s="1"/>
      <c r="HCG188" s="1"/>
      <c r="HCH188" s="1"/>
      <c r="HCI188" s="1"/>
      <c r="HCJ188" s="1"/>
      <c r="HCK188" s="1"/>
      <c r="HCL188" s="1"/>
      <c r="HCM188" s="1"/>
      <c r="HCN188" s="1"/>
      <c r="HCO188" s="1"/>
      <c r="HCP188" s="1"/>
      <c r="HCQ188" s="1"/>
      <c r="HCR188" s="1"/>
      <c r="HCS188" s="1"/>
      <c r="HCT188" s="1"/>
      <c r="HCU188" s="1"/>
      <c r="HCV188" s="1"/>
      <c r="HCW188" s="1"/>
      <c r="HCX188" s="1"/>
      <c r="HCY188" s="1"/>
      <c r="HCZ188" s="1"/>
      <c r="HDA188" s="1"/>
      <c r="HDB188" s="1"/>
      <c r="HDC188" s="1"/>
      <c r="HDD188" s="1"/>
      <c r="HDE188" s="1"/>
      <c r="HDF188" s="1"/>
      <c r="HDG188" s="1"/>
      <c r="HDH188" s="1"/>
      <c r="HDI188" s="1"/>
      <c r="HDJ188" s="1"/>
      <c r="HDK188" s="1"/>
      <c r="HDL188" s="1"/>
      <c r="HDM188" s="1"/>
      <c r="HDN188" s="1"/>
      <c r="HDO188" s="1"/>
      <c r="HDP188" s="1"/>
      <c r="HDQ188" s="1"/>
      <c r="HDR188" s="1"/>
      <c r="HDS188" s="1"/>
      <c r="HDT188" s="1"/>
      <c r="HDU188" s="1"/>
      <c r="HDV188" s="1"/>
      <c r="HDW188" s="1"/>
      <c r="HDX188" s="1"/>
      <c r="HDY188" s="1"/>
      <c r="HDZ188" s="1"/>
      <c r="HEA188" s="1"/>
      <c r="HEB188" s="1"/>
      <c r="HEC188" s="1"/>
      <c r="HED188" s="1"/>
      <c r="HEE188" s="1"/>
      <c r="HEF188" s="1"/>
      <c r="HEG188" s="1"/>
      <c r="HEH188" s="1"/>
      <c r="HEI188" s="1"/>
      <c r="HEJ188" s="1"/>
      <c r="HEK188" s="1"/>
      <c r="HEL188" s="1"/>
      <c r="HEM188" s="1"/>
      <c r="HEN188" s="1"/>
      <c r="HEO188" s="1"/>
      <c r="HEP188" s="1"/>
      <c r="HEQ188" s="1"/>
      <c r="HER188" s="1"/>
      <c r="HES188" s="1"/>
      <c r="HET188" s="1"/>
      <c r="HEU188" s="1"/>
      <c r="HEV188" s="1"/>
      <c r="HEW188" s="1"/>
      <c r="HEX188" s="1"/>
      <c r="HEY188" s="1"/>
      <c r="HEZ188" s="1"/>
      <c r="HFA188" s="1"/>
      <c r="HFB188" s="1"/>
      <c r="HFC188" s="1"/>
      <c r="HFD188" s="1"/>
      <c r="HFE188" s="1"/>
      <c r="HFF188" s="1"/>
      <c r="HFG188" s="1"/>
      <c r="HFH188" s="1"/>
      <c r="HFI188" s="1"/>
      <c r="HFJ188" s="1"/>
      <c r="HFK188" s="1"/>
      <c r="HFL188" s="1"/>
      <c r="HFM188" s="1"/>
      <c r="HFN188" s="1"/>
      <c r="HFO188" s="1"/>
      <c r="HFP188" s="1"/>
      <c r="HFQ188" s="1"/>
      <c r="HFR188" s="1"/>
      <c r="HFS188" s="1"/>
      <c r="HFT188" s="1"/>
      <c r="HFU188" s="1"/>
      <c r="HFV188" s="1"/>
      <c r="HFW188" s="1"/>
      <c r="HFX188" s="1"/>
      <c r="HFY188" s="1"/>
      <c r="HFZ188" s="1"/>
      <c r="HGA188" s="1"/>
      <c r="HGB188" s="1"/>
      <c r="HGC188" s="1"/>
      <c r="HGD188" s="1"/>
      <c r="HGE188" s="1"/>
      <c r="HGF188" s="1"/>
      <c r="HGG188" s="1"/>
      <c r="HGH188" s="1"/>
      <c r="HGI188" s="1"/>
      <c r="HGJ188" s="1"/>
      <c r="HGK188" s="1"/>
      <c r="HGL188" s="1"/>
      <c r="HGM188" s="1"/>
      <c r="HGN188" s="1"/>
      <c r="HGO188" s="1"/>
      <c r="HGP188" s="1"/>
      <c r="HGQ188" s="1"/>
      <c r="HGR188" s="1"/>
      <c r="HGS188" s="1"/>
      <c r="HGT188" s="1"/>
      <c r="HGU188" s="1"/>
      <c r="HGV188" s="1"/>
      <c r="HGW188" s="1"/>
      <c r="HGX188" s="1"/>
      <c r="HGY188" s="1"/>
      <c r="HGZ188" s="1"/>
      <c r="HHA188" s="1"/>
      <c r="HHB188" s="1"/>
      <c r="HHC188" s="1"/>
      <c r="HHD188" s="1"/>
      <c r="HHE188" s="1"/>
      <c r="HHF188" s="1"/>
      <c r="HHG188" s="1"/>
      <c r="HHH188" s="1"/>
      <c r="HHI188" s="1"/>
      <c r="HHJ188" s="1"/>
      <c r="HHK188" s="1"/>
      <c r="HHL188" s="1"/>
      <c r="HHM188" s="1"/>
      <c r="HHN188" s="1"/>
      <c r="HHO188" s="1"/>
      <c r="HHP188" s="1"/>
      <c r="HHQ188" s="1"/>
      <c r="HHR188" s="1"/>
      <c r="HHS188" s="1"/>
      <c r="HHT188" s="1"/>
      <c r="HHU188" s="1"/>
      <c r="HHV188" s="1"/>
      <c r="HHW188" s="1"/>
      <c r="HHX188" s="1"/>
      <c r="HHY188" s="1"/>
      <c r="HHZ188" s="1"/>
      <c r="HIA188" s="1"/>
      <c r="HIB188" s="1"/>
      <c r="HIC188" s="1"/>
      <c r="HID188" s="1"/>
      <c r="HIE188" s="1"/>
      <c r="HIF188" s="1"/>
      <c r="HIG188" s="1"/>
      <c r="HIH188" s="1"/>
      <c r="HII188" s="1"/>
      <c r="HIJ188" s="1"/>
      <c r="HIK188" s="1"/>
      <c r="HIL188" s="1"/>
      <c r="HIM188" s="1"/>
      <c r="HIN188" s="1"/>
      <c r="HIO188" s="1"/>
      <c r="HIP188" s="1"/>
      <c r="HIQ188" s="1"/>
      <c r="HIR188" s="1"/>
      <c r="HIS188" s="1"/>
      <c r="HIT188" s="1"/>
      <c r="HIU188" s="1"/>
      <c r="HIV188" s="1"/>
      <c r="HIW188" s="1"/>
      <c r="HIX188" s="1"/>
      <c r="HIY188" s="1"/>
      <c r="HIZ188" s="1"/>
      <c r="HJA188" s="1"/>
      <c r="HJB188" s="1"/>
      <c r="HJC188" s="1"/>
      <c r="HJD188" s="1"/>
      <c r="HJE188" s="1"/>
      <c r="HJF188" s="1"/>
      <c r="HJG188" s="1"/>
      <c r="HJH188" s="1"/>
      <c r="HJI188" s="1"/>
      <c r="HJJ188" s="1"/>
      <c r="HJK188" s="1"/>
      <c r="HJL188" s="1"/>
      <c r="HJM188" s="1"/>
      <c r="HJN188" s="1"/>
      <c r="HJO188" s="1"/>
      <c r="HJP188" s="1"/>
      <c r="HJQ188" s="1"/>
      <c r="HJR188" s="1"/>
      <c r="HJS188" s="1"/>
      <c r="HJT188" s="1"/>
      <c r="HJU188" s="1"/>
      <c r="HJV188" s="1"/>
      <c r="HJW188" s="1"/>
      <c r="HJX188" s="1"/>
      <c r="HJY188" s="1"/>
      <c r="HJZ188" s="1"/>
      <c r="HKA188" s="1"/>
      <c r="HKB188" s="1"/>
      <c r="HKC188" s="1"/>
      <c r="HKD188" s="1"/>
      <c r="HKE188" s="1"/>
      <c r="HKF188" s="1"/>
      <c r="HKG188" s="1"/>
      <c r="HKH188" s="1"/>
      <c r="HKI188" s="1"/>
      <c r="HKJ188" s="1"/>
      <c r="HKK188" s="1"/>
      <c r="HKL188" s="1"/>
      <c r="HKM188" s="1"/>
      <c r="HKN188" s="1"/>
      <c r="HKO188" s="1"/>
      <c r="HKP188" s="1"/>
      <c r="HKQ188" s="1"/>
      <c r="HKR188" s="1"/>
      <c r="HKS188" s="1"/>
      <c r="HKT188" s="1"/>
      <c r="HKU188" s="1"/>
      <c r="HKV188" s="1"/>
      <c r="HKW188" s="1"/>
      <c r="HKX188" s="1"/>
      <c r="HKY188" s="1"/>
      <c r="HKZ188" s="1"/>
      <c r="HLA188" s="1"/>
      <c r="HLB188" s="1"/>
      <c r="HLC188" s="1"/>
      <c r="HLD188" s="1"/>
      <c r="HLE188" s="1"/>
      <c r="HLF188" s="1"/>
      <c r="HLG188" s="1"/>
      <c r="HLH188" s="1"/>
      <c r="HLI188" s="1"/>
      <c r="HLJ188" s="1"/>
      <c r="HLK188" s="1"/>
      <c r="HLL188" s="1"/>
      <c r="HLM188" s="1"/>
      <c r="HLN188" s="1"/>
      <c r="HLO188" s="1"/>
      <c r="HLP188" s="1"/>
      <c r="HLQ188" s="1"/>
      <c r="HLR188" s="1"/>
      <c r="HLS188" s="1"/>
      <c r="HLT188" s="1"/>
      <c r="HLU188" s="1"/>
      <c r="HLV188" s="1"/>
      <c r="HLW188" s="1"/>
      <c r="HLX188" s="1"/>
      <c r="HLY188" s="1"/>
      <c r="HLZ188" s="1"/>
      <c r="HMA188" s="1"/>
      <c r="HMB188" s="1"/>
      <c r="HMC188" s="1"/>
      <c r="HMD188" s="1"/>
      <c r="HME188" s="1"/>
      <c r="HMF188" s="1"/>
      <c r="HMG188" s="1"/>
      <c r="HMH188" s="1"/>
      <c r="HMI188" s="1"/>
      <c r="HMJ188" s="1"/>
      <c r="HMK188" s="1"/>
      <c r="HML188" s="1"/>
      <c r="HMM188" s="1"/>
      <c r="HMN188" s="1"/>
      <c r="HMO188" s="1"/>
      <c r="HMP188" s="1"/>
      <c r="HMQ188" s="1"/>
      <c r="HMR188" s="1"/>
      <c r="HMS188" s="1"/>
      <c r="HMT188" s="1"/>
      <c r="HMU188" s="1"/>
      <c r="HMV188" s="1"/>
      <c r="HMW188" s="1"/>
      <c r="HMX188" s="1"/>
      <c r="HMY188" s="1"/>
      <c r="HMZ188" s="1"/>
      <c r="HNA188" s="1"/>
      <c r="HNB188" s="1"/>
      <c r="HNC188" s="1"/>
      <c r="HND188" s="1"/>
      <c r="HNE188" s="1"/>
      <c r="HNF188" s="1"/>
      <c r="HNG188" s="1"/>
      <c r="HNH188" s="1"/>
      <c r="HNI188" s="1"/>
      <c r="HNJ188" s="1"/>
      <c r="HNK188" s="1"/>
      <c r="HNL188" s="1"/>
      <c r="HNM188" s="1"/>
      <c r="HNN188" s="1"/>
      <c r="HNO188" s="1"/>
      <c r="HNP188" s="1"/>
      <c r="HNQ188" s="1"/>
      <c r="HNR188" s="1"/>
      <c r="HNS188" s="1"/>
      <c r="HNT188" s="1"/>
      <c r="HNU188" s="1"/>
      <c r="HNV188" s="1"/>
      <c r="HNW188" s="1"/>
      <c r="HNX188" s="1"/>
      <c r="HNY188" s="1"/>
      <c r="HNZ188" s="1"/>
      <c r="HOA188" s="1"/>
      <c r="HOB188" s="1"/>
      <c r="HOC188" s="1"/>
      <c r="HOD188" s="1"/>
      <c r="HOE188" s="1"/>
      <c r="HOF188" s="1"/>
      <c r="HOG188" s="1"/>
      <c r="HOH188" s="1"/>
      <c r="HOI188" s="1"/>
      <c r="HOJ188" s="1"/>
      <c r="HOK188" s="1"/>
      <c r="HOL188" s="1"/>
      <c r="HOM188" s="1"/>
      <c r="HON188" s="1"/>
      <c r="HOO188" s="1"/>
      <c r="HOP188" s="1"/>
      <c r="HOQ188" s="1"/>
      <c r="HOR188" s="1"/>
      <c r="HOS188" s="1"/>
      <c r="HOT188" s="1"/>
      <c r="HOU188" s="1"/>
      <c r="HOV188" s="1"/>
      <c r="HOW188" s="1"/>
      <c r="HOX188" s="1"/>
      <c r="HOY188" s="1"/>
      <c r="HOZ188" s="1"/>
      <c r="HPA188" s="1"/>
      <c r="HPB188" s="1"/>
      <c r="HPC188" s="1"/>
      <c r="HPD188" s="1"/>
      <c r="HPE188" s="1"/>
      <c r="HPF188" s="1"/>
      <c r="HPG188" s="1"/>
      <c r="HPH188" s="1"/>
      <c r="HPI188" s="1"/>
      <c r="HPJ188" s="1"/>
      <c r="HPK188" s="1"/>
      <c r="HPL188" s="1"/>
      <c r="HPM188" s="1"/>
      <c r="HPN188" s="1"/>
      <c r="HPO188" s="1"/>
      <c r="HPP188" s="1"/>
      <c r="HPQ188" s="1"/>
      <c r="HPR188" s="1"/>
      <c r="HPS188" s="1"/>
      <c r="HPT188" s="1"/>
      <c r="HPU188" s="1"/>
      <c r="HPV188" s="1"/>
      <c r="HPW188" s="1"/>
      <c r="HPX188" s="1"/>
      <c r="HPY188" s="1"/>
      <c r="HPZ188" s="1"/>
      <c r="HQA188" s="1"/>
      <c r="HQB188" s="1"/>
      <c r="HQC188" s="1"/>
      <c r="HQD188" s="1"/>
      <c r="HQE188" s="1"/>
      <c r="HQF188" s="1"/>
      <c r="HQG188" s="1"/>
      <c r="HQH188" s="1"/>
      <c r="HQI188" s="1"/>
      <c r="HQJ188" s="1"/>
      <c r="HQK188" s="1"/>
      <c r="HQL188" s="1"/>
      <c r="HQM188" s="1"/>
      <c r="HQN188" s="1"/>
      <c r="HQO188" s="1"/>
      <c r="HQP188" s="1"/>
      <c r="HQQ188" s="1"/>
      <c r="HQR188" s="1"/>
      <c r="HQS188" s="1"/>
      <c r="HQT188" s="1"/>
      <c r="HQU188" s="1"/>
      <c r="HQV188" s="1"/>
      <c r="HQW188" s="1"/>
      <c r="HQX188" s="1"/>
      <c r="HQY188" s="1"/>
      <c r="HQZ188" s="1"/>
      <c r="HRA188" s="1"/>
      <c r="HRB188" s="1"/>
      <c r="HRC188" s="1"/>
      <c r="HRD188" s="1"/>
      <c r="HRE188" s="1"/>
      <c r="HRF188" s="1"/>
      <c r="HRG188" s="1"/>
      <c r="HRH188" s="1"/>
      <c r="HRI188" s="1"/>
      <c r="HRJ188" s="1"/>
      <c r="HRK188" s="1"/>
      <c r="HRL188" s="1"/>
      <c r="HRM188" s="1"/>
      <c r="HRN188" s="1"/>
      <c r="HRO188" s="1"/>
      <c r="HRP188" s="1"/>
      <c r="HRQ188" s="1"/>
      <c r="HRR188" s="1"/>
      <c r="HRS188" s="1"/>
      <c r="HRT188" s="1"/>
      <c r="HRU188" s="1"/>
      <c r="HRV188" s="1"/>
      <c r="HRW188" s="1"/>
      <c r="HRX188" s="1"/>
      <c r="HRY188" s="1"/>
      <c r="HRZ188" s="1"/>
      <c r="HSA188" s="1"/>
      <c r="HSB188" s="1"/>
      <c r="HSC188" s="1"/>
      <c r="HSD188" s="1"/>
      <c r="HSE188" s="1"/>
      <c r="HSF188" s="1"/>
      <c r="HSG188" s="1"/>
      <c r="HSH188" s="1"/>
      <c r="HSI188" s="1"/>
      <c r="HSJ188" s="1"/>
      <c r="HSK188" s="1"/>
      <c r="HSL188" s="1"/>
      <c r="HSM188" s="1"/>
      <c r="HSN188" s="1"/>
      <c r="HSO188" s="1"/>
      <c r="HSP188" s="1"/>
      <c r="HSQ188" s="1"/>
      <c r="HSR188" s="1"/>
      <c r="HSS188" s="1"/>
      <c r="HST188" s="1"/>
      <c r="HSU188" s="1"/>
      <c r="HSV188" s="1"/>
      <c r="HSW188" s="1"/>
      <c r="HSX188" s="1"/>
      <c r="HSY188" s="1"/>
      <c r="HSZ188" s="1"/>
      <c r="HTA188" s="1"/>
      <c r="HTB188" s="1"/>
      <c r="HTC188" s="1"/>
      <c r="HTD188" s="1"/>
      <c r="HTE188" s="1"/>
      <c r="HTF188" s="1"/>
      <c r="HTG188" s="1"/>
      <c r="HTH188" s="1"/>
      <c r="HTI188" s="1"/>
      <c r="HTJ188" s="1"/>
      <c r="HTK188" s="1"/>
      <c r="HTL188" s="1"/>
      <c r="HTM188" s="1"/>
      <c r="HTN188" s="1"/>
      <c r="HTO188" s="1"/>
      <c r="HTP188" s="1"/>
      <c r="HTQ188" s="1"/>
      <c r="HTR188" s="1"/>
      <c r="HTS188" s="1"/>
      <c r="HTT188" s="1"/>
      <c r="HTU188" s="1"/>
      <c r="HTV188" s="1"/>
      <c r="HTW188" s="1"/>
      <c r="HTX188" s="1"/>
      <c r="HTY188" s="1"/>
      <c r="HTZ188" s="1"/>
      <c r="HUA188" s="1"/>
      <c r="HUB188" s="1"/>
      <c r="HUC188" s="1"/>
      <c r="HUD188" s="1"/>
      <c r="HUE188" s="1"/>
      <c r="HUF188" s="1"/>
      <c r="HUG188" s="1"/>
      <c r="HUH188" s="1"/>
      <c r="HUI188" s="1"/>
      <c r="HUJ188" s="1"/>
      <c r="HUK188" s="1"/>
      <c r="HUL188" s="1"/>
      <c r="HUM188" s="1"/>
      <c r="HUN188" s="1"/>
      <c r="HUO188" s="1"/>
      <c r="HUP188" s="1"/>
      <c r="HUQ188" s="1"/>
      <c r="HUR188" s="1"/>
      <c r="HUS188" s="1"/>
      <c r="HUT188" s="1"/>
      <c r="HUU188" s="1"/>
      <c r="HUV188" s="1"/>
      <c r="HUW188" s="1"/>
      <c r="HUX188" s="1"/>
      <c r="HUY188" s="1"/>
      <c r="HUZ188" s="1"/>
      <c r="HVA188" s="1"/>
      <c r="HVB188" s="1"/>
      <c r="HVC188" s="1"/>
      <c r="HVD188" s="1"/>
      <c r="HVE188" s="1"/>
      <c r="HVF188" s="1"/>
      <c r="HVG188" s="1"/>
      <c r="HVH188" s="1"/>
      <c r="HVI188" s="1"/>
      <c r="HVJ188" s="1"/>
      <c r="HVK188" s="1"/>
      <c r="HVL188" s="1"/>
      <c r="HVM188" s="1"/>
      <c r="HVN188" s="1"/>
      <c r="HVO188" s="1"/>
      <c r="HVP188" s="1"/>
      <c r="HVQ188" s="1"/>
      <c r="HVR188" s="1"/>
      <c r="HVS188" s="1"/>
      <c r="HVT188" s="1"/>
      <c r="HVU188" s="1"/>
      <c r="HVV188" s="1"/>
      <c r="HVW188" s="1"/>
      <c r="HVX188" s="1"/>
      <c r="HVY188" s="1"/>
      <c r="HVZ188" s="1"/>
      <c r="HWA188" s="1"/>
      <c r="HWB188" s="1"/>
      <c r="HWC188" s="1"/>
      <c r="HWD188" s="1"/>
      <c r="HWE188" s="1"/>
      <c r="HWF188" s="1"/>
      <c r="HWG188" s="1"/>
      <c r="HWH188" s="1"/>
      <c r="HWI188" s="1"/>
      <c r="HWJ188" s="1"/>
      <c r="HWK188" s="1"/>
      <c r="HWL188" s="1"/>
      <c r="HWM188" s="1"/>
      <c r="HWN188" s="1"/>
      <c r="HWO188" s="1"/>
      <c r="HWP188" s="1"/>
      <c r="HWQ188" s="1"/>
      <c r="HWR188" s="1"/>
      <c r="HWS188" s="1"/>
      <c r="HWT188" s="1"/>
      <c r="HWU188" s="1"/>
      <c r="HWV188" s="1"/>
      <c r="HWW188" s="1"/>
      <c r="HWX188" s="1"/>
      <c r="HWY188" s="1"/>
      <c r="HWZ188" s="1"/>
      <c r="HXA188" s="1"/>
      <c r="HXB188" s="1"/>
      <c r="HXC188" s="1"/>
      <c r="HXD188" s="1"/>
      <c r="HXE188" s="1"/>
      <c r="HXF188" s="1"/>
      <c r="HXG188" s="1"/>
      <c r="HXH188" s="1"/>
      <c r="HXI188" s="1"/>
      <c r="HXJ188" s="1"/>
      <c r="HXK188" s="1"/>
      <c r="HXL188" s="1"/>
      <c r="HXM188" s="1"/>
      <c r="HXN188" s="1"/>
      <c r="HXO188" s="1"/>
      <c r="HXP188" s="1"/>
      <c r="HXQ188" s="1"/>
      <c r="HXR188" s="1"/>
      <c r="HXS188" s="1"/>
      <c r="HXT188" s="1"/>
      <c r="HXU188" s="1"/>
      <c r="HXV188" s="1"/>
      <c r="HXW188" s="1"/>
      <c r="HXX188" s="1"/>
      <c r="HXY188" s="1"/>
      <c r="HXZ188" s="1"/>
      <c r="HYA188" s="1"/>
      <c r="HYB188" s="1"/>
      <c r="HYC188" s="1"/>
      <c r="HYD188" s="1"/>
      <c r="HYE188" s="1"/>
      <c r="HYF188" s="1"/>
      <c r="HYG188" s="1"/>
      <c r="HYH188" s="1"/>
      <c r="HYI188" s="1"/>
      <c r="HYJ188" s="1"/>
      <c r="HYK188" s="1"/>
      <c r="HYL188" s="1"/>
      <c r="HYM188" s="1"/>
      <c r="HYN188" s="1"/>
      <c r="HYO188" s="1"/>
      <c r="HYP188" s="1"/>
      <c r="HYQ188" s="1"/>
      <c r="HYR188" s="1"/>
      <c r="HYS188" s="1"/>
      <c r="HYT188" s="1"/>
      <c r="HYU188" s="1"/>
      <c r="HYV188" s="1"/>
      <c r="HYW188" s="1"/>
      <c r="HYX188" s="1"/>
      <c r="HYY188" s="1"/>
      <c r="HYZ188" s="1"/>
      <c r="HZA188" s="1"/>
      <c r="HZB188" s="1"/>
      <c r="HZC188" s="1"/>
      <c r="HZD188" s="1"/>
      <c r="HZE188" s="1"/>
      <c r="HZF188" s="1"/>
      <c r="HZG188" s="1"/>
      <c r="HZH188" s="1"/>
      <c r="HZI188" s="1"/>
      <c r="HZJ188" s="1"/>
      <c r="HZK188" s="1"/>
      <c r="HZL188" s="1"/>
      <c r="HZM188" s="1"/>
      <c r="HZN188" s="1"/>
      <c r="HZO188" s="1"/>
      <c r="HZP188" s="1"/>
      <c r="HZQ188" s="1"/>
      <c r="HZR188" s="1"/>
      <c r="HZS188" s="1"/>
      <c r="HZT188" s="1"/>
      <c r="HZU188" s="1"/>
      <c r="HZV188" s="1"/>
      <c r="HZW188" s="1"/>
      <c r="HZX188" s="1"/>
      <c r="HZY188" s="1"/>
      <c r="HZZ188" s="1"/>
      <c r="IAA188" s="1"/>
      <c r="IAB188" s="1"/>
      <c r="IAC188" s="1"/>
      <c r="IAD188" s="1"/>
      <c r="IAE188" s="1"/>
      <c r="IAF188" s="1"/>
      <c r="IAG188" s="1"/>
      <c r="IAH188" s="1"/>
      <c r="IAI188" s="1"/>
      <c r="IAJ188" s="1"/>
      <c r="IAK188" s="1"/>
      <c r="IAL188" s="1"/>
      <c r="IAM188" s="1"/>
      <c r="IAN188" s="1"/>
      <c r="IAO188" s="1"/>
      <c r="IAP188" s="1"/>
      <c r="IAQ188" s="1"/>
      <c r="IAR188" s="1"/>
      <c r="IAS188" s="1"/>
      <c r="IAT188" s="1"/>
      <c r="IAU188" s="1"/>
      <c r="IAV188" s="1"/>
      <c r="IAW188" s="1"/>
      <c r="IAX188" s="1"/>
      <c r="IAY188" s="1"/>
      <c r="IAZ188" s="1"/>
      <c r="IBA188" s="1"/>
      <c r="IBB188" s="1"/>
      <c r="IBC188" s="1"/>
      <c r="IBD188" s="1"/>
      <c r="IBE188" s="1"/>
      <c r="IBF188" s="1"/>
      <c r="IBG188" s="1"/>
      <c r="IBH188" s="1"/>
      <c r="IBI188" s="1"/>
      <c r="IBJ188" s="1"/>
      <c r="IBK188" s="1"/>
      <c r="IBL188" s="1"/>
      <c r="IBM188" s="1"/>
      <c r="IBN188" s="1"/>
      <c r="IBO188" s="1"/>
      <c r="IBP188" s="1"/>
      <c r="IBQ188" s="1"/>
      <c r="IBR188" s="1"/>
      <c r="IBS188" s="1"/>
      <c r="IBT188" s="1"/>
      <c r="IBU188" s="1"/>
      <c r="IBV188" s="1"/>
      <c r="IBW188" s="1"/>
      <c r="IBX188" s="1"/>
      <c r="IBY188" s="1"/>
      <c r="IBZ188" s="1"/>
      <c r="ICA188" s="1"/>
      <c r="ICB188" s="1"/>
      <c r="ICC188" s="1"/>
      <c r="ICD188" s="1"/>
      <c r="ICE188" s="1"/>
      <c r="ICF188" s="1"/>
      <c r="ICG188" s="1"/>
      <c r="ICH188" s="1"/>
      <c r="ICI188" s="1"/>
      <c r="ICJ188" s="1"/>
      <c r="ICK188" s="1"/>
      <c r="ICL188" s="1"/>
      <c r="ICM188" s="1"/>
      <c r="ICN188" s="1"/>
      <c r="ICO188" s="1"/>
      <c r="ICP188" s="1"/>
      <c r="ICQ188" s="1"/>
      <c r="ICR188" s="1"/>
      <c r="ICS188" s="1"/>
      <c r="ICT188" s="1"/>
      <c r="ICU188" s="1"/>
      <c r="ICV188" s="1"/>
      <c r="ICW188" s="1"/>
      <c r="ICX188" s="1"/>
      <c r="ICY188" s="1"/>
      <c r="ICZ188" s="1"/>
      <c r="IDA188" s="1"/>
      <c r="IDB188" s="1"/>
      <c r="IDC188" s="1"/>
      <c r="IDD188" s="1"/>
      <c r="IDE188" s="1"/>
      <c r="IDF188" s="1"/>
      <c r="IDG188" s="1"/>
      <c r="IDH188" s="1"/>
      <c r="IDI188" s="1"/>
      <c r="IDJ188" s="1"/>
      <c r="IDK188" s="1"/>
      <c r="IDL188" s="1"/>
      <c r="IDM188" s="1"/>
      <c r="IDN188" s="1"/>
      <c r="IDO188" s="1"/>
      <c r="IDP188" s="1"/>
      <c r="IDQ188" s="1"/>
      <c r="IDR188" s="1"/>
      <c r="IDS188" s="1"/>
      <c r="IDT188" s="1"/>
      <c r="IDU188" s="1"/>
      <c r="IDV188" s="1"/>
      <c r="IDW188" s="1"/>
      <c r="IDX188" s="1"/>
      <c r="IDY188" s="1"/>
      <c r="IDZ188" s="1"/>
      <c r="IEA188" s="1"/>
      <c r="IEB188" s="1"/>
      <c r="IEC188" s="1"/>
      <c r="IED188" s="1"/>
      <c r="IEE188" s="1"/>
      <c r="IEF188" s="1"/>
      <c r="IEG188" s="1"/>
      <c r="IEH188" s="1"/>
      <c r="IEI188" s="1"/>
      <c r="IEJ188" s="1"/>
      <c r="IEK188" s="1"/>
      <c r="IEL188" s="1"/>
      <c r="IEM188" s="1"/>
      <c r="IEN188" s="1"/>
      <c r="IEO188" s="1"/>
      <c r="IEP188" s="1"/>
      <c r="IEQ188" s="1"/>
      <c r="IER188" s="1"/>
      <c r="IES188" s="1"/>
      <c r="IET188" s="1"/>
      <c r="IEU188" s="1"/>
      <c r="IEV188" s="1"/>
      <c r="IEW188" s="1"/>
      <c r="IEX188" s="1"/>
      <c r="IEY188" s="1"/>
      <c r="IEZ188" s="1"/>
      <c r="IFA188" s="1"/>
      <c r="IFB188" s="1"/>
      <c r="IFC188" s="1"/>
      <c r="IFD188" s="1"/>
      <c r="IFE188" s="1"/>
      <c r="IFF188" s="1"/>
      <c r="IFG188" s="1"/>
      <c r="IFH188" s="1"/>
      <c r="IFI188" s="1"/>
      <c r="IFJ188" s="1"/>
      <c r="IFK188" s="1"/>
      <c r="IFL188" s="1"/>
      <c r="IFM188" s="1"/>
      <c r="IFN188" s="1"/>
      <c r="IFO188" s="1"/>
      <c r="IFP188" s="1"/>
      <c r="IFQ188" s="1"/>
      <c r="IFR188" s="1"/>
      <c r="IFS188" s="1"/>
      <c r="IFT188" s="1"/>
      <c r="IFU188" s="1"/>
      <c r="IFV188" s="1"/>
      <c r="IFW188" s="1"/>
      <c r="IFX188" s="1"/>
      <c r="IFY188" s="1"/>
      <c r="IFZ188" s="1"/>
      <c r="IGA188" s="1"/>
      <c r="IGB188" s="1"/>
      <c r="IGC188" s="1"/>
      <c r="IGD188" s="1"/>
      <c r="IGE188" s="1"/>
      <c r="IGF188" s="1"/>
      <c r="IGG188" s="1"/>
      <c r="IGH188" s="1"/>
      <c r="IGI188" s="1"/>
      <c r="IGJ188" s="1"/>
      <c r="IGK188" s="1"/>
      <c r="IGL188" s="1"/>
      <c r="IGM188" s="1"/>
      <c r="IGN188" s="1"/>
      <c r="IGO188" s="1"/>
      <c r="IGP188" s="1"/>
      <c r="IGQ188" s="1"/>
      <c r="IGR188" s="1"/>
      <c r="IGS188" s="1"/>
      <c r="IGT188" s="1"/>
      <c r="IGU188" s="1"/>
      <c r="IGV188" s="1"/>
      <c r="IGW188" s="1"/>
      <c r="IGX188" s="1"/>
      <c r="IGY188" s="1"/>
      <c r="IGZ188" s="1"/>
      <c r="IHA188" s="1"/>
      <c r="IHB188" s="1"/>
      <c r="IHC188" s="1"/>
      <c r="IHD188" s="1"/>
      <c r="IHE188" s="1"/>
      <c r="IHF188" s="1"/>
      <c r="IHG188" s="1"/>
      <c r="IHH188" s="1"/>
      <c r="IHI188" s="1"/>
      <c r="IHJ188" s="1"/>
      <c r="IHK188" s="1"/>
      <c r="IHL188" s="1"/>
      <c r="IHM188" s="1"/>
      <c r="IHN188" s="1"/>
      <c r="IHO188" s="1"/>
      <c r="IHP188" s="1"/>
      <c r="IHQ188" s="1"/>
      <c r="IHR188" s="1"/>
      <c r="IHS188" s="1"/>
      <c r="IHT188" s="1"/>
      <c r="IHU188" s="1"/>
      <c r="IHV188" s="1"/>
      <c r="IHW188" s="1"/>
      <c r="IHX188" s="1"/>
      <c r="IHY188" s="1"/>
      <c r="IHZ188" s="1"/>
      <c r="IIA188" s="1"/>
      <c r="IIB188" s="1"/>
      <c r="IIC188" s="1"/>
      <c r="IID188" s="1"/>
      <c r="IIE188" s="1"/>
      <c r="IIF188" s="1"/>
      <c r="IIG188" s="1"/>
      <c r="IIH188" s="1"/>
      <c r="III188" s="1"/>
      <c r="IIJ188" s="1"/>
      <c r="IIK188" s="1"/>
      <c r="IIL188" s="1"/>
      <c r="IIM188" s="1"/>
      <c r="IIN188" s="1"/>
      <c r="IIO188" s="1"/>
      <c r="IIP188" s="1"/>
      <c r="IIQ188" s="1"/>
      <c r="IIR188" s="1"/>
      <c r="IIS188" s="1"/>
      <c r="IIT188" s="1"/>
      <c r="IIU188" s="1"/>
      <c r="IIV188" s="1"/>
      <c r="IIW188" s="1"/>
      <c r="IIX188" s="1"/>
      <c r="IIY188" s="1"/>
      <c r="IIZ188" s="1"/>
      <c r="IJA188" s="1"/>
      <c r="IJB188" s="1"/>
      <c r="IJC188" s="1"/>
      <c r="IJD188" s="1"/>
      <c r="IJE188" s="1"/>
      <c r="IJF188" s="1"/>
      <c r="IJG188" s="1"/>
      <c r="IJH188" s="1"/>
      <c r="IJI188" s="1"/>
      <c r="IJJ188" s="1"/>
      <c r="IJK188" s="1"/>
      <c r="IJL188" s="1"/>
      <c r="IJM188" s="1"/>
      <c r="IJN188" s="1"/>
      <c r="IJO188" s="1"/>
      <c r="IJP188" s="1"/>
      <c r="IJQ188" s="1"/>
      <c r="IJR188" s="1"/>
      <c r="IJS188" s="1"/>
      <c r="IJT188" s="1"/>
      <c r="IJU188" s="1"/>
      <c r="IJV188" s="1"/>
      <c r="IJW188" s="1"/>
      <c r="IJX188" s="1"/>
      <c r="IJY188" s="1"/>
      <c r="IJZ188" s="1"/>
      <c r="IKA188" s="1"/>
      <c r="IKB188" s="1"/>
      <c r="IKC188" s="1"/>
      <c r="IKD188" s="1"/>
      <c r="IKE188" s="1"/>
      <c r="IKF188" s="1"/>
      <c r="IKG188" s="1"/>
      <c r="IKH188" s="1"/>
      <c r="IKI188" s="1"/>
      <c r="IKJ188" s="1"/>
      <c r="IKK188" s="1"/>
      <c r="IKL188" s="1"/>
      <c r="IKM188" s="1"/>
      <c r="IKN188" s="1"/>
      <c r="IKO188" s="1"/>
      <c r="IKP188" s="1"/>
      <c r="IKQ188" s="1"/>
      <c r="IKR188" s="1"/>
      <c r="IKS188" s="1"/>
      <c r="IKT188" s="1"/>
      <c r="IKU188" s="1"/>
      <c r="IKV188" s="1"/>
      <c r="IKW188" s="1"/>
      <c r="IKX188" s="1"/>
      <c r="IKY188" s="1"/>
      <c r="IKZ188" s="1"/>
      <c r="ILA188" s="1"/>
      <c r="ILB188" s="1"/>
      <c r="ILC188" s="1"/>
      <c r="ILD188" s="1"/>
      <c r="ILE188" s="1"/>
      <c r="ILF188" s="1"/>
      <c r="ILG188" s="1"/>
      <c r="ILH188" s="1"/>
      <c r="ILI188" s="1"/>
      <c r="ILJ188" s="1"/>
      <c r="ILK188" s="1"/>
      <c r="ILL188" s="1"/>
      <c r="ILM188" s="1"/>
      <c r="ILN188" s="1"/>
      <c r="ILO188" s="1"/>
      <c r="ILP188" s="1"/>
      <c r="ILQ188" s="1"/>
      <c r="ILR188" s="1"/>
      <c r="ILS188" s="1"/>
      <c r="ILT188" s="1"/>
      <c r="ILU188" s="1"/>
      <c r="ILV188" s="1"/>
      <c r="ILW188" s="1"/>
      <c r="ILX188" s="1"/>
      <c r="ILY188" s="1"/>
      <c r="ILZ188" s="1"/>
      <c r="IMA188" s="1"/>
      <c r="IMB188" s="1"/>
      <c r="IMC188" s="1"/>
      <c r="IMD188" s="1"/>
      <c r="IME188" s="1"/>
      <c r="IMF188" s="1"/>
      <c r="IMG188" s="1"/>
      <c r="IMH188" s="1"/>
      <c r="IMI188" s="1"/>
      <c r="IMJ188" s="1"/>
      <c r="IMK188" s="1"/>
      <c r="IML188" s="1"/>
      <c r="IMM188" s="1"/>
      <c r="IMN188" s="1"/>
      <c r="IMO188" s="1"/>
      <c r="IMP188" s="1"/>
      <c r="IMQ188" s="1"/>
      <c r="IMR188" s="1"/>
      <c r="IMS188" s="1"/>
      <c r="IMT188" s="1"/>
      <c r="IMU188" s="1"/>
      <c r="IMV188" s="1"/>
      <c r="IMW188" s="1"/>
      <c r="IMX188" s="1"/>
      <c r="IMY188" s="1"/>
      <c r="IMZ188" s="1"/>
      <c r="INA188" s="1"/>
      <c r="INB188" s="1"/>
      <c r="INC188" s="1"/>
      <c r="IND188" s="1"/>
      <c r="INE188" s="1"/>
      <c r="INF188" s="1"/>
      <c r="ING188" s="1"/>
      <c r="INH188" s="1"/>
      <c r="INI188" s="1"/>
      <c r="INJ188" s="1"/>
      <c r="INK188" s="1"/>
      <c r="INL188" s="1"/>
      <c r="INM188" s="1"/>
      <c r="INN188" s="1"/>
      <c r="INO188" s="1"/>
      <c r="INP188" s="1"/>
      <c r="INQ188" s="1"/>
      <c r="INR188" s="1"/>
      <c r="INS188" s="1"/>
      <c r="INT188" s="1"/>
      <c r="INU188" s="1"/>
      <c r="INV188" s="1"/>
      <c r="INW188" s="1"/>
      <c r="INX188" s="1"/>
      <c r="INY188" s="1"/>
      <c r="INZ188" s="1"/>
      <c r="IOA188" s="1"/>
      <c r="IOB188" s="1"/>
      <c r="IOC188" s="1"/>
      <c r="IOD188" s="1"/>
      <c r="IOE188" s="1"/>
      <c r="IOF188" s="1"/>
      <c r="IOG188" s="1"/>
      <c r="IOH188" s="1"/>
      <c r="IOI188" s="1"/>
      <c r="IOJ188" s="1"/>
      <c r="IOK188" s="1"/>
      <c r="IOL188" s="1"/>
      <c r="IOM188" s="1"/>
      <c r="ION188" s="1"/>
      <c r="IOO188" s="1"/>
      <c r="IOP188" s="1"/>
      <c r="IOQ188" s="1"/>
      <c r="IOR188" s="1"/>
      <c r="IOS188" s="1"/>
      <c r="IOT188" s="1"/>
      <c r="IOU188" s="1"/>
      <c r="IOV188" s="1"/>
      <c r="IOW188" s="1"/>
      <c r="IOX188" s="1"/>
      <c r="IOY188" s="1"/>
      <c r="IOZ188" s="1"/>
      <c r="IPA188" s="1"/>
      <c r="IPB188" s="1"/>
      <c r="IPC188" s="1"/>
      <c r="IPD188" s="1"/>
      <c r="IPE188" s="1"/>
      <c r="IPF188" s="1"/>
      <c r="IPG188" s="1"/>
      <c r="IPH188" s="1"/>
      <c r="IPI188" s="1"/>
      <c r="IPJ188" s="1"/>
      <c r="IPK188" s="1"/>
      <c r="IPL188" s="1"/>
      <c r="IPM188" s="1"/>
      <c r="IPN188" s="1"/>
      <c r="IPO188" s="1"/>
      <c r="IPP188" s="1"/>
      <c r="IPQ188" s="1"/>
      <c r="IPR188" s="1"/>
      <c r="IPS188" s="1"/>
      <c r="IPT188" s="1"/>
      <c r="IPU188" s="1"/>
      <c r="IPV188" s="1"/>
      <c r="IPW188" s="1"/>
      <c r="IPX188" s="1"/>
      <c r="IPY188" s="1"/>
      <c r="IPZ188" s="1"/>
      <c r="IQA188" s="1"/>
      <c r="IQB188" s="1"/>
      <c r="IQC188" s="1"/>
      <c r="IQD188" s="1"/>
      <c r="IQE188" s="1"/>
      <c r="IQF188" s="1"/>
      <c r="IQG188" s="1"/>
      <c r="IQH188" s="1"/>
      <c r="IQI188" s="1"/>
      <c r="IQJ188" s="1"/>
      <c r="IQK188" s="1"/>
      <c r="IQL188" s="1"/>
      <c r="IQM188" s="1"/>
      <c r="IQN188" s="1"/>
      <c r="IQO188" s="1"/>
      <c r="IQP188" s="1"/>
      <c r="IQQ188" s="1"/>
      <c r="IQR188" s="1"/>
      <c r="IQS188" s="1"/>
      <c r="IQT188" s="1"/>
      <c r="IQU188" s="1"/>
      <c r="IQV188" s="1"/>
      <c r="IQW188" s="1"/>
      <c r="IQX188" s="1"/>
      <c r="IQY188" s="1"/>
      <c r="IQZ188" s="1"/>
      <c r="IRA188" s="1"/>
      <c r="IRB188" s="1"/>
      <c r="IRC188" s="1"/>
      <c r="IRD188" s="1"/>
      <c r="IRE188" s="1"/>
      <c r="IRF188" s="1"/>
      <c r="IRG188" s="1"/>
      <c r="IRH188" s="1"/>
      <c r="IRI188" s="1"/>
      <c r="IRJ188" s="1"/>
      <c r="IRK188" s="1"/>
      <c r="IRL188" s="1"/>
      <c r="IRM188" s="1"/>
      <c r="IRN188" s="1"/>
      <c r="IRO188" s="1"/>
      <c r="IRP188" s="1"/>
      <c r="IRQ188" s="1"/>
      <c r="IRR188" s="1"/>
      <c r="IRS188" s="1"/>
      <c r="IRT188" s="1"/>
      <c r="IRU188" s="1"/>
      <c r="IRV188" s="1"/>
      <c r="IRW188" s="1"/>
      <c r="IRX188" s="1"/>
      <c r="IRY188" s="1"/>
      <c r="IRZ188" s="1"/>
      <c r="ISA188" s="1"/>
      <c r="ISB188" s="1"/>
      <c r="ISC188" s="1"/>
      <c r="ISD188" s="1"/>
      <c r="ISE188" s="1"/>
      <c r="ISF188" s="1"/>
      <c r="ISG188" s="1"/>
      <c r="ISH188" s="1"/>
      <c r="ISI188" s="1"/>
      <c r="ISJ188" s="1"/>
      <c r="ISK188" s="1"/>
      <c r="ISL188" s="1"/>
      <c r="ISM188" s="1"/>
      <c r="ISN188" s="1"/>
      <c r="ISO188" s="1"/>
      <c r="ISP188" s="1"/>
      <c r="ISQ188" s="1"/>
      <c r="ISR188" s="1"/>
      <c r="ISS188" s="1"/>
      <c r="IST188" s="1"/>
      <c r="ISU188" s="1"/>
      <c r="ISV188" s="1"/>
      <c r="ISW188" s="1"/>
      <c r="ISX188" s="1"/>
      <c r="ISY188" s="1"/>
      <c r="ISZ188" s="1"/>
      <c r="ITA188" s="1"/>
      <c r="ITB188" s="1"/>
      <c r="ITC188" s="1"/>
      <c r="ITD188" s="1"/>
      <c r="ITE188" s="1"/>
      <c r="ITF188" s="1"/>
      <c r="ITG188" s="1"/>
      <c r="ITH188" s="1"/>
      <c r="ITI188" s="1"/>
      <c r="ITJ188" s="1"/>
      <c r="ITK188" s="1"/>
      <c r="ITL188" s="1"/>
      <c r="ITM188" s="1"/>
      <c r="ITN188" s="1"/>
      <c r="ITO188" s="1"/>
      <c r="ITP188" s="1"/>
      <c r="ITQ188" s="1"/>
      <c r="ITR188" s="1"/>
      <c r="ITS188" s="1"/>
      <c r="ITT188" s="1"/>
      <c r="ITU188" s="1"/>
      <c r="ITV188" s="1"/>
      <c r="ITW188" s="1"/>
      <c r="ITX188" s="1"/>
      <c r="ITY188" s="1"/>
      <c r="ITZ188" s="1"/>
      <c r="IUA188" s="1"/>
      <c r="IUB188" s="1"/>
      <c r="IUC188" s="1"/>
      <c r="IUD188" s="1"/>
      <c r="IUE188" s="1"/>
      <c r="IUF188" s="1"/>
      <c r="IUG188" s="1"/>
      <c r="IUH188" s="1"/>
      <c r="IUI188" s="1"/>
      <c r="IUJ188" s="1"/>
      <c r="IUK188" s="1"/>
      <c r="IUL188" s="1"/>
      <c r="IUM188" s="1"/>
      <c r="IUN188" s="1"/>
      <c r="IUO188" s="1"/>
      <c r="IUP188" s="1"/>
      <c r="IUQ188" s="1"/>
      <c r="IUR188" s="1"/>
      <c r="IUS188" s="1"/>
      <c r="IUT188" s="1"/>
      <c r="IUU188" s="1"/>
      <c r="IUV188" s="1"/>
      <c r="IUW188" s="1"/>
      <c r="IUX188" s="1"/>
      <c r="IUY188" s="1"/>
      <c r="IUZ188" s="1"/>
      <c r="IVA188" s="1"/>
      <c r="IVB188" s="1"/>
      <c r="IVC188" s="1"/>
      <c r="IVD188" s="1"/>
      <c r="IVE188" s="1"/>
      <c r="IVF188" s="1"/>
      <c r="IVG188" s="1"/>
      <c r="IVH188" s="1"/>
      <c r="IVI188" s="1"/>
      <c r="IVJ188" s="1"/>
      <c r="IVK188" s="1"/>
      <c r="IVL188" s="1"/>
      <c r="IVM188" s="1"/>
      <c r="IVN188" s="1"/>
      <c r="IVO188" s="1"/>
      <c r="IVP188" s="1"/>
      <c r="IVQ188" s="1"/>
      <c r="IVR188" s="1"/>
      <c r="IVS188" s="1"/>
      <c r="IVT188" s="1"/>
      <c r="IVU188" s="1"/>
      <c r="IVV188" s="1"/>
      <c r="IVW188" s="1"/>
      <c r="IVX188" s="1"/>
      <c r="IVY188" s="1"/>
      <c r="IVZ188" s="1"/>
      <c r="IWA188" s="1"/>
      <c r="IWB188" s="1"/>
      <c r="IWC188" s="1"/>
      <c r="IWD188" s="1"/>
      <c r="IWE188" s="1"/>
      <c r="IWF188" s="1"/>
      <c r="IWG188" s="1"/>
      <c r="IWH188" s="1"/>
      <c r="IWI188" s="1"/>
      <c r="IWJ188" s="1"/>
      <c r="IWK188" s="1"/>
      <c r="IWL188" s="1"/>
      <c r="IWM188" s="1"/>
      <c r="IWN188" s="1"/>
      <c r="IWO188" s="1"/>
      <c r="IWP188" s="1"/>
      <c r="IWQ188" s="1"/>
      <c r="IWR188" s="1"/>
      <c r="IWS188" s="1"/>
      <c r="IWT188" s="1"/>
      <c r="IWU188" s="1"/>
      <c r="IWV188" s="1"/>
      <c r="IWW188" s="1"/>
      <c r="IWX188" s="1"/>
      <c r="IWY188" s="1"/>
      <c r="IWZ188" s="1"/>
      <c r="IXA188" s="1"/>
      <c r="IXB188" s="1"/>
      <c r="IXC188" s="1"/>
      <c r="IXD188" s="1"/>
      <c r="IXE188" s="1"/>
      <c r="IXF188" s="1"/>
      <c r="IXG188" s="1"/>
      <c r="IXH188" s="1"/>
      <c r="IXI188" s="1"/>
      <c r="IXJ188" s="1"/>
      <c r="IXK188" s="1"/>
      <c r="IXL188" s="1"/>
      <c r="IXM188" s="1"/>
      <c r="IXN188" s="1"/>
      <c r="IXO188" s="1"/>
      <c r="IXP188" s="1"/>
      <c r="IXQ188" s="1"/>
      <c r="IXR188" s="1"/>
      <c r="IXS188" s="1"/>
      <c r="IXT188" s="1"/>
      <c r="IXU188" s="1"/>
      <c r="IXV188" s="1"/>
      <c r="IXW188" s="1"/>
      <c r="IXX188" s="1"/>
      <c r="IXY188" s="1"/>
      <c r="IXZ188" s="1"/>
      <c r="IYA188" s="1"/>
      <c r="IYB188" s="1"/>
      <c r="IYC188" s="1"/>
      <c r="IYD188" s="1"/>
      <c r="IYE188" s="1"/>
      <c r="IYF188" s="1"/>
      <c r="IYG188" s="1"/>
      <c r="IYH188" s="1"/>
      <c r="IYI188" s="1"/>
      <c r="IYJ188" s="1"/>
      <c r="IYK188" s="1"/>
      <c r="IYL188" s="1"/>
      <c r="IYM188" s="1"/>
      <c r="IYN188" s="1"/>
      <c r="IYO188" s="1"/>
      <c r="IYP188" s="1"/>
      <c r="IYQ188" s="1"/>
      <c r="IYR188" s="1"/>
      <c r="IYS188" s="1"/>
      <c r="IYT188" s="1"/>
      <c r="IYU188" s="1"/>
      <c r="IYV188" s="1"/>
      <c r="IYW188" s="1"/>
      <c r="IYX188" s="1"/>
      <c r="IYY188" s="1"/>
      <c r="IYZ188" s="1"/>
      <c r="IZA188" s="1"/>
      <c r="IZB188" s="1"/>
      <c r="IZC188" s="1"/>
      <c r="IZD188" s="1"/>
      <c r="IZE188" s="1"/>
      <c r="IZF188" s="1"/>
      <c r="IZG188" s="1"/>
      <c r="IZH188" s="1"/>
      <c r="IZI188" s="1"/>
      <c r="IZJ188" s="1"/>
      <c r="IZK188" s="1"/>
      <c r="IZL188" s="1"/>
      <c r="IZM188" s="1"/>
      <c r="IZN188" s="1"/>
      <c r="IZO188" s="1"/>
      <c r="IZP188" s="1"/>
      <c r="IZQ188" s="1"/>
      <c r="IZR188" s="1"/>
      <c r="IZS188" s="1"/>
      <c r="IZT188" s="1"/>
      <c r="IZU188" s="1"/>
      <c r="IZV188" s="1"/>
      <c r="IZW188" s="1"/>
      <c r="IZX188" s="1"/>
      <c r="IZY188" s="1"/>
      <c r="IZZ188" s="1"/>
      <c r="JAA188" s="1"/>
      <c r="JAB188" s="1"/>
      <c r="JAC188" s="1"/>
      <c r="JAD188" s="1"/>
      <c r="JAE188" s="1"/>
      <c r="JAF188" s="1"/>
      <c r="JAG188" s="1"/>
      <c r="JAH188" s="1"/>
      <c r="JAI188" s="1"/>
      <c r="JAJ188" s="1"/>
      <c r="JAK188" s="1"/>
      <c r="JAL188" s="1"/>
      <c r="JAM188" s="1"/>
      <c r="JAN188" s="1"/>
      <c r="JAO188" s="1"/>
      <c r="JAP188" s="1"/>
      <c r="JAQ188" s="1"/>
      <c r="JAR188" s="1"/>
      <c r="JAS188" s="1"/>
      <c r="JAT188" s="1"/>
      <c r="JAU188" s="1"/>
      <c r="JAV188" s="1"/>
      <c r="JAW188" s="1"/>
      <c r="JAX188" s="1"/>
      <c r="JAY188" s="1"/>
      <c r="JAZ188" s="1"/>
      <c r="JBA188" s="1"/>
      <c r="JBB188" s="1"/>
      <c r="JBC188" s="1"/>
      <c r="JBD188" s="1"/>
      <c r="JBE188" s="1"/>
      <c r="JBF188" s="1"/>
      <c r="JBG188" s="1"/>
      <c r="JBH188" s="1"/>
      <c r="JBI188" s="1"/>
      <c r="JBJ188" s="1"/>
      <c r="JBK188" s="1"/>
      <c r="JBL188" s="1"/>
      <c r="JBM188" s="1"/>
      <c r="JBN188" s="1"/>
      <c r="JBO188" s="1"/>
      <c r="JBP188" s="1"/>
      <c r="JBQ188" s="1"/>
      <c r="JBR188" s="1"/>
      <c r="JBS188" s="1"/>
      <c r="JBT188" s="1"/>
      <c r="JBU188" s="1"/>
      <c r="JBV188" s="1"/>
      <c r="JBW188" s="1"/>
      <c r="JBX188" s="1"/>
      <c r="JBY188" s="1"/>
      <c r="JBZ188" s="1"/>
      <c r="JCA188" s="1"/>
      <c r="JCB188" s="1"/>
      <c r="JCC188" s="1"/>
      <c r="JCD188" s="1"/>
      <c r="JCE188" s="1"/>
      <c r="JCF188" s="1"/>
      <c r="JCG188" s="1"/>
      <c r="JCH188" s="1"/>
      <c r="JCI188" s="1"/>
      <c r="JCJ188" s="1"/>
      <c r="JCK188" s="1"/>
      <c r="JCL188" s="1"/>
      <c r="JCM188" s="1"/>
      <c r="JCN188" s="1"/>
      <c r="JCO188" s="1"/>
      <c r="JCP188" s="1"/>
      <c r="JCQ188" s="1"/>
      <c r="JCR188" s="1"/>
      <c r="JCS188" s="1"/>
      <c r="JCT188" s="1"/>
      <c r="JCU188" s="1"/>
      <c r="JCV188" s="1"/>
      <c r="JCW188" s="1"/>
      <c r="JCX188" s="1"/>
      <c r="JCY188" s="1"/>
      <c r="JCZ188" s="1"/>
      <c r="JDA188" s="1"/>
      <c r="JDB188" s="1"/>
      <c r="JDC188" s="1"/>
      <c r="JDD188" s="1"/>
      <c r="JDE188" s="1"/>
      <c r="JDF188" s="1"/>
      <c r="JDG188" s="1"/>
      <c r="JDH188" s="1"/>
      <c r="JDI188" s="1"/>
      <c r="JDJ188" s="1"/>
      <c r="JDK188" s="1"/>
      <c r="JDL188" s="1"/>
      <c r="JDM188" s="1"/>
      <c r="JDN188" s="1"/>
      <c r="JDO188" s="1"/>
      <c r="JDP188" s="1"/>
      <c r="JDQ188" s="1"/>
      <c r="JDR188" s="1"/>
      <c r="JDS188" s="1"/>
      <c r="JDT188" s="1"/>
      <c r="JDU188" s="1"/>
      <c r="JDV188" s="1"/>
      <c r="JDW188" s="1"/>
      <c r="JDX188" s="1"/>
      <c r="JDY188" s="1"/>
      <c r="JDZ188" s="1"/>
      <c r="JEA188" s="1"/>
      <c r="JEB188" s="1"/>
      <c r="JEC188" s="1"/>
      <c r="JED188" s="1"/>
      <c r="JEE188" s="1"/>
      <c r="JEF188" s="1"/>
      <c r="JEG188" s="1"/>
      <c r="JEH188" s="1"/>
      <c r="JEI188" s="1"/>
      <c r="JEJ188" s="1"/>
      <c r="JEK188" s="1"/>
      <c r="JEL188" s="1"/>
      <c r="JEM188" s="1"/>
      <c r="JEN188" s="1"/>
      <c r="JEO188" s="1"/>
      <c r="JEP188" s="1"/>
      <c r="JEQ188" s="1"/>
      <c r="JER188" s="1"/>
      <c r="JES188" s="1"/>
      <c r="JET188" s="1"/>
      <c r="JEU188" s="1"/>
      <c r="JEV188" s="1"/>
      <c r="JEW188" s="1"/>
      <c r="JEX188" s="1"/>
      <c r="JEY188" s="1"/>
      <c r="JEZ188" s="1"/>
      <c r="JFA188" s="1"/>
      <c r="JFB188" s="1"/>
      <c r="JFC188" s="1"/>
      <c r="JFD188" s="1"/>
      <c r="JFE188" s="1"/>
      <c r="JFF188" s="1"/>
      <c r="JFG188" s="1"/>
      <c r="JFH188" s="1"/>
      <c r="JFI188" s="1"/>
      <c r="JFJ188" s="1"/>
      <c r="JFK188" s="1"/>
      <c r="JFL188" s="1"/>
      <c r="JFM188" s="1"/>
      <c r="JFN188" s="1"/>
      <c r="JFO188" s="1"/>
      <c r="JFP188" s="1"/>
      <c r="JFQ188" s="1"/>
      <c r="JFR188" s="1"/>
      <c r="JFS188" s="1"/>
      <c r="JFT188" s="1"/>
      <c r="JFU188" s="1"/>
      <c r="JFV188" s="1"/>
      <c r="JFW188" s="1"/>
      <c r="JFX188" s="1"/>
      <c r="JFY188" s="1"/>
      <c r="JFZ188" s="1"/>
      <c r="JGA188" s="1"/>
      <c r="JGB188" s="1"/>
      <c r="JGC188" s="1"/>
      <c r="JGD188" s="1"/>
      <c r="JGE188" s="1"/>
      <c r="JGF188" s="1"/>
      <c r="JGG188" s="1"/>
      <c r="JGH188" s="1"/>
      <c r="JGI188" s="1"/>
      <c r="JGJ188" s="1"/>
      <c r="JGK188" s="1"/>
      <c r="JGL188" s="1"/>
      <c r="JGM188" s="1"/>
      <c r="JGN188" s="1"/>
      <c r="JGO188" s="1"/>
      <c r="JGP188" s="1"/>
      <c r="JGQ188" s="1"/>
      <c r="JGR188" s="1"/>
      <c r="JGS188" s="1"/>
      <c r="JGT188" s="1"/>
      <c r="JGU188" s="1"/>
      <c r="JGV188" s="1"/>
      <c r="JGW188" s="1"/>
      <c r="JGX188" s="1"/>
      <c r="JGY188" s="1"/>
      <c r="JGZ188" s="1"/>
      <c r="JHA188" s="1"/>
      <c r="JHB188" s="1"/>
      <c r="JHC188" s="1"/>
      <c r="JHD188" s="1"/>
      <c r="JHE188" s="1"/>
      <c r="JHF188" s="1"/>
      <c r="JHG188" s="1"/>
      <c r="JHH188" s="1"/>
      <c r="JHI188" s="1"/>
      <c r="JHJ188" s="1"/>
      <c r="JHK188" s="1"/>
      <c r="JHL188" s="1"/>
      <c r="JHM188" s="1"/>
      <c r="JHN188" s="1"/>
      <c r="JHO188" s="1"/>
      <c r="JHP188" s="1"/>
      <c r="JHQ188" s="1"/>
      <c r="JHR188" s="1"/>
      <c r="JHS188" s="1"/>
      <c r="JHT188" s="1"/>
      <c r="JHU188" s="1"/>
      <c r="JHV188" s="1"/>
      <c r="JHW188" s="1"/>
      <c r="JHX188" s="1"/>
      <c r="JHY188" s="1"/>
      <c r="JHZ188" s="1"/>
      <c r="JIA188" s="1"/>
      <c r="JIB188" s="1"/>
      <c r="JIC188" s="1"/>
      <c r="JID188" s="1"/>
      <c r="JIE188" s="1"/>
      <c r="JIF188" s="1"/>
      <c r="JIG188" s="1"/>
      <c r="JIH188" s="1"/>
      <c r="JII188" s="1"/>
      <c r="JIJ188" s="1"/>
      <c r="JIK188" s="1"/>
      <c r="JIL188" s="1"/>
      <c r="JIM188" s="1"/>
      <c r="JIN188" s="1"/>
      <c r="JIO188" s="1"/>
      <c r="JIP188" s="1"/>
      <c r="JIQ188" s="1"/>
      <c r="JIR188" s="1"/>
      <c r="JIS188" s="1"/>
      <c r="JIT188" s="1"/>
      <c r="JIU188" s="1"/>
      <c r="JIV188" s="1"/>
      <c r="JIW188" s="1"/>
      <c r="JIX188" s="1"/>
      <c r="JIY188" s="1"/>
      <c r="JIZ188" s="1"/>
      <c r="JJA188" s="1"/>
      <c r="JJB188" s="1"/>
      <c r="JJC188" s="1"/>
      <c r="JJD188" s="1"/>
      <c r="JJE188" s="1"/>
      <c r="JJF188" s="1"/>
      <c r="JJG188" s="1"/>
      <c r="JJH188" s="1"/>
      <c r="JJI188" s="1"/>
      <c r="JJJ188" s="1"/>
      <c r="JJK188" s="1"/>
      <c r="JJL188" s="1"/>
      <c r="JJM188" s="1"/>
      <c r="JJN188" s="1"/>
      <c r="JJO188" s="1"/>
      <c r="JJP188" s="1"/>
      <c r="JJQ188" s="1"/>
      <c r="JJR188" s="1"/>
      <c r="JJS188" s="1"/>
      <c r="JJT188" s="1"/>
      <c r="JJU188" s="1"/>
      <c r="JJV188" s="1"/>
      <c r="JJW188" s="1"/>
      <c r="JJX188" s="1"/>
      <c r="JJY188" s="1"/>
      <c r="JJZ188" s="1"/>
      <c r="JKA188" s="1"/>
      <c r="JKB188" s="1"/>
      <c r="JKC188" s="1"/>
      <c r="JKD188" s="1"/>
      <c r="JKE188" s="1"/>
      <c r="JKF188" s="1"/>
      <c r="JKG188" s="1"/>
      <c r="JKH188" s="1"/>
      <c r="JKI188" s="1"/>
      <c r="JKJ188" s="1"/>
      <c r="JKK188" s="1"/>
      <c r="JKL188" s="1"/>
      <c r="JKM188" s="1"/>
      <c r="JKN188" s="1"/>
      <c r="JKO188" s="1"/>
      <c r="JKP188" s="1"/>
      <c r="JKQ188" s="1"/>
      <c r="JKR188" s="1"/>
      <c r="JKS188" s="1"/>
      <c r="JKT188" s="1"/>
      <c r="JKU188" s="1"/>
      <c r="JKV188" s="1"/>
      <c r="JKW188" s="1"/>
      <c r="JKX188" s="1"/>
      <c r="JKY188" s="1"/>
      <c r="JKZ188" s="1"/>
      <c r="JLA188" s="1"/>
      <c r="JLB188" s="1"/>
      <c r="JLC188" s="1"/>
      <c r="JLD188" s="1"/>
      <c r="JLE188" s="1"/>
      <c r="JLF188" s="1"/>
      <c r="JLG188" s="1"/>
      <c r="JLH188" s="1"/>
      <c r="JLI188" s="1"/>
      <c r="JLJ188" s="1"/>
      <c r="JLK188" s="1"/>
      <c r="JLL188" s="1"/>
      <c r="JLM188" s="1"/>
      <c r="JLN188" s="1"/>
      <c r="JLO188" s="1"/>
      <c r="JLP188" s="1"/>
      <c r="JLQ188" s="1"/>
      <c r="JLR188" s="1"/>
      <c r="JLS188" s="1"/>
      <c r="JLT188" s="1"/>
      <c r="JLU188" s="1"/>
      <c r="JLV188" s="1"/>
      <c r="JLW188" s="1"/>
      <c r="JLX188" s="1"/>
      <c r="JLY188" s="1"/>
      <c r="JLZ188" s="1"/>
      <c r="JMA188" s="1"/>
      <c r="JMB188" s="1"/>
      <c r="JMC188" s="1"/>
      <c r="JMD188" s="1"/>
      <c r="JME188" s="1"/>
      <c r="JMF188" s="1"/>
      <c r="JMG188" s="1"/>
      <c r="JMH188" s="1"/>
      <c r="JMI188" s="1"/>
      <c r="JMJ188" s="1"/>
      <c r="JMK188" s="1"/>
      <c r="JML188" s="1"/>
      <c r="JMM188" s="1"/>
      <c r="JMN188" s="1"/>
      <c r="JMO188" s="1"/>
      <c r="JMP188" s="1"/>
      <c r="JMQ188" s="1"/>
      <c r="JMR188" s="1"/>
      <c r="JMS188" s="1"/>
      <c r="JMT188" s="1"/>
      <c r="JMU188" s="1"/>
      <c r="JMV188" s="1"/>
      <c r="JMW188" s="1"/>
      <c r="JMX188" s="1"/>
      <c r="JMY188" s="1"/>
      <c r="JMZ188" s="1"/>
      <c r="JNA188" s="1"/>
      <c r="JNB188" s="1"/>
      <c r="JNC188" s="1"/>
      <c r="JND188" s="1"/>
      <c r="JNE188" s="1"/>
      <c r="JNF188" s="1"/>
      <c r="JNG188" s="1"/>
      <c r="JNH188" s="1"/>
      <c r="JNI188" s="1"/>
      <c r="JNJ188" s="1"/>
      <c r="JNK188" s="1"/>
      <c r="JNL188" s="1"/>
      <c r="JNM188" s="1"/>
      <c r="JNN188" s="1"/>
      <c r="JNO188" s="1"/>
      <c r="JNP188" s="1"/>
      <c r="JNQ188" s="1"/>
      <c r="JNR188" s="1"/>
      <c r="JNS188" s="1"/>
      <c r="JNT188" s="1"/>
      <c r="JNU188" s="1"/>
      <c r="JNV188" s="1"/>
      <c r="JNW188" s="1"/>
      <c r="JNX188" s="1"/>
      <c r="JNY188" s="1"/>
      <c r="JNZ188" s="1"/>
      <c r="JOA188" s="1"/>
      <c r="JOB188" s="1"/>
      <c r="JOC188" s="1"/>
      <c r="JOD188" s="1"/>
      <c r="JOE188" s="1"/>
      <c r="JOF188" s="1"/>
      <c r="JOG188" s="1"/>
      <c r="JOH188" s="1"/>
      <c r="JOI188" s="1"/>
      <c r="JOJ188" s="1"/>
      <c r="JOK188" s="1"/>
      <c r="JOL188" s="1"/>
      <c r="JOM188" s="1"/>
      <c r="JON188" s="1"/>
      <c r="JOO188" s="1"/>
      <c r="JOP188" s="1"/>
      <c r="JOQ188" s="1"/>
      <c r="JOR188" s="1"/>
      <c r="JOS188" s="1"/>
      <c r="JOT188" s="1"/>
      <c r="JOU188" s="1"/>
      <c r="JOV188" s="1"/>
      <c r="JOW188" s="1"/>
      <c r="JOX188" s="1"/>
      <c r="JOY188" s="1"/>
      <c r="JOZ188" s="1"/>
      <c r="JPA188" s="1"/>
      <c r="JPB188" s="1"/>
      <c r="JPC188" s="1"/>
      <c r="JPD188" s="1"/>
      <c r="JPE188" s="1"/>
      <c r="JPF188" s="1"/>
      <c r="JPG188" s="1"/>
      <c r="JPH188" s="1"/>
      <c r="JPI188" s="1"/>
      <c r="JPJ188" s="1"/>
      <c r="JPK188" s="1"/>
      <c r="JPL188" s="1"/>
      <c r="JPM188" s="1"/>
      <c r="JPN188" s="1"/>
      <c r="JPO188" s="1"/>
      <c r="JPP188" s="1"/>
      <c r="JPQ188" s="1"/>
      <c r="JPR188" s="1"/>
      <c r="JPS188" s="1"/>
      <c r="JPT188" s="1"/>
      <c r="JPU188" s="1"/>
      <c r="JPV188" s="1"/>
      <c r="JPW188" s="1"/>
      <c r="JPX188" s="1"/>
      <c r="JPY188" s="1"/>
      <c r="JPZ188" s="1"/>
      <c r="JQA188" s="1"/>
      <c r="JQB188" s="1"/>
      <c r="JQC188" s="1"/>
      <c r="JQD188" s="1"/>
      <c r="JQE188" s="1"/>
      <c r="JQF188" s="1"/>
      <c r="JQG188" s="1"/>
      <c r="JQH188" s="1"/>
      <c r="JQI188" s="1"/>
      <c r="JQJ188" s="1"/>
      <c r="JQK188" s="1"/>
      <c r="JQL188" s="1"/>
      <c r="JQM188" s="1"/>
      <c r="JQN188" s="1"/>
      <c r="JQO188" s="1"/>
      <c r="JQP188" s="1"/>
      <c r="JQQ188" s="1"/>
      <c r="JQR188" s="1"/>
      <c r="JQS188" s="1"/>
      <c r="JQT188" s="1"/>
      <c r="JQU188" s="1"/>
      <c r="JQV188" s="1"/>
      <c r="JQW188" s="1"/>
      <c r="JQX188" s="1"/>
      <c r="JQY188" s="1"/>
      <c r="JQZ188" s="1"/>
      <c r="JRA188" s="1"/>
      <c r="JRB188" s="1"/>
      <c r="JRC188" s="1"/>
      <c r="JRD188" s="1"/>
      <c r="JRE188" s="1"/>
      <c r="JRF188" s="1"/>
      <c r="JRG188" s="1"/>
      <c r="JRH188" s="1"/>
      <c r="JRI188" s="1"/>
      <c r="JRJ188" s="1"/>
      <c r="JRK188" s="1"/>
      <c r="JRL188" s="1"/>
      <c r="JRM188" s="1"/>
      <c r="JRN188" s="1"/>
      <c r="JRO188" s="1"/>
      <c r="JRP188" s="1"/>
      <c r="JRQ188" s="1"/>
      <c r="JRR188" s="1"/>
      <c r="JRS188" s="1"/>
      <c r="JRT188" s="1"/>
      <c r="JRU188" s="1"/>
      <c r="JRV188" s="1"/>
      <c r="JRW188" s="1"/>
      <c r="JRX188" s="1"/>
      <c r="JRY188" s="1"/>
      <c r="JRZ188" s="1"/>
      <c r="JSA188" s="1"/>
      <c r="JSB188" s="1"/>
      <c r="JSC188" s="1"/>
      <c r="JSD188" s="1"/>
      <c r="JSE188" s="1"/>
      <c r="JSF188" s="1"/>
      <c r="JSG188" s="1"/>
      <c r="JSH188" s="1"/>
      <c r="JSI188" s="1"/>
      <c r="JSJ188" s="1"/>
      <c r="JSK188" s="1"/>
      <c r="JSL188" s="1"/>
      <c r="JSM188" s="1"/>
      <c r="JSN188" s="1"/>
      <c r="JSO188" s="1"/>
      <c r="JSP188" s="1"/>
      <c r="JSQ188" s="1"/>
      <c r="JSR188" s="1"/>
      <c r="JSS188" s="1"/>
      <c r="JST188" s="1"/>
      <c r="JSU188" s="1"/>
      <c r="JSV188" s="1"/>
      <c r="JSW188" s="1"/>
      <c r="JSX188" s="1"/>
      <c r="JSY188" s="1"/>
      <c r="JSZ188" s="1"/>
      <c r="JTA188" s="1"/>
      <c r="JTB188" s="1"/>
      <c r="JTC188" s="1"/>
      <c r="JTD188" s="1"/>
      <c r="JTE188" s="1"/>
      <c r="JTF188" s="1"/>
      <c r="JTG188" s="1"/>
      <c r="JTH188" s="1"/>
      <c r="JTI188" s="1"/>
      <c r="JTJ188" s="1"/>
      <c r="JTK188" s="1"/>
      <c r="JTL188" s="1"/>
      <c r="JTM188" s="1"/>
      <c r="JTN188" s="1"/>
      <c r="JTO188" s="1"/>
      <c r="JTP188" s="1"/>
      <c r="JTQ188" s="1"/>
      <c r="JTR188" s="1"/>
      <c r="JTS188" s="1"/>
      <c r="JTT188" s="1"/>
      <c r="JTU188" s="1"/>
      <c r="JTV188" s="1"/>
      <c r="JTW188" s="1"/>
      <c r="JTX188" s="1"/>
      <c r="JTY188" s="1"/>
      <c r="JTZ188" s="1"/>
      <c r="JUA188" s="1"/>
      <c r="JUB188" s="1"/>
      <c r="JUC188" s="1"/>
      <c r="JUD188" s="1"/>
      <c r="JUE188" s="1"/>
      <c r="JUF188" s="1"/>
      <c r="JUG188" s="1"/>
      <c r="JUH188" s="1"/>
      <c r="JUI188" s="1"/>
      <c r="JUJ188" s="1"/>
      <c r="JUK188" s="1"/>
      <c r="JUL188" s="1"/>
      <c r="JUM188" s="1"/>
      <c r="JUN188" s="1"/>
      <c r="JUO188" s="1"/>
      <c r="JUP188" s="1"/>
      <c r="JUQ188" s="1"/>
      <c r="JUR188" s="1"/>
      <c r="JUS188" s="1"/>
      <c r="JUT188" s="1"/>
      <c r="JUU188" s="1"/>
      <c r="JUV188" s="1"/>
      <c r="JUW188" s="1"/>
      <c r="JUX188" s="1"/>
      <c r="JUY188" s="1"/>
      <c r="JUZ188" s="1"/>
      <c r="JVA188" s="1"/>
      <c r="JVB188" s="1"/>
      <c r="JVC188" s="1"/>
      <c r="JVD188" s="1"/>
      <c r="JVE188" s="1"/>
      <c r="JVF188" s="1"/>
      <c r="JVG188" s="1"/>
      <c r="JVH188" s="1"/>
      <c r="JVI188" s="1"/>
      <c r="JVJ188" s="1"/>
      <c r="JVK188" s="1"/>
      <c r="JVL188" s="1"/>
      <c r="JVM188" s="1"/>
      <c r="JVN188" s="1"/>
      <c r="JVO188" s="1"/>
      <c r="JVP188" s="1"/>
      <c r="JVQ188" s="1"/>
      <c r="JVR188" s="1"/>
      <c r="JVS188" s="1"/>
      <c r="JVT188" s="1"/>
      <c r="JVU188" s="1"/>
      <c r="JVV188" s="1"/>
      <c r="JVW188" s="1"/>
      <c r="JVX188" s="1"/>
      <c r="JVY188" s="1"/>
      <c r="JVZ188" s="1"/>
      <c r="JWA188" s="1"/>
      <c r="JWB188" s="1"/>
      <c r="JWC188" s="1"/>
      <c r="JWD188" s="1"/>
      <c r="JWE188" s="1"/>
      <c r="JWF188" s="1"/>
      <c r="JWG188" s="1"/>
      <c r="JWH188" s="1"/>
      <c r="JWI188" s="1"/>
      <c r="JWJ188" s="1"/>
      <c r="JWK188" s="1"/>
      <c r="JWL188" s="1"/>
      <c r="JWM188" s="1"/>
      <c r="JWN188" s="1"/>
      <c r="JWO188" s="1"/>
      <c r="JWP188" s="1"/>
      <c r="JWQ188" s="1"/>
      <c r="JWR188" s="1"/>
      <c r="JWS188" s="1"/>
      <c r="JWT188" s="1"/>
      <c r="JWU188" s="1"/>
      <c r="JWV188" s="1"/>
      <c r="JWW188" s="1"/>
      <c r="JWX188" s="1"/>
      <c r="JWY188" s="1"/>
      <c r="JWZ188" s="1"/>
      <c r="JXA188" s="1"/>
      <c r="JXB188" s="1"/>
      <c r="JXC188" s="1"/>
      <c r="JXD188" s="1"/>
      <c r="JXE188" s="1"/>
      <c r="JXF188" s="1"/>
      <c r="JXG188" s="1"/>
      <c r="JXH188" s="1"/>
      <c r="JXI188" s="1"/>
      <c r="JXJ188" s="1"/>
      <c r="JXK188" s="1"/>
      <c r="JXL188" s="1"/>
      <c r="JXM188" s="1"/>
      <c r="JXN188" s="1"/>
      <c r="JXO188" s="1"/>
      <c r="JXP188" s="1"/>
      <c r="JXQ188" s="1"/>
      <c r="JXR188" s="1"/>
      <c r="JXS188" s="1"/>
      <c r="JXT188" s="1"/>
      <c r="JXU188" s="1"/>
      <c r="JXV188" s="1"/>
      <c r="JXW188" s="1"/>
      <c r="JXX188" s="1"/>
      <c r="JXY188" s="1"/>
      <c r="JXZ188" s="1"/>
      <c r="JYA188" s="1"/>
      <c r="JYB188" s="1"/>
      <c r="JYC188" s="1"/>
      <c r="JYD188" s="1"/>
      <c r="JYE188" s="1"/>
      <c r="JYF188" s="1"/>
      <c r="JYG188" s="1"/>
      <c r="JYH188" s="1"/>
      <c r="JYI188" s="1"/>
      <c r="JYJ188" s="1"/>
      <c r="JYK188" s="1"/>
      <c r="JYL188" s="1"/>
      <c r="JYM188" s="1"/>
      <c r="JYN188" s="1"/>
      <c r="JYO188" s="1"/>
      <c r="JYP188" s="1"/>
      <c r="JYQ188" s="1"/>
      <c r="JYR188" s="1"/>
      <c r="JYS188" s="1"/>
      <c r="JYT188" s="1"/>
      <c r="JYU188" s="1"/>
      <c r="JYV188" s="1"/>
      <c r="JYW188" s="1"/>
      <c r="JYX188" s="1"/>
      <c r="JYY188" s="1"/>
      <c r="JYZ188" s="1"/>
      <c r="JZA188" s="1"/>
      <c r="JZB188" s="1"/>
      <c r="JZC188" s="1"/>
      <c r="JZD188" s="1"/>
      <c r="JZE188" s="1"/>
      <c r="JZF188" s="1"/>
      <c r="JZG188" s="1"/>
      <c r="JZH188" s="1"/>
      <c r="JZI188" s="1"/>
      <c r="JZJ188" s="1"/>
      <c r="JZK188" s="1"/>
      <c r="JZL188" s="1"/>
      <c r="JZM188" s="1"/>
      <c r="JZN188" s="1"/>
      <c r="JZO188" s="1"/>
      <c r="JZP188" s="1"/>
      <c r="JZQ188" s="1"/>
      <c r="JZR188" s="1"/>
      <c r="JZS188" s="1"/>
      <c r="JZT188" s="1"/>
      <c r="JZU188" s="1"/>
      <c r="JZV188" s="1"/>
      <c r="JZW188" s="1"/>
      <c r="JZX188" s="1"/>
      <c r="JZY188" s="1"/>
      <c r="JZZ188" s="1"/>
      <c r="KAA188" s="1"/>
      <c r="KAB188" s="1"/>
      <c r="KAC188" s="1"/>
      <c r="KAD188" s="1"/>
      <c r="KAE188" s="1"/>
      <c r="KAF188" s="1"/>
      <c r="KAG188" s="1"/>
      <c r="KAH188" s="1"/>
      <c r="KAI188" s="1"/>
      <c r="KAJ188" s="1"/>
      <c r="KAK188" s="1"/>
      <c r="KAL188" s="1"/>
      <c r="KAM188" s="1"/>
      <c r="KAN188" s="1"/>
      <c r="KAO188" s="1"/>
      <c r="KAP188" s="1"/>
      <c r="KAQ188" s="1"/>
      <c r="KAR188" s="1"/>
      <c r="KAS188" s="1"/>
      <c r="KAT188" s="1"/>
      <c r="KAU188" s="1"/>
      <c r="KAV188" s="1"/>
      <c r="KAW188" s="1"/>
      <c r="KAX188" s="1"/>
      <c r="KAY188" s="1"/>
      <c r="KAZ188" s="1"/>
      <c r="KBA188" s="1"/>
      <c r="KBB188" s="1"/>
      <c r="KBC188" s="1"/>
      <c r="KBD188" s="1"/>
      <c r="KBE188" s="1"/>
      <c r="KBF188" s="1"/>
      <c r="KBG188" s="1"/>
      <c r="KBH188" s="1"/>
      <c r="KBI188" s="1"/>
      <c r="KBJ188" s="1"/>
      <c r="KBK188" s="1"/>
      <c r="KBL188" s="1"/>
      <c r="KBM188" s="1"/>
      <c r="KBN188" s="1"/>
      <c r="KBO188" s="1"/>
      <c r="KBP188" s="1"/>
      <c r="KBQ188" s="1"/>
      <c r="KBR188" s="1"/>
      <c r="KBS188" s="1"/>
      <c r="KBT188" s="1"/>
      <c r="KBU188" s="1"/>
      <c r="KBV188" s="1"/>
      <c r="KBW188" s="1"/>
      <c r="KBX188" s="1"/>
      <c r="KBY188" s="1"/>
      <c r="KBZ188" s="1"/>
      <c r="KCA188" s="1"/>
      <c r="KCB188" s="1"/>
      <c r="KCC188" s="1"/>
      <c r="KCD188" s="1"/>
      <c r="KCE188" s="1"/>
      <c r="KCF188" s="1"/>
      <c r="KCG188" s="1"/>
      <c r="KCH188" s="1"/>
      <c r="KCI188" s="1"/>
      <c r="KCJ188" s="1"/>
      <c r="KCK188" s="1"/>
      <c r="KCL188" s="1"/>
      <c r="KCM188" s="1"/>
      <c r="KCN188" s="1"/>
      <c r="KCO188" s="1"/>
      <c r="KCP188" s="1"/>
      <c r="KCQ188" s="1"/>
      <c r="KCR188" s="1"/>
      <c r="KCS188" s="1"/>
      <c r="KCT188" s="1"/>
      <c r="KCU188" s="1"/>
      <c r="KCV188" s="1"/>
      <c r="KCW188" s="1"/>
      <c r="KCX188" s="1"/>
      <c r="KCY188" s="1"/>
      <c r="KCZ188" s="1"/>
      <c r="KDA188" s="1"/>
      <c r="KDB188" s="1"/>
      <c r="KDC188" s="1"/>
      <c r="KDD188" s="1"/>
      <c r="KDE188" s="1"/>
      <c r="KDF188" s="1"/>
      <c r="KDG188" s="1"/>
      <c r="KDH188" s="1"/>
      <c r="KDI188" s="1"/>
      <c r="KDJ188" s="1"/>
      <c r="KDK188" s="1"/>
      <c r="KDL188" s="1"/>
      <c r="KDM188" s="1"/>
      <c r="KDN188" s="1"/>
      <c r="KDO188" s="1"/>
      <c r="KDP188" s="1"/>
      <c r="KDQ188" s="1"/>
      <c r="KDR188" s="1"/>
      <c r="KDS188" s="1"/>
      <c r="KDT188" s="1"/>
      <c r="KDU188" s="1"/>
      <c r="KDV188" s="1"/>
      <c r="KDW188" s="1"/>
      <c r="KDX188" s="1"/>
      <c r="KDY188" s="1"/>
      <c r="KDZ188" s="1"/>
      <c r="KEA188" s="1"/>
      <c r="KEB188" s="1"/>
      <c r="KEC188" s="1"/>
      <c r="KED188" s="1"/>
      <c r="KEE188" s="1"/>
      <c r="KEF188" s="1"/>
      <c r="KEG188" s="1"/>
      <c r="KEH188" s="1"/>
      <c r="KEI188" s="1"/>
      <c r="KEJ188" s="1"/>
      <c r="KEK188" s="1"/>
      <c r="KEL188" s="1"/>
      <c r="KEM188" s="1"/>
      <c r="KEN188" s="1"/>
      <c r="KEO188" s="1"/>
      <c r="KEP188" s="1"/>
      <c r="KEQ188" s="1"/>
      <c r="KER188" s="1"/>
      <c r="KES188" s="1"/>
      <c r="KET188" s="1"/>
      <c r="KEU188" s="1"/>
      <c r="KEV188" s="1"/>
      <c r="KEW188" s="1"/>
      <c r="KEX188" s="1"/>
      <c r="KEY188" s="1"/>
      <c r="KEZ188" s="1"/>
      <c r="KFA188" s="1"/>
      <c r="KFB188" s="1"/>
      <c r="KFC188" s="1"/>
      <c r="KFD188" s="1"/>
      <c r="KFE188" s="1"/>
      <c r="KFF188" s="1"/>
      <c r="KFG188" s="1"/>
      <c r="KFH188" s="1"/>
      <c r="KFI188" s="1"/>
      <c r="KFJ188" s="1"/>
      <c r="KFK188" s="1"/>
      <c r="KFL188" s="1"/>
      <c r="KFM188" s="1"/>
      <c r="KFN188" s="1"/>
      <c r="KFO188" s="1"/>
      <c r="KFP188" s="1"/>
      <c r="KFQ188" s="1"/>
      <c r="KFR188" s="1"/>
      <c r="KFS188" s="1"/>
      <c r="KFT188" s="1"/>
      <c r="KFU188" s="1"/>
      <c r="KFV188" s="1"/>
      <c r="KFW188" s="1"/>
      <c r="KFX188" s="1"/>
      <c r="KFY188" s="1"/>
      <c r="KFZ188" s="1"/>
      <c r="KGA188" s="1"/>
      <c r="KGB188" s="1"/>
      <c r="KGC188" s="1"/>
      <c r="KGD188" s="1"/>
      <c r="KGE188" s="1"/>
      <c r="KGF188" s="1"/>
      <c r="KGG188" s="1"/>
      <c r="KGH188" s="1"/>
      <c r="KGI188" s="1"/>
      <c r="KGJ188" s="1"/>
      <c r="KGK188" s="1"/>
      <c r="KGL188" s="1"/>
      <c r="KGM188" s="1"/>
      <c r="KGN188" s="1"/>
      <c r="KGO188" s="1"/>
      <c r="KGP188" s="1"/>
      <c r="KGQ188" s="1"/>
      <c r="KGR188" s="1"/>
      <c r="KGS188" s="1"/>
      <c r="KGT188" s="1"/>
      <c r="KGU188" s="1"/>
      <c r="KGV188" s="1"/>
      <c r="KGW188" s="1"/>
      <c r="KGX188" s="1"/>
      <c r="KGY188" s="1"/>
      <c r="KGZ188" s="1"/>
      <c r="KHA188" s="1"/>
      <c r="KHB188" s="1"/>
      <c r="KHC188" s="1"/>
      <c r="KHD188" s="1"/>
      <c r="KHE188" s="1"/>
      <c r="KHF188" s="1"/>
      <c r="KHG188" s="1"/>
      <c r="KHH188" s="1"/>
      <c r="KHI188" s="1"/>
      <c r="KHJ188" s="1"/>
      <c r="KHK188" s="1"/>
      <c r="KHL188" s="1"/>
      <c r="KHM188" s="1"/>
      <c r="KHN188" s="1"/>
      <c r="KHO188" s="1"/>
      <c r="KHP188" s="1"/>
      <c r="KHQ188" s="1"/>
      <c r="KHR188" s="1"/>
      <c r="KHS188" s="1"/>
      <c r="KHT188" s="1"/>
      <c r="KHU188" s="1"/>
      <c r="KHV188" s="1"/>
      <c r="KHW188" s="1"/>
      <c r="KHX188" s="1"/>
      <c r="KHY188" s="1"/>
      <c r="KHZ188" s="1"/>
      <c r="KIA188" s="1"/>
      <c r="KIB188" s="1"/>
      <c r="KIC188" s="1"/>
      <c r="KID188" s="1"/>
      <c r="KIE188" s="1"/>
      <c r="KIF188" s="1"/>
      <c r="KIG188" s="1"/>
      <c r="KIH188" s="1"/>
      <c r="KII188" s="1"/>
      <c r="KIJ188" s="1"/>
      <c r="KIK188" s="1"/>
      <c r="KIL188" s="1"/>
      <c r="KIM188" s="1"/>
      <c r="KIN188" s="1"/>
      <c r="KIO188" s="1"/>
      <c r="KIP188" s="1"/>
      <c r="KIQ188" s="1"/>
      <c r="KIR188" s="1"/>
      <c r="KIS188" s="1"/>
      <c r="KIT188" s="1"/>
      <c r="KIU188" s="1"/>
      <c r="KIV188" s="1"/>
      <c r="KIW188" s="1"/>
      <c r="KIX188" s="1"/>
      <c r="KIY188" s="1"/>
      <c r="KIZ188" s="1"/>
      <c r="KJA188" s="1"/>
      <c r="KJB188" s="1"/>
      <c r="KJC188" s="1"/>
      <c r="KJD188" s="1"/>
      <c r="KJE188" s="1"/>
      <c r="KJF188" s="1"/>
      <c r="KJG188" s="1"/>
      <c r="KJH188" s="1"/>
      <c r="KJI188" s="1"/>
      <c r="KJJ188" s="1"/>
      <c r="KJK188" s="1"/>
      <c r="KJL188" s="1"/>
      <c r="KJM188" s="1"/>
      <c r="KJN188" s="1"/>
      <c r="KJO188" s="1"/>
      <c r="KJP188" s="1"/>
      <c r="KJQ188" s="1"/>
      <c r="KJR188" s="1"/>
      <c r="KJS188" s="1"/>
      <c r="KJT188" s="1"/>
      <c r="KJU188" s="1"/>
      <c r="KJV188" s="1"/>
      <c r="KJW188" s="1"/>
      <c r="KJX188" s="1"/>
      <c r="KJY188" s="1"/>
      <c r="KJZ188" s="1"/>
      <c r="KKA188" s="1"/>
      <c r="KKB188" s="1"/>
      <c r="KKC188" s="1"/>
      <c r="KKD188" s="1"/>
      <c r="KKE188" s="1"/>
      <c r="KKF188" s="1"/>
      <c r="KKG188" s="1"/>
      <c r="KKH188" s="1"/>
      <c r="KKI188" s="1"/>
      <c r="KKJ188" s="1"/>
      <c r="KKK188" s="1"/>
      <c r="KKL188" s="1"/>
      <c r="KKM188" s="1"/>
      <c r="KKN188" s="1"/>
      <c r="KKO188" s="1"/>
      <c r="KKP188" s="1"/>
      <c r="KKQ188" s="1"/>
      <c r="KKR188" s="1"/>
      <c r="KKS188" s="1"/>
      <c r="KKT188" s="1"/>
      <c r="KKU188" s="1"/>
      <c r="KKV188" s="1"/>
      <c r="KKW188" s="1"/>
      <c r="KKX188" s="1"/>
      <c r="KKY188" s="1"/>
      <c r="KKZ188" s="1"/>
      <c r="KLA188" s="1"/>
      <c r="KLB188" s="1"/>
      <c r="KLC188" s="1"/>
      <c r="KLD188" s="1"/>
      <c r="KLE188" s="1"/>
      <c r="KLF188" s="1"/>
      <c r="KLG188" s="1"/>
      <c r="KLH188" s="1"/>
      <c r="KLI188" s="1"/>
      <c r="KLJ188" s="1"/>
      <c r="KLK188" s="1"/>
      <c r="KLL188" s="1"/>
      <c r="KLM188" s="1"/>
      <c r="KLN188" s="1"/>
      <c r="KLO188" s="1"/>
      <c r="KLP188" s="1"/>
      <c r="KLQ188" s="1"/>
      <c r="KLR188" s="1"/>
      <c r="KLS188" s="1"/>
      <c r="KLT188" s="1"/>
      <c r="KLU188" s="1"/>
      <c r="KLV188" s="1"/>
      <c r="KLW188" s="1"/>
      <c r="KLX188" s="1"/>
      <c r="KLY188" s="1"/>
      <c r="KLZ188" s="1"/>
      <c r="KMA188" s="1"/>
      <c r="KMB188" s="1"/>
      <c r="KMC188" s="1"/>
      <c r="KMD188" s="1"/>
      <c r="KME188" s="1"/>
      <c r="KMF188" s="1"/>
      <c r="KMG188" s="1"/>
      <c r="KMH188" s="1"/>
      <c r="KMI188" s="1"/>
      <c r="KMJ188" s="1"/>
      <c r="KMK188" s="1"/>
      <c r="KML188" s="1"/>
      <c r="KMM188" s="1"/>
      <c r="KMN188" s="1"/>
      <c r="KMO188" s="1"/>
      <c r="KMP188" s="1"/>
      <c r="KMQ188" s="1"/>
      <c r="KMR188" s="1"/>
      <c r="KMS188" s="1"/>
      <c r="KMT188" s="1"/>
      <c r="KMU188" s="1"/>
      <c r="KMV188" s="1"/>
      <c r="KMW188" s="1"/>
      <c r="KMX188" s="1"/>
      <c r="KMY188" s="1"/>
      <c r="KMZ188" s="1"/>
      <c r="KNA188" s="1"/>
      <c r="KNB188" s="1"/>
      <c r="KNC188" s="1"/>
      <c r="KND188" s="1"/>
      <c r="KNE188" s="1"/>
      <c r="KNF188" s="1"/>
      <c r="KNG188" s="1"/>
      <c r="KNH188" s="1"/>
      <c r="KNI188" s="1"/>
      <c r="KNJ188" s="1"/>
      <c r="KNK188" s="1"/>
      <c r="KNL188" s="1"/>
      <c r="KNM188" s="1"/>
      <c r="KNN188" s="1"/>
      <c r="KNO188" s="1"/>
      <c r="KNP188" s="1"/>
      <c r="KNQ188" s="1"/>
      <c r="KNR188" s="1"/>
      <c r="KNS188" s="1"/>
      <c r="KNT188" s="1"/>
      <c r="KNU188" s="1"/>
      <c r="KNV188" s="1"/>
      <c r="KNW188" s="1"/>
      <c r="KNX188" s="1"/>
      <c r="KNY188" s="1"/>
      <c r="KNZ188" s="1"/>
      <c r="KOA188" s="1"/>
      <c r="KOB188" s="1"/>
      <c r="KOC188" s="1"/>
      <c r="KOD188" s="1"/>
      <c r="KOE188" s="1"/>
      <c r="KOF188" s="1"/>
      <c r="KOG188" s="1"/>
      <c r="KOH188" s="1"/>
      <c r="KOI188" s="1"/>
      <c r="KOJ188" s="1"/>
      <c r="KOK188" s="1"/>
      <c r="KOL188" s="1"/>
      <c r="KOM188" s="1"/>
      <c r="KON188" s="1"/>
      <c r="KOO188" s="1"/>
      <c r="KOP188" s="1"/>
      <c r="KOQ188" s="1"/>
      <c r="KOR188" s="1"/>
      <c r="KOS188" s="1"/>
      <c r="KOT188" s="1"/>
      <c r="KOU188" s="1"/>
      <c r="KOV188" s="1"/>
      <c r="KOW188" s="1"/>
      <c r="KOX188" s="1"/>
      <c r="KOY188" s="1"/>
      <c r="KOZ188" s="1"/>
      <c r="KPA188" s="1"/>
      <c r="KPB188" s="1"/>
      <c r="KPC188" s="1"/>
      <c r="KPD188" s="1"/>
      <c r="KPE188" s="1"/>
      <c r="KPF188" s="1"/>
      <c r="KPG188" s="1"/>
      <c r="KPH188" s="1"/>
      <c r="KPI188" s="1"/>
      <c r="KPJ188" s="1"/>
      <c r="KPK188" s="1"/>
      <c r="KPL188" s="1"/>
      <c r="KPM188" s="1"/>
      <c r="KPN188" s="1"/>
      <c r="KPO188" s="1"/>
      <c r="KPP188" s="1"/>
      <c r="KPQ188" s="1"/>
      <c r="KPR188" s="1"/>
      <c r="KPS188" s="1"/>
      <c r="KPT188" s="1"/>
      <c r="KPU188" s="1"/>
      <c r="KPV188" s="1"/>
      <c r="KPW188" s="1"/>
      <c r="KPX188" s="1"/>
      <c r="KPY188" s="1"/>
      <c r="KPZ188" s="1"/>
      <c r="KQA188" s="1"/>
      <c r="KQB188" s="1"/>
      <c r="KQC188" s="1"/>
      <c r="KQD188" s="1"/>
      <c r="KQE188" s="1"/>
      <c r="KQF188" s="1"/>
      <c r="KQG188" s="1"/>
      <c r="KQH188" s="1"/>
      <c r="KQI188" s="1"/>
      <c r="KQJ188" s="1"/>
      <c r="KQK188" s="1"/>
      <c r="KQL188" s="1"/>
      <c r="KQM188" s="1"/>
      <c r="KQN188" s="1"/>
      <c r="KQO188" s="1"/>
      <c r="KQP188" s="1"/>
      <c r="KQQ188" s="1"/>
      <c r="KQR188" s="1"/>
      <c r="KQS188" s="1"/>
      <c r="KQT188" s="1"/>
      <c r="KQU188" s="1"/>
      <c r="KQV188" s="1"/>
      <c r="KQW188" s="1"/>
      <c r="KQX188" s="1"/>
      <c r="KQY188" s="1"/>
      <c r="KQZ188" s="1"/>
      <c r="KRA188" s="1"/>
      <c r="KRB188" s="1"/>
      <c r="KRC188" s="1"/>
      <c r="KRD188" s="1"/>
      <c r="KRE188" s="1"/>
      <c r="KRF188" s="1"/>
      <c r="KRG188" s="1"/>
      <c r="KRH188" s="1"/>
      <c r="KRI188" s="1"/>
      <c r="KRJ188" s="1"/>
      <c r="KRK188" s="1"/>
      <c r="KRL188" s="1"/>
      <c r="KRM188" s="1"/>
      <c r="KRN188" s="1"/>
      <c r="KRO188" s="1"/>
      <c r="KRP188" s="1"/>
      <c r="KRQ188" s="1"/>
      <c r="KRR188" s="1"/>
      <c r="KRS188" s="1"/>
      <c r="KRT188" s="1"/>
      <c r="KRU188" s="1"/>
      <c r="KRV188" s="1"/>
      <c r="KRW188" s="1"/>
      <c r="KRX188" s="1"/>
      <c r="KRY188" s="1"/>
      <c r="KRZ188" s="1"/>
      <c r="KSA188" s="1"/>
      <c r="KSB188" s="1"/>
      <c r="KSC188" s="1"/>
      <c r="KSD188" s="1"/>
      <c r="KSE188" s="1"/>
      <c r="KSF188" s="1"/>
      <c r="KSG188" s="1"/>
      <c r="KSH188" s="1"/>
      <c r="KSI188" s="1"/>
      <c r="KSJ188" s="1"/>
      <c r="KSK188" s="1"/>
      <c r="KSL188" s="1"/>
      <c r="KSM188" s="1"/>
      <c r="KSN188" s="1"/>
      <c r="KSO188" s="1"/>
      <c r="KSP188" s="1"/>
      <c r="KSQ188" s="1"/>
      <c r="KSR188" s="1"/>
      <c r="KSS188" s="1"/>
      <c r="KST188" s="1"/>
      <c r="KSU188" s="1"/>
      <c r="KSV188" s="1"/>
      <c r="KSW188" s="1"/>
      <c r="KSX188" s="1"/>
      <c r="KSY188" s="1"/>
      <c r="KSZ188" s="1"/>
      <c r="KTA188" s="1"/>
      <c r="KTB188" s="1"/>
      <c r="KTC188" s="1"/>
      <c r="KTD188" s="1"/>
      <c r="KTE188" s="1"/>
      <c r="KTF188" s="1"/>
      <c r="KTG188" s="1"/>
      <c r="KTH188" s="1"/>
      <c r="KTI188" s="1"/>
      <c r="KTJ188" s="1"/>
      <c r="KTK188" s="1"/>
      <c r="KTL188" s="1"/>
      <c r="KTM188" s="1"/>
      <c r="KTN188" s="1"/>
      <c r="KTO188" s="1"/>
      <c r="KTP188" s="1"/>
      <c r="KTQ188" s="1"/>
      <c r="KTR188" s="1"/>
      <c r="KTS188" s="1"/>
      <c r="KTT188" s="1"/>
      <c r="KTU188" s="1"/>
      <c r="KTV188" s="1"/>
      <c r="KTW188" s="1"/>
      <c r="KTX188" s="1"/>
      <c r="KTY188" s="1"/>
      <c r="KTZ188" s="1"/>
      <c r="KUA188" s="1"/>
      <c r="KUB188" s="1"/>
      <c r="KUC188" s="1"/>
      <c r="KUD188" s="1"/>
      <c r="KUE188" s="1"/>
      <c r="KUF188" s="1"/>
      <c r="KUG188" s="1"/>
      <c r="KUH188" s="1"/>
      <c r="KUI188" s="1"/>
      <c r="KUJ188" s="1"/>
      <c r="KUK188" s="1"/>
      <c r="KUL188" s="1"/>
      <c r="KUM188" s="1"/>
      <c r="KUN188" s="1"/>
      <c r="KUO188" s="1"/>
      <c r="KUP188" s="1"/>
      <c r="KUQ188" s="1"/>
      <c r="KUR188" s="1"/>
      <c r="KUS188" s="1"/>
      <c r="KUT188" s="1"/>
      <c r="KUU188" s="1"/>
      <c r="KUV188" s="1"/>
      <c r="KUW188" s="1"/>
      <c r="KUX188" s="1"/>
      <c r="KUY188" s="1"/>
      <c r="KUZ188" s="1"/>
      <c r="KVA188" s="1"/>
      <c r="KVB188" s="1"/>
      <c r="KVC188" s="1"/>
      <c r="KVD188" s="1"/>
      <c r="KVE188" s="1"/>
      <c r="KVF188" s="1"/>
      <c r="KVG188" s="1"/>
      <c r="KVH188" s="1"/>
      <c r="KVI188" s="1"/>
      <c r="KVJ188" s="1"/>
      <c r="KVK188" s="1"/>
      <c r="KVL188" s="1"/>
      <c r="KVM188" s="1"/>
      <c r="KVN188" s="1"/>
      <c r="KVO188" s="1"/>
      <c r="KVP188" s="1"/>
      <c r="KVQ188" s="1"/>
      <c r="KVR188" s="1"/>
      <c r="KVS188" s="1"/>
      <c r="KVT188" s="1"/>
      <c r="KVU188" s="1"/>
      <c r="KVV188" s="1"/>
      <c r="KVW188" s="1"/>
      <c r="KVX188" s="1"/>
      <c r="KVY188" s="1"/>
      <c r="KVZ188" s="1"/>
      <c r="KWA188" s="1"/>
      <c r="KWB188" s="1"/>
      <c r="KWC188" s="1"/>
      <c r="KWD188" s="1"/>
      <c r="KWE188" s="1"/>
      <c r="KWF188" s="1"/>
      <c r="KWG188" s="1"/>
      <c r="KWH188" s="1"/>
      <c r="KWI188" s="1"/>
      <c r="KWJ188" s="1"/>
      <c r="KWK188" s="1"/>
      <c r="KWL188" s="1"/>
      <c r="KWM188" s="1"/>
      <c r="KWN188" s="1"/>
      <c r="KWO188" s="1"/>
      <c r="KWP188" s="1"/>
      <c r="KWQ188" s="1"/>
      <c r="KWR188" s="1"/>
      <c r="KWS188" s="1"/>
      <c r="KWT188" s="1"/>
      <c r="KWU188" s="1"/>
      <c r="KWV188" s="1"/>
      <c r="KWW188" s="1"/>
      <c r="KWX188" s="1"/>
      <c r="KWY188" s="1"/>
      <c r="KWZ188" s="1"/>
      <c r="KXA188" s="1"/>
      <c r="KXB188" s="1"/>
      <c r="KXC188" s="1"/>
      <c r="KXD188" s="1"/>
      <c r="KXE188" s="1"/>
      <c r="KXF188" s="1"/>
      <c r="KXG188" s="1"/>
      <c r="KXH188" s="1"/>
      <c r="KXI188" s="1"/>
      <c r="KXJ188" s="1"/>
      <c r="KXK188" s="1"/>
      <c r="KXL188" s="1"/>
      <c r="KXM188" s="1"/>
      <c r="KXN188" s="1"/>
      <c r="KXO188" s="1"/>
      <c r="KXP188" s="1"/>
      <c r="KXQ188" s="1"/>
      <c r="KXR188" s="1"/>
      <c r="KXS188" s="1"/>
      <c r="KXT188" s="1"/>
      <c r="KXU188" s="1"/>
      <c r="KXV188" s="1"/>
      <c r="KXW188" s="1"/>
      <c r="KXX188" s="1"/>
      <c r="KXY188" s="1"/>
      <c r="KXZ188" s="1"/>
      <c r="KYA188" s="1"/>
      <c r="KYB188" s="1"/>
      <c r="KYC188" s="1"/>
      <c r="KYD188" s="1"/>
      <c r="KYE188" s="1"/>
      <c r="KYF188" s="1"/>
      <c r="KYG188" s="1"/>
      <c r="KYH188" s="1"/>
      <c r="KYI188" s="1"/>
      <c r="KYJ188" s="1"/>
      <c r="KYK188" s="1"/>
      <c r="KYL188" s="1"/>
      <c r="KYM188" s="1"/>
      <c r="KYN188" s="1"/>
      <c r="KYO188" s="1"/>
      <c r="KYP188" s="1"/>
      <c r="KYQ188" s="1"/>
      <c r="KYR188" s="1"/>
      <c r="KYS188" s="1"/>
      <c r="KYT188" s="1"/>
      <c r="KYU188" s="1"/>
      <c r="KYV188" s="1"/>
      <c r="KYW188" s="1"/>
      <c r="KYX188" s="1"/>
      <c r="KYY188" s="1"/>
      <c r="KYZ188" s="1"/>
      <c r="KZA188" s="1"/>
      <c r="KZB188" s="1"/>
      <c r="KZC188" s="1"/>
      <c r="KZD188" s="1"/>
      <c r="KZE188" s="1"/>
      <c r="KZF188" s="1"/>
      <c r="KZG188" s="1"/>
      <c r="KZH188" s="1"/>
      <c r="KZI188" s="1"/>
      <c r="KZJ188" s="1"/>
      <c r="KZK188" s="1"/>
      <c r="KZL188" s="1"/>
      <c r="KZM188" s="1"/>
      <c r="KZN188" s="1"/>
      <c r="KZO188" s="1"/>
      <c r="KZP188" s="1"/>
      <c r="KZQ188" s="1"/>
      <c r="KZR188" s="1"/>
      <c r="KZS188" s="1"/>
      <c r="KZT188" s="1"/>
      <c r="KZU188" s="1"/>
      <c r="KZV188" s="1"/>
      <c r="KZW188" s="1"/>
      <c r="KZX188" s="1"/>
      <c r="KZY188" s="1"/>
      <c r="KZZ188" s="1"/>
      <c r="LAA188" s="1"/>
      <c r="LAB188" s="1"/>
      <c r="LAC188" s="1"/>
      <c r="LAD188" s="1"/>
      <c r="LAE188" s="1"/>
      <c r="LAF188" s="1"/>
      <c r="LAG188" s="1"/>
      <c r="LAH188" s="1"/>
      <c r="LAI188" s="1"/>
      <c r="LAJ188" s="1"/>
      <c r="LAK188" s="1"/>
      <c r="LAL188" s="1"/>
      <c r="LAM188" s="1"/>
      <c r="LAN188" s="1"/>
      <c r="LAO188" s="1"/>
      <c r="LAP188" s="1"/>
      <c r="LAQ188" s="1"/>
      <c r="LAR188" s="1"/>
      <c r="LAS188" s="1"/>
      <c r="LAT188" s="1"/>
      <c r="LAU188" s="1"/>
      <c r="LAV188" s="1"/>
      <c r="LAW188" s="1"/>
      <c r="LAX188" s="1"/>
      <c r="LAY188" s="1"/>
      <c r="LAZ188" s="1"/>
      <c r="LBA188" s="1"/>
      <c r="LBB188" s="1"/>
      <c r="LBC188" s="1"/>
      <c r="LBD188" s="1"/>
      <c r="LBE188" s="1"/>
      <c r="LBF188" s="1"/>
      <c r="LBG188" s="1"/>
      <c r="LBH188" s="1"/>
      <c r="LBI188" s="1"/>
      <c r="LBJ188" s="1"/>
      <c r="LBK188" s="1"/>
      <c r="LBL188" s="1"/>
      <c r="LBM188" s="1"/>
      <c r="LBN188" s="1"/>
      <c r="LBO188" s="1"/>
      <c r="LBP188" s="1"/>
      <c r="LBQ188" s="1"/>
      <c r="LBR188" s="1"/>
      <c r="LBS188" s="1"/>
      <c r="LBT188" s="1"/>
      <c r="LBU188" s="1"/>
      <c r="LBV188" s="1"/>
      <c r="LBW188" s="1"/>
      <c r="LBX188" s="1"/>
      <c r="LBY188" s="1"/>
      <c r="LBZ188" s="1"/>
      <c r="LCA188" s="1"/>
      <c r="LCB188" s="1"/>
      <c r="LCC188" s="1"/>
      <c r="LCD188" s="1"/>
      <c r="LCE188" s="1"/>
      <c r="LCF188" s="1"/>
      <c r="LCG188" s="1"/>
      <c r="LCH188" s="1"/>
      <c r="LCI188" s="1"/>
      <c r="LCJ188" s="1"/>
      <c r="LCK188" s="1"/>
      <c r="LCL188" s="1"/>
      <c r="LCM188" s="1"/>
      <c r="LCN188" s="1"/>
      <c r="LCO188" s="1"/>
      <c r="LCP188" s="1"/>
      <c r="LCQ188" s="1"/>
      <c r="LCR188" s="1"/>
      <c r="LCS188" s="1"/>
      <c r="LCT188" s="1"/>
      <c r="LCU188" s="1"/>
      <c r="LCV188" s="1"/>
      <c r="LCW188" s="1"/>
      <c r="LCX188" s="1"/>
      <c r="LCY188" s="1"/>
      <c r="LCZ188" s="1"/>
      <c r="LDA188" s="1"/>
      <c r="LDB188" s="1"/>
      <c r="LDC188" s="1"/>
      <c r="LDD188" s="1"/>
      <c r="LDE188" s="1"/>
      <c r="LDF188" s="1"/>
      <c r="LDG188" s="1"/>
      <c r="LDH188" s="1"/>
      <c r="LDI188" s="1"/>
      <c r="LDJ188" s="1"/>
      <c r="LDK188" s="1"/>
      <c r="LDL188" s="1"/>
      <c r="LDM188" s="1"/>
      <c r="LDN188" s="1"/>
      <c r="LDO188" s="1"/>
      <c r="LDP188" s="1"/>
      <c r="LDQ188" s="1"/>
      <c r="LDR188" s="1"/>
      <c r="LDS188" s="1"/>
      <c r="LDT188" s="1"/>
      <c r="LDU188" s="1"/>
      <c r="LDV188" s="1"/>
      <c r="LDW188" s="1"/>
      <c r="LDX188" s="1"/>
      <c r="LDY188" s="1"/>
      <c r="LDZ188" s="1"/>
      <c r="LEA188" s="1"/>
      <c r="LEB188" s="1"/>
      <c r="LEC188" s="1"/>
      <c r="LED188" s="1"/>
      <c r="LEE188" s="1"/>
      <c r="LEF188" s="1"/>
      <c r="LEG188" s="1"/>
      <c r="LEH188" s="1"/>
      <c r="LEI188" s="1"/>
      <c r="LEJ188" s="1"/>
      <c r="LEK188" s="1"/>
      <c r="LEL188" s="1"/>
      <c r="LEM188" s="1"/>
      <c r="LEN188" s="1"/>
      <c r="LEO188" s="1"/>
      <c r="LEP188" s="1"/>
      <c r="LEQ188" s="1"/>
      <c r="LER188" s="1"/>
      <c r="LES188" s="1"/>
      <c r="LET188" s="1"/>
      <c r="LEU188" s="1"/>
      <c r="LEV188" s="1"/>
      <c r="LEW188" s="1"/>
      <c r="LEX188" s="1"/>
      <c r="LEY188" s="1"/>
      <c r="LEZ188" s="1"/>
      <c r="LFA188" s="1"/>
      <c r="LFB188" s="1"/>
      <c r="LFC188" s="1"/>
      <c r="LFD188" s="1"/>
      <c r="LFE188" s="1"/>
      <c r="LFF188" s="1"/>
      <c r="LFG188" s="1"/>
      <c r="LFH188" s="1"/>
      <c r="LFI188" s="1"/>
      <c r="LFJ188" s="1"/>
      <c r="LFK188" s="1"/>
      <c r="LFL188" s="1"/>
      <c r="LFM188" s="1"/>
      <c r="LFN188" s="1"/>
      <c r="LFO188" s="1"/>
      <c r="LFP188" s="1"/>
      <c r="LFQ188" s="1"/>
      <c r="LFR188" s="1"/>
      <c r="LFS188" s="1"/>
      <c r="LFT188" s="1"/>
      <c r="LFU188" s="1"/>
      <c r="LFV188" s="1"/>
      <c r="LFW188" s="1"/>
      <c r="LFX188" s="1"/>
      <c r="LFY188" s="1"/>
      <c r="LFZ188" s="1"/>
      <c r="LGA188" s="1"/>
      <c r="LGB188" s="1"/>
      <c r="LGC188" s="1"/>
      <c r="LGD188" s="1"/>
      <c r="LGE188" s="1"/>
      <c r="LGF188" s="1"/>
      <c r="LGG188" s="1"/>
      <c r="LGH188" s="1"/>
      <c r="LGI188" s="1"/>
      <c r="LGJ188" s="1"/>
      <c r="LGK188" s="1"/>
      <c r="LGL188" s="1"/>
      <c r="LGM188" s="1"/>
      <c r="LGN188" s="1"/>
      <c r="LGO188" s="1"/>
      <c r="LGP188" s="1"/>
      <c r="LGQ188" s="1"/>
      <c r="LGR188" s="1"/>
      <c r="LGS188" s="1"/>
      <c r="LGT188" s="1"/>
      <c r="LGU188" s="1"/>
      <c r="LGV188" s="1"/>
      <c r="LGW188" s="1"/>
      <c r="LGX188" s="1"/>
      <c r="LGY188" s="1"/>
      <c r="LGZ188" s="1"/>
      <c r="LHA188" s="1"/>
      <c r="LHB188" s="1"/>
      <c r="LHC188" s="1"/>
      <c r="LHD188" s="1"/>
      <c r="LHE188" s="1"/>
      <c r="LHF188" s="1"/>
      <c r="LHG188" s="1"/>
      <c r="LHH188" s="1"/>
      <c r="LHI188" s="1"/>
      <c r="LHJ188" s="1"/>
      <c r="LHK188" s="1"/>
      <c r="LHL188" s="1"/>
      <c r="LHM188" s="1"/>
      <c r="LHN188" s="1"/>
      <c r="LHO188" s="1"/>
      <c r="LHP188" s="1"/>
      <c r="LHQ188" s="1"/>
      <c r="LHR188" s="1"/>
      <c r="LHS188" s="1"/>
      <c r="LHT188" s="1"/>
      <c r="LHU188" s="1"/>
      <c r="LHV188" s="1"/>
      <c r="LHW188" s="1"/>
      <c r="LHX188" s="1"/>
      <c r="LHY188" s="1"/>
      <c r="LHZ188" s="1"/>
      <c r="LIA188" s="1"/>
      <c r="LIB188" s="1"/>
      <c r="LIC188" s="1"/>
      <c r="LID188" s="1"/>
      <c r="LIE188" s="1"/>
      <c r="LIF188" s="1"/>
      <c r="LIG188" s="1"/>
      <c r="LIH188" s="1"/>
      <c r="LII188" s="1"/>
      <c r="LIJ188" s="1"/>
      <c r="LIK188" s="1"/>
      <c r="LIL188" s="1"/>
      <c r="LIM188" s="1"/>
      <c r="LIN188" s="1"/>
      <c r="LIO188" s="1"/>
      <c r="LIP188" s="1"/>
      <c r="LIQ188" s="1"/>
      <c r="LIR188" s="1"/>
      <c r="LIS188" s="1"/>
      <c r="LIT188" s="1"/>
      <c r="LIU188" s="1"/>
      <c r="LIV188" s="1"/>
      <c r="LIW188" s="1"/>
      <c r="LIX188" s="1"/>
      <c r="LIY188" s="1"/>
      <c r="LIZ188" s="1"/>
      <c r="LJA188" s="1"/>
      <c r="LJB188" s="1"/>
      <c r="LJC188" s="1"/>
      <c r="LJD188" s="1"/>
      <c r="LJE188" s="1"/>
      <c r="LJF188" s="1"/>
      <c r="LJG188" s="1"/>
      <c r="LJH188" s="1"/>
      <c r="LJI188" s="1"/>
      <c r="LJJ188" s="1"/>
      <c r="LJK188" s="1"/>
      <c r="LJL188" s="1"/>
      <c r="LJM188" s="1"/>
      <c r="LJN188" s="1"/>
      <c r="LJO188" s="1"/>
      <c r="LJP188" s="1"/>
      <c r="LJQ188" s="1"/>
      <c r="LJR188" s="1"/>
      <c r="LJS188" s="1"/>
      <c r="LJT188" s="1"/>
      <c r="LJU188" s="1"/>
      <c r="LJV188" s="1"/>
      <c r="LJW188" s="1"/>
      <c r="LJX188" s="1"/>
      <c r="LJY188" s="1"/>
      <c r="LJZ188" s="1"/>
      <c r="LKA188" s="1"/>
      <c r="LKB188" s="1"/>
      <c r="LKC188" s="1"/>
      <c r="LKD188" s="1"/>
      <c r="LKE188" s="1"/>
      <c r="LKF188" s="1"/>
      <c r="LKG188" s="1"/>
      <c r="LKH188" s="1"/>
      <c r="LKI188" s="1"/>
      <c r="LKJ188" s="1"/>
      <c r="LKK188" s="1"/>
      <c r="LKL188" s="1"/>
      <c r="LKM188" s="1"/>
      <c r="LKN188" s="1"/>
      <c r="LKO188" s="1"/>
      <c r="LKP188" s="1"/>
      <c r="LKQ188" s="1"/>
      <c r="LKR188" s="1"/>
      <c r="LKS188" s="1"/>
      <c r="LKT188" s="1"/>
      <c r="LKU188" s="1"/>
      <c r="LKV188" s="1"/>
      <c r="LKW188" s="1"/>
      <c r="LKX188" s="1"/>
      <c r="LKY188" s="1"/>
      <c r="LKZ188" s="1"/>
      <c r="LLA188" s="1"/>
      <c r="LLB188" s="1"/>
      <c r="LLC188" s="1"/>
      <c r="LLD188" s="1"/>
      <c r="LLE188" s="1"/>
      <c r="LLF188" s="1"/>
      <c r="LLG188" s="1"/>
      <c r="LLH188" s="1"/>
      <c r="LLI188" s="1"/>
      <c r="LLJ188" s="1"/>
      <c r="LLK188" s="1"/>
      <c r="LLL188" s="1"/>
      <c r="LLM188" s="1"/>
      <c r="LLN188" s="1"/>
      <c r="LLO188" s="1"/>
      <c r="LLP188" s="1"/>
      <c r="LLQ188" s="1"/>
      <c r="LLR188" s="1"/>
      <c r="LLS188" s="1"/>
      <c r="LLT188" s="1"/>
      <c r="LLU188" s="1"/>
      <c r="LLV188" s="1"/>
      <c r="LLW188" s="1"/>
      <c r="LLX188" s="1"/>
      <c r="LLY188" s="1"/>
      <c r="LLZ188" s="1"/>
      <c r="LMA188" s="1"/>
      <c r="LMB188" s="1"/>
      <c r="LMC188" s="1"/>
      <c r="LMD188" s="1"/>
      <c r="LME188" s="1"/>
      <c r="LMF188" s="1"/>
      <c r="LMG188" s="1"/>
      <c r="LMH188" s="1"/>
      <c r="LMI188" s="1"/>
      <c r="LMJ188" s="1"/>
      <c r="LMK188" s="1"/>
      <c r="LML188" s="1"/>
      <c r="LMM188" s="1"/>
      <c r="LMN188" s="1"/>
      <c r="LMO188" s="1"/>
      <c r="LMP188" s="1"/>
      <c r="LMQ188" s="1"/>
      <c r="LMR188" s="1"/>
      <c r="LMS188" s="1"/>
      <c r="LMT188" s="1"/>
      <c r="LMU188" s="1"/>
      <c r="LMV188" s="1"/>
      <c r="LMW188" s="1"/>
      <c r="LMX188" s="1"/>
      <c r="LMY188" s="1"/>
      <c r="LMZ188" s="1"/>
      <c r="LNA188" s="1"/>
      <c r="LNB188" s="1"/>
      <c r="LNC188" s="1"/>
      <c r="LND188" s="1"/>
      <c r="LNE188" s="1"/>
      <c r="LNF188" s="1"/>
      <c r="LNG188" s="1"/>
      <c r="LNH188" s="1"/>
      <c r="LNI188" s="1"/>
      <c r="LNJ188" s="1"/>
      <c r="LNK188" s="1"/>
      <c r="LNL188" s="1"/>
      <c r="LNM188" s="1"/>
      <c r="LNN188" s="1"/>
      <c r="LNO188" s="1"/>
      <c r="LNP188" s="1"/>
      <c r="LNQ188" s="1"/>
      <c r="LNR188" s="1"/>
      <c r="LNS188" s="1"/>
      <c r="LNT188" s="1"/>
      <c r="LNU188" s="1"/>
      <c r="LNV188" s="1"/>
      <c r="LNW188" s="1"/>
      <c r="LNX188" s="1"/>
      <c r="LNY188" s="1"/>
      <c r="LNZ188" s="1"/>
      <c r="LOA188" s="1"/>
      <c r="LOB188" s="1"/>
      <c r="LOC188" s="1"/>
      <c r="LOD188" s="1"/>
      <c r="LOE188" s="1"/>
      <c r="LOF188" s="1"/>
      <c r="LOG188" s="1"/>
      <c r="LOH188" s="1"/>
      <c r="LOI188" s="1"/>
      <c r="LOJ188" s="1"/>
      <c r="LOK188" s="1"/>
      <c r="LOL188" s="1"/>
      <c r="LOM188" s="1"/>
      <c r="LON188" s="1"/>
      <c r="LOO188" s="1"/>
      <c r="LOP188" s="1"/>
      <c r="LOQ188" s="1"/>
      <c r="LOR188" s="1"/>
      <c r="LOS188" s="1"/>
      <c r="LOT188" s="1"/>
      <c r="LOU188" s="1"/>
      <c r="LOV188" s="1"/>
      <c r="LOW188" s="1"/>
      <c r="LOX188" s="1"/>
      <c r="LOY188" s="1"/>
      <c r="LOZ188" s="1"/>
      <c r="LPA188" s="1"/>
      <c r="LPB188" s="1"/>
      <c r="LPC188" s="1"/>
      <c r="LPD188" s="1"/>
      <c r="LPE188" s="1"/>
      <c r="LPF188" s="1"/>
      <c r="LPG188" s="1"/>
      <c r="LPH188" s="1"/>
      <c r="LPI188" s="1"/>
      <c r="LPJ188" s="1"/>
      <c r="LPK188" s="1"/>
      <c r="LPL188" s="1"/>
      <c r="LPM188" s="1"/>
      <c r="LPN188" s="1"/>
      <c r="LPO188" s="1"/>
      <c r="LPP188" s="1"/>
      <c r="LPQ188" s="1"/>
      <c r="LPR188" s="1"/>
      <c r="LPS188" s="1"/>
      <c r="LPT188" s="1"/>
      <c r="LPU188" s="1"/>
      <c r="LPV188" s="1"/>
      <c r="LPW188" s="1"/>
      <c r="LPX188" s="1"/>
      <c r="LPY188" s="1"/>
      <c r="LPZ188" s="1"/>
      <c r="LQA188" s="1"/>
      <c r="LQB188" s="1"/>
      <c r="LQC188" s="1"/>
      <c r="LQD188" s="1"/>
      <c r="LQE188" s="1"/>
      <c r="LQF188" s="1"/>
      <c r="LQG188" s="1"/>
      <c r="LQH188" s="1"/>
      <c r="LQI188" s="1"/>
      <c r="LQJ188" s="1"/>
      <c r="LQK188" s="1"/>
      <c r="LQL188" s="1"/>
      <c r="LQM188" s="1"/>
      <c r="LQN188" s="1"/>
      <c r="LQO188" s="1"/>
      <c r="LQP188" s="1"/>
      <c r="LQQ188" s="1"/>
      <c r="LQR188" s="1"/>
      <c r="LQS188" s="1"/>
      <c r="LQT188" s="1"/>
      <c r="LQU188" s="1"/>
      <c r="LQV188" s="1"/>
      <c r="LQW188" s="1"/>
      <c r="LQX188" s="1"/>
      <c r="LQY188" s="1"/>
      <c r="LQZ188" s="1"/>
      <c r="LRA188" s="1"/>
      <c r="LRB188" s="1"/>
      <c r="LRC188" s="1"/>
      <c r="LRD188" s="1"/>
      <c r="LRE188" s="1"/>
      <c r="LRF188" s="1"/>
      <c r="LRG188" s="1"/>
      <c r="LRH188" s="1"/>
      <c r="LRI188" s="1"/>
      <c r="LRJ188" s="1"/>
      <c r="LRK188" s="1"/>
      <c r="LRL188" s="1"/>
      <c r="LRM188" s="1"/>
      <c r="LRN188" s="1"/>
      <c r="LRO188" s="1"/>
      <c r="LRP188" s="1"/>
      <c r="LRQ188" s="1"/>
      <c r="LRR188" s="1"/>
      <c r="LRS188" s="1"/>
      <c r="LRT188" s="1"/>
      <c r="LRU188" s="1"/>
      <c r="LRV188" s="1"/>
      <c r="LRW188" s="1"/>
      <c r="LRX188" s="1"/>
      <c r="LRY188" s="1"/>
      <c r="LRZ188" s="1"/>
      <c r="LSA188" s="1"/>
      <c r="LSB188" s="1"/>
      <c r="LSC188" s="1"/>
      <c r="LSD188" s="1"/>
      <c r="LSE188" s="1"/>
      <c r="LSF188" s="1"/>
      <c r="LSG188" s="1"/>
      <c r="LSH188" s="1"/>
      <c r="LSI188" s="1"/>
      <c r="LSJ188" s="1"/>
      <c r="LSK188" s="1"/>
      <c r="LSL188" s="1"/>
      <c r="LSM188" s="1"/>
      <c r="LSN188" s="1"/>
      <c r="LSO188" s="1"/>
      <c r="LSP188" s="1"/>
      <c r="LSQ188" s="1"/>
      <c r="LSR188" s="1"/>
      <c r="LSS188" s="1"/>
      <c r="LST188" s="1"/>
      <c r="LSU188" s="1"/>
      <c r="LSV188" s="1"/>
      <c r="LSW188" s="1"/>
      <c r="LSX188" s="1"/>
      <c r="LSY188" s="1"/>
      <c r="LSZ188" s="1"/>
      <c r="LTA188" s="1"/>
      <c r="LTB188" s="1"/>
      <c r="LTC188" s="1"/>
      <c r="LTD188" s="1"/>
      <c r="LTE188" s="1"/>
      <c r="LTF188" s="1"/>
      <c r="LTG188" s="1"/>
      <c r="LTH188" s="1"/>
      <c r="LTI188" s="1"/>
      <c r="LTJ188" s="1"/>
      <c r="LTK188" s="1"/>
      <c r="LTL188" s="1"/>
      <c r="LTM188" s="1"/>
      <c r="LTN188" s="1"/>
      <c r="LTO188" s="1"/>
      <c r="LTP188" s="1"/>
      <c r="LTQ188" s="1"/>
      <c r="LTR188" s="1"/>
      <c r="LTS188" s="1"/>
      <c r="LTT188" s="1"/>
      <c r="LTU188" s="1"/>
      <c r="LTV188" s="1"/>
      <c r="LTW188" s="1"/>
      <c r="LTX188" s="1"/>
      <c r="LTY188" s="1"/>
      <c r="LTZ188" s="1"/>
      <c r="LUA188" s="1"/>
      <c r="LUB188" s="1"/>
      <c r="LUC188" s="1"/>
      <c r="LUD188" s="1"/>
      <c r="LUE188" s="1"/>
      <c r="LUF188" s="1"/>
      <c r="LUG188" s="1"/>
      <c r="LUH188" s="1"/>
      <c r="LUI188" s="1"/>
      <c r="LUJ188" s="1"/>
      <c r="LUK188" s="1"/>
      <c r="LUL188" s="1"/>
      <c r="LUM188" s="1"/>
      <c r="LUN188" s="1"/>
      <c r="LUO188" s="1"/>
      <c r="LUP188" s="1"/>
      <c r="LUQ188" s="1"/>
      <c r="LUR188" s="1"/>
      <c r="LUS188" s="1"/>
      <c r="LUT188" s="1"/>
      <c r="LUU188" s="1"/>
      <c r="LUV188" s="1"/>
      <c r="LUW188" s="1"/>
      <c r="LUX188" s="1"/>
      <c r="LUY188" s="1"/>
      <c r="LUZ188" s="1"/>
      <c r="LVA188" s="1"/>
      <c r="LVB188" s="1"/>
      <c r="LVC188" s="1"/>
      <c r="LVD188" s="1"/>
      <c r="LVE188" s="1"/>
      <c r="LVF188" s="1"/>
      <c r="LVG188" s="1"/>
      <c r="LVH188" s="1"/>
      <c r="LVI188" s="1"/>
      <c r="LVJ188" s="1"/>
      <c r="LVK188" s="1"/>
      <c r="LVL188" s="1"/>
      <c r="LVM188" s="1"/>
      <c r="LVN188" s="1"/>
      <c r="LVO188" s="1"/>
      <c r="LVP188" s="1"/>
      <c r="LVQ188" s="1"/>
      <c r="LVR188" s="1"/>
      <c r="LVS188" s="1"/>
      <c r="LVT188" s="1"/>
      <c r="LVU188" s="1"/>
      <c r="LVV188" s="1"/>
      <c r="LVW188" s="1"/>
      <c r="LVX188" s="1"/>
      <c r="LVY188" s="1"/>
      <c r="LVZ188" s="1"/>
      <c r="LWA188" s="1"/>
      <c r="LWB188" s="1"/>
      <c r="LWC188" s="1"/>
      <c r="LWD188" s="1"/>
      <c r="LWE188" s="1"/>
      <c r="LWF188" s="1"/>
      <c r="LWG188" s="1"/>
      <c r="LWH188" s="1"/>
      <c r="LWI188" s="1"/>
      <c r="LWJ188" s="1"/>
      <c r="LWK188" s="1"/>
      <c r="LWL188" s="1"/>
      <c r="LWM188" s="1"/>
      <c r="LWN188" s="1"/>
      <c r="LWO188" s="1"/>
      <c r="LWP188" s="1"/>
      <c r="LWQ188" s="1"/>
      <c r="LWR188" s="1"/>
      <c r="LWS188" s="1"/>
      <c r="LWT188" s="1"/>
      <c r="LWU188" s="1"/>
      <c r="LWV188" s="1"/>
      <c r="LWW188" s="1"/>
      <c r="LWX188" s="1"/>
      <c r="LWY188" s="1"/>
      <c r="LWZ188" s="1"/>
      <c r="LXA188" s="1"/>
      <c r="LXB188" s="1"/>
      <c r="LXC188" s="1"/>
      <c r="LXD188" s="1"/>
      <c r="LXE188" s="1"/>
      <c r="LXF188" s="1"/>
      <c r="LXG188" s="1"/>
      <c r="LXH188" s="1"/>
      <c r="LXI188" s="1"/>
      <c r="LXJ188" s="1"/>
      <c r="LXK188" s="1"/>
      <c r="LXL188" s="1"/>
      <c r="LXM188" s="1"/>
      <c r="LXN188" s="1"/>
      <c r="LXO188" s="1"/>
      <c r="LXP188" s="1"/>
      <c r="LXQ188" s="1"/>
      <c r="LXR188" s="1"/>
      <c r="LXS188" s="1"/>
      <c r="LXT188" s="1"/>
      <c r="LXU188" s="1"/>
      <c r="LXV188" s="1"/>
      <c r="LXW188" s="1"/>
      <c r="LXX188" s="1"/>
      <c r="LXY188" s="1"/>
      <c r="LXZ188" s="1"/>
      <c r="LYA188" s="1"/>
      <c r="LYB188" s="1"/>
      <c r="LYC188" s="1"/>
      <c r="LYD188" s="1"/>
      <c r="LYE188" s="1"/>
      <c r="LYF188" s="1"/>
      <c r="LYG188" s="1"/>
      <c r="LYH188" s="1"/>
      <c r="LYI188" s="1"/>
      <c r="LYJ188" s="1"/>
      <c r="LYK188" s="1"/>
      <c r="LYL188" s="1"/>
      <c r="LYM188" s="1"/>
      <c r="LYN188" s="1"/>
      <c r="LYO188" s="1"/>
      <c r="LYP188" s="1"/>
      <c r="LYQ188" s="1"/>
      <c r="LYR188" s="1"/>
      <c r="LYS188" s="1"/>
      <c r="LYT188" s="1"/>
      <c r="LYU188" s="1"/>
      <c r="LYV188" s="1"/>
      <c r="LYW188" s="1"/>
      <c r="LYX188" s="1"/>
      <c r="LYY188" s="1"/>
      <c r="LYZ188" s="1"/>
      <c r="LZA188" s="1"/>
      <c r="LZB188" s="1"/>
      <c r="LZC188" s="1"/>
      <c r="LZD188" s="1"/>
      <c r="LZE188" s="1"/>
      <c r="LZF188" s="1"/>
      <c r="LZG188" s="1"/>
      <c r="LZH188" s="1"/>
      <c r="LZI188" s="1"/>
      <c r="LZJ188" s="1"/>
      <c r="LZK188" s="1"/>
      <c r="LZL188" s="1"/>
      <c r="LZM188" s="1"/>
      <c r="LZN188" s="1"/>
      <c r="LZO188" s="1"/>
      <c r="LZP188" s="1"/>
      <c r="LZQ188" s="1"/>
      <c r="LZR188" s="1"/>
      <c r="LZS188" s="1"/>
      <c r="LZT188" s="1"/>
      <c r="LZU188" s="1"/>
      <c r="LZV188" s="1"/>
      <c r="LZW188" s="1"/>
      <c r="LZX188" s="1"/>
      <c r="LZY188" s="1"/>
      <c r="LZZ188" s="1"/>
      <c r="MAA188" s="1"/>
      <c r="MAB188" s="1"/>
      <c r="MAC188" s="1"/>
      <c r="MAD188" s="1"/>
      <c r="MAE188" s="1"/>
      <c r="MAF188" s="1"/>
      <c r="MAG188" s="1"/>
      <c r="MAH188" s="1"/>
      <c r="MAI188" s="1"/>
      <c r="MAJ188" s="1"/>
      <c r="MAK188" s="1"/>
      <c r="MAL188" s="1"/>
      <c r="MAM188" s="1"/>
      <c r="MAN188" s="1"/>
      <c r="MAO188" s="1"/>
      <c r="MAP188" s="1"/>
      <c r="MAQ188" s="1"/>
      <c r="MAR188" s="1"/>
      <c r="MAS188" s="1"/>
      <c r="MAT188" s="1"/>
      <c r="MAU188" s="1"/>
      <c r="MAV188" s="1"/>
      <c r="MAW188" s="1"/>
      <c r="MAX188" s="1"/>
      <c r="MAY188" s="1"/>
      <c r="MAZ188" s="1"/>
      <c r="MBA188" s="1"/>
      <c r="MBB188" s="1"/>
      <c r="MBC188" s="1"/>
      <c r="MBD188" s="1"/>
      <c r="MBE188" s="1"/>
      <c r="MBF188" s="1"/>
      <c r="MBG188" s="1"/>
      <c r="MBH188" s="1"/>
      <c r="MBI188" s="1"/>
      <c r="MBJ188" s="1"/>
      <c r="MBK188" s="1"/>
      <c r="MBL188" s="1"/>
      <c r="MBM188" s="1"/>
      <c r="MBN188" s="1"/>
      <c r="MBO188" s="1"/>
      <c r="MBP188" s="1"/>
      <c r="MBQ188" s="1"/>
      <c r="MBR188" s="1"/>
      <c r="MBS188" s="1"/>
      <c r="MBT188" s="1"/>
      <c r="MBU188" s="1"/>
      <c r="MBV188" s="1"/>
      <c r="MBW188" s="1"/>
      <c r="MBX188" s="1"/>
      <c r="MBY188" s="1"/>
      <c r="MBZ188" s="1"/>
      <c r="MCA188" s="1"/>
      <c r="MCB188" s="1"/>
      <c r="MCC188" s="1"/>
      <c r="MCD188" s="1"/>
      <c r="MCE188" s="1"/>
      <c r="MCF188" s="1"/>
      <c r="MCG188" s="1"/>
      <c r="MCH188" s="1"/>
      <c r="MCI188" s="1"/>
      <c r="MCJ188" s="1"/>
      <c r="MCK188" s="1"/>
      <c r="MCL188" s="1"/>
      <c r="MCM188" s="1"/>
      <c r="MCN188" s="1"/>
      <c r="MCO188" s="1"/>
      <c r="MCP188" s="1"/>
      <c r="MCQ188" s="1"/>
      <c r="MCR188" s="1"/>
      <c r="MCS188" s="1"/>
      <c r="MCT188" s="1"/>
      <c r="MCU188" s="1"/>
      <c r="MCV188" s="1"/>
      <c r="MCW188" s="1"/>
      <c r="MCX188" s="1"/>
      <c r="MCY188" s="1"/>
      <c r="MCZ188" s="1"/>
      <c r="MDA188" s="1"/>
      <c r="MDB188" s="1"/>
      <c r="MDC188" s="1"/>
      <c r="MDD188" s="1"/>
      <c r="MDE188" s="1"/>
      <c r="MDF188" s="1"/>
      <c r="MDG188" s="1"/>
      <c r="MDH188" s="1"/>
      <c r="MDI188" s="1"/>
      <c r="MDJ188" s="1"/>
      <c r="MDK188" s="1"/>
      <c r="MDL188" s="1"/>
      <c r="MDM188" s="1"/>
      <c r="MDN188" s="1"/>
      <c r="MDO188" s="1"/>
      <c r="MDP188" s="1"/>
      <c r="MDQ188" s="1"/>
      <c r="MDR188" s="1"/>
      <c r="MDS188" s="1"/>
      <c r="MDT188" s="1"/>
      <c r="MDU188" s="1"/>
      <c r="MDV188" s="1"/>
      <c r="MDW188" s="1"/>
      <c r="MDX188" s="1"/>
      <c r="MDY188" s="1"/>
      <c r="MDZ188" s="1"/>
      <c r="MEA188" s="1"/>
      <c r="MEB188" s="1"/>
      <c r="MEC188" s="1"/>
      <c r="MED188" s="1"/>
      <c r="MEE188" s="1"/>
      <c r="MEF188" s="1"/>
      <c r="MEG188" s="1"/>
      <c r="MEH188" s="1"/>
      <c r="MEI188" s="1"/>
      <c r="MEJ188" s="1"/>
      <c r="MEK188" s="1"/>
      <c r="MEL188" s="1"/>
      <c r="MEM188" s="1"/>
      <c r="MEN188" s="1"/>
      <c r="MEO188" s="1"/>
      <c r="MEP188" s="1"/>
      <c r="MEQ188" s="1"/>
      <c r="MER188" s="1"/>
      <c r="MES188" s="1"/>
      <c r="MET188" s="1"/>
      <c r="MEU188" s="1"/>
      <c r="MEV188" s="1"/>
      <c r="MEW188" s="1"/>
      <c r="MEX188" s="1"/>
      <c r="MEY188" s="1"/>
      <c r="MEZ188" s="1"/>
      <c r="MFA188" s="1"/>
      <c r="MFB188" s="1"/>
      <c r="MFC188" s="1"/>
      <c r="MFD188" s="1"/>
      <c r="MFE188" s="1"/>
      <c r="MFF188" s="1"/>
      <c r="MFG188" s="1"/>
      <c r="MFH188" s="1"/>
      <c r="MFI188" s="1"/>
      <c r="MFJ188" s="1"/>
      <c r="MFK188" s="1"/>
      <c r="MFL188" s="1"/>
      <c r="MFM188" s="1"/>
      <c r="MFN188" s="1"/>
      <c r="MFO188" s="1"/>
      <c r="MFP188" s="1"/>
      <c r="MFQ188" s="1"/>
      <c r="MFR188" s="1"/>
      <c r="MFS188" s="1"/>
      <c r="MFT188" s="1"/>
      <c r="MFU188" s="1"/>
      <c r="MFV188" s="1"/>
      <c r="MFW188" s="1"/>
      <c r="MFX188" s="1"/>
      <c r="MFY188" s="1"/>
      <c r="MFZ188" s="1"/>
      <c r="MGA188" s="1"/>
      <c r="MGB188" s="1"/>
      <c r="MGC188" s="1"/>
      <c r="MGD188" s="1"/>
      <c r="MGE188" s="1"/>
      <c r="MGF188" s="1"/>
      <c r="MGG188" s="1"/>
      <c r="MGH188" s="1"/>
      <c r="MGI188" s="1"/>
      <c r="MGJ188" s="1"/>
      <c r="MGK188" s="1"/>
      <c r="MGL188" s="1"/>
      <c r="MGM188" s="1"/>
      <c r="MGN188" s="1"/>
      <c r="MGO188" s="1"/>
      <c r="MGP188" s="1"/>
      <c r="MGQ188" s="1"/>
      <c r="MGR188" s="1"/>
      <c r="MGS188" s="1"/>
      <c r="MGT188" s="1"/>
      <c r="MGU188" s="1"/>
      <c r="MGV188" s="1"/>
      <c r="MGW188" s="1"/>
      <c r="MGX188" s="1"/>
      <c r="MGY188" s="1"/>
      <c r="MGZ188" s="1"/>
      <c r="MHA188" s="1"/>
      <c r="MHB188" s="1"/>
      <c r="MHC188" s="1"/>
      <c r="MHD188" s="1"/>
      <c r="MHE188" s="1"/>
      <c r="MHF188" s="1"/>
      <c r="MHG188" s="1"/>
      <c r="MHH188" s="1"/>
      <c r="MHI188" s="1"/>
      <c r="MHJ188" s="1"/>
      <c r="MHK188" s="1"/>
      <c r="MHL188" s="1"/>
      <c r="MHM188" s="1"/>
      <c r="MHN188" s="1"/>
      <c r="MHO188" s="1"/>
      <c r="MHP188" s="1"/>
      <c r="MHQ188" s="1"/>
      <c r="MHR188" s="1"/>
      <c r="MHS188" s="1"/>
      <c r="MHT188" s="1"/>
      <c r="MHU188" s="1"/>
      <c r="MHV188" s="1"/>
      <c r="MHW188" s="1"/>
      <c r="MHX188" s="1"/>
      <c r="MHY188" s="1"/>
      <c r="MHZ188" s="1"/>
      <c r="MIA188" s="1"/>
      <c r="MIB188" s="1"/>
      <c r="MIC188" s="1"/>
      <c r="MID188" s="1"/>
      <c r="MIE188" s="1"/>
      <c r="MIF188" s="1"/>
      <c r="MIG188" s="1"/>
      <c r="MIH188" s="1"/>
      <c r="MII188" s="1"/>
      <c r="MIJ188" s="1"/>
      <c r="MIK188" s="1"/>
      <c r="MIL188" s="1"/>
      <c r="MIM188" s="1"/>
      <c r="MIN188" s="1"/>
      <c r="MIO188" s="1"/>
      <c r="MIP188" s="1"/>
      <c r="MIQ188" s="1"/>
      <c r="MIR188" s="1"/>
      <c r="MIS188" s="1"/>
      <c r="MIT188" s="1"/>
      <c r="MIU188" s="1"/>
      <c r="MIV188" s="1"/>
      <c r="MIW188" s="1"/>
      <c r="MIX188" s="1"/>
      <c r="MIY188" s="1"/>
      <c r="MIZ188" s="1"/>
      <c r="MJA188" s="1"/>
      <c r="MJB188" s="1"/>
      <c r="MJC188" s="1"/>
      <c r="MJD188" s="1"/>
      <c r="MJE188" s="1"/>
      <c r="MJF188" s="1"/>
      <c r="MJG188" s="1"/>
      <c r="MJH188" s="1"/>
      <c r="MJI188" s="1"/>
      <c r="MJJ188" s="1"/>
      <c r="MJK188" s="1"/>
      <c r="MJL188" s="1"/>
      <c r="MJM188" s="1"/>
      <c r="MJN188" s="1"/>
      <c r="MJO188" s="1"/>
      <c r="MJP188" s="1"/>
      <c r="MJQ188" s="1"/>
      <c r="MJR188" s="1"/>
      <c r="MJS188" s="1"/>
      <c r="MJT188" s="1"/>
      <c r="MJU188" s="1"/>
      <c r="MJV188" s="1"/>
      <c r="MJW188" s="1"/>
      <c r="MJX188" s="1"/>
      <c r="MJY188" s="1"/>
      <c r="MJZ188" s="1"/>
      <c r="MKA188" s="1"/>
      <c r="MKB188" s="1"/>
      <c r="MKC188" s="1"/>
      <c r="MKD188" s="1"/>
      <c r="MKE188" s="1"/>
      <c r="MKF188" s="1"/>
      <c r="MKG188" s="1"/>
      <c r="MKH188" s="1"/>
      <c r="MKI188" s="1"/>
      <c r="MKJ188" s="1"/>
      <c r="MKK188" s="1"/>
      <c r="MKL188" s="1"/>
      <c r="MKM188" s="1"/>
      <c r="MKN188" s="1"/>
      <c r="MKO188" s="1"/>
      <c r="MKP188" s="1"/>
      <c r="MKQ188" s="1"/>
      <c r="MKR188" s="1"/>
      <c r="MKS188" s="1"/>
      <c r="MKT188" s="1"/>
      <c r="MKU188" s="1"/>
      <c r="MKV188" s="1"/>
      <c r="MKW188" s="1"/>
      <c r="MKX188" s="1"/>
      <c r="MKY188" s="1"/>
      <c r="MKZ188" s="1"/>
      <c r="MLA188" s="1"/>
      <c r="MLB188" s="1"/>
      <c r="MLC188" s="1"/>
      <c r="MLD188" s="1"/>
      <c r="MLE188" s="1"/>
      <c r="MLF188" s="1"/>
      <c r="MLG188" s="1"/>
      <c r="MLH188" s="1"/>
      <c r="MLI188" s="1"/>
      <c r="MLJ188" s="1"/>
      <c r="MLK188" s="1"/>
      <c r="MLL188" s="1"/>
      <c r="MLM188" s="1"/>
      <c r="MLN188" s="1"/>
      <c r="MLO188" s="1"/>
      <c r="MLP188" s="1"/>
      <c r="MLQ188" s="1"/>
      <c r="MLR188" s="1"/>
      <c r="MLS188" s="1"/>
      <c r="MLT188" s="1"/>
      <c r="MLU188" s="1"/>
      <c r="MLV188" s="1"/>
      <c r="MLW188" s="1"/>
      <c r="MLX188" s="1"/>
      <c r="MLY188" s="1"/>
      <c r="MLZ188" s="1"/>
      <c r="MMA188" s="1"/>
      <c r="MMB188" s="1"/>
      <c r="MMC188" s="1"/>
      <c r="MMD188" s="1"/>
      <c r="MME188" s="1"/>
      <c r="MMF188" s="1"/>
      <c r="MMG188" s="1"/>
      <c r="MMH188" s="1"/>
      <c r="MMI188" s="1"/>
      <c r="MMJ188" s="1"/>
      <c r="MMK188" s="1"/>
      <c r="MML188" s="1"/>
      <c r="MMM188" s="1"/>
      <c r="MMN188" s="1"/>
      <c r="MMO188" s="1"/>
      <c r="MMP188" s="1"/>
      <c r="MMQ188" s="1"/>
      <c r="MMR188" s="1"/>
      <c r="MMS188" s="1"/>
      <c r="MMT188" s="1"/>
      <c r="MMU188" s="1"/>
      <c r="MMV188" s="1"/>
      <c r="MMW188" s="1"/>
      <c r="MMX188" s="1"/>
      <c r="MMY188" s="1"/>
      <c r="MMZ188" s="1"/>
      <c r="MNA188" s="1"/>
      <c r="MNB188" s="1"/>
      <c r="MNC188" s="1"/>
      <c r="MND188" s="1"/>
      <c r="MNE188" s="1"/>
      <c r="MNF188" s="1"/>
      <c r="MNG188" s="1"/>
      <c r="MNH188" s="1"/>
      <c r="MNI188" s="1"/>
      <c r="MNJ188" s="1"/>
      <c r="MNK188" s="1"/>
      <c r="MNL188" s="1"/>
      <c r="MNM188" s="1"/>
      <c r="MNN188" s="1"/>
      <c r="MNO188" s="1"/>
      <c r="MNP188" s="1"/>
      <c r="MNQ188" s="1"/>
      <c r="MNR188" s="1"/>
      <c r="MNS188" s="1"/>
      <c r="MNT188" s="1"/>
      <c r="MNU188" s="1"/>
      <c r="MNV188" s="1"/>
      <c r="MNW188" s="1"/>
      <c r="MNX188" s="1"/>
      <c r="MNY188" s="1"/>
      <c r="MNZ188" s="1"/>
      <c r="MOA188" s="1"/>
      <c r="MOB188" s="1"/>
      <c r="MOC188" s="1"/>
      <c r="MOD188" s="1"/>
      <c r="MOE188" s="1"/>
      <c r="MOF188" s="1"/>
      <c r="MOG188" s="1"/>
      <c r="MOH188" s="1"/>
      <c r="MOI188" s="1"/>
      <c r="MOJ188" s="1"/>
      <c r="MOK188" s="1"/>
      <c r="MOL188" s="1"/>
      <c r="MOM188" s="1"/>
      <c r="MON188" s="1"/>
      <c r="MOO188" s="1"/>
      <c r="MOP188" s="1"/>
      <c r="MOQ188" s="1"/>
      <c r="MOR188" s="1"/>
      <c r="MOS188" s="1"/>
      <c r="MOT188" s="1"/>
      <c r="MOU188" s="1"/>
      <c r="MOV188" s="1"/>
      <c r="MOW188" s="1"/>
      <c r="MOX188" s="1"/>
      <c r="MOY188" s="1"/>
      <c r="MOZ188" s="1"/>
      <c r="MPA188" s="1"/>
      <c r="MPB188" s="1"/>
      <c r="MPC188" s="1"/>
      <c r="MPD188" s="1"/>
      <c r="MPE188" s="1"/>
      <c r="MPF188" s="1"/>
      <c r="MPG188" s="1"/>
      <c r="MPH188" s="1"/>
      <c r="MPI188" s="1"/>
      <c r="MPJ188" s="1"/>
      <c r="MPK188" s="1"/>
      <c r="MPL188" s="1"/>
      <c r="MPM188" s="1"/>
      <c r="MPN188" s="1"/>
      <c r="MPO188" s="1"/>
      <c r="MPP188" s="1"/>
      <c r="MPQ188" s="1"/>
      <c r="MPR188" s="1"/>
      <c r="MPS188" s="1"/>
      <c r="MPT188" s="1"/>
      <c r="MPU188" s="1"/>
      <c r="MPV188" s="1"/>
      <c r="MPW188" s="1"/>
      <c r="MPX188" s="1"/>
      <c r="MPY188" s="1"/>
      <c r="MPZ188" s="1"/>
      <c r="MQA188" s="1"/>
      <c r="MQB188" s="1"/>
      <c r="MQC188" s="1"/>
      <c r="MQD188" s="1"/>
      <c r="MQE188" s="1"/>
      <c r="MQF188" s="1"/>
      <c r="MQG188" s="1"/>
      <c r="MQH188" s="1"/>
      <c r="MQI188" s="1"/>
      <c r="MQJ188" s="1"/>
      <c r="MQK188" s="1"/>
      <c r="MQL188" s="1"/>
      <c r="MQM188" s="1"/>
      <c r="MQN188" s="1"/>
      <c r="MQO188" s="1"/>
      <c r="MQP188" s="1"/>
      <c r="MQQ188" s="1"/>
      <c r="MQR188" s="1"/>
      <c r="MQS188" s="1"/>
      <c r="MQT188" s="1"/>
      <c r="MQU188" s="1"/>
      <c r="MQV188" s="1"/>
      <c r="MQW188" s="1"/>
      <c r="MQX188" s="1"/>
      <c r="MQY188" s="1"/>
      <c r="MQZ188" s="1"/>
      <c r="MRA188" s="1"/>
      <c r="MRB188" s="1"/>
      <c r="MRC188" s="1"/>
      <c r="MRD188" s="1"/>
      <c r="MRE188" s="1"/>
      <c r="MRF188" s="1"/>
      <c r="MRG188" s="1"/>
      <c r="MRH188" s="1"/>
      <c r="MRI188" s="1"/>
      <c r="MRJ188" s="1"/>
      <c r="MRK188" s="1"/>
      <c r="MRL188" s="1"/>
      <c r="MRM188" s="1"/>
      <c r="MRN188" s="1"/>
      <c r="MRO188" s="1"/>
      <c r="MRP188" s="1"/>
      <c r="MRQ188" s="1"/>
      <c r="MRR188" s="1"/>
      <c r="MRS188" s="1"/>
      <c r="MRT188" s="1"/>
      <c r="MRU188" s="1"/>
      <c r="MRV188" s="1"/>
      <c r="MRW188" s="1"/>
      <c r="MRX188" s="1"/>
      <c r="MRY188" s="1"/>
      <c r="MRZ188" s="1"/>
      <c r="MSA188" s="1"/>
      <c r="MSB188" s="1"/>
      <c r="MSC188" s="1"/>
      <c r="MSD188" s="1"/>
      <c r="MSE188" s="1"/>
      <c r="MSF188" s="1"/>
      <c r="MSG188" s="1"/>
      <c r="MSH188" s="1"/>
      <c r="MSI188" s="1"/>
      <c r="MSJ188" s="1"/>
      <c r="MSK188" s="1"/>
      <c r="MSL188" s="1"/>
      <c r="MSM188" s="1"/>
      <c r="MSN188" s="1"/>
      <c r="MSO188" s="1"/>
      <c r="MSP188" s="1"/>
      <c r="MSQ188" s="1"/>
      <c r="MSR188" s="1"/>
      <c r="MSS188" s="1"/>
      <c r="MST188" s="1"/>
      <c r="MSU188" s="1"/>
      <c r="MSV188" s="1"/>
      <c r="MSW188" s="1"/>
      <c r="MSX188" s="1"/>
      <c r="MSY188" s="1"/>
      <c r="MSZ188" s="1"/>
      <c r="MTA188" s="1"/>
      <c r="MTB188" s="1"/>
      <c r="MTC188" s="1"/>
      <c r="MTD188" s="1"/>
      <c r="MTE188" s="1"/>
      <c r="MTF188" s="1"/>
      <c r="MTG188" s="1"/>
      <c r="MTH188" s="1"/>
      <c r="MTI188" s="1"/>
      <c r="MTJ188" s="1"/>
      <c r="MTK188" s="1"/>
      <c r="MTL188" s="1"/>
      <c r="MTM188" s="1"/>
      <c r="MTN188" s="1"/>
      <c r="MTO188" s="1"/>
      <c r="MTP188" s="1"/>
      <c r="MTQ188" s="1"/>
      <c r="MTR188" s="1"/>
      <c r="MTS188" s="1"/>
      <c r="MTT188" s="1"/>
      <c r="MTU188" s="1"/>
      <c r="MTV188" s="1"/>
      <c r="MTW188" s="1"/>
      <c r="MTX188" s="1"/>
      <c r="MTY188" s="1"/>
      <c r="MTZ188" s="1"/>
      <c r="MUA188" s="1"/>
      <c r="MUB188" s="1"/>
      <c r="MUC188" s="1"/>
      <c r="MUD188" s="1"/>
      <c r="MUE188" s="1"/>
      <c r="MUF188" s="1"/>
      <c r="MUG188" s="1"/>
      <c r="MUH188" s="1"/>
      <c r="MUI188" s="1"/>
      <c r="MUJ188" s="1"/>
      <c r="MUK188" s="1"/>
      <c r="MUL188" s="1"/>
      <c r="MUM188" s="1"/>
      <c r="MUN188" s="1"/>
      <c r="MUO188" s="1"/>
      <c r="MUP188" s="1"/>
      <c r="MUQ188" s="1"/>
      <c r="MUR188" s="1"/>
      <c r="MUS188" s="1"/>
      <c r="MUT188" s="1"/>
      <c r="MUU188" s="1"/>
      <c r="MUV188" s="1"/>
      <c r="MUW188" s="1"/>
      <c r="MUX188" s="1"/>
      <c r="MUY188" s="1"/>
      <c r="MUZ188" s="1"/>
      <c r="MVA188" s="1"/>
      <c r="MVB188" s="1"/>
      <c r="MVC188" s="1"/>
      <c r="MVD188" s="1"/>
      <c r="MVE188" s="1"/>
      <c r="MVF188" s="1"/>
      <c r="MVG188" s="1"/>
      <c r="MVH188" s="1"/>
      <c r="MVI188" s="1"/>
      <c r="MVJ188" s="1"/>
      <c r="MVK188" s="1"/>
      <c r="MVL188" s="1"/>
      <c r="MVM188" s="1"/>
      <c r="MVN188" s="1"/>
      <c r="MVO188" s="1"/>
      <c r="MVP188" s="1"/>
      <c r="MVQ188" s="1"/>
      <c r="MVR188" s="1"/>
      <c r="MVS188" s="1"/>
      <c r="MVT188" s="1"/>
      <c r="MVU188" s="1"/>
      <c r="MVV188" s="1"/>
      <c r="MVW188" s="1"/>
      <c r="MVX188" s="1"/>
      <c r="MVY188" s="1"/>
      <c r="MVZ188" s="1"/>
      <c r="MWA188" s="1"/>
      <c r="MWB188" s="1"/>
      <c r="MWC188" s="1"/>
      <c r="MWD188" s="1"/>
      <c r="MWE188" s="1"/>
      <c r="MWF188" s="1"/>
      <c r="MWG188" s="1"/>
      <c r="MWH188" s="1"/>
      <c r="MWI188" s="1"/>
      <c r="MWJ188" s="1"/>
      <c r="MWK188" s="1"/>
      <c r="MWL188" s="1"/>
      <c r="MWM188" s="1"/>
      <c r="MWN188" s="1"/>
      <c r="MWO188" s="1"/>
      <c r="MWP188" s="1"/>
      <c r="MWQ188" s="1"/>
      <c r="MWR188" s="1"/>
      <c r="MWS188" s="1"/>
      <c r="MWT188" s="1"/>
      <c r="MWU188" s="1"/>
      <c r="MWV188" s="1"/>
      <c r="MWW188" s="1"/>
      <c r="MWX188" s="1"/>
      <c r="MWY188" s="1"/>
      <c r="MWZ188" s="1"/>
      <c r="MXA188" s="1"/>
      <c r="MXB188" s="1"/>
      <c r="MXC188" s="1"/>
      <c r="MXD188" s="1"/>
      <c r="MXE188" s="1"/>
      <c r="MXF188" s="1"/>
      <c r="MXG188" s="1"/>
      <c r="MXH188" s="1"/>
      <c r="MXI188" s="1"/>
      <c r="MXJ188" s="1"/>
      <c r="MXK188" s="1"/>
      <c r="MXL188" s="1"/>
      <c r="MXM188" s="1"/>
      <c r="MXN188" s="1"/>
      <c r="MXO188" s="1"/>
      <c r="MXP188" s="1"/>
      <c r="MXQ188" s="1"/>
      <c r="MXR188" s="1"/>
      <c r="MXS188" s="1"/>
      <c r="MXT188" s="1"/>
      <c r="MXU188" s="1"/>
      <c r="MXV188" s="1"/>
      <c r="MXW188" s="1"/>
      <c r="MXX188" s="1"/>
      <c r="MXY188" s="1"/>
      <c r="MXZ188" s="1"/>
      <c r="MYA188" s="1"/>
      <c r="MYB188" s="1"/>
      <c r="MYC188" s="1"/>
      <c r="MYD188" s="1"/>
      <c r="MYE188" s="1"/>
      <c r="MYF188" s="1"/>
      <c r="MYG188" s="1"/>
      <c r="MYH188" s="1"/>
      <c r="MYI188" s="1"/>
      <c r="MYJ188" s="1"/>
      <c r="MYK188" s="1"/>
      <c r="MYL188" s="1"/>
      <c r="MYM188" s="1"/>
      <c r="MYN188" s="1"/>
      <c r="MYO188" s="1"/>
      <c r="MYP188" s="1"/>
      <c r="MYQ188" s="1"/>
      <c r="MYR188" s="1"/>
      <c r="MYS188" s="1"/>
      <c r="MYT188" s="1"/>
      <c r="MYU188" s="1"/>
      <c r="MYV188" s="1"/>
      <c r="MYW188" s="1"/>
      <c r="MYX188" s="1"/>
      <c r="MYY188" s="1"/>
      <c r="MYZ188" s="1"/>
      <c r="MZA188" s="1"/>
      <c r="MZB188" s="1"/>
      <c r="MZC188" s="1"/>
      <c r="MZD188" s="1"/>
      <c r="MZE188" s="1"/>
      <c r="MZF188" s="1"/>
      <c r="MZG188" s="1"/>
      <c r="MZH188" s="1"/>
      <c r="MZI188" s="1"/>
      <c r="MZJ188" s="1"/>
      <c r="MZK188" s="1"/>
      <c r="MZL188" s="1"/>
      <c r="MZM188" s="1"/>
      <c r="MZN188" s="1"/>
      <c r="MZO188" s="1"/>
      <c r="MZP188" s="1"/>
      <c r="MZQ188" s="1"/>
      <c r="MZR188" s="1"/>
      <c r="MZS188" s="1"/>
      <c r="MZT188" s="1"/>
      <c r="MZU188" s="1"/>
      <c r="MZV188" s="1"/>
      <c r="MZW188" s="1"/>
      <c r="MZX188" s="1"/>
      <c r="MZY188" s="1"/>
      <c r="MZZ188" s="1"/>
      <c r="NAA188" s="1"/>
      <c r="NAB188" s="1"/>
      <c r="NAC188" s="1"/>
      <c r="NAD188" s="1"/>
      <c r="NAE188" s="1"/>
      <c r="NAF188" s="1"/>
      <c r="NAG188" s="1"/>
      <c r="NAH188" s="1"/>
      <c r="NAI188" s="1"/>
      <c r="NAJ188" s="1"/>
      <c r="NAK188" s="1"/>
      <c r="NAL188" s="1"/>
      <c r="NAM188" s="1"/>
      <c r="NAN188" s="1"/>
      <c r="NAO188" s="1"/>
      <c r="NAP188" s="1"/>
      <c r="NAQ188" s="1"/>
      <c r="NAR188" s="1"/>
      <c r="NAS188" s="1"/>
      <c r="NAT188" s="1"/>
      <c r="NAU188" s="1"/>
      <c r="NAV188" s="1"/>
      <c r="NAW188" s="1"/>
      <c r="NAX188" s="1"/>
      <c r="NAY188" s="1"/>
      <c r="NAZ188" s="1"/>
      <c r="NBA188" s="1"/>
      <c r="NBB188" s="1"/>
      <c r="NBC188" s="1"/>
      <c r="NBD188" s="1"/>
      <c r="NBE188" s="1"/>
      <c r="NBF188" s="1"/>
      <c r="NBG188" s="1"/>
      <c r="NBH188" s="1"/>
      <c r="NBI188" s="1"/>
      <c r="NBJ188" s="1"/>
      <c r="NBK188" s="1"/>
      <c r="NBL188" s="1"/>
      <c r="NBM188" s="1"/>
      <c r="NBN188" s="1"/>
      <c r="NBO188" s="1"/>
      <c r="NBP188" s="1"/>
      <c r="NBQ188" s="1"/>
      <c r="NBR188" s="1"/>
      <c r="NBS188" s="1"/>
      <c r="NBT188" s="1"/>
      <c r="NBU188" s="1"/>
      <c r="NBV188" s="1"/>
      <c r="NBW188" s="1"/>
      <c r="NBX188" s="1"/>
      <c r="NBY188" s="1"/>
      <c r="NBZ188" s="1"/>
      <c r="NCA188" s="1"/>
      <c r="NCB188" s="1"/>
      <c r="NCC188" s="1"/>
      <c r="NCD188" s="1"/>
      <c r="NCE188" s="1"/>
      <c r="NCF188" s="1"/>
      <c r="NCG188" s="1"/>
      <c r="NCH188" s="1"/>
      <c r="NCI188" s="1"/>
      <c r="NCJ188" s="1"/>
      <c r="NCK188" s="1"/>
      <c r="NCL188" s="1"/>
      <c r="NCM188" s="1"/>
      <c r="NCN188" s="1"/>
      <c r="NCO188" s="1"/>
      <c r="NCP188" s="1"/>
      <c r="NCQ188" s="1"/>
      <c r="NCR188" s="1"/>
      <c r="NCS188" s="1"/>
      <c r="NCT188" s="1"/>
      <c r="NCU188" s="1"/>
      <c r="NCV188" s="1"/>
      <c r="NCW188" s="1"/>
      <c r="NCX188" s="1"/>
      <c r="NCY188" s="1"/>
      <c r="NCZ188" s="1"/>
      <c r="NDA188" s="1"/>
      <c r="NDB188" s="1"/>
      <c r="NDC188" s="1"/>
      <c r="NDD188" s="1"/>
      <c r="NDE188" s="1"/>
      <c r="NDF188" s="1"/>
      <c r="NDG188" s="1"/>
      <c r="NDH188" s="1"/>
      <c r="NDI188" s="1"/>
      <c r="NDJ188" s="1"/>
      <c r="NDK188" s="1"/>
      <c r="NDL188" s="1"/>
      <c r="NDM188" s="1"/>
      <c r="NDN188" s="1"/>
      <c r="NDO188" s="1"/>
      <c r="NDP188" s="1"/>
      <c r="NDQ188" s="1"/>
      <c r="NDR188" s="1"/>
      <c r="NDS188" s="1"/>
      <c r="NDT188" s="1"/>
      <c r="NDU188" s="1"/>
      <c r="NDV188" s="1"/>
      <c r="NDW188" s="1"/>
      <c r="NDX188" s="1"/>
      <c r="NDY188" s="1"/>
      <c r="NDZ188" s="1"/>
      <c r="NEA188" s="1"/>
      <c r="NEB188" s="1"/>
      <c r="NEC188" s="1"/>
      <c r="NED188" s="1"/>
      <c r="NEE188" s="1"/>
      <c r="NEF188" s="1"/>
      <c r="NEG188" s="1"/>
      <c r="NEH188" s="1"/>
      <c r="NEI188" s="1"/>
      <c r="NEJ188" s="1"/>
      <c r="NEK188" s="1"/>
      <c r="NEL188" s="1"/>
      <c r="NEM188" s="1"/>
      <c r="NEN188" s="1"/>
      <c r="NEO188" s="1"/>
      <c r="NEP188" s="1"/>
      <c r="NEQ188" s="1"/>
      <c r="NER188" s="1"/>
      <c r="NES188" s="1"/>
      <c r="NET188" s="1"/>
      <c r="NEU188" s="1"/>
      <c r="NEV188" s="1"/>
      <c r="NEW188" s="1"/>
      <c r="NEX188" s="1"/>
      <c r="NEY188" s="1"/>
      <c r="NEZ188" s="1"/>
      <c r="NFA188" s="1"/>
      <c r="NFB188" s="1"/>
      <c r="NFC188" s="1"/>
      <c r="NFD188" s="1"/>
      <c r="NFE188" s="1"/>
      <c r="NFF188" s="1"/>
      <c r="NFG188" s="1"/>
      <c r="NFH188" s="1"/>
      <c r="NFI188" s="1"/>
      <c r="NFJ188" s="1"/>
      <c r="NFK188" s="1"/>
      <c r="NFL188" s="1"/>
      <c r="NFM188" s="1"/>
      <c r="NFN188" s="1"/>
      <c r="NFO188" s="1"/>
      <c r="NFP188" s="1"/>
      <c r="NFQ188" s="1"/>
      <c r="NFR188" s="1"/>
      <c r="NFS188" s="1"/>
      <c r="NFT188" s="1"/>
      <c r="NFU188" s="1"/>
      <c r="NFV188" s="1"/>
      <c r="NFW188" s="1"/>
      <c r="NFX188" s="1"/>
      <c r="NFY188" s="1"/>
      <c r="NFZ188" s="1"/>
      <c r="NGA188" s="1"/>
      <c r="NGB188" s="1"/>
      <c r="NGC188" s="1"/>
      <c r="NGD188" s="1"/>
      <c r="NGE188" s="1"/>
      <c r="NGF188" s="1"/>
      <c r="NGG188" s="1"/>
      <c r="NGH188" s="1"/>
      <c r="NGI188" s="1"/>
      <c r="NGJ188" s="1"/>
      <c r="NGK188" s="1"/>
      <c r="NGL188" s="1"/>
      <c r="NGM188" s="1"/>
      <c r="NGN188" s="1"/>
      <c r="NGO188" s="1"/>
      <c r="NGP188" s="1"/>
      <c r="NGQ188" s="1"/>
      <c r="NGR188" s="1"/>
      <c r="NGS188" s="1"/>
      <c r="NGT188" s="1"/>
      <c r="NGU188" s="1"/>
      <c r="NGV188" s="1"/>
      <c r="NGW188" s="1"/>
      <c r="NGX188" s="1"/>
      <c r="NGY188" s="1"/>
      <c r="NGZ188" s="1"/>
      <c r="NHA188" s="1"/>
      <c r="NHB188" s="1"/>
      <c r="NHC188" s="1"/>
      <c r="NHD188" s="1"/>
      <c r="NHE188" s="1"/>
      <c r="NHF188" s="1"/>
      <c r="NHG188" s="1"/>
      <c r="NHH188" s="1"/>
      <c r="NHI188" s="1"/>
      <c r="NHJ188" s="1"/>
      <c r="NHK188" s="1"/>
      <c r="NHL188" s="1"/>
      <c r="NHM188" s="1"/>
      <c r="NHN188" s="1"/>
      <c r="NHO188" s="1"/>
      <c r="NHP188" s="1"/>
      <c r="NHQ188" s="1"/>
      <c r="NHR188" s="1"/>
      <c r="NHS188" s="1"/>
      <c r="NHT188" s="1"/>
      <c r="NHU188" s="1"/>
      <c r="NHV188" s="1"/>
      <c r="NHW188" s="1"/>
      <c r="NHX188" s="1"/>
      <c r="NHY188" s="1"/>
      <c r="NHZ188" s="1"/>
      <c r="NIA188" s="1"/>
      <c r="NIB188" s="1"/>
      <c r="NIC188" s="1"/>
      <c r="NID188" s="1"/>
      <c r="NIE188" s="1"/>
      <c r="NIF188" s="1"/>
      <c r="NIG188" s="1"/>
      <c r="NIH188" s="1"/>
      <c r="NII188" s="1"/>
      <c r="NIJ188" s="1"/>
      <c r="NIK188" s="1"/>
      <c r="NIL188" s="1"/>
      <c r="NIM188" s="1"/>
      <c r="NIN188" s="1"/>
      <c r="NIO188" s="1"/>
      <c r="NIP188" s="1"/>
      <c r="NIQ188" s="1"/>
      <c r="NIR188" s="1"/>
      <c r="NIS188" s="1"/>
      <c r="NIT188" s="1"/>
      <c r="NIU188" s="1"/>
      <c r="NIV188" s="1"/>
      <c r="NIW188" s="1"/>
      <c r="NIX188" s="1"/>
      <c r="NIY188" s="1"/>
      <c r="NIZ188" s="1"/>
      <c r="NJA188" s="1"/>
      <c r="NJB188" s="1"/>
      <c r="NJC188" s="1"/>
      <c r="NJD188" s="1"/>
      <c r="NJE188" s="1"/>
      <c r="NJF188" s="1"/>
      <c r="NJG188" s="1"/>
      <c r="NJH188" s="1"/>
      <c r="NJI188" s="1"/>
      <c r="NJJ188" s="1"/>
      <c r="NJK188" s="1"/>
      <c r="NJL188" s="1"/>
      <c r="NJM188" s="1"/>
      <c r="NJN188" s="1"/>
      <c r="NJO188" s="1"/>
      <c r="NJP188" s="1"/>
      <c r="NJQ188" s="1"/>
      <c r="NJR188" s="1"/>
      <c r="NJS188" s="1"/>
      <c r="NJT188" s="1"/>
      <c r="NJU188" s="1"/>
      <c r="NJV188" s="1"/>
      <c r="NJW188" s="1"/>
      <c r="NJX188" s="1"/>
      <c r="NJY188" s="1"/>
      <c r="NJZ188" s="1"/>
      <c r="NKA188" s="1"/>
      <c r="NKB188" s="1"/>
      <c r="NKC188" s="1"/>
      <c r="NKD188" s="1"/>
      <c r="NKE188" s="1"/>
      <c r="NKF188" s="1"/>
      <c r="NKG188" s="1"/>
      <c r="NKH188" s="1"/>
      <c r="NKI188" s="1"/>
      <c r="NKJ188" s="1"/>
      <c r="NKK188" s="1"/>
      <c r="NKL188" s="1"/>
      <c r="NKM188" s="1"/>
      <c r="NKN188" s="1"/>
      <c r="NKO188" s="1"/>
      <c r="NKP188" s="1"/>
      <c r="NKQ188" s="1"/>
      <c r="NKR188" s="1"/>
      <c r="NKS188" s="1"/>
      <c r="NKT188" s="1"/>
      <c r="NKU188" s="1"/>
      <c r="NKV188" s="1"/>
      <c r="NKW188" s="1"/>
      <c r="NKX188" s="1"/>
      <c r="NKY188" s="1"/>
      <c r="NKZ188" s="1"/>
      <c r="NLA188" s="1"/>
      <c r="NLB188" s="1"/>
      <c r="NLC188" s="1"/>
      <c r="NLD188" s="1"/>
      <c r="NLE188" s="1"/>
      <c r="NLF188" s="1"/>
      <c r="NLG188" s="1"/>
      <c r="NLH188" s="1"/>
      <c r="NLI188" s="1"/>
      <c r="NLJ188" s="1"/>
      <c r="NLK188" s="1"/>
      <c r="NLL188" s="1"/>
      <c r="NLM188" s="1"/>
      <c r="NLN188" s="1"/>
      <c r="NLO188" s="1"/>
      <c r="NLP188" s="1"/>
      <c r="NLQ188" s="1"/>
      <c r="NLR188" s="1"/>
      <c r="NLS188" s="1"/>
      <c r="NLT188" s="1"/>
      <c r="NLU188" s="1"/>
      <c r="NLV188" s="1"/>
      <c r="NLW188" s="1"/>
      <c r="NLX188" s="1"/>
      <c r="NLY188" s="1"/>
      <c r="NLZ188" s="1"/>
      <c r="NMA188" s="1"/>
      <c r="NMB188" s="1"/>
      <c r="NMC188" s="1"/>
      <c r="NMD188" s="1"/>
      <c r="NME188" s="1"/>
      <c r="NMF188" s="1"/>
      <c r="NMG188" s="1"/>
      <c r="NMH188" s="1"/>
      <c r="NMI188" s="1"/>
      <c r="NMJ188" s="1"/>
      <c r="NMK188" s="1"/>
      <c r="NML188" s="1"/>
      <c r="NMM188" s="1"/>
      <c r="NMN188" s="1"/>
      <c r="NMO188" s="1"/>
      <c r="NMP188" s="1"/>
      <c r="NMQ188" s="1"/>
      <c r="NMR188" s="1"/>
      <c r="NMS188" s="1"/>
      <c r="NMT188" s="1"/>
      <c r="NMU188" s="1"/>
      <c r="NMV188" s="1"/>
      <c r="NMW188" s="1"/>
      <c r="NMX188" s="1"/>
      <c r="NMY188" s="1"/>
      <c r="NMZ188" s="1"/>
      <c r="NNA188" s="1"/>
      <c r="NNB188" s="1"/>
      <c r="NNC188" s="1"/>
      <c r="NND188" s="1"/>
      <c r="NNE188" s="1"/>
      <c r="NNF188" s="1"/>
      <c r="NNG188" s="1"/>
      <c r="NNH188" s="1"/>
      <c r="NNI188" s="1"/>
      <c r="NNJ188" s="1"/>
      <c r="NNK188" s="1"/>
      <c r="NNL188" s="1"/>
      <c r="NNM188" s="1"/>
      <c r="NNN188" s="1"/>
      <c r="NNO188" s="1"/>
      <c r="NNP188" s="1"/>
      <c r="NNQ188" s="1"/>
      <c r="NNR188" s="1"/>
      <c r="NNS188" s="1"/>
      <c r="NNT188" s="1"/>
      <c r="NNU188" s="1"/>
      <c r="NNV188" s="1"/>
      <c r="NNW188" s="1"/>
      <c r="NNX188" s="1"/>
      <c r="NNY188" s="1"/>
      <c r="NNZ188" s="1"/>
      <c r="NOA188" s="1"/>
      <c r="NOB188" s="1"/>
      <c r="NOC188" s="1"/>
      <c r="NOD188" s="1"/>
      <c r="NOE188" s="1"/>
      <c r="NOF188" s="1"/>
      <c r="NOG188" s="1"/>
      <c r="NOH188" s="1"/>
      <c r="NOI188" s="1"/>
      <c r="NOJ188" s="1"/>
      <c r="NOK188" s="1"/>
      <c r="NOL188" s="1"/>
      <c r="NOM188" s="1"/>
      <c r="NON188" s="1"/>
      <c r="NOO188" s="1"/>
      <c r="NOP188" s="1"/>
      <c r="NOQ188" s="1"/>
      <c r="NOR188" s="1"/>
      <c r="NOS188" s="1"/>
      <c r="NOT188" s="1"/>
      <c r="NOU188" s="1"/>
      <c r="NOV188" s="1"/>
      <c r="NOW188" s="1"/>
      <c r="NOX188" s="1"/>
      <c r="NOY188" s="1"/>
      <c r="NOZ188" s="1"/>
      <c r="NPA188" s="1"/>
      <c r="NPB188" s="1"/>
      <c r="NPC188" s="1"/>
      <c r="NPD188" s="1"/>
      <c r="NPE188" s="1"/>
      <c r="NPF188" s="1"/>
      <c r="NPG188" s="1"/>
      <c r="NPH188" s="1"/>
      <c r="NPI188" s="1"/>
      <c r="NPJ188" s="1"/>
      <c r="NPK188" s="1"/>
      <c r="NPL188" s="1"/>
      <c r="NPM188" s="1"/>
      <c r="NPN188" s="1"/>
      <c r="NPO188" s="1"/>
      <c r="NPP188" s="1"/>
      <c r="NPQ188" s="1"/>
      <c r="NPR188" s="1"/>
      <c r="NPS188" s="1"/>
      <c r="NPT188" s="1"/>
      <c r="NPU188" s="1"/>
      <c r="NPV188" s="1"/>
      <c r="NPW188" s="1"/>
      <c r="NPX188" s="1"/>
      <c r="NPY188" s="1"/>
      <c r="NPZ188" s="1"/>
      <c r="NQA188" s="1"/>
      <c r="NQB188" s="1"/>
      <c r="NQC188" s="1"/>
      <c r="NQD188" s="1"/>
      <c r="NQE188" s="1"/>
      <c r="NQF188" s="1"/>
      <c r="NQG188" s="1"/>
      <c r="NQH188" s="1"/>
      <c r="NQI188" s="1"/>
      <c r="NQJ188" s="1"/>
      <c r="NQK188" s="1"/>
      <c r="NQL188" s="1"/>
      <c r="NQM188" s="1"/>
      <c r="NQN188" s="1"/>
      <c r="NQO188" s="1"/>
      <c r="NQP188" s="1"/>
      <c r="NQQ188" s="1"/>
      <c r="NQR188" s="1"/>
      <c r="NQS188" s="1"/>
      <c r="NQT188" s="1"/>
      <c r="NQU188" s="1"/>
      <c r="NQV188" s="1"/>
      <c r="NQW188" s="1"/>
      <c r="NQX188" s="1"/>
      <c r="NQY188" s="1"/>
      <c r="NQZ188" s="1"/>
      <c r="NRA188" s="1"/>
      <c r="NRB188" s="1"/>
      <c r="NRC188" s="1"/>
      <c r="NRD188" s="1"/>
      <c r="NRE188" s="1"/>
      <c r="NRF188" s="1"/>
      <c r="NRG188" s="1"/>
      <c r="NRH188" s="1"/>
      <c r="NRI188" s="1"/>
      <c r="NRJ188" s="1"/>
      <c r="NRK188" s="1"/>
      <c r="NRL188" s="1"/>
      <c r="NRM188" s="1"/>
      <c r="NRN188" s="1"/>
      <c r="NRO188" s="1"/>
      <c r="NRP188" s="1"/>
      <c r="NRQ188" s="1"/>
      <c r="NRR188" s="1"/>
      <c r="NRS188" s="1"/>
      <c r="NRT188" s="1"/>
      <c r="NRU188" s="1"/>
      <c r="NRV188" s="1"/>
      <c r="NRW188" s="1"/>
      <c r="NRX188" s="1"/>
      <c r="NRY188" s="1"/>
      <c r="NRZ188" s="1"/>
      <c r="NSA188" s="1"/>
      <c r="NSB188" s="1"/>
      <c r="NSC188" s="1"/>
      <c r="NSD188" s="1"/>
      <c r="NSE188" s="1"/>
      <c r="NSF188" s="1"/>
      <c r="NSG188" s="1"/>
      <c r="NSH188" s="1"/>
      <c r="NSI188" s="1"/>
      <c r="NSJ188" s="1"/>
      <c r="NSK188" s="1"/>
      <c r="NSL188" s="1"/>
      <c r="NSM188" s="1"/>
      <c r="NSN188" s="1"/>
      <c r="NSO188" s="1"/>
      <c r="NSP188" s="1"/>
      <c r="NSQ188" s="1"/>
      <c r="NSR188" s="1"/>
      <c r="NSS188" s="1"/>
      <c r="NST188" s="1"/>
      <c r="NSU188" s="1"/>
      <c r="NSV188" s="1"/>
      <c r="NSW188" s="1"/>
      <c r="NSX188" s="1"/>
      <c r="NSY188" s="1"/>
      <c r="NSZ188" s="1"/>
      <c r="NTA188" s="1"/>
      <c r="NTB188" s="1"/>
      <c r="NTC188" s="1"/>
      <c r="NTD188" s="1"/>
      <c r="NTE188" s="1"/>
      <c r="NTF188" s="1"/>
      <c r="NTG188" s="1"/>
      <c r="NTH188" s="1"/>
      <c r="NTI188" s="1"/>
      <c r="NTJ188" s="1"/>
      <c r="NTK188" s="1"/>
      <c r="NTL188" s="1"/>
      <c r="NTM188" s="1"/>
      <c r="NTN188" s="1"/>
      <c r="NTO188" s="1"/>
      <c r="NTP188" s="1"/>
      <c r="NTQ188" s="1"/>
      <c r="NTR188" s="1"/>
      <c r="NTS188" s="1"/>
      <c r="NTT188" s="1"/>
      <c r="NTU188" s="1"/>
      <c r="NTV188" s="1"/>
      <c r="NTW188" s="1"/>
      <c r="NTX188" s="1"/>
      <c r="NTY188" s="1"/>
      <c r="NTZ188" s="1"/>
      <c r="NUA188" s="1"/>
      <c r="NUB188" s="1"/>
      <c r="NUC188" s="1"/>
      <c r="NUD188" s="1"/>
      <c r="NUE188" s="1"/>
      <c r="NUF188" s="1"/>
      <c r="NUG188" s="1"/>
      <c r="NUH188" s="1"/>
      <c r="NUI188" s="1"/>
      <c r="NUJ188" s="1"/>
      <c r="NUK188" s="1"/>
      <c r="NUL188" s="1"/>
      <c r="NUM188" s="1"/>
      <c r="NUN188" s="1"/>
      <c r="NUO188" s="1"/>
      <c r="NUP188" s="1"/>
      <c r="NUQ188" s="1"/>
      <c r="NUR188" s="1"/>
      <c r="NUS188" s="1"/>
      <c r="NUT188" s="1"/>
      <c r="NUU188" s="1"/>
      <c r="NUV188" s="1"/>
      <c r="NUW188" s="1"/>
      <c r="NUX188" s="1"/>
      <c r="NUY188" s="1"/>
      <c r="NUZ188" s="1"/>
      <c r="NVA188" s="1"/>
      <c r="NVB188" s="1"/>
      <c r="NVC188" s="1"/>
      <c r="NVD188" s="1"/>
      <c r="NVE188" s="1"/>
      <c r="NVF188" s="1"/>
      <c r="NVG188" s="1"/>
      <c r="NVH188" s="1"/>
      <c r="NVI188" s="1"/>
      <c r="NVJ188" s="1"/>
      <c r="NVK188" s="1"/>
      <c r="NVL188" s="1"/>
      <c r="NVM188" s="1"/>
      <c r="NVN188" s="1"/>
      <c r="NVO188" s="1"/>
      <c r="NVP188" s="1"/>
      <c r="NVQ188" s="1"/>
      <c r="NVR188" s="1"/>
      <c r="NVS188" s="1"/>
      <c r="NVT188" s="1"/>
      <c r="NVU188" s="1"/>
      <c r="NVV188" s="1"/>
      <c r="NVW188" s="1"/>
      <c r="NVX188" s="1"/>
      <c r="NVY188" s="1"/>
      <c r="NVZ188" s="1"/>
      <c r="NWA188" s="1"/>
      <c r="NWB188" s="1"/>
      <c r="NWC188" s="1"/>
      <c r="NWD188" s="1"/>
      <c r="NWE188" s="1"/>
      <c r="NWF188" s="1"/>
      <c r="NWG188" s="1"/>
      <c r="NWH188" s="1"/>
      <c r="NWI188" s="1"/>
      <c r="NWJ188" s="1"/>
      <c r="NWK188" s="1"/>
      <c r="NWL188" s="1"/>
      <c r="NWM188" s="1"/>
      <c r="NWN188" s="1"/>
      <c r="NWO188" s="1"/>
      <c r="NWP188" s="1"/>
      <c r="NWQ188" s="1"/>
      <c r="NWR188" s="1"/>
      <c r="NWS188" s="1"/>
      <c r="NWT188" s="1"/>
      <c r="NWU188" s="1"/>
      <c r="NWV188" s="1"/>
      <c r="NWW188" s="1"/>
      <c r="NWX188" s="1"/>
      <c r="NWY188" s="1"/>
      <c r="NWZ188" s="1"/>
      <c r="NXA188" s="1"/>
      <c r="NXB188" s="1"/>
      <c r="NXC188" s="1"/>
      <c r="NXD188" s="1"/>
      <c r="NXE188" s="1"/>
      <c r="NXF188" s="1"/>
      <c r="NXG188" s="1"/>
      <c r="NXH188" s="1"/>
      <c r="NXI188" s="1"/>
      <c r="NXJ188" s="1"/>
      <c r="NXK188" s="1"/>
      <c r="NXL188" s="1"/>
      <c r="NXM188" s="1"/>
      <c r="NXN188" s="1"/>
      <c r="NXO188" s="1"/>
      <c r="NXP188" s="1"/>
      <c r="NXQ188" s="1"/>
      <c r="NXR188" s="1"/>
      <c r="NXS188" s="1"/>
      <c r="NXT188" s="1"/>
      <c r="NXU188" s="1"/>
      <c r="NXV188" s="1"/>
      <c r="NXW188" s="1"/>
      <c r="NXX188" s="1"/>
      <c r="NXY188" s="1"/>
      <c r="NXZ188" s="1"/>
      <c r="NYA188" s="1"/>
      <c r="NYB188" s="1"/>
      <c r="NYC188" s="1"/>
      <c r="NYD188" s="1"/>
      <c r="NYE188" s="1"/>
      <c r="NYF188" s="1"/>
      <c r="NYG188" s="1"/>
      <c r="NYH188" s="1"/>
      <c r="NYI188" s="1"/>
      <c r="NYJ188" s="1"/>
      <c r="NYK188" s="1"/>
      <c r="NYL188" s="1"/>
      <c r="NYM188" s="1"/>
      <c r="NYN188" s="1"/>
      <c r="NYO188" s="1"/>
      <c r="NYP188" s="1"/>
      <c r="NYQ188" s="1"/>
      <c r="NYR188" s="1"/>
      <c r="NYS188" s="1"/>
      <c r="NYT188" s="1"/>
      <c r="NYU188" s="1"/>
      <c r="NYV188" s="1"/>
      <c r="NYW188" s="1"/>
      <c r="NYX188" s="1"/>
      <c r="NYY188" s="1"/>
      <c r="NYZ188" s="1"/>
      <c r="NZA188" s="1"/>
      <c r="NZB188" s="1"/>
      <c r="NZC188" s="1"/>
      <c r="NZD188" s="1"/>
      <c r="NZE188" s="1"/>
      <c r="NZF188" s="1"/>
      <c r="NZG188" s="1"/>
      <c r="NZH188" s="1"/>
      <c r="NZI188" s="1"/>
      <c r="NZJ188" s="1"/>
      <c r="NZK188" s="1"/>
      <c r="NZL188" s="1"/>
      <c r="NZM188" s="1"/>
      <c r="NZN188" s="1"/>
      <c r="NZO188" s="1"/>
      <c r="NZP188" s="1"/>
      <c r="NZQ188" s="1"/>
      <c r="NZR188" s="1"/>
      <c r="NZS188" s="1"/>
      <c r="NZT188" s="1"/>
      <c r="NZU188" s="1"/>
      <c r="NZV188" s="1"/>
      <c r="NZW188" s="1"/>
      <c r="NZX188" s="1"/>
      <c r="NZY188" s="1"/>
      <c r="NZZ188" s="1"/>
      <c r="OAA188" s="1"/>
      <c r="OAB188" s="1"/>
      <c r="OAC188" s="1"/>
      <c r="OAD188" s="1"/>
      <c r="OAE188" s="1"/>
      <c r="OAF188" s="1"/>
      <c r="OAG188" s="1"/>
      <c r="OAH188" s="1"/>
      <c r="OAI188" s="1"/>
      <c r="OAJ188" s="1"/>
      <c r="OAK188" s="1"/>
      <c r="OAL188" s="1"/>
      <c r="OAM188" s="1"/>
      <c r="OAN188" s="1"/>
      <c r="OAO188" s="1"/>
      <c r="OAP188" s="1"/>
      <c r="OAQ188" s="1"/>
      <c r="OAR188" s="1"/>
      <c r="OAS188" s="1"/>
      <c r="OAT188" s="1"/>
      <c r="OAU188" s="1"/>
      <c r="OAV188" s="1"/>
      <c r="OAW188" s="1"/>
      <c r="OAX188" s="1"/>
      <c r="OAY188" s="1"/>
      <c r="OAZ188" s="1"/>
      <c r="OBA188" s="1"/>
      <c r="OBB188" s="1"/>
      <c r="OBC188" s="1"/>
      <c r="OBD188" s="1"/>
      <c r="OBE188" s="1"/>
      <c r="OBF188" s="1"/>
      <c r="OBG188" s="1"/>
      <c r="OBH188" s="1"/>
      <c r="OBI188" s="1"/>
      <c r="OBJ188" s="1"/>
      <c r="OBK188" s="1"/>
      <c r="OBL188" s="1"/>
      <c r="OBM188" s="1"/>
      <c r="OBN188" s="1"/>
      <c r="OBO188" s="1"/>
      <c r="OBP188" s="1"/>
      <c r="OBQ188" s="1"/>
      <c r="OBR188" s="1"/>
      <c r="OBS188" s="1"/>
      <c r="OBT188" s="1"/>
      <c r="OBU188" s="1"/>
      <c r="OBV188" s="1"/>
      <c r="OBW188" s="1"/>
      <c r="OBX188" s="1"/>
      <c r="OBY188" s="1"/>
      <c r="OBZ188" s="1"/>
      <c r="OCA188" s="1"/>
      <c r="OCB188" s="1"/>
      <c r="OCC188" s="1"/>
      <c r="OCD188" s="1"/>
      <c r="OCE188" s="1"/>
      <c r="OCF188" s="1"/>
      <c r="OCG188" s="1"/>
      <c r="OCH188" s="1"/>
      <c r="OCI188" s="1"/>
      <c r="OCJ188" s="1"/>
      <c r="OCK188" s="1"/>
      <c r="OCL188" s="1"/>
      <c r="OCM188" s="1"/>
      <c r="OCN188" s="1"/>
      <c r="OCO188" s="1"/>
      <c r="OCP188" s="1"/>
      <c r="OCQ188" s="1"/>
      <c r="OCR188" s="1"/>
      <c r="OCS188" s="1"/>
      <c r="OCT188" s="1"/>
      <c r="OCU188" s="1"/>
      <c r="OCV188" s="1"/>
      <c r="OCW188" s="1"/>
      <c r="OCX188" s="1"/>
      <c r="OCY188" s="1"/>
      <c r="OCZ188" s="1"/>
      <c r="ODA188" s="1"/>
      <c r="ODB188" s="1"/>
      <c r="ODC188" s="1"/>
      <c r="ODD188" s="1"/>
      <c r="ODE188" s="1"/>
      <c r="ODF188" s="1"/>
      <c r="ODG188" s="1"/>
      <c r="ODH188" s="1"/>
      <c r="ODI188" s="1"/>
      <c r="ODJ188" s="1"/>
      <c r="ODK188" s="1"/>
      <c r="ODL188" s="1"/>
      <c r="ODM188" s="1"/>
      <c r="ODN188" s="1"/>
      <c r="ODO188" s="1"/>
      <c r="ODP188" s="1"/>
      <c r="ODQ188" s="1"/>
      <c r="ODR188" s="1"/>
      <c r="ODS188" s="1"/>
      <c r="ODT188" s="1"/>
      <c r="ODU188" s="1"/>
      <c r="ODV188" s="1"/>
      <c r="ODW188" s="1"/>
      <c r="ODX188" s="1"/>
      <c r="ODY188" s="1"/>
      <c r="ODZ188" s="1"/>
      <c r="OEA188" s="1"/>
      <c r="OEB188" s="1"/>
      <c r="OEC188" s="1"/>
      <c r="OED188" s="1"/>
      <c r="OEE188" s="1"/>
      <c r="OEF188" s="1"/>
      <c r="OEG188" s="1"/>
      <c r="OEH188" s="1"/>
      <c r="OEI188" s="1"/>
      <c r="OEJ188" s="1"/>
      <c r="OEK188" s="1"/>
      <c r="OEL188" s="1"/>
      <c r="OEM188" s="1"/>
      <c r="OEN188" s="1"/>
      <c r="OEO188" s="1"/>
      <c r="OEP188" s="1"/>
      <c r="OEQ188" s="1"/>
      <c r="OER188" s="1"/>
      <c r="OES188" s="1"/>
      <c r="OET188" s="1"/>
      <c r="OEU188" s="1"/>
      <c r="OEV188" s="1"/>
      <c r="OEW188" s="1"/>
      <c r="OEX188" s="1"/>
      <c r="OEY188" s="1"/>
      <c r="OEZ188" s="1"/>
      <c r="OFA188" s="1"/>
      <c r="OFB188" s="1"/>
      <c r="OFC188" s="1"/>
      <c r="OFD188" s="1"/>
      <c r="OFE188" s="1"/>
      <c r="OFF188" s="1"/>
      <c r="OFG188" s="1"/>
      <c r="OFH188" s="1"/>
      <c r="OFI188" s="1"/>
      <c r="OFJ188" s="1"/>
      <c r="OFK188" s="1"/>
      <c r="OFL188" s="1"/>
      <c r="OFM188" s="1"/>
      <c r="OFN188" s="1"/>
      <c r="OFO188" s="1"/>
      <c r="OFP188" s="1"/>
      <c r="OFQ188" s="1"/>
      <c r="OFR188" s="1"/>
      <c r="OFS188" s="1"/>
      <c r="OFT188" s="1"/>
      <c r="OFU188" s="1"/>
      <c r="OFV188" s="1"/>
      <c r="OFW188" s="1"/>
      <c r="OFX188" s="1"/>
      <c r="OFY188" s="1"/>
      <c r="OFZ188" s="1"/>
      <c r="OGA188" s="1"/>
      <c r="OGB188" s="1"/>
      <c r="OGC188" s="1"/>
      <c r="OGD188" s="1"/>
      <c r="OGE188" s="1"/>
      <c r="OGF188" s="1"/>
      <c r="OGG188" s="1"/>
      <c r="OGH188" s="1"/>
      <c r="OGI188" s="1"/>
      <c r="OGJ188" s="1"/>
      <c r="OGK188" s="1"/>
      <c r="OGL188" s="1"/>
      <c r="OGM188" s="1"/>
      <c r="OGN188" s="1"/>
      <c r="OGO188" s="1"/>
      <c r="OGP188" s="1"/>
      <c r="OGQ188" s="1"/>
      <c r="OGR188" s="1"/>
      <c r="OGS188" s="1"/>
      <c r="OGT188" s="1"/>
      <c r="OGU188" s="1"/>
      <c r="OGV188" s="1"/>
      <c r="OGW188" s="1"/>
      <c r="OGX188" s="1"/>
      <c r="OGY188" s="1"/>
      <c r="OGZ188" s="1"/>
      <c r="OHA188" s="1"/>
      <c r="OHB188" s="1"/>
      <c r="OHC188" s="1"/>
      <c r="OHD188" s="1"/>
      <c r="OHE188" s="1"/>
      <c r="OHF188" s="1"/>
      <c r="OHG188" s="1"/>
      <c r="OHH188" s="1"/>
      <c r="OHI188" s="1"/>
      <c r="OHJ188" s="1"/>
      <c r="OHK188" s="1"/>
      <c r="OHL188" s="1"/>
      <c r="OHM188" s="1"/>
      <c r="OHN188" s="1"/>
      <c r="OHO188" s="1"/>
      <c r="OHP188" s="1"/>
      <c r="OHQ188" s="1"/>
      <c r="OHR188" s="1"/>
      <c r="OHS188" s="1"/>
      <c r="OHT188" s="1"/>
      <c r="OHU188" s="1"/>
      <c r="OHV188" s="1"/>
      <c r="OHW188" s="1"/>
      <c r="OHX188" s="1"/>
      <c r="OHY188" s="1"/>
      <c r="OHZ188" s="1"/>
      <c r="OIA188" s="1"/>
      <c r="OIB188" s="1"/>
      <c r="OIC188" s="1"/>
      <c r="OID188" s="1"/>
      <c r="OIE188" s="1"/>
      <c r="OIF188" s="1"/>
      <c r="OIG188" s="1"/>
      <c r="OIH188" s="1"/>
      <c r="OII188" s="1"/>
      <c r="OIJ188" s="1"/>
      <c r="OIK188" s="1"/>
      <c r="OIL188" s="1"/>
      <c r="OIM188" s="1"/>
      <c r="OIN188" s="1"/>
      <c r="OIO188" s="1"/>
      <c r="OIP188" s="1"/>
      <c r="OIQ188" s="1"/>
      <c r="OIR188" s="1"/>
      <c r="OIS188" s="1"/>
      <c r="OIT188" s="1"/>
      <c r="OIU188" s="1"/>
      <c r="OIV188" s="1"/>
      <c r="OIW188" s="1"/>
      <c r="OIX188" s="1"/>
      <c r="OIY188" s="1"/>
      <c r="OIZ188" s="1"/>
      <c r="OJA188" s="1"/>
      <c r="OJB188" s="1"/>
      <c r="OJC188" s="1"/>
      <c r="OJD188" s="1"/>
      <c r="OJE188" s="1"/>
      <c r="OJF188" s="1"/>
      <c r="OJG188" s="1"/>
      <c r="OJH188" s="1"/>
      <c r="OJI188" s="1"/>
      <c r="OJJ188" s="1"/>
      <c r="OJK188" s="1"/>
      <c r="OJL188" s="1"/>
      <c r="OJM188" s="1"/>
      <c r="OJN188" s="1"/>
      <c r="OJO188" s="1"/>
      <c r="OJP188" s="1"/>
      <c r="OJQ188" s="1"/>
      <c r="OJR188" s="1"/>
      <c r="OJS188" s="1"/>
      <c r="OJT188" s="1"/>
      <c r="OJU188" s="1"/>
      <c r="OJV188" s="1"/>
      <c r="OJW188" s="1"/>
      <c r="OJX188" s="1"/>
      <c r="OJY188" s="1"/>
      <c r="OJZ188" s="1"/>
      <c r="OKA188" s="1"/>
      <c r="OKB188" s="1"/>
      <c r="OKC188" s="1"/>
      <c r="OKD188" s="1"/>
      <c r="OKE188" s="1"/>
      <c r="OKF188" s="1"/>
      <c r="OKG188" s="1"/>
      <c r="OKH188" s="1"/>
      <c r="OKI188" s="1"/>
      <c r="OKJ188" s="1"/>
      <c r="OKK188" s="1"/>
      <c r="OKL188" s="1"/>
      <c r="OKM188" s="1"/>
      <c r="OKN188" s="1"/>
      <c r="OKO188" s="1"/>
      <c r="OKP188" s="1"/>
      <c r="OKQ188" s="1"/>
      <c r="OKR188" s="1"/>
      <c r="OKS188" s="1"/>
      <c r="OKT188" s="1"/>
      <c r="OKU188" s="1"/>
      <c r="OKV188" s="1"/>
      <c r="OKW188" s="1"/>
      <c r="OKX188" s="1"/>
      <c r="OKY188" s="1"/>
      <c r="OKZ188" s="1"/>
      <c r="OLA188" s="1"/>
      <c r="OLB188" s="1"/>
      <c r="OLC188" s="1"/>
      <c r="OLD188" s="1"/>
      <c r="OLE188" s="1"/>
      <c r="OLF188" s="1"/>
      <c r="OLG188" s="1"/>
      <c r="OLH188" s="1"/>
      <c r="OLI188" s="1"/>
      <c r="OLJ188" s="1"/>
      <c r="OLK188" s="1"/>
      <c r="OLL188" s="1"/>
      <c r="OLM188" s="1"/>
      <c r="OLN188" s="1"/>
      <c r="OLO188" s="1"/>
      <c r="OLP188" s="1"/>
      <c r="OLQ188" s="1"/>
      <c r="OLR188" s="1"/>
      <c r="OLS188" s="1"/>
      <c r="OLT188" s="1"/>
      <c r="OLU188" s="1"/>
      <c r="OLV188" s="1"/>
      <c r="OLW188" s="1"/>
      <c r="OLX188" s="1"/>
      <c r="OLY188" s="1"/>
      <c r="OLZ188" s="1"/>
      <c r="OMA188" s="1"/>
      <c r="OMB188" s="1"/>
      <c r="OMC188" s="1"/>
      <c r="OMD188" s="1"/>
      <c r="OME188" s="1"/>
      <c r="OMF188" s="1"/>
      <c r="OMG188" s="1"/>
      <c r="OMH188" s="1"/>
      <c r="OMI188" s="1"/>
      <c r="OMJ188" s="1"/>
      <c r="OMK188" s="1"/>
      <c r="OML188" s="1"/>
      <c r="OMM188" s="1"/>
      <c r="OMN188" s="1"/>
      <c r="OMO188" s="1"/>
      <c r="OMP188" s="1"/>
      <c r="OMQ188" s="1"/>
      <c r="OMR188" s="1"/>
      <c r="OMS188" s="1"/>
      <c r="OMT188" s="1"/>
      <c r="OMU188" s="1"/>
      <c r="OMV188" s="1"/>
      <c r="OMW188" s="1"/>
      <c r="OMX188" s="1"/>
      <c r="OMY188" s="1"/>
      <c r="OMZ188" s="1"/>
      <c r="ONA188" s="1"/>
      <c r="ONB188" s="1"/>
      <c r="ONC188" s="1"/>
      <c r="OND188" s="1"/>
      <c r="ONE188" s="1"/>
      <c r="ONF188" s="1"/>
      <c r="ONG188" s="1"/>
      <c r="ONH188" s="1"/>
      <c r="ONI188" s="1"/>
      <c r="ONJ188" s="1"/>
      <c r="ONK188" s="1"/>
      <c r="ONL188" s="1"/>
      <c r="ONM188" s="1"/>
      <c r="ONN188" s="1"/>
      <c r="ONO188" s="1"/>
      <c r="ONP188" s="1"/>
      <c r="ONQ188" s="1"/>
      <c r="ONR188" s="1"/>
      <c r="ONS188" s="1"/>
      <c r="ONT188" s="1"/>
      <c r="ONU188" s="1"/>
      <c r="ONV188" s="1"/>
      <c r="ONW188" s="1"/>
      <c r="ONX188" s="1"/>
      <c r="ONY188" s="1"/>
      <c r="ONZ188" s="1"/>
      <c r="OOA188" s="1"/>
      <c r="OOB188" s="1"/>
      <c r="OOC188" s="1"/>
      <c r="OOD188" s="1"/>
      <c r="OOE188" s="1"/>
      <c r="OOF188" s="1"/>
      <c r="OOG188" s="1"/>
      <c r="OOH188" s="1"/>
      <c r="OOI188" s="1"/>
      <c r="OOJ188" s="1"/>
      <c r="OOK188" s="1"/>
      <c r="OOL188" s="1"/>
      <c r="OOM188" s="1"/>
      <c r="OON188" s="1"/>
      <c r="OOO188" s="1"/>
      <c r="OOP188" s="1"/>
      <c r="OOQ188" s="1"/>
      <c r="OOR188" s="1"/>
      <c r="OOS188" s="1"/>
      <c r="OOT188" s="1"/>
      <c r="OOU188" s="1"/>
      <c r="OOV188" s="1"/>
      <c r="OOW188" s="1"/>
      <c r="OOX188" s="1"/>
      <c r="OOY188" s="1"/>
      <c r="OOZ188" s="1"/>
      <c r="OPA188" s="1"/>
      <c r="OPB188" s="1"/>
      <c r="OPC188" s="1"/>
      <c r="OPD188" s="1"/>
      <c r="OPE188" s="1"/>
      <c r="OPF188" s="1"/>
      <c r="OPG188" s="1"/>
      <c r="OPH188" s="1"/>
      <c r="OPI188" s="1"/>
      <c r="OPJ188" s="1"/>
      <c r="OPK188" s="1"/>
      <c r="OPL188" s="1"/>
      <c r="OPM188" s="1"/>
      <c r="OPN188" s="1"/>
      <c r="OPO188" s="1"/>
      <c r="OPP188" s="1"/>
      <c r="OPQ188" s="1"/>
      <c r="OPR188" s="1"/>
      <c r="OPS188" s="1"/>
      <c r="OPT188" s="1"/>
      <c r="OPU188" s="1"/>
      <c r="OPV188" s="1"/>
      <c r="OPW188" s="1"/>
      <c r="OPX188" s="1"/>
      <c r="OPY188" s="1"/>
      <c r="OPZ188" s="1"/>
      <c r="OQA188" s="1"/>
      <c r="OQB188" s="1"/>
      <c r="OQC188" s="1"/>
      <c r="OQD188" s="1"/>
      <c r="OQE188" s="1"/>
      <c r="OQF188" s="1"/>
      <c r="OQG188" s="1"/>
      <c r="OQH188" s="1"/>
      <c r="OQI188" s="1"/>
      <c r="OQJ188" s="1"/>
      <c r="OQK188" s="1"/>
      <c r="OQL188" s="1"/>
      <c r="OQM188" s="1"/>
      <c r="OQN188" s="1"/>
      <c r="OQO188" s="1"/>
      <c r="OQP188" s="1"/>
      <c r="OQQ188" s="1"/>
      <c r="OQR188" s="1"/>
      <c r="OQS188" s="1"/>
      <c r="OQT188" s="1"/>
      <c r="OQU188" s="1"/>
      <c r="OQV188" s="1"/>
      <c r="OQW188" s="1"/>
      <c r="OQX188" s="1"/>
      <c r="OQY188" s="1"/>
      <c r="OQZ188" s="1"/>
      <c r="ORA188" s="1"/>
      <c r="ORB188" s="1"/>
      <c r="ORC188" s="1"/>
      <c r="ORD188" s="1"/>
      <c r="ORE188" s="1"/>
      <c r="ORF188" s="1"/>
      <c r="ORG188" s="1"/>
      <c r="ORH188" s="1"/>
      <c r="ORI188" s="1"/>
      <c r="ORJ188" s="1"/>
      <c r="ORK188" s="1"/>
      <c r="ORL188" s="1"/>
      <c r="ORM188" s="1"/>
      <c r="ORN188" s="1"/>
      <c r="ORO188" s="1"/>
      <c r="ORP188" s="1"/>
      <c r="ORQ188" s="1"/>
      <c r="ORR188" s="1"/>
      <c r="ORS188" s="1"/>
      <c r="ORT188" s="1"/>
      <c r="ORU188" s="1"/>
      <c r="ORV188" s="1"/>
      <c r="ORW188" s="1"/>
      <c r="ORX188" s="1"/>
      <c r="ORY188" s="1"/>
      <c r="ORZ188" s="1"/>
      <c r="OSA188" s="1"/>
      <c r="OSB188" s="1"/>
      <c r="OSC188" s="1"/>
      <c r="OSD188" s="1"/>
      <c r="OSE188" s="1"/>
      <c r="OSF188" s="1"/>
      <c r="OSG188" s="1"/>
      <c r="OSH188" s="1"/>
      <c r="OSI188" s="1"/>
      <c r="OSJ188" s="1"/>
      <c r="OSK188" s="1"/>
      <c r="OSL188" s="1"/>
      <c r="OSM188" s="1"/>
      <c r="OSN188" s="1"/>
      <c r="OSO188" s="1"/>
      <c r="OSP188" s="1"/>
      <c r="OSQ188" s="1"/>
      <c r="OSR188" s="1"/>
      <c r="OSS188" s="1"/>
      <c r="OST188" s="1"/>
      <c r="OSU188" s="1"/>
      <c r="OSV188" s="1"/>
      <c r="OSW188" s="1"/>
      <c r="OSX188" s="1"/>
      <c r="OSY188" s="1"/>
      <c r="OSZ188" s="1"/>
      <c r="OTA188" s="1"/>
      <c r="OTB188" s="1"/>
      <c r="OTC188" s="1"/>
      <c r="OTD188" s="1"/>
      <c r="OTE188" s="1"/>
      <c r="OTF188" s="1"/>
      <c r="OTG188" s="1"/>
      <c r="OTH188" s="1"/>
      <c r="OTI188" s="1"/>
      <c r="OTJ188" s="1"/>
      <c r="OTK188" s="1"/>
      <c r="OTL188" s="1"/>
      <c r="OTM188" s="1"/>
      <c r="OTN188" s="1"/>
      <c r="OTO188" s="1"/>
      <c r="OTP188" s="1"/>
      <c r="OTQ188" s="1"/>
      <c r="OTR188" s="1"/>
      <c r="OTS188" s="1"/>
      <c r="OTT188" s="1"/>
      <c r="OTU188" s="1"/>
      <c r="OTV188" s="1"/>
      <c r="OTW188" s="1"/>
      <c r="OTX188" s="1"/>
      <c r="OTY188" s="1"/>
      <c r="OTZ188" s="1"/>
      <c r="OUA188" s="1"/>
      <c r="OUB188" s="1"/>
      <c r="OUC188" s="1"/>
      <c r="OUD188" s="1"/>
      <c r="OUE188" s="1"/>
      <c r="OUF188" s="1"/>
      <c r="OUG188" s="1"/>
      <c r="OUH188" s="1"/>
      <c r="OUI188" s="1"/>
      <c r="OUJ188" s="1"/>
      <c r="OUK188" s="1"/>
      <c r="OUL188" s="1"/>
      <c r="OUM188" s="1"/>
      <c r="OUN188" s="1"/>
      <c r="OUO188" s="1"/>
      <c r="OUP188" s="1"/>
      <c r="OUQ188" s="1"/>
      <c r="OUR188" s="1"/>
      <c r="OUS188" s="1"/>
      <c r="OUT188" s="1"/>
      <c r="OUU188" s="1"/>
      <c r="OUV188" s="1"/>
      <c r="OUW188" s="1"/>
      <c r="OUX188" s="1"/>
      <c r="OUY188" s="1"/>
      <c r="OUZ188" s="1"/>
      <c r="OVA188" s="1"/>
      <c r="OVB188" s="1"/>
      <c r="OVC188" s="1"/>
      <c r="OVD188" s="1"/>
      <c r="OVE188" s="1"/>
      <c r="OVF188" s="1"/>
      <c r="OVG188" s="1"/>
      <c r="OVH188" s="1"/>
      <c r="OVI188" s="1"/>
      <c r="OVJ188" s="1"/>
      <c r="OVK188" s="1"/>
      <c r="OVL188" s="1"/>
      <c r="OVM188" s="1"/>
      <c r="OVN188" s="1"/>
      <c r="OVO188" s="1"/>
      <c r="OVP188" s="1"/>
      <c r="OVQ188" s="1"/>
      <c r="OVR188" s="1"/>
      <c r="OVS188" s="1"/>
      <c r="OVT188" s="1"/>
      <c r="OVU188" s="1"/>
      <c r="OVV188" s="1"/>
      <c r="OVW188" s="1"/>
      <c r="OVX188" s="1"/>
      <c r="OVY188" s="1"/>
      <c r="OVZ188" s="1"/>
      <c r="OWA188" s="1"/>
      <c r="OWB188" s="1"/>
      <c r="OWC188" s="1"/>
      <c r="OWD188" s="1"/>
      <c r="OWE188" s="1"/>
      <c r="OWF188" s="1"/>
      <c r="OWG188" s="1"/>
      <c r="OWH188" s="1"/>
      <c r="OWI188" s="1"/>
      <c r="OWJ188" s="1"/>
      <c r="OWK188" s="1"/>
      <c r="OWL188" s="1"/>
      <c r="OWM188" s="1"/>
      <c r="OWN188" s="1"/>
      <c r="OWO188" s="1"/>
      <c r="OWP188" s="1"/>
      <c r="OWQ188" s="1"/>
      <c r="OWR188" s="1"/>
      <c r="OWS188" s="1"/>
      <c r="OWT188" s="1"/>
      <c r="OWU188" s="1"/>
      <c r="OWV188" s="1"/>
      <c r="OWW188" s="1"/>
      <c r="OWX188" s="1"/>
      <c r="OWY188" s="1"/>
      <c r="OWZ188" s="1"/>
      <c r="OXA188" s="1"/>
      <c r="OXB188" s="1"/>
      <c r="OXC188" s="1"/>
      <c r="OXD188" s="1"/>
      <c r="OXE188" s="1"/>
      <c r="OXF188" s="1"/>
      <c r="OXG188" s="1"/>
      <c r="OXH188" s="1"/>
      <c r="OXI188" s="1"/>
      <c r="OXJ188" s="1"/>
      <c r="OXK188" s="1"/>
      <c r="OXL188" s="1"/>
      <c r="OXM188" s="1"/>
      <c r="OXN188" s="1"/>
      <c r="OXO188" s="1"/>
      <c r="OXP188" s="1"/>
      <c r="OXQ188" s="1"/>
      <c r="OXR188" s="1"/>
      <c r="OXS188" s="1"/>
      <c r="OXT188" s="1"/>
      <c r="OXU188" s="1"/>
      <c r="OXV188" s="1"/>
      <c r="OXW188" s="1"/>
      <c r="OXX188" s="1"/>
      <c r="OXY188" s="1"/>
      <c r="OXZ188" s="1"/>
      <c r="OYA188" s="1"/>
      <c r="OYB188" s="1"/>
      <c r="OYC188" s="1"/>
      <c r="OYD188" s="1"/>
      <c r="OYE188" s="1"/>
      <c r="OYF188" s="1"/>
      <c r="OYG188" s="1"/>
      <c r="OYH188" s="1"/>
      <c r="OYI188" s="1"/>
      <c r="OYJ188" s="1"/>
      <c r="OYK188" s="1"/>
      <c r="OYL188" s="1"/>
      <c r="OYM188" s="1"/>
      <c r="OYN188" s="1"/>
      <c r="OYO188" s="1"/>
      <c r="OYP188" s="1"/>
      <c r="OYQ188" s="1"/>
      <c r="OYR188" s="1"/>
      <c r="OYS188" s="1"/>
      <c r="OYT188" s="1"/>
      <c r="OYU188" s="1"/>
      <c r="OYV188" s="1"/>
      <c r="OYW188" s="1"/>
      <c r="OYX188" s="1"/>
      <c r="OYY188" s="1"/>
      <c r="OYZ188" s="1"/>
      <c r="OZA188" s="1"/>
      <c r="OZB188" s="1"/>
      <c r="OZC188" s="1"/>
      <c r="OZD188" s="1"/>
      <c r="OZE188" s="1"/>
      <c r="OZF188" s="1"/>
      <c r="OZG188" s="1"/>
      <c r="OZH188" s="1"/>
      <c r="OZI188" s="1"/>
      <c r="OZJ188" s="1"/>
      <c r="OZK188" s="1"/>
      <c r="OZL188" s="1"/>
      <c r="OZM188" s="1"/>
      <c r="OZN188" s="1"/>
      <c r="OZO188" s="1"/>
      <c r="OZP188" s="1"/>
      <c r="OZQ188" s="1"/>
      <c r="OZR188" s="1"/>
      <c r="OZS188" s="1"/>
      <c r="OZT188" s="1"/>
      <c r="OZU188" s="1"/>
      <c r="OZV188" s="1"/>
      <c r="OZW188" s="1"/>
      <c r="OZX188" s="1"/>
      <c r="OZY188" s="1"/>
      <c r="OZZ188" s="1"/>
      <c r="PAA188" s="1"/>
      <c r="PAB188" s="1"/>
      <c r="PAC188" s="1"/>
      <c r="PAD188" s="1"/>
      <c r="PAE188" s="1"/>
      <c r="PAF188" s="1"/>
      <c r="PAG188" s="1"/>
      <c r="PAH188" s="1"/>
      <c r="PAI188" s="1"/>
      <c r="PAJ188" s="1"/>
      <c r="PAK188" s="1"/>
      <c r="PAL188" s="1"/>
      <c r="PAM188" s="1"/>
      <c r="PAN188" s="1"/>
      <c r="PAO188" s="1"/>
      <c r="PAP188" s="1"/>
      <c r="PAQ188" s="1"/>
      <c r="PAR188" s="1"/>
      <c r="PAS188" s="1"/>
      <c r="PAT188" s="1"/>
      <c r="PAU188" s="1"/>
      <c r="PAV188" s="1"/>
      <c r="PAW188" s="1"/>
      <c r="PAX188" s="1"/>
      <c r="PAY188" s="1"/>
      <c r="PAZ188" s="1"/>
      <c r="PBA188" s="1"/>
      <c r="PBB188" s="1"/>
      <c r="PBC188" s="1"/>
      <c r="PBD188" s="1"/>
      <c r="PBE188" s="1"/>
      <c r="PBF188" s="1"/>
      <c r="PBG188" s="1"/>
      <c r="PBH188" s="1"/>
      <c r="PBI188" s="1"/>
      <c r="PBJ188" s="1"/>
      <c r="PBK188" s="1"/>
      <c r="PBL188" s="1"/>
      <c r="PBM188" s="1"/>
      <c r="PBN188" s="1"/>
      <c r="PBO188" s="1"/>
      <c r="PBP188" s="1"/>
      <c r="PBQ188" s="1"/>
      <c r="PBR188" s="1"/>
      <c r="PBS188" s="1"/>
      <c r="PBT188" s="1"/>
      <c r="PBU188" s="1"/>
      <c r="PBV188" s="1"/>
      <c r="PBW188" s="1"/>
      <c r="PBX188" s="1"/>
      <c r="PBY188" s="1"/>
      <c r="PBZ188" s="1"/>
      <c r="PCA188" s="1"/>
      <c r="PCB188" s="1"/>
      <c r="PCC188" s="1"/>
      <c r="PCD188" s="1"/>
      <c r="PCE188" s="1"/>
      <c r="PCF188" s="1"/>
      <c r="PCG188" s="1"/>
      <c r="PCH188" s="1"/>
      <c r="PCI188" s="1"/>
      <c r="PCJ188" s="1"/>
      <c r="PCK188" s="1"/>
      <c r="PCL188" s="1"/>
      <c r="PCM188" s="1"/>
      <c r="PCN188" s="1"/>
      <c r="PCO188" s="1"/>
      <c r="PCP188" s="1"/>
      <c r="PCQ188" s="1"/>
      <c r="PCR188" s="1"/>
      <c r="PCS188" s="1"/>
      <c r="PCT188" s="1"/>
      <c r="PCU188" s="1"/>
      <c r="PCV188" s="1"/>
      <c r="PCW188" s="1"/>
      <c r="PCX188" s="1"/>
      <c r="PCY188" s="1"/>
      <c r="PCZ188" s="1"/>
      <c r="PDA188" s="1"/>
      <c r="PDB188" s="1"/>
      <c r="PDC188" s="1"/>
      <c r="PDD188" s="1"/>
      <c r="PDE188" s="1"/>
      <c r="PDF188" s="1"/>
      <c r="PDG188" s="1"/>
      <c r="PDH188" s="1"/>
      <c r="PDI188" s="1"/>
      <c r="PDJ188" s="1"/>
      <c r="PDK188" s="1"/>
      <c r="PDL188" s="1"/>
      <c r="PDM188" s="1"/>
      <c r="PDN188" s="1"/>
      <c r="PDO188" s="1"/>
      <c r="PDP188" s="1"/>
      <c r="PDQ188" s="1"/>
      <c r="PDR188" s="1"/>
      <c r="PDS188" s="1"/>
      <c r="PDT188" s="1"/>
      <c r="PDU188" s="1"/>
      <c r="PDV188" s="1"/>
      <c r="PDW188" s="1"/>
      <c r="PDX188" s="1"/>
      <c r="PDY188" s="1"/>
      <c r="PDZ188" s="1"/>
      <c r="PEA188" s="1"/>
      <c r="PEB188" s="1"/>
      <c r="PEC188" s="1"/>
      <c r="PED188" s="1"/>
      <c r="PEE188" s="1"/>
      <c r="PEF188" s="1"/>
      <c r="PEG188" s="1"/>
      <c r="PEH188" s="1"/>
      <c r="PEI188" s="1"/>
      <c r="PEJ188" s="1"/>
      <c r="PEK188" s="1"/>
      <c r="PEL188" s="1"/>
      <c r="PEM188" s="1"/>
      <c r="PEN188" s="1"/>
      <c r="PEO188" s="1"/>
      <c r="PEP188" s="1"/>
      <c r="PEQ188" s="1"/>
      <c r="PER188" s="1"/>
      <c r="PES188" s="1"/>
      <c r="PET188" s="1"/>
      <c r="PEU188" s="1"/>
      <c r="PEV188" s="1"/>
      <c r="PEW188" s="1"/>
      <c r="PEX188" s="1"/>
      <c r="PEY188" s="1"/>
      <c r="PEZ188" s="1"/>
      <c r="PFA188" s="1"/>
      <c r="PFB188" s="1"/>
      <c r="PFC188" s="1"/>
      <c r="PFD188" s="1"/>
      <c r="PFE188" s="1"/>
      <c r="PFF188" s="1"/>
      <c r="PFG188" s="1"/>
      <c r="PFH188" s="1"/>
      <c r="PFI188" s="1"/>
      <c r="PFJ188" s="1"/>
      <c r="PFK188" s="1"/>
      <c r="PFL188" s="1"/>
      <c r="PFM188" s="1"/>
      <c r="PFN188" s="1"/>
      <c r="PFO188" s="1"/>
      <c r="PFP188" s="1"/>
      <c r="PFQ188" s="1"/>
      <c r="PFR188" s="1"/>
      <c r="PFS188" s="1"/>
      <c r="PFT188" s="1"/>
      <c r="PFU188" s="1"/>
      <c r="PFV188" s="1"/>
      <c r="PFW188" s="1"/>
      <c r="PFX188" s="1"/>
      <c r="PFY188" s="1"/>
      <c r="PFZ188" s="1"/>
      <c r="PGA188" s="1"/>
      <c r="PGB188" s="1"/>
      <c r="PGC188" s="1"/>
      <c r="PGD188" s="1"/>
      <c r="PGE188" s="1"/>
      <c r="PGF188" s="1"/>
      <c r="PGG188" s="1"/>
      <c r="PGH188" s="1"/>
      <c r="PGI188" s="1"/>
      <c r="PGJ188" s="1"/>
      <c r="PGK188" s="1"/>
      <c r="PGL188" s="1"/>
      <c r="PGM188" s="1"/>
      <c r="PGN188" s="1"/>
      <c r="PGO188" s="1"/>
      <c r="PGP188" s="1"/>
      <c r="PGQ188" s="1"/>
      <c r="PGR188" s="1"/>
      <c r="PGS188" s="1"/>
      <c r="PGT188" s="1"/>
      <c r="PGU188" s="1"/>
      <c r="PGV188" s="1"/>
      <c r="PGW188" s="1"/>
      <c r="PGX188" s="1"/>
      <c r="PGY188" s="1"/>
      <c r="PGZ188" s="1"/>
      <c r="PHA188" s="1"/>
      <c r="PHB188" s="1"/>
      <c r="PHC188" s="1"/>
      <c r="PHD188" s="1"/>
      <c r="PHE188" s="1"/>
      <c r="PHF188" s="1"/>
      <c r="PHG188" s="1"/>
      <c r="PHH188" s="1"/>
      <c r="PHI188" s="1"/>
      <c r="PHJ188" s="1"/>
      <c r="PHK188" s="1"/>
      <c r="PHL188" s="1"/>
      <c r="PHM188" s="1"/>
      <c r="PHN188" s="1"/>
      <c r="PHO188" s="1"/>
      <c r="PHP188" s="1"/>
      <c r="PHQ188" s="1"/>
      <c r="PHR188" s="1"/>
      <c r="PHS188" s="1"/>
      <c r="PHT188" s="1"/>
      <c r="PHU188" s="1"/>
      <c r="PHV188" s="1"/>
      <c r="PHW188" s="1"/>
      <c r="PHX188" s="1"/>
      <c r="PHY188" s="1"/>
      <c r="PHZ188" s="1"/>
      <c r="PIA188" s="1"/>
      <c r="PIB188" s="1"/>
      <c r="PIC188" s="1"/>
      <c r="PID188" s="1"/>
      <c r="PIE188" s="1"/>
      <c r="PIF188" s="1"/>
      <c r="PIG188" s="1"/>
      <c r="PIH188" s="1"/>
      <c r="PII188" s="1"/>
      <c r="PIJ188" s="1"/>
      <c r="PIK188" s="1"/>
      <c r="PIL188" s="1"/>
      <c r="PIM188" s="1"/>
      <c r="PIN188" s="1"/>
      <c r="PIO188" s="1"/>
      <c r="PIP188" s="1"/>
      <c r="PIQ188" s="1"/>
      <c r="PIR188" s="1"/>
      <c r="PIS188" s="1"/>
      <c r="PIT188" s="1"/>
      <c r="PIU188" s="1"/>
      <c r="PIV188" s="1"/>
      <c r="PIW188" s="1"/>
      <c r="PIX188" s="1"/>
      <c r="PIY188" s="1"/>
      <c r="PIZ188" s="1"/>
      <c r="PJA188" s="1"/>
      <c r="PJB188" s="1"/>
      <c r="PJC188" s="1"/>
      <c r="PJD188" s="1"/>
      <c r="PJE188" s="1"/>
      <c r="PJF188" s="1"/>
      <c r="PJG188" s="1"/>
      <c r="PJH188" s="1"/>
      <c r="PJI188" s="1"/>
      <c r="PJJ188" s="1"/>
      <c r="PJK188" s="1"/>
      <c r="PJL188" s="1"/>
      <c r="PJM188" s="1"/>
      <c r="PJN188" s="1"/>
      <c r="PJO188" s="1"/>
      <c r="PJP188" s="1"/>
      <c r="PJQ188" s="1"/>
      <c r="PJR188" s="1"/>
      <c r="PJS188" s="1"/>
      <c r="PJT188" s="1"/>
      <c r="PJU188" s="1"/>
      <c r="PJV188" s="1"/>
      <c r="PJW188" s="1"/>
      <c r="PJX188" s="1"/>
      <c r="PJY188" s="1"/>
      <c r="PJZ188" s="1"/>
      <c r="PKA188" s="1"/>
      <c r="PKB188" s="1"/>
      <c r="PKC188" s="1"/>
      <c r="PKD188" s="1"/>
      <c r="PKE188" s="1"/>
      <c r="PKF188" s="1"/>
      <c r="PKG188" s="1"/>
      <c r="PKH188" s="1"/>
      <c r="PKI188" s="1"/>
      <c r="PKJ188" s="1"/>
      <c r="PKK188" s="1"/>
      <c r="PKL188" s="1"/>
      <c r="PKM188" s="1"/>
      <c r="PKN188" s="1"/>
      <c r="PKO188" s="1"/>
      <c r="PKP188" s="1"/>
      <c r="PKQ188" s="1"/>
      <c r="PKR188" s="1"/>
      <c r="PKS188" s="1"/>
      <c r="PKT188" s="1"/>
      <c r="PKU188" s="1"/>
      <c r="PKV188" s="1"/>
      <c r="PKW188" s="1"/>
      <c r="PKX188" s="1"/>
      <c r="PKY188" s="1"/>
      <c r="PKZ188" s="1"/>
      <c r="PLA188" s="1"/>
      <c r="PLB188" s="1"/>
      <c r="PLC188" s="1"/>
      <c r="PLD188" s="1"/>
      <c r="PLE188" s="1"/>
      <c r="PLF188" s="1"/>
      <c r="PLG188" s="1"/>
      <c r="PLH188" s="1"/>
      <c r="PLI188" s="1"/>
      <c r="PLJ188" s="1"/>
      <c r="PLK188" s="1"/>
      <c r="PLL188" s="1"/>
      <c r="PLM188" s="1"/>
      <c r="PLN188" s="1"/>
      <c r="PLO188" s="1"/>
      <c r="PLP188" s="1"/>
      <c r="PLQ188" s="1"/>
      <c r="PLR188" s="1"/>
      <c r="PLS188" s="1"/>
      <c r="PLT188" s="1"/>
      <c r="PLU188" s="1"/>
      <c r="PLV188" s="1"/>
      <c r="PLW188" s="1"/>
      <c r="PLX188" s="1"/>
      <c r="PLY188" s="1"/>
      <c r="PLZ188" s="1"/>
      <c r="PMA188" s="1"/>
      <c r="PMB188" s="1"/>
      <c r="PMC188" s="1"/>
      <c r="PMD188" s="1"/>
      <c r="PME188" s="1"/>
      <c r="PMF188" s="1"/>
      <c r="PMG188" s="1"/>
      <c r="PMH188" s="1"/>
      <c r="PMI188" s="1"/>
      <c r="PMJ188" s="1"/>
      <c r="PMK188" s="1"/>
      <c r="PML188" s="1"/>
      <c r="PMM188" s="1"/>
      <c r="PMN188" s="1"/>
      <c r="PMO188" s="1"/>
      <c r="PMP188" s="1"/>
      <c r="PMQ188" s="1"/>
      <c r="PMR188" s="1"/>
      <c r="PMS188" s="1"/>
      <c r="PMT188" s="1"/>
      <c r="PMU188" s="1"/>
      <c r="PMV188" s="1"/>
      <c r="PMW188" s="1"/>
      <c r="PMX188" s="1"/>
      <c r="PMY188" s="1"/>
      <c r="PMZ188" s="1"/>
      <c r="PNA188" s="1"/>
      <c r="PNB188" s="1"/>
      <c r="PNC188" s="1"/>
      <c r="PND188" s="1"/>
      <c r="PNE188" s="1"/>
      <c r="PNF188" s="1"/>
      <c r="PNG188" s="1"/>
      <c r="PNH188" s="1"/>
      <c r="PNI188" s="1"/>
      <c r="PNJ188" s="1"/>
      <c r="PNK188" s="1"/>
      <c r="PNL188" s="1"/>
      <c r="PNM188" s="1"/>
      <c r="PNN188" s="1"/>
      <c r="PNO188" s="1"/>
      <c r="PNP188" s="1"/>
      <c r="PNQ188" s="1"/>
      <c r="PNR188" s="1"/>
      <c r="PNS188" s="1"/>
      <c r="PNT188" s="1"/>
      <c r="PNU188" s="1"/>
      <c r="PNV188" s="1"/>
      <c r="PNW188" s="1"/>
      <c r="PNX188" s="1"/>
      <c r="PNY188" s="1"/>
      <c r="PNZ188" s="1"/>
      <c r="POA188" s="1"/>
      <c r="POB188" s="1"/>
      <c r="POC188" s="1"/>
      <c r="POD188" s="1"/>
      <c r="POE188" s="1"/>
      <c r="POF188" s="1"/>
      <c r="POG188" s="1"/>
      <c r="POH188" s="1"/>
      <c r="POI188" s="1"/>
      <c r="POJ188" s="1"/>
      <c r="POK188" s="1"/>
      <c r="POL188" s="1"/>
      <c r="POM188" s="1"/>
      <c r="PON188" s="1"/>
      <c r="POO188" s="1"/>
      <c r="POP188" s="1"/>
      <c r="POQ188" s="1"/>
      <c r="POR188" s="1"/>
      <c r="POS188" s="1"/>
      <c r="POT188" s="1"/>
      <c r="POU188" s="1"/>
      <c r="POV188" s="1"/>
      <c r="POW188" s="1"/>
      <c r="POX188" s="1"/>
      <c r="POY188" s="1"/>
      <c r="POZ188" s="1"/>
      <c r="PPA188" s="1"/>
      <c r="PPB188" s="1"/>
      <c r="PPC188" s="1"/>
      <c r="PPD188" s="1"/>
      <c r="PPE188" s="1"/>
      <c r="PPF188" s="1"/>
      <c r="PPG188" s="1"/>
      <c r="PPH188" s="1"/>
      <c r="PPI188" s="1"/>
      <c r="PPJ188" s="1"/>
      <c r="PPK188" s="1"/>
      <c r="PPL188" s="1"/>
      <c r="PPM188" s="1"/>
      <c r="PPN188" s="1"/>
      <c r="PPO188" s="1"/>
      <c r="PPP188" s="1"/>
      <c r="PPQ188" s="1"/>
      <c r="PPR188" s="1"/>
      <c r="PPS188" s="1"/>
      <c r="PPT188" s="1"/>
      <c r="PPU188" s="1"/>
      <c r="PPV188" s="1"/>
      <c r="PPW188" s="1"/>
      <c r="PPX188" s="1"/>
      <c r="PPY188" s="1"/>
      <c r="PPZ188" s="1"/>
      <c r="PQA188" s="1"/>
      <c r="PQB188" s="1"/>
      <c r="PQC188" s="1"/>
      <c r="PQD188" s="1"/>
      <c r="PQE188" s="1"/>
      <c r="PQF188" s="1"/>
      <c r="PQG188" s="1"/>
      <c r="PQH188" s="1"/>
      <c r="PQI188" s="1"/>
      <c r="PQJ188" s="1"/>
      <c r="PQK188" s="1"/>
      <c r="PQL188" s="1"/>
      <c r="PQM188" s="1"/>
      <c r="PQN188" s="1"/>
      <c r="PQO188" s="1"/>
      <c r="PQP188" s="1"/>
      <c r="PQQ188" s="1"/>
      <c r="PQR188" s="1"/>
      <c r="PQS188" s="1"/>
      <c r="PQT188" s="1"/>
      <c r="PQU188" s="1"/>
      <c r="PQV188" s="1"/>
      <c r="PQW188" s="1"/>
      <c r="PQX188" s="1"/>
      <c r="PQY188" s="1"/>
      <c r="PQZ188" s="1"/>
      <c r="PRA188" s="1"/>
      <c r="PRB188" s="1"/>
      <c r="PRC188" s="1"/>
      <c r="PRD188" s="1"/>
      <c r="PRE188" s="1"/>
      <c r="PRF188" s="1"/>
      <c r="PRG188" s="1"/>
      <c r="PRH188" s="1"/>
      <c r="PRI188" s="1"/>
      <c r="PRJ188" s="1"/>
      <c r="PRK188" s="1"/>
      <c r="PRL188" s="1"/>
      <c r="PRM188" s="1"/>
      <c r="PRN188" s="1"/>
      <c r="PRO188" s="1"/>
      <c r="PRP188" s="1"/>
      <c r="PRQ188" s="1"/>
      <c r="PRR188" s="1"/>
      <c r="PRS188" s="1"/>
      <c r="PRT188" s="1"/>
      <c r="PRU188" s="1"/>
      <c r="PRV188" s="1"/>
      <c r="PRW188" s="1"/>
      <c r="PRX188" s="1"/>
      <c r="PRY188" s="1"/>
      <c r="PRZ188" s="1"/>
      <c r="PSA188" s="1"/>
      <c r="PSB188" s="1"/>
      <c r="PSC188" s="1"/>
      <c r="PSD188" s="1"/>
      <c r="PSE188" s="1"/>
      <c r="PSF188" s="1"/>
      <c r="PSG188" s="1"/>
      <c r="PSH188" s="1"/>
      <c r="PSI188" s="1"/>
      <c r="PSJ188" s="1"/>
      <c r="PSK188" s="1"/>
      <c r="PSL188" s="1"/>
      <c r="PSM188" s="1"/>
      <c r="PSN188" s="1"/>
      <c r="PSO188" s="1"/>
      <c r="PSP188" s="1"/>
      <c r="PSQ188" s="1"/>
      <c r="PSR188" s="1"/>
      <c r="PSS188" s="1"/>
      <c r="PST188" s="1"/>
      <c r="PSU188" s="1"/>
      <c r="PSV188" s="1"/>
      <c r="PSW188" s="1"/>
      <c r="PSX188" s="1"/>
      <c r="PSY188" s="1"/>
      <c r="PSZ188" s="1"/>
      <c r="PTA188" s="1"/>
      <c r="PTB188" s="1"/>
      <c r="PTC188" s="1"/>
      <c r="PTD188" s="1"/>
      <c r="PTE188" s="1"/>
      <c r="PTF188" s="1"/>
      <c r="PTG188" s="1"/>
      <c r="PTH188" s="1"/>
      <c r="PTI188" s="1"/>
      <c r="PTJ188" s="1"/>
      <c r="PTK188" s="1"/>
      <c r="PTL188" s="1"/>
      <c r="PTM188" s="1"/>
      <c r="PTN188" s="1"/>
      <c r="PTO188" s="1"/>
      <c r="PTP188" s="1"/>
      <c r="PTQ188" s="1"/>
      <c r="PTR188" s="1"/>
      <c r="PTS188" s="1"/>
      <c r="PTT188" s="1"/>
      <c r="PTU188" s="1"/>
      <c r="PTV188" s="1"/>
      <c r="PTW188" s="1"/>
      <c r="PTX188" s="1"/>
      <c r="PTY188" s="1"/>
      <c r="PTZ188" s="1"/>
      <c r="PUA188" s="1"/>
      <c r="PUB188" s="1"/>
      <c r="PUC188" s="1"/>
      <c r="PUD188" s="1"/>
      <c r="PUE188" s="1"/>
      <c r="PUF188" s="1"/>
      <c r="PUG188" s="1"/>
      <c r="PUH188" s="1"/>
      <c r="PUI188" s="1"/>
      <c r="PUJ188" s="1"/>
      <c r="PUK188" s="1"/>
      <c r="PUL188" s="1"/>
      <c r="PUM188" s="1"/>
      <c r="PUN188" s="1"/>
      <c r="PUO188" s="1"/>
      <c r="PUP188" s="1"/>
      <c r="PUQ188" s="1"/>
      <c r="PUR188" s="1"/>
      <c r="PUS188" s="1"/>
      <c r="PUT188" s="1"/>
      <c r="PUU188" s="1"/>
      <c r="PUV188" s="1"/>
      <c r="PUW188" s="1"/>
      <c r="PUX188" s="1"/>
      <c r="PUY188" s="1"/>
      <c r="PUZ188" s="1"/>
      <c r="PVA188" s="1"/>
      <c r="PVB188" s="1"/>
      <c r="PVC188" s="1"/>
      <c r="PVD188" s="1"/>
      <c r="PVE188" s="1"/>
      <c r="PVF188" s="1"/>
      <c r="PVG188" s="1"/>
      <c r="PVH188" s="1"/>
      <c r="PVI188" s="1"/>
      <c r="PVJ188" s="1"/>
      <c r="PVK188" s="1"/>
      <c r="PVL188" s="1"/>
      <c r="PVM188" s="1"/>
      <c r="PVN188" s="1"/>
      <c r="PVO188" s="1"/>
      <c r="PVP188" s="1"/>
      <c r="PVQ188" s="1"/>
      <c r="PVR188" s="1"/>
      <c r="PVS188" s="1"/>
      <c r="PVT188" s="1"/>
      <c r="PVU188" s="1"/>
      <c r="PVV188" s="1"/>
      <c r="PVW188" s="1"/>
      <c r="PVX188" s="1"/>
      <c r="PVY188" s="1"/>
      <c r="PVZ188" s="1"/>
      <c r="PWA188" s="1"/>
      <c r="PWB188" s="1"/>
      <c r="PWC188" s="1"/>
      <c r="PWD188" s="1"/>
      <c r="PWE188" s="1"/>
      <c r="PWF188" s="1"/>
      <c r="PWG188" s="1"/>
      <c r="PWH188" s="1"/>
      <c r="PWI188" s="1"/>
      <c r="PWJ188" s="1"/>
      <c r="PWK188" s="1"/>
      <c r="PWL188" s="1"/>
      <c r="PWM188" s="1"/>
      <c r="PWN188" s="1"/>
      <c r="PWO188" s="1"/>
      <c r="PWP188" s="1"/>
      <c r="PWQ188" s="1"/>
      <c r="PWR188" s="1"/>
      <c r="PWS188" s="1"/>
      <c r="PWT188" s="1"/>
      <c r="PWU188" s="1"/>
      <c r="PWV188" s="1"/>
      <c r="PWW188" s="1"/>
      <c r="PWX188" s="1"/>
      <c r="PWY188" s="1"/>
      <c r="PWZ188" s="1"/>
      <c r="PXA188" s="1"/>
      <c r="PXB188" s="1"/>
      <c r="PXC188" s="1"/>
      <c r="PXD188" s="1"/>
      <c r="PXE188" s="1"/>
      <c r="PXF188" s="1"/>
      <c r="PXG188" s="1"/>
      <c r="PXH188" s="1"/>
      <c r="PXI188" s="1"/>
      <c r="PXJ188" s="1"/>
      <c r="PXK188" s="1"/>
      <c r="PXL188" s="1"/>
      <c r="PXM188" s="1"/>
      <c r="PXN188" s="1"/>
      <c r="PXO188" s="1"/>
      <c r="PXP188" s="1"/>
      <c r="PXQ188" s="1"/>
      <c r="PXR188" s="1"/>
      <c r="PXS188" s="1"/>
      <c r="PXT188" s="1"/>
      <c r="PXU188" s="1"/>
      <c r="PXV188" s="1"/>
      <c r="PXW188" s="1"/>
      <c r="PXX188" s="1"/>
      <c r="PXY188" s="1"/>
      <c r="PXZ188" s="1"/>
      <c r="PYA188" s="1"/>
      <c r="PYB188" s="1"/>
      <c r="PYC188" s="1"/>
      <c r="PYD188" s="1"/>
      <c r="PYE188" s="1"/>
      <c r="PYF188" s="1"/>
      <c r="PYG188" s="1"/>
      <c r="PYH188" s="1"/>
      <c r="PYI188" s="1"/>
      <c r="PYJ188" s="1"/>
      <c r="PYK188" s="1"/>
      <c r="PYL188" s="1"/>
      <c r="PYM188" s="1"/>
      <c r="PYN188" s="1"/>
      <c r="PYO188" s="1"/>
      <c r="PYP188" s="1"/>
      <c r="PYQ188" s="1"/>
      <c r="PYR188" s="1"/>
      <c r="PYS188" s="1"/>
      <c r="PYT188" s="1"/>
      <c r="PYU188" s="1"/>
      <c r="PYV188" s="1"/>
      <c r="PYW188" s="1"/>
      <c r="PYX188" s="1"/>
      <c r="PYY188" s="1"/>
      <c r="PYZ188" s="1"/>
      <c r="PZA188" s="1"/>
      <c r="PZB188" s="1"/>
      <c r="PZC188" s="1"/>
      <c r="PZD188" s="1"/>
      <c r="PZE188" s="1"/>
      <c r="PZF188" s="1"/>
      <c r="PZG188" s="1"/>
      <c r="PZH188" s="1"/>
      <c r="PZI188" s="1"/>
      <c r="PZJ188" s="1"/>
      <c r="PZK188" s="1"/>
      <c r="PZL188" s="1"/>
      <c r="PZM188" s="1"/>
      <c r="PZN188" s="1"/>
      <c r="PZO188" s="1"/>
      <c r="PZP188" s="1"/>
      <c r="PZQ188" s="1"/>
      <c r="PZR188" s="1"/>
      <c r="PZS188" s="1"/>
      <c r="PZT188" s="1"/>
      <c r="PZU188" s="1"/>
      <c r="PZV188" s="1"/>
      <c r="PZW188" s="1"/>
      <c r="PZX188" s="1"/>
      <c r="PZY188" s="1"/>
      <c r="PZZ188" s="1"/>
      <c r="QAA188" s="1"/>
      <c r="QAB188" s="1"/>
      <c r="QAC188" s="1"/>
      <c r="QAD188" s="1"/>
      <c r="QAE188" s="1"/>
      <c r="QAF188" s="1"/>
      <c r="QAG188" s="1"/>
      <c r="QAH188" s="1"/>
      <c r="QAI188" s="1"/>
      <c r="QAJ188" s="1"/>
      <c r="QAK188" s="1"/>
      <c r="QAL188" s="1"/>
      <c r="QAM188" s="1"/>
      <c r="QAN188" s="1"/>
      <c r="QAO188" s="1"/>
      <c r="QAP188" s="1"/>
      <c r="QAQ188" s="1"/>
      <c r="QAR188" s="1"/>
      <c r="QAS188" s="1"/>
      <c r="QAT188" s="1"/>
      <c r="QAU188" s="1"/>
      <c r="QAV188" s="1"/>
      <c r="QAW188" s="1"/>
      <c r="QAX188" s="1"/>
      <c r="QAY188" s="1"/>
      <c r="QAZ188" s="1"/>
      <c r="QBA188" s="1"/>
      <c r="QBB188" s="1"/>
      <c r="QBC188" s="1"/>
      <c r="QBD188" s="1"/>
      <c r="QBE188" s="1"/>
      <c r="QBF188" s="1"/>
      <c r="QBG188" s="1"/>
      <c r="QBH188" s="1"/>
      <c r="QBI188" s="1"/>
      <c r="QBJ188" s="1"/>
      <c r="QBK188" s="1"/>
      <c r="QBL188" s="1"/>
      <c r="QBM188" s="1"/>
      <c r="QBN188" s="1"/>
      <c r="QBO188" s="1"/>
      <c r="QBP188" s="1"/>
      <c r="QBQ188" s="1"/>
      <c r="QBR188" s="1"/>
      <c r="QBS188" s="1"/>
      <c r="QBT188" s="1"/>
      <c r="QBU188" s="1"/>
      <c r="QBV188" s="1"/>
      <c r="QBW188" s="1"/>
      <c r="QBX188" s="1"/>
      <c r="QBY188" s="1"/>
      <c r="QBZ188" s="1"/>
      <c r="QCA188" s="1"/>
      <c r="QCB188" s="1"/>
      <c r="QCC188" s="1"/>
      <c r="QCD188" s="1"/>
      <c r="QCE188" s="1"/>
      <c r="QCF188" s="1"/>
      <c r="QCG188" s="1"/>
      <c r="QCH188" s="1"/>
      <c r="QCI188" s="1"/>
      <c r="QCJ188" s="1"/>
      <c r="QCK188" s="1"/>
      <c r="QCL188" s="1"/>
      <c r="QCM188" s="1"/>
      <c r="QCN188" s="1"/>
      <c r="QCO188" s="1"/>
      <c r="QCP188" s="1"/>
      <c r="QCQ188" s="1"/>
      <c r="QCR188" s="1"/>
      <c r="QCS188" s="1"/>
      <c r="QCT188" s="1"/>
      <c r="QCU188" s="1"/>
      <c r="QCV188" s="1"/>
      <c r="QCW188" s="1"/>
      <c r="QCX188" s="1"/>
      <c r="QCY188" s="1"/>
      <c r="QCZ188" s="1"/>
      <c r="QDA188" s="1"/>
      <c r="QDB188" s="1"/>
      <c r="QDC188" s="1"/>
      <c r="QDD188" s="1"/>
      <c r="QDE188" s="1"/>
      <c r="QDF188" s="1"/>
      <c r="QDG188" s="1"/>
      <c r="QDH188" s="1"/>
      <c r="QDI188" s="1"/>
      <c r="QDJ188" s="1"/>
      <c r="QDK188" s="1"/>
      <c r="QDL188" s="1"/>
      <c r="QDM188" s="1"/>
      <c r="QDN188" s="1"/>
      <c r="QDO188" s="1"/>
      <c r="QDP188" s="1"/>
      <c r="QDQ188" s="1"/>
      <c r="QDR188" s="1"/>
      <c r="QDS188" s="1"/>
      <c r="QDT188" s="1"/>
      <c r="QDU188" s="1"/>
      <c r="QDV188" s="1"/>
      <c r="QDW188" s="1"/>
      <c r="QDX188" s="1"/>
      <c r="QDY188" s="1"/>
      <c r="QDZ188" s="1"/>
      <c r="QEA188" s="1"/>
      <c r="QEB188" s="1"/>
      <c r="QEC188" s="1"/>
      <c r="QED188" s="1"/>
      <c r="QEE188" s="1"/>
      <c r="QEF188" s="1"/>
      <c r="QEG188" s="1"/>
      <c r="QEH188" s="1"/>
      <c r="QEI188" s="1"/>
      <c r="QEJ188" s="1"/>
      <c r="QEK188" s="1"/>
      <c r="QEL188" s="1"/>
      <c r="QEM188" s="1"/>
      <c r="QEN188" s="1"/>
      <c r="QEO188" s="1"/>
      <c r="QEP188" s="1"/>
      <c r="QEQ188" s="1"/>
      <c r="QER188" s="1"/>
      <c r="QES188" s="1"/>
      <c r="QET188" s="1"/>
      <c r="QEU188" s="1"/>
      <c r="QEV188" s="1"/>
      <c r="QEW188" s="1"/>
      <c r="QEX188" s="1"/>
      <c r="QEY188" s="1"/>
      <c r="QEZ188" s="1"/>
      <c r="QFA188" s="1"/>
      <c r="QFB188" s="1"/>
      <c r="QFC188" s="1"/>
      <c r="QFD188" s="1"/>
      <c r="QFE188" s="1"/>
      <c r="QFF188" s="1"/>
      <c r="QFG188" s="1"/>
      <c r="QFH188" s="1"/>
      <c r="QFI188" s="1"/>
      <c r="QFJ188" s="1"/>
      <c r="QFK188" s="1"/>
      <c r="QFL188" s="1"/>
      <c r="QFM188" s="1"/>
      <c r="QFN188" s="1"/>
      <c r="QFO188" s="1"/>
      <c r="QFP188" s="1"/>
      <c r="QFQ188" s="1"/>
      <c r="QFR188" s="1"/>
      <c r="QFS188" s="1"/>
      <c r="QFT188" s="1"/>
      <c r="QFU188" s="1"/>
      <c r="QFV188" s="1"/>
      <c r="QFW188" s="1"/>
      <c r="QFX188" s="1"/>
      <c r="QFY188" s="1"/>
      <c r="QFZ188" s="1"/>
      <c r="QGA188" s="1"/>
      <c r="QGB188" s="1"/>
      <c r="QGC188" s="1"/>
      <c r="QGD188" s="1"/>
      <c r="QGE188" s="1"/>
      <c r="QGF188" s="1"/>
      <c r="QGG188" s="1"/>
      <c r="QGH188" s="1"/>
      <c r="QGI188" s="1"/>
      <c r="QGJ188" s="1"/>
      <c r="QGK188" s="1"/>
      <c r="QGL188" s="1"/>
      <c r="QGM188" s="1"/>
      <c r="QGN188" s="1"/>
      <c r="QGO188" s="1"/>
      <c r="QGP188" s="1"/>
      <c r="QGQ188" s="1"/>
      <c r="QGR188" s="1"/>
      <c r="QGS188" s="1"/>
      <c r="QGT188" s="1"/>
      <c r="QGU188" s="1"/>
      <c r="QGV188" s="1"/>
      <c r="QGW188" s="1"/>
      <c r="QGX188" s="1"/>
      <c r="QGY188" s="1"/>
      <c r="QGZ188" s="1"/>
      <c r="QHA188" s="1"/>
      <c r="QHB188" s="1"/>
      <c r="QHC188" s="1"/>
      <c r="QHD188" s="1"/>
      <c r="QHE188" s="1"/>
      <c r="QHF188" s="1"/>
      <c r="QHG188" s="1"/>
      <c r="QHH188" s="1"/>
      <c r="QHI188" s="1"/>
      <c r="QHJ188" s="1"/>
      <c r="QHK188" s="1"/>
      <c r="QHL188" s="1"/>
      <c r="QHM188" s="1"/>
      <c r="QHN188" s="1"/>
      <c r="QHO188" s="1"/>
      <c r="QHP188" s="1"/>
      <c r="QHQ188" s="1"/>
      <c r="QHR188" s="1"/>
      <c r="QHS188" s="1"/>
      <c r="QHT188" s="1"/>
      <c r="QHU188" s="1"/>
      <c r="QHV188" s="1"/>
      <c r="QHW188" s="1"/>
      <c r="QHX188" s="1"/>
      <c r="QHY188" s="1"/>
      <c r="QHZ188" s="1"/>
      <c r="QIA188" s="1"/>
      <c r="QIB188" s="1"/>
      <c r="QIC188" s="1"/>
      <c r="QID188" s="1"/>
      <c r="QIE188" s="1"/>
      <c r="QIF188" s="1"/>
      <c r="QIG188" s="1"/>
      <c r="QIH188" s="1"/>
      <c r="QII188" s="1"/>
      <c r="QIJ188" s="1"/>
      <c r="QIK188" s="1"/>
      <c r="QIL188" s="1"/>
      <c r="QIM188" s="1"/>
      <c r="QIN188" s="1"/>
      <c r="QIO188" s="1"/>
      <c r="QIP188" s="1"/>
      <c r="QIQ188" s="1"/>
      <c r="QIR188" s="1"/>
      <c r="QIS188" s="1"/>
      <c r="QIT188" s="1"/>
      <c r="QIU188" s="1"/>
      <c r="QIV188" s="1"/>
      <c r="QIW188" s="1"/>
      <c r="QIX188" s="1"/>
      <c r="QIY188" s="1"/>
      <c r="QIZ188" s="1"/>
      <c r="QJA188" s="1"/>
      <c r="QJB188" s="1"/>
      <c r="QJC188" s="1"/>
      <c r="QJD188" s="1"/>
      <c r="QJE188" s="1"/>
      <c r="QJF188" s="1"/>
      <c r="QJG188" s="1"/>
      <c r="QJH188" s="1"/>
      <c r="QJI188" s="1"/>
      <c r="QJJ188" s="1"/>
      <c r="QJK188" s="1"/>
      <c r="QJL188" s="1"/>
      <c r="QJM188" s="1"/>
      <c r="QJN188" s="1"/>
      <c r="QJO188" s="1"/>
      <c r="QJP188" s="1"/>
      <c r="QJQ188" s="1"/>
      <c r="QJR188" s="1"/>
      <c r="QJS188" s="1"/>
      <c r="QJT188" s="1"/>
      <c r="QJU188" s="1"/>
      <c r="QJV188" s="1"/>
      <c r="QJW188" s="1"/>
      <c r="QJX188" s="1"/>
      <c r="QJY188" s="1"/>
      <c r="QJZ188" s="1"/>
      <c r="QKA188" s="1"/>
      <c r="QKB188" s="1"/>
      <c r="QKC188" s="1"/>
      <c r="QKD188" s="1"/>
      <c r="QKE188" s="1"/>
      <c r="QKF188" s="1"/>
      <c r="QKG188" s="1"/>
      <c r="QKH188" s="1"/>
      <c r="QKI188" s="1"/>
      <c r="QKJ188" s="1"/>
      <c r="QKK188" s="1"/>
      <c r="QKL188" s="1"/>
      <c r="QKM188" s="1"/>
      <c r="QKN188" s="1"/>
      <c r="QKO188" s="1"/>
      <c r="QKP188" s="1"/>
      <c r="QKQ188" s="1"/>
      <c r="QKR188" s="1"/>
      <c r="QKS188" s="1"/>
      <c r="QKT188" s="1"/>
      <c r="QKU188" s="1"/>
      <c r="QKV188" s="1"/>
      <c r="QKW188" s="1"/>
      <c r="QKX188" s="1"/>
      <c r="QKY188" s="1"/>
      <c r="QKZ188" s="1"/>
      <c r="QLA188" s="1"/>
      <c r="QLB188" s="1"/>
      <c r="QLC188" s="1"/>
      <c r="QLD188" s="1"/>
      <c r="QLE188" s="1"/>
      <c r="QLF188" s="1"/>
      <c r="QLG188" s="1"/>
      <c r="QLH188" s="1"/>
      <c r="QLI188" s="1"/>
      <c r="QLJ188" s="1"/>
      <c r="QLK188" s="1"/>
      <c r="QLL188" s="1"/>
      <c r="QLM188" s="1"/>
      <c r="QLN188" s="1"/>
      <c r="QLO188" s="1"/>
      <c r="QLP188" s="1"/>
      <c r="QLQ188" s="1"/>
      <c r="QLR188" s="1"/>
      <c r="QLS188" s="1"/>
      <c r="QLT188" s="1"/>
      <c r="QLU188" s="1"/>
      <c r="QLV188" s="1"/>
      <c r="QLW188" s="1"/>
      <c r="QLX188" s="1"/>
      <c r="QLY188" s="1"/>
      <c r="QLZ188" s="1"/>
      <c r="QMA188" s="1"/>
      <c r="QMB188" s="1"/>
      <c r="QMC188" s="1"/>
      <c r="QMD188" s="1"/>
      <c r="QME188" s="1"/>
      <c r="QMF188" s="1"/>
      <c r="QMG188" s="1"/>
      <c r="QMH188" s="1"/>
      <c r="QMI188" s="1"/>
      <c r="QMJ188" s="1"/>
      <c r="QMK188" s="1"/>
      <c r="QML188" s="1"/>
      <c r="QMM188" s="1"/>
      <c r="QMN188" s="1"/>
      <c r="QMO188" s="1"/>
      <c r="QMP188" s="1"/>
      <c r="QMQ188" s="1"/>
      <c r="QMR188" s="1"/>
      <c r="QMS188" s="1"/>
      <c r="QMT188" s="1"/>
      <c r="QMU188" s="1"/>
      <c r="QMV188" s="1"/>
      <c r="QMW188" s="1"/>
      <c r="QMX188" s="1"/>
      <c r="QMY188" s="1"/>
      <c r="QMZ188" s="1"/>
      <c r="QNA188" s="1"/>
      <c r="QNB188" s="1"/>
      <c r="QNC188" s="1"/>
      <c r="QND188" s="1"/>
      <c r="QNE188" s="1"/>
      <c r="QNF188" s="1"/>
      <c r="QNG188" s="1"/>
      <c r="QNH188" s="1"/>
      <c r="QNI188" s="1"/>
      <c r="QNJ188" s="1"/>
      <c r="QNK188" s="1"/>
      <c r="QNL188" s="1"/>
      <c r="QNM188" s="1"/>
      <c r="QNN188" s="1"/>
      <c r="QNO188" s="1"/>
      <c r="QNP188" s="1"/>
      <c r="QNQ188" s="1"/>
      <c r="QNR188" s="1"/>
      <c r="QNS188" s="1"/>
      <c r="QNT188" s="1"/>
      <c r="QNU188" s="1"/>
      <c r="QNV188" s="1"/>
      <c r="QNW188" s="1"/>
      <c r="QNX188" s="1"/>
      <c r="QNY188" s="1"/>
      <c r="QNZ188" s="1"/>
      <c r="QOA188" s="1"/>
      <c r="QOB188" s="1"/>
      <c r="QOC188" s="1"/>
      <c r="QOD188" s="1"/>
      <c r="QOE188" s="1"/>
      <c r="QOF188" s="1"/>
      <c r="QOG188" s="1"/>
      <c r="QOH188" s="1"/>
      <c r="QOI188" s="1"/>
      <c r="QOJ188" s="1"/>
      <c r="QOK188" s="1"/>
      <c r="QOL188" s="1"/>
      <c r="QOM188" s="1"/>
      <c r="QON188" s="1"/>
      <c r="QOO188" s="1"/>
      <c r="QOP188" s="1"/>
      <c r="QOQ188" s="1"/>
      <c r="QOR188" s="1"/>
      <c r="QOS188" s="1"/>
      <c r="QOT188" s="1"/>
      <c r="QOU188" s="1"/>
      <c r="QOV188" s="1"/>
      <c r="QOW188" s="1"/>
      <c r="QOX188" s="1"/>
      <c r="QOY188" s="1"/>
      <c r="QOZ188" s="1"/>
      <c r="QPA188" s="1"/>
      <c r="QPB188" s="1"/>
      <c r="QPC188" s="1"/>
      <c r="QPD188" s="1"/>
      <c r="QPE188" s="1"/>
      <c r="QPF188" s="1"/>
      <c r="QPG188" s="1"/>
      <c r="QPH188" s="1"/>
      <c r="QPI188" s="1"/>
      <c r="QPJ188" s="1"/>
      <c r="QPK188" s="1"/>
      <c r="QPL188" s="1"/>
      <c r="QPM188" s="1"/>
      <c r="QPN188" s="1"/>
      <c r="QPO188" s="1"/>
      <c r="QPP188" s="1"/>
      <c r="QPQ188" s="1"/>
      <c r="QPR188" s="1"/>
      <c r="QPS188" s="1"/>
      <c r="QPT188" s="1"/>
      <c r="QPU188" s="1"/>
      <c r="QPV188" s="1"/>
      <c r="QPW188" s="1"/>
      <c r="QPX188" s="1"/>
      <c r="QPY188" s="1"/>
      <c r="QPZ188" s="1"/>
      <c r="QQA188" s="1"/>
      <c r="QQB188" s="1"/>
      <c r="QQC188" s="1"/>
      <c r="QQD188" s="1"/>
      <c r="QQE188" s="1"/>
      <c r="QQF188" s="1"/>
      <c r="QQG188" s="1"/>
      <c r="QQH188" s="1"/>
      <c r="QQI188" s="1"/>
      <c r="QQJ188" s="1"/>
      <c r="QQK188" s="1"/>
      <c r="QQL188" s="1"/>
      <c r="QQM188" s="1"/>
      <c r="QQN188" s="1"/>
      <c r="QQO188" s="1"/>
      <c r="QQP188" s="1"/>
      <c r="QQQ188" s="1"/>
      <c r="QQR188" s="1"/>
      <c r="QQS188" s="1"/>
      <c r="QQT188" s="1"/>
      <c r="QQU188" s="1"/>
      <c r="QQV188" s="1"/>
      <c r="QQW188" s="1"/>
      <c r="QQX188" s="1"/>
      <c r="QQY188" s="1"/>
      <c r="QQZ188" s="1"/>
      <c r="QRA188" s="1"/>
      <c r="QRB188" s="1"/>
      <c r="QRC188" s="1"/>
      <c r="QRD188" s="1"/>
      <c r="QRE188" s="1"/>
      <c r="QRF188" s="1"/>
      <c r="QRG188" s="1"/>
      <c r="QRH188" s="1"/>
      <c r="QRI188" s="1"/>
      <c r="QRJ188" s="1"/>
      <c r="QRK188" s="1"/>
      <c r="QRL188" s="1"/>
      <c r="QRM188" s="1"/>
      <c r="QRN188" s="1"/>
      <c r="QRO188" s="1"/>
      <c r="QRP188" s="1"/>
      <c r="QRQ188" s="1"/>
      <c r="QRR188" s="1"/>
      <c r="QRS188" s="1"/>
      <c r="QRT188" s="1"/>
      <c r="QRU188" s="1"/>
      <c r="QRV188" s="1"/>
      <c r="QRW188" s="1"/>
      <c r="QRX188" s="1"/>
      <c r="QRY188" s="1"/>
      <c r="QRZ188" s="1"/>
      <c r="QSA188" s="1"/>
      <c r="QSB188" s="1"/>
      <c r="QSC188" s="1"/>
      <c r="QSD188" s="1"/>
      <c r="QSE188" s="1"/>
      <c r="QSF188" s="1"/>
      <c r="QSG188" s="1"/>
      <c r="QSH188" s="1"/>
      <c r="QSI188" s="1"/>
      <c r="QSJ188" s="1"/>
      <c r="QSK188" s="1"/>
      <c r="QSL188" s="1"/>
      <c r="QSM188" s="1"/>
      <c r="QSN188" s="1"/>
      <c r="QSO188" s="1"/>
      <c r="QSP188" s="1"/>
      <c r="QSQ188" s="1"/>
      <c r="QSR188" s="1"/>
      <c r="QSS188" s="1"/>
      <c r="QST188" s="1"/>
      <c r="QSU188" s="1"/>
      <c r="QSV188" s="1"/>
      <c r="QSW188" s="1"/>
      <c r="QSX188" s="1"/>
      <c r="QSY188" s="1"/>
      <c r="QSZ188" s="1"/>
      <c r="QTA188" s="1"/>
      <c r="QTB188" s="1"/>
      <c r="QTC188" s="1"/>
      <c r="QTD188" s="1"/>
      <c r="QTE188" s="1"/>
      <c r="QTF188" s="1"/>
      <c r="QTG188" s="1"/>
      <c r="QTH188" s="1"/>
      <c r="QTI188" s="1"/>
      <c r="QTJ188" s="1"/>
      <c r="QTK188" s="1"/>
      <c r="QTL188" s="1"/>
      <c r="QTM188" s="1"/>
      <c r="QTN188" s="1"/>
      <c r="QTO188" s="1"/>
      <c r="QTP188" s="1"/>
      <c r="QTQ188" s="1"/>
      <c r="QTR188" s="1"/>
      <c r="QTS188" s="1"/>
      <c r="QTT188" s="1"/>
      <c r="QTU188" s="1"/>
      <c r="QTV188" s="1"/>
      <c r="QTW188" s="1"/>
      <c r="QTX188" s="1"/>
      <c r="QTY188" s="1"/>
      <c r="QTZ188" s="1"/>
      <c r="QUA188" s="1"/>
      <c r="QUB188" s="1"/>
      <c r="QUC188" s="1"/>
      <c r="QUD188" s="1"/>
      <c r="QUE188" s="1"/>
      <c r="QUF188" s="1"/>
      <c r="QUG188" s="1"/>
      <c r="QUH188" s="1"/>
      <c r="QUI188" s="1"/>
      <c r="QUJ188" s="1"/>
      <c r="QUK188" s="1"/>
      <c r="QUL188" s="1"/>
      <c r="QUM188" s="1"/>
      <c r="QUN188" s="1"/>
      <c r="QUO188" s="1"/>
      <c r="QUP188" s="1"/>
      <c r="QUQ188" s="1"/>
      <c r="QUR188" s="1"/>
      <c r="QUS188" s="1"/>
      <c r="QUT188" s="1"/>
      <c r="QUU188" s="1"/>
      <c r="QUV188" s="1"/>
      <c r="QUW188" s="1"/>
      <c r="QUX188" s="1"/>
      <c r="QUY188" s="1"/>
      <c r="QUZ188" s="1"/>
      <c r="QVA188" s="1"/>
      <c r="QVB188" s="1"/>
      <c r="QVC188" s="1"/>
      <c r="QVD188" s="1"/>
      <c r="QVE188" s="1"/>
      <c r="QVF188" s="1"/>
      <c r="QVG188" s="1"/>
      <c r="QVH188" s="1"/>
      <c r="QVI188" s="1"/>
      <c r="QVJ188" s="1"/>
      <c r="QVK188" s="1"/>
      <c r="QVL188" s="1"/>
      <c r="QVM188" s="1"/>
      <c r="QVN188" s="1"/>
      <c r="QVO188" s="1"/>
      <c r="QVP188" s="1"/>
      <c r="QVQ188" s="1"/>
      <c r="QVR188" s="1"/>
      <c r="QVS188" s="1"/>
      <c r="QVT188" s="1"/>
      <c r="QVU188" s="1"/>
      <c r="QVV188" s="1"/>
      <c r="QVW188" s="1"/>
      <c r="QVX188" s="1"/>
      <c r="QVY188" s="1"/>
      <c r="QVZ188" s="1"/>
      <c r="QWA188" s="1"/>
      <c r="QWB188" s="1"/>
      <c r="QWC188" s="1"/>
      <c r="QWD188" s="1"/>
      <c r="QWE188" s="1"/>
      <c r="QWF188" s="1"/>
      <c r="QWG188" s="1"/>
      <c r="QWH188" s="1"/>
      <c r="QWI188" s="1"/>
      <c r="QWJ188" s="1"/>
      <c r="QWK188" s="1"/>
      <c r="QWL188" s="1"/>
      <c r="QWM188" s="1"/>
      <c r="QWN188" s="1"/>
      <c r="QWO188" s="1"/>
      <c r="QWP188" s="1"/>
      <c r="QWQ188" s="1"/>
      <c r="QWR188" s="1"/>
      <c r="QWS188" s="1"/>
      <c r="QWT188" s="1"/>
      <c r="QWU188" s="1"/>
      <c r="QWV188" s="1"/>
      <c r="QWW188" s="1"/>
      <c r="QWX188" s="1"/>
      <c r="QWY188" s="1"/>
      <c r="QWZ188" s="1"/>
      <c r="QXA188" s="1"/>
      <c r="QXB188" s="1"/>
      <c r="QXC188" s="1"/>
      <c r="QXD188" s="1"/>
      <c r="QXE188" s="1"/>
      <c r="QXF188" s="1"/>
      <c r="QXG188" s="1"/>
      <c r="QXH188" s="1"/>
      <c r="QXI188" s="1"/>
      <c r="QXJ188" s="1"/>
      <c r="QXK188" s="1"/>
      <c r="QXL188" s="1"/>
      <c r="QXM188" s="1"/>
      <c r="QXN188" s="1"/>
      <c r="QXO188" s="1"/>
      <c r="QXP188" s="1"/>
      <c r="QXQ188" s="1"/>
      <c r="QXR188" s="1"/>
      <c r="QXS188" s="1"/>
      <c r="QXT188" s="1"/>
      <c r="QXU188" s="1"/>
      <c r="QXV188" s="1"/>
      <c r="QXW188" s="1"/>
      <c r="QXX188" s="1"/>
      <c r="QXY188" s="1"/>
      <c r="QXZ188" s="1"/>
      <c r="QYA188" s="1"/>
      <c r="QYB188" s="1"/>
      <c r="QYC188" s="1"/>
      <c r="QYD188" s="1"/>
      <c r="QYE188" s="1"/>
      <c r="QYF188" s="1"/>
      <c r="QYG188" s="1"/>
      <c r="QYH188" s="1"/>
      <c r="QYI188" s="1"/>
      <c r="QYJ188" s="1"/>
      <c r="QYK188" s="1"/>
      <c r="QYL188" s="1"/>
      <c r="QYM188" s="1"/>
      <c r="QYN188" s="1"/>
      <c r="QYO188" s="1"/>
      <c r="QYP188" s="1"/>
      <c r="QYQ188" s="1"/>
      <c r="QYR188" s="1"/>
      <c r="QYS188" s="1"/>
      <c r="QYT188" s="1"/>
      <c r="QYU188" s="1"/>
      <c r="QYV188" s="1"/>
      <c r="QYW188" s="1"/>
      <c r="QYX188" s="1"/>
      <c r="QYY188" s="1"/>
      <c r="QYZ188" s="1"/>
      <c r="QZA188" s="1"/>
      <c r="QZB188" s="1"/>
      <c r="QZC188" s="1"/>
      <c r="QZD188" s="1"/>
      <c r="QZE188" s="1"/>
      <c r="QZF188" s="1"/>
      <c r="QZG188" s="1"/>
      <c r="QZH188" s="1"/>
      <c r="QZI188" s="1"/>
      <c r="QZJ188" s="1"/>
      <c r="QZK188" s="1"/>
      <c r="QZL188" s="1"/>
      <c r="QZM188" s="1"/>
      <c r="QZN188" s="1"/>
      <c r="QZO188" s="1"/>
      <c r="QZP188" s="1"/>
      <c r="QZQ188" s="1"/>
      <c r="QZR188" s="1"/>
      <c r="QZS188" s="1"/>
      <c r="QZT188" s="1"/>
      <c r="QZU188" s="1"/>
      <c r="QZV188" s="1"/>
      <c r="QZW188" s="1"/>
      <c r="QZX188" s="1"/>
      <c r="QZY188" s="1"/>
      <c r="QZZ188" s="1"/>
      <c r="RAA188" s="1"/>
      <c r="RAB188" s="1"/>
      <c r="RAC188" s="1"/>
      <c r="RAD188" s="1"/>
      <c r="RAE188" s="1"/>
      <c r="RAF188" s="1"/>
      <c r="RAG188" s="1"/>
      <c r="RAH188" s="1"/>
      <c r="RAI188" s="1"/>
      <c r="RAJ188" s="1"/>
      <c r="RAK188" s="1"/>
      <c r="RAL188" s="1"/>
      <c r="RAM188" s="1"/>
      <c r="RAN188" s="1"/>
      <c r="RAO188" s="1"/>
      <c r="RAP188" s="1"/>
      <c r="RAQ188" s="1"/>
      <c r="RAR188" s="1"/>
      <c r="RAS188" s="1"/>
      <c r="RAT188" s="1"/>
      <c r="RAU188" s="1"/>
      <c r="RAV188" s="1"/>
      <c r="RAW188" s="1"/>
      <c r="RAX188" s="1"/>
      <c r="RAY188" s="1"/>
      <c r="RAZ188" s="1"/>
      <c r="RBA188" s="1"/>
      <c r="RBB188" s="1"/>
      <c r="RBC188" s="1"/>
      <c r="RBD188" s="1"/>
      <c r="RBE188" s="1"/>
      <c r="RBF188" s="1"/>
      <c r="RBG188" s="1"/>
      <c r="RBH188" s="1"/>
      <c r="RBI188" s="1"/>
      <c r="RBJ188" s="1"/>
      <c r="RBK188" s="1"/>
      <c r="RBL188" s="1"/>
      <c r="RBM188" s="1"/>
      <c r="RBN188" s="1"/>
      <c r="RBO188" s="1"/>
      <c r="RBP188" s="1"/>
      <c r="RBQ188" s="1"/>
      <c r="RBR188" s="1"/>
      <c r="RBS188" s="1"/>
      <c r="RBT188" s="1"/>
      <c r="RBU188" s="1"/>
      <c r="RBV188" s="1"/>
      <c r="RBW188" s="1"/>
      <c r="RBX188" s="1"/>
      <c r="RBY188" s="1"/>
      <c r="RBZ188" s="1"/>
      <c r="RCA188" s="1"/>
      <c r="RCB188" s="1"/>
      <c r="RCC188" s="1"/>
      <c r="RCD188" s="1"/>
      <c r="RCE188" s="1"/>
      <c r="RCF188" s="1"/>
      <c r="RCG188" s="1"/>
      <c r="RCH188" s="1"/>
      <c r="RCI188" s="1"/>
      <c r="RCJ188" s="1"/>
      <c r="RCK188" s="1"/>
      <c r="RCL188" s="1"/>
      <c r="RCM188" s="1"/>
      <c r="RCN188" s="1"/>
      <c r="RCO188" s="1"/>
      <c r="RCP188" s="1"/>
      <c r="RCQ188" s="1"/>
      <c r="RCR188" s="1"/>
      <c r="RCS188" s="1"/>
      <c r="RCT188" s="1"/>
      <c r="RCU188" s="1"/>
      <c r="RCV188" s="1"/>
      <c r="RCW188" s="1"/>
      <c r="RCX188" s="1"/>
      <c r="RCY188" s="1"/>
      <c r="RCZ188" s="1"/>
      <c r="RDA188" s="1"/>
      <c r="RDB188" s="1"/>
      <c r="RDC188" s="1"/>
      <c r="RDD188" s="1"/>
      <c r="RDE188" s="1"/>
      <c r="RDF188" s="1"/>
      <c r="RDG188" s="1"/>
      <c r="RDH188" s="1"/>
      <c r="RDI188" s="1"/>
      <c r="RDJ188" s="1"/>
      <c r="RDK188" s="1"/>
      <c r="RDL188" s="1"/>
      <c r="RDM188" s="1"/>
      <c r="RDN188" s="1"/>
      <c r="RDO188" s="1"/>
      <c r="RDP188" s="1"/>
      <c r="RDQ188" s="1"/>
      <c r="RDR188" s="1"/>
      <c r="RDS188" s="1"/>
      <c r="RDT188" s="1"/>
      <c r="RDU188" s="1"/>
      <c r="RDV188" s="1"/>
      <c r="RDW188" s="1"/>
      <c r="RDX188" s="1"/>
      <c r="RDY188" s="1"/>
      <c r="RDZ188" s="1"/>
      <c r="REA188" s="1"/>
      <c r="REB188" s="1"/>
      <c r="REC188" s="1"/>
      <c r="RED188" s="1"/>
      <c r="REE188" s="1"/>
      <c r="REF188" s="1"/>
      <c r="REG188" s="1"/>
      <c r="REH188" s="1"/>
      <c r="REI188" s="1"/>
      <c r="REJ188" s="1"/>
      <c r="REK188" s="1"/>
      <c r="REL188" s="1"/>
      <c r="REM188" s="1"/>
      <c r="REN188" s="1"/>
      <c r="REO188" s="1"/>
      <c r="REP188" s="1"/>
      <c r="REQ188" s="1"/>
      <c r="RER188" s="1"/>
      <c r="RES188" s="1"/>
      <c r="RET188" s="1"/>
      <c r="REU188" s="1"/>
      <c r="REV188" s="1"/>
      <c r="REW188" s="1"/>
      <c r="REX188" s="1"/>
      <c r="REY188" s="1"/>
      <c r="REZ188" s="1"/>
      <c r="RFA188" s="1"/>
      <c r="RFB188" s="1"/>
      <c r="RFC188" s="1"/>
      <c r="RFD188" s="1"/>
      <c r="RFE188" s="1"/>
      <c r="RFF188" s="1"/>
      <c r="RFG188" s="1"/>
      <c r="RFH188" s="1"/>
      <c r="RFI188" s="1"/>
      <c r="RFJ188" s="1"/>
      <c r="RFK188" s="1"/>
      <c r="RFL188" s="1"/>
      <c r="RFM188" s="1"/>
      <c r="RFN188" s="1"/>
      <c r="RFO188" s="1"/>
      <c r="RFP188" s="1"/>
      <c r="RFQ188" s="1"/>
      <c r="RFR188" s="1"/>
      <c r="RFS188" s="1"/>
      <c r="RFT188" s="1"/>
      <c r="RFU188" s="1"/>
      <c r="RFV188" s="1"/>
      <c r="RFW188" s="1"/>
      <c r="RFX188" s="1"/>
      <c r="RFY188" s="1"/>
      <c r="RFZ188" s="1"/>
      <c r="RGA188" s="1"/>
      <c r="RGB188" s="1"/>
      <c r="RGC188" s="1"/>
      <c r="RGD188" s="1"/>
      <c r="RGE188" s="1"/>
      <c r="RGF188" s="1"/>
      <c r="RGG188" s="1"/>
      <c r="RGH188" s="1"/>
      <c r="RGI188" s="1"/>
      <c r="RGJ188" s="1"/>
      <c r="RGK188" s="1"/>
      <c r="RGL188" s="1"/>
      <c r="RGM188" s="1"/>
      <c r="RGN188" s="1"/>
      <c r="RGO188" s="1"/>
      <c r="RGP188" s="1"/>
      <c r="RGQ188" s="1"/>
      <c r="RGR188" s="1"/>
      <c r="RGS188" s="1"/>
      <c r="RGT188" s="1"/>
      <c r="RGU188" s="1"/>
      <c r="RGV188" s="1"/>
      <c r="RGW188" s="1"/>
      <c r="RGX188" s="1"/>
      <c r="RGY188" s="1"/>
      <c r="RGZ188" s="1"/>
      <c r="RHA188" s="1"/>
      <c r="RHB188" s="1"/>
      <c r="RHC188" s="1"/>
      <c r="RHD188" s="1"/>
      <c r="RHE188" s="1"/>
      <c r="RHF188" s="1"/>
      <c r="RHG188" s="1"/>
      <c r="RHH188" s="1"/>
      <c r="RHI188" s="1"/>
      <c r="RHJ188" s="1"/>
      <c r="RHK188" s="1"/>
      <c r="RHL188" s="1"/>
      <c r="RHM188" s="1"/>
      <c r="RHN188" s="1"/>
      <c r="RHO188" s="1"/>
      <c r="RHP188" s="1"/>
      <c r="RHQ188" s="1"/>
      <c r="RHR188" s="1"/>
      <c r="RHS188" s="1"/>
      <c r="RHT188" s="1"/>
      <c r="RHU188" s="1"/>
      <c r="RHV188" s="1"/>
      <c r="RHW188" s="1"/>
      <c r="RHX188" s="1"/>
      <c r="RHY188" s="1"/>
      <c r="RHZ188" s="1"/>
      <c r="RIA188" s="1"/>
      <c r="RIB188" s="1"/>
      <c r="RIC188" s="1"/>
      <c r="RID188" s="1"/>
      <c r="RIE188" s="1"/>
      <c r="RIF188" s="1"/>
      <c r="RIG188" s="1"/>
      <c r="RIH188" s="1"/>
      <c r="RII188" s="1"/>
      <c r="RIJ188" s="1"/>
      <c r="RIK188" s="1"/>
      <c r="RIL188" s="1"/>
      <c r="RIM188" s="1"/>
      <c r="RIN188" s="1"/>
      <c r="RIO188" s="1"/>
      <c r="RIP188" s="1"/>
      <c r="RIQ188" s="1"/>
      <c r="RIR188" s="1"/>
      <c r="RIS188" s="1"/>
      <c r="RIT188" s="1"/>
      <c r="RIU188" s="1"/>
      <c r="RIV188" s="1"/>
      <c r="RIW188" s="1"/>
      <c r="RIX188" s="1"/>
      <c r="RIY188" s="1"/>
      <c r="RIZ188" s="1"/>
      <c r="RJA188" s="1"/>
      <c r="RJB188" s="1"/>
      <c r="RJC188" s="1"/>
      <c r="RJD188" s="1"/>
      <c r="RJE188" s="1"/>
      <c r="RJF188" s="1"/>
      <c r="RJG188" s="1"/>
      <c r="RJH188" s="1"/>
      <c r="RJI188" s="1"/>
      <c r="RJJ188" s="1"/>
      <c r="RJK188" s="1"/>
      <c r="RJL188" s="1"/>
      <c r="RJM188" s="1"/>
      <c r="RJN188" s="1"/>
      <c r="RJO188" s="1"/>
      <c r="RJP188" s="1"/>
      <c r="RJQ188" s="1"/>
      <c r="RJR188" s="1"/>
      <c r="RJS188" s="1"/>
      <c r="RJT188" s="1"/>
      <c r="RJU188" s="1"/>
      <c r="RJV188" s="1"/>
      <c r="RJW188" s="1"/>
      <c r="RJX188" s="1"/>
      <c r="RJY188" s="1"/>
      <c r="RJZ188" s="1"/>
      <c r="RKA188" s="1"/>
      <c r="RKB188" s="1"/>
      <c r="RKC188" s="1"/>
      <c r="RKD188" s="1"/>
      <c r="RKE188" s="1"/>
      <c r="RKF188" s="1"/>
      <c r="RKG188" s="1"/>
      <c r="RKH188" s="1"/>
      <c r="RKI188" s="1"/>
      <c r="RKJ188" s="1"/>
      <c r="RKK188" s="1"/>
      <c r="RKL188" s="1"/>
      <c r="RKM188" s="1"/>
      <c r="RKN188" s="1"/>
      <c r="RKO188" s="1"/>
      <c r="RKP188" s="1"/>
      <c r="RKQ188" s="1"/>
      <c r="RKR188" s="1"/>
      <c r="RKS188" s="1"/>
      <c r="RKT188" s="1"/>
      <c r="RKU188" s="1"/>
      <c r="RKV188" s="1"/>
      <c r="RKW188" s="1"/>
      <c r="RKX188" s="1"/>
      <c r="RKY188" s="1"/>
      <c r="RKZ188" s="1"/>
      <c r="RLA188" s="1"/>
      <c r="RLB188" s="1"/>
      <c r="RLC188" s="1"/>
      <c r="RLD188" s="1"/>
      <c r="RLE188" s="1"/>
      <c r="RLF188" s="1"/>
      <c r="RLG188" s="1"/>
      <c r="RLH188" s="1"/>
      <c r="RLI188" s="1"/>
      <c r="RLJ188" s="1"/>
      <c r="RLK188" s="1"/>
      <c r="RLL188" s="1"/>
      <c r="RLM188" s="1"/>
      <c r="RLN188" s="1"/>
      <c r="RLO188" s="1"/>
      <c r="RLP188" s="1"/>
      <c r="RLQ188" s="1"/>
      <c r="RLR188" s="1"/>
      <c r="RLS188" s="1"/>
      <c r="RLT188" s="1"/>
      <c r="RLU188" s="1"/>
      <c r="RLV188" s="1"/>
      <c r="RLW188" s="1"/>
      <c r="RLX188" s="1"/>
      <c r="RLY188" s="1"/>
      <c r="RLZ188" s="1"/>
      <c r="RMA188" s="1"/>
      <c r="RMB188" s="1"/>
      <c r="RMC188" s="1"/>
      <c r="RMD188" s="1"/>
      <c r="RME188" s="1"/>
      <c r="RMF188" s="1"/>
      <c r="RMG188" s="1"/>
      <c r="RMH188" s="1"/>
      <c r="RMI188" s="1"/>
      <c r="RMJ188" s="1"/>
      <c r="RMK188" s="1"/>
      <c r="RML188" s="1"/>
      <c r="RMM188" s="1"/>
      <c r="RMN188" s="1"/>
      <c r="RMO188" s="1"/>
      <c r="RMP188" s="1"/>
      <c r="RMQ188" s="1"/>
      <c r="RMR188" s="1"/>
      <c r="RMS188" s="1"/>
      <c r="RMT188" s="1"/>
      <c r="RMU188" s="1"/>
      <c r="RMV188" s="1"/>
      <c r="RMW188" s="1"/>
      <c r="RMX188" s="1"/>
      <c r="RMY188" s="1"/>
      <c r="RMZ188" s="1"/>
      <c r="RNA188" s="1"/>
      <c r="RNB188" s="1"/>
      <c r="RNC188" s="1"/>
      <c r="RND188" s="1"/>
      <c r="RNE188" s="1"/>
      <c r="RNF188" s="1"/>
      <c r="RNG188" s="1"/>
      <c r="RNH188" s="1"/>
      <c r="RNI188" s="1"/>
      <c r="RNJ188" s="1"/>
      <c r="RNK188" s="1"/>
      <c r="RNL188" s="1"/>
      <c r="RNM188" s="1"/>
      <c r="RNN188" s="1"/>
      <c r="RNO188" s="1"/>
      <c r="RNP188" s="1"/>
      <c r="RNQ188" s="1"/>
      <c r="RNR188" s="1"/>
      <c r="RNS188" s="1"/>
      <c r="RNT188" s="1"/>
      <c r="RNU188" s="1"/>
      <c r="RNV188" s="1"/>
      <c r="RNW188" s="1"/>
      <c r="RNX188" s="1"/>
      <c r="RNY188" s="1"/>
      <c r="RNZ188" s="1"/>
      <c r="ROA188" s="1"/>
      <c r="ROB188" s="1"/>
      <c r="ROC188" s="1"/>
      <c r="ROD188" s="1"/>
      <c r="ROE188" s="1"/>
      <c r="ROF188" s="1"/>
      <c r="ROG188" s="1"/>
      <c r="ROH188" s="1"/>
      <c r="ROI188" s="1"/>
      <c r="ROJ188" s="1"/>
      <c r="ROK188" s="1"/>
      <c r="ROL188" s="1"/>
      <c r="ROM188" s="1"/>
      <c r="RON188" s="1"/>
      <c r="ROO188" s="1"/>
      <c r="ROP188" s="1"/>
      <c r="ROQ188" s="1"/>
      <c r="ROR188" s="1"/>
      <c r="ROS188" s="1"/>
      <c r="ROT188" s="1"/>
      <c r="ROU188" s="1"/>
      <c r="ROV188" s="1"/>
      <c r="ROW188" s="1"/>
      <c r="ROX188" s="1"/>
      <c r="ROY188" s="1"/>
      <c r="ROZ188" s="1"/>
      <c r="RPA188" s="1"/>
      <c r="RPB188" s="1"/>
      <c r="RPC188" s="1"/>
      <c r="RPD188" s="1"/>
      <c r="RPE188" s="1"/>
      <c r="RPF188" s="1"/>
      <c r="RPG188" s="1"/>
      <c r="RPH188" s="1"/>
      <c r="RPI188" s="1"/>
      <c r="RPJ188" s="1"/>
      <c r="RPK188" s="1"/>
      <c r="RPL188" s="1"/>
      <c r="RPM188" s="1"/>
      <c r="RPN188" s="1"/>
      <c r="RPO188" s="1"/>
      <c r="RPP188" s="1"/>
      <c r="RPQ188" s="1"/>
      <c r="RPR188" s="1"/>
      <c r="RPS188" s="1"/>
      <c r="RPT188" s="1"/>
      <c r="RPU188" s="1"/>
      <c r="RPV188" s="1"/>
      <c r="RPW188" s="1"/>
      <c r="RPX188" s="1"/>
      <c r="RPY188" s="1"/>
      <c r="RPZ188" s="1"/>
      <c r="RQA188" s="1"/>
      <c r="RQB188" s="1"/>
      <c r="RQC188" s="1"/>
      <c r="RQD188" s="1"/>
      <c r="RQE188" s="1"/>
      <c r="RQF188" s="1"/>
      <c r="RQG188" s="1"/>
      <c r="RQH188" s="1"/>
      <c r="RQI188" s="1"/>
      <c r="RQJ188" s="1"/>
      <c r="RQK188" s="1"/>
      <c r="RQL188" s="1"/>
      <c r="RQM188" s="1"/>
      <c r="RQN188" s="1"/>
      <c r="RQO188" s="1"/>
      <c r="RQP188" s="1"/>
      <c r="RQQ188" s="1"/>
      <c r="RQR188" s="1"/>
      <c r="RQS188" s="1"/>
      <c r="RQT188" s="1"/>
      <c r="RQU188" s="1"/>
      <c r="RQV188" s="1"/>
      <c r="RQW188" s="1"/>
      <c r="RQX188" s="1"/>
      <c r="RQY188" s="1"/>
      <c r="RQZ188" s="1"/>
      <c r="RRA188" s="1"/>
      <c r="RRB188" s="1"/>
      <c r="RRC188" s="1"/>
      <c r="RRD188" s="1"/>
      <c r="RRE188" s="1"/>
      <c r="RRF188" s="1"/>
      <c r="RRG188" s="1"/>
      <c r="RRH188" s="1"/>
      <c r="RRI188" s="1"/>
      <c r="RRJ188" s="1"/>
      <c r="RRK188" s="1"/>
      <c r="RRL188" s="1"/>
      <c r="RRM188" s="1"/>
      <c r="RRN188" s="1"/>
      <c r="RRO188" s="1"/>
      <c r="RRP188" s="1"/>
      <c r="RRQ188" s="1"/>
      <c r="RRR188" s="1"/>
      <c r="RRS188" s="1"/>
      <c r="RRT188" s="1"/>
      <c r="RRU188" s="1"/>
      <c r="RRV188" s="1"/>
      <c r="RRW188" s="1"/>
      <c r="RRX188" s="1"/>
      <c r="RRY188" s="1"/>
      <c r="RRZ188" s="1"/>
      <c r="RSA188" s="1"/>
      <c r="RSB188" s="1"/>
      <c r="RSC188" s="1"/>
      <c r="RSD188" s="1"/>
      <c r="RSE188" s="1"/>
      <c r="RSF188" s="1"/>
      <c r="RSG188" s="1"/>
      <c r="RSH188" s="1"/>
      <c r="RSI188" s="1"/>
      <c r="RSJ188" s="1"/>
      <c r="RSK188" s="1"/>
      <c r="RSL188" s="1"/>
      <c r="RSM188" s="1"/>
      <c r="RSN188" s="1"/>
      <c r="RSO188" s="1"/>
      <c r="RSP188" s="1"/>
      <c r="RSQ188" s="1"/>
      <c r="RSR188" s="1"/>
      <c r="RSS188" s="1"/>
      <c r="RST188" s="1"/>
      <c r="RSU188" s="1"/>
      <c r="RSV188" s="1"/>
      <c r="RSW188" s="1"/>
      <c r="RSX188" s="1"/>
      <c r="RSY188" s="1"/>
      <c r="RSZ188" s="1"/>
      <c r="RTA188" s="1"/>
      <c r="RTB188" s="1"/>
      <c r="RTC188" s="1"/>
      <c r="RTD188" s="1"/>
      <c r="RTE188" s="1"/>
      <c r="RTF188" s="1"/>
      <c r="RTG188" s="1"/>
      <c r="RTH188" s="1"/>
      <c r="RTI188" s="1"/>
      <c r="RTJ188" s="1"/>
      <c r="RTK188" s="1"/>
      <c r="RTL188" s="1"/>
      <c r="RTM188" s="1"/>
      <c r="RTN188" s="1"/>
      <c r="RTO188" s="1"/>
      <c r="RTP188" s="1"/>
      <c r="RTQ188" s="1"/>
      <c r="RTR188" s="1"/>
      <c r="RTS188" s="1"/>
      <c r="RTT188" s="1"/>
      <c r="RTU188" s="1"/>
      <c r="RTV188" s="1"/>
      <c r="RTW188" s="1"/>
      <c r="RTX188" s="1"/>
      <c r="RTY188" s="1"/>
      <c r="RTZ188" s="1"/>
      <c r="RUA188" s="1"/>
      <c r="RUB188" s="1"/>
      <c r="RUC188" s="1"/>
      <c r="RUD188" s="1"/>
      <c r="RUE188" s="1"/>
      <c r="RUF188" s="1"/>
      <c r="RUG188" s="1"/>
      <c r="RUH188" s="1"/>
      <c r="RUI188" s="1"/>
      <c r="RUJ188" s="1"/>
      <c r="RUK188" s="1"/>
      <c r="RUL188" s="1"/>
      <c r="RUM188" s="1"/>
      <c r="RUN188" s="1"/>
      <c r="RUO188" s="1"/>
      <c r="RUP188" s="1"/>
      <c r="RUQ188" s="1"/>
      <c r="RUR188" s="1"/>
      <c r="RUS188" s="1"/>
      <c r="RUT188" s="1"/>
      <c r="RUU188" s="1"/>
      <c r="RUV188" s="1"/>
      <c r="RUW188" s="1"/>
      <c r="RUX188" s="1"/>
      <c r="RUY188" s="1"/>
      <c r="RUZ188" s="1"/>
      <c r="RVA188" s="1"/>
      <c r="RVB188" s="1"/>
      <c r="RVC188" s="1"/>
      <c r="RVD188" s="1"/>
      <c r="RVE188" s="1"/>
      <c r="RVF188" s="1"/>
      <c r="RVG188" s="1"/>
      <c r="RVH188" s="1"/>
      <c r="RVI188" s="1"/>
      <c r="RVJ188" s="1"/>
      <c r="RVK188" s="1"/>
      <c r="RVL188" s="1"/>
      <c r="RVM188" s="1"/>
      <c r="RVN188" s="1"/>
      <c r="RVO188" s="1"/>
      <c r="RVP188" s="1"/>
      <c r="RVQ188" s="1"/>
      <c r="RVR188" s="1"/>
      <c r="RVS188" s="1"/>
      <c r="RVT188" s="1"/>
      <c r="RVU188" s="1"/>
      <c r="RVV188" s="1"/>
      <c r="RVW188" s="1"/>
      <c r="RVX188" s="1"/>
      <c r="RVY188" s="1"/>
      <c r="RVZ188" s="1"/>
      <c r="RWA188" s="1"/>
      <c r="RWB188" s="1"/>
      <c r="RWC188" s="1"/>
      <c r="RWD188" s="1"/>
      <c r="RWE188" s="1"/>
      <c r="RWF188" s="1"/>
      <c r="RWG188" s="1"/>
      <c r="RWH188" s="1"/>
      <c r="RWI188" s="1"/>
      <c r="RWJ188" s="1"/>
      <c r="RWK188" s="1"/>
      <c r="RWL188" s="1"/>
      <c r="RWM188" s="1"/>
      <c r="RWN188" s="1"/>
      <c r="RWO188" s="1"/>
      <c r="RWP188" s="1"/>
      <c r="RWQ188" s="1"/>
      <c r="RWR188" s="1"/>
      <c r="RWS188" s="1"/>
      <c r="RWT188" s="1"/>
      <c r="RWU188" s="1"/>
      <c r="RWV188" s="1"/>
      <c r="RWW188" s="1"/>
      <c r="RWX188" s="1"/>
      <c r="RWY188" s="1"/>
      <c r="RWZ188" s="1"/>
      <c r="RXA188" s="1"/>
      <c r="RXB188" s="1"/>
      <c r="RXC188" s="1"/>
      <c r="RXD188" s="1"/>
      <c r="RXE188" s="1"/>
      <c r="RXF188" s="1"/>
      <c r="RXG188" s="1"/>
      <c r="RXH188" s="1"/>
      <c r="RXI188" s="1"/>
      <c r="RXJ188" s="1"/>
      <c r="RXK188" s="1"/>
      <c r="RXL188" s="1"/>
      <c r="RXM188" s="1"/>
      <c r="RXN188" s="1"/>
      <c r="RXO188" s="1"/>
      <c r="RXP188" s="1"/>
      <c r="RXQ188" s="1"/>
      <c r="RXR188" s="1"/>
      <c r="RXS188" s="1"/>
      <c r="RXT188" s="1"/>
      <c r="RXU188" s="1"/>
      <c r="RXV188" s="1"/>
      <c r="RXW188" s="1"/>
      <c r="RXX188" s="1"/>
      <c r="RXY188" s="1"/>
      <c r="RXZ188" s="1"/>
      <c r="RYA188" s="1"/>
      <c r="RYB188" s="1"/>
      <c r="RYC188" s="1"/>
      <c r="RYD188" s="1"/>
      <c r="RYE188" s="1"/>
      <c r="RYF188" s="1"/>
      <c r="RYG188" s="1"/>
      <c r="RYH188" s="1"/>
      <c r="RYI188" s="1"/>
      <c r="RYJ188" s="1"/>
      <c r="RYK188" s="1"/>
      <c r="RYL188" s="1"/>
      <c r="RYM188" s="1"/>
      <c r="RYN188" s="1"/>
      <c r="RYO188" s="1"/>
      <c r="RYP188" s="1"/>
      <c r="RYQ188" s="1"/>
      <c r="RYR188" s="1"/>
      <c r="RYS188" s="1"/>
      <c r="RYT188" s="1"/>
      <c r="RYU188" s="1"/>
      <c r="RYV188" s="1"/>
      <c r="RYW188" s="1"/>
      <c r="RYX188" s="1"/>
      <c r="RYY188" s="1"/>
      <c r="RYZ188" s="1"/>
      <c r="RZA188" s="1"/>
      <c r="RZB188" s="1"/>
      <c r="RZC188" s="1"/>
      <c r="RZD188" s="1"/>
      <c r="RZE188" s="1"/>
      <c r="RZF188" s="1"/>
      <c r="RZG188" s="1"/>
      <c r="RZH188" s="1"/>
      <c r="RZI188" s="1"/>
      <c r="RZJ188" s="1"/>
      <c r="RZK188" s="1"/>
      <c r="RZL188" s="1"/>
      <c r="RZM188" s="1"/>
      <c r="RZN188" s="1"/>
      <c r="RZO188" s="1"/>
      <c r="RZP188" s="1"/>
      <c r="RZQ188" s="1"/>
      <c r="RZR188" s="1"/>
      <c r="RZS188" s="1"/>
      <c r="RZT188" s="1"/>
      <c r="RZU188" s="1"/>
      <c r="RZV188" s="1"/>
      <c r="RZW188" s="1"/>
      <c r="RZX188" s="1"/>
      <c r="RZY188" s="1"/>
      <c r="RZZ188" s="1"/>
      <c r="SAA188" s="1"/>
      <c r="SAB188" s="1"/>
      <c r="SAC188" s="1"/>
      <c r="SAD188" s="1"/>
      <c r="SAE188" s="1"/>
      <c r="SAF188" s="1"/>
      <c r="SAG188" s="1"/>
      <c r="SAH188" s="1"/>
      <c r="SAI188" s="1"/>
      <c r="SAJ188" s="1"/>
      <c r="SAK188" s="1"/>
      <c r="SAL188" s="1"/>
      <c r="SAM188" s="1"/>
      <c r="SAN188" s="1"/>
      <c r="SAO188" s="1"/>
      <c r="SAP188" s="1"/>
      <c r="SAQ188" s="1"/>
      <c r="SAR188" s="1"/>
      <c r="SAS188" s="1"/>
      <c r="SAT188" s="1"/>
      <c r="SAU188" s="1"/>
      <c r="SAV188" s="1"/>
      <c r="SAW188" s="1"/>
      <c r="SAX188" s="1"/>
      <c r="SAY188" s="1"/>
      <c r="SAZ188" s="1"/>
      <c r="SBA188" s="1"/>
      <c r="SBB188" s="1"/>
      <c r="SBC188" s="1"/>
      <c r="SBD188" s="1"/>
      <c r="SBE188" s="1"/>
      <c r="SBF188" s="1"/>
      <c r="SBG188" s="1"/>
      <c r="SBH188" s="1"/>
      <c r="SBI188" s="1"/>
      <c r="SBJ188" s="1"/>
      <c r="SBK188" s="1"/>
      <c r="SBL188" s="1"/>
      <c r="SBM188" s="1"/>
      <c r="SBN188" s="1"/>
      <c r="SBO188" s="1"/>
      <c r="SBP188" s="1"/>
      <c r="SBQ188" s="1"/>
      <c r="SBR188" s="1"/>
      <c r="SBS188" s="1"/>
      <c r="SBT188" s="1"/>
      <c r="SBU188" s="1"/>
      <c r="SBV188" s="1"/>
      <c r="SBW188" s="1"/>
      <c r="SBX188" s="1"/>
      <c r="SBY188" s="1"/>
      <c r="SBZ188" s="1"/>
      <c r="SCA188" s="1"/>
      <c r="SCB188" s="1"/>
      <c r="SCC188" s="1"/>
      <c r="SCD188" s="1"/>
      <c r="SCE188" s="1"/>
      <c r="SCF188" s="1"/>
      <c r="SCG188" s="1"/>
      <c r="SCH188" s="1"/>
      <c r="SCI188" s="1"/>
      <c r="SCJ188" s="1"/>
      <c r="SCK188" s="1"/>
      <c r="SCL188" s="1"/>
      <c r="SCM188" s="1"/>
      <c r="SCN188" s="1"/>
      <c r="SCO188" s="1"/>
      <c r="SCP188" s="1"/>
      <c r="SCQ188" s="1"/>
      <c r="SCR188" s="1"/>
      <c r="SCS188" s="1"/>
      <c r="SCT188" s="1"/>
      <c r="SCU188" s="1"/>
      <c r="SCV188" s="1"/>
      <c r="SCW188" s="1"/>
      <c r="SCX188" s="1"/>
      <c r="SCY188" s="1"/>
      <c r="SCZ188" s="1"/>
      <c r="SDA188" s="1"/>
      <c r="SDB188" s="1"/>
      <c r="SDC188" s="1"/>
      <c r="SDD188" s="1"/>
      <c r="SDE188" s="1"/>
      <c r="SDF188" s="1"/>
      <c r="SDG188" s="1"/>
      <c r="SDH188" s="1"/>
      <c r="SDI188" s="1"/>
      <c r="SDJ188" s="1"/>
      <c r="SDK188" s="1"/>
      <c r="SDL188" s="1"/>
      <c r="SDM188" s="1"/>
      <c r="SDN188" s="1"/>
      <c r="SDO188" s="1"/>
      <c r="SDP188" s="1"/>
      <c r="SDQ188" s="1"/>
      <c r="SDR188" s="1"/>
      <c r="SDS188" s="1"/>
      <c r="SDT188" s="1"/>
      <c r="SDU188" s="1"/>
      <c r="SDV188" s="1"/>
      <c r="SDW188" s="1"/>
      <c r="SDX188" s="1"/>
      <c r="SDY188" s="1"/>
      <c r="SDZ188" s="1"/>
      <c r="SEA188" s="1"/>
      <c r="SEB188" s="1"/>
      <c r="SEC188" s="1"/>
      <c r="SED188" s="1"/>
      <c r="SEE188" s="1"/>
      <c r="SEF188" s="1"/>
      <c r="SEG188" s="1"/>
      <c r="SEH188" s="1"/>
      <c r="SEI188" s="1"/>
      <c r="SEJ188" s="1"/>
      <c r="SEK188" s="1"/>
      <c r="SEL188" s="1"/>
      <c r="SEM188" s="1"/>
      <c r="SEN188" s="1"/>
      <c r="SEO188" s="1"/>
      <c r="SEP188" s="1"/>
      <c r="SEQ188" s="1"/>
      <c r="SER188" s="1"/>
      <c r="SES188" s="1"/>
      <c r="SET188" s="1"/>
      <c r="SEU188" s="1"/>
      <c r="SEV188" s="1"/>
      <c r="SEW188" s="1"/>
      <c r="SEX188" s="1"/>
      <c r="SEY188" s="1"/>
      <c r="SEZ188" s="1"/>
      <c r="SFA188" s="1"/>
      <c r="SFB188" s="1"/>
      <c r="SFC188" s="1"/>
      <c r="SFD188" s="1"/>
      <c r="SFE188" s="1"/>
      <c r="SFF188" s="1"/>
      <c r="SFG188" s="1"/>
      <c r="SFH188" s="1"/>
      <c r="SFI188" s="1"/>
      <c r="SFJ188" s="1"/>
      <c r="SFK188" s="1"/>
      <c r="SFL188" s="1"/>
      <c r="SFM188" s="1"/>
      <c r="SFN188" s="1"/>
      <c r="SFO188" s="1"/>
      <c r="SFP188" s="1"/>
      <c r="SFQ188" s="1"/>
      <c r="SFR188" s="1"/>
      <c r="SFS188" s="1"/>
      <c r="SFT188" s="1"/>
      <c r="SFU188" s="1"/>
      <c r="SFV188" s="1"/>
      <c r="SFW188" s="1"/>
      <c r="SFX188" s="1"/>
      <c r="SFY188" s="1"/>
      <c r="SFZ188" s="1"/>
      <c r="SGA188" s="1"/>
      <c r="SGB188" s="1"/>
      <c r="SGC188" s="1"/>
      <c r="SGD188" s="1"/>
      <c r="SGE188" s="1"/>
      <c r="SGF188" s="1"/>
      <c r="SGG188" s="1"/>
      <c r="SGH188" s="1"/>
      <c r="SGI188" s="1"/>
      <c r="SGJ188" s="1"/>
      <c r="SGK188" s="1"/>
      <c r="SGL188" s="1"/>
      <c r="SGM188" s="1"/>
      <c r="SGN188" s="1"/>
      <c r="SGO188" s="1"/>
      <c r="SGP188" s="1"/>
      <c r="SGQ188" s="1"/>
      <c r="SGR188" s="1"/>
      <c r="SGS188" s="1"/>
      <c r="SGT188" s="1"/>
      <c r="SGU188" s="1"/>
      <c r="SGV188" s="1"/>
      <c r="SGW188" s="1"/>
      <c r="SGX188" s="1"/>
      <c r="SGY188" s="1"/>
      <c r="SGZ188" s="1"/>
      <c r="SHA188" s="1"/>
      <c r="SHB188" s="1"/>
      <c r="SHC188" s="1"/>
      <c r="SHD188" s="1"/>
      <c r="SHE188" s="1"/>
      <c r="SHF188" s="1"/>
      <c r="SHG188" s="1"/>
      <c r="SHH188" s="1"/>
      <c r="SHI188" s="1"/>
      <c r="SHJ188" s="1"/>
      <c r="SHK188" s="1"/>
      <c r="SHL188" s="1"/>
      <c r="SHM188" s="1"/>
      <c r="SHN188" s="1"/>
      <c r="SHO188" s="1"/>
      <c r="SHP188" s="1"/>
      <c r="SHQ188" s="1"/>
      <c r="SHR188" s="1"/>
      <c r="SHS188" s="1"/>
      <c r="SHT188" s="1"/>
      <c r="SHU188" s="1"/>
      <c r="SHV188" s="1"/>
      <c r="SHW188" s="1"/>
      <c r="SHX188" s="1"/>
      <c r="SHY188" s="1"/>
      <c r="SHZ188" s="1"/>
      <c r="SIA188" s="1"/>
      <c r="SIB188" s="1"/>
      <c r="SIC188" s="1"/>
      <c r="SID188" s="1"/>
      <c r="SIE188" s="1"/>
      <c r="SIF188" s="1"/>
      <c r="SIG188" s="1"/>
      <c r="SIH188" s="1"/>
      <c r="SII188" s="1"/>
      <c r="SIJ188" s="1"/>
      <c r="SIK188" s="1"/>
      <c r="SIL188" s="1"/>
      <c r="SIM188" s="1"/>
      <c r="SIN188" s="1"/>
      <c r="SIO188" s="1"/>
      <c r="SIP188" s="1"/>
      <c r="SIQ188" s="1"/>
      <c r="SIR188" s="1"/>
      <c r="SIS188" s="1"/>
      <c r="SIT188" s="1"/>
      <c r="SIU188" s="1"/>
      <c r="SIV188" s="1"/>
      <c r="SIW188" s="1"/>
      <c r="SIX188" s="1"/>
      <c r="SIY188" s="1"/>
      <c r="SIZ188" s="1"/>
      <c r="SJA188" s="1"/>
      <c r="SJB188" s="1"/>
      <c r="SJC188" s="1"/>
      <c r="SJD188" s="1"/>
      <c r="SJE188" s="1"/>
      <c r="SJF188" s="1"/>
      <c r="SJG188" s="1"/>
      <c r="SJH188" s="1"/>
      <c r="SJI188" s="1"/>
      <c r="SJJ188" s="1"/>
      <c r="SJK188" s="1"/>
      <c r="SJL188" s="1"/>
      <c r="SJM188" s="1"/>
      <c r="SJN188" s="1"/>
      <c r="SJO188" s="1"/>
      <c r="SJP188" s="1"/>
      <c r="SJQ188" s="1"/>
      <c r="SJR188" s="1"/>
      <c r="SJS188" s="1"/>
      <c r="SJT188" s="1"/>
      <c r="SJU188" s="1"/>
      <c r="SJV188" s="1"/>
      <c r="SJW188" s="1"/>
      <c r="SJX188" s="1"/>
      <c r="SJY188" s="1"/>
      <c r="SJZ188" s="1"/>
      <c r="SKA188" s="1"/>
      <c r="SKB188" s="1"/>
      <c r="SKC188" s="1"/>
      <c r="SKD188" s="1"/>
      <c r="SKE188" s="1"/>
      <c r="SKF188" s="1"/>
      <c r="SKG188" s="1"/>
      <c r="SKH188" s="1"/>
      <c r="SKI188" s="1"/>
      <c r="SKJ188" s="1"/>
      <c r="SKK188" s="1"/>
      <c r="SKL188" s="1"/>
      <c r="SKM188" s="1"/>
      <c r="SKN188" s="1"/>
      <c r="SKO188" s="1"/>
      <c r="SKP188" s="1"/>
      <c r="SKQ188" s="1"/>
      <c r="SKR188" s="1"/>
      <c r="SKS188" s="1"/>
      <c r="SKT188" s="1"/>
      <c r="SKU188" s="1"/>
      <c r="SKV188" s="1"/>
      <c r="SKW188" s="1"/>
      <c r="SKX188" s="1"/>
      <c r="SKY188" s="1"/>
      <c r="SKZ188" s="1"/>
      <c r="SLA188" s="1"/>
      <c r="SLB188" s="1"/>
      <c r="SLC188" s="1"/>
      <c r="SLD188" s="1"/>
      <c r="SLE188" s="1"/>
      <c r="SLF188" s="1"/>
      <c r="SLG188" s="1"/>
      <c r="SLH188" s="1"/>
      <c r="SLI188" s="1"/>
      <c r="SLJ188" s="1"/>
      <c r="SLK188" s="1"/>
      <c r="SLL188" s="1"/>
      <c r="SLM188" s="1"/>
      <c r="SLN188" s="1"/>
      <c r="SLO188" s="1"/>
      <c r="SLP188" s="1"/>
      <c r="SLQ188" s="1"/>
      <c r="SLR188" s="1"/>
      <c r="SLS188" s="1"/>
      <c r="SLT188" s="1"/>
      <c r="SLU188" s="1"/>
      <c r="SLV188" s="1"/>
      <c r="SLW188" s="1"/>
      <c r="SLX188" s="1"/>
      <c r="SLY188" s="1"/>
      <c r="SLZ188" s="1"/>
      <c r="SMA188" s="1"/>
      <c r="SMB188" s="1"/>
      <c r="SMC188" s="1"/>
      <c r="SMD188" s="1"/>
      <c r="SME188" s="1"/>
      <c r="SMF188" s="1"/>
      <c r="SMG188" s="1"/>
      <c r="SMH188" s="1"/>
      <c r="SMI188" s="1"/>
      <c r="SMJ188" s="1"/>
      <c r="SMK188" s="1"/>
      <c r="SML188" s="1"/>
      <c r="SMM188" s="1"/>
      <c r="SMN188" s="1"/>
      <c r="SMO188" s="1"/>
      <c r="SMP188" s="1"/>
      <c r="SMQ188" s="1"/>
      <c r="SMR188" s="1"/>
      <c r="SMS188" s="1"/>
      <c r="SMT188" s="1"/>
      <c r="SMU188" s="1"/>
      <c r="SMV188" s="1"/>
      <c r="SMW188" s="1"/>
      <c r="SMX188" s="1"/>
      <c r="SMY188" s="1"/>
      <c r="SMZ188" s="1"/>
      <c r="SNA188" s="1"/>
      <c r="SNB188" s="1"/>
      <c r="SNC188" s="1"/>
      <c r="SND188" s="1"/>
      <c r="SNE188" s="1"/>
      <c r="SNF188" s="1"/>
      <c r="SNG188" s="1"/>
      <c r="SNH188" s="1"/>
      <c r="SNI188" s="1"/>
      <c r="SNJ188" s="1"/>
      <c r="SNK188" s="1"/>
      <c r="SNL188" s="1"/>
      <c r="SNM188" s="1"/>
      <c r="SNN188" s="1"/>
      <c r="SNO188" s="1"/>
      <c r="SNP188" s="1"/>
      <c r="SNQ188" s="1"/>
      <c r="SNR188" s="1"/>
      <c r="SNS188" s="1"/>
      <c r="SNT188" s="1"/>
      <c r="SNU188" s="1"/>
      <c r="SNV188" s="1"/>
      <c r="SNW188" s="1"/>
      <c r="SNX188" s="1"/>
      <c r="SNY188" s="1"/>
      <c r="SNZ188" s="1"/>
      <c r="SOA188" s="1"/>
      <c r="SOB188" s="1"/>
      <c r="SOC188" s="1"/>
      <c r="SOD188" s="1"/>
      <c r="SOE188" s="1"/>
      <c r="SOF188" s="1"/>
      <c r="SOG188" s="1"/>
      <c r="SOH188" s="1"/>
      <c r="SOI188" s="1"/>
      <c r="SOJ188" s="1"/>
      <c r="SOK188" s="1"/>
      <c r="SOL188" s="1"/>
      <c r="SOM188" s="1"/>
      <c r="SON188" s="1"/>
      <c r="SOO188" s="1"/>
      <c r="SOP188" s="1"/>
      <c r="SOQ188" s="1"/>
      <c r="SOR188" s="1"/>
      <c r="SOS188" s="1"/>
      <c r="SOT188" s="1"/>
      <c r="SOU188" s="1"/>
      <c r="SOV188" s="1"/>
      <c r="SOW188" s="1"/>
      <c r="SOX188" s="1"/>
      <c r="SOY188" s="1"/>
      <c r="SOZ188" s="1"/>
      <c r="SPA188" s="1"/>
      <c r="SPB188" s="1"/>
      <c r="SPC188" s="1"/>
      <c r="SPD188" s="1"/>
      <c r="SPE188" s="1"/>
      <c r="SPF188" s="1"/>
      <c r="SPG188" s="1"/>
      <c r="SPH188" s="1"/>
      <c r="SPI188" s="1"/>
      <c r="SPJ188" s="1"/>
      <c r="SPK188" s="1"/>
      <c r="SPL188" s="1"/>
      <c r="SPM188" s="1"/>
      <c r="SPN188" s="1"/>
      <c r="SPO188" s="1"/>
      <c r="SPP188" s="1"/>
      <c r="SPQ188" s="1"/>
      <c r="SPR188" s="1"/>
      <c r="SPS188" s="1"/>
      <c r="SPT188" s="1"/>
      <c r="SPU188" s="1"/>
      <c r="SPV188" s="1"/>
      <c r="SPW188" s="1"/>
      <c r="SPX188" s="1"/>
      <c r="SPY188" s="1"/>
      <c r="SPZ188" s="1"/>
      <c r="SQA188" s="1"/>
      <c r="SQB188" s="1"/>
      <c r="SQC188" s="1"/>
      <c r="SQD188" s="1"/>
      <c r="SQE188" s="1"/>
      <c r="SQF188" s="1"/>
      <c r="SQG188" s="1"/>
      <c r="SQH188" s="1"/>
      <c r="SQI188" s="1"/>
      <c r="SQJ188" s="1"/>
      <c r="SQK188" s="1"/>
      <c r="SQL188" s="1"/>
      <c r="SQM188" s="1"/>
      <c r="SQN188" s="1"/>
      <c r="SQO188" s="1"/>
      <c r="SQP188" s="1"/>
      <c r="SQQ188" s="1"/>
      <c r="SQR188" s="1"/>
      <c r="SQS188" s="1"/>
      <c r="SQT188" s="1"/>
      <c r="SQU188" s="1"/>
      <c r="SQV188" s="1"/>
      <c r="SQW188" s="1"/>
      <c r="SQX188" s="1"/>
      <c r="SQY188" s="1"/>
      <c r="SQZ188" s="1"/>
      <c r="SRA188" s="1"/>
      <c r="SRB188" s="1"/>
      <c r="SRC188" s="1"/>
      <c r="SRD188" s="1"/>
      <c r="SRE188" s="1"/>
      <c r="SRF188" s="1"/>
      <c r="SRG188" s="1"/>
      <c r="SRH188" s="1"/>
      <c r="SRI188" s="1"/>
      <c r="SRJ188" s="1"/>
      <c r="SRK188" s="1"/>
      <c r="SRL188" s="1"/>
      <c r="SRM188" s="1"/>
      <c r="SRN188" s="1"/>
      <c r="SRO188" s="1"/>
      <c r="SRP188" s="1"/>
      <c r="SRQ188" s="1"/>
      <c r="SRR188" s="1"/>
      <c r="SRS188" s="1"/>
      <c r="SRT188" s="1"/>
      <c r="SRU188" s="1"/>
      <c r="SRV188" s="1"/>
      <c r="SRW188" s="1"/>
      <c r="SRX188" s="1"/>
      <c r="SRY188" s="1"/>
      <c r="SRZ188" s="1"/>
      <c r="SSA188" s="1"/>
      <c r="SSB188" s="1"/>
      <c r="SSC188" s="1"/>
      <c r="SSD188" s="1"/>
      <c r="SSE188" s="1"/>
      <c r="SSF188" s="1"/>
      <c r="SSG188" s="1"/>
      <c r="SSH188" s="1"/>
      <c r="SSI188" s="1"/>
      <c r="SSJ188" s="1"/>
      <c r="SSK188" s="1"/>
      <c r="SSL188" s="1"/>
      <c r="SSM188" s="1"/>
      <c r="SSN188" s="1"/>
      <c r="SSO188" s="1"/>
      <c r="SSP188" s="1"/>
      <c r="SSQ188" s="1"/>
      <c r="SSR188" s="1"/>
      <c r="SSS188" s="1"/>
      <c r="SST188" s="1"/>
      <c r="SSU188" s="1"/>
      <c r="SSV188" s="1"/>
      <c r="SSW188" s="1"/>
      <c r="SSX188" s="1"/>
      <c r="SSY188" s="1"/>
      <c r="SSZ188" s="1"/>
      <c r="STA188" s="1"/>
      <c r="STB188" s="1"/>
      <c r="STC188" s="1"/>
      <c r="STD188" s="1"/>
      <c r="STE188" s="1"/>
      <c r="STF188" s="1"/>
      <c r="STG188" s="1"/>
      <c r="STH188" s="1"/>
      <c r="STI188" s="1"/>
      <c r="STJ188" s="1"/>
      <c r="STK188" s="1"/>
      <c r="STL188" s="1"/>
      <c r="STM188" s="1"/>
      <c r="STN188" s="1"/>
      <c r="STO188" s="1"/>
      <c r="STP188" s="1"/>
      <c r="STQ188" s="1"/>
      <c r="STR188" s="1"/>
      <c r="STS188" s="1"/>
      <c r="STT188" s="1"/>
      <c r="STU188" s="1"/>
      <c r="STV188" s="1"/>
      <c r="STW188" s="1"/>
      <c r="STX188" s="1"/>
      <c r="STY188" s="1"/>
      <c r="STZ188" s="1"/>
      <c r="SUA188" s="1"/>
      <c r="SUB188" s="1"/>
      <c r="SUC188" s="1"/>
      <c r="SUD188" s="1"/>
      <c r="SUE188" s="1"/>
      <c r="SUF188" s="1"/>
      <c r="SUG188" s="1"/>
      <c r="SUH188" s="1"/>
      <c r="SUI188" s="1"/>
      <c r="SUJ188" s="1"/>
      <c r="SUK188" s="1"/>
      <c r="SUL188" s="1"/>
      <c r="SUM188" s="1"/>
      <c r="SUN188" s="1"/>
      <c r="SUO188" s="1"/>
      <c r="SUP188" s="1"/>
      <c r="SUQ188" s="1"/>
      <c r="SUR188" s="1"/>
      <c r="SUS188" s="1"/>
      <c r="SUT188" s="1"/>
      <c r="SUU188" s="1"/>
      <c r="SUV188" s="1"/>
      <c r="SUW188" s="1"/>
      <c r="SUX188" s="1"/>
      <c r="SUY188" s="1"/>
      <c r="SUZ188" s="1"/>
      <c r="SVA188" s="1"/>
      <c r="SVB188" s="1"/>
      <c r="SVC188" s="1"/>
      <c r="SVD188" s="1"/>
      <c r="SVE188" s="1"/>
      <c r="SVF188" s="1"/>
      <c r="SVG188" s="1"/>
      <c r="SVH188" s="1"/>
      <c r="SVI188" s="1"/>
      <c r="SVJ188" s="1"/>
      <c r="SVK188" s="1"/>
      <c r="SVL188" s="1"/>
      <c r="SVM188" s="1"/>
      <c r="SVN188" s="1"/>
      <c r="SVO188" s="1"/>
      <c r="SVP188" s="1"/>
      <c r="SVQ188" s="1"/>
      <c r="SVR188" s="1"/>
      <c r="SVS188" s="1"/>
      <c r="SVT188" s="1"/>
      <c r="SVU188" s="1"/>
      <c r="SVV188" s="1"/>
      <c r="SVW188" s="1"/>
      <c r="SVX188" s="1"/>
      <c r="SVY188" s="1"/>
      <c r="SVZ188" s="1"/>
      <c r="SWA188" s="1"/>
      <c r="SWB188" s="1"/>
      <c r="SWC188" s="1"/>
      <c r="SWD188" s="1"/>
      <c r="SWE188" s="1"/>
      <c r="SWF188" s="1"/>
      <c r="SWG188" s="1"/>
      <c r="SWH188" s="1"/>
      <c r="SWI188" s="1"/>
      <c r="SWJ188" s="1"/>
      <c r="SWK188" s="1"/>
      <c r="SWL188" s="1"/>
      <c r="SWM188" s="1"/>
      <c r="SWN188" s="1"/>
      <c r="SWO188" s="1"/>
      <c r="SWP188" s="1"/>
      <c r="SWQ188" s="1"/>
      <c r="SWR188" s="1"/>
      <c r="SWS188" s="1"/>
      <c r="SWT188" s="1"/>
      <c r="SWU188" s="1"/>
      <c r="SWV188" s="1"/>
      <c r="SWW188" s="1"/>
      <c r="SWX188" s="1"/>
      <c r="SWY188" s="1"/>
      <c r="SWZ188" s="1"/>
      <c r="SXA188" s="1"/>
      <c r="SXB188" s="1"/>
      <c r="SXC188" s="1"/>
      <c r="SXD188" s="1"/>
      <c r="SXE188" s="1"/>
      <c r="SXF188" s="1"/>
      <c r="SXG188" s="1"/>
      <c r="SXH188" s="1"/>
      <c r="SXI188" s="1"/>
      <c r="SXJ188" s="1"/>
      <c r="SXK188" s="1"/>
      <c r="SXL188" s="1"/>
      <c r="SXM188" s="1"/>
      <c r="SXN188" s="1"/>
      <c r="SXO188" s="1"/>
      <c r="SXP188" s="1"/>
      <c r="SXQ188" s="1"/>
      <c r="SXR188" s="1"/>
      <c r="SXS188" s="1"/>
      <c r="SXT188" s="1"/>
      <c r="SXU188" s="1"/>
      <c r="SXV188" s="1"/>
      <c r="SXW188" s="1"/>
      <c r="SXX188" s="1"/>
      <c r="SXY188" s="1"/>
      <c r="SXZ188" s="1"/>
      <c r="SYA188" s="1"/>
      <c r="SYB188" s="1"/>
      <c r="SYC188" s="1"/>
      <c r="SYD188" s="1"/>
      <c r="SYE188" s="1"/>
      <c r="SYF188" s="1"/>
      <c r="SYG188" s="1"/>
      <c r="SYH188" s="1"/>
      <c r="SYI188" s="1"/>
      <c r="SYJ188" s="1"/>
      <c r="SYK188" s="1"/>
      <c r="SYL188" s="1"/>
      <c r="SYM188" s="1"/>
      <c r="SYN188" s="1"/>
      <c r="SYO188" s="1"/>
      <c r="SYP188" s="1"/>
      <c r="SYQ188" s="1"/>
      <c r="SYR188" s="1"/>
      <c r="SYS188" s="1"/>
      <c r="SYT188" s="1"/>
      <c r="SYU188" s="1"/>
      <c r="SYV188" s="1"/>
      <c r="SYW188" s="1"/>
      <c r="SYX188" s="1"/>
      <c r="SYY188" s="1"/>
      <c r="SYZ188" s="1"/>
      <c r="SZA188" s="1"/>
      <c r="SZB188" s="1"/>
      <c r="SZC188" s="1"/>
      <c r="SZD188" s="1"/>
      <c r="SZE188" s="1"/>
      <c r="SZF188" s="1"/>
      <c r="SZG188" s="1"/>
      <c r="SZH188" s="1"/>
      <c r="SZI188" s="1"/>
      <c r="SZJ188" s="1"/>
      <c r="SZK188" s="1"/>
      <c r="SZL188" s="1"/>
      <c r="SZM188" s="1"/>
      <c r="SZN188" s="1"/>
      <c r="SZO188" s="1"/>
      <c r="SZP188" s="1"/>
      <c r="SZQ188" s="1"/>
      <c r="SZR188" s="1"/>
      <c r="SZS188" s="1"/>
      <c r="SZT188" s="1"/>
      <c r="SZU188" s="1"/>
      <c r="SZV188" s="1"/>
      <c r="SZW188" s="1"/>
      <c r="SZX188" s="1"/>
      <c r="SZY188" s="1"/>
      <c r="SZZ188" s="1"/>
      <c r="TAA188" s="1"/>
      <c r="TAB188" s="1"/>
      <c r="TAC188" s="1"/>
      <c r="TAD188" s="1"/>
      <c r="TAE188" s="1"/>
      <c r="TAF188" s="1"/>
      <c r="TAG188" s="1"/>
      <c r="TAH188" s="1"/>
      <c r="TAI188" s="1"/>
      <c r="TAJ188" s="1"/>
      <c r="TAK188" s="1"/>
      <c r="TAL188" s="1"/>
      <c r="TAM188" s="1"/>
      <c r="TAN188" s="1"/>
      <c r="TAO188" s="1"/>
      <c r="TAP188" s="1"/>
      <c r="TAQ188" s="1"/>
      <c r="TAR188" s="1"/>
      <c r="TAS188" s="1"/>
      <c r="TAT188" s="1"/>
      <c r="TAU188" s="1"/>
      <c r="TAV188" s="1"/>
      <c r="TAW188" s="1"/>
      <c r="TAX188" s="1"/>
      <c r="TAY188" s="1"/>
      <c r="TAZ188" s="1"/>
      <c r="TBA188" s="1"/>
      <c r="TBB188" s="1"/>
      <c r="TBC188" s="1"/>
      <c r="TBD188" s="1"/>
      <c r="TBE188" s="1"/>
      <c r="TBF188" s="1"/>
      <c r="TBG188" s="1"/>
      <c r="TBH188" s="1"/>
      <c r="TBI188" s="1"/>
      <c r="TBJ188" s="1"/>
      <c r="TBK188" s="1"/>
      <c r="TBL188" s="1"/>
      <c r="TBM188" s="1"/>
      <c r="TBN188" s="1"/>
      <c r="TBO188" s="1"/>
      <c r="TBP188" s="1"/>
      <c r="TBQ188" s="1"/>
      <c r="TBR188" s="1"/>
      <c r="TBS188" s="1"/>
      <c r="TBT188" s="1"/>
      <c r="TBU188" s="1"/>
      <c r="TBV188" s="1"/>
      <c r="TBW188" s="1"/>
      <c r="TBX188" s="1"/>
      <c r="TBY188" s="1"/>
      <c r="TBZ188" s="1"/>
      <c r="TCA188" s="1"/>
      <c r="TCB188" s="1"/>
      <c r="TCC188" s="1"/>
      <c r="TCD188" s="1"/>
      <c r="TCE188" s="1"/>
      <c r="TCF188" s="1"/>
      <c r="TCG188" s="1"/>
      <c r="TCH188" s="1"/>
      <c r="TCI188" s="1"/>
      <c r="TCJ188" s="1"/>
      <c r="TCK188" s="1"/>
      <c r="TCL188" s="1"/>
      <c r="TCM188" s="1"/>
      <c r="TCN188" s="1"/>
      <c r="TCO188" s="1"/>
      <c r="TCP188" s="1"/>
      <c r="TCQ188" s="1"/>
      <c r="TCR188" s="1"/>
      <c r="TCS188" s="1"/>
      <c r="TCT188" s="1"/>
      <c r="TCU188" s="1"/>
      <c r="TCV188" s="1"/>
      <c r="TCW188" s="1"/>
      <c r="TCX188" s="1"/>
      <c r="TCY188" s="1"/>
      <c r="TCZ188" s="1"/>
      <c r="TDA188" s="1"/>
      <c r="TDB188" s="1"/>
      <c r="TDC188" s="1"/>
      <c r="TDD188" s="1"/>
      <c r="TDE188" s="1"/>
      <c r="TDF188" s="1"/>
      <c r="TDG188" s="1"/>
      <c r="TDH188" s="1"/>
      <c r="TDI188" s="1"/>
      <c r="TDJ188" s="1"/>
      <c r="TDK188" s="1"/>
      <c r="TDL188" s="1"/>
      <c r="TDM188" s="1"/>
      <c r="TDN188" s="1"/>
      <c r="TDO188" s="1"/>
      <c r="TDP188" s="1"/>
      <c r="TDQ188" s="1"/>
      <c r="TDR188" s="1"/>
      <c r="TDS188" s="1"/>
      <c r="TDT188" s="1"/>
      <c r="TDU188" s="1"/>
      <c r="TDV188" s="1"/>
      <c r="TDW188" s="1"/>
      <c r="TDX188" s="1"/>
      <c r="TDY188" s="1"/>
      <c r="TDZ188" s="1"/>
      <c r="TEA188" s="1"/>
      <c r="TEB188" s="1"/>
      <c r="TEC188" s="1"/>
      <c r="TED188" s="1"/>
      <c r="TEE188" s="1"/>
      <c r="TEF188" s="1"/>
      <c r="TEG188" s="1"/>
      <c r="TEH188" s="1"/>
      <c r="TEI188" s="1"/>
      <c r="TEJ188" s="1"/>
      <c r="TEK188" s="1"/>
      <c r="TEL188" s="1"/>
      <c r="TEM188" s="1"/>
      <c r="TEN188" s="1"/>
      <c r="TEO188" s="1"/>
      <c r="TEP188" s="1"/>
      <c r="TEQ188" s="1"/>
      <c r="TER188" s="1"/>
      <c r="TES188" s="1"/>
      <c r="TET188" s="1"/>
      <c r="TEU188" s="1"/>
      <c r="TEV188" s="1"/>
      <c r="TEW188" s="1"/>
      <c r="TEX188" s="1"/>
      <c r="TEY188" s="1"/>
      <c r="TEZ188" s="1"/>
      <c r="TFA188" s="1"/>
      <c r="TFB188" s="1"/>
      <c r="TFC188" s="1"/>
      <c r="TFD188" s="1"/>
      <c r="TFE188" s="1"/>
      <c r="TFF188" s="1"/>
      <c r="TFG188" s="1"/>
      <c r="TFH188" s="1"/>
      <c r="TFI188" s="1"/>
      <c r="TFJ188" s="1"/>
      <c r="TFK188" s="1"/>
      <c r="TFL188" s="1"/>
      <c r="TFM188" s="1"/>
      <c r="TFN188" s="1"/>
      <c r="TFO188" s="1"/>
      <c r="TFP188" s="1"/>
      <c r="TFQ188" s="1"/>
      <c r="TFR188" s="1"/>
      <c r="TFS188" s="1"/>
      <c r="TFT188" s="1"/>
      <c r="TFU188" s="1"/>
      <c r="TFV188" s="1"/>
      <c r="TFW188" s="1"/>
      <c r="TFX188" s="1"/>
      <c r="TFY188" s="1"/>
      <c r="TFZ188" s="1"/>
      <c r="TGA188" s="1"/>
      <c r="TGB188" s="1"/>
      <c r="TGC188" s="1"/>
      <c r="TGD188" s="1"/>
      <c r="TGE188" s="1"/>
      <c r="TGF188" s="1"/>
      <c r="TGG188" s="1"/>
      <c r="TGH188" s="1"/>
      <c r="TGI188" s="1"/>
      <c r="TGJ188" s="1"/>
      <c r="TGK188" s="1"/>
      <c r="TGL188" s="1"/>
      <c r="TGM188" s="1"/>
      <c r="TGN188" s="1"/>
      <c r="TGO188" s="1"/>
      <c r="TGP188" s="1"/>
      <c r="TGQ188" s="1"/>
      <c r="TGR188" s="1"/>
      <c r="TGS188" s="1"/>
      <c r="TGT188" s="1"/>
      <c r="TGU188" s="1"/>
      <c r="TGV188" s="1"/>
      <c r="TGW188" s="1"/>
      <c r="TGX188" s="1"/>
      <c r="TGY188" s="1"/>
      <c r="TGZ188" s="1"/>
      <c r="THA188" s="1"/>
      <c r="THB188" s="1"/>
      <c r="THC188" s="1"/>
      <c r="THD188" s="1"/>
      <c r="THE188" s="1"/>
      <c r="THF188" s="1"/>
      <c r="THG188" s="1"/>
      <c r="THH188" s="1"/>
      <c r="THI188" s="1"/>
      <c r="THJ188" s="1"/>
      <c r="THK188" s="1"/>
      <c r="THL188" s="1"/>
      <c r="THM188" s="1"/>
      <c r="THN188" s="1"/>
      <c r="THO188" s="1"/>
      <c r="THP188" s="1"/>
      <c r="THQ188" s="1"/>
      <c r="THR188" s="1"/>
      <c r="THS188" s="1"/>
      <c r="THT188" s="1"/>
      <c r="THU188" s="1"/>
      <c r="THV188" s="1"/>
      <c r="THW188" s="1"/>
      <c r="THX188" s="1"/>
      <c r="THY188" s="1"/>
      <c r="THZ188" s="1"/>
      <c r="TIA188" s="1"/>
      <c r="TIB188" s="1"/>
      <c r="TIC188" s="1"/>
      <c r="TID188" s="1"/>
      <c r="TIE188" s="1"/>
      <c r="TIF188" s="1"/>
      <c r="TIG188" s="1"/>
      <c r="TIH188" s="1"/>
      <c r="TII188" s="1"/>
      <c r="TIJ188" s="1"/>
      <c r="TIK188" s="1"/>
      <c r="TIL188" s="1"/>
      <c r="TIM188" s="1"/>
      <c r="TIN188" s="1"/>
      <c r="TIO188" s="1"/>
      <c r="TIP188" s="1"/>
      <c r="TIQ188" s="1"/>
      <c r="TIR188" s="1"/>
      <c r="TIS188" s="1"/>
      <c r="TIT188" s="1"/>
      <c r="TIU188" s="1"/>
      <c r="TIV188" s="1"/>
      <c r="TIW188" s="1"/>
      <c r="TIX188" s="1"/>
      <c r="TIY188" s="1"/>
      <c r="TIZ188" s="1"/>
      <c r="TJA188" s="1"/>
      <c r="TJB188" s="1"/>
      <c r="TJC188" s="1"/>
      <c r="TJD188" s="1"/>
      <c r="TJE188" s="1"/>
      <c r="TJF188" s="1"/>
      <c r="TJG188" s="1"/>
      <c r="TJH188" s="1"/>
      <c r="TJI188" s="1"/>
      <c r="TJJ188" s="1"/>
      <c r="TJK188" s="1"/>
      <c r="TJL188" s="1"/>
      <c r="TJM188" s="1"/>
      <c r="TJN188" s="1"/>
      <c r="TJO188" s="1"/>
      <c r="TJP188" s="1"/>
      <c r="TJQ188" s="1"/>
      <c r="TJR188" s="1"/>
      <c r="TJS188" s="1"/>
      <c r="TJT188" s="1"/>
      <c r="TJU188" s="1"/>
      <c r="TJV188" s="1"/>
      <c r="TJW188" s="1"/>
      <c r="TJX188" s="1"/>
      <c r="TJY188" s="1"/>
      <c r="TJZ188" s="1"/>
      <c r="TKA188" s="1"/>
      <c r="TKB188" s="1"/>
      <c r="TKC188" s="1"/>
      <c r="TKD188" s="1"/>
      <c r="TKE188" s="1"/>
      <c r="TKF188" s="1"/>
      <c r="TKG188" s="1"/>
      <c r="TKH188" s="1"/>
      <c r="TKI188" s="1"/>
      <c r="TKJ188" s="1"/>
      <c r="TKK188" s="1"/>
      <c r="TKL188" s="1"/>
      <c r="TKM188" s="1"/>
      <c r="TKN188" s="1"/>
      <c r="TKO188" s="1"/>
      <c r="TKP188" s="1"/>
      <c r="TKQ188" s="1"/>
      <c r="TKR188" s="1"/>
      <c r="TKS188" s="1"/>
      <c r="TKT188" s="1"/>
      <c r="TKU188" s="1"/>
      <c r="TKV188" s="1"/>
      <c r="TKW188" s="1"/>
      <c r="TKX188" s="1"/>
      <c r="TKY188" s="1"/>
      <c r="TKZ188" s="1"/>
      <c r="TLA188" s="1"/>
      <c r="TLB188" s="1"/>
      <c r="TLC188" s="1"/>
      <c r="TLD188" s="1"/>
      <c r="TLE188" s="1"/>
      <c r="TLF188" s="1"/>
      <c r="TLG188" s="1"/>
      <c r="TLH188" s="1"/>
      <c r="TLI188" s="1"/>
      <c r="TLJ188" s="1"/>
      <c r="TLK188" s="1"/>
      <c r="TLL188" s="1"/>
      <c r="TLM188" s="1"/>
      <c r="TLN188" s="1"/>
      <c r="TLO188" s="1"/>
      <c r="TLP188" s="1"/>
      <c r="TLQ188" s="1"/>
      <c r="TLR188" s="1"/>
      <c r="TLS188" s="1"/>
      <c r="TLT188" s="1"/>
      <c r="TLU188" s="1"/>
      <c r="TLV188" s="1"/>
      <c r="TLW188" s="1"/>
      <c r="TLX188" s="1"/>
      <c r="TLY188" s="1"/>
      <c r="TLZ188" s="1"/>
      <c r="TMA188" s="1"/>
      <c r="TMB188" s="1"/>
      <c r="TMC188" s="1"/>
      <c r="TMD188" s="1"/>
      <c r="TME188" s="1"/>
      <c r="TMF188" s="1"/>
      <c r="TMG188" s="1"/>
      <c r="TMH188" s="1"/>
      <c r="TMI188" s="1"/>
      <c r="TMJ188" s="1"/>
      <c r="TMK188" s="1"/>
      <c r="TML188" s="1"/>
      <c r="TMM188" s="1"/>
      <c r="TMN188" s="1"/>
      <c r="TMO188" s="1"/>
      <c r="TMP188" s="1"/>
      <c r="TMQ188" s="1"/>
      <c r="TMR188" s="1"/>
      <c r="TMS188" s="1"/>
      <c r="TMT188" s="1"/>
      <c r="TMU188" s="1"/>
      <c r="TMV188" s="1"/>
      <c r="TMW188" s="1"/>
      <c r="TMX188" s="1"/>
      <c r="TMY188" s="1"/>
      <c r="TMZ188" s="1"/>
      <c r="TNA188" s="1"/>
      <c r="TNB188" s="1"/>
      <c r="TNC188" s="1"/>
      <c r="TND188" s="1"/>
      <c r="TNE188" s="1"/>
      <c r="TNF188" s="1"/>
      <c r="TNG188" s="1"/>
      <c r="TNH188" s="1"/>
      <c r="TNI188" s="1"/>
      <c r="TNJ188" s="1"/>
      <c r="TNK188" s="1"/>
      <c r="TNL188" s="1"/>
      <c r="TNM188" s="1"/>
      <c r="TNN188" s="1"/>
      <c r="TNO188" s="1"/>
      <c r="TNP188" s="1"/>
      <c r="TNQ188" s="1"/>
      <c r="TNR188" s="1"/>
      <c r="TNS188" s="1"/>
      <c r="TNT188" s="1"/>
      <c r="TNU188" s="1"/>
      <c r="TNV188" s="1"/>
      <c r="TNW188" s="1"/>
      <c r="TNX188" s="1"/>
      <c r="TNY188" s="1"/>
      <c r="TNZ188" s="1"/>
      <c r="TOA188" s="1"/>
      <c r="TOB188" s="1"/>
      <c r="TOC188" s="1"/>
      <c r="TOD188" s="1"/>
      <c r="TOE188" s="1"/>
      <c r="TOF188" s="1"/>
      <c r="TOG188" s="1"/>
      <c r="TOH188" s="1"/>
      <c r="TOI188" s="1"/>
      <c r="TOJ188" s="1"/>
      <c r="TOK188" s="1"/>
      <c r="TOL188" s="1"/>
      <c r="TOM188" s="1"/>
      <c r="TON188" s="1"/>
      <c r="TOO188" s="1"/>
      <c r="TOP188" s="1"/>
      <c r="TOQ188" s="1"/>
      <c r="TOR188" s="1"/>
      <c r="TOS188" s="1"/>
      <c r="TOT188" s="1"/>
      <c r="TOU188" s="1"/>
      <c r="TOV188" s="1"/>
      <c r="TOW188" s="1"/>
      <c r="TOX188" s="1"/>
      <c r="TOY188" s="1"/>
      <c r="TOZ188" s="1"/>
      <c r="TPA188" s="1"/>
      <c r="TPB188" s="1"/>
      <c r="TPC188" s="1"/>
      <c r="TPD188" s="1"/>
      <c r="TPE188" s="1"/>
      <c r="TPF188" s="1"/>
      <c r="TPG188" s="1"/>
      <c r="TPH188" s="1"/>
      <c r="TPI188" s="1"/>
      <c r="TPJ188" s="1"/>
      <c r="TPK188" s="1"/>
      <c r="TPL188" s="1"/>
      <c r="TPM188" s="1"/>
      <c r="TPN188" s="1"/>
      <c r="TPO188" s="1"/>
      <c r="TPP188" s="1"/>
      <c r="TPQ188" s="1"/>
      <c r="TPR188" s="1"/>
      <c r="TPS188" s="1"/>
      <c r="TPT188" s="1"/>
      <c r="TPU188" s="1"/>
      <c r="TPV188" s="1"/>
      <c r="TPW188" s="1"/>
      <c r="TPX188" s="1"/>
      <c r="TPY188" s="1"/>
      <c r="TPZ188" s="1"/>
      <c r="TQA188" s="1"/>
      <c r="TQB188" s="1"/>
      <c r="TQC188" s="1"/>
      <c r="TQD188" s="1"/>
      <c r="TQE188" s="1"/>
      <c r="TQF188" s="1"/>
      <c r="TQG188" s="1"/>
      <c r="TQH188" s="1"/>
      <c r="TQI188" s="1"/>
      <c r="TQJ188" s="1"/>
      <c r="TQK188" s="1"/>
      <c r="TQL188" s="1"/>
      <c r="TQM188" s="1"/>
      <c r="TQN188" s="1"/>
      <c r="TQO188" s="1"/>
      <c r="TQP188" s="1"/>
      <c r="TQQ188" s="1"/>
      <c r="TQR188" s="1"/>
      <c r="TQS188" s="1"/>
      <c r="TQT188" s="1"/>
      <c r="TQU188" s="1"/>
      <c r="TQV188" s="1"/>
      <c r="TQW188" s="1"/>
      <c r="TQX188" s="1"/>
      <c r="TQY188" s="1"/>
      <c r="TQZ188" s="1"/>
      <c r="TRA188" s="1"/>
      <c r="TRB188" s="1"/>
      <c r="TRC188" s="1"/>
      <c r="TRD188" s="1"/>
      <c r="TRE188" s="1"/>
      <c r="TRF188" s="1"/>
      <c r="TRG188" s="1"/>
      <c r="TRH188" s="1"/>
      <c r="TRI188" s="1"/>
      <c r="TRJ188" s="1"/>
      <c r="TRK188" s="1"/>
      <c r="TRL188" s="1"/>
      <c r="TRM188" s="1"/>
      <c r="TRN188" s="1"/>
      <c r="TRO188" s="1"/>
      <c r="TRP188" s="1"/>
      <c r="TRQ188" s="1"/>
      <c r="TRR188" s="1"/>
      <c r="TRS188" s="1"/>
      <c r="TRT188" s="1"/>
      <c r="TRU188" s="1"/>
      <c r="TRV188" s="1"/>
      <c r="TRW188" s="1"/>
      <c r="TRX188" s="1"/>
      <c r="TRY188" s="1"/>
      <c r="TRZ188" s="1"/>
      <c r="TSA188" s="1"/>
      <c r="TSB188" s="1"/>
      <c r="TSC188" s="1"/>
      <c r="TSD188" s="1"/>
      <c r="TSE188" s="1"/>
      <c r="TSF188" s="1"/>
      <c r="TSG188" s="1"/>
      <c r="TSH188" s="1"/>
      <c r="TSI188" s="1"/>
      <c r="TSJ188" s="1"/>
      <c r="TSK188" s="1"/>
      <c r="TSL188" s="1"/>
      <c r="TSM188" s="1"/>
      <c r="TSN188" s="1"/>
      <c r="TSO188" s="1"/>
      <c r="TSP188" s="1"/>
      <c r="TSQ188" s="1"/>
      <c r="TSR188" s="1"/>
      <c r="TSS188" s="1"/>
      <c r="TST188" s="1"/>
      <c r="TSU188" s="1"/>
      <c r="TSV188" s="1"/>
      <c r="TSW188" s="1"/>
      <c r="TSX188" s="1"/>
      <c r="TSY188" s="1"/>
      <c r="TSZ188" s="1"/>
      <c r="TTA188" s="1"/>
      <c r="TTB188" s="1"/>
      <c r="TTC188" s="1"/>
      <c r="TTD188" s="1"/>
      <c r="TTE188" s="1"/>
      <c r="TTF188" s="1"/>
      <c r="TTG188" s="1"/>
      <c r="TTH188" s="1"/>
      <c r="TTI188" s="1"/>
      <c r="TTJ188" s="1"/>
      <c r="TTK188" s="1"/>
      <c r="TTL188" s="1"/>
      <c r="TTM188" s="1"/>
      <c r="TTN188" s="1"/>
      <c r="TTO188" s="1"/>
      <c r="TTP188" s="1"/>
      <c r="TTQ188" s="1"/>
      <c r="TTR188" s="1"/>
      <c r="TTS188" s="1"/>
      <c r="TTT188" s="1"/>
      <c r="TTU188" s="1"/>
      <c r="TTV188" s="1"/>
      <c r="TTW188" s="1"/>
      <c r="TTX188" s="1"/>
      <c r="TTY188" s="1"/>
      <c r="TTZ188" s="1"/>
      <c r="TUA188" s="1"/>
      <c r="TUB188" s="1"/>
      <c r="TUC188" s="1"/>
      <c r="TUD188" s="1"/>
      <c r="TUE188" s="1"/>
      <c r="TUF188" s="1"/>
      <c r="TUG188" s="1"/>
      <c r="TUH188" s="1"/>
      <c r="TUI188" s="1"/>
      <c r="TUJ188" s="1"/>
      <c r="TUK188" s="1"/>
      <c r="TUL188" s="1"/>
      <c r="TUM188" s="1"/>
      <c r="TUN188" s="1"/>
      <c r="TUO188" s="1"/>
      <c r="TUP188" s="1"/>
      <c r="TUQ188" s="1"/>
      <c r="TUR188" s="1"/>
      <c r="TUS188" s="1"/>
      <c r="TUT188" s="1"/>
      <c r="TUU188" s="1"/>
      <c r="TUV188" s="1"/>
      <c r="TUW188" s="1"/>
      <c r="TUX188" s="1"/>
      <c r="TUY188" s="1"/>
      <c r="TUZ188" s="1"/>
      <c r="TVA188" s="1"/>
      <c r="TVB188" s="1"/>
      <c r="TVC188" s="1"/>
      <c r="TVD188" s="1"/>
      <c r="TVE188" s="1"/>
      <c r="TVF188" s="1"/>
      <c r="TVG188" s="1"/>
      <c r="TVH188" s="1"/>
      <c r="TVI188" s="1"/>
      <c r="TVJ188" s="1"/>
      <c r="TVK188" s="1"/>
      <c r="TVL188" s="1"/>
      <c r="TVM188" s="1"/>
      <c r="TVN188" s="1"/>
      <c r="TVO188" s="1"/>
      <c r="TVP188" s="1"/>
      <c r="TVQ188" s="1"/>
      <c r="TVR188" s="1"/>
      <c r="TVS188" s="1"/>
      <c r="TVT188" s="1"/>
      <c r="TVU188" s="1"/>
      <c r="TVV188" s="1"/>
      <c r="TVW188" s="1"/>
      <c r="TVX188" s="1"/>
      <c r="TVY188" s="1"/>
      <c r="TVZ188" s="1"/>
      <c r="TWA188" s="1"/>
      <c r="TWB188" s="1"/>
      <c r="TWC188" s="1"/>
      <c r="TWD188" s="1"/>
      <c r="TWE188" s="1"/>
      <c r="TWF188" s="1"/>
      <c r="TWG188" s="1"/>
      <c r="TWH188" s="1"/>
      <c r="TWI188" s="1"/>
      <c r="TWJ188" s="1"/>
      <c r="TWK188" s="1"/>
      <c r="TWL188" s="1"/>
      <c r="TWM188" s="1"/>
      <c r="TWN188" s="1"/>
      <c r="TWO188" s="1"/>
      <c r="TWP188" s="1"/>
      <c r="TWQ188" s="1"/>
      <c r="TWR188" s="1"/>
      <c r="TWS188" s="1"/>
      <c r="TWT188" s="1"/>
      <c r="TWU188" s="1"/>
      <c r="TWV188" s="1"/>
      <c r="TWW188" s="1"/>
      <c r="TWX188" s="1"/>
      <c r="TWY188" s="1"/>
      <c r="TWZ188" s="1"/>
      <c r="TXA188" s="1"/>
      <c r="TXB188" s="1"/>
      <c r="TXC188" s="1"/>
      <c r="TXD188" s="1"/>
      <c r="TXE188" s="1"/>
      <c r="TXF188" s="1"/>
      <c r="TXG188" s="1"/>
      <c r="TXH188" s="1"/>
      <c r="TXI188" s="1"/>
      <c r="TXJ188" s="1"/>
      <c r="TXK188" s="1"/>
      <c r="TXL188" s="1"/>
      <c r="TXM188" s="1"/>
      <c r="TXN188" s="1"/>
      <c r="TXO188" s="1"/>
      <c r="TXP188" s="1"/>
      <c r="TXQ188" s="1"/>
      <c r="TXR188" s="1"/>
      <c r="TXS188" s="1"/>
      <c r="TXT188" s="1"/>
      <c r="TXU188" s="1"/>
      <c r="TXV188" s="1"/>
      <c r="TXW188" s="1"/>
      <c r="TXX188" s="1"/>
      <c r="TXY188" s="1"/>
      <c r="TXZ188" s="1"/>
      <c r="TYA188" s="1"/>
      <c r="TYB188" s="1"/>
      <c r="TYC188" s="1"/>
      <c r="TYD188" s="1"/>
      <c r="TYE188" s="1"/>
      <c r="TYF188" s="1"/>
      <c r="TYG188" s="1"/>
      <c r="TYH188" s="1"/>
      <c r="TYI188" s="1"/>
      <c r="TYJ188" s="1"/>
      <c r="TYK188" s="1"/>
      <c r="TYL188" s="1"/>
      <c r="TYM188" s="1"/>
      <c r="TYN188" s="1"/>
      <c r="TYO188" s="1"/>
      <c r="TYP188" s="1"/>
      <c r="TYQ188" s="1"/>
      <c r="TYR188" s="1"/>
      <c r="TYS188" s="1"/>
      <c r="TYT188" s="1"/>
      <c r="TYU188" s="1"/>
      <c r="TYV188" s="1"/>
      <c r="TYW188" s="1"/>
      <c r="TYX188" s="1"/>
      <c r="TYY188" s="1"/>
      <c r="TYZ188" s="1"/>
      <c r="TZA188" s="1"/>
      <c r="TZB188" s="1"/>
      <c r="TZC188" s="1"/>
      <c r="TZD188" s="1"/>
      <c r="TZE188" s="1"/>
      <c r="TZF188" s="1"/>
      <c r="TZG188" s="1"/>
      <c r="TZH188" s="1"/>
      <c r="TZI188" s="1"/>
      <c r="TZJ188" s="1"/>
      <c r="TZK188" s="1"/>
      <c r="TZL188" s="1"/>
      <c r="TZM188" s="1"/>
      <c r="TZN188" s="1"/>
      <c r="TZO188" s="1"/>
      <c r="TZP188" s="1"/>
      <c r="TZQ188" s="1"/>
      <c r="TZR188" s="1"/>
      <c r="TZS188" s="1"/>
      <c r="TZT188" s="1"/>
      <c r="TZU188" s="1"/>
      <c r="TZV188" s="1"/>
      <c r="TZW188" s="1"/>
      <c r="TZX188" s="1"/>
      <c r="TZY188" s="1"/>
      <c r="TZZ188" s="1"/>
      <c r="UAA188" s="1"/>
      <c r="UAB188" s="1"/>
      <c r="UAC188" s="1"/>
      <c r="UAD188" s="1"/>
      <c r="UAE188" s="1"/>
      <c r="UAF188" s="1"/>
      <c r="UAG188" s="1"/>
      <c r="UAH188" s="1"/>
      <c r="UAI188" s="1"/>
      <c r="UAJ188" s="1"/>
      <c r="UAK188" s="1"/>
      <c r="UAL188" s="1"/>
      <c r="UAM188" s="1"/>
      <c r="UAN188" s="1"/>
      <c r="UAO188" s="1"/>
      <c r="UAP188" s="1"/>
      <c r="UAQ188" s="1"/>
      <c r="UAR188" s="1"/>
      <c r="UAS188" s="1"/>
      <c r="UAT188" s="1"/>
      <c r="UAU188" s="1"/>
      <c r="UAV188" s="1"/>
      <c r="UAW188" s="1"/>
      <c r="UAX188" s="1"/>
      <c r="UAY188" s="1"/>
      <c r="UAZ188" s="1"/>
      <c r="UBA188" s="1"/>
      <c r="UBB188" s="1"/>
      <c r="UBC188" s="1"/>
      <c r="UBD188" s="1"/>
      <c r="UBE188" s="1"/>
      <c r="UBF188" s="1"/>
      <c r="UBG188" s="1"/>
      <c r="UBH188" s="1"/>
      <c r="UBI188" s="1"/>
      <c r="UBJ188" s="1"/>
      <c r="UBK188" s="1"/>
      <c r="UBL188" s="1"/>
      <c r="UBM188" s="1"/>
      <c r="UBN188" s="1"/>
      <c r="UBO188" s="1"/>
      <c r="UBP188" s="1"/>
      <c r="UBQ188" s="1"/>
      <c r="UBR188" s="1"/>
      <c r="UBS188" s="1"/>
      <c r="UBT188" s="1"/>
      <c r="UBU188" s="1"/>
      <c r="UBV188" s="1"/>
      <c r="UBW188" s="1"/>
      <c r="UBX188" s="1"/>
      <c r="UBY188" s="1"/>
      <c r="UBZ188" s="1"/>
      <c r="UCA188" s="1"/>
      <c r="UCB188" s="1"/>
      <c r="UCC188" s="1"/>
      <c r="UCD188" s="1"/>
      <c r="UCE188" s="1"/>
      <c r="UCF188" s="1"/>
      <c r="UCG188" s="1"/>
      <c r="UCH188" s="1"/>
      <c r="UCI188" s="1"/>
      <c r="UCJ188" s="1"/>
      <c r="UCK188" s="1"/>
      <c r="UCL188" s="1"/>
      <c r="UCM188" s="1"/>
      <c r="UCN188" s="1"/>
      <c r="UCO188" s="1"/>
      <c r="UCP188" s="1"/>
      <c r="UCQ188" s="1"/>
      <c r="UCR188" s="1"/>
      <c r="UCS188" s="1"/>
      <c r="UCT188" s="1"/>
      <c r="UCU188" s="1"/>
      <c r="UCV188" s="1"/>
      <c r="UCW188" s="1"/>
      <c r="UCX188" s="1"/>
      <c r="UCY188" s="1"/>
      <c r="UCZ188" s="1"/>
      <c r="UDA188" s="1"/>
      <c r="UDB188" s="1"/>
      <c r="UDC188" s="1"/>
      <c r="UDD188" s="1"/>
      <c r="UDE188" s="1"/>
      <c r="UDF188" s="1"/>
      <c r="UDG188" s="1"/>
      <c r="UDH188" s="1"/>
      <c r="UDI188" s="1"/>
      <c r="UDJ188" s="1"/>
      <c r="UDK188" s="1"/>
      <c r="UDL188" s="1"/>
      <c r="UDM188" s="1"/>
      <c r="UDN188" s="1"/>
      <c r="UDO188" s="1"/>
      <c r="UDP188" s="1"/>
      <c r="UDQ188" s="1"/>
      <c r="UDR188" s="1"/>
      <c r="UDS188" s="1"/>
      <c r="UDT188" s="1"/>
      <c r="UDU188" s="1"/>
      <c r="UDV188" s="1"/>
      <c r="UDW188" s="1"/>
      <c r="UDX188" s="1"/>
      <c r="UDY188" s="1"/>
      <c r="UDZ188" s="1"/>
      <c r="UEA188" s="1"/>
      <c r="UEB188" s="1"/>
      <c r="UEC188" s="1"/>
      <c r="UED188" s="1"/>
      <c r="UEE188" s="1"/>
      <c r="UEF188" s="1"/>
      <c r="UEG188" s="1"/>
      <c r="UEH188" s="1"/>
      <c r="UEI188" s="1"/>
      <c r="UEJ188" s="1"/>
      <c r="UEK188" s="1"/>
      <c r="UEL188" s="1"/>
      <c r="UEM188" s="1"/>
      <c r="UEN188" s="1"/>
      <c r="UEO188" s="1"/>
      <c r="UEP188" s="1"/>
      <c r="UEQ188" s="1"/>
      <c r="UER188" s="1"/>
      <c r="UES188" s="1"/>
      <c r="UET188" s="1"/>
      <c r="UEU188" s="1"/>
      <c r="UEV188" s="1"/>
      <c r="UEW188" s="1"/>
      <c r="UEX188" s="1"/>
      <c r="UEY188" s="1"/>
      <c r="UEZ188" s="1"/>
      <c r="UFA188" s="1"/>
      <c r="UFB188" s="1"/>
      <c r="UFC188" s="1"/>
      <c r="UFD188" s="1"/>
      <c r="UFE188" s="1"/>
      <c r="UFF188" s="1"/>
      <c r="UFG188" s="1"/>
      <c r="UFH188" s="1"/>
      <c r="UFI188" s="1"/>
      <c r="UFJ188" s="1"/>
      <c r="UFK188" s="1"/>
      <c r="UFL188" s="1"/>
      <c r="UFM188" s="1"/>
      <c r="UFN188" s="1"/>
      <c r="UFO188" s="1"/>
      <c r="UFP188" s="1"/>
      <c r="UFQ188" s="1"/>
      <c r="UFR188" s="1"/>
      <c r="UFS188" s="1"/>
      <c r="UFT188" s="1"/>
      <c r="UFU188" s="1"/>
      <c r="UFV188" s="1"/>
      <c r="UFW188" s="1"/>
      <c r="UFX188" s="1"/>
      <c r="UFY188" s="1"/>
      <c r="UFZ188" s="1"/>
      <c r="UGA188" s="1"/>
      <c r="UGB188" s="1"/>
      <c r="UGC188" s="1"/>
      <c r="UGD188" s="1"/>
      <c r="UGE188" s="1"/>
      <c r="UGF188" s="1"/>
      <c r="UGG188" s="1"/>
      <c r="UGH188" s="1"/>
      <c r="UGI188" s="1"/>
      <c r="UGJ188" s="1"/>
      <c r="UGK188" s="1"/>
      <c r="UGL188" s="1"/>
      <c r="UGM188" s="1"/>
      <c r="UGN188" s="1"/>
      <c r="UGO188" s="1"/>
      <c r="UGP188" s="1"/>
      <c r="UGQ188" s="1"/>
      <c r="UGR188" s="1"/>
      <c r="UGS188" s="1"/>
      <c r="UGT188" s="1"/>
      <c r="UGU188" s="1"/>
      <c r="UGV188" s="1"/>
      <c r="UGW188" s="1"/>
      <c r="UGX188" s="1"/>
      <c r="UGY188" s="1"/>
      <c r="UGZ188" s="1"/>
      <c r="UHA188" s="1"/>
      <c r="UHB188" s="1"/>
      <c r="UHC188" s="1"/>
      <c r="UHD188" s="1"/>
      <c r="UHE188" s="1"/>
      <c r="UHF188" s="1"/>
      <c r="UHG188" s="1"/>
      <c r="UHH188" s="1"/>
      <c r="UHI188" s="1"/>
      <c r="UHJ188" s="1"/>
      <c r="UHK188" s="1"/>
      <c r="UHL188" s="1"/>
      <c r="UHM188" s="1"/>
      <c r="UHN188" s="1"/>
      <c r="UHO188" s="1"/>
      <c r="UHP188" s="1"/>
      <c r="UHQ188" s="1"/>
      <c r="UHR188" s="1"/>
      <c r="UHS188" s="1"/>
      <c r="UHT188" s="1"/>
      <c r="UHU188" s="1"/>
      <c r="UHV188" s="1"/>
      <c r="UHW188" s="1"/>
      <c r="UHX188" s="1"/>
      <c r="UHY188" s="1"/>
      <c r="UHZ188" s="1"/>
      <c r="UIA188" s="1"/>
      <c r="UIB188" s="1"/>
      <c r="UIC188" s="1"/>
      <c r="UID188" s="1"/>
      <c r="UIE188" s="1"/>
      <c r="UIF188" s="1"/>
      <c r="UIG188" s="1"/>
      <c r="UIH188" s="1"/>
      <c r="UII188" s="1"/>
      <c r="UIJ188" s="1"/>
      <c r="UIK188" s="1"/>
      <c r="UIL188" s="1"/>
      <c r="UIM188" s="1"/>
      <c r="UIN188" s="1"/>
      <c r="UIO188" s="1"/>
      <c r="UIP188" s="1"/>
      <c r="UIQ188" s="1"/>
      <c r="UIR188" s="1"/>
      <c r="UIS188" s="1"/>
      <c r="UIT188" s="1"/>
      <c r="UIU188" s="1"/>
      <c r="UIV188" s="1"/>
      <c r="UIW188" s="1"/>
      <c r="UIX188" s="1"/>
      <c r="UIY188" s="1"/>
      <c r="UIZ188" s="1"/>
      <c r="UJA188" s="1"/>
      <c r="UJB188" s="1"/>
      <c r="UJC188" s="1"/>
      <c r="UJD188" s="1"/>
      <c r="UJE188" s="1"/>
      <c r="UJF188" s="1"/>
      <c r="UJG188" s="1"/>
      <c r="UJH188" s="1"/>
      <c r="UJI188" s="1"/>
      <c r="UJJ188" s="1"/>
      <c r="UJK188" s="1"/>
      <c r="UJL188" s="1"/>
      <c r="UJM188" s="1"/>
      <c r="UJN188" s="1"/>
      <c r="UJO188" s="1"/>
      <c r="UJP188" s="1"/>
      <c r="UJQ188" s="1"/>
      <c r="UJR188" s="1"/>
      <c r="UJS188" s="1"/>
      <c r="UJT188" s="1"/>
      <c r="UJU188" s="1"/>
      <c r="UJV188" s="1"/>
      <c r="UJW188" s="1"/>
      <c r="UJX188" s="1"/>
      <c r="UJY188" s="1"/>
      <c r="UJZ188" s="1"/>
      <c r="UKA188" s="1"/>
      <c r="UKB188" s="1"/>
      <c r="UKC188" s="1"/>
      <c r="UKD188" s="1"/>
      <c r="UKE188" s="1"/>
      <c r="UKF188" s="1"/>
      <c r="UKG188" s="1"/>
      <c r="UKH188" s="1"/>
      <c r="UKI188" s="1"/>
      <c r="UKJ188" s="1"/>
      <c r="UKK188" s="1"/>
      <c r="UKL188" s="1"/>
      <c r="UKM188" s="1"/>
      <c r="UKN188" s="1"/>
      <c r="UKO188" s="1"/>
      <c r="UKP188" s="1"/>
      <c r="UKQ188" s="1"/>
      <c r="UKR188" s="1"/>
      <c r="UKS188" s="1"/>
      <c r="UKT188" s="1"/>
      <c r="UKU188" s="1"/>
      <c r="UKV188" s="1"/>
      <c r="UKW188" s="1"/>
      <c r="UKX188" s="1"/>
      <c r="UKY188" s="1"/>
      <c r="UKZ188" s="1"/>
      <c r="ULA188" s="1"/>
      <c r="ULB188" s="1"/>
      <c r="ULC188" s="1"/>
      <c r="ULD188" s="1"/>
      <c r="ULE188" s="1"/>
      <c r="ULF188" s="1"/>
      <c r="ULG188" s="1"/>
      <c r="ULH188" s="1"/>
      <c r="ULI188" s="1"/>
      <c r="ULJ188" s="1"/>
      <c r="ULK188" s="1"/>
      <c r="ULL188" s="1"/>
      <c r="ULM188" s="1"/>
      <c r="ULN188" s="1"/>
      <c r="ULO188" s="1"/>
      <c r="ULP188" s="1"/>
      <c r="ULQ188" s="1"/>
      <c r="ULR188" s="1"/>
      <c r="ULS188" s="1"/>
      <c r="ULT188" s="1"/>
      <c r="ULU188" s="1"/>
      <c r="ULV188" s="1"/>
      <c r="ULW188" s="1"/>
      <c r="ULX188" s="1"/>
      <c r="ULY188" s="1"/>
      <c r="ULZ188" s="1"/>
      <c r="UMA188" s="1"/>
      <c r="UMB188" s="1"/>
      <c r="UMC188" s="1"/>
      <c r="UMD188" s="1"/>
      <c r="UME188" s="1"/>
      <c r="UMF188" s="1"/>
      <c r="UMG188" s="1"/>
      <c r="UMH188" s="1"/>
      <c r="UMI188" s="1"/>
      <c r="UMJ188" s="1"/>
      <c r="UMK188" s="1"/>
      <c r="UML188" s="1"/>
      <c r="UMM188" s="1"/>
      <c r="UMN188" s="1"/>
      <c r="UMO188" s="1"/>
      <c r="UMP188" s="1"/>
      <c r="UMQ188" s="1"/>
      <c r="UMR188" s="1"/>
      <c r="UMS188" s="1"/>
      <c r="UMT188" s="1"/>
      <c r="UMU188" s="1"/>
      <c r="UMV188" s="1"/>
      <c r="UMW188" s="1"/>
      <c r="UMX188" s="1"/>
      <c r="UMY188" s="1"/>
      <c r="UMZ188" s="1"/>
      <c r="UNA188" s="1"/>
      <c r="UNB188" s="1"/>
      <c r="UNC188" s="1"/>
      <c r="UND188" s="1"/>
      <c r="UNE188" s="1"/>
      <c r="UNF188" s="1"/>
      <c r="UNG188" s="1"/>
      <c r="UNH188" s="1"/>
      <c r="UNI188" s="1"/>
      <c r="UNJ188" s="1"/>
      <c r="UNK188" s="1"/>
      <c r="UNL188" s="1"/>
      <c r="UNM188" s="1"/>
      <c r="UNN188" s="1"/>
      <c r="UNO188" s="1"/>
      <c r="UNP188" s="1"/>
      <c r="UNQ188" s="1"/>
      <c r="UNR188" s="1"/>
      <c r="UNS188" s="1"/>
      <c r="UNT188" s="1"/>
      <c r="UNU188" s="1"/>
      <c r="UNV188" s="1"/>
      <c r="UNW188" s="1"/>
      <c r="UNX188" s="1"/>
      <c r="UNY188" s="1"/>
      <c r="UNZ188" s="1"/>
      <c r="UOA188" s="1"/>
      <c r="UOB188" s="1"/>
      <c r="UOC188" s="1"/>
      <c r="UOD188" s="1"/>
      <c r="UOE188" s="1"/>
      <c r="UOF188" s="1"/>
      <c r="UOG188" s="1"/>
      <c r="UOH188" s="1"/>
      <c r="UOI188" s="1"/>
      <c r="UOJ188" s="1"/>
      <c r="UOK188" s="1"/>
      <c r="UOL188" s="1"/>
      <c r="UOM188" s="1"/>
      <c r="UON188" s="1"/>
      <c r="UOO188" s="1"/>
      <c r="UOP188" s="1"/>
      <c r="UOQ188" s="1"/>
      <c r="UOR188" s="1"/>
      <c r="UOS188" s="1"/>
      <c r="UOT188" s="1"/>
      <c r="UOU188" s="1"/>
      <c r="UOV188" s="1"/>
      <c r="UOW188" s="1"/>
      <c r="UOX188" s="1"/>
      <c r="UOY188" s="1"/>
      <c r="UOZ188" s="1"/>
      <c r="UPA188" s="1"/>
      <c r="UPB188" s="1"/>
      <c r="UPC188" s="1"/>
      <c r="UPD188" s="1"/>
      <c r="UPE188" s="1"/>
      <c r="UPF188" s="1"/>
      <c r="UPG188" s="1"/>
      <c r="UPH188" s="1"/>
      <c r="UPI188" s="1"/>
      <c r="UPJ188" s="1"/>
      <c r="UPK188" s="1"/>
      <c r="UPL188" s="1"/>
      <c r="UPM188" s="1"/>
      <c r="UPN188" s="1"/>
      <c r="UPO188" s="1"/>
      <c r="UPP188" s="1"/>
      <c r="UPQ188" s="1"/>
      <c r="UPR188" s="1"/>
      <c r="UPS188" s="1"/>
      <c r="UPT188" s="1"/>
      <c r="UPU188" s="1"/>
      <c r="UPV188" s="1"/>
      <c r="UPW188" s="1"/>
      <c r="UPX188" s="1"/>
      <c r="UPY188" s="1"/>
      <c r="UPZ188" s="1"/>
      <c r="UQA188" s="1"/>
      <c r="UQB188" s="1"/>
      <c r="UQC188" s="1"/>
      <c r="UQD188" s="1"/>
      <c r="UQE188" s="1"/>
      <c r="UQF188" s="1"/>
      <c r="UQG188" s="1"/>
      <c r="UQH188" s="1"/>
      <c r="UQI188" s="1"/>
      <c r="UQJ188" s="1"/>
      <c r="UQK188" s="1"/>
      <c r="UQL188" s="1"/>
      <c r="UQM188" s="1"/>
      <c r="UQN188" s="1"/>
      <c r="UQO188" s="1"/>
      <c r="UQP188" s="1"/>
      <c r="UQQ188" s="1"/>
      <c r="UQR188" s="1"/>
      <c r="UQS188" s="1"/>
      <c r="UQT188" s="1"/>
      <c r="UQU188" s="1"/>
      <c r="UQV188" s="1"/>
      <c r="UQW188" s="1"/>
      <c r="UQX188" s="1"/>
      <c r="UQY188" s="1"/>
      <c r="UQZ188" s="1"/>
      <c r="URA188" s="1"/>
      <c r="URB188" s="1"/>
      <c r="URC188" s="1"/>
      <c r="URD188" s="1"/>
      <c r="URE188" s="1"/>
      <c r="URF188" s="1"/>
      <c r="URG188" s="1"/>
      <c r="URH188" s="1"/>
      <c r="URI188" s="1"/>
      <c r="URJ188" s="1"/>
      <c r="URK188" s="1"/>
      <c r="URL188" s="1"/>
      <c r="URM188" s="1"/>
      <c r="URN188" s="1"/>
      <c r="URO188" s="1"/>
      <c r="URP188" s="1"/>
      <c r="URQ188" s="1"/>
      <c r="URR188" s="1"/>
      <c r="URS188" s="1"/>
      <c r="URT188" s="1"/>
      <c r="URU188" s="1"/>
      <c r="URV188" s="1"/>
      <c r="URW188" s="1"/>
      <c r="URX188" s="1"/>
      <c r="URY188" s="1"/>
      <c r="URZ188" s="1"/>
      <c r="USA188" s="1"/>
      <c r="USB188" s="1"/>
      <c r="USC188" s="1"/>
      <c r="USD188" s="1"/>
      <c r="USE188" s="1"/>
      <c r="USF188" s="1"/>
      <c r="USG188" s="1"/>
      <c r="USH188" s="1"/>
      <c r="USI188" s="1"/>
      <c r="USJ188" s="1"/>
      <c r="USK188" s="1"/>
      <c r="USL188" s="1"/>
      <c r="USM188" s="1"/>
      <c r="USN188" s="1"/>
      <c r="USO188" s="1"/>
      <c r="USP188" s="1"/>
      <c r="USQ188" s="1"/>
      <c r="USR188" s="1"/>
      <c r="USS188" s="1"/>
      <c r="UST188" s="1"/>
      <c r="USU188" s="1"/>
      <c r="USV188" s="1"/>
      <c r="USW188" s="1"/>
      <c r="USX188" s="1"/>
      <c r="USY188" s="1"/>
      <c r="USZ188" s="1"/>
      <c r="UTA188" s="1"/>
      <c r="UTB188" s="1"/>
      <c r="UTC188" s="1"/>
      <c r="UTD188" s="1"/>
      <c r="UTE188" s="1"/>
      <c r="UTF188" s="1"/>
      <c r="UTG188" s="1"/>
      <c r="UTH188" s="1"/>
      <c r="UTI188" s="1"/>
      <c r="UTJ188" s="1"/>
      <c r="UTK188" s="1"/>
      <c r="UTL188" s="1"/>
      <c r="UTM188" s="1"/>
      <c r="UTN188" s="1"/>
      <c r="UTO188" s="1"/>
      <c r="UTP188" s="1"/>
      <c r="UTQ188" s="1"/>
      <c r="UTR188" s="1"/>
      <c r="UTS188" s="1"/>
      <c r="UTT188" s="1"/>
      <c r="UTU188" s="1"/>
      <c r="UTV188" s="1"/>
      <c r="UTW188" s="1"/>
      <c r="UTX188" s="1"/>
      <c r="UTY188" s="1"/>
      <c r="UTZ188" s="1"/>
      <c r="UUA188" s="1"/>
      <c r="UUB188" s="1"/>
      <c r="UUC188" s="1"/>
      <c r="UUD188" s="1"/>
      <c r="UUE188" s="1"/>
      <c r="UUF188" s="1"/>
      <c r="UUG188" s="1"/>
      <c r="UUH188" s="1"/>
      <c r="UUI188" s="1"/>
      <c r="UUJ188" s="1"/>
      <c r="UUK188" s="1"/>
      <c r="UUL188" s="1"/>
      <c r="UUM188" s="1"/>
      <c r="UUN188" s="1"/>
      <c r="UUO188" s="1"/>
      <c r="UUP188" s="1"/>
      <c r="UUQ188" s="1"/>
      <c r="UUR188" s="1"/>
      <c r="UUS188" s="1"/>
      <c r="UUT188" s="1"/>
      <c r="UUU188" s="1"/>
      <c r="UUV188" s="1"/>
      <c r="UUW188" s="1"/>
      <c r="UUX188" s="1"/>
      <c r="UUY188" s="1"/>
      <c r="UUZ188" s="1"/>
      <c r="UVA188" s="1"/>
      <c r="UVB188" s="1"/>
      <c r="UVC188" s="1"/>
      <c r="UVD188" s="1"/>
      <c r="UVE188" s="1"/>
      <c r="UVF188" s="1"/>
      <c r="UVG188" s="1"/>
      <c r="UVH188" s="1"/>
      <c r="UVI188" s="1"/>
      <c r="UVJ188" s="1"/>
      <c r="UVK188" s="1"/>
      <c r="UVL188" s="1"/>
      <c r="UVM188" s="1"/>
      <c r="UVN188" s="1"/>
      <c r="UVO188" s="1"/>
      <c r="UVP188" s="1"/>
      <c r="UVQ188" s="1"/>
      <c r="UVR188" s="1"/>
      <c r="UVS188" s="1"/>
      <c r="UVT188" s="1"/>
      <c r="UVU188" s="1"/>
      <c r="UVV188" s="1"/>
      <c r="UVW188" s="1"/>
      <c r="UVX188" s="1"/>
      <c r="UVY188" s="1"/>
      <c r="UVZ188" s="1"/>
      <c r="UWA188" s="1"/>
      <c r="UWB188" s="1"/>
      <c r="UWC188" s="1"/>
      <c r="UWD188" s="1"/>
      <c r="UWE188" s="1"/>
      <c r="UWF188" s="1"/>
      <c r="UWG188" s="1"/>
      <c r="UWH188" s="1"/>
      <c r="UWI188" s="1"/>
      <c r="UWJ188" s="1"/>
      <c r="UWK188" s="1"/>
      <c r="UWL188" s="1"/>
      <c r="UWM188" s="1"/>
      <c r="UWN188" s="1"/>
      <c r="UWO188" s="1"/>
      <c r="UWP188" s="1"/>
      <c r="UWQ188" s="1"/>
      <c r="UWR188" s="1"/>
      <c r="UWS188" s="1"/>
      <c r="UWT188" s="1"/>
      <c r="UWU188" s="1"/>
      <c r="UWV188" s="1"/>
      <c r="UWW188" s="1"/>
      <c r="UWX188" s="1"/>
      <c r="UWY188" s="1"/>
      <c r="UWZ188" s="1"/>
      <c r="UXA188" s="1"/>
      <c r="UXB188" s="1"/>
      <c r="UXC188" s="1"/>
      <c r="UXD188" s="1"/>
      <c r="UXE188" s="1"/>
      <c r="UXF188" s="1"/>
      <c r="UXG188" s="1"/>
      <c r="UXH188" s="1"/>
      <c r="UXI188" s="1"/>
      <c r="UXJ188" s="1"/>
      <c r="UXK188" s="1"/>
      <c r="UXL188" s="1"/>
      <c r="UXM188" s="1"/>
      <c r="UXN188" s="1"/>
      <c r="UXO188" s="1"/>
      <c r="UXP188" s="1"/>
      <c r="UXQ188" s="1"/>
      <c r="UXR188" s="1"/>
      <c r="UXS188" s="1"/>
      <c r="UXT188" s="1"/>
      <c r="UXU188" s="1"/>
      <c r="UXV188" s="1"/>
      <c r="UXW188" s="1"/>
      <c r="UXX188" s="1"/>
      <c r="UXY188" s="1"/>
      <c r="UXZ188" s="1"/>
      <c r="UYA188" s="1"/>
      <c r="UYB188" s="1"/>
      <c r="UYC188" s="1"/>
      <c r="UYD188" s="1"/>
      <c r="UYE188" s="1"/>
      <c r="UYF188" s="1"/>
      <c r="UYG188" s="1"/>
      <c r="UYH188" s="1"/>
      <c r="UYI188" s="1"/>
      <c r="UYJ188" s="1"/>
      <c r="UYK188" s="1"/>
      <c r="UYL188" s="1"/>
      <c r="UYM188" s="1"/>
      <c r="UYN188" s="1"/>
      <c r="UYO188" s="1"/>
      <c r="UYP188" s="1"/>
      <c r="UYQ188" s="1"/>
      <c r="UYR188" s="1"/>
      <c r="UYS188" s="1"/>
      <c r="UYT188" s="1"/>
      <c r="UYU188" s="1"/>
      <c r="UYV188" s="1"/>
      <c r="UYW188" s="1"/>
      <c r="UYX188" s="1"/>
      <c r="UYY188" s="1"/>
      <c r="UYZ188" s="1"/>
      <c r="UZA188" s="1"/>
      <c r="UZB188" s="1"/>
      <c r="UZC188" s="1"/>
      <c r="UZD188" s="1"/>
      <c r="UZE188" s="1"/>
      <c r="UZF188" s="1"/>
      <c r="UZG188" s="1"/>
      <c r="UZH188" s="1"/>
      <c r="UZI188" s="1"/>
      <c r="UZJ188" s="1"/>
      <c r="UZK188" s="1"/>
      <c r="UZL188" s="1"/>
      <c r="UZM188" s="1"/>
      <c r="UZN188" s="1"/>
      <c r="UZO188" s="1"/>
      <c r="UZP188" s="1"/>
      <c r="UZQ188" s="1"/>
      <c r="UZR188" s="1"/>
      <c r="UZS188" s="1"/>
      <c r="UZT188" s="1"/>
      <c r="UZU188" s="1"/>
      <c r="UZV188" s="1"/>
      <c r="UZW188" s="1"/>
      <c r="UZX188" s="1"/>
      <c r="UZY188" s="1"/>
      <c r="UZZ188" s="1"/>
      <c r="VAA188" s="1"/>
      <c r="VAB188" s="1"/>
      <c r="VAC188" s="1"/>
      <c r="VAD188" s="1"/>
      <c r="VAE188" s="1"/>
      <c r="VAF188" s="1"/>
      <c r="VAG188" s="1"/>
      <c r="VAH188" s="1"/>
      <c r="VAI188" s="1"/>
      <c r="VAJ188" s="1"/>
      <c r="VAK188" s="1"/>
      <c r="VAL188" s="1"/>
      <c r="VAM188" s="1"/>
      <c r="VAN188" s="1"/>
      <c r="VAO188" s="1"/>
      <c r="VAP188" s="1"/>
      <c r="VAQ188" s="1"/>
      <c r="VAR188" s="1"/>
      <c r="VAS188" s="1"/>
      <c r="VAT188" s="1"/>
      <c r="VAU188" s="1"/>
      <c r="VAV188" s="1"/>
      <c r="VAW188" s="1"/>
      <c r="VAX188" s="1"/>
      <c r="VAY188" s="1"/>
      <c r="VAZ188" s="1"/>
      <c r="VBA188" s="1"/>
      <c r="VBB188" s="1"/>
      <c r="VBC188" s="1"/>
      <c r="VBD188" s="1"/>
      <c r="VBE188" s="1"/>
      <c r="VBF188" s="1"/>
      <c r="VBG188" s="1"/>
      <c r="VBH188" s="1"/>
      <c r="VBI188" s="1"/>
      <c r="VBJ188" s="1"/>
      <c r="VBK188" s="1"/>
      <c r="VBL188" s="1"/>
      <c r="VBM188" s="1"/>
      <c r="VBN188" s="1"/>
      <c r="VBO188" s="1"/>
      <c r="VBP188" s="1"/>
      <c r="VBQ188" s="1"/>
      <c r="VBR188" s="1"/>
      <c r="VBS188" s="1"/>
      <c r="VBT188" s="1"/>
      <c r="VBU188" s="1"/>
      <c r="VBV188" s="1"/>
      <c r="VBW188" s="1"/>
      <c r="VBX188" s="1"/>
      <c r="VBY188" s="1"/>
      <c r="VBZ188" s="1"/>
      <c r="VCA188" s="1"/>
      <c r="VCB188" s="1"/>
      <c r="VCC188" s="1"/>
      <c r="VCD188" s="1"/>
      <c r="VCE188" s="1"/>
      <c r="VCF188" s="1"/>
      <c r="VCG188" s="1"/>
      <c r="VCH188" s="1"/>
      <c r="VCI188" s="1"/>
      <c r="VCJ188" s="1"/>
      <c r="VCK188" s="1"/>
      <c r="VCL188" s="1"/>
      <c r="VCM188" s="1"/>
      <c r="VCN188" s="1"/>
      <c r="VCO188" s="1"/>
      <c r="VCP188" s="1"/>
      <c r="VCQ188" s="1"/>
      <c r="VCR188" s="1"/>
      <c r="VCS188" s="1"/>
      <c r="VCT188" s="1"/>
      <c r="VCU188" s="1"/>
      <c r="VCV188" s="1"/>
      <c r="VCW188" s="1"/>
      <c r="VCX188" s="1"/>
      <c r="VCY188" s="1"/>
      <c r="VCZ188" s="1"/>
      <c r="VDA188" s="1"/>
      <c r="VDB188" s="1"/>
      <c r="VDC188" s="1"/>
      <c r="VDD188" s="1"/>
      <c r="VDE188" s="1"/>
      <c r="VDF188" s="1"/>
      <c r="VDG188" s="1"/>
      <c r="VDH188" s="1"/>
      <c r="VDI188" s="1"/>
      <c r="VDJ188" s="1"/>
      <c r="VDK188" s="1"/>
      <c r="VDL188" s="1"/>
      <c r="VDM188" s="1"/>
      <c r="VDN188" s="1"/>
      <c r="VDO188" s="1"/>
      <c r="VDP188" s="1"/>
      <c r="VDQ188" s="1"/>
      <c r="VDR188" s="1"/>
      <c r="VDS188" s="1"/>
      <c r="VDT188" s="1"/>
      <c r="VDU188" s="1"/>
      <c r="VDV188" s="1"/>
      <c r="VDW188" s="1"/>
      <c r="VDX188" s="1"/>
      <c r="VDY188" s="1"/>
      <c r="VDZ188" s="1"/>
      <c r="VEA188" s="1"/>
      <c r="VEB188" s="1"/>
      <c r="VEC188" s="1"/>
      <c r="VED188" s="1"/>
      <c r="VEE188" s="1"/>
      <c r="VEF188" s="1"/>
      <c r="VEG188" s="1"/>
      <c r="VEH188" s="1"/>
      <c r="VEI188" s="1"/>
      <c r="VEJ188" s="1"/>
      <c r="VEK188" s="1"/>
      <c r="VEL188" s="1"/>
      <c r="VEM188" s="1"/>
      <c r="VEN188" s="1"/>
      <c r="VEO188" s="1"/>
      <c r="VEP188" s="1"/>
      <c r="VEQ188" s="1"/>
      <c r="VER188" s="1"/>
      <c r="VES188" s="1"/>
      <c r="VET188" s="1"/>
      <c r="VEU188" s="1"/>
      <c r="VEV188" s="1"/>
      <c r="VEW188" s="1"/>
      <c r="VEX188" s="1"/>
      <c r="VEY188" s="1"/>
      <c r="VEZ188" s="1"/>
      <c r="VFA188" s="1"/>
      <c r="VFB188" s="1"/>
      <c r="VFC188" s="1"/>
      <c r="VFD188" s="1"/>
      <c r="VFE188" s="1"/>
      <c r="VFF188" s="1"/>
      <c r="VFG188" s="1"/>
      <c r="VFH188" s="1"/>
      <c r="VFI188" s="1"/>
      <c r="VFJ188" s="1"/>
      <c r="VFK188" s="1"/>
      <c r="VFL188" s="1"/>
      <c r="VFM188" s="1"/>
      <c r="VFN188" s="1"/>
      <c r="VFO188" s="1"/>
      <c r="VFP188" s="1"/>
      <c r="VFQ188" s="1"/>
      <c r="VFR188" s="1"/>
      <c r="VFS188" s="1"/>
      <c r="VFT188" s="1"/>
      <c r="VFU188" s="1"/>
      <c r="VFV188" s="1"/>
      <c r="VFW188" s="1"/>
      <c r="VFX188" s="1"/>
      <c r="VFY188" s="1"/>
      <c r="VFZ188" s="1"/>
      <c r="VGA188" s="1"/>
      <c r="VGB188" s="1"/>
      <c r="VGC188" s="1"/>
      <c r="VGD188" s="1"/>
      <c r="VGE188" s="1"/>
      <c r="VGF188" s="1"/>
      <c r="VGG188" s="1"/>
      <c r="VGH188" s="1"/>
      <c r="VGI188" s="1"/>
      <c r="VGJ188" s="1"/>
      <c r="VGK188" s="1"/>
      <c r="VGL188" s="1"/>
      <c r="VGM188" s="1"/>
      <c r="VGN188" s="1"/>
      <c r="VGO188" s="1"/>
      <c r="VGP188" s="1"/>
      <c r="VGQ188" s="1"/>
      <c r="VGR188" s="1"/>
      <c r="VGS188" s="1"/>
      <c r="VGT188" s="1"/>
      <c r="VGU188" s="1"/>
      <c r="VGV188" s="1"/>
      <c r="VGW188" s="1"/>
      <c r="VGX188" s="1"/>
      <c r="VGY188" s="1"/>
      <c r="VGZ188" s="1"/>
      <c r="VHA188" s="1"/>
      <c r="VHB188" s="1"/>
      <c r="VHC188" s="1"/>
      <c r="VHD188" s="1"/>
      <c r="VHE188" s="1"/>
      <c r="VHF188" s="1"/>
      <c r="VHG188" s="1"/>
      <c r="VHH188" s="1"/>
      <c r="VHI188" s="1"/>
      <c r="VHJ188" s="1"/>
      <c r="VHK188" s="1"/>
      <c r="VHL188" s="1"/>
      <c r="VHM188" s="1"/>
      <c r="VHN188" s="1"/>
      <c r="VHO188" s="1"/>
      <c r="VHP188" s="1"/>
      <c r="VHQ188" s="1"/>
      <c r="VHR188" s="1"/>
      <c r="VHS188" s="1"/>
      <c r="VHT188" s="1"/>
      <c r="VHU188" s="1"/>
      <c r="VHV188" s="1"/>
      <c r="VHW188" s="1"/>
      <c r="VHX188" s="1"/>
      <c r="VHY188" s="1"/>
      <c r="VHZ188" s="1"/>
      <c r="VIA188" s="1"/>
      <c r="VIB188" s="1"/>
      <c r="VIC188" s="1"/>
      <c r="VID188" s="1"/>
      <c r="VIE188" s="1"/>
      <c r="VIF188" s="1"/>
      <c r="VIG188" s="1"/>
      <c r="VIH188" s="1"/>
      <c r="VII188" s="1"/>
      <c r="VIJ188" s="1"/>
      <c r="VIK188" s="1"/>
      <c r="VIL188" s="1"/>
      <c r="VIM188" s="1"/>
      <c r="VIN188" s="1"/>
      <c r="VIO188" s="1"/>
      <c r="VIP188" s="1"/>
      <c r="VIQ188" s="1"/>
      <c r="VIR188" s="1"/>
      <c r="VIS188" s="1"/>
      <c r="VIT188" s="1"/>
      <c r="VIU188" s="1"/>
      <c r="VIV188" s="1"/>
      <c r="VIW188" s="1"/>
      <c r="VIX188" s="1"/>
      <c r="VIY188" s="1"/>
      <c r="VIZ188" s="1"/>
      <c r="VJA188" s="1"/>
      <c r="VJB188" s="1"/>
      <c r="VJC188" s="1"/>
      <c r="VJD188" s="1"/>
      <c r="VJE188" s="1"/>
      <c r="VJF188" s="1"/>
      <c r="VJG188" s="1"/>
      <c r="VJH188" s="1"/>
      <c r="VJI188" s="1"/>
      <c r="VJJ188" s="1"/>
      <c r="VJK188" s="1"/>
      <c r="VJL188" s="1"/>
      <c r="VJM188" s="1"/>
      <c r="VJN188" s="1"/>
      <c r="VJO188" s="1"/>
      <c r="VJP188" s="1"/>
      <c r="VJQ188" s="1"/>
      <c r="VJR188" s="1"/>
      <c r="VJS188" s="1"/>
      <c r="VJT188" s="1"/>
      <c r="VJU188" s="1"/>
      <c r="VJV188" s="1"/>
      <c r="VJW188" s="1"/>
      <c r="VJX188" s="1"/>
      <c r="VJY188" s="1"/>
      <c r="VJZ188" s="1"/>
      <c r="VKA188" s="1"/>
      <c r="VKB188" s="1"/>
      <c r="VKC188" s="1"/>
      <c r="VKD188" s="1"/>
      <c r="VKE188" s="1"/>
      <c r="VKF188" s="1"/>
      <c r="VKG188" s="1"/>
      <c r="VKH188" s="1"/>
      <c r="VKI188" s="1"/>
      <c r="VKJ188" s="1"/>
      <c r="VKK188" s="1"/>
      <c r="VKL188" s="1"/>
      <c r="VKM188" s="1"/>
      <c r="VKN188" s="1"/>
      <c r="VKO188" s="1"/>
      <c r="VKP188" s="1"/>
      <c r="VKQ188" s="1"/>
      <c r="VKR188" s="1"/>
      <c r="VKS188" s="1"/>
      <c r="VKT188" s="1"/>
      <c r="VKU188" s="1"/>
      <c r="VKV188" s="1"/>
      <c r="VKW188" s="1"/>
      <c r="VKX188" s="1"/>
      <c r="VKY188" s="1"/>
      <c r="VKZ188" s="1"/>
      <c r="VLA188" s="1"/>
      <c r="VLB188" s="1"/>
      <c r="VLC188" s="1"/>
      <c r="VLD188" s="1"/>
      <c r="VLE188" s="1"/>
      <c r="VLF188" s="1"/>
      <c r="VLG188" s="1"/>
      <c r="VLH188" s="1"/>
      <c r="VLI188" s="1"/>
      <c r="VLJ188" s="1"/>
      <c r="VLK188" s="1"/>
      <c r="VLL188" s="1"/>
      <c r="VLM188" s="1"/>
      <c r="VLN188" s="1"/>
      <c r="VLO188" s="1"/>
      <c r="VLP188" s="1"/>
      <c r="VLQ188" s="1"/>
      <c r="VLR188" s="1"/>
      <c r="VLS188" s="1"/>
      <c r="VLT188" s="1"/>
      <c r="VLU188" s="1"/>
      <c r="VLV188" s="1"/>
      <c r="VLW188" s="1"/>
      <c r="VLX188" s="1"/>
      <c r="VLY188" s="1"/>
      <c r="VLZ188" s="1"/>
      <c r="VMA188" s="1"/>
      <c r="VMB188" s="1"/>
      <c r="VMC188" s="1"/>
      <c r="VMD188" s="1"/>
      <c r="VME188" s="1"/>
      <c r="VMF188" s="1"/>
      <c r="VMG188" s="1"/>
      <c r="VMH188" s="1"/>
      <c r="VMI188" s="1"/>
      <c r="VMJ188" s="1"/>
      <c r="VMK188" s="1"/>
      <c r="VML188" s="1"/>
      <c r="VMM188" s="1"/>
      <c r="VMN188" s="1"/>
      <c r="VMO188" s="1"/>
      <c r="VMP188" s="1"/>
      <c r="VMQ188" s="1"/>
      <c r="VMR188" s="1"/>
      <c r="VMS188" s="1"/>
      <c r="VMT188" s="1"/>
      <c r="VMU188" s="1"/>
      <c r="VMV188" s="1"/>
      <c r="VMW188" s="1"/>
      <c r="VMX188" s="1"/>
      <c r="VMY188" s="1"/>
      <c r="VMZ188" s="1"/>
      <c r="VNA188" s="1"/>
      <c r="VNB188" s="1"/>
      <c r="VNC188" s="1"/>
      <c r="VND188" s="1"/>
      <c r="VNE188" s="1"/>
      <c r="VNF188" s="1"/>
      <c r="VNG188" s="1"/>
      <c r="VNH188" s="1"/>
      <c r="VNI188" s="1"/>
      <c r="VNJ188" s="1"/>
      <c r="VNK188" s="1"/>
      <c r="VNL188" s="1"/>
      <c r="VNM188" s="1"/>
      <c r="VNN188" s="1"/>
      <c r="VNO188" s="1"/>
      <c r="VNP188" s="1"/>
      <c r="VNQ188" s="1"/>
      <c r="VNR188" s="1"/>
      <c r="VNS188" s="1"/>
      <c r="VNT188" s="1"/>
      <c r="VNU188" s="1"/>
      <c r="VNV188" s="1"/>
      <c r="VNW188" s="1"/>
      <c r="VNX188" s="1"/>
      <c r="VNY188" s="1"/>
      <c r="VNZ188" s="1"/>
      <c r="VOA188" s="1"/>
      <c r="VOB188" s="1"/>
      <c r="VOC188" s="1"/>
      <c r="VOD188" s="1"/>
      <c r="VOE188" s="1"/>
      <c r="VOF188" s="1"/>
      <c r="VOG188" s="1"/>
      <c r="VOH188" s="1"/>
      <c r="VOI188" s="1"/>
      <c r="VOJ188" s="1"/>
      <c r="VOK188" s="1"/>
      <c r="VOL188" s="1"/>
      <c r="VOM188" s="1"/>
      <c r="VON188" s="1"/>
      <c r="VOO188" s="1"/>
      <c r="VOP188" s="1"/>
      <c r="VOQ188" s="1"/>
      <c r="VOR188" s="1"/>
      <c r="VOS188" s="1"/>
      <c r="VOT188" s="1"/>
      <c r="VOU188" s="1"/>
      <c r="VOV188" s="1"/>
      <c r="VOW188" s="1"/>
      <c r="VOX188" s="1"/>
      <c r="VOY188" s="1"/>
      <c r="VOZ188" s="1"/>
      <c r="VPA188" s="1"/>
      <c r="VPB188" s="1"/>
      <c r="VPC188" s="1"/>
      <c r="VPD188" s="1"/>
      <c r="VPE188" s="1"/>
      <c r="VPF188" s="1"/>
      <c r="VPG188" s="1"/>
      <c r="VPH188" s="1"/>
      <c r="VPI188" s="1"/>
      <c r="VPJ188" s="1"/>
      <c r="VPK188" s="1"/>
      <c r="VPL188" s="1"/>
      <c r="VPM188" s="1"/>
      <c r="VPN188" s="1"/>
      <c r="VPO188" s="1"/>
      <c r="VPP188" s="1"/>
      <c r="VPQ188" s="1"/>
      <c r="VPR188" s="1"/>
      <c r="VPS188" s="1"/>
      <c r="VPT188" s="1"/>
      <c r="VPU188" s="1"/>
      <c r="VPV188" s="1"/>
      <c r="VPW188" s="1"/>
      <c r="VPX188" s="1"/>
      <c r="VPY188" s="1"/>
      <c r="VPZ188" s="1"/>
      <c r="VQA188" s="1"/>
      <c r="VQB188" s="1"/>
      <c r="VQC188" s="1"/>
      <c r="VQD188" s="1"/>
      <c r="VQE188" s="1"/>
      <c r="VQF188" s="1"/>
      <c r="VQG188" s="1"/>
      <c r="VQH188" s="1"/>
      <c r="VQI188" s="1"/>
      <c r="VQJ188" s="1"/>
      <c r="VQK188" s="1"/>
      <c r="VQL188" s="1"/>
      <c r="VQM188" s="1"/>
      <c r="VQN188" s="1"/>
      <c r="VQO188" s="1"/>
      <c r="VQP188" s="1"/>
      <c r="VQQ188" s="1"/>
      <c r="VQR188" s="1"/>
      <c r="VQS188" s="1"/>
      <c r="VQT188" s="1"/>
      <c r="VQU188" s="1"/>
      <c r="VQV188" s="1"/>
      <c r="VQW188" s="1"/>
      <c r="VQX188" s="1"/>
      <c r="VQY188" s="1"/>
      <c r="VQZ188" s="1"/>
      <c r="VRA188" s="1"/>
      <c r="VRB188" s="1"/>
      <c r="VRC188" s="1"/>
      <c r="VRD188" s="1"/>
      <c r="VRE188" s="1"/>
      <c r="VRF188" s="1"/>
      <c r="VRG188" s="1"/>
      <c r="VRH188" s="1"/>
      <c r="VRI188" s="1"/>
      <c r="VRJ188" s="1"/>
      <c r="VRK188" s="1"/>
      <c r="VRL188" s="1"/>
      <c r="VRM188" s="1"/>
      <c r="VRN188" s="1"/>
      <c r="VRO188" s="1"/>
      <c r="VRP188" s="1"/>
      <c r="VRQ188" s="1"/>
      <c r="VRR188" s="1"/>
      <c r="VRS188" s="1"/>
      <c r="VRT188" s="1"/>
      <c r="VRU188" s="1"/>
      <c r="VRV188" s="1"/>
      <c r="VRW188" s="1"/>
      <c r="VRX188" s="1"/>
      <c r="VRY188" s="1"/>
      <c r="VRZ188" s="1"/>
      <c r="VSA188" s="1"/>
      <c r="VSB188" s="1"/>
      <c r="VSC188" s="1"/>
      <c r="VSD188" s="1"/>
      <c r="VSE188" s="1"/>
      <c r="VSF188" s="1"/>
      <c r="VSG188" s="1"/>
      <c r="VSH188" s="1"/>
      <c r="VSI188" s="1"/>
      <c r="VSJ188" s="1"/>
      <c r="VSK188" s="1"/>
      <c r="VSL188" s="1"/>
      <c r="VSM188" s="1"/>
      <c r="VSN188" s="1"/>
      <c r="VSO188" s="1"/>
      <c r="VSP188" s="1"/>
      <c r="VSQ188" s="1"/>
      <c r="VSR188" s="1"/>
      <c r="VSS188" s="1"/>
      <c r="VST188" s="1"/>
      <c r="VSU188" s="1"/>
      <c r="VSV188" s="1"/>
      <c r="VSW188" s="1"/>
      <c r="VSX188" s="1"/>
      <c r="VSY188" s="1"/>
      <c r="VSZ188" s="1"/>
      <c r="VTA188" s="1"/>
      <c r="VTB188" s="1"/>
      <c r="VTC188" s="1"/>
      <c r="VTD188" s="1"/>
      <c r="VTE188" s="1"/>
      <c r="VTF188" s="1"/>
      <c r="VTG188" s="1"/>
      <c r="VTH188" s="1"/>
      <c r="VTI188" s="1"/>
      <c r="VTJ188" s="1"/>
      <c r="VTK188" s="1"/>
      <c r="VTL188" s="1"/>
      <c r="VTM188" s="1"/>
      <c r="VTN188" s="1"/>
      <c r="VTO188" s="1"/>
      <c r="VTP188" s="1"/>
      <c r="VTQ188" s="1"/>
      <c r="VTR188" s="1"/>
      <c r="VTS188" s="1"/>
      <c r="VTT188" s="1"/>
      <c r="VTU188" s="1"/>
      <c r="VTV188" s="1"/>
      <c r="VTW188" s="1"/>
      <c r="VTX188" s="1"/>
      <c r="VTY188" s="1"/>
      <c r="VTZ188" s="1"/>
      <c r="VUA188" s="1"/>
      <c r="VUB188" s="1"/>
      <c r="VUC188" s="1"/>
      <c r="VUD188" s="1"/>
      <c r="VUE188" s="1"/>
      <c r="VUF188" s="1"/>
      <c r="VUG188" s="1"/>
      <c r="VUH188" s="1"/>
      <c r="VUI188" s="1"/>
      <c r="VUJ188" s="1"/>
      <c r="VUK188" s="1"/>
      <c r="VUL188" s="1"/>
      <c r="VUM188" s="1"/>
      <c r="VUN188" s="1"/>
      <c r="VUO188" s="1"/>
      <c r="VUP188" s="1"/>
      <c r="VUQ188" s="1"/>
      <c r="VUR188" s="1"/>
      <c r="VUS188" s="1"/>
      <c r="VUT188" s="1"/>
      <c r="VUU188" s="1"/>
      <c r="VUV188" s="1"/>
      <c r="VUW188" s="1"/>
      <c r="VUX188" s="1"/>
      <c r="VUY188" s="1"/>
      <c r="VUZ188" s="1"/>
      <c r="VVA188" s="1"/>
      <c r="VVB188" s="1"/>
      <c r="VVC188" s="1"/>
      <c r="VVD188" s="1"/>
      <c r="VVE188" s="1"/>
      <c r="VVF188" s="1"/>
      <c r="VVG188" s="1"/>
      <c r="VVH188" s="1"/>
      <c r="VVI188" s="1"/>
      <c r="VVJ188" s="1"/>
      <c r="VVK188" s="1"/>
      <c r="VVL188" s="1"/>
      <c r="VVM188" s="1"/>
      <c r="VVN188" s="1"/>
      <c r="VVO188" s="1"/>
      <c r="VVP188" s="1"/>
      <c r="VVQ188" s="1"/>
      <c r="VVR188" s="1"/>
      <c r="VVS188" s="1"/>
      <c r="VVT188" s="1"/>
      <c r="VVU188" s="1"/>
      <c r="VVV188" s="1"/>
      <c r="VVW188" s="1"/>
      <c r="VVX188" s="1"/>
      <c r="VVY188" s="1"/>
      <c r="VVZ188" s="1"/>
      <c r="VWA188" s="1"/>
      <c r="VWB188" s="1"/>
      <c r="VWC188" s="1"/>
      <c r="VWD188" s="1"/>
      <c r="VWE188" s="1"/>
      <c r="VWF188" s="1"/>
      <c r="VWG188" s="1"/>
      <c r="VWH188" s="1"/>
      <c r="VWI188" s="1"/>
      <c r="VWJ188" s="1"/>
      <c r="VWK188" s="1"/>
      <c r="VWL188" s="1"/>
      <c r="VWM188" s="1"/>
      <c r="VWN188" s="1"/>
      <c r="VWO188" s="1"/>
      <c r="VWP188" s="1"/>
      <c r="VWQ188" s="1"/>
      <c r="VWR188" s="1"/>
      <c r="VWS188" s="1"/>
      <c r="VWT188" s="1"/>
      <c r="VWU188" s="1"/>
      <c r="VWV188" s="1"/>
      <c r="VWW188" s="1"/>
      <c r="VWX188" s="1"/>
      <c r="VWY188" s="1"/>
      <c r="VWZ188" s="1"/>
      <c r="VXA188" s="1"/>
      <c r="VXB188" s="1"/>
      <c r="VXC188" s="1"/>
      <c r="VXD188" s="1"/>
      <c r="VXE188" s="1"/>
      <c r="VXF188" s="1"/>
      <c r="VXG188" s="1"/>
      <c r="VXH188" s="1"/>
      <c r="VXI188" s="1"/>
      <c r="VXJ188" s="1"/>
      <c r="VXK188" s="1"/>
      <c r="VXL188" s="1"/>
      <c r="VXM188" s="1"/>
      <c r="VXN188" s="1"/>
      <c r="VXO188" s="1"/>
      <c r="VXP188" s="1"/>
      <c r="VXQ188" s="1"/>
      <c r="VXR188" s="1"/>
      <c r="VXS188" s="1"/>
      <c r="VXT188" s="1"/>
      <c r="VXU188" s="1"/>
      <c r="VXV188" s="1"/>
      <c r="VXW188" s="1"/>
      <c r="VXX188" s="1"/>
      <c r="VXY188" s="1"/>
      <c r="VXZ188" s="1"/>
      <c r="VYA188" s="1"/>
      <c r="VYB188" s="1"/>
      <c r="VYC188" s="1"/>
      <c r="VYD188" s="1"/>
      <c r="VYE188" s="1"/>
      <c r="VYF188" s="1"/>
      <c r="VYG188" s="1"/>
      <c r="VYH188" s="1"/>
      <c r="VYI188" s="1"/>
      <c r="VYJ188" s="1"/>
      <c r="VYK188" s="1"/>
      <c r="VYL188" s="1"/>
      <c r="VYM188" s="1"/>
      <c r="VYN188" s="1"/>
      <c r="VYO188" s="1"/>
      <c r="VYP188" s="1"/>
      <c r="VYQ188" s="1"/>
      <c r="VYR188" s="1"/>
      <c r="VYS188" s="1"/>
      <c r="VYT188" s="1"/>
      <c r="VYU188" s="1"/>
      <c r="VYV188" s="1"/>
      <c r="VYW188" s="1"/>
      <c r="VYX188" s="1"/>
      <c r="VYY188" s="1"/>
      <c r="VYZ188" s="1"/>
      <c r="VZA188" s="1"/>
      <c r="VZB188" s="1"/>
      <c r="VZC188" s="1"/>
      <c r="VZD188" s="1"/>
      <c r="VZE188" s="1"/>
      <c r="VZF188" s="1"/>
      <c r="VZG188" s="1"/>
      <c r="VZH188" s="1"/>
      <c r="VZI188" s="1"/>
      <c r="VZJ188" s="1"/>
      <c r="VZK188" s="1"/>
      <c r="VZL188" s="1"/>
      <c r="VZM188" s="1"/>
      <c r="VZN188" s="1"/>
      <c r="VZO188" s="1"/>
      <c r="VZP188" s="1"/>
      <c r="VZQ188" s="1"/>
      <c r="VZR188" s="1"/>
      <c r="VZS188" s="1"/>
      <c r="VZT188" s="1"/>
      <c r="VZU188" s="1"/>
      <c r="VZV188" s="1"/>
      <c r="VZW188" s="1"/>
      <c r="VZX188" s="1"/>
      <c r="VZY188" s="1"/>
      <c r="VZZ188" s="1"/>
      <c r="WAA188" s="1"/>
      <c r="WAB188" s="1"/>
      <c r="WAC188" s="1"/>
      <c r="WAD188" s="1"/>
      <c r="WAE188" s="1"/>
      <c r="WAF188" s="1"/>
      <c r="WAG188" s="1"/>
      <c r="WAH188" s="1"/>
      <c r="WAI188" s="1"/>
      <c r="WAJ188" s="1"/>
      <c r="WAK188" s="1"/>
      <c r="WAL188" s="1"/>
      <c r="WAM188" s="1"/>
      <c r="WAN188" s="1"/>
      <c r="WAO188" s="1"/>
      <c r="WAP188" s="1"/>
      <c r="WAQ188" s="1"/>
      <c r="WAR188" s="1"/>
      <c r="WAS188" s="1"/>
      <c r="WAT188" s="1"/>
      <c r="WAU188" s="1"/>
      <c r="WAV188" s="1"/>
      <c r="WAW188" s="1"/>
      <c r="WAX188" s="1"/>
      <c r="WAY188" s="1"/>
      <c r="WAZ188" s="1"/>
      <c r="WBA188" s="1"/>
      <c r="WBB188" s="1"/>
      <c r="WBC188" s="1"/>
      <c r="WBD188" s="1"/>
      <c r="WBE188" s="1"/>
      <c r="WBF188" s="1"/>
      <c r="WBG188" s="1"/>
      <c r="WBH188" s="1"/>
      <c r="WBI188" s="1"/>
      <c r="WBJ188" s="1"/>
      <c r="WBK188" s="1"/>
      <c r="WBL188" s="1"/>
      <c r="WBM188" s="1"/>
      <c r="WBN188" s="1"/>
      <c r="WBO188" s="1"/>
      <c r="WBP188" s="1"/>
      <c r="WBQ188" s="1"/>
      <c r="WBR188" s="1"/>
      <c r="WBS188" s="1"/>
      <c r="WBT188" s="1"/>
      <c r="WBU188" s="1"/>
      <c r="WBV188" s="1"/>
      <c r="WBW188" s="1"/>
      <c r="WBX188" s="1"/>
      <c r="WBY188" s="1"/>
      <c r="WBZ188" s="1"/>
      <c r="WCA188" s="1"/>
      <c r="WCB188" s="1"/>
      <c r="WCC188" s="1"/>
      <c r="WCD188" s="1"/>
      <c r="WCE188" s="1"/>
      <c r="WCF188" s="1"/>
      <c r="WCG188" s="1"/>
      <c r="WCH188" s="1"/>
      <c r="WCI188" s="1"/>
      <c r="WCJ188" s="1"/>
      <c r="WCK188" s="1"/>
      <c r="WCL188" s="1"/>
      <c r="WCM188" s="1"/>
      <c r="WCN188" s="1"/>
      <c r="WCO188" s="1"/>
      <c r="WCP188" s="1"/>
      <c r="WCQ188" s="1"/>
      <c r="WCR188" s="1"/>
      <c r="WCS188" s="1"/>
      <c r="WCT188" s="1"/>
      <c r="WCU188" s="1"/>
      <c r="WCV188" s="1"/>
      <c r="WCW188" s="1"/>
      <c r="WCX188" s="1"/>
      <c r="WCY188" s="1"/>
      <c r="WCZ188" s="1"/>
      <c r="WDA188" s="1"/>
      <c r="WDB188" s="1"/>
      <c r="WDC188" s="1"/>
      <c r="WDD188" s="1"/>
      <c r="WDE188" s="1"/>
      <c r="WDF188" s="1"/>
      <c r="WDG188" s="1"/>
      <c r="WDH188" s="1"/>
      <c r="WDI188" s="1"/>
      <c r="WDJ188" s="1"/>
      <c r="WDK188" s="1"/>
      <c r="WDL188" s="1"/>
      <c r="WDM188" s="1"/>
      <c r="WDN188" s="1"/>
      <c r="WDO188" s="1"/>
      <c r="WDP188" s="1"/>
      <c r="WDQ188" s="1"/>
      <c r="WDR188" s="1"/>
      <c r="WDS188" s="1"/>
      <c r="WDT188" s="1"/>
      <c r="WDU188" s="1"/>
      <c r="WDV188" s="1"/>
      <c r="WDW188" s="1"/>
      <c r="WDX188" s="1"/>
      <c r="WDY188" s="1"/>
      <c r="WDZ188" s="1"/>
      <c r="WEA188" s="1"/>
      <c r="WEB188" s="1"/>
      <c r="WEC188" s="1"/>
      <c r="WED188" s="1"/>
      <c r="WEE188" s="1"/>
      <c r="WEF188" s="1"/>
      <c r="WEG188" s="1"/>
      <c r="WEH188" s="1"/>
      <c r="WEI188" s="1"/>
      <c r="WEJ188" s="1"/>
      <c r="WEK188" s="1"/>
      <c r="WEL188" s="1"/>
      <c r="WEM188" s="1"/>
      <c r="WEN188" s="1"/>
      <c r="WEO188" s="1"/>
      <c r="WEP188" s="1"/>
      <c r="WEQ188" s="1"/>
      <c r="WER188" s="1"/>
      <c r="WES188" s="1"/>
      <c r="WET188" s="1"/>
      <c r="WEU188" s="1"/>
      <c r="WEV188" s="1"/>
      <c r="WEW188" s="1"/>
      <c r="WEX188" s="1"/>
      <c r="WEY188" s="1"/>
      <c r="WEZ188" s="1"/>
      <c r="WFA188" s="1"/>
      <c r="WFB188" s="1"/>
      <c r="WFC188" s="1"/>
      <c r="WFD188" s="1"/>
      <c r="WFE188" s="1"/>
      <c r="WFF188" s="1"/>
      <c r="WFG188" s="1"/>
      <c r="WFH188" s="1"/>
      <c r="WFI188" s="1"/>
      <c r="WFJ188" s="1"/>
      <c r="WFK188" s="1"/>
      <c r="WFL188" s="1"/>
      <c r="WFM188" s="1"/>
      <c r="WFN188" s="1"/>
      <c r="WFO188" s="1"/>
      <c r="WFP188" s="1"/>
      <c r="WFQ188" s="1"/>
      <c r="WFR188" s="1"/>
      <c r="WFS188" s="1"/>
      <c r="WFT188" s="1"/>
      <c r="WFU188" s="1"/>
      <c r="WFV188" s="1"/>
      <c r="WFW188" s="1"/>
      <c r="WFX188" s="1"/>
      <c r="WFY188" s="1"/>
      <c r="WFZ188" s="1"/>
      <c r="WGA188" s="1"/>
      <c r="WGB188" s="1"/>
      <c r="WGC188" s="1"/>
      <c r="WGD188" s="1"/>
      <c r="WGE188" s="1"/>
      <c r="WGF188" s="1"/>
      <c r="WGG188" s="1"/>
      <c r="WGH188" s="1"/>
      <c r="WGI188" s="1"/>
      <c r="WGJ188" s="1"/>
      <c r="WGK188" s="1"/>
      <c r="WGL188" s="1"/>
      <c r="WGM188" s="1"/>
      <c r="WGN188" s="1"/>
      <c r="WGO188" s="1"/>
      <c r="WGP188" s="1"/>
      <c r="WGQ188" s="1"/>
      <c r="WGR188" s="1"/>
      <c r="WGS188" s="1"/>
      <c r="WGT188" s="1"/>
      <c r="WGU188" s="1"/>
      <c r="WGV188" s="1"/>
      <c r="WGW188" s="1"/>
      <c r="WGX188" s="1"/>
      <c r="WGY188" s="1"/>
      <c r="WGZ188" s="1"/>
      <c r="WHA188" s="1"/>
      <c r="WHB188" s="1"/>
      <c r="WHC188" s="1"/>
      <c r="WHD188" s="1"/>
      <c r="WHE188" s="1"/>
      <c r="WHF188" s="1"/>
      <c r="WHG188" s="1"/>
      <c r="WHH188" s="1"/>
      <c r="WHI188" s="1"/>
      <c r="WHJ188" s="1"/>
      <c r="WHK188" s="1"/>
      <c r="WHL188" s="1"/>
      <c r="WHM188" s="1"/>
      <c r="WHN188" s="1"/>
      <c r="WHO188" s="1"/>
      <c r="WHP188" s="1"/>
      <c r="WHQ188" s="1"/>
      <c r="WHR188" s="1"/>
      <c r="WHS188" s="1"/>
      <c r="WHT188" s="1"/>
      <c r="WHU188" s="1"/>
      <c r="WHV188" s="1"/>
      <c r="WHW188" s="1"/>
      <c r="WHX188" s="1"/>
      <c r="WHY188" s="1"/>
      <c r="WHZ188" s="1"/>
      <c r="WIA188" s="1"/>
      <c r="WIB188" s="1"/>
      <c r="WIC188" s="1"/>
      <c r="WID188" s="1"/>
      <c r="WIE188" s="1"/>
      <c r="WIF188" s="1"/>
      <c r="WIG188" s="1"/>
      <c r="WIH188" s="1"/>
      <c r="WII188" s="1"/>
      <c r="WIJ188" s="1"/>
      <c r="WIK188" s="1"/>
      <c r="WIL188" s="1"/>
      <c r="WIM188" s="1"/>
      <c r="WIN188" s="1"/>
      <c r="WIO188" s="1"/>
      <c r="WIP188" s="1"/>
      <c r="WIQ188" s="1"/>
      <c r="WIR188" s="1"/>
      <c r="WIS188" s="1"/>
      <c r="WIT188" s="1"/>
      <c r="WIU188" s="1"/>
      <c r="WIV188" s="1"/>
      <c r="WIW188" s="1"/>
      <c r="WIX188" s="1"/>
      <c r="WIY188" s="1"/>
      <c r="WIZ188" s="1"/>
      <c r="WJA188" s="1"/>
      <c r="WJB188" s="1"/>
      <c r="WJC188" s="1"/>
      <c r="WJD188" s="1"/>
      <c r="WJE188" s="1"/>
      <c r="WJF188" s="1"/>
      <c r="WJG188" s="1"/>
      <c r="WJH188" s="1"/>
      <c r="WJI188" s="1"/>
      <c r="WJJ188" s="1"/>
      <c r="WJK188" s="1"/>
      <c r="WJL188" s="1"/>
      <c r="WJM188" s="1"/>
      <c r="WJN188" s="1"/>
      <c r="WJO188" s="1"/>
      <c r="WJP188" s="1"/>
      <c r="WJQ188" s="1"/>
      <c r="WJR188" s="1"/>
      <c r="WJS188" s="1"/>
      <c r="WJT188" s="1"/>
      <c r="WJU188" s="1"/>
      <c r="WJV188" s="1"/>
      <c r="WJW188" s="1"/>
      <c r="WJX188" s="1"/>
      <c r="WJY188" s="1"/>
      <c r="WJZ188" s="1"/>
      <c r="WKA188" s="1"/>
      <c r="WKB188" s="1"/>
      <c r="WKC188" s="1"/>
      <c r="WKD188" s="1"/>
      <c r="WKE188" s="1"/>
      <c r="WKF188" s="1"/>
      <c r="WKG188" s="1"/>
      <c r="WKH188" s="1"/>
      <c r="WKI188" s="1"/>
      <c r="WKJ188" s="1"/>
      <c r="WKK188" s="1"/>
      <c r="WKL188" s="1"/>
      <c r="WKM188" s="1"/>
      <c r="WKN188" s="1"/>
      <c r="WKO188" s="1"/>
      <c r="WKP188" s="1"/>
      <c r="WKQ188" s="1"/>
      <c r="WKR188" s="1"/>
      <c r="WKS188" s="1"/>
      <c r="WKT188" s="1"/>
      <c r="WKU188" s="1"/>
      <c r="WKV188" s="1"/>
      <c r="WKW188" s="1"/>
      <c r="WKX188" s="1"/>
      <c r="WKY188" s="1"/>
      <c r="WKZ188" s="1"/>
      <c r="WLA188" s="1"/>
      <c r="WLB188" s="1"/>
      <c r="WLC188" s="1"/>
      <c r="WLD188" s="1"/>
      <c r="WLE188" s="1"/>
      <c r="WLF188" s="1"/>
      <c r="WLG188" s="1"/>
      <c r="WLH188" s="1"/>
      <c r="WLI188" s="1"/>
      <c r="WLJ188" s="1"/>
      <c r="WLK188" s="1"/>
      <c r="WLL188" s="1"/>
      <c r="WLM188" s="1"/>
      <c r="WLN188" s="1"/>
      <c r="WLO188" s="1"/>
      <c r="WLP188" s="1"/>
      <c r="WLQ188" s="1"/>
      <c r="WLR188" s="1"/>
      <c r="WLS188" s="1"/>
      <c r="WLT188" s="1"/>
      <c r="WLU188" s="1"/>
      <c r="WLV188" s="1"/>
      <c r="WLW188" s="1"/>
      <c r="WLX188" s="1"/>
      <c r="WLY188" s="1"/>
      <c r="WLZ188" s="1"/>
      <c r="WMA188" s="1"/>
      <c r="WMB188" s="1"/>
      <c r="WMC188" s="1"/>
      <c r="WMD188" s="1"/>
      <c r="WME188" s="1"/>
      <c r="WMF188" s="1"/>
      <c r="WMG188" s="1"/>
      <c r="WMH188" s="1"/>
      <c r="WMI188" s="1"/>
      <c r="WMJ188" s="1"/>
      <c r="WMK188" s="1"/>
      <c r="WML188" s="1"/>
      <c r="WMM188" s="1"/>
      <c r="WMN188" s="1"/>
      <c r="WMO188" s="1"/>
      <c r="WMP188" s="1"/>
      <c r="WMQ188" s="1"/>
      <c r="WMR188" s="1"/>
      <c r="WMS188" s="1"/>
      <c r="WMT188" s="1"/>
      <c r="WMU188" s="1"/>
      <c r="WMV188" s="1"/>
      <c r="WMW188" s="1"/>
      <c r="WMX188" s="1"/>
      <c r="WMY188" s="1"/>
      <c r="WMZ188" s="1"/>
      <c r="WNA188" s="1"/>
      <c r="WNB188" s="1"/>
      <c r="WNC188" s="1"/>
      <c r="WND188" s="1"/>
      <c r="WNE188" s="1"/>
      <c r="WNF188" s="1"/>
      <c r="WNG188" s="1"/>
      <c r="WNH188" s="1"/>
      <c r="WNI188" s="1"/>
      <c r="WNJ188" s="1"/>
      <c r="WNK188" s="1"/>
      <c r="WNL188" s="1"/>
      <c r="WNM188" s="1"/>
      <c r="WNN188" s="1"/>
      <c r="WNO188" s="1"/>
      <c r="WNP188" s="1"/>
      <c r="WNQ188" s="1"/>
      <c r="WNR188" s="1"/>
      <c r="WNS188" s="1"/>
      <c r="WNT188" s="1"/>
      <c r="WNU188" s="1"/>
      <c r="WNV188" s="1"/>
      <c r="WNW188" s="1"/>
      <c r="WNX188" s="1"/>
      <c r="WNY188" s="1"/>
      <c r="WNZ188" s="1"/>
      <c r="WOA188" s="1"/>
      <c r="WOB188" s="1"/>
      <c r="WOC188" s="1"/>
      <c r="WOD188" s="1"/>
      <c r="WOE188" s="1"/>
      <c r="WOF188" s="1"/>
      <c r="WOG188" s="1"/>
      <c r="WOH188" s="1"/>
      <c r="WOI188" s="1"/>
      <c r="WOJ188" s="1"/>
      <c r="WOK188" s="1"/>
      <c r="WOL188" s="1"/>
      <c r="WOM188" s="1"/>
      <c r="WON188" s="1"/>
      <c r="WOO188" s="1"/>
      <c r="WOP188" s="1"/>
      <c r="WOQ188" s="1"/>
      <c r="WOR188" s="1"/>
      <c r="WOS188" s="1"/>
      <c r="WOT188" s="1"/>
      <c r="WOU188" s="1"/>
      <c r="WOV188" s="1"/>
      <c r="WOW188" s="1"/>
      <c r="WOX188" s="1"/>
      <c r="WOY188" s="1"/>
      <c r="WOZ188" s="1"/>
      <c r="WPA188" s="1"/>
      <c r="WPB188" s="1"/>
      <c r="WPC188" s="1"/>
      <c r="WPD188" s="1"/>
      <c r="WPE188" s="1"/>
      <c r="WPF188" s="1"/>
      <c r="WPG188" s="1"/>
      <c r="WPH188" s="1"/>
      <c r="WPI188" s="1"/>
      <c r="WPJ188" s="1"/>
      <c r="WPK188" s="1"/>
      <c r="WPL188" s="1"/>
      <c r="WPM188" s="1"/>
      <c r="WPN188" s="1"/>
      <c r="WPO188" s="1"/>
      <c r="WPP188" s="1"/>
      <c r="WPQ188" s="1"/>
      <c r="WPR188" s="1"/>
      <c r="WPS188" s="1"/>
      <c r="WPT188" s="1"/>
      <c r="WPU188" s="1"/>
      <c r="WPV188" s="1"/>
      <c r="WPW188" s="1"/>
      <c r="WPX188" s="1"/>
      <c r="WPY188" s="1"/>
      <c r="WPZ188" s="1"/>
      <c r="WQA188" s="1"/>
      <c r="WQB188" s="1"/>
      <c r="WQC188" s="1"/>
      <c r="WQD188" s="1"/>
      <c r="WQE188" s="1"/>
      <c r="WQF188" s="1"/>
      <c r="WQG188" s="1"/>
      <c r="WQH188" s="1"/>
      <c r="WQI188" s="1"/>
      <c r="WQJ188" s="1"/>
      <c r="WQK188" s="1"/>
      <c r="WQL188" s="1"/>
      <c r="WQM188" s="1"/>
      <c r="WQN188" s="1"/>
      <c r="WQO188" s="1"/>
      <c r="WQP188" s="1"/>
      <c r="WQQ188" s="1"/>
      <c r="WQR188" s="1"/>
      <c r="WQS188" s="1"/>
      <c r="WQT188" s="1"/>
      <c r="WQU188" s="1"/>
      <c r="WQV188" s="1"/>
      <c r="WQW188" s="1"/>
      <c r="WQX188" s="1"/>
      <c r="WQY188" s="1"/>
      <c r="WQZ188" s="1"/>
      <c r="WRA188" s="1"/>
      <c r="WRB188" s="1"/>
      <c r="WRC188" s="1"/>
      <c r="WRD188" s="1"/>
      <c r="WRE188" s="1"/>
      <c r="WRF188" s="1"/>
      <c r="WRG188" s="1"/>
      <c r="WRH188" s="1"/>
      <c r="WRI188" s="1"/>
      <c r="WRJ188" s="1"/>
      <c r="WRK188" s="1"/>
      <c r="WRL188" s="1"/>
      <c r="WRM188" s="1"/>
      <c r="WRN188" s="1"/>
      <c r="WRO188" s="1"/>
      <c r="WRP188" s="1"/>
      <c r="WRQ188" s="1"/>
      <c r="WRR188" s="1"/>
      <c r="WRS188" s="1"/>
      <c r="WRT188" s="1"/>
      <c r="WRU188" s="1"/>
      <c r="WRV188" s="1"/>
      <c r="WRW188" s="1"/>
      <c r="WRX188" s="1"/>
      <c r="WRY188" s="1"/>
      <c r="WRZ188" s="1"/>
      <c r="WSA188" s="1"/>
      <c r="WSB188" s="1"/>
      <c r="WSC188" s="1"/>
      <c r="WSD188" s="1"/>
      <c r="WSE188" s="1"/>
      <c r="WSF188" s="1"/>
      <c r="WSG188" s="1"/>
      <c r="WSH188" s="1"/>
      <c r="WSI188" s="1"/>
      <c r="WSJ188" s="1"/>
      <c r="WSK188" s="1"/>
      <c r="WSL188" s="1"/>
      <c r="WSM188" s="1"/>
      <c r="WSN188" s="1"/>
      <c r="WSO188" s="1"/>
      <c r="WSP188" s="1"/>
      <c r="WSQ188" s="1"/>
      <c r="WSR188" s="1"/>
      <c r="WSS188" s="1"/>
      <c r="WST188" s="1"/>
      <c r="WSU188" s="1"/>
      <c r="WSV188" s="1"/>
      <c r="WSW188" s="1"/>
      <c r="WSX188" s="1"/>
      <c r="WSY188" s="1"/>
      <c r="WSZ188" s="1"/>
      <c r="WTA188" s="1"/>
      <c r="WTB188" s="1"/>
      <c r="WTC188" s="1"/>
      <c r="WTD188" s="1"/>
      <c r="WTE188" s="1"/>
      <c r="WTF188" s="1"/>
      <c r="WTG188" s="1"/>
      <c r="WTH188" s="1"/>
      <c r="WTI188" s="1"/>
      <c r="WTJ188" s="1"/>
      <c r="WTK188" s="1"/>
      <c r="WTL188" s="1"/>
      <c r="WTM188" s="1"/>
      <c r="WTN188" s="1"/>
      <c r="WTO188" s="1"/>
      <c r="WTP188" s="1"/>
      <c r="WTQ188" s="1"/>
      <c r="WTR188" s="1"/>
      <c r="WTS188" s="1"/>
      <c r="WTT188" s="1"/>
      <c r="WTU188" s="1"/>
      <c r="WTV188" s="1"/>
      <c r="WTW188" s="1"/>
      <c r="WTX188" s="1"/>
      <c r="WTY188" s="1"/>
      <c r="WTZ188" s="1"/>
      <c r="WUA188" s="1"/>
      <c r="WUB188" s="1"/>
      <c r="WUC188" s="1"/>
      <c r="WUD188" s="1"/>
      <c r="WUE188" s="1"/>
      <c r="WUF188" s="1"/>
      <c r="WUG188" s="1"/>
      <c r="WUH188" s="1"/>
      <c r="WUI188" s="1"/>
      <c r="WUJ188" s="1"/>
      <c r="WUK188" s="1"/>
      <c r="WUL188" s="1"/>
      <c r="WUM188" s="1"/>
      <c r="WUN188" s="1"/>
      <c r="WUO188" s="1"/>
      <c r="WUP188" s="1"/>
      <c r="WUQ188" s="1"/>
      <c r="WUR188" s="1"/>
      <c r="WUS188" s="1"/>
      <c r="WUT188" s="1"/>
      <c r="WUU188" s="1"/>
      <c r="WUV188" s="1"/>
      <c r="WUW188" s="1"/>
      <c r="WUX188" s="1"/>
      <c r="WUY188" s="1"/>
      <c r="WUZ188" s="1"/>
      <c r="WVA188" s="1"/>
      <c r="WVB188" s="1"/>
      <c r="WVC188" s="1"/>
      <c r="WVD188" s="1"/>
      <c r="WVE188" s="1"/>
      <c r="WVF188" s="1"/>
      <c r="WVG188" s="1"/>
      <c r="WVH188" s="1"/>
      <c r="WVI188" s="1"/>
      <c r="WVJ188" s="1"/>
      <c r="WVK188" s="1"/>
      <c r="WVL188" s="1"/>
      <c r="WVM188" s="1"/>
      <c r="WVN188" s="1"/>
      <c r="WVO188" s="1"/>
      <c r="WVP188" s="1"/>
      <c r="WVQ188" s="1"/>
      <c r="WVR188" s="1"/>
      <c r="WVS188" s="1"/>
      <c r="WVT188" s="1"/>
      <c r="WVU188" s="1"/>
      <c r="WVV188" s="1"/>
      <c r="WVW188" s="1"/>
      <c r="WVX188" s="1"/>
      <c r="WVY188" s="1"/>
      <c r="WVZ188" s="1"/>
      <c r="WWA188" s="1"/>
      <c r="WWB188" s="1"/>
      <c r="WWC188" s="1"/>
      <c r="WWD188" s="1"/>
      <c r="WWE188" s="1"/>
      <c r="WWF188" s="1"/>
      <c r="WWG188" s="1"/>
      <c r="WWH188" s="1"/>
      <c r="WWI188" s="1"/>
      <c r="WWJ188" s="1"/>
      <c r="WWK188" s="1"/>
      <c r="WWL188" s="1"/>
      <c r="WWM188" s="1"/>
      <c r="WWN188" s="1"/>
      <c r="WWO188" s="1"/>
      <c r="WWP188" s="1"/>
      <c r="WWQ188" s="1"/>
      <c r="WWR188" s="1"/>
      <c r="WWS188" s="1"/>
      <c r="WWT188" s="1"/>
      <c r="WWU188" s="1"/>
      <c r="WWV188" s="1"/>
      <c r="WWW188" s="1"/>
      <c r="WWX188" s="1"/>
      <c r="WWY188" s="1"/>
      <c r="WWZ188" s="1"/>
      <c r="WXA188" s="1"/>
      <c r="WXB188" s="1"/>
      <c r="WXC188" s="1"/>
      <c r="WXD188" s="1"/>
      <c r="WXE188" s="1"/>
      <c r="WXF188" s="1"/>
      <c r="WXG188" s="1"/>
      <c r="WXH188" s="1"/>
      <c r="WXI188" s="1"/>
      <c r="WXJ188" s="1"/>
      <c r="WXK188" s="1"/>
      <c r="WXL188" s="1"/>
      <c r="WXM188" s="1"/>
      <c r="WXN188" s="1"/>
      <c r="WXO188" s="1"/>
      <c r="WXP188" s="1"/>
      <c r="WXQ188" s="1"/>
      <c r="WXR188" s="1"/>
      <c r="WXS188" s="1"/>
      <c r="WXT188" s="1"/>
      <c r="WXU188" s="1"/>
      <c r="WXV188" s="1"/>
      <c r="WXW188" s="1"/>
      <c r="WXX188" s="1"/>
      <c r="WXY188" s="1"/>
      <c r="WXZ188" s="1"/>
      <c r="WYA188" s="1"/>
      <c r="WYB188" s="1"/>
      <c r="WYC188" s="1"/>
      <c r="WYD188" s="1"/>
      <c r="WYE188" s="1"/>
      <c r="WYF188" s="1"/>
      <c r="WYG188" s="1"/>
      <c r="WYH188" s="1"/>
      <c r="WYI188" s="1"/>
      <c r="WYJ188" s="1"/>
      <c r="WYK188" s="1"/>
      <c r="WYL188" s="1"/>
      <c r="WYM188" s="1"/>
      <c r="WYN188" s="1"/>
      <c r="WYO188" s="1"/>
      <c r="WYP188" s="1"/>
      <c r="WYQ188" s="1"/>
      <c r="WYR188" s="1"/>
      <c r="WYS188" s="1"/>
      <c r="WYT188" s="1"/>
      <c r="WYU188" s="1"/>
      <c r="WYV188" s="1"/>
      <c r="WYW188" s="1"/>
      <c r="WYX188" s="1"/>
      <c r="WYY188" s="1"/>
      <c r="WYZ188" s="1"/>
      <c r="WZA188" s="1"/>
      <c r="WZB188" s="1"/>
      <c r="WZC188" s="1"/>
      <c r="WZD188" s="1"/>
      <c r="WZE188" s="1"/>
      <c r="WZF188" s="1"/>
      <c r="WZG188" s="1"/>
      <c r="WZH188" s="1"/>
      <c r="WZI188" s="1"/>
      <c r="WZJ188" s="1"/>
      <c r="WZK188" s="1"/>
      <c r="WZL188" s="1"/>
      <c r="WZM188" s="1"/>
      <c r="WZN188" s="1"/>
      <c r="WZO188" s="1"/>
      <c r="WZP188" s="1"/>
      <c r="WZQ188" s="1"/>
      <c r="WZR188" s="1"/>
      <c r="WZS188" s="1"/>
      <c r="WZT188" s="1"/>
      <c r="WZU188" s="1"/>
      <c r="WZV188" s="1"/>
      <c r="WZW188" s="1"/>
      <c r="WZX188" s="1"/>
      <c r="WZY188" s="1"/>
      <c r="WZZ188" s="1"/>
      <c r="XAA188" s="1"/>
      <c r="XAB188" s="1"/>
      <c r="XAC188" s="1"/>
      <c r="XAD188" s="1"/>
      <c r="XAE188" s="1"/>
      <c r="XAF188" s="1"/>
      <c r="XAG188" s="1"/>
      <c r="XAH188" s="1"/>
      <c r="XAI188" s="1"/>
      <c r="XAJ188" s="1"/>
      <c r="XAK188" s="1"/>
      <c r="XAL188" s="1"/>
      <c r="XAM188" s="1"/>
      <c r="XAN188" s="1"/>
      <c r="XAO188" s="1"/>
      <c r="XAP188" s="1"/>
      <c r="XAQ188" s="1"/>
      <c r="XAR188" s="1"/>
      <c r="XAS188" s="1"/>
      <c r="XAT188" s="1"/>
      <c r="XAU188" s="1"/>
      <c r="XAV188" s="1"/>
      <c r="XAW188" s="1"/>
      <c r="XAX188" s="1"/>
      <c r="XAY188" s="1"/>
      <c r="XAZ188" s="1"/>
      <c r="XBA188" s="1"/>
      <c r="XBB188" s="1"/>
      <c r="XBC188" s="1"/>
      <c r="XBD188" s="1"/>
      <c r="XBE188" s="1"/>
      <c r="XBF188" s="1"/>
      <c r="XBG188" s="1"/>
      <c r="XBH188" s="1"/>
      <c r="XBI188" s="1"/>
      <c r="XBJ188" s="1"/>
      <c r="XBK188" s="1"/>
      <c r="XBL188" s="1"/>
      <c r="XBM188" s="1"/>
      <c r="XBN188" s="1"/>
      <c r="XBO188" s="1"/>
      <c r="XBP188" s="1"/>
      <c r="XBQ188" s="1"/>
      <c r="XBR188" s="1"/>
      <c r="XBS188" s="1"/>
      <c r="XBT188" s="1"/>
      <c r="XBU188" s="1"/>
      <c r="XBV188" s="1"/>
      <c r="XBW188" s="1"/>
      <c r="XBX188" s="1"/>
      <c r="XBY188" s="1"/>
      <c r="XBZ188" s="1"/>
      <c r="XCA188" s="1"/>
      <c r="XCB188" s="1"/>
      <c r="XCC188" s="1"/>
      <c r="XCD188" s="1"/>
      <c r="XCE188" s="1"/>
      <c r="XCF188" s="1"/>
      <c r="XCG188" s="1"/>
      <c r="XCH188" s="1"/>
      <c r="XCI188" s="1"/>
      <c r="XCJ188" s="1"/>
      <c r="XCK188" s="1"/>
      <c r="XCL188" s="1"/>
      <c r="XCM188" s="1"/>
      <c r="XCN188" s="1"/>
      <c r="XCO188" s="1"/>
      <c r="XCP188" s="1"/>
      <c r="XCQ188" s="1"/>
      <c r="XCR188" s="1"/>
      <c r="XCS188" s="1"/>
      <c r="XCT188" s="1"/>
      <c r="XCU188" s="1"/>
      <c r="XCV188" s="1"/>
      <c r="XCW188" s="1"/>
      <c r="XCX188" s="1"/>
      <c r="XCY188" s="1"/>
      <c r="XCZ188" s="1"/>
      <c r="XDA188" s="1"/>
      <c r="XDB188" s="1"/>
      <c r="XDC188" s="1"/>
      <c r="XDD188" s="1"/>
      <c r="XDE188" s="1"/>
      <c r="XDF188" s="1"/>
      <c r="XDG188" s="1"/>
      <c r="XDH188" s="1"/>
      <c r="XDI188" s="1"/>
      <c r="XDJ188" s="1"/>
      <c r="XDK188" s="1"/>
      <c r="XDL188" s="1"/>
      <c r="XDM188" s="1"/>
      <c r="XDN188" s="1"/>
      <c r="XDO188" s="1"/>
      <c r="XDP188" s="1"/>
      <c r="XDQ188" s="1"/>
      <c r="XDR188" s="1"/>
      <c r="XDS188" s="1"/>
      <c r="XDT188" s="1"/>
      <c r="XDU188" s="1"/>
      <c r="XDV188" s="1"/>
      <c r="XDW188" s="1"/>
      <c r="XDX188" s="1"/>
      <c r="XDY188" s="1"/>
      <c r="XDZ188" s="1"/>
      <c r="XEA188" s="1"/>
      <c r="XEB188" s="1"/>
      <c r="XEC188" s="1"/>
      <c r="XED188" s="1"/>
      <c r="XEE188" s="1"/>
      <c r="XEF188" s="1"/>
      <c r="XEG188" s="1"/>
      <c r="XEH188" s="1"/>
      <c r="XEI188" s="1"/>
      <c r="XEJ188" s="1"/>
      <c r="XEK188" s="1"/>
      <c r="XEL188" s="1"/>
      <c r="XEM188" s="1"/>
      <c r="XEN188" s="1"/>
      <c r="XEO188" s="1"/>
      <c r="XEP188" s="1"/>
      <c r="XEQ188" s="1"/>
      <c r="XER188" s="1"/>
      <c r="XES188" s="1"/>
      <c r="XET188" s="1"/>
      <c r="XEU188" s="1"/>
      <c r="XEV188" s="1"/>
      <c r="XEW188" s="1"/>
      <c r="XEX188" s="1"/>
      <c r="XEY188" s="1"/>
      <c r="XEZ188" s="1"/>
      <c r="XFA188" s="1"/>
      <c r="XFB188" s="1"/>
      <c r="XFC188" s="1"/>
    </row>
    <row r="189" spans="1:16383" ht="13.5" customHeight="1" x14ac:dyDescent="0.2">
      <c r="M189" s="26"/>
      <c r="Y189" s="516" t="s">
        <v>1368</v>
      </c>
      <c r="Z189" s="514" t="s">
        <v>7919</v>
      </c>
      <c r="AA189" s="21"/>
      <c r="AB189" s="21"/>
      <c r="AC189" s="211"/>
      <c r="AD189" s="21"/>
      <c r="AF189"/>
      <c r="AG189" s="294"/>
      <c r="AH189" s="366"/>
      <c r="AI189" s="294"/>
      <c r="AJ189" s="26"/>
      <c r="AK189" s="374"/>
      <c r="AL189" s="374"/>
      <c r="AO189" s="294"/>
      <c r="AR189" s="374"/>
      <c r="AS189" s="20"/>
      <c r="AY189"/>
      <c r="AZ189" s="374"/>
      <c r="BA189" s="4"/>
      <c r="BF189" s="26"/>
      <c r="BG189" s="26"/>
      <c r="BH189" s="26"/>
      <c r="BI189" s="26"/>
      <c r="BJ189" s="26"/>
      <c r="BK189" s="26"/>
      <c r="BL189" s="26"/>
      <c r="BM189" s="26"/>
      <c r="BS189" s="20"/>
      <c r="BT189" s="26"/>
      <c r="BV189" s="381"/>
      <c r="BW189" s="26"/>
      <c r="BX189" s="218"/>
      <c r="BZ189" s="4"/>
      <c r="CA189" s="218"/>
      <c r="CC189" s="26"/>
      <c r="CM189"/>
      <c r="CP189" s="218"/>
    </row>
    <row r="190" spans="1:16383" ht="13.5" customHeight="1" x14ac:dyDescent="0.2">
      <c r="M190" s="26"/>
      <c r="Y190" s="516" t="s">
        <v>1038</v>
      </c>
      <c r="Z190" s="514" t="s">
        <v>9614</v>
      </c>
      <c r="AA190" s="21"/>
      <c r="AB190" s="21"/>
      <c r="AC190" s="211"/>
      <c r="AD190" s="21"/>
      <c r="AF190"/>
      <c r="AG190" s="294"/>
      <c r="AH190" s="366"/>
      <c r="AI190" s="294"/>
      <c r="AJ190" s="26"/>
      <c r="AK190" s="374"/>
      <c r="AL190" s="374"/>
      <c r="AO190" s="294"/>
      <c r="AR190" s="374"/>
      <c r="AS190" s="20"/>
      <c r="AY190"/>
      <c r="AZ190" s="374"/>
      <c r="BA190" s="4"/>
      <c r="BF190" s="26"/>
      <c r="BG190" s="26"/>
      <c r="BH190" s="26"/>
      <c r="BI190" s="26"/>
      <c r="BJ190" s="26"/>
      <c r="BK190" s="26"/>
      <c r="BL190" s="26"/>
      <c r="BM190" s="26"/>
      <c r="BS190" s="20"/>
      <c r="BT190" s="26"/>
      <c r="BV190" s="381"/>
      <c r="BW190" s="26"/>
      <c r="BX190" s="218"/>
      <c r="BZ190" s="4"/>
      <c r="CA190" s="218"/>
      <c r="CC190" s="26"/>
      <c r="CM190"/>
      <c r="CP190" s="218"/>
      <c r="DY190" s="1"/>
      <c r="DZ190" s="1"/>
      <c r="EA190" s="1"/>
      <c r="EB190" s="1"/>
      <c r="EC190" s="1"/>
      <c r="ED190" s="1"/>
      <c r="EE190" s="1"/>
      <c r="EF190" s="1"/>
      <c r="EG190" s="1"/>
      <c r="EH190" s="1"/>
      <c r="EI190" s="1"/>
      <c r="EJ190" s="1"/>
    </row>
    <row r="191" spans="1:16383" ht="13.5" customHeight="1" x14ac:dyDescent="0.2">
      <c r="M191" s="26"/>
      <c r="Y191" s="516" t="s">
        <v>504</v>
      </c>
      <c r="Z191" s="514" t="s">
        <v>9198</v>
      </c>
      <c r="AA191" s="21"/>
      <c r="AB191" s="21"/>
      <c r="AC191" s="211"/>
      <c r="AD191" s="21"/>
      <c r="AF191"/>
      <c r="AG191" s="294"/>
      <c r="AH191" s="366"/>
      <c r="AI191" s="294"/>
      <c r="AJ191" s="26"/>
      <c r="AK191" s="374"/>
      <c r="AL191" s="374"/>
      <c r="AO191" s="294"/>
      <c r="AR191" s="374"/>
      <c r="AS191" s="20"/>
      <c r="AY191"/>
      <c r="AZ191" s="374"/>
      <c r="BA191" s="4"/>
      <c r="BF191" s="26"/>
      <c r="BG191" s="26"/>
      <c r="BH191" s="26"/>
      <c r="BI191" s="26"/>
      <c r="BJ191" s="26"/>
      <c r="BK191" s="26"/>
      <c r="BL191" s="26"/>
      <c r="BM191" s="26"/>
      <c r="BS191" s="20"/>
      <c r="BT191" s="26"/>
      <c r="BV191" s="381"/>
      <c r="BW191" s="26"/>
      <c r="BX191" s="218"/>
      <c r="BZ191" s="4"/>
      <c r="CA191" s="218"/>
      <c r="CC191" s="26"/>
      <c r="CM191"/>
      <c r="CP191" s="218"/>
    </row>
    <row r="192" spans="1:16383" x14ac:dyDescent="0.2">
      <c r="M192" s="26"/>
      <c r="N192" s="26"/>
      <c r="O192"/>
      <c r="P192" s="20"/>
      <c r="Q192" s="218"/>
      <c r="R192" s="218"/>
      <c r="Y192" s="516" t="s">
        <v>684</v>
      </c>
      <c r="Z192" s="514" t="s">
        <v>7916</v>
      </c>
      <c r="AA192" s="21"/>
      <c r="AB192" s="21"/>
      <c r="AC192" s="21"/>
      <c r="AD192" s="211"/>
      <c r="AE192" s="21"/>
      <c r="AF192"/>
      <c r="AG192" s="294"/>
      <c r="AH192" s="294"/>
      <c r="AI192" s="366"/>
      <c r="AJ192" s="26"/>
      <c r="AK192" s="374"/>
      <c r="AL192" s="374"/>
      <c r="AO192" s="294"/>
      <c r="AR192" s="374"/>
      <c r="AT192" s="20"/>
      <c r="AY192"/>
      <c r="AZ192" s="374"/>
      <c r="BB192" s="4"/>
      <c r="BF192" s="26"/>
      <c r="BG192" s="26"/>
      <c r="BH192" s="26"/>
      <c r="BI192" s="26"/>
      <c r="BJ192" s="26"/>
      <c r="BK192" s="26"/>
      <c r="BL192" s="26"/>
      <c r="BM192" s="26"/>
      <c r="BN192" s="26"/>
      <c r="BS192" s="20"/>
      <c r="BT192" s="26"/>
      <c r="BV192" s="381"/>
      <c r="BW192" s="26"/>
      <c r="BX192" s="229"/>
      <c r="CA192" s="219"/>
      <c r="CC192" s="218"/>
      <c r="CD192" s="26"/>
      <c r="CM192"/>
      <c r="CN192"/>
      <c r="CP192" s="218"/>
    </row>
    <row r="193" spans="1:128" ht="14.25" customHeight="1" x14ac:dyDescent="0.2">
      <c r="M193" s="26"/>
      <c r="N193" s="26"/>
      <c r="O193"/>
      <c r="P193" s="20"/>
      <c r="Q193" s="218"/>
      <c r="R193" s="218"/>
      <c r="Y193" s="516" t="s">
        <v>1385</v>
      </c>
      <c r="Z193" s="514" t="s">
        <v>8965</v>
      </c>
      <c r="AA193" s="21"/>
      <c r="AB193" s="21"/>
      <c r="AC193" s="21"/>
      <c r="AD193" s="229"/>
      <c r="AE193" s="21"/>
      <c r="AF193"/>
      <c r="AG193" s="294"/>
      <c r="AH193" s="294"/>
      <c r="AI193" s="366"/>
      <c r="AJ193" s="26"/>
      <c r="AK193" s="374"/>
      <c r="AL193" s="374"/>
      <c r="AO193" s="294"/>
      <c r="AR193" s="374"/>
      <c r="AT193" s="20"/>
      <c r="AY193"/>
      <c r="AZ193" s="374"/>
      <c r="BB193" s="4"/>
      <c r="BF193" s="26"/>
      <c r="BG193" s="26"/>
      <c r="BH193" s="26"/>
      <c r="BI193" s="26"/>
      <c r="BJ193" s="26"/>
      <c r="BK193" s="26"/>
      <c r="BL193" s="26"/>
      <c r="BM193" s="26"/>
      <c r="BN193" s="26"/>
      <c r="BS193" s="20"/>
      <c r="BT193" s="26"/>
      <c r="BV193" s="381"/>
      <c r="BW193" s="26"/>
      <c r="BX193" s="229"/>
      <c r="CA193" s="219"/>
      <c r="CC193" s="218"/>
      <c r="CD193" s="26"/>
      <c r="CM193"/>
      <c r="CN193"/>
      <c r="CP193" s="218"/>
    </row>
    <row r="194" spans="1:128" ht="14.25" customHeight="1" x14ac:dyDescent="0.2">
      <c r="M194" s="26"/>
      <c r="N194" s="26"/>
      <c r="O194"/>
      <c r="P194" s="20"/>
      <c r="Q194" s="218"/>
      <c r="R194" s="218"/>
      <c r="Y194" s="516" t="s">
        <v>58</v>
      </c>
      <c r="Z194" s="514" t="s">
        <v>8403</v>
      </c>
      <c r="AA194" s="21"/>
      <c r="AB194" s="21"/>
      <c r="AC194" s="21"/>
      <c r="AD194" s="211"/>
      <c r="AE194" s="21"/>
      <c r="AF194"/>
      <c r="AG194" s="294"/>
      <c r="AH194" s="294"/>
      <c r="AI194" s="366"/>
      <c r="AJ194" s="26"/>
      <c r="AK194" s="374"/>
      <c r="AL194" s="374"/>
      <c r="AO194" s="294"/>
      <c r="AR194" s="374"/>
      <c r="AT194" s="20"/>
      <c r="AY194"/>
      <c r="AZ194" s="374"/>
      <c r="BB194" s="4"/>
      <c r="BF194" s="26"/>
      <c r="BG194" s="26"/>
      <c r="BH194" s="26"/>
      <c r="BI194" s="26"/>
      <c r="BJ194" s="26"/>
      <c r="BK194" s="26"/>
      <c r="BL194" s="26"/>
      <c r="BM194" s="26"/>
      <c r="BN194" s="26"/>
      <c r="BS194" s="20"/>
      <c r="BT194" s="26"/>
      <c r="BV194" s="381"/>
      <c r="BW194" s="26"/>
      <c r="BX194" s="229"/>
      <c r="CA194" s="219"/>
      <c r="CC194" s="218"/>
      <c r="CD194" s="26"/>
      <c r="CM194"/>
      <c r="CN194"/>
      <c r="CP194" s="218"/>
    </row>
    <row r="195" spans="1:128" ht="14.25" customHeight="1" x14ac:dyDescent="0.2">
      <c r="Y195" s="516" t="s">
        <v>63</v>
      </c>
      <c r="Z195" s="514" t="s">
        <v>7917</v>
      </c>
      <c r="AA195" s="21"/>
      <c r="AB195" s="21"/>
      <c r="AD195" s="211"/>
      <c r="AE195" s="21"/>
      <c r="AF195"/>
      <c r="AG195" s="294"/>
      <c r="AH195" s="294"/>
      <c r="AI195" s="366"/>
      <c r="AJ195" s="26"/>
      <c r="AK195" s="374"/>
      <c r="AL195" s="374"/>
      <c r="AO195" s="294"/>
      <c r="AR195" s="374"/>
      <c r="AY195"/>
      <c r="AZ195" s="374"/>
      <c r="BB195" s="4"/>
      <c r="BF195" s="26"/>
      <c r="BG195" s="26"/>
      <c r="BH195" s="26"/>
      <c r="BI195" s="26"/>
      <c r="BJ195" s="26"/>
      <c r="BK195" s="26"/>
      <c r="BL195" s="26"/>
      <c r="BM195" s="26"/>
      <c r="BN195" s="26"/>
      <c r="BS195" s="20"/>
      <c r="BT195" s="26"/>
      <c r="BV195" s="381"/>
      <c r="BW195" s="26"/>
      <c r="BX195" s="229"/>
      <c r="CA195" s="219"/>
      <c r="CC195" s="218"/>
      <c r="CD195" s="26"/>
      <c r="CM195"/>
      <c r="CN195"/>
      <c r="CP195" s="218"/>
    </row>
    <row r="196" spans="1:128" ht="15" customHeight="1" x14ac:dyDescent="0.2">
      <c r="J196" s="26"/>
      <c r="K196" s="26"/>
      <c r="Y196" s="516" t="s">
        <v>412</v>
      </c>
      <c r="Z196" s="514" t="s">
        <v>8408</v>
      </c>
      <c r="AA196" s="21"/>
      <c r="AB196" s="21"/>
      <c r="AC196" s="21"/>
      <c r="AD196" s="211"/>
      <c r="AF196"/>
      <c r="AG196" s="294"/>
      <c r="AH196" s="294"/>
      <c r="AI196" s="366"/>
      <c r="AJ196" s="26"/>
      <c r="AK196" s="374"/>
      <c r="AL196" s="374"/>
      <c r="AO196" s="294"/>
      <c r="AR196" s="374"/>
      <c r="AT196" s="20"/>
      <c r="AY196"/>
      <c r="AZ196" s="374"/>
      <c r="BB196" s="4"/>
      <c r="BF196" s="26"/>
      <c r="BG196" s="26"/>
      <c r="BH196" s="26"/>
      <c r="BI196" s="26"/>
      <c r="BJ196" s="26"/>
      <c r="BK196" s="26"/>
      <c r="BL196" s="26"/>
      <c r="BM196" s="26"/>
      <c r="BN196" s="26"/>
      <c r="BS196" s="20"/>
      <c r="BT196" s="26"/>
      <c r="BV196" s="381"/>
      <c r="BW196" s="26"/>
      <c r="BX196" s="229"/>
      <c r="CA196" s="219"/>
      <c r="CC196" s="218"/>
      <c r="CD196" s="26"/>
      <c r="CM196"/>
      <c r="CN196"/>
      <c r="CP196" s="218"/>
    </row>
    <row r="197" spans="1:128" ht="14.25" customHeight="1" x14ac:dyDescent="0.2">
      <c r="B197" t="s">
        <v>6182</v>
      </c>
      <c r="Y197" s="516" t="s">
        <v>1387</v>
      </c>
      <c r="Z197" s="514" t="s">
        <v>7926</v>
      </c>
      <c r="AA197" s="21"/>
      <c r="AB197" s="21"/>
      <c r="AC197" s="21"/>
      <c r="AD197" s="211"/>
      <c r="AE197" s="21"/>
      <c r="AF197"/>
      <c r="AG197" s="294"/>
      <c r="AH197" s="294"/>
      <c r="AI197" s="366"/>
      <c r="AJ197" s="26"/>
      <c r="AK197" s="374"/>
      <c r="AL197" s="374"/>
      <c r="AO197" s="294"/>
      <c r="AR197" s="374"/>
      <c r="AT197" s="20"/>
      <c r="AY197"/>
      <c r="AZ197" s="374"/>
      <c r="BB197" s="4"/>
      <c r="BF197" s="26"/>
      <c r="BG197" s="26"/>
      <c r="BH197" s="26"/>
      <c r="BI197" s="26"/>
      <c r="BJ197" s="26"/>
      <c r="BK197" s="26"/>
      <c r="BL197" s="26"/>
      <c r="BM197" s="26"/>
      <c r="BN197" s="26"/>
      <c r="BS197" s="20"/>
      <c r="BT197" s="26"/>
      <c r="BV197" s="381"/>
      <c r="BW197" s="26"/>
      <c r="BX197" s="229"/>
      <c r="CA197" s="219"/>
      <c r="CC197" s="218"/>
      <c r="CD197" s="26"/>
      <c r="CM197"/>
      <c r="CN197"/>
      <c r="CP197" s="218"/>
    </row>
    <row r="198" spans="1:128" x14ac:dyDescent="0.2">
      <c r="B198" s="86" t="s">
        <v>5787</v>
      </c>
      <c r="C198" s="926" t="s">
        <v>1330</v>
      </c>
      <c r="D198" s="928"/>
      <c r="E198" s="927"/>
      <c r="F198" s="929" t="s">
        <v>1331</v>
      </c>
      <c r="G198" s="930"/>
      <c r="H198" s="931"/>
      <c r="I198" s="926" t="s">
        <v>44</v>
      </c>
      <c r="J198" s="928"/>
      <c r="K198" s="927"/>
      <c r="L198" s="824" t="s">
        <v>1202</v>
      </c>
      <c r="M198" s="821"/>
      <c r="N198" s="821"/>
      <c r="O198" s="729"/>
      <c r="P198" s="730"/>
      <c r="Q198" s="152"/>
      <c r="R198" s="926" t="s">
        <v>1332</v>
      </c>
      <c r="S198" s="927"/>
      <c r="T198" s="87" t="s">
        <v>1333</v>
      </c>
      <c r="U198" s="87" t="s">
        <v>5786</v>
      </c>
      <c r="V198" s="87" t="s">
        <v>1333</v>
      </c>
      <c r="W198" s="319" t="s">
        <v>6179</v>
      </c>
      <c r="Y198" s="516" t="s">
        <v>1357</v>
      </c>
      <c r="Z198" s="514" t="s">
        <v>9814</v>
      </c>
      <c r="AB198" s="21"/>
      <c r="AC198" s="21"/>
      <c r="AD198" s="211"/>
      <c r="AE198" s="21"/>
      <c r="AF198"/>
      <c r="AG198" s="294"/>
      <c r="AH198" s="294"/>
      <c r="AI198" s="366"/>
      <c r="AJ198" s="26"/>
      <c r="AK198" s="374"/>
      <c r="AL198" s="374"/>
      <c r="AO198" s="294"/>
      <c r="AR198" s="374"/>
      <c r="AT198" s="20"/>
      <c r="AY198"/>
      <c r="AZ198" s="374"/>
      <c r="BB198" s="4"/>
      <c r="BF198" s="26"/>
      <c r="BG198" s="26"/>
      <c r="BH198" s="26"/>
      <c r="BI198" s="26"/>
      <c r="BJ198" s="26"/>
      <c r="BK198" s="26"/>
      <c r="BL198" s="26"/>
      <c r="BM198" s="26"/>
      <c r="BN198" s="26"/>
      <c r="BS198" s="20"/>
      <c r="BT198" s="26"/>
      <c r="BV198" s="381"/>
      <c r="BW198" s="26"/>
      <c r="BX198" s="229"/>
      <c r="CA198" s="219"/>
      <c r="CC198" s="218"/>
      <c r="CD198" s="26"/>
      <c r="CM198"/>
      <c r="CN198"/>
      <c r="CP198" s="218"/>
    </row>
    <row r="199" spans="1:128" x14ac:dyDescent="0.2">
      <c r="B199" s="54"/>
      <c r="C199" s="88" t="s">
        <v>1334</v>
      </c>
      <c r="D199" s="256" t="s">
        <v>16</v>
      </c>
      <c r="E199" s="89" t="s">
        <v>1335</v>
      </c>
      <c r="F199" s="150" t="s">
        <v>1334</v>
      </c>
      <c r="G199" s="151" t="s">
        <v>16</v>
      </c>
      <c r="H199" s="152" t="s">
        <v>1335</v>
      </c>
      <c r="I199" s="90" t="s">
        <v>1334</v>
      </c>
      <c r="J199" s="90" t="s">
        <v>16</v>
      </c>
      <c r="K199" s="90" t="s">
        <v>1335</v>
      </c>
      <c r="L199" s="822" t="s">
        <v>1334</v>
      </c>
      <c r="M199" s="823"/>
      <c r="N199" s="238" t="s">
        <v>16</v>
      </c>
      <c r="O199" s="933" t="s">
        <v>1335</v>
      </c>
      <c r="P199" s="934"/>
      <c r="Q199" s="91" t="s">
        <v>1336</v>
      </c>
      <c r="R199" s="150" t="s">
        <v>1334</v>
      </c>
      <c r="S199" s="152" t="s">
        <v>16</v>
      </c>
      <c r="T199" s="92" t="s">
        <v>1337</v>
      </c>
      <c r="U199" s="93" t="s">
        <v>1338</v>
      </c>
      <c r="V199" s="93" t="s">
        <v>1339</v>
      </c>
      <c r="W199" s="92" t="s">
        <v>6177</v>
      </c>
      <c r="Y199" s="516" t="s">
        <v>228</v>
      </c>
      <c r="Z199" s="514" t="s">
        <v>7918</v>
      </c>
      <c r="AB199" s="21"/>
      <c r="AC199" s="21"/>
      <c r="AD199" s="211"/>
      <c r="AE199" s="21"/>
      <c r="AF199"/>
      <c r="AG199" s="294"/>
      <c r="AH199" s="294"/>
      <c r="AI199" s="366"/>
      <c r="AJ199" s="26"/>
      <c r="AK199" s="374"/>
      <c r="AL199" s="374"/>
      <c r="AO199" s="294"/>
      <c r="AR199" s="374"/>
      <c r="AT199" s="20"/>
      <c r="AY199"/>
      <c r="AZ199" s="374"/>
      <c r="BB199" s="4"/>
      <c r="BF199" s="26"/>
      <c r="BG199" s="26"/>
      <c r="BH199" s="26"/>
      <c r="BI199" s="26"/>
      <c r="BJ199" s="26"/>
      <c r="BK199" s="26"/>
      <c r="BL199" s="26"/>
      <c r="BM199" s="26"/>
      <c r="BN199" s="26"/>
      <c r="BS199" s="20"/>
      <c r="BT199" s="26"/>
      <c r="BV199" s="381"/>
      <c r="BW199" s="26"/>
      <c r="BX199" s="229"/>
      <c r="CA199" s="219"/>
      <c r="CC199" s="218"/>
      <c r="CD199" s="26"/>
      <c r="CM199"/>
      <c r="CN199"/>
      <c r="CP199" s="218"/>
    </row>
    <row r="200" spans="1:128" x14ac:dyDescent="0.2">
      <c r="B200" s="273" t="s">
        <v>1340</v>
      </c>
      <c r="C200" s="95">
        <f t="shared" ref="C200:W200" si="31">SUM(C201:C225)</f>
        <v>14</v>
      </c>
      <c r="D200" s="239">
        <f t="shared" si="31"/>
        <v>265.97414000000003</v>
      </c>
      <c r="E200" s="96">
        <f t="shared" si="31"/>
        <v>652.03800000000001</v>
      </c>
      <c r="F200" s="97">
        <f t="shared" si="31"/>
        <v>0</v>
      </c>
      <c r="G200" s="98">
        <f t="shared" si="31"/>
        <v>0</v>
      </c>
      <c r="H200" s="98">
        <f t="shared" si="31"/>
        <v>0</v>
      </c>
      <c r="I200" s="95">
        <f t="shared" si="31"/>
        <v>51</v>
      </c>
      <c r="J200" s="96">
        <f t="shared" si="31"/>
        <v>7832.3483999999999</v>
      </c>
      <c r="K200" s="96">
        <f t="shared" si="31"/>
        <v>2685.9216300000003</v>
      </c>
      <c r="L200" s="95">
        <f t="shared" si="31"/>
        <v>65</v>
      </c>
      <c r="M200" s="99">
        <f t="shared" ref="M200:M231" si="32">+L200/L$322</f>
        <v>0.16169154228855723</v>
      </c>
      <c r="N200" s="239">
        <f t="shared" si="31"/>
        <v>8098.322540000001</v>
      </c>
      <c r="O200" s="731">
        <f t="shared" si="31"/>
        <v>3337.9596300000003</v>
      </c>
      <c r="P200" s="732">
        <f t="shared" si="31"/>
        <v>0.35742966135806958</v>
      </c>
      <c r="Q200" s="31">
        <f t="shared" si="31"/>
        <v>52778.97476219177</v>
      </c>
      <c r="R200" s="97">
        <f t="shared" si="31"/>
        <v>7</v>
      </c>
      <c r="S200" s="101">
        <f t="shared" si="31"/>
        <v>1874.54</v>
      </c>
      <c r="T200" s="101">
        <f t="shared" si="31"/>
        <v>8</v>
      </c>
      <c r="U200" s="101">
        <f t="shared" si="31"/>
        <v>1</v>
      </c>
      <c r="V200" s="31">
        <f t="shared" si="31"/>
        <v>0</v>
      </c>
      <c r="W200" s="31">
        <f t="shared" si="31"/>
        <v>1178</v>
      </c>
      <c r="Y200" s="516" t="s">
        <v>233</v>
      </c>
      <c r="Z200" s="514" t="s">
        <v>7911</v>
      </c>
      <c r="AB200" s="329"/>
      <c r="AC200" s="329"/>
      <c r="AD200" s="296"/>
      <c r="AE200" s="329"/>
      <c r="AF200" s="1"/>
      <c r="AG200" s="331"/>
      <c r="AH200" s="331"/>
      <c r="AI200" s="559"/>
      <c r="AJ200" s="296"/>
      <c r="AK200" s="377"/>
      <c r="AL200" s="377"/>
      <c r="AM200" s="1"/>
      <c r="AN200" s="1"/>
      <c r="AO200" s="331"/>
      <c r="AP200" s="1"/>
      <c r="AQ200" s="1"/>
      <c r="AR200" s="377"/>
      <c r="AS200" s="1"/>
      <c r="AT200" s="330"/>
      <c r="AU200" s="1"/>
      <c r="AV200" s="1"/>
      <c r="AW200" s="1"/>
      <c r="AX200" s="1"/>
      <c r="AY200" s="1"/>
      <c r="AZ200" s="377"/>
      <c r="BA200" s="1"/>
      <c r="BB200" s="222"/>
      <c r="BC200" s="1"/>
      <c r="BD200" s="1"/>
      <c r="BE200" s="1"/>
      <c r="BF200" s="296"/>
      <c r="BG200" s="296"/>
      <c r="BH200" s="296"/>
      <c r="BI200" s="296"/>
      <c r="BJ200" s="296"/>
      <c r="BK200" s="296"/>
      <c r="BL200" s="296"/>
      <c r="BM200" s="296"/>
      <c r="BN200" s="296"/>
      <c r="BO200" s="1"/>
      <c r="BP200" s="1"/>
      <c r="BQ200" s="1"/>
      <c r="BR200" s="1"/>
      <c r="BS200" s="330"/>
      <c r="BT200" s="296"/>
      <c r="BU200" s="296"/>
      <c r="BV200" s="382"/>
      <c r="BW200" s="296"/>
      <c r="BX200" s="332"/>
      <c r="BY200" s="3"/>
      <c r="BZ200" s="3"/>
      <c r="CA200" s="167"/>
      <c r="CB200" s="3"/>
      <c r="CC200" s="3"/>
      <c r="CD200" s="296"/>
      <c r="CE200" s="1"/>
      <c r="CF200" s="1"/>
      <c r="CG200" s="1"/>
      <c r="CH200" s="1"/>
      <c r="CI200" s="1"/>
      <c r="CJ200" s="1"/>
      <c r="CK200" s="1"/>
      <c r="CL200" s="1"/>
      <c r="CM200" s="1"/>
      <c r="CN200" s="1"/>
      <c r="CO200" s="3"/>
      <c r="CP200" s="3"/>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row>
    <row r="201" spans="1:128" ht="15.75" customHeight="1" x14ac:dyDescent="0.2">
      <c r="B201" s="272" t="s">
        <v>1153</v>
      </c>
      <c r="C201" s="24">
        <v>1</v>
      </c>
      <c r="D201" s="228">
        <v>64.554000000000002</v>
      </c>
      <c r="E201" s="38">
        <v>0</v>
      </c>
      <c r="F201" s="24">
        <v>0</v>
      </c>
      <c r="G201" s="38">
        <v>0</v>
      </c>
      <c r="H201" s="38">
        <v>0</v>
      </c>
      <c r="I201" s="24">
        <v>1</v>
      </c>
      <c r="J201" s="38">
        <v>24.11</v>
      </c>
      <c r="K201" s="38">
        <v>0</v>
      </c>
      <c r="L201" s="24">
        <v>2</v>
      </c>
      <c r="M201" s="56">
        <f t="shared" si="32"/>
        <v>4.9751243781094526E-3</v>
      </c>
      <c r="N201" s="228">
        <v>88.664000000000001</v>
      </c>
      <c r="O201" s="252">
        <v>0</v>
      </c>
      <c r="P201" s="102">
        <f t="shared" ref="P201:P231" si="33">+O201/O$322</f>
        <v>0</v>
      </c>
      <c r="Q201" s="22">
        <v>714.73181369863016</v>
      </c>
      <c r="R201" s="24">
        <v>0</v>
      </c>
      <c r="S201" s="22">
        <v>0</v>
      </c>
      <c r="T201" s="22">
        <v>0</v>
      </c>
      <c r="U201" s="22">
        <v>0</v>
      </c>
      <c r="V201" s="23">
        <v>0</v>
      </c>
      <c r="W201" s="23">
        <v>2</v>
      </c>
      <c r="Y201" s="516" t="s">
        <v>1048</v>
      </c>
      <c r="Z201" s="514" t="s">
        <v>7927</v>
      </c>
      <c r="AB201" s="21"/>
      <c r="AC201" s="21"/>
      <c r="AD201" s="211"/>
      <c r="AE201" s="21"/>
      <c r="AF201"/>
      <c r="AG201" s="294"/>
      <c r="AH201" s="294"/>
      <c r="AI201" s="366"/>
      <c r="AJ201" s="26"/>
      <c r="AK201" s="374"/>
      <c r="AL201" s="374"/>
      <c r="AO201" s="294"/>
      <c r="AR201" s="374"/>
      <c r="AT201" s="20"/>
      <c r="AY201"/>
      <c r="AZ201" s="374"/>
      <c r="BB201" s="4"/>
      <c r="BF201" s="26"/>
      <c r="BG201" s="26"/>
      <c r="BH201" s="26"/>
      <c r="BI201" s="26"/>
      <c r="BJ201" s="26"/>
      <c r="BK201" s="26"/>
      <c r="BL201" s="26"/>
      <c r="BM201" s="26"/>
      <c r="BN201" s="26"/>
      <c r="BS201" s="20"/>
      <c r="BT201" s="26"/>
      <c r="BV201" s="381"/>
      <c r="BW201" s="26"/>
      <c r="BX201" s="229"/>
      <c r="CA201" s="219"/>
      <c r="CC201" s="218"/>
      <c r="CD201" s="26"/>
      <c r="CM201"/>
      <c r="CN201"/>
      <c r="CP201" s="218"/>
    </row>
    <row r="202" spans="1:128" x14ac:dyDescent="0.2">
      <c r="B202" s="272" t="s">
        <v>1341</v>
      </c>
      <c r="C202" s="24"/>
      <c r="D202" s="228"/>
      <c r="E202" s="38"/>
      <c r="F202" s="24"/>
      <c r="G202" s="38"/>
      <c r="H202" s="38"/>
      <c r="I202" s="24"/>
      <c r="J202" s="38"/>
      <c r="K202" s="38"/>
      <c r="L202" s="24"/>
      <c r="M202" s="56">
        <f t="shared" si="32"/>
        <v>0</v>
      </c>
      <c r="N202" s="228"/>
      <c r="O202" s="252"/>
      <c r="P202" s="102">
        <f t="shared" si="33"/>
        <v>0</v>
      </c>
      <c r="Q202" s="22"/>
      <c r="R202" s="24"/>
      <c r="S202" s="22"/>
      <c r="T202" s="22"/>
      <c r="U202" s="22"/>
      <c r="V202" s="23"/>
      <c r="W202" s="23"/>
      <c r="Y202" s="516" t="s">
        <v>131</v>
      </c>
      <c r="Z202" s="514" t="s">
        <v>8134</v>
      </c>
      <c r="AB202" s="21"/>
      <c r="AC202" s="21"/>
      <c r="AD202" s="211"/>
      <c r="AE202" s="21"/>
      <c r="AF202"/>
      <c r="AG202" s="294"/>
      <c r="AH202" s="294"/>
      <c r="AI202" s="366"/>
      <c r="AJ202" s="26"/>
      <c r="AK202" s="374"/>
      <c r="AL202" s="374"/>
      <c r="AO202" s="294"/>
      <c r="AR202" s="374"/>
      <c r="AT202" s="20"/>
      <c r="AY202"/>
      <c r="AZ202" s="374"/>
      <c r="BB202" s="4"/>
      <c r="BF202" s="26"/>
      <c r="BG202" s="26"/>
      <c r="BH202" s="26"/>
      <c r="BI202" s="26"/>
      <c r="BJ202" s="26"/>
      <c r="BK202" s="26"/>
      <c r="BL202" s="26"/>
      <c r="BM202" s="26"/>
      <c r="BN202" s="26"/>
      <c r="BS202" s="20"/>
      <c r="BT202" s="26"/>
      <c r="BV202" s="381"/>
      <c r="BW202" s="26"/>
      <c r="BX202" s="229"/>
      <c r="CA202" s="219"/>
      <c r="CC202" s="218"/>
      <c r="CD202" s="26"/>
      <c r="CM202"/>
      <c r="CN202"/>
      <c r="CP202" s="218"/>
    </row>
    <row r="203" spans="1:128" ht="15" customHeight="1" x14ac:dyDescent="0.2">
      <c r="B203" s="272" t="s">
        <v>8031</v>
      </c>
      <c r="C203" s="24">
        <v>1</v>
      </c>
      <c r="D203" s="523">
        <v>14</v>
      </c>
      <c r="E203" s="38">
        <v>0</v>
      </c>
      <c r="F203" s="24">
        <v>0</v>
      </c>
      <c r="G203" s="38">
        <v>0</v>
      </c>
      <c r="H203" s="38">
        <v>0</v>
      </c>
      <c r="I203" s="24">
        <v>0</v>
      </c>
      <c r="J203" s="38">
        <v>0</v>
      </c>
      <c r="K203" s="38">
        <v>0</v>
      </c>
      <c r="L203" s="24">
        <v>1</v>
      </c>
      <c r="M203" s="56">
        <f t="shared" si="32"/>
        <v>2.4875621890547263E-3</v>
      </c>
      <c r="N203" s="228">
        <v>14</v>
      </c>
      <c r="O203" s="252">
        <v>0</v>
      </c>
      <c r="P203" s="102">
        <f t="shared" si="33"/>
        <v>0</v>
      </c>
      <c r="Q203" s="22">
        <v>56</v>
      </c>
      <c r="R203" s="24">
        <v>0</v>
      </c>
      <c r="S203" s="22">
        <v>0</v>
      </c>
      <c r="T203" s="22">
        <v>0</v>
      </c>
      <c r="U203" s="22">
        <v>0</v>
      </c>
      <c r="V203" s="23">
        <v>0</v>
      </c>
      <c r="W203" s="23">
        <v>1</v>
      </c>
      <c r="Y203" s="516" t="s">
        <v>239</v>
      </c>
      <c r="Z203" s="514" t="s">
        <v>8404</v>
      </c>
      <c r="AB203" s="21"/>
      <c r="AC203" s="21"/>
      <c r="AD203" s="211"/>
      <c r="AE203" s="21"/>
      <c r="AF203"/>
      <c r="AG203" s="294"/>
      <c r="AH203" s="294"/>
      <c r="AI203" s="366"/>
      <c r="AJ203" s="26"/>
      <c r="AK203" s="374"/>
      <c r="AL203" s="374"/>
      <c r="AO203" s="294"/>
      <c r="AR203" s="374"/>
      <c r="AT203" s="20"/>
      <c r="AY203"/>
      <c r="AZ203" s="374"/>
      <c r="BB203" s="4"/>
      <c r="BF203" s="26"/>
      <c r="BG203" s="26"/>
      <c r="BH203" s="26"/>
      <c r="BI203" s="26"/>
      <c r="BJ203" s="26"/>
      <c r="BK203" s="26"/>
      <c r="BL203" s="26"/>
      <c r="BM203" s="26"/>
      <c r="BN203" s="26"/>
      <c r="BS203" s="20"/>
      <c r="BT203" s="26"/>
      <c r="BV203" s="381"/>
      <c r="BW203" s="26"/>
      <c r="BX203" s="229"/>
      <c r="CA203" s="219"/>
      <c r="CC203" s="218"/>
      <c r="CD203" s="26"/>
      <c r="CM203"/>
      <c r="CN203"/>
      <c r="CP203" s="218"/>
    </row>
    <row r="204" spans="1:128" x14ac:dyDescent="0.2">
      <c r="B204" s="272" t="s">
        <v>1701</v>
      </c>
      <c r="C204" s="24"/>
      <c r="D204" s="228"/>
      <c r="E204" s="38"/>
      <c r="F204" s="24"/>
      <c r="G204" s="38"/>
      <c r="H204" s="38"/>
      <c r="I204" s="24"/>
      <c r="J204" s="38"/>
      <c r="K204" s="38"/>
      <c r="L204" s="24"/>
      <c r="M204" s="56">
        <f t="shared" si="32"/>
        <v>0</v>
      </c>
      <c r="N204" s="228"/>
      <c r="O204" s="252"/>
      <c r="P204" s="102">
        <f t="shared" si="33"/>
        <v>0</v>
      </c>
      <c r="Q204" s="22"/>
      <c r="R204" s="24"/>
      <c r="S204" s="22"/>
      <c r="T204" s="22"/>
      <c r="U204" s="22"/>
      <c r="V204" s="23"/>
      <c r="W204" s="23"/>
      <c r="Y204" s="516" t="s">
        <v>766</v>
      </c>
      <c r="Z204" s="514" t="s">
        <v>7919</v>
      </c>
      <c r="AB204" s="21"/>
      <c r="AC204" s="21"/>
      <c r="AD204" s="211"/>
      <c r="AE204" s="21"/>
      <c r="AF204"/>
      <c r="AG204" s="294"/>
      <c r="AH204" s="294"/>
      <c r="AI204" s="366"/>
      <c r="AJ204" s="26"/>
      <c r="AK204" s="374"/>
      <c r="AL204" s="374"/>
      <c r="AO204" s="294"/>
      <c r="AR204" s="374"/>
      <c r="AT204" s="20"/>
      <c r="AY204"/>
      <c r="AZ204" s="374"/>
      <c r="BB204" s="4"/>
      <c r="BF204" s="26"/>
      <c r="BG204" s="26"/>
      <c r="BH204" s="26"/>
      <c r="BI204" s="26"/>
      <c r="BJ204" s="26"/>
      <c r="BK204" s="26"/>
      <c r="BL204" s="26"/>
      <c r="BM204" s="26"/>
      <c r="BN204" s="26"/>
      <c r="BS204" s="20"/>
      <c r="BT204" s="26"/>
      <c r="BV204" s="381"/>
      <c r="BW204" s="26"/>
      <c r="BX204" s="229"/>
      <c r="CA204" s="219"/>
      <c r="CC204" s="218"/>
      <c r="CD204" s="26"/>
      <c r="CM204"/>
      <c r="CN204"/>
      <c r="CP204" s="218"/>
    </row>
    <row r="205" spans="1:128" ht="15" customHeight="1" x14ac:dyDescent="0.2">
      <c r="B205" s="272" t="s">
        <v>1342</v>
      </c>
      <c r="C205" s="24"/>
      <c r="D205" s="228"/>
      <c r="E205" s="38"/>
      <c r="F205" s="24"/>
      <c r="G205" s="38"/>
      <c r="H205" s="38"/>
      <c r="I205" s="24"/>
      <c r="J205" s="38"/>
      <c r="K205" s="38"/>
      <c r="L205" s="24"/>
      <c r="M205" s="56">
        <f t="shared" si="32"/>
        <v>0</v>
      </c>
      <c r="N205" s="228"/>
      <c r="O205" s="252"/>
      <c r="P205" s="102">
        <f t="shared" si="33"/>
        <v>0</v>
      </c>
      <c r="Q205" s="22"/>
      <c r="R205" s="24"/>
      <c r="S205" s="22"/>
      <c r="T205" s="22"/>
      <c r="U205" s="22"/>
      <c r="V205" s="23"/>
      <c r="W205" s="23"/>
      <c r="Y205" s="516" t="s">
        <v>667</v>
      </c>
      <c r="Z205" s="514" t="s">
        <v>9196</v>
      </c>
      <c r="AB205" s="21"/>
      <c r="AC205" s="21"/>
      <c r="AD205" s="211"/>
      <c r="AE205" s="21"/>
      <c r="AF205"/>
      <c r="AG205" s="294"/>
      <c r="AH205" s="294"/>
      <c r="AI205" s="366"/>
      <c r="AJ205" s="26"/>
      <c r="AK205" s="374"/>
      <c r="AL205" s="374"/>
      <c r="AO205" s="294"/>
      <c r="AR205" s="374"/>
      <c r="AT205" s="20"/>
      <c r="AY205"/>
      <c r="AZ205" s="374"/>
      <c r="BB205" s="4"/>
      <c r="BF205" s="26"/>
      <c r="BG205" s="26"/>
      <c r="BH205" s="26"/>
      <c r="BI205" s="26"/>
      <c r="BJ205" s="26"/>
      <c r="BK205" s="26"/>
      <c r="BL205" s="26"/>
      <c r="BM205" s="26"/>
      <c r="BN205" s="26"/>
      <c r="BS205" s="20"/>
      <c r="BT205" s="26"/>
      <c r="BV205" s="381"/>
      <c r="BW205" s="26"/>
      <c r="BX205" s="229"/>
      <c r="CA205" s="219"/>
      <c r="CC205" s="218"/>
      <c r="CD205" s="26"/>
      <c r="CM205"/>
      <c r="CN205"/>
      <c r="CP205" s="218"/>
    </row>
    <row r="206" spans="1:128" ht="15" customHeight="1" x14ac:dyDescent="0.2">
      <c r="B206" s="272" t="s">
        <v>151</v>
      </c>
      <c r="C206" s="24">
        <v>4</v>
      </c>
      <c r="D206" s="228">
        <v>67.894000000000005</v>
      </c>
      <c r="E206" s="38">
        <v>0</v>
      </c>
      <c r="F206" s="24">
        <v>0</v>
      </c>
      <c r="G206" s="38">
        <v>0</v>
      </c>
      <c r="H206" s="38">
        <v>0</v>
      </c>
      <c r="I206" s="24">
        <v>10</v>
      </c>
      <c r="J206" s="38">
        <v>4496.1220000000003</v>
      </c>
      <c r="K206" s="38">
        <v>2516.789663</v>
      </c>
      <c r="L206" s="24">
        <v>14</v>
      </c>
      <c r="M206" s="56">
        <f t="shared" si="32"/>
        <v>3.482587064676617E-2</v>
      </c>
      <c r="N206" s="228">
        <v>4564.0160000000005</v>
      </c>
      <c r="O206" s="252">
        <v>2516.789663</v>
      </c>
      <c r="P206" s="102">
        <f t="shared" si="33"/>
        <v>0.26949854901498016</v>
      </c>
      <c r="Q206" s="22">
        <v>26998.89331506849</v>
      </c>
      <c r="R206" s="24">
        <v>1</v>
      </c>
      <c r="S206" s="22">
        <v>1244.251</v>
      </c>
      <c r="T206" s="22">
        <v>2</v>
      </c>
      <c r="U206" s="22">
        <v>0</v>
      </c>
      <c r="V206" s="23">
        <v>0</v>
      </c>
      <c r="W206" s="23">
        <v>1076</v>
      </c>
      <c r="Y206" s="516" t="s">
        <v>632</v>
      </c>
      <c r="Z206" s="514" t="s">
        <v>8405</v>
      </c>
      <c r="AB206" s="21"/>
      <c r="AC206" s="21"/>
      <c r="AD206" s="211"/>
      <c r="AE206" s="21"/>
      <c r="AF206"/>
      <c r="AG206" s="294"/>
      <c r="AH206" s="294"/>
      <c r="AI206" s="366"/>
      <c r="AJ206" s="26"/>
      <c r="AK206" s="374"/>
      <c r="AL206" s="374"/>
      <c r="AO206" s="294"/>
      <c r="AR206" s="374"/>
      <c r="AT206" s="20"/>
      <c r="AY206"/>
      <c r="AZ206" s="374"/>
      <c r="BB206" s="4"/>
      <c r="BF206" s="26"/>
      <c r="BG206" s="26"/>
      <c r="BH206" s="26"/>
      <c r="BI206" s="26"/>
      <c r="BJ206" s="26"/>
      <c r="BK206" s="26"/>
      <c r="BL206" s="26"/>
      <c r="BM206" s="26"/>
      <c r="BN206" s="26"/>
      <c r="BS206" s="20"/>
      <c r="BT206" s="26"/>
      <c r="BV206" s="381"/>
      <c r="BW206" s="26"/>
      <c r="BX206" s="229"/>
      <c r="CA206" s="219"/>
      <c r="CC206" s="218"/>
      <c r="CD206" s="26"/>
      <c r="CM206"/>
      <c r="CN206"/>
      <c r="CP206" s="218"/>
    </row>
    <row r="207" spans="1:128" x14ac:dyDescent="0.2">
      <c r="B207" s="272" t="s">
        <v>718</v>
      </c>
      <c r="C207" s="24">
        <v>1</v>
      </c>
      <c r="D207" s="228">
        <v>31.956</v>
      </c>
      <c r="E207" s="38">
        <v>0</v>
      </c>
      <c r="F207" s="24">
        <v>0</v>
      </c>
      <c r="G207" s="38">
        <v>0</v>
      </c>
      <c r="H207" s="38">
        <v>0</v>
      </c>
      <c r="I207" s="24">
        <v>10</v>
      </c>
      <c r="J207" s="38">
        <v>858.28099999999995</v>
      </c>
      <c r="K207" s="38">
        <v>0.879</v>
      </c>
      <c r="L207" s="24">
        <v>11</v>
      </c>
      <c r="M207" s="56">
        <f t="shared" si="32"/>
        <v>2.736318407960199E-2</v>
      </c>
      <c r="N207" s="228">
        <v>890.23699999999997</v>
      </c>
      <c r="O207" s="252">
        <v>0.879</v>
      </c>
      <c r="P207" s="102">
        <f t="shared" si="33"/>
        <v>9.4123568634574276E-5</v>
      </c>
      <c r="Q207" s="22">
        <v>6546.6144383561641</v>
      </c>
      <c r="R207" s="24">
        <v>1</v>
      </c>
      <c r="S207" s="22">
        <v>245.27500000000001</v>
      </c>
      <c r="T207" s="22">
        <v>2</v>
      </c>
      <c r="U207" s="22">
        <v>1</v>
      </c>
      <c r="V207" s="23">
        <v>0</v>
      </c>
      <c r="W207" s="23">
        <v>12</v>
      </c>
      <c r="Y207" s="516" t="s">
        <v>1059</v>
      </c>
      <c r="Z207" s="514" t="s">
        <v>9817</v>
      </c>
      <c r="AB207" s="21"/>
      <c r="AC207" s="21"/>
      <c r="AD207" s="211"/>
      <c r="AE207" s="21"/>
      <c r="AF207"/>
      <c r="AG207" s="294"/>
      <c r="AH207" s="294"/>
      <c r="AI207" s="366"/>
      <c r="AJ207" s="26"/>
      <c r="AK207" s="374"/>
      <c r="AL207" s="374"/>
      <c r="AO207" s="294"/>
      <c r="AR207" s="374"/>
      <c r="AT207" s="20"/>
      <c r="AY207"/>
      <c r="AZ207" s="374"/>
      <c r="BB207" s="4"/>
      <c r="BF207" s="26"/>
      <c r="BG207" s="26"/>
      <c r="BH207" s="26"/>
      <c r="BI207" s="26"/>
      <c r="BJ207" s="26"/>
      <c r="BK207" s="26"/>
      <c r="BL207" s="26"/>
      <c r="BM207" s="26"/>
      <c r="BN207" s="26"/>
      <c r="BS207" s="20"/>
      <c r="BT207" s="26"/>
      <c r="BV207" s="381"/>
      <c r="BW207" s="26"/>
      <c r="BX207" s="229"/>
      <c r="CA207" s="219"/>
      <c r="CC207" s="218"/>
      <c r="CD207" s="26"/>
      <c r="CM207"/>
      <c r="CN207"/>
      <c r="CP207" s="218"/>
    </row>
    <row r="208" spans="1:128" x14ac:dyDescent="0.2">
      <c r="A208" s="1"/>
      <c r="B208" s="272" t="s">
        <v>253</v>
      </c>
      <c r="C208" s="323">
        <v>2</v>
      </c>
      <c r="D208" s="324">
        <v>8.4249999999999989</v>
      </c>
      <c r="E208" s="325">
        <v>0</v>
      </c>
      <c r="F208" s="323">
        <v>0</v>
      </c>
      <c r="G208" s="325">
        <v>0</v>
      </c>
      <c r="H208" s="325">
        <v>0</v>
      </c>
      <c r="I208" s="323">
        <v>3</v>
      </c>
      <c r="J208" s="325">
        <v>205.42899999999997</v>
      </c>
      <c r="K208" s="325">
        <v>0</v>
      </c>
      <c r="L208" s="323">
        <v>5</v>
      </c>
      <c r="M208" s="326">
        <f t="shared" si="32"/>
        <v>1.2437810945273632E-2</v>
      </c>
      <c r="N208" s="324">
        <v>213.85399999999998</v>
      </c>
      <c r="O208" s="733">
        <v>0</v>
      </c>
      <c r="P208" s="734">
        <f t="shared" si="33"/>
        <v>0</v>
      </c>
      <c r="Q208" s="328">
        <v>2086.81</v>
      </c>
      <c r="R208" s="323">
        <v>0</v>
      </c>
      <c r="S208" s="328">
        <v>0</v>
      </c>
      <c r="T208" s="328">
        <v>3</v>
      </c>
      <c r="U208" s="328">
        <v>0</v>
      </c>
      <c r="V208" s="327">
        <v>0</v>
      </c>
      <c r="W208" s="327">
        <v>5</v>
      </c>
      <c r="Y208" s="516" t="s">
        <v>1412</v>
      </c>
      <c r="Z208" s="514" t="s">
        <v>7933</v>
      </c>
      <c r="AB208" s="21"/>
      <c r="AC208" s="21"/>
      <c r="AD208" s="211"/>
      <c r="AE208" s="21"/>
      <c r="AF208"/>
      <c r="AG208" s="294"/>
      <c r="AH208" s="294"/>
      <c r="AI208" s="366"/>
      <c r="AJ208" s="26"/>
      <c r="AK208" s="374"/>
      <c r="AL208" s="374"/>
      <c r="AO208" s="294"/>
      <c r="AR208" s="374"/>
      <c r="AT208" s="20"/>
      <c r="AY208"/>
      <c r="AZ208" s="374"/>
      <c r="BB208" s="4"/>
      <c r="BF208" s="26"/>
      <c r="BG208" s="26"/>
      <c r="BH208" s="26"/>
      <c r="BI208" s="26"/>
      <c r="BJ208" s="26"/>
      <c r="BK208" s="26"/>
      <c r="BL208" s="26"/>
      <c r="BM208" s="26"/>
      <c r="BN208" s="26"/>
      <c r="BS208" s="20"/>
      <c r="BT208" s="26"/>
      <c r="BV208" s="381"/>
      <c r="BW208" s="26"/>
      <c r="BX208" s="229"/>
      <c r="CA208" s="219"/>
      <c r="CC208" s="218"/>
      <c r="CD208" s="26"/>
      <c r="CM208"/>
      <c r="CN208"/>
      <c r="CP208" s="218"/>
    </row>
    <row r="209" spans="1:140" x14ac:dyDescent="0.2">
      <c r="B209" s="272" t="s">
        <v>1343</v>
      </c>
      <c r="C209" s="24"/>
      <c r="D209" s="228"/>
      <c r="E209" s="38"/>
      <c r="F209" s="24"/>
      <c r="G209" s="38"/>
      <c r="H209" s="38"/>
      <c r="I209" s="24"/>
      <c r="J209" s="38"/>
      <c r="K209" s="38"/>
      <c r="L209" s="24"/>
      <c r="M209" s="56">
        <f t="shared" si="32"/>
        <v>0</v>
      </c>
      <c r="N209" s="228"/>
      <c r="O209" s="252"/>
      <c r="P209" s="102">
        <f t="shared" si="33"/>
        <v>0</v>
      </c>
      <c r="Q209" s="22"/>
      <c r="R209" s="24"/>
      <c r="S209" s="22"/>
      <c r="T209" s="22"/>
      <c r="U209" s="22"/>
      <c r="V209" s="23"/>
      <c r="W209" s="23"/>
      <c r="Y209" s="516" t="s">
        <v>523</v>
      </c>
      <c r="Z209" s="514" t="s">
        <v>9493</v>
      </c>
      <c r="AB209" s="21"/>
      <c r="AC209" s="21"/>
      <c r="AD209" s="211"/>
      <c r="AE209" s="21"/>
      <c r="AF209"/>
      <c r="AG209" s="294"/>
      <c r="AH209" s="294"/>
      <c r="AI209" s="366"/>
      <c r="AJ209" s="26"/>
      <c r="AK209" s="374"/>
      <c r="AL209" s="374"/>
      <c r="AO209" s="294"/>
      <c r="AR209" s="374"/>
      <c r="AT209" s="20"/>
      <c r="AY209"/>
      <c r="AZ209" s="374"/>
      <c r="BB209" s="4"/>
      <c r="BF209" s="26"/>
      <c r="BG209" s="26"/>
      <c r="BH209" s="26"/>
      <c r="BI209" s="26"/>
      <c r="BJ209" s="26"/>
      <c r="BK209" s="26"/>
      <c r="BL209" s="26"/>
      <c r="BM209" s="26"/>
      <c r="BN209" s="26"/>
      <c r="BS209" s="20"/>
      <c r="BT209" s="26"/>
      <c r="BV209" s="381"/>
      <c r="BW209" s="26"/>
      <c r="BX209" s="229"/>
      <c r="CA209" s="219"/>
      <c r="CC209" s="218"/>
      <c r="CD209" s="26"/>
      <c r="CM209"/>
      <c r="CN209"/>
      <c r="CP209" s="218"/>
    </row>
    <row r="210" spans="1:140" s="1" customFormat="1" x14ac:dyDescent="0.2">
      <c r="A210"/>
      <c r="B210" s="272" t="s">
        <v>1344</v>
      </c>
      <c r="C210" s="24"/>
      <c r="D210" s="228"/>
      <c r="E210" s="38"/>
      <c r="F210" s="24"/>
      <c r="G210" s="38"/>
      <c r="H210" s="38"/>
      <c r="I210" s="24"/>
      <c r="J210" s="38"/>
      <c r="K210" s="38"/>
      <c r="L210" s="24"/>
      <c r="M210" s="56">
        <f t="shared" si="32"/>
        <v>0</v>
      </c>
      <c r="N210" s="228"/>
      <c r="O210" s="252"/>
      <c r="P210" s="102">
        <f t="shared" si="33"/>
        <v>0</v>
      </c>
      <c r="Q210" s="22"/>
      <c r="R210" s="24"/>
      <c r="S210" s="22"/>
      <c r="T210" s="22"/>
      <c r="U210" s="22"/>
      <c r="V210" s="23"/>
      <c r="W210" s="23"/>
      <c r="Y210" s="516" t="s">
        <v>261</v>
      </c>
      <c r="Z210" s="514" t="s">
        <v>8135</v>
      </c>
      <c r="AA210" s="296"/>
      <c r="AB210" s="21"/>
      <c r="AC210" s="21"/>
      <c r="AD210" s="211"/>
      <c r="AE210" s="21"/>
      <c r="AF210"/>
      <c r="AG210" s="294"/>
      <c r="AH210" s="294"/>
      <c r="AI210" s="366"/>
      <c r="AJ210" s="26"/>
      <c r="AK210" s="374"/>
      <c r="AL210" s="374"/>
      <c r="AM210"/>
      <c r="AN210"/>
      <c r="AO210" s="294"/>
      <c r="AP210"/>
      <c r="AQ210"/>
      <c r="AR210" s="374"/>
      <c r="AS210"/>
      <c r="AT210" s="20"/>
      <c r="AU210"/>
      <c r="AV210"/>
      <c r="AW210"/>
      <c r="AX210"/>
      <c r="AY210"/>
      <c r="AZ210" s="374"/>
      <c r="BA210"/>
      <c r="BB210" s="4"/>
      <c r="BC210"/>
      <c r="BD210"/>
      <c r="BE210"/>
      <c r="BF210" s="26"/>
      <c r="BG210" s="26"/>
      <c r="BH210" s="26"/>
      <c r="BI210" s="26"/>
      <c r="BJ210" s="26"/>
      <c r="BK210" s="26"/>
      <c r="BL210" s="26"/>
      <c r="BM210" s="26"/>
      <c r="BN210" s="26"/>
      <c r="BO210"/>
      <c r="BP210"/>
      <c r="BQ210"/>
      <c r="BR210"/>
      <c r="BS210" s="20"/>
      <c r="BT210" s="26"/>
      <c r="BU210" s="26"/>
      <c r="BV210" s="381"/>
      <c r="BW210" s="26"/>
      <c r="BX210" s="229"/>
      <c r="BY210" s="218"/>
      <c r="BZ210" s="218"/>
      <c r="CA210" s="219"/>
      <c r="CB210" s="218"/>
      <c r="CC210" s="218"/>
      <c r="CD210" s="26"/>
      <c r="CE210"/>
      <c r="CF210"/>
      <c r="CG210"/>
      <c r="CH210"/>
      <c r="CI210"/>
      <c r="CJ210"/>
      <c r="CK210"/>
      <c r="CL210"/>
      <c r="CM210"/>
      <c r="CN210"/>
      <c r="CO210" s="218"/>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row>
    <row r="211" spans="1:140" ht="38.25" x14ac:dyDescent="0.2">
      <c r="B211" s="272" t="s">
        <v>1345</v>
      </c>
      <c r="C211" s="24"/>
      <c r="D211" s="228"/>
      <c r="E211" s="38"/>
      <c r="F211" s="24"/>
      <c r="G211" s="38"/>
      <c r="H211" s="38"/>
      <c r="I211" s="24"/>
      <c r="J211" s="38"/>
      <c r="K211" s="38"/>
      <c r="L211" s="24"/>
      <c r="M211" s="56">
        <f t="shared" si="32"/>
        <v>0</v>
      </c>
      <c r="N211" s="228"/>
      <c r="O211" s="252"/>
      <c r="P211" s="103">
        <f t="shared" si="33"/>
        <v>0</v>
      </c>
      <c r="Q211" s="22"/>
      <c r="R211" s="24"/>
      <c r="S211" s="22"/>
      <c r="T211" s="22"/>
      <c r="U211" s="22"/>
      <c r="V211" s="23"/>
      <c r="W211" s="23"/>
      <c r="Y211" s="516" t="s">
        <v>137</v>
      </c>
      <c r="Z211" s="514" t="s">
        <v>8409</v>
      </c>
      <c r="AB211" s="21"/>
      <c r="AC211" s="21"/>
      <c r="AD211" s="211"/>
      <c r="AE211" s="21"/>
      <c r="AF211"/>
      <c r="AG211" s="294"/>
      <c r="AH211" s="294"/>
      <c r="AI211" s="366"/>
      <c r="AJ211" s="26"/>
      <c r="AK211" s="374"/>
      <c r="AL211" s="374"/>
      <c r="AO211" s="294"/>
      <c r="AR211" s="374"/>
      <c r="AT211" s="20"/>
      <c r="AY211"/>
      <c r="AZ211" s="374"/>
      <c r="BB211" s="4"/>
      <c r="BF211" s="26"/>
      <c r="BG211" s="26"/>
      <c r="BH211" s="26"/>
      <c r="BI211" s="26"/>
      <c r="BJ211" s="26"/>
      <c r="BK211" s="26"/>
      <c r="BL211" s="26"/>
      <c r="BM211" s="26"/>
      <c r="BN211" s="26"/>
      <c r="BS211" s="20"/>
      <c r="BT211" s="26"/>
      <c r="BV211" s="381"/>
      <c r="BW211" s="26"/>
      <c r="BX211" s="229"/>
      <c r="CA211" s="219"/>
      <c r="CC211" s="218"/>
      <c r="CD211" s="26"/>
      <c r="CM211"/>
      <c r="CN211"/>
    </row>
    <row r="212" spans="1:140" x14ac:dyDescent="0.2">
      <c r="B212" s="272" t="s">
        <v>695</v>
      </c>
      <c r="C212" s="24">
        <v>0</v>
      </c>
      <c r="D212" s="228">
        <v>0</v>
      </c>
      <c r="E212" s="38">
        <v>0</v>
      </c>
      <c r="F212" s="24">
        <v>0</v>
      </c>
      <c r="G212" s="38">
        <v>0</v>
      </c>
      <c r="H212" s="38">
        <v>0</v>
      </c>
      <c r="I212" s="24">
        <v>1</v>
      </c>
      <c r="J212" s="38">
        <v>14.236000000000001</v>
      </c>
      <c r="K212" s="38">
        <v>0</v>
      </c>
      <c r="L212" s="24">
        <v>1</v>
      </c>
      <c r="M212" s="56">
        <f t="shared" si="32"/>
        <v>2.4875621890547263E-3</v>
      </c>
      <c r="N212" s="228">
        <v>14.236000000000001</v>
      </c>
      <c r="O212" s="252">
        <v>0</v>
      </c>
      <c r="P212" s="102">
        <f t="shared" si="33"/>
        <v>0</v>
      </c>
      <c r="Q212" s="22">
        <v>115.13608767123287</v>
      </c>
      <c r="R212" s="24">
        <v>0</v>
      </c>
      <c r="S212" s="22">
        <v>0</v>
      </c>
      <c r="T212" s="22">
        <v>0</v>
      </c>
      <c r="U212" s="22">
        <v>0</v>
      </c>
      <c r="V212" s="23">
        <v>0</v>
      </c>
      <c r="W212" s="23">
        <v>1</v>
      </c>
      <c r="Y212" s="516" t="s">
        <v>107</v>
      </c>
      <c r="Z212" s="514" t="s">
        <v>8406</v>
      </c>
      <c r="AB212" s="329"/>
      <c r="AC212" s="329"/>
      <c r="AD212" s="296"/>
      <c r="AE212" s="329"/>
      <c r="AF212" s="1"/>
      <c r="AG212" s="331"/>
      <c r="AH212" s="331"/>
      <c r="AI212" s="559"/>
      <c r="AJ212" s="296"/>
      <c r="AK212" s="377"/>
      <c r="AL212" s="377"/>
      <c r="AM212" s="1"/>
      <c r="AN212" s="1"/>
      <c r="AO212" s="331"/>
      <c r="AP212" s="1"/>
      <c r="AQ212" s="1"/>
      <c r="AR212" s="377"/>
      <c r="AS212" s="1"/>
      <c r="AT212" s="330"/>
      <c r="AU212" s="1"/>
      <c r="AV212" s="1"/>
      <c r="AW212" s="1"/>
      <c r="AX212" s="1"/>
      <c r="AY212" s="1"/>
      <c r="AZ212" s="377"/>
      <c r="BA212" s="1"/>
      <c r="BB212" s="222"/>
      <c r="BC212" s="1"/>
      <c r="BD212" s="1"/>
      <c r="BE212" s="1"/>
      <c r="BF212" s="296"/>
      <c r="BG212" s="296"/>
      <c r="BH212" s="296"/>
      <c r="BI212" s="296"/>
      <c r="BJ212" s="296"/>
      <c r="BK212" s="296"/>
      <c r="BL212" s="296"/>
      <c r="BM212" s="296"/>
      <c r="BN212" s="296"/>
      <c r="BO212" s="1"/>
      <c r="BP212" s="1"/>
      <c r="BQ212" s="1"/>
      <c r="BR212" s="1"/>
      <c r="BS212" s="330"/>
      <c r="BT212" s="296"/>
      <c r="BU212" s="296"/>
      <c r="BV212" s="382"/>
      <c r="BW212" s="296"/>
      <c r="BX212" s="332"/>
      <c r="BY212" s="3"/>
      <c r="BZ212" s="3"/>
      <c r="CA212" s="167"/>
      <c r="CB212" s="3"/>
      <c r="CC212" s="3"/>
      <c r="CD212" s="296"/>
      <c r="CE212" s="1"/>
      <c r="CF212" s="1"/>
      <c r="CG212" s="1"/>
      <c r="CH212" s="1"/>
      <c r="CI212" s="1"/>
      <c r="CJ212" s="1"/>
      <c r="CK212" s="1"/>
      <c r="CL212" s="1"/>
      <c r="CM212" s="1"/>
      <c r="CN212" s="1"/>
      <c r="CO212" s="3"/>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row>
    <row r="213" spans="1:140" x14ac:dyDescent="0.2">
      <c r="B213" s="272" t="s">
        <v>1002</v>
      </c>
      <c r="C213" s="24">
        <v>0</v>
      </c>
      <c r="D213" s="228">
        <v>0</v>
      </c>
      <c r="E213" s="38">
        <v>0</v>
      </c>
      <c r="F213" s="24">
        <v>0</v>
      </c>
      <c r="G213" s="38">
        <v>0</v>
      </c>
      <c r="H213" s="38">
        <v>0</v>
      </c>
      <c r="I213" s="24">
        <v>2</v>
      </c>
      <c r="J213" s="38">
        <v>100.741</v>
      </c>
      <c r="K213" s="38">
        <v>55.155456000000001</v>
      </c>
      <c r="L213" s="24">
        <v>2</v>
      </c>
      <c r="M213" s="56">
        <f t="shared" si="32"/>
        <v>4.9751243781094526E-3</v>
      </c>
      <c r="N213" s="228">
        <v>100.741</v>
      </c>
      <c r="O213" s="252">
        <v>55.155456000000001</v>
      </c>
      <c r="P213" s="102">
        <f t="shared" si="33"/>
        <v>5.9060618297920838E-3</v>
      </c>
      <c r="Q213" s="22">
        <v>861.57755890410965</v>
      </c>
      <c r="R213" s="24">
        <v>0</v>
      </c>
      <c r="S213" s="22">
        <v>0</v>
      </c>
      <c r="T213" s="22">
        <v>0</v>
      </c>
      <c r="U213" s="22">
        <v>0</v>
      </c>
      <c r="V213" s="23">
        <v>0</v>
      </c>
      <c r="W213" s="23">
        <v>3</v>
      </c>
      <c r="Y213" s="516" t="s">
        <v>313</v>
      </c>
      <c r="Z213" s="514" t="s">
        <v>9492</v>
      </c>
      <c r="AB213" s="21"/>
      <c r="AC213" s="21"/>
      <c r="AD213" s="211"/>
      <c r="AE213" s="21"/>
      <c r="AF213"/>
      <c r="AG213" s="294"/>
      <c r="AH213" s="294"/>
      <c r="AI213" s="366"/>
      <c r="AJ213" s="26"/>
      <c r="AK213" s="374"/>
      <c r="AL213" s="374"/>
      <c r="AO213" s="294"/>
      <c r="AR213" s="374"/>
      <c r="AT213" s="20"/>
      <c r="AY213"/>
      <c r="AZ213" s="374"/>
      <c r="BB213" s="4"/>
      <c r="BF213" s="26"/>
      <c r="BG213" s="26"/>
      <c r="BH213" s="26"/>
      <c r="BI213" s="26"/>
      <c r="BJ213" s="26"/>
      <c r="BK213" s="26"/>
      <c r="BL213" s="26"/>
      <c r="BM213" s="26"/>
      <c r="BN213" s="26"/>
      <c r="BS213" s="20"/>
      <c r="BT213" s="26"/>
      <c r="BV213" s="381"/>
      <c r="BW213" s="26"/>
      <c r="BX213" s="229"/>
      <c r="CA213" s="219"/>
      <c r="CC213" s="218"/>
      <c r="CD213" s="26"/>
      <c r="CM213"/>
      <c r="CN213"/>
    </row>
    <row r="214" spans="1:140" x14ac:dyDescent="0.2">
      <c r="B214" s="272" t="s">
        <v>1346</v>
      </c>
      <c r="C214" s="24">
        <v>0</v>
      </c>
      <c r="D214" s="228">
        <v>0</v>
      </c>
      <c r="E214" s="38">
        <v>0</v>
      </c>
      <c r="F214" s="24">
        <v>0</v>
      </c>
      <c r="G214" s="38">
        <v>0</v>
      </c>
      <c r="H214" s="38">
        <v>0</v>
      </c>
      <c r="I214" s="24">
        <v>3</v>
      </c>
      <c r="J214" s="38">
        <v>192.10500000000002</v>
      </c>
      <c r="K214" s="38">
        <v>0</v>
      </c>
      <c r="L214" s="24">
        <v>3</v>
      </c>
      <c r="M214" s="56">
        <f t="shared" si="32"/>
        <v>7.462686567164179E-3</v>
      </c>
      <c r="N214" s="228">
        <v>192.10500000000002</v>
      </c>
      <c r="O214" s="252">
        <v>0</v>
      </c>
      <c r="P214" s="102">
        <f t="shared" si="33"/>
        <v>0</v>
      </c>
      <c r="Q214" s="22">
        <v>924.03449863013702</v>
      </c>
      <c r="R214" s="24">
        <v>0</v>
      </c>
      <c r="S214" s="22">
        <v>0</v>
      </c>
      <c r="T214" s="22">
        <v>0</v>
      </c>
      <c r="U214" s="22">
        <v>0</v>
      </c>
      <c r="V214" s="23">
        <v>0</v>
      </c>
      <c r="W214" s="23">
        <v>9</v>
      </c>
      <c r="Y214" s="516" t="s">
        <v>1390</v>
      </c>
      <c r="Z214" s="514" t="s">
        <v>7928</v>
      </c>
      <c r="AB214" s="21"/>
      <c r="AC214" s="21"/>
      <c r="AD214" s="211"/>
      <c r="AE214" s="21"/>
      <c r="AF214"/>
      <c r="AG214" s="294"/>
      <c r="AH214" s="294"/>
      <c r="AI214" s="366"/>
      <c r="AJ214" s="26"/>
      <c r="AK214" s="374"/>
      <c r="AL214" s="374"/>
      <c r="AO214" s="294"/>
      <c r="AR214" s="374"/>
      <c r="AT214" s="20"/>
      <c r="AY214"/>
      <c r="AZ214" s="374"/>
      <c r="BB214" s="4"/>
      <c r="BF214" s="26"/>
      <c r="BG214" s="26"/>
      <c r="BH214" s="26"/>
      <c r="BI214" s="26"/>
      <c r="BJ214" s="26"/>
      <c r="BK214" s="26"/>
      <c r="BL214" s="26"/>
      <c r="BM214" s="26"/>
      <c r="BN214" s="26"/>
      <c r="BS214" s="20"/>
      <c r="BT214" s="26"/>
      <c r="BV214" s="381"/>
      <c r="BW214" s="26"/>
      <c r="BX214" s="229"/>
      <c r="CA214" s="219"/>
      <c r="CC214" s="218"/>
      <c r="CD214" s="26"/>
      <c r="CM214"/>
      <c r="CN214"/>
    </row>
    <row r="215" spans="1:140" x14ac:dyDescent="0.2">
      <c r="B215" s="272" t="s">
        <v>1347</v>
      </c>
      <c r="C215" s="24"/>
      <c r="D215" s="228"/>
      <c r="E215" s="38"/>
      <c r="F215" s="24"/>
      <c r="G215" s="38"/>
      <c r="H215" s="38"/>
      <c r="I215" s="24"/>
      <c r="J215" s="38"/>
      <c r="K215" s="38"/>
      <c r="L215" s="24"/>
      <c r="M215" s="56">
        <f t="shared" si="32"/>
        <v>0</v>
      </c>
      <c r="N215" s="228"/>
      <c r="O215" s="252"/>
      <c r="P215" s="103">
        <f t="shared" si="33"/>
        <v>0</v>
      </c>
      <c r="Q215" s="22"/>
      <c r="R215" s="24"/>
      <c r="S215" s="22"/>
      <c r="T215" s="22"/>
      <c r="U215" s="22"/>
      <c r="V215" s="23"/>
      <c r="W215" s="23"/>
      <c r="Y215" s="516" t="s">
        <v>350</v>
      </c>
      <c r="Z215" s="514" t="s">
        <v>8136</v>
      </c>
      <c r="AB215" s="21"/>
      <c r="AC215" s="21"/>
      <c r="AD215" s="211"/>
      <c r="AE215" s="21"/>
      <c r="AF215"/>
      <c r="AG215" s="294"/>
      <c r="AH215" s="294"/>
      <c r="AI215" s="366"/>
      <c r="AJ215" s="26"/>
      <c r="AK215" s="374"/>
      <c r="AL215" s="374"/>
      <c r="AO215" s="294"/>
      <c r="AR215" s="374"/>
      <c r="AT215" s="20"/>
      <c r="AY215"/>
      <c r="AZ215" s="374"/>
      <c r="BB215" s="4"/>
      <c r="BF215" s="26"/>
      <c r="BG215" s="26"/>
      <c r="BH215" s="26"/>
      <c r="BI215" s="26"/>
      <c r="BJ215" s="26"/>
      <c r="BK215" s="26"/>
      <c r="BL215" s="26"/>
      <c r="BM215" s="26"/>
      <c r="BN215" s="26"/>
      <c r="BS215" s="20"/>
      <c r="BT215" s="26"/>
      <c r="BV215" s="381"/>
      <c r="BW215" s="26"/>
      <c r="BX215" s="229"/>
      <c r="CA215" s="219"/>
      <c r="CC215" s="218"/>
      <c r="CD215" s="26"/>
      <c r="CM215"/>
      <c r="CN215"/>
    </row>
    <row r="216" spans="1:140" ht="15" customHeight="1" x14ac:dyDescent="0.2">
      <c r="B216" s="274" t="s">
        <v>2440</v>
      </c>
      <c r="C216" s="24">
        <v>0</v>
      </c>
      <c r="D216" s="228">
        <v>0</v>
      </c>
      <c r="E216" s="38">
        <v>0</v>
      </c>
      <c r="F216" s="24">
        <v>0</v>
      </c>
      <c r="G216" s="38">
        <v>0</v>
      </c>
      <c r="H216" s="38">
        <v>0</v>
      </c>
      <c r="I216" s="24">
        <v>2</v>
      </c>
      <c r="J216" s="38">
        <v>68.274999999999991</v>
      </c>
      <c r="K216" s="38">
        <v>0</v>
      </c>
      <c r="L216" s="24">
        <v>2</v>
      </c>
      <c r="M216" s="56">
        <f t="shared" si="32"/>
        <v>4.9751243781094526E-3</v>
      </c>
      <c r="N216" s="228">
        <v>68.274999999999991</v>
      </c>
      <c r="O216" s="252">
        <v>0</v>
      </c>
      <c r="P216" s="102">
        <f t="shared" si="33"/>
        <v>0</v>
      </c>
      <c r="Q216" s="22">
        <v>565.81371506849314</v>
      </c>
      <c r="R216" s="24">
        <v>0</v>
      </c>
      <c r="S216" s="22">
        <v>0</v>
      </c>
      <c r="T216" s="22">
        <v>0</v>
      </c>
      <c r="U216" s="22">
        <v>0</v>
      </c>
      <c r="V216" s="23">
        <v>0</v>
      </c>
      <c r="W216" s="23">
        <v>2</v>
      </c>
      <c r="Y216" s="516" t="s">
        <v>301</v>
      </c>
      <c r="Z216" s="514" t="s">
        <v>7920</v>
      </c>
      <c r="AB216" s="21"/>
      <c r="AC216" s="21"/>
      <c r="AD216" s="211"/>
      <c r="AE216" s="21"/>
      <c r="AF216"/>
      <c r="AG216" s="294"/>
      <c r="AH216" s="294"/>
      <c r="AI216" s="366"/>
      <c r="AJ216" s="26"/>
      <c r="AK216" s="374"/>
      <c r="AL216" s="374"/>
      <c r="AO216" s="294"/>
      <c r="AR216" s="374"/>
      <c r="AT216" s="20"/>
      <c r="AY216"/>
      <c r="AZ216" s="374"/>
      <c r="BB216" s="4"/>
      <c r="BF216" s="26"/>
      <c r="BG216" s="26"/>
      <c r="BH216" s="26"/>
      <c r="BI216" s="26"/>
      <c r="BJ216" s="26"/>
      <c r="BK216" s="26"/>
      <c r="BL216" s="26"/>
      <c r="BM216" s="26"/>
      <c r="BN216" s="26"/>
      <c r="BS216" s="20"/>
      <c r="BT216" s="26"/>
      <c r="BV216" s="381"/>
      <c r="BW216" s="26"/>
      <c r="BX216" s="229"/>
      <c r="CA216" s="219"/>
      <c r="CC216" s="218"/>
      <c r="CD216" s="26"/>
      <c r="CM216"/>
      <c r="CN216"/>
    </row>
    <row r="217" spans="1:140" x14ac:dyDescent="0.2">
      <c r="A217" s="1"/>
      <c r="B217" s="272" t="s">
        <v>741</v>
      </c>
      <c r="C217" s="323">
        <v>0</v>
      </c>
      <c r="D217" s="324">
        <v>0</v>
      </c>
      <c r="E217" s="325">
        <v>0</v>
      </c>
      <c r="F217" s="323">
        <v>0</v>
      </c>
      <c r="G217" s="325">
        <v>0</v>
      </c>
      <c r="H217" s="325">
        <v>0</v>
      </c>
      <c r="I217" s="323">
        <v>3</v>
      </c>
      <c r="J217" s="325">
        <v>462.94099999999997</v>
      </c>
      <c r="K217" s="325">
        <v>34.887740999999998</v>
      </c>
      <c r="L217" s="323">
        <v>3</v>
      </c>
      <c r="M217" s="326">
        <f t="shared" si="32"/>
        <v>7.462686567164179E-3</v>
      </c>
      <c r="N217" s="324">
        <v>462.94099999999997</v>
      </c>
      <c r="O217" s="733">
        <v>34.887740999999998</v>
      </c>
      <c r="P217" s="734">
        <f t="shared" si="33"/>
        <v>3.7357891746515937E-3</v>
      </c>
      <c r="Q217" s="328">
        <v>2095.0790821917808</v>
      </c>
      <c r="R217" s="323">
        <v>2</v>
      </c>
      <c r="S217" s="328">
        <v>61.260000000000005</v>
      </c>
      <c r="T217" s="328">
        <v>0</v>
      </c>
      <c r="U217" s="328">
        <v>0</v>
      </c>
      <c r="V217" s="327">
        <v>0</v>
      </c>
      <c r="W217" s="327">
        <v>16</v>
      </c>
      <c r="Y217" s="516" t="s">
        <v>1069</v>
      </c>
      <c r="Z217" s="514" t="s">
        <v>7921</v>
      </c>
      <c r="AB217" s="21"/>
      <c r="AC217" s="21"/>
      <c r="AD217" s="211"/>
      <c r="AE217" s="21"/>
      <c r="AF217"/>
      <c r="AG217" s="294"/>
      <c r="AH217" s="294"/>
      <c r="AI217" s="366"/>
      <c r="AJ217" s="26"/>
      <c r="AK217" s="374"/>
      <c r="AL217" s="374"/>
      <c r="AO217" s="294"/>
      <c r="AR217" s="374"/>
      <c r="AT217" s="20"/>
      <c r="AY217"/>
      <c r="AZ217" s="374"/>
      <c r="BB217" s="4"/>
      <c r="BF217" s="26"/>
      <c r="BG217" s="26"/>
      <c r="BH217" s="26"/>
      <c r="BI217" s="26"/>
      <c r="BJ217" s="26"/>
      <c r="BK217" s="26"/>
      <c r="BL217" s="26"/>
      <c r="BM217" s="26"/>
      <c r="BN217" s="26"/>
      <c r="BS217" s="20"/>
      <c r="BT217" s="26"/>
      <c r="BV217" s="381"/>
      <c r="BW217" s="26"/>
      <c r="BX217" s="229"/>
      <c r="CA217" s="219"/>
      <c r="CC217" s="218"/>
      <c r="CD217" s="26"/>
      <c r="CM217"/>
      <c r="CN217"/>
    </row>
    <row r="218" spans="1:140" x14ac:dyDescent="0.2">
      <c r="B218" s="272" t="s">
        <v>1348</v>
      </c>
      <c r="C218" s="24"/>
      <c r="D218" s="228"/>
      <c r="E218" s="38"/>
      <c r="F218" s="24"/>
      <c r="G218" s="38"/>
      <c r="H218" s="38"/>
      <c r="I218" s="24"/>
      <c r="J218" s="38"/>
      <c r="K218" s="38"/>
      <c r="L218" s="24"/>
      <c r="M218" s="56">
        <f t="shared" si="32"/>
        <v>0</v>
      </c>
      <c r="N218" s="228"/>
      <c r="O218" s="252"/>
      <c r="P218" s="102">
        <f t="shared" si="33"/>
        <v>0</v>
      </c>
      <c r="Q218" s="22"/>
      <c r="R218" s="24"/>
      <c r="S218" s="22"/>
      <c r="T218" s="22"/>
      <c r="U218" s="22"/>
      <c r="V218" s="23"/>
      <c r="W218" s="23"/>
      <c r="Y218" s="516" t="s">
        <v>1707</v>
      </c>
      <c r="Z218" s="514" t="s">
        <v>7912</v>
      </c>
      <c r="AB218" s="21"/>
      <c r="AC218" s="21"/>
      <c r="AD218" s="211"/>
      <c r="AE218" s="21"/>
      <c r="AF218"/>
      <c r="AG218" s="294"/>
      <c r="AH218" s="294"/>
      <c r="AI218" s="366"/>
      <c r="AJ218" s="26"/>
      <c r="AK218" s="374"/>
      <c r="AL218" s="374"/>
      <c r="AO218" s="294"/>
      <c r="AR218" s="374"/>
      <c r="AT218" s="20"/>
      <c r="AY218"/>
      <c r="AZ218" s="374"/>
      <c r="BB218" s="4"/>
      <c r="BF218" s="26"/>
      <c r="BG218" s="26"/>
      <c r="BH218" s="26"/>
      <c r="BI218" s="26"/>
      <c r="BJ218" s="26"/>
      <c r="BK218" s="26"/>
      <c r="BL218" s="26"/>
      <c r="BM218" s="26"/>
      <c r="BN218" s="26"/>
      <c r="BS218" s="20"/>
      <c r="BT218" s="26"/>
      <c r="BV218" s="381"/>
      <c r="BW218" s="26"/>
      <c r="BX218" s="229"/>
      <c r="CA218" s="219"/>
      <c r="CC218" s="218"/>
      <c r="CD218" s="26"/>
      <c r="CM218"/>
      <c r="CN218"/>
    </row>
    <row r="219" spans="1:140" s="1" customFormat="1" x14ac:dyDescent="0.2">
      <c r="A219"/>
      <c r="B219" s="272" t="s">
        <v>58</v>
      </c>
      <c r="C219" s="24">
        <v>2</v>
      </c>
      <c r="D219" s="228">
        <v>22.192</v>
      </c>
      <c r="E219" s="38">
        <v>21.238</v>
      </c>
      <c r="F219" s="24">
        <v>0</v>
      </c>
      <c r="G219" s="38">
        <v>0</v>
      </c>
      <c r="H219" s="38">
        <v>0</v>
      </c>
      <c r="I219" s="24">
        <v>8</v>
      </c>
      <c r="J219" s="38">
        <v>796.72800000000029</v>
      </c>
      <c r="K219" s="38">
        <v>74.871769999999998</v>
      </c>
      <c r="L219" s="24">
        <v>10</v>
      </c>
      <c r="M219" s="56">
        <f t="shared" si="32"/>
        <v>2.4875621890547265E-2</v>
      </c>
      <c r="N219" s="228">
        <v>818.9200000000003</v>
      </c>
      <c r="O219" s="252">
        <v>96.109769999999997</v>
      </c>
      <c r="P219" s="102">
        <f t="shared" si="33"/>
        <v>1.0291461357278894E-2</v>
      </c>
      <c r="Q219" s="22">
        <v>7284.0753095890414</v>
      </c>
      <c r="R219" s="24">
        <v>2</v>
      </c>
      <c r="S219" s="22">
        <v>262.28000000000003</v>
      </c>
      <c r="T219" s="22">
        <v>0</v>
      </c>
      <c r="U219" s="22">
        <v>0</v>
      </c>
      <c r="V219" s="23">
        <v>0</v>
      </c>
      <c r="W219" s="23">
        <v>37</v>
      </c>
      <c r="Y219" s="516" t="s">
        <v>959</v>
      </c>
      <c r="Z219" s="514" t="s">
        <v>7929</v>
      </c>
      <c r="AA219" s="296"/>
      <c r="AB219" s="211"/>
      <c r="AC219" s="21"/>
      <c r="AD219" s="211"/>
      <c r="AE219" s="21"/>
      <c r="AF219"/>
      <c r="AG219" s="294"/>
      <c r="AH219" s="294"/>
      <c r="AI219" s="366"/>
      <c r="AJ219" s="26"/>
      <c r="AK219" s="374"/>
      <c r="AL219" s="374"/>
      <c r="AM219"/>
      <c r="AN219"/>
      <c r="AO219" s="294"/>
      <c r="AP219"/>
      <c r="AQ219"/>
      <c r="AR219" s="374"/>
      <c r="AS219"/>
      <c r="AT219" s="20"/>
      <c r="AU219"/>
      <c r="AV219"/>
      <c r="AW219"/>
      <c r="AX219"/>
      <c r="AY219"/>
      <c r="AZ219" s="374"/>
      <c r="BA219"/>
      <c r="BB219" s="4"/>
      <c r="BC219"/>
      <c r="BD219"/>
      <c r="BE219"/>
      <c r="BF219" s="26"/>
      <c r="BG219" s="26"/>
      <c r="BH219" s="26"/>
      <c r="BI219" s="26"/>
      <c r="BJ219" s="26"/>
      <c r="BK219" s="26"/>
      <c r="BL219" s="26"/>
      <c r="BM219" s="26"/>
      <c r="BN219" s="26"/>
      <c r="BO219"/>
      <c r="BP219"/>
      <c r="BQ219"/>
      <c r="BR219"/>
      <c r="BS219" s="20"/>
      <c r="BT219" s="26"/>
      <c r="BU219" s="26"/>
      <c r="BV219" s="381"/>
      <c r="BW219" s="26"/>
      <c r="BX219" s="229"/>
      <c r="BY219" s="218"/>
      <c r="BZ219" s="218"/>
      <c r="CA219" s="219"/>
      <c r="CB219" s="218"/>
      <c r="CC219" s="218"/>
      <c r="CD219" s="26"/>
      <c r="CE219"/>
      <c r="CF219"/>
      <c r="CG219"/>
      <c r="CH219"/>
      <c r="CI219"/>
      <c r="CJ219"/>
      <c r="CK219"/>
      <c r="CL219"/>
      <c r="CM219"/>
      <c r="CN219"/>
      <c r="CO219" s="218"/>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row>
    <row r="220" spans="1:140" x14ac:dyDescent="0.2">
      <c r="B220" s="272" t="s">
        <v>233</v>
      </c>
      <c r="C220" s="24">
        <v>1</v>
      </c>
      <c r="D220" s="228">
        <v>4.9039999999999999</v>
      </c>
      <c r="E220" s="38">
        <v>24.52</v>
      </c>
      <c r="F220" s="24">
        <v>0</v>
      </c>
      <c r="G220" s="38">
        <v>0</v>
      </c>
      <c r="H220" s="38">
        <v>0</v>
      </c>
      <c r="I220" s="24">
        <v>2</v>
      </c>
      <c r="J220" s="38">
        <v>119.5474</v>
      </c>
      <c r="K220" s="38">
        <v>3.3380000000000001</v>
      </c>
      <c r="L220" s="24">
        <v>3</v>
      </c>
      <c r="M220" s="56">
        <f t="shared" si="32"/>
        <v>7.462686567164179E-3</v>
      </c>
      <c r="N220" s="228">
        <v>124.45139999999999</v>
      </c>
      <c r="O220" s="252">
        <v>27.858000000000001</v>
      </c>
      <c r="P220" s="102">
        <f t="shared" si="33"/>
        <v>2.9830425199339821E-3</v>
      </c>
      <c r="Q220" s="22">
        <v>1000.0672306849315</v>
      </c>
      <c r="R220" s="24">
        <v>0</v>
      </c>
      <c r="S220" s="22">
        <v>0</v>
      </c>
      <c r="T220" s="22">
        <v>1</v>
      </c>
      <c r="U220" s="22">
        <v>0</v>
      </c>
      <c r="V220" s="23">
        <v>0</v>
      </c>
      <c r="W220" s="23">
        <v>3</v>
      </c>
      <c r="Y220" s="516" t="s">
        <v>245</v>
      </c>
      <c r="Z220" s="514" t="s">
        <v>7930</v>
      </c>
      <c r="AB220" s="211"/>
      <c r="AC220" s="21"/>
      <c r="AD220" s="211"/>
      <c r="AE220" s="21"/>
      <c r="AF220"/>
      <c r="AG220" s="294"/>
      <c r="AH220" s="294"/>
      <c r="AI220" s="366"/>
      <c r="AJ220" s="26"/>
      <c r="AK220" s="374"/>
      <c r="AL220" s="374"/>
      <c r="AO220" s="294"/>
      <c r="AR220" s="374"/>
      <c r="AT220" s="20"/>
      <c r="AY220"/>
      <c r="AZ220" s="374"/>
      <c r="BB220" s="4"/>
      <c r="BF220" s="26"/>
      <c r="BG220" s="26"/>
      <c r="BH220" s="26"/>
      <c r="BI220" s="26"/>
      <c r="BJ220" s="26"/>
      <c r="BK220" s="26"/>
      <c r="BL220" s="26"/>
      <c r="BM220" s="26"/>
      <c r="BN220" s="26"/>
      <c r="BS220" s="20"/>
      <c r="BT220" s="26"/>
      <c r="BV220" s="381"/>
      <c r="BW220" s="26"/>
      <c r="BX220" s="229"/>
      <c r="CA220" s="219"/>
      <c r="CC220" s="218"/>
      <c r="CD220" s="26"/>
      <c r="CM220"/>
      <c r="CN220"/>
    </row>
    <row r="221" spans="1:140" x14ac:dyDescent="0.2">
      <c r="B221" s="272" t="s">
        <v>1349</v>
      </c>
      <c r="C221" s="24"/>
      <c r="D221" s="228"/>
      <c r="E221" s="38"/>
      <c r="F221" s="24"/>
      <c r="G221" s="38"/>
      <c r="H221" s="38"/>
      <c r="I221" s="24"/>
      <c r="J221" s="38"/>
      <c r="K221" s="38"/>
      <c r="L221" s="24"/>
      <c r="M221" s="56">
        <f t="shared" si="32"/>
        <v>0</v>
      </c>
      <c r="N221" s="228"/>
      <c r="O221" s="252"/>
      <c r="P221" s="102">
        <f t="shared" si="33"/>
        <v>0</v>
      </c>
      <c r="Q221" s="22"/>
      <c r="R221" s="24"/>
      <c r="S221" s="22"/>
      <c r="T221" s="22"/>
      <c r="U221" s="22"/>
      <c r="V221" s="23"/>
      <c r="W221" s="23"/>
      <c r="Y221" s="516" t="s">
        <v>918</v>
      </c>
      <c r="Z221" s="514" t="s">
        <v>9818</v>
      </c>
      <c r="AB221" s="296"/>
      <c r="AC221" s="329"/>
      <c r="AD221" s="296"/>
      <c r="AE221" s="329"/>
      <c r="AF221" s="1"/>
      <c r="AG221" s="331"/>
      <c r="AH221" s="331"/>
      <c r="AI221" s="559"/>
      <c r="AJ221" s="296"/>
      <c r="AK221" s="377"/>
      <c r="AL221" s="377"/>
      <c r="AM221" s="1"/>
      <c r="AN221" s="1"/>
      <c r="AO221" s="331"/>
      <c r="AP221" s="1"/>
      <c r="AQ221" s="1"/>
      <c r="AR221" s="377"/>
      <c r="AS221" s="1"/>
      <c r="AT221" s="330"/>
      <c r="AU221" s="1"/>
      <c r="AV221" s="1"/>
      <c r="AW221" s="1"/>
      <c r="AX221" s="1"/>
      <c r="AY221" s="1"/>
      <c r="AZ221" s="377"/>
      <c r="BA221" s="1"/>
      <c r="BB221" s="222"/>
      <c r="BC221" s="1"/>
      <c r="BD221" s="1"/>
      <c r="BE221" s="1"/>
      <c r="BF221" s="296"/>
      <c r="BG221" s="296"/>
      <c r="BH221" s="296"/>
      <c r="BI221" s="296"/>
      <c r="BJ221" s="296"/>
      <c r="BK221" s="296"/>
      <c r="BL221" s="296"/>
      <c r="BM221" s="296"/>
      <c r="BN221" s="296"/>
      <c r="BO221" s="1"/>
      <c r="BP221" s="1"/>
      <c r="BQ221" s="1"/>
      <c r="BR221" s="1"/>
      <c r="BS221" s="330"/>
      <c r="BT221" s="296"/>
      <c r="BU221" s="296"/>
      <c r="BV221" s="382"/>
      <c r="BW221" s="296"/>
      <c r="BX221" s="332"/>
      <c r="BY221" s="3"/>
      <c r="BZ221" s="3"/>
      <c r="CA221" s="167"/>
      <c r="CB221" s="3"/>
      <c r="CC221" s="3"/>
      <c r="CD221" s="296"/>
      <c r="CE221" s="1"/>
      <c r="CF221" s="1"/>
      <c r="CG221" s="1"/>
      <c r="CH221" s="1"/>
      <c r="CI221" s="1"/>
      <c r="CJ221" s="1"/>
      <c r="CK221" s="1"/>
      <c r="CL221" s="1"/>
      <c r="CM221" s="1"/>
      <c r="CN221" s="1"/>
      <c r="CO221" s="3"/>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row>
    <row r="222" spans="1:140" x14ac:dyDescent="0.2">
      <c r="B222" s="272" t="s">
        <v>1350</v>
      </c>
      <c r="C222" s="24"/>
      <c r="D222" s="228"/>
      <c r="E222" s="38"/>
      <c r="F222" s="24"/>
      <c r="G222" s="38"/>
      <c r="H222" s="38"/>
      <c r="I222" s="24"/>
      <c r="J222" s="38"/>
      <c r="K222" s="38"/>
      <c r="L222" s="24"/>
      <c r="M222" s="56">
        <f t="shared" si="32"/>
        <v>0</v>
      </c>
      <c r="N222" s="228"/>
      <c r="O222" s="252"/>
      <c r="P222" s="102">
        <f t="shared" si="33"/>
        <v>0</v>
      </c>
      <c r="Q222" s="22"/>
      <c r="R222" s="24"/>
      <c r="S222" s="22"/>
      <c r="T222" s="22"/>
      <c r="U222" s="22"/>
      <c r="V222" s="23"/>
      <c r="W222" s="23"/>
      <c r="Y222" s="516" t="s">
        <v>1351</v>
      </c>
      <c r="Z222" s="514" t="s">
        <v>7913</v>
      </c>
      <c r="AB222" s="211"/>
      <c r="AC222" s="21"/>
      <c r="AD222" s="211"/>
      <c r="AE222" s="21"/>
      <c r="AF222"/>
      <c r="AG222" s="294"/>
      <c r="AH222" s="294"/>
      <c r="AI222" s="366"/>
      <c r="AJ222" s="26"/>
      <c r="AK222" s="374"/>
      <c r="AL222" s="374"/>
      <c r="AO222" s="294"/>
      <c r="AR222" s="374"/>
      <c r="AT222" s="20"/>
      <c r="AY222"/>
      <c r="AZ222" s="374"/>
      <c r="BB222" s="4"/>
      <c r="BF222" s="26"/>
      <c r="BG222" s="26"/>
      <c r="BH222" s="26"/>
      <c r="BI222" s="26"/>
      <c r="BJ222" s="26"/>
      <c r="BK222" s="26"/>
      <c r="BL222" s="26"/>
      <c r="BM222" s="26"/>
      <c r="BN222" s="26"/>
      <c r="BS222" s="20"/>
      <c r="BT222" s="26"/>
      <c r="BV222" s="381"/>
      <c r="BW222" s="26"/>
      <c r="BX222" s="229"/>
      <c r="CA222" s="219"/>
      <c r="CC222" s="218"/>
      <c r="CD222" s="26"/>
      <c r="CM222"/>
      <c r="CN222"/>
    </row>
    <row r="223" spans="1:140" x14ac:dyDescent="0.2">
      <c r="B223" s="272" t="s">
        <v>667</v>
      </c>
      <c r="C223" s="24">
        <v>2</v>
      </c>
      <c r="D223" s="228">
        <v>52.049140000000001</v>
      </c>
      <c r="E223" s="38">
        <v>606.28</v>
      </c>
      <c r="F223" s="33">
        <v>0</v>
      </c>
      <c r="G223" s="38">
        <v>0</v>
      </c>
      <c r="H223" s="38">
        <v>0</v>
      </c>
      <c r="I223" s="33">
        <v>4</v>
      </c>
      <c r="J223" s="104">
        <v>221.41600000000003</v>
      </c>
      <c r="K223" s="104">
        <v>0</v>
      </c>
      <c r="L223" s="24">
        <v>6</v>
      </c>
      <c r="M223" s="56">
        <f t="shared" si="32"/>
        <v>1.4925373134328358E-2</v>
      </c>
      <c r="N223" s="228">
        <v>273.46514000000002</v>
      </c>
      <c r="O223" s="252">
        <v>606.28</v>
      </c>
      <c r="P223" s="102">
        <f t="shared" si="33"/>
        <v>6.4920633892798285E-2</v>
      </c>
      <c r="Q223" s="22">
        <v>1431.8204465753424</v>
      </c>
      <c r="R223" s="24">
        <v>1</v>
      </c>
      <c r="S223" s="22">
        <v>61.474000000000004</v>
      </c>
      <c r="T223" s="22">
        <v>0</v>
      </c>
      <c r="U223" s="22">
        <v>0</v>
      </c>
      <c r="V223" s="23">
        <v>0</v>
      </c>
      <c r="W223" s="23">
        <v>9</v>
      </c>
      <c r="Y223" s="516" t="s">
        <v>5673</v>
      </c>
      <c r="Z223" s="514" t="s">
        <v>7921</v>
      </c>
      <c r="AB223" s="211"/>
      <c r="AC223" s="21"/>
      <c r="AD223" s="211"/>
      <c r="AE223" s="21"/>
      <c r="AF223"/>
      <c r="AG223" s="294"/>
      <c r="AH223" s="294"/>
      <c r="AI223" s="366"/>
      <c r="AJ223" s="26"/>
      <c r="AK223" s="374"/>
      <c r="AL223" s="374"/>
      <c r="AO223" s="294"/>
      <c r="AR223" s="374"/>
      <c r="AT223" s="20"/>
      <c r="AY223"/>
      <c r="AZ223" s="374"/>
      <c r="BB223" s="4"/>
      <c r="BF223" s="26"/>
      <c r="BG223" s="26"/>
      <c r="BH223" s="26"/>
      <c r="BI223" s="26"/>
      <c r="BJ223" s="26"/>
      <c r="BK223" s="26"/>
      <c r="BL223" s="26"/>
      <c r="BM223" s="26"/>
      <c r="BN223" s="26"/>
      <c r="BS223" s="20"/>
      <c r="BT223" s="26"/>
      <c r="BV223" s="381"/>
      <c r="BW223" s="26"/>
      <c r="BX223" s="229"/>
      <c r="CA223" s="219"/>
      <c r="CC223" s="218"/>
      <c r="CD223" s="26"/>
      <c r="CM223"/>
      <c r="CN223"/>
    </row>
    <row r="224" spans="1:140" ht="15" customHeight="1" x14ac:dyDescent="0.2">
      <c r="B224" s="272" t="s">
        <v>1707</v>
      </c>
      <c r="C224" s="24">
        <v>0</v>
      </c>
      <c r="D224" s="228">
        <v>0</v>
      </c>
      <c r="E224" s="38">
        <v>0</v>
      </c>
      <c r="F224" s="33">
        <v>0</v>
      </c>
      <c r="G224" s="38">
        <v>0</v>
      </c>
      <c r="H224" s="38">
        <v>0</v>
      </c>
      <c r="I224" s="33">
        <v>1</v>
      </c>
      <c r="J224" s="104">
        <v>82.281999999999996</v>
      </c>
      <c r="K224" s="104">
        <v>0</v>
      </c>
      <c r="L224" s="24">
        <v>1</v>
      </c>
      <c r="M224" s="56">
        <f t="shared" si="32"/>
        <v>2.4875621890547263E-3</v>
      </c>
      <c r="N224" s="228">
        <v>82.281999999999996</v>
      </c>
      <c r="O224" s="252">
        <v>0</v>
      </c>
      <c r="P224" s="102">
        <f t="shared" si="33"/>
        <v>0</v>
      </c>
      <c r="Q224" s="22">
        <v>576.19943013698628</v>
      </c>
      <c r="R224" s="24">
        <v>0</v>
      </c>
      <c r="S224" s="22">
        <v>0</v>
      </c>
      <c r="T224" s="22">
        <v>0</v>
      </c>
      <c r="U224" s="22">
        <v>0</v>
      </c>
      <c r="V224" s="23">
        <v>0</v>
      </c>
      <c r="W224" s="23">
        <v>1</v>
      </c>
      <c r="Y224" s="516" t="s">
        <v>89</v>
      </c>
      <c r="Z224" s="514" t="s">
        <v>9815</v>
      </c>
      <c r="AB224" s="211"/>
      <c r="AC224" s="21"/>
      <c r="AD224" s="211"/>
      <c r="AE224" s="21"/>
      <c r="AF224"/>
      <c r="AG224" s="294"/>
      <c r="AH224" s="294"/>
      <c r="AI224" s="366"/>
      <c r="AJ224" s="26"/>
      <c r="AK224" s="374"/>
      <c r="AL224" s="374"/>
      <c r="AO224" s="294"/>
      <c r="AR224" s="374"/>
      <c r="AT224" s="20"/>
      <c r="AY224"/>
      <c r="AZ224" s="374"/>
      <c r="BB224" s="4"/>
      <c r="BF224" s="26"/>
      <c r="BG224" s="26"/>
      <c r="BH224" s="26"/>
      <c r="BI224" s="26"/>
      <c r="BJ224" s="26"/>
      <c r="BK224" s="26"/>
      <c r="BL224" s="26"/>
      <c r="BM224" s="26"/>
      <c r="BN224" s="26"/>
      <c r="BS224" s="20"/>
      <c r="BT224" s="26"/>
      <c r="BV224" s="381"/>
      <c r="BW224" s="26"/>
      <c r="BX224" s="229"/>
      <c r="CA224" s="219"/>
      <c r="CC224" s="218"/>
      <c r="CD224" s="26"/>
      <c r="CM224"/>
      <c r="CN224"/>
    </row>
    <row r="225" spans="1:16383" x14ac:dyDescent="0.2">
      <c r="B225" s="275" t="s">
        <v>1351</v>
      </c>
      <c r="C225" s="24">
        <v>0</v>
      </c>
      <c r="D225" s="228">
        <v>0</v>
      </c>
      <c r="E225" s="38">
        <v>0</v>
      </c>
      <c r="F225" s="24">
        <v>0</v>
      </c>
      <c r="G225" s="38">
        <v>0</v>
      </c>
      <c r="H225" s="38">
        <v>0</v>
      </c>
      <c r="I225" s="24">
        <v>1</v>
      </c>
      <c r="J225" s="38">
        <v>190.13499999999999</v>
      </c>
      <c r="K225" s="38">
        <v>0</v>
      </c>
      <c r="L225" s="41">
        <v>1</v>
      </c>
      <c r="M225" s="67">
        <f t="shared" si="32"/>
        <v>2.4875621890547263E-3</v>
      </c>
      <c r="N225" s="240">
        <v>190.13499999999999</v>
      </c>
      <c r="O225" s="253">
        <v>0</v>
      </c>
      <c r="P225" s="106">
        <f t="shared" si="33"/>
        <v>0</v>
      </c>
      <c r="Q225" s="63">
        <v>1522.1218356164384</v>
      </c>
      <c r="R225" s="41">
        <v>0</v>
      </c>
      <c r="S225" s="63">
        <v>0</v>
      </c>
      <c r="T225" s="63">
        <v>0</v>
      </c>
      <c r="U225" s="63">
        <v>0</v>
      </c>
      <c r="V225" s="28">
        <v>0</v>
      </c>
      <c r="W225" s="28">
        <v>1</v>
      </c>
      <c r="Y225" s="516" t="s">
        <v>284</v>
      </c>
      <c r="Z225" s="514" t="s">
        <v>7934</v>
      </c>
      <c r="AB225" s="211"/>
      <c r="AC225" s="21"/>
      <c r="AD225" s="211"/>
      <c r="AE225" s="21"/>
      <c r="AF225"/>
      <c r="AG225" s="294"/>
      <c r="AH225" s="294"/>
      <c r="AI225" s="366"/>
      <c r="AJ225" s="26"/>
      <c r="AK225" s="374"/>
      <c r="AL225" s="374"/>
      <c r="AO225" s="294"/>
      <c r="AR225" s="374"/>
      <c r="AT225" s="20"/>
      <c r="AY225"/>
      <c r="AZ225" s="374"/>
      <c r="BB225" s="4"/>
      <c r="BF225" s="26"/>
      <c r="BG225" s="26"/>
      <c r="BH225" s="26"/>
      <c r="BI225" s="26"/>
      <c r="BJ225" s="26"/>
      <c r="BK225" s="26"/>
      <c r="BL225" s="26"/>
      <c r="BM225" s="26"/>
      <c r="BN225" s="26"/>
      <c r="BS225" s="20"/>
      <c r="BT225" s="26"/>
      <c r="BV225" s="381"/>
      <c r="BW225" s="26"/>
      <c r="BX225" s="229"/>
      <c r="CA225" s="219"/>
      <c r="CC225" s="218"/>
      <c r="CD225" s="26"/>
      <c r="CM225"/>
      <c r="CN225"/>
    </row>
    <row r="226" spans="1:16383" x14ac:dyDescent="0.2">
      <c r="B226" s="276" t="s">
        <v>1352</v>
      </c>
      <c r="C226" s="95">
        <f t="shared" ref="C226:K226" si="34">SUM(C227:C249)</f>
        <v>46</v>
      </c>
      <c r="D226" s="239">
        <f t="shared" si="34"/>
        <v>2214.77034</v>
      </c>
      <c r="E226" s="96">
        <f t="shared" si="34"/>
        <v>571.9077585</v>
      </c>
      <c r="F226" s="95">
        <f t="shared" si="34"/>
        <v>0</v>
      </c>
      <c r="G226" s="96">
        <f t="shared" si="34"/>
        <v>0</v>
      </c>
      <c r="H226" s="96">
        <f t="shared" si="34"/>
        <v>0</v>
      </c>
      <c r="I226" s="95">
        <f t="shared" si="34"/>
        <v>145</v>
      </c>
      <c r="J226" s="96">
        <f t="shared" si="34"/>
        <v>26673.952999999998</v>
      </c>
      <c r="K226" s="96">
        <f t="shared" si="34"/>
        <v>4215.6514309999984</v>
      </c>
      <c r="L226" s="95">
        <f t="shared" ref="L226:W226" si="35">SUM(L227:L249)</f>
        <v>191</v>
      </c>
      <c r="M226" s="100">
        <f t="shared" si="32"/>
        <v>0.47512437810945274</v>
      </c>
      <c r="N226" s="239">
        <f t="shared" si="35"/>
        <v>28888.723340000008</v>
      </c>
      <c r="O226" s="731">
        <f t="shared" si="35"/>
        <v>4787.5591894999989</v>
      </c>
      <c r="P226" s="732">
        <f t="shared" si="35"/>
        <v>0.51265319222410699</v>
      </c>
      <c r="Q226" s="31">
        <f t="shared" si="35"/>
        <v>149797.08383561647</v>
      </c>
      <c r="R226" s="95">
        <f t="shared" si="35"/>
        <v>17</v>
      </c>
      <c r="S226" s="101">
        <f t="shared" si="35"/>
        <v>8740.4860000000008</v>
      </c>
      <c r="T226" s="101">
        <f t="shared" si="35"/>
        <v>32</v>
      </c>
      <c r="U226" s="101">
        <f t="shared" si="35"/>
        <v>2</v>
      </c>
      <c r="V226" s="31">
        <f t="shared" si="35"/>
        <v>1</v>
      </c>
      <c r="W226" s="31">
        <f t="shared" si="35"/>
        <v>675</v>
      </c>
      <c r="Y226" s="516" t="s">
        <v>1085</v>
      </c>
      <c r="Z226" s="514" t="s">
        <v>7931</v>
      </c>
      <c r="AB226" s="211"/>
      <c r="AC226" s="21"/>
      <c r="AD226" s="211"/>
      <c r="AE226" s="21"/>
      <c r="AF226"/>
      <c r="AG226" s="294"/>
      <c r="AH226" s="294"/>
      <c r="AI226" s="366"/>
      <c r="AJ226" s="26"/>
      <c r="AK226" s="374"/>
      <c r="AL226" s="374"/>
      <c r="AO226" s="294"/>
      <c r="AR226" s="374"/>
      <c r="AT226" s="20"/>
      <c r="AY226"/>
      <c r="AZ226" s="374"/>
      <c r="BB226" s="4"/>
      <c r="BF226" s="26"/>
      <c r="BG226" s="26"/>
      <c r="BH226" s="26"/>
      <c r="BI226" s="26"/>
      <c r="BJ226" s="26"/>
      <c r="BK226" s="26"/>
      <c r="BL226" s="26"/>
      <c r="BM226" s="26"/>
      <c r="BN226" s="26"/>
      <c r="BS226" s="20"/>
      <c r="BT226" s="26"/>
      <c r="BV226" s="381"/>
      <c r="BW226" s="26"/>
      <c r="BX226" s="229"/>
      <c r="CA226" s="219"/>
      <c r="CC226" s="218"/>
      <c r="CD226" s="26"/>
      <c r="CM226"/>
      <c r="CN226"/>
    </row>
    <row r="227" spans="1:16383" x14ac:dyDescent="0.2">
      <c r="B227" s="277" t="s">
        <v>67</v>
      </c>
      <c r="C227" s="107">
        <v>3</v>
      </c>
      <c r="D227" s="228">
        <v>69.87</v>
      </c>
      <c r="E227" s="38">
        <v>1.758</v>
      </c>
      <c r="F227" s="24">
        <v>0</v>
      </c>
      <c r="G227" s="38">
        <v>0</v>
      </c>
      <c r="H227" s="38">
        <v>0</v>
      </c>
      <c r="I227" s="24">
        <v>9</v>
      </c>
      <c r="J227" s="38">
        <v>9651.0060000000012</v>
      </c>
      <c r="K227" s="38">
        <v>82.654031000000003</v>
      </c>
      <c r="L227" s="24">
        <v>12</v>
      </c>
      <c r="M227" s="56">
        <f t="shared" si="32"/>
        <v>2.9850746268656716E-2</v>
      </c>
      <c r="N227" s="228">
        <v>9720.876000000002</v>
      </c>
      <c r="O227" s="252">
        <v>84.412030999999999</v>
      </c>
      <c r="P227" s="102">
        <f t="shared" si="33"/>
        <v>9.0388641563279998E-3</v>
      </c>
      <c r="Q227" s="23">
        <v>12309.174975342466</v>
      </c>
      <c r="R227" s="24">
        <v>2</v>
      </c>
      <c r="S227" s="22">
        <v>1224.7809999999999</v>
      </c>
      <c r="T227" s="22">
        <v>0</v>
      </c>
      <c r="U227" s="22">
        <v>1</v>
      </c>
      <c r="V227" s="23">
        <v>0</v>
      </c>
      <c r="W227" s="23">
        <v>53</v>
      </c>
      <c r="Y227" s="517" t="s">
        <v>1392</v>
      </c>
      <c r="Z227" s="515" t="s">
        <v>9199</v>
      </c>
      <c r="AB227" s="211"/>
      <c r="AC227" s="21"/>
      <c r="AD227" s="211"/>
      <c r="AE227" s="21"/>
      <c r="AF227"/>
      <c r="AG227" s="294"/>
      <c r="AH227" s="294"/>
      <c r="AI227" s="366"/>
      <c r="AJ227" s="26"/>
      <c r="AK227" s="374"/>
      <c r="AL227" s="374"/>
      <c r="AO227" s="294"/>
      <c r="AR227" s="374"/>
      <c r="AT227" s="20"/>
      <c r="AY227"/>
      <c r="AZ227" s="374"/>
      <c r="BB227" s="4"/>
      <c r="BF227" s="26"/>
      <c r="BG227" s="26"/>
      <c r="BH227" s="26"/>
      <c r="BI227" s="26"/>
      <c r="BJ227" s="26"/>
      <c r="BK227" s="26"/>
      <c r="BL227" s="26"/>
      <c r="BM227" s="26"/>
      <c r="BN227" s="26"/>
      <c r="BS227" s="20"/>
      <c r="BT227" s="26"/>
      <c r="BV227" s="381"/>
      <c r="BW227" s="26"/>
      <c r="BX227" s="229"/>
      <c r="CA227" s="219"/>
      <c r="CC227" s="218"/>
      <c r="CD227" s="26"/>
      <c r="CM227"/>
      <c r="CN227"/>
    </row>
    <row r="228" spans="1:16383" ht="15" customHeight="1" x14ac:dyDescent="0.2">
      <c r="B228" s="274" t="s">
        <v>1353</v>
      </c>
      <c r="C228" s="24"/>
      <c r="D228" s="228"/>
      <c r="E228" s="38"/>
      <c r="F228" s="24"/>
      <c r="G228" s="38"/>
      <c r="H228" s="38"/>
      <c r="I228" s="24"/>
      <c r="J228" s="38"/>
      <c r="K228" s="38"/>
      <c r="L228" s="24"/>
      <c r="M228" s="56">
        <f t="shared" si="32"/>
        <v>0</v>
      </c>
      <c r="N228" s="228"/>
      <c r="O228" s="252"/>
      <c r="P228" s="102">
        <f t="shared" si="33"/>
        <v>0</v>
      </c>
      <c r="Q228" s="23"/>
      <c r="R228" s="24"/>
      <c r="S228" s="108"/>
      <c r="T228" s="22"/>
      <c r="U228" s="22"/>
      <c r="V228" s="23"/>
      <c r="W228" s="23"/>
      <c r="Y228" s="518" t="s">
        <v>5897</v>
      </c>
      <c r="Z228" s="519">
        <v>400</v>
      </c>
      <c r="AB228" s="211"/>
      <c r="AC228" s="21"/>
      <c r="AD228" s="211"/>
      <c r="AE228" s="21"/>
      <c r="AF228"/>
      <c r="AG228" s="294"/>
      <c r="AH228" s="294"/>
      <c r="AI228" s="366"/>
      <c r="AJ228" s="26"/>
      <c r="AK228" s="374"/>
      <c r="AL228" s="374"/>
      <c r="AO228" s="294"/>
      <c r="AR228" s="374"/>
      <c r="AT228" s="20"/>
      <c r="AY228"/>
      <c r="AZ228" s="374"/>
      <c r="BB228" s="4"/>
      <c r="BF228" s="26"/>
      <c r="BG228" s="26"/>
      <c r="BH228" s="26"/>
      <c r="BI228" s="26"/>
      <c r="BJ228" s="26"/>
      <c r="BK228" s="26"/>
      <c r="BL228" s="26"/>
      <c r="BM228" s="26"/>
      <c r="BN228" s="26"/>
      <c r="BS228" s="20"/>
      <c r="BT228" s="26"/>
      <c r="BV228" s="381"/>
      <c r="BW228" s="26"/>
      <c r="BX228" s="229"/>
      <c r="CA228" s="219"/>
      <c r="CC228" s="218"/>
      <c r="CD228" s="26"/>
      <c r="CM228"/>
      <c r="CN228"/>
    </row>
    <row r="229" spans="1:16383" x14ac:dyDescent="0.2">
      <c r="B229" s="274" t="s">
        <v>1354</v>
      </c>
      <c r="C229" s="24">
        <v>0</v>
      </c>
      <c r="D229" s="228">
        <v>0</v>
      </c>
      <c r="E229" s="38">
        <v>0</v>
      </c>
      <c r="F229" s="24">
        <v>0</v>
      </c>
      <c r="G229" s="38">
        <v>0</v>
      </c>
      <c r="H229" s="38">
        <v>0</v>
      </c>
      <c r="I229" s="24">
        <v>1</v>
      </c>
      <c r="J229" s="38">
        <v>7.87</v>
      </c>
      <c r="K229" s="38">
        <v>0</v>
      </c>
      <c r="L229" s="24">
        <v>1</v>
      </c>
      <c r="M229" s="56">
        <f t="shared" si="32"/>
        <v>2.4875621890547263E-3</v>
      </c>
      <c r="N229" s="228">
        <v>7.87</v>
      </c>
      <c r="O229" s="252">
        <v>0</v>
      </c>
      <c r="P229" s="102">
        <f t="shared" si="33"/>
        <v>0</v>
      </c>
      <c r="Q229" s="23">
        <v>34.774000000000001</v>
      </c>
      <c r="R229" s="24">
        <v>0</v>
      </c>
      <c r="S229" s="22">
        <v>0</v>
      </c>
      <c r="T229" s="22">
        <v>0</v>
      </c>
      <c r="U229" s="22">
        <v>0</v>
      </c>
      <c r="V229" s="23">
        <v>0</v>
      </c>
      <c r="W229" s="23">
        <v>2</v>
      </c>
      <c r="AB229" s="211"/>
      <c r="AC229" s="21"/>
      <c r="AD229" s="211"/>
      <c r="AE229" s="21"/>
      <c r="AF229"/>
      <c r="AG229" s="294"/>
      <c r="AH229" s="294"/>
      <c r="AI229" s="366"/>
      <c r="AJ229" s="26"/>
      <c r="AK229" s="374"/>
      <c r="AL229" s="374"/>
      <c r="AO229" s="294"/>
      <c r="AR229" s="374"/>
      <c r="AT229" s="20"/>
      <c r="AY229"/>
      <c r="AZ229" s="374"/>
      <c r="BB229" s="4"/>
      <c r="BF229" s="26"/>
      <c r="BG229" s="26"/>
      <c r="BH229" s="26"/>
      <c r="BI229" s="26"/>
      <c r="BJ229" s="26"/>
      <c r="BK229" s="26"/>
      <c r="BL229" s="26"/>
      <c r="BM229" s="26"/>
      <c r="BN229" s="26"/>
      <c r="BS229" s="20"/>
      <c r="BT229" s="26"/>
      <c r="BV229" s="381"/>
      <c r="BW229" s="26"/>
      <c r="BX229" s="229"/>
      <c r="CA229" s="219"/>
      <c r="CC229" s="218"/>
      <c r="CD229" s="26"/>
      <c r="CM229"/>
      <c r="CN229"/>
    </row>
    <row r="230" spans="1:16383" ht="15" customHeight="1" x14ac:dyDescent="0.2">
      <c r="A230" s="1"/>
      <c r="B230" s="272" t="s">
        <v>117</v>
      </c>
      <c r="C230" s="323">
        <v>13</v>
      </c>
      <c r="D230" s="324">
        <v>874.65700000000004</v>
      </c>
      <c r="E230" s="325">
        <v>332.66758099999998</v>
      </c>
      <c r="F230" s="323">
        <v>0</v>
      </c>
      <c r="G230" s="325">
        <v>0</v>
      </c>
      <c r="H230" s="325">
        <v>0</v>
      </c>
      <c r="I230" s="323">
        <v>43</v>
      </c>
      <c r="J230" s="325">
        <v>2708.5710000000004</v>
      </c>
      <c r="K230" s="325">
        <v>107.277196</v>
      </c>
      <c r="L230" s="323">
        <v>56</v>
      </c>
      <c r="M230" s="326">
        <f t="shared" si="32"/>
        <v>0.13930348258706468</v>
      </c>
      <c r="N230" s="324">
        <v>3583.2280000000005</v>
      </c>
      <c r="O230" s="733">
        <v>439.94477699999999</v>
      </c>
      <c r="P230" s="734">
        <f t="shared" si="33"/>
        <v>4.7109411164257077E-2</v>
      </c>
      <c r="Q230" s="327">
        <v>29441.106134246565</v>
      </c>
      <c r="R230" s="323">
        <v>2</v>
      </c>
      <c r="S230" s="328">
        <v>1908.5290000000011</v>
      </c>
      <c r="T230" s="328">
        <v>7</v>
      </c>
      <c r="U230" s="328">
        <v>1</v>
      </c>
      <c r="V230" s="327">
        <v>0</v>
      </c>
      <c r="W230" s="327">
        <v>156</v>
      </c>
      <c r="AB230" s="211"/>
      <c r="AC230" s="21"/>
      <c r="AF230"/>
      <c r="AG230" s="366"/>
      <c r="AH230" s="294"/>
      <c r="AI230" s="294"/>
      <c r="AJ230" s="26"/>
      <c r="AK230" s="374"/>
      <c r="AL230" s="374"/>
      <c r="AO230" s="294"/>
      <c r="AR230" s="374"/>
      <c r="AY230"/>
      <c r="AZ230" s="297"/>
      <c r="BF230" s="26"/>
      <c r="BG230" s="26"/>
      <c r="BH230" s="26"/>
      <c r="BI230" s="26"/>
      <c r="BJ230" s="26"/>
      <c r="BK230" s="26"/>
      <c r="BL230" s="26"/>
      <c r="BS230" s="20"/>
      <c r="BT230" s="26"/>
      <c r="BV230" s="381"/>
      <c r="BW230" s="26"/>
      <c r="BX230" s="218"/>
      <c r="BY230" s="219"/>
      <c r="BZ230"/>
      <c r="CA230" s="218"/>
      <c r="CB230" s="229"/>
      <c r="CM230"/>
    </row>
    <row r="231" spans="1:16383" x14ac:dyDescent="0.2">
      <c r="B231" s="272" t="s">
        <v>1355</v>
      </c>
      <c r="C231" s="24"/>
      <c r="D231" s="228"/>
      <c r="E231" s="38"/>
      <c r="F231" s="24"/>
      <c r="G231" s="38"/>
      <c r="H231" s="38"/>
      <c r="I231" s="24"/>
      <c r="J231" s="38"/>
      <c r="K231" s="38"/>
      <c r="L231" s="24"/>
      <c r="M231" s="56">
        <f t="shared" si="32"/>
        <v>0</v>
      </c>
      <c r="N231" s="228"/>
      <c r="O231" s="252"/>
      <c r="P231" s="102">
        <f t="shared" si="33"/>
        <v>0</v>
      </c>
      <c r="Q231" s="23"/>
      <c r="R231" s="24"/>
      <c r="S231" s="22"/>
      <c r="T231" s="22"/>
      <c r="U231" s="22"/>
      <c r="V231" s="23"/>
      <c r="W231" s="23"/>
      <c r="AB231" s="211"/>
      <c r="AC231" s="21"/>
      <c r="AF231"/>
      <c r="AG231" s="366"/>
      <c r="AH231" s="294"/>
      <c r="AI231" s="294"/>
      <c r="AJ231" s="26"/>
      <c r="AK231" s="374"/>
      <c r="AL231" s="374"/>
      <c r="AO231" s="294"/>
      <c r="AR231" s="374"/>
      <c r="AY231"/>
      <c r="AZ231" s="297"/>
      <c r="BF231" s="26"/>
      <c r="BG231" s="26"/>
      <c r="BH231" s="26"/>
      <c r="BI231" s="26"/>
      <c r="BJ231" s="26"/>
      <c r="BK231" s="26"/>
      <c r="BL231" s="26"/>
      <c r="BS231" s="20"/>
      <c r="BT231" s="26"/>
      <c r="BV231" s="381"/>
      <c r="BW231" s="26"/>
      <c r="BX231" s="218"/>
      <c r="BY231" s="219"/>
      <c r="BZ231"/>
      <c r="CA231" s="218"/>
      <c r="CB231" s="229"/>
      <c r="CM231"/>
    </row>
    <row r="232" spans="1:16383" x14ac:dyDescent="0.2">
      <c r="B232" s="272" t="s">
        <v>42</v>
      </c>
      <c r="C232" s="24">
        <v>7</v>
      </c>
      <c r="D232" s="228">
        <v>646.54899999999998</v>
      </c>
      <c r="E232" s="38">
        <v>108.58324999999999</v>
      </c>
      <c r="F232" s="24">
        <v>0</v>
      </c>
      <c r="G232" s="38">
        <v>0</v>
      </c>
      <c r="H232" s="38">
        <v>0</v>
      </c>
      <c r="I232" s="24">
        <v>31</v>
      </c>
      <c r="J232" s="38">
        <v>8702.0239999999994</v>
      </c>
      <c r="K232" s="38">
        <v>2138.8972119999994</v>
      </c>
      <c r="L232" s="24">
        <v>38</v>
      </c>
      <c r="M232" s="56">
        <f t="shared" ref="M232:M263" si="36">+L232/L$322</f>
        <v>9.4527363184079602E-2</v>
      </c>
      <c r="N232" s="228">
        <v>9348.5730000000003</v>
      </c>
      <c r="O232" s="252">
        <v>2247.4804619999995</v>
      </c>
      <c r="P232" s="102">
        <f t="shared" ref="P232:P263" si="37">+O232/O$322</f>
        <v>0.24066084359490519</v>
      </c>
      <c r="Q232" s="23">
        <v>60726.867589041118</v>
      </c>
      <c r="R232" s="24">
        <v>5</v>
      </c>
      <c r="S232" s="22">
        <v>3714.8959999999997</v>
      </c>
      <c r="T232" s="22">
        <v>9</v>
      </c>
      <c r="U232" s="22">
        <v>0</v>
      </c>
      <c r="V232" s="23">
        <v>0</v>
      </c>
      <c r="W232" s="23">
        <v>185</v>
      </c>
      <c r="AB232" s="211"/>
      <c r="AC232" s="21"/>
      <c r="AF232"/>
      <c r="AG232" s="366"/>
      <c r="AH232" s="294"/>
      <c r="AI232" s="294"/>
      <c r="AJ232" s="26"/>
      <c r="AK232" s="374"/>
      <c r="AL232" s="374"/>
      <c r="AO232" s="294"/>
      <c r="AR232" s="374"/>
      <c r="AY232"/>
      <c r="AZ232" s="297"/>
      <c r="BF232" s="26"/>
      <c r="BG232" s="26"/>
      <c r="BH232" s="26"/>
      <c r="BI232" s="26"/>
      <c r="BJ232" s="26"/>
      <c r="BK232" s="26"/>
      <c r="BL232" s="26"/>
      <c r="BS232" s="20"/>
      <c r="BT232" s="26"/>
      <c r="BV232" s="381"/>
      <c r="BW232" s="26"/>
      <c r="BX232" s="218"/>
      <c r="BY232" s="219"/>
      <c r="BZ232"/>
      <c r="CA232" s="218"/>
      <c r="CB232" s="229"/>
      <c r="CM232"/>
    </row>
    <row r="233" spans="1:16383" s="1" customFormat="1" ht="15" customHeight="1" x14ac:dyDescent="0.2">
      <c r="A233"/>
      <c r="B233" s="272" t="s">
        <v>78</v>
      </c>
      <c r="C233" s="24">
        <v>4</v>
      </c>
      <c r="D233" s="228">
        <v>265.24</v>
      </c>
      <c r="E233" s="38">
        <v>38.958125000000003</v>
      </c>
      <c r="F233" s="24">
        <v>0</v>
      </c>
      <c r="G233" s="38">
        <v>0</v>
      </c>
      <c r="H233" s="38">
        <v>0</v>
      </c>
      <c r="I233" s="24">
        <v>10</v>
      </c>
      <c r="J233" s="38">
        <v>292.65300000000002</v>
      </c>
      <c r="K233" s="38">
        <v>67.723892000000006</v>
      </c>
      <c r="L233" s="24">
        <v>14</v>
      </c>
      <c r="M233" s="56">
        <f t="shared" si="36"/>
        <v>3.482587064676617E-2</v>
      </c>
      <c r="N233" s="228">
        <v>557.89300000000003</v>
      </c>
      <c r="O233" s="252">
        <v>106.682017</v>
      </c>
      <c r="P233" s="102">
        <f t="shared" si="37"/>
        <v>1.142354055651231E-2</v>
      </c>
      <c r="Q233" s="23">
        <v>5462.8902876712327</v>
      </c>
      <c r="R233" s="24">
        <v>0</v>
      </c>
      <c r="S233" s="22">
        <v>0</v>
      </c>
      <c r="T233" s="22">
        <v>3</v>
      </c>
      <c r="U233" s="22">
        <v>0</v>
      </c>
      <c r="V233" s="23">
        <v>0</v>
      </c>
      <c r="W233" s="23">
        <v>15</v>
      </c>
      <c r="Y233"/>
      <c r="Z233"/>
      <c r="AA233" s="296"/>
      <c r="AB233" s="211"/>
      <c r="AC233" s="21"/>
      <c r="AD233"/>
      <c r="AE233"/>
      <c r="AF233"/>
      <c r="AG233" s="366"/>
      <c r="AH233" s="294"/>
      <c r="AI233" s="294"/>
      <c r="AJ233" s="26"/>
      <c r="AK233" s="374"/>
      <c r="AL233" s="374"/>
      <c r="AM233"/>
      <c r="AN233"/>
      <c r="AO233" s="294"/>
      <c r="AP233"/>
      <c r="AQ233"/>
      <c r="AR233" s="374"/>
      <c r="AS233"/>
      <c r="AT233"/>
      <c r="AU233"/>
      <c r="AV233"/>
      <c r="AW233"/>
      <c r="AX233"/>
      <c r="AY233"/>
      <c r="AZ233" s="297"/>
      <c r="BA233"/>
      <c r="BB233"/>
      <c r="BC233"/>
      <c r="BD233"/>
      <c r="BE233"/>
      <c r="BF233" s="26"/>
      <c r="BG233" s="26"/>
      <c r="BH233" s="26"/>
      <c r="BI233" s="26"/>
      <c r="BJ233" s="26"/>
      <c r="BK233" s="26"/>
      <c r="BL233" s="26"/>
      <c r="BM233"/>
      <c r="BN233"/>
      <c r="BO233"/>
      <c r="BP233"/>
      <c r="BQ233"/>
      <c r="BR233"/>
      <c r="BS233" s="20"/>
      <c r="BT233" s="26"/>
      <c r="BU233" s="26"/>
      <c r="BV233" s="381"/>
      <c r="BW233" s="26"/>
      <c r="BX233" s="218"/>
      <c r="BY233" s="219"/>
      <c r="BZ233"/>
      <c r="CA233" s="218"/>
      <c r="CB233" s="229"/>
      <c r="CC233"/>
      <c r="CD233"/>
      <c r="CE233"/>
      <c r="CF233"/>
      <c r="CG233"/>
      <c r="CH233"/>
      <c r="CI233"/>
      <c r="CJ233"/>
      <c r="CK233"/>
      <c r="CL233"/>
      <c r="CM233"/>
      <c r="CN233" s="218"/>
      <c r="CO233" s="218"/>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c r="AOB233"/>
      <c r="AOC233"/>
      <c r="AOD233"/>
      <c r="AOE233"/>
      <c r="AOF233"/>
      <c r="AOG233"/>
      <c r="AOH233"/>
      <c r="AOI233"/>
      <c r="AOJ233"/>
      <c r="AOK233"/>
      <c r="AOL233"/>
      <c r="AOM233"/>
      <c r="AON233"/>
      <c r="AOO233"/>
      <c r="AOP233"/>
      <c r="AOQ233"/>
      <c r="AOR233"/>
      <c r="AOS233"/>
      <c r="AOT233"/>
      <c r="AOU233"/>
      <c r="AOV233"/>
      <c r="AOW233"/>
      <c r="AOX233"/>
      <c r="AOY233"/>
      <c r="AOZ233"/>
      <c r="APA233"/>
      <c r="APB233"/>
      <c r="APC233"/>
      <c r="APD233"/>
      <c r="APE233"/>
      <c r="APF233"/>
      <c r="APG233"/>
      <c r="APH233"/>
      <c r="API233"/>
      <c r="APJ233"/>
      <c r="APK233"/>
      <c r="APL233"/>
      <c r="APM233"/>
      <c r="APN233"/>
      <c r="APO233"/>
      <c r="APP233"/>
      <c r="APQ233"/>
      <c r="APR233"/>
      <c r="APS233"/>
      <c r="APT233"/>
      <c r="APU233"/>
      <c r="APV233"/>
      <c r="APW233"/>
      <c r="APX233"/>
      <c r="APY233"/>
      <c r="APZ233"/>
      <c r="AQA233"/>
      <c r="AQB233"/>
      <c r="AQC233"/>
      <c r="AQD233"/>
      <c r="AQE233"/>
      <c r="AQF233"/>
      <c r="AQG233"/>
      <c r="AQH233"/>
      <c r="AQI233"/>
      <c r="AQJ233"/>
      <c r="AQK233"/>
      <c r="AQL233"/>
      <c r="AQM233"/>
      <c r="AQN233"/>
      <c r="AQO233"/>
      <c r="AQP233"/>
      <c r="AQQ233"/>
      <c r="AQR233"/>
      <c r="AQS233"/>
      <c r="AQT233"/>
      <c r="AQU233"/>
      <c r="AQV233"/>
      <c r="AQW233"/>
      <c r="AQX233"/>
      <c r="AQY233"/>
      <c r="AQZ233"/>
      <c r="ARA233"/>
      <c r="ARB233"/>
      <c r="ARC233"/>
      <c r="ARD233"/>
      <c r="ARE233"/>
      <c r="ARF233"/>
      <c r="ARG233"/>
      <c r="ARH233"/>
      <c r="ARI233"/>
      <c r="ARJ233"/>
      <c r="ARK233"/>
      <c r="ARL233"/>
      <c r="ARM233"/>
      <c r="ARN233"/>
      <c r="ARO233"/>
      <c r="ARP233"/>
      <c r="ARQ233"/>
      <c r="ARR233"/>
      <c r="ARS233"/>
      <c r="ART233"/>
      <c r="ARU233"/>
      <c r="ARV233"/>
      <c r="ARW233"/>
      <c r="ARX233"/>
      <c r="ARY233"/>
      <c r="ARZ233"/>
      <c r="ASA233"/>
      <c r="ASB233"/>
      <c r="ASC233"/>
      <c r="ASD233"/>
      <c r="ASE233"/>
      <c r="ASF233"/>
      <c r="ASG233"/>
      <c r="ASH233"/>
      <c r="ASI233"/>
      <c r="ASJ233"/>
      <c r="ASK233"/>
      <c r="ASL233"/>
      <c r="ASM233"/>
      <c r="ASN233"/>
      <c r="ASO233"/>
      <c r="ASP233"/>
      <c r="ASQ233"/>
      <c r="ASR233"/>
      <c r="ASS233"/>
      <c r="AST233"/>
      <c r="ASU233"/>
      <c r="ASV233"/>
      <c r="ASW233"/>
      <c r="ASX233"/>
      <c r="ASY233"/>
      <c r="ASZ233"/>
      <c r="ATA233"/>
      <c r="ATB233"/>
      <c r="ATC233"/>
      <c r="ATD233"/>
      <c r="ATE233"/>
      <c r="ATF233"/>
      <c r="ATG233"/>
      <c r="ATH233"/>
      <c r="ATI233"/>
      <c r="ATJ233"/>
      <c r="ATK233"/>
      <c r="ATL233"/>
      <c r="ATM233"/>
      <c r="ATN233"/>
      <c r="ATO233"/>
      <c r="ATP233"/>
      <c r="ATQ233"/>
      <c r="ATR233"/>
      <c r="ATS233"/>
      <c r="ATT233"/>
      <c r="ATU233"/>
      <c r="ATV233"/>
      <c r="ATW233"/>
      <c r="ATX233"/>
      <c r="ATY233"/>
      <c r="ATZ233"/>
      <c r="AUA233"/>
      <c r="AUB233"/>
      <c r="AUC233"/>
      <c r="AUD233"/>
      <c r="AUE233"/>
      <c r="AUF233"/>
      <c r="AUG233"/>
      <c r="AUH233"/>
      <c r="AUI233"/>
      <c r="AUJ233"/>
      <c r="AUK233"/>
      <c r="AUL233"/>
      <c r="AUM233"/>
      <c r="AUN233"/>
      <c r="AUO233"/>
      <c r="AUP233"/>
      <c r="AUQ233"/>
      <c r="AUR233"/>
      <c r="AUS233"/>
      <c r="AUT233"/>
      <c r="AUU233"/>
      <c r="AUV233"/>
      <c r="AUW233"/>
      <c r="AUX233"/>
      <c r="AUY233"/>
      <c r="AUZ233"/>
      <c r="AVA233"/>
      <c r="AVB233"/>
      <c r="AVC233"/>
      <c r="AVD233"/>
      <c r="AVE233"/>
      <c r="AVF233"/>
      <c r="AVG233"/>
      <c r="AVH233"/>
      <c r="AVI233"/>
      <c r="AVJ233"/>
      <c r="AVK233"/>
      <c r="AVL233"/>
      <c r="AVM233"/>
      <c r="AVN233"/>
      <c r="AVO233"/>
      <c r="AVP233"/>
      <c r="AVQ233"/>
      <c r="AVR233"/>
      <c r="AVS233"/>
      <c r="AVT233"/>
      <c r="AVU233"/>
      <c r="AVV233"/>
      <c r="AVW233"/>
      <c r="AVX233"/>
      <c r="AVY233"/>
      <c r="AVZ233"/>
      <c r="AWA233"/>
      <c r="AWB233"/>
      <c r="AWC233"/>
      <c r="AWD233"/>
      <c r="AWE233"/>
      <c r="AWF233"/>
      <c r="AWG233"/>
      <c r="AWH233"/>
      <c r="AWI233"/>
      <c r="AWJ233"/>
      <c r="AWK233"/>
      <c r="AWL233"/>
      <c r="AWM233"/>
      <c r="AWN233"/>
      <c r="AWO233"/>
      <c r="AWP233"/>
      <c r="AWQ233"/>
      <c r="AWR233"/>
      <c r="AWS233"/>
      <c r="AWT233"/>
      <c r="AWU233"/>
      <c r="AWV233"/>
      <c r="AWW233"/>
      <c r="AWX233"/>
      <c r="AWY233"/>
      <c r="AWZ233"/>
      <c r="AXA233"/>
      <c r="AXB233"/>
      <c r="AXC233"/>
      <c r="AXD233"/>
      <c r="AXE233"/>
      <c r="AXF233"/>
      <c r="AXG233"/>
      <c r="AXH233"/>
      <c r="AXI233"/>
      <c r="AXJ233"/>
      <c r="AXK233"/>
      <c r="AXL233"/>
      <c r="AXM233"/>
      <c r="AXN233"/>
      <c r="AXO233"/>
      <c r="AXP233"/>
      <c r="AXQ233"/>
      <c r="AXR233"/>
      <c r="AXS233"/>
      <c r="AXT233"/>
      <c r="AXU233"/>
      <c r="AXV233"/>
      <c r="AXW233"/>
      <c r="AXX233"/>
      <c r="AXY233"/>
      <c r="AXZ233"/>
      <c r="AYA233"/>
      <c r="AYB233"/>
      <c r="AYC233"/>
      <c r="AYD233"/>
      <c r="AYE233"/>
      <c r="AYF233"/>
      <c r="AYG233"/>
      <c r="AYH233"/>
      <c r="AYI233"/>
      <c r="AYJ233"/>
      <c r="AYK233"/>
      <c r="AYL233"/>
      <c r="AYM233"/>
      <c r="AYN233"/>
      <c r="AYO233"/>
      <c r="AYP233"/>
      <c r="AYQ233"/>
      <c r="AYR233"/>
      <c r="AYS233"/>
      <c r="AYT233"/>
      <c r="AYU233"/>
      <c r="AYV233"/>
      <c r="AYW233"/>
      <c r="AYX233"/>
      <c r="AYY233"/>
      <c r="AYZ233"/>
      <c r="AZA233"/>
      <c r="AZB233"/>
      <c r="AZC233"/>
      <c r="AZD233"/>
      <c r="AZE233"/>
      <c r="AZF233"/>
      <c r="AZG233"/>
      <c r="AZH233"/>
      <c r="AZI233"/>
      <c r="AZJ233"/>
      <c r="AZK233"/>
      <c r="AZL233"/>
      <c r="AZM233"/>
      <c r="AZN233"/>
      <c r="AZO233"/>
      <c r="AZP233"/>
      <c r="AZQ233"/>
      <c r="AZR233"/>
      <c r="AZS233"/>
      <c r="AZT233"/>
      <c r="AZU233"/>
      <c r="AZV233"/>
      <c r="AZW233"/>
      <c r="AZX233"/>
      <c r="AZY233"/>
      <c r="AZZ233"/>
      <c r="BAA233"/>
      <c r="BAB233"/>
      <c r="BAC233"/>
      <c r="BAD233"/>
      <c r="BAE233"/>
      <c r="BAF233"/>
      <c r="BAG233"/>
      <c r="BAH233"/>
      <c r="BAI233"/>
      <c r="BAJ233"/>
      <c r="BAK233"/>
      <c r="BAL233"/>
      <c r="BAM233"/>
      <c r="BAN233"/>
      <c r="BAO233"/>
      <c r="BAP233"/>
      <c r="BAQ233"/>
      <c r="BAR233"/>
      <c r="BAS233"/>
      <c r="BAT233"/>
      <c r="BAU233"/>
      <c r="BAV233"/>
      <c r="BAW233"/>
      <c r="BAX233"/>
      <c r="BAY233"/>
      <c r="BAZ233"/>
      <c r="BBA233"/>
      <c r="BBB233"/>
      <c r="BBC233"/>
      <c r="BBD233"/>
      <c r="BBE233"/>
      <c r="BBF233"/>
      <c r="BBG233"/>
      <c r="BBH233"/>
      <c r="BBI233"/>
      <c r="BBJ233"/>
      <c r="BBK233"/>
      <c r="BBL233"/>
      <c r="BBM233"/>
      <c r="BBN233"/>
      <c r="BBO233"/>
      <c r="BBP233"/>
      <c r="BBQ233"/>
      <c r="BBR233"/>
      <c r="BBS233"/>
      <c r="BBT233"/>
      <c r="BBU233"/>
      <c r="BBV233"/>
      <c r="BBW233"/>
      <c r="BBX233"/>
      <c r="BBY233"/>
      <c r="BBZ233"/>
      <c r="BCA233"/>
      <c r="BCB233"/>
      <c r="BCC233"/>
      <c r="BCD233"/>
      <c r="BCE233"/>
      <c r="BCF233"/>
      <c r="BCG233"/>
      <c r="BCH233"/>
      <c r="BCI233"/>
      <c r="BCJ233"/>
      <c r="BCK233"/>
      <c r="BCL233"/>
      <c r="BCM233"/>
      <c r="BCN233"/>
      <c r="BCO233"/>
      <c r="BCP233"/>
      <c r="BCQ233"/>
      <c r="BCR233"/>
      <c r="BCS233"/>
      <c r="BCT233"/>
      <c r="BCU233"/>
      <c r="BCV233"/>
      <c r="BCW233"/>
      <c r="BCX233"/>
      <c r="BCY233"/>
      <c r="BCZ233"/>
      <c r="BDA233"/>
      <c r="BDB233"/>
      <c r="BDC233"/>
      <c r="BDD233"/>
      <c r="BDE233"/>
      <c r="BDF233"/>
      <c r="BDG233"/>
      <c r="BDH233"/>
      <c r="BDI233"/>
      <c r="BDJ233"/>
      <c r="BDK233"/>
      <c r="BDL233"/>
      <c r="BDM233"/>
      <c r="BDN233"/>
      <c r="BDO233"/>
      <c r="BDP233"/>
      <c r="BDQ233"/>
      <c r="BDR233"/>
      <c r="BDS233"/>
      <c r="BDT233"/>
      <c r="BDU233"/>
      <c r="BDV233"/>
      <c r="BDW233"/>
      <c r="BDX233"/>
      <c r="BDY233"/>
      <c r="BDZ233"/>
      <c r="BEA233"/>
      <c r="BEB233"/>
      <c r="BEC233"/>
      <c r="BED233"/>
      <c r="BEE233"/>
      <c r="BEF233"/>
      <c r="BEG233"/>
      <c r="BEH233"/>
      <c r="BEI233"/>
      <c r="BEJ233"/>
      <c r="BEK233"/>
      <c r="BEL233"/>
      <c r="BEM233"/>
      <c r="BEN233"/>
      <c r="BEO233"/>
      <c r="BEP233"/>
      <c r="BEQ233"/>
      <c r="BER233"/>
      <c r="BES233"/>
      <c r="BET233"/>
      <c r="BEU233"/>
      <c r="BEV233"/>
      <c r="BEW233"/>
      <c r="BEX233"/>
      <c r="BEY233"/>
      <c r="BEZ233"/>
      <c r="BFA233"/>
      <c r="BFB233"/>
      <c r="BFC233"/>
      <c r="BFD233"/>
      <c r="BFE233"/>
      <c r="BFF233"/>
      <c r="BFG233"/>
      <c r="BFH233"/>
      <c r="BFI233"/>
      <c r="BFJ233"/>
      <c r="BFK233"/>
      <c r="BFL233"/>
      <c r="BFM233"/>
      <c r="BFN233"/>
      <c r="BFO233"/>
      <c r="BFP233"/>
      <c r="BFQ233"/>
      <c r="BFR233"/>
      <c r="BFS233"/>
      <c r="BFT233"/>
      <c r="BFU233"/>
      <c r="BFV233"/>
      <c r="BFW233"/>
      <c r="BFX233"/>
      <c r="BFY233"/>
      <c r="BFZ233"/>
      <c r="BGA233"/>
      <c r="BGB233"/>
      <c r="BGC233"/>
      <c r="BGD233"/>
      <c r="BGE233"/>
      <c r="BGF233"/>
      <c r="BGG233"/>
      <c r="BGH233"/>
      <c r="BGI233"/>
      <c r="BGJ233"/>
      <c r="BGK233"/>
      <c r="BGL233"/>
      <c r="BGM233"/>
      <c r="BGN233"/>
      <c r="BGO233"/>
      <c r="BGP233"/>
      <c r="BGQ233"/>
      <c r="BGR233"/>
      <c r="BGS233"/>
      <c r="BGT233"/>
      <c r="BGU233"/>
      <c r="BGV233"/>
      <c r="BGW233"/>
      <c r="BGX233"/>
      <c r="BGY233"/>
      <c r="BGZ233"/>
      <c r="BHA233"/>
      <c r="BHB233"/>
      <c r="BHC233"/>
      <c r="BHD233"/>
      <c r="BHE233"/>
      <c r="BHF233"/>
      <c r="BHG233"/>
      <c r="BHH233"/>
      <c r="BHI233"/>
      <c r="BHJ233"/>
      <c r="BHK233"/>
      <c r="BHL233"/>
      <c r="BHM233"/>
      <c r="BHN233"/>
      <c r="BHO233"/>
      <c r="BHP233"/>
      <c r="BHQ233"/>
      <c r="BHR233"/>
      <c r="BHS233"/>
      <c r="BHT233"/>
      <c r="BHU233"/>
      <c r="BHV233"/>
      <c r="BHW233"/>
      <c r="BHX233"/>
      <c r="BHY233"/>
      <c r="BHZ233"/>
      <c r="BIA233"/>
      <c r="BIB233"/>
      <c r="BIC233"/>
      <c r="BID233"/>
      <c r="BIE233"/>
      <c r="BIF233"/>
      <c r="BIG233"/>
      <c r="BIH233"/>
      <c r="BII233"/>
      <c r="BIJ233"/>
      <c r="BIK233"/>
      <c r="BIL233"/>
      <c r="BIM233"/>
      <c r="BIN233"/>
      <c r="BIO233"/>
      <c r="BIP233"/>
      <c r="BIQ233"/>
      <c r="BIR233"/>
      <c r="BIS233"/>
      <c r="BIT233"/>
      <c r="BIU233"/>
      <c r="BIV233"/>
      <c r="BIW233"/>
      <c r="BIX233"/>
      <c r="BIY233"/>
      <c r="BIZ233"/>
      <c r="BJA233"/>
      <c r="BJB233"/>
      <c r="BJC233"/>
      <c r="BJD233"/>
      <c r="BJE233"/>
      <c r="BJF233"/>
      <c r="BJG233"/>
      <c r="BJH233"/>
      <c r="BJI233"/>
      <c r="BJJ233"/>
      <c r="BJK233"/>
      <c r="BJL233"/>
      <c r="BJM233"/>
      <c r="BJN233"/>
      <c r="BJO233"/>
      <c r="BJP233"/>
      <c r="BJQ233"/>
      <c r="BJR233"/>
      <c r="BJS233"/>
      <c r="BJT233"/>
      <c r="BJU233"/>
      <c r="BJV233"/>
      <c r="BJW233"/>
      <c r="BJX233"/>
      <c r="BJY233"/>
      <c r="BJZ233"/>
      <c r="BKA233"/>
      <c r="BKB233"/>
      <c r="BKC233"/>
      <c r="BKD233"/>
      <c r="BKE233"/>
      <c r="BKF233"/>
      <c r="BKG233"/>
      <c r="BKH233"/>
      <c r="BKI233"/>
      <c r="BKJ233"/>
      <c r="BKK233"/>
      <c r="BKL233"/>
      <c r="BKM233"/>
      <c r="BKN233"/>
      <c r="BKO233"/>
      <c r="BKP233"/>
      <c r="BKQ233"/>
      <c r="BKR233"/>
      <c r="BKS233"/>
      <c r="BKT233"/>
      <c r="BKU233"/>
      <c r="BKV233"/>
      <c r="BKW233"/>
      <c r="BKX233"/>
      <c r="BKY233"/>
      <c r="BKZ233"/>
      <c r="BLA233"/>
      <c r="BLB233"/>
      <c r="BLC233"/>
      <c r="BLD233"/>
      <c r="BLE233"/>
      <c r="BLF233"/>
      <c r="BLG233"/>
      <c r="BLH233"/>
      <c r="BLI233"/>
      <c r="BLJ233"/>
      <c r="BLK233"/>
      <c r="BLL233"/>
      <c r="BLM233"/>
      <c r="BLN233"/>
      <c r="BLO233"/>
      <c r="BLP233"/>
      <c r="BLQ233"/>
      <c r="BLR233"/>
      <c r="BLS233"/>
      <c r="BLT233"/>
      <c r="BLU233"/>
      <c r="BLV233"/>
      <c r="BLW233"/>
      <c r="BLX233"/>
      <c r="BLY233"/>
      <c r="BLZ233"/>
      <c r="BMA233"/>
      <c r="BMB233"/>
      <c r="BMC233"/>
      <c r="BMD233"/>
      <c r="BME233"/>
      <c r="BMF233"/>
      <c r="BMG233"/>
      <c r="BMH233"/>
      <c r="BMI233"/>
      <c r="BMJ233"/>
      <c r="BMK233"/>
      <c r="BML233"/>
      <c r="BMM233"/>
      <c r="BMN233"/>
      <c r="BMO233"/>
      <c r="BMP233"/>
      <c r="BMQ233"/>
      <c r="BMR233"/>
      <c r="BMS233"/>
      <c r="BMT233"/>
      <c r="BMU233"/>
      <c r="BMV233"/>
      <c r="BMW233"/>
      <c r="BMX233"/>
      <c r="BMY233"/>
      <c r="BMZ233"/>
      <c r="BNA233"/>
      <c r="BNB233"/>
      <c r="BNC233"/>
      <c r="BND233"/>
      <c r="BNE233"/>
      <c r="BNF233"/>
      <c r="BNG233"/>
      <c r="BNH233"/>
      <c r="BNI233"/>
      <c r="BNJ233"/>
      <c r="BNK233"/>
      <c r="BNL233"/>
      <c r="BNM233"/>
      <c r="BNN233"/>
      <c r="BNO233"/>
      <c r="BNP233"/>
      <c r="BNQ233"/>
      <c r="BNR233"/>
      <c r="BNS233"/>
      <c r="BNT233"/>
      <c r="BNU233"/>
      <c r="BNV233"/>
      <c r="BNW233"/>
      <c r="BNX233"/>
      <c r="BNY233"/>
      <c r="BNZ233"/>
      <c r="BOA233"/>
      <c r="BOB233"/>
      <c r="BOC233"/>
      <c r="BOD233"/>
      <c r="BOE233"/>
      <c r="BOF233"/>
      <c r="BOG233"/>
      <c r="BOH233"/>
      <c r="BOI233"/>
      <c r="BOJ233"/>
      <c r="BOK233"/>
      <c r="BOL233"/>
      <c r="BOM233"/>
      <c r="BON233"/>
      <c r="BOO233"/>
      <c r="BOP233"/>
      <c r="BOQ233"/>
      <c r="BOR233"/>
      <c r="BOS233"/>
      <c r="BOT233"/>
      <c r="BOU233"/>
      <c r="BOV233"/>
      <c r="BOW233"/>
      <c r="BOX233"/>
      <c r="BOY233"/>
      <c r="BOZ233"/>
      <c r="BPA233"/>
      <c r="BPB233"/>
      <c r="BPC233"/>
      <c r="BPD233"/>
      <c r="BPE233"/>
      <c r="BPF233"/>
      <c r="BPG233"/>
      <c r="BPH233"/>
      <c r="BPI233"/>
      <c r="BPJ233"/>
      <c r="BPK233"/>
      <c r="BPL233"/>
      <c r="BPM233"/>
      <c r="BPN233"/>
      <c r="BPO233"/>
      <c r="BPP233"/>
      <c r="BPQ233"/>
      <c r="BPR233"/>
      <c r="BPS233"/>
      <c r="BPT233"/>
      <c r="BPU233"/>
      <c r="BPV233"/>
      <c r="BPW233"/>
      <c r="BPX233"/>
      <c r="BPY233"/>
      <c r="BPZ233"/>
      <c r="BQA233"/>
      <c r="BQB233"/>
      <c r="BQC233"/>
      <c r="BQD233"/>
      <c r="BQE233"/>
      <c r="BQF233"/>
      <c r="BQG233"/>
      <c r="BQH233"/>
      <c r="BQI233"/>
      <c r="BQJ233"/>
      <c r="BQK233"/>
      <c r="BQL233"/>
      <c r="BQM233"/>
      <c r="BQN233"/>
      <c r="BQO233"/>
      <c r="BQP233"/>
      <c r="BQQ233"/>
      <c r="BQR233"/>
      <c r="BQS233"/>
      <c r="BQT233"/>
      <c r="BQU233"/>
      <c r="BQV233"/>
      <c r="BQW233"/>
      <c r="BQX233"/>
      <c r="BQY233"/>
      <c r="BQZ233"/>
      <c r="BRA233"/>
      <c r="BRB233"/>
      <c r="BRC233"/>
      <c r="BRD233"/>
      <c r="BRE233"/>
      <c r="BRF233"/>
      <c r="BRG233"/>
      <c r="BRH233"/>
      <c r="BRI233"/>
      <c r="BRJ233"/>
      <c r="BRK233"/>
      <c r="BRL233"/>
      <c r="BRM233"/>
      <c r="BRN233"/>
      <c r="BRO233"/>
      <c r="BRP233"/>
      <c r="BRQ233"/>
      <c r="BRR233"/>
      <c r="BRS233"/>
      <c r="BRT233"/>
      <c r="BRU233"/>
      <c r="BRV233"/>
      <c r="BRW233"/>
      <c r="BRX233"/>
      <c r="BRY233"/>
      <c r="BRZ233"/>
      <c r="BSA233"/>
      <c r="BSB233"/>
      <c r="BSC233"/>
      <c r="BSD233"/>
      <c r="BSE233"/>
      <c r="BSF233"/>
      <c r="BSG233"/>
      <c r="BSH233"/>
      <c r="BSI233"/>
      <c r="BSJ233"/>
      <c r="BSK233"/>
      <c r="BSL233"/>
      <c r="BSM233"/>
      <c r="BSN233"/>
      <c r="BSO233"/>
      <c r="BSP233"/>
      <c r="BSQ233"/>
      <c r="BSR233"/>
      <c r="BSS233"/>
      <c r="BST233"/>
      <c r="BSU233"/>
      <c r="BSV233"/>
      <c r="BSW233"/>
      <c r="BSX233"/>
      <c r="BSY233"/>
      <c r="BSZ233"/>
      <c r="BTA233"/>
      <c r="BTB233"/>
      <c r="BTC233"/>
      <c r="BTD233"/>
      <c r="BTE233"/>
      <c r="BTF233"/>
      <c r="BTG233"/>
      <c r="BTH233"/>
      <c r="BTI233"/>
      <c r="BTJ233"/>
      <c r="BTK233"/>
      <c r="BTL233"/>
      <c r="BTM233"/>
      <c r="BTN233"/>
      <c r="BTO233"/>
      <c r="BTP233"/>
      <c r="BTQ233"/>
      <c r="BTR233"/>
      <c r="BTS233"/>
      <c r="BTT233"/>
      <c r="BTU233"/>
      <c r="BTV233"/>
      <c r="BTW233"/>
      <c r="BTX233"/>
      <c r="BTY233"/>
      <c r="BTZ233"/>
      <c r="BUA233"/>
      <c r="BUB233"/>
      <c r="BUC233"/>
      <c r="BUD233"/>
      <c r="BUE233"/>
      <c r="BUF233"/>
      <c r="BUG233"/>
      <c r="BUH233"/>
      <c r="BUI233"/>
      <c r="BUJ233"/>
      <c r="BUK233"/>
      <c r="BUL233"/>
      <c r="BUM233"/>
      <c r="BUN233"/>
      <c r="BUO233"/>
      <c r="BUP233"/>
      <c r="BUQ233"/>
      <c r="BUR233"/>
      <c r="BUS233"/>
      <c r="BUT233"/>
      <c r="BUU233"/>
      <c r="BUV233"/>
      <c r="BUW233"/>
      <c r="BUX233"/>
      <c r="BUY233"/>
      <c r="BUZ233"/>
      <c r="BVA233"/>
      <c r="BVB233"/>
      <c r="BVC233"/>
      <c r="BVD233"/>
      <c r="BVE233"/>
      <c r="BVF233"/>
      <c r="BVG233"/>
      <c r="BVH233"/>
      <c r="BVI233"/>
      <c r="BVJ233"/>
      <c r="BVK233"/>
      <c r="BVL233"/>
      <c r="BVM233"/>
      <c r="BVN233"/>
      <c r="BVO233"/>
      <c r="BVP233"/>
      <c r="BVQ233"/>
      <c r="BVR233"/>
      <c r="BVS233"/>
      <c r="BVT233"/>
      <c r="BVU233"/>
      <c r="BVV233"/>
      <c r="BVW233"/>
      <c r="BVX233"/>
      <c r="BVY233"/>
      <c r="BVZ233"/>
      <c r="BWA233"/>
      <c r="BWB233"/>
      <c r="BWC233"/>
      <c r="BWD233"/>
      <c r="BWE233"/>
      <c r="BWF233"/>
      <c r="BWG233"/>
      <c r="BWH233"/>
      <c r="BWI233"/>
      <c r="BWJ233"/>
      <c r="BWK233"/>
      <c r="BWL233"/>
      <c r="BWM233"/>
      <c r="BWN233"/>
      <c r="BWO233"/>
      <c r="BWP233"/>
      <c r="BWQ233"/>
      <c r="BWR233"/>
      <c r="BWS233"/>
      <c r="BWT233"/>
      <c r="BWU233"/>
      <c r="BWV233"/>
      <c r="BWW233"/>
      <c r="BWX233"/>
      <c r="BWY233"/>
      <c r="BWZ233"/>
      <c r="BXA233"/>
      <c r="BXB233"/>
      <c r="BXC233"/>
      <c r="BXD233"/>
      <c r="BXE233"/>
      <c r="BXF233"/>
      <c r="BXG233"/>
      <c r="BXH233"/>
      <c r="BXI233"/>
      <c r="BXJ233"/>
      <c r="BXK233"/>
      <c r="BXL233"/>
      <c r="BXM233"/>
      <c r="BXN233"/>
      <c r="BXO233"/>
      <c r="BXP233"/>
      <c r="BXQ233"/>
      <c r="BXR233"/>
      <c r="BXS233"/>
      <c r="BXT233"/>
      <c r="BXU233"/>
      <c r="BXV233"/>
      <c r="BXW233"/>
      <c r="BXX233"/>
      <c r="BXY233"/>
      <c r="BXZ233"/>
      <c r="BYA233"/>
      <c r="BYB233"/>
      <c r="BYC233"/>
      <c r="BYD233"/>
      <c r="BYE233"/>
      <c r="BYF233"/>
      <c r="BYG233"/>
      <c r="BYH233"/>
      <c r="BYI233"/>
      <c r="BYJ233"/>
      <c r="BYK233"/>
      <c r="BYL233"/>
      <c r="BYM233"/>
      <c r="BYN233"/>
      <c r="BYO233"/>
      <c r="BYP233"/>
      <c r="BYQ233"/>
      <c r="BYR233"/>
      <c r="BYS233"/>
      <c r="BYT233"/>
      <c r="BYU233"/>
      <c r="BYV233"/>
      <c r="BYW233"/>
      <c r="BYX233"/>
      <c r="BYY233"/>
      <c r="BYZ233"/>
      <c r="BZA233"/>
      <c r="BZB233"/>
      <c r="BZC233"/>
      <c r="BZD233"/>
      <c r="BZE233"/>
      <c r="BZF233"/>
      <c r="BZG233"/>
      <c r="BZH233"/>
      <c r="BZI233"/>
      <c r="BZJ233"/>
      <c r="BZK233"/>
      <c r="BZL233"/>
      <c r="BZM233"/>
      <c r="BZN233"/>
      <c r="BZO233"/>
      <c r="BZP233"/>
      <c r="BZQ233"/>
      <c r="BZR233"/>
      <c r="BZS233"/>
      <c r="BZT233"/>
      <c r="BZU233"/>
      <c r="BZV233"/>
      <c r="BZW233"/>
      <c r="BZX233"/>
      <c r="BZY233"/>
      <c r="BZZ233"/>
      <c r="CAA233"/>
      <c r="CAB233"/>
      <c r="CAC233"/>
      <c r="CAD233"/>
      <c r="CAE233"/>
      <c r="CAF233"/>
      <c r="CAG233"/>
      <c r="CAH233"/>
      <c r="CAI233"/>
      <c r="CAJ233"/>
      <c r="CAK233"/>
      <c r="CAL233"/>
      <c r="CAM233"/>
      <c r="CAN233"/>
      <c r="CAO233"/>
      <c r="CAP233"/>
      <c r="CAQ233"/>
      <c r="CAR233"/>
      <c r="CAS233"/>
      <c r="CAT233"/>
      <c r="CAU233"/>
      <c r="CAV233"/>
      <c r="CAW233"/>
      <c r="CAX233"/>
      <c r="CAY233"/>
      <c r="CAZ233"/>
      <c r="CBA233"/>
      <c r="CBB233"/>
      <c r="CBC233"/>
      <c r="CBD233"/>
      <c r="CBE233"/>
      <c r="CBF233"/>
      <c r="CBG233"/>
      <c r="CBH233"/>
      <c r="CBI233"/>
      <c r="CBJ233"/>
      <c r="CBK233"/>
      <c r="CBL233"/>
      <c r="CBM233"/>
      <c r="CBN233"/>
      <c r="CBO233"/>
      <c r="CBP233"/>
      <c r="CBQ233"/>
      <c r="CBR233"/>
      <c r="CBS233"/>
      <c r="CBT233"/>
      <c r="CBU233"/>
      <c r="CBV233"/>
      <c r="CBW233"/>
      <c r="CBX233"/>
      <c r="CBY233"/>
      <c r="CBZ233"/>
      <c r="CCA233"/>
      <c r="CCB233"/>
      <c r="CCC233"/>
      <c r="CCD233"/>
      <c r="CCE233"/>
      <c r="CCF233"/>
      <c r="CCG233"/>
      <c r="CCH233"/>
      <c r="CCI233"/>
      <c r="CCJ233"/>
      <c r="CCK233"/>
      <c r="CCL233"/>
      <c r="CCM233"/>
      <c r="CCN233"/>
      <c r="CCO233"/>
      <c r="CCP233"/>
      <c r="CCQ233"/>
      <c r="CCR233"/>
      <c r="CCS233"/>
      <c r="CCT233"/>
      <c r="CCU233"/>
      <c r="CCV233"/>
      <c r="CCW233"/>
      <c r="CCX233"/>
      <c r="CCY233"/>
      <c r="CCZ233"/>
      <c r="CDA233"/>
      <c r="CDB233"/>
      <c r="CDC233"/>
      <c r="CDD233"/>
      <c r="CDE233"/>
      <c r="CDF233"/>
      <c r="CDG233"/>
      <c r="CDH233"/>
      <c r="CDI233"/>
      <c r="CDJ233"/>
      <c r="CDK233"/>
      <c r="CDL233"/>
      <c r="CDM233"/>
      <c r="CDN233"/>
      <c r="CDO233"/>
      <c r="CDP233"/>
      <c r="CDQ233"/>
      <c r="CDR233"/>
      <c r="CDS233"/>
      <c r="CDT233"/>
      <c r="CDU233"/>
      <c r="CDV233"/>
      <c r="CDW233"/>
      <c r="CDX233"/>
      <c r="CDY233"/>
      <c r="CDZ233"/>
      <c r="CEA233"/>
      <c r="CEB233"/>
      <c r="CEC233"/>
      <c r="CED233"/>
      <c r="CEE233"/>
      <c r="CEF233"/>
      <c r="CEG233"/>
      <c r="CEH233"/>
      <c r="CEI233"/>
      <c r="CEJ233"/>
      <c r="CEK233"/>
      <c r="CEL233"/>
      <c r="CEM233"/>
      <c r="CEN233"/>
      <c r="CEO233"/>
      <c r="CEP233"/>
      <c r="CEQ233"/>
      <c r="CER233"/>
      <c r="CES233"/>
      <c r="CET233"/>
      <c r="CEU233"/>
      <c r="CEV233"/>
      <c r="CEW233"/>
      <c r="CEX233"/>
      <c r="CEY233"/>
      <c r="CEZ233"/>
      <c r="CFA233"/>
      <c r="CFB233"/>
      <c r="CFC233"/>
      <c r="CFD233"/>
      <c r="CFE233"/>
      <c r="CFF233"/>
      <c r="CFG233"/>
      <c r="CFH233"/>
      <c r="CFI233"/>
      <c r="CFJ233"/>
      <c r="CFK233"/>
      <c r="CFL233"/>
      <c r="CFM233"/>
      <c r="CFN233"/>
      <c r="CFO233"/>
      <c r="CFP233"/>
      <c r="CFQ233"/>
      <c r="CFR233"/>
      <c r="CFS233"/>
      <c r="CFT233"/>
      <c r="CFU233"/>
      <c r="CFV233"/>
      <c r="CFW233"/>
      <c r="CFX233"/>
      <c r="CFY233"/>
      <c r="CFZ233"/>
      <c r="CGA233"/>
      <c r="CGB233"/>
      <c r="CGC233"/>
      <c r="CGD233"/>
      <c r="CGE233"/>
      <c r="CGF233"/>
      <c r="CGG233"/>
      <c r="CGH233"/>
      <c r="CGI233"/>
      <c r="CGJ233"/>
      <c r="CGK233"/>
      <c r="CGL233"/>
      <c r="CGM233"/>
      <c r="CGN233"/>
      <c r="CGO233"/>
      <c r="CGP233"/>
      <c r="CGQ233"/>
      <c r="CGR233"/>
      <c r="CGS233"/>
      <c r="CGT233"/>
      <c r="CGU233"/>
      <c r="CGV233"/>
      <c r="CGW233"/>
      <c r="CGX233"/>
      <c r="CGY233"/>
      <c r="CGZ233"/>
      <c r="CHA233"/>
      <c r="CHB233"/>
      <c r="CHC233"/>
      <c r="CHD233"/>
      <c r="CHE233"/>
      <c r="CHF233"/>
      <c r="CHG233"/>
      <c r="CHH233"/>
      <c r="CHI233"/>
      <c r="CHJ233"/>
      <c r="CHK233"/>
      <c r="CHL233"/>
      <c r="CHM233"/>
      <c r="CHN233"/>
      <c r="CHO233"/>
      <c r="CHP233"/>
      <c r="CHQ233"/>
      <c r="CHR233"/>
      <c r="CHS233"/>
      <c r="CHT233"/>
      <c r="CHU233"/>
      <c r="CHV233"/>
      <c r="CHW233"/>
      <c r="CHX233"/>
      <c r="CHY233"/>
      <c r="CHZ233"/>
      <c r="CIA233"/>
      <c r="CIB233"/>
      <c r="CIC233"/>
      <c r="CID233"/>
      <c r="CIE233"/>
      <c r="CIF233"/>
      <c r="CIG233"/>
      <c r="CIH233"/>
      <c r="CII233"/>
      <c r="CIJ233"/>
      <c r="CIK233"/>
      <c r="CIL233"/>
      <c r="CIM233"/>
      <c r="CIN233"/>
      <c r="CIO233"/>
      <c r="CIP233"/>
      <c r="CIQ233"/>
      <c r="CIR233"/>
      <c r="CIS233"/>
      <c r="CIT233"/>
      <c r="CIU233"/>
      <c r="CIV233"/>
      <c r="CIW233"/>
      <c r="CIX233"/>
      <c r="CIY233"/>
      <c r="CIZ233"/>
      <c r="CJA233"/>
      <c r="CJB233"/>
      <c r="CJC233"/>
      <c r="CJD233"/>
      <c r="CJE233"/>
      <c r="CJF233"/>
      <c r="CJG233"/>
      <c r="CJH233"/>
      <c r="CJI233"/>
      <c r="CJJ233"/>
      <c r="CJK233"/>
      <c r="CJL233"/>
      <c r="CJM233"/>
      <c r="CJN233"/>
      <c r="CJO233"/>
      <c r="CJP233"/>
      <c r="CJQ233"/>
      <c r="CJR233"/>
      <c r="CJS233"/>
      <c r="CJT233"/>
      <c r="CJU233"/>
      <c r="CJV233"/>
      <c r="CJW233"/>
      <c r="CJX233"/>
      <c r="CJY233"/>
      <c r="CJZ233"/>
      <c r="CKA233"/>
      <c r="CKB233"/>
      <c r="CKC233"/>
      <c r="CKD233"/>
      <c r="CKE233"/>
      <c r="CKF233"/>
      <c r="CKG233"/>
      <c r="CKH233"/>
      <c r="CKI233"/>
      <c r="CKJ233"/>
      <c r="CKK233"/>
      <c r="CKL233"/>
      <c r="CKM233"/>
      <c r="CKN233"/>
      <c r="CKO233"/>
      <c r="CKP233"/>
      <c r="CKQ233"/>
      <c r="CKR233"/>
      <c r="CKS233"/>
      <c r="CKT233"/>
      <c r="CKU233"/>
      <c r="CKV233"/>
      <c r="CKW233"/>
      <c r="CKX233"/>
      <c r="CKY233"/>
      <c r="CKZ233"/>
      <c r="CLA233"/>
      <c r="CLB233"/>
      <c r="CLC233"/>
      <c r="CLD233"/>
      <c r="CLE233"/>
      <c r="CLF233"/>
      <c r="CLG233"/>
      <c r="CLH233"/>
      <c r="CLI233"/>
      <c r="CLJ233"/>
      <c r="CLK233"/>
      <c r="CLL233"/>
      <c r="CLM233"/>
      <c r="CLN233"/>
      <c r="CLO233"/>
      <c r="CLP233"/>
      <c r="CLQ233"/>
      <c r="CLR233"/>
      <c r="CLS233"/>
      <c r="CLT233"/>
      <c r="CLU233"/>
      <c r="CLV233"/>
      <c r="CLW233"/>
      <c r="CLX233"/>
      <c r="CLY233"/>
      <c r="CLZ233"/>
      <c r="CMA233"/>
      <c r="CMB233"/>
      <c r="CMC233"/>
      <c r="CMD233"/>
      <c r="CME233"/>
      <c r="CMF233"/>
      <c r="CMG233"/>
      <c r="CMH233"/>
      <c r="CMI233"/>
      <c r="CMJ233"/>
      <c r="CMK233"/>
      <c r="CML233"/>
      <c r="CMM233"/>
      <c r="CMN233"/>
      <c r="CMO233"/>
      <c r="CMP233"/>
      <c r="CMQ233"/>
      <c r="CMR233"/>
      <c r="CMS233"/>
      <c r="CMT233"/>
      <c r="CMU233"/>
      <c r="CMV233"/>
      <c r="CMW233"/>
      <c r="CMX233"/>
      <c r="CMY233"/>
      <c r="CMZ233"/>
      <c r="CNA233"/>
      <c r="CNB233"/>
      <c r="CNC233"/>
      <c r="CND233"/>
      <c r="CNE233"/>
      <c r="CNF233"/>
      <c r="CNG233"/>
      <c r="CNH233"/>
      <c r="CNI233"/>
      <c r="CNJ233"/>
      <c r="CNK233"/>
      <c r="CNL233"/>
      <c r="CNM233"/>
      <c r="CNN233"/>
      <c r="CNO233"/>
      <c r="CNP233"/>
      <c r="CNQ233"/>
      <c r="CNR233"/>
      <c r="CNS233"/>
      <c r="CNT233"/>
      <c r="CNU233"/>
      <c r="CNV233"/>
      <c r="CNW233"/>
      <c r="CNX233"/>
      <c r="CNY233"/>
      <c r="CNZ233"/>
      <c r="COA233"/>
      <c r="COB233"/>
      <c r="COC233"/>
      <c r="COD233"/>
      <c r="COE233"/>
      <c r="COF233"/>
      <c r="COG233"/>
      <c r="COH233"/>
      <c r="COI233"/>
      <c r="COJ233"/>
      <c r="COK233"/>
      <c r="COL233"/>
      <c r="COM233"/>
      <c r="CON233"/>
      <c r="COO233"/>
      <c r="COP233"/>
      <c r="COQ233"/>
      <c r="COR233"/>
      <c r="COS233"/>
      <c r="COT233"/>
      <c r="COU233"/>
      <c r="COV233"/>
      <c r="COW233"/>
      <c r="COX233"/>
      <c r="COY233"/>
      <c r="COZ233"/>
      <c r="CPA233"/>
      <c r="CPB233"/>
      <c r="CPC233"/>
      <c r="CPD233"/>
      <c r="CPE233"/>
      <c r="CPF233"/>
      <c r="CPG233"/>
      <c r="CPH233"/>
      <c r="CPI233"/>
      <c r="CPJ233"/>
      <c r="CPK233"/>
      <c r="CPL233"/>
      <c r="CPM233"/>
      <c r="CPN233"/>
      <c r="CPO233"/>
      <c r="CPP233"/>
      <c r="CPQ233"/>
      <c r="CPR233"/>
      <c r="CPS233"/>
      <c r="CPT233"/>
      <c r="CPU233"/>
      <c r="CPV233"/>
      <c r="CPW233"/>
      <c r="CPX233"/>
      <c r="CPY233"/>
      <c r="CPZ233"/>
      <c r="CQA233"/>
      <c r="CQB233"/>
      <c r="CQC233"/>
      <c r="CQD233"/>
      <c r="CQE233"/>
      <c r="CQF233"/>
      <c r="CQG233"/>
      <c r="CQH233"/>
      <c r="CQI233"/>
      <c r="CQJ233"/>
      <c r="CQK233"/>
      <c r="CQL233"/>
      <c r="CQM233"/>
      <c r="CQN233"/>
      <c r="CQO233"/>
      <c r="CQP233"/>
      <c r="CQQ233"/>
      <c r="CQR233"/>
      <c r="CQS233"/>
      <c r="CQT233"/>
      <c r="CQU233"/>
      <c r="CQV233"/>
      <c r="CQW233"/>
      <c r="CQX233"/>
      <c r="CQY233"/>
      <c r="CQZ233"/>
      <c r="CRA233"/>
      <c r="CRB233"/>
      <c r="CRC233"/>
      <c r="CRD233"/>
      <c r="CRE233"/>
      <c r="CRF233"/>
      <c r="CRG233"/>
      <c r="CRH233"/>
      <c r="CRI233"/>
      <c r="CRJ233"/>
      <c r="CRK233"/>
      <c r="CRL233"/>
      <c r="CRM233"/>
      <c r="CRN233"/>
      <c r="CRO233"/>
      <c r="CRP233"/>
      <c r="CRQ233"/>
      <c r="CRR233"/>
      <c r="CRS233"/>
      <c r="CRT233"/>
      <c r="CRU233"/>
      <c r="CRV233"/>
      <c r="CRW233"/>
      <c r="CRX233"/>
      <c r="CRY233"/>
      <c r="CRZ233"/>
      <c r="CSA233"/>
      <c r="CSB233"/>
      <c r="CSC233"/>
      <c r="CSD233"/>
      <c r="CSE233"/>
      <c r="CSF233"/>
      <c r="CSG233"/>
      <c r="CSH233"/>
      <c r="CSI233"/>
      <c r="CSJ233"/>
      <c r="CSK233"/>
      <c r="CSL233"/>
      <c r="CSM233"/>
      <c r="CSN233"/>
      <c r="CSO233"/>
      <c r="CSP233"/>
      <c r="CSQ233"/>
      <c r="CSR233"/>
      <c r="CSS233"/>
      <c r="CST233"/>
      <c r="CSU233"/>
      <c r="CSV233"/>
      <c r="CSW233"/>
      <c r="CSX233"/>
      <c r="CSY233"/>
      <c r="CSZ233"/>
      <c r="CTA233"/>
      <c r="CTB233"/>
      <c r="CTC233"/>
      <c r="CTD233"/>
      <c r="CTE233"/>
      <c r="CTF233"/>
      <c r="CTG233"/>
      <c r="CTH233"/>
      <c r="CTI233"/>
      <c r="CTJ233"/>
      <c r="CTK233"/>
      <c r="CTL233"/>
      <c r="CTM233"/>
      <c r="CTN233"/>
      <c r="CTO233"/>
      <c r="CTP233"/>
      <c r="CTQ233"/>
      <c r="CTR233"/>
      <c r="CTS233"/>
      <c r="CTT233"/>
      <c r="CTU233"/>
      <c r="CTV233"/>
      <c r="CTW233"/>
      <c r="CTX233"/>
      <c r="CTY233"/>
      <c r="CTZ233"/>
      <c r="CUA233"/>
      <c r="CUB233"/>
      <c r="CUC233"/>
      <c r="CUD233"/>
      <c r="CUE233"/>
      <c r="CUF233"/>
      <c r="CUG233"/>
      <c r="CUH233"/>
      <c r="CUI233"/>
      <c r="CUJ233"/>
      <c r="CUK233"/>
      <c r="CUL233"/>
      <c r="CUM233"/>
      <c r="CUN233"/>
      <c r="CUO233"/>
      <c r="CUP233"/>
      <c r="CUQ233"/>
      <c r="CUR233"/>
      <c r="CUS233"/>
      <c r="CUT233"/>
      <c r="CUU233"/>
      <c r="CUV233"/>
      <c r="CUW233"/>
      <c r="CUX233"/>
      <c r="CUY233"/>
      <c r="CUZ233"/>
      <c r="CVA233"/>
      <c r="CVB233"/>
      <c r="CVC233"/>
      <c r="CVD233"/>
      <c r="CVE233"/>
      <c r="CVF233"/>
      <c r="CVG233"/>
      <c r="CVH233"/>
      <c r="CVI233"/>
      <c r="CVJ233"/>
      <c r="CVK233"/>
      <c r="CVL233"/>
      <c r="CVM233"/>
      <c r="CVN233"/>
      <c r="CVO233"/>
      <c r="CVP233"/>
      <c r="CVQ233"/>
      <c r="CVR233"/>
      <c r="CVS233"/>
      <c r="CVT233"/>
      <c r="CVU233"/>
      <c r="CVV233"/>
      <c r="CVW233"/>
      <c r="CVX233"/>
      <c r="CVY233"/>
      <c r="CVZ233"/>
      <c r="CWA233"/>
      <c r="CWB233"/>
      <c r="CWC233"/>
      <c r="CWD233"/>
      <c r="CWE233"/>
      <c r="CWF233"/>
      <c r="CWG233"/>
      <c r="CWH233"/>
      <c r="CWI233"/>
      <c r="CWJ233"/>
      <c r="CWK233"/>
      <c r="CWL233"/>
      <c r="CWM233"/>
      <c r="CWN233"/>
      <c r="CWO233"/>
      <c r="CWP233"/>
      <c r="CWQ233"/>
      <c r="CWR233"/>
      <c r="CWS233"/>
      <c r="CWT233"/>
      <c r="CWU233"/>
      <c r="CWV233"/>
      <c r="CWW233"/>
      <c r="CWX233"/>
      <c r="CWY233"/>
      <c r="CWZ233"/>
      <c r="CXA233"/>
      <c r="CXB233"/>
      <c r="CXC233"/>
      <c r="CXD233"/>
      <c r="CXE233"/>
      <c r="CXF233"/>
      <c r="CXG233"/>
      <c r="CXH233"/>
      <c r="CXI233"/>
      <c r="CXJ233"/>
      <c r="CXK233"/>
      <c r="CXL233"/>
      <c r="CXM233"/>
      <c r="CXN233"/>
      <c r="CXO233"/>
      <c r="CXP233"/>
      <c r="CXQ233"/>
      <c r="CXR233"/>
      <c r="CXS233"/>
      <c r="CXT233"/>
      <c r="CXU233"/>
      <c r="CXV233"/>
      <c r="CXW233"/>
      <c r="CXX233"/>
      <c r="CXY233"/>
      <c r="CXZ233"/>
      <c r="CYA233"/>
      <c r="CYB233"/>
      <c r="CYC233"/>
      <c r="CYD233"/>
      <c r="CYE233"/>
      <c r="CYF233"/>
      <c r="CYG233"/>
      <c r="CYH233"/>
      <c r="CYI233"/>
      <c r="CYJ233"/>
      <c r="CYK233"/>
      <c r="CYL233"/>
      <c r="CYM233"/>
      <c r="CYN233"/>
      <c r="CYO233"/>
      <c r="CYP233"/>
      <c r="CYQ233"/>
      <c r="CYR233"/>
      <c r="CYS233"/>
      <c r="CYT233"/>
      <c r="CYU233"/>
      <c r="CYV233"/>
      <c r="CYW233"/>
      <c r="CYX233"/>
      <c r="CYY233"/>
      <c r="CYZ233"/>
      <c r="CZA233"/>
      <c r="CZB233"/>
      <c r="CZC233"/>
      <c r="CZD233"/>
      <c r="CZE233"/>
      <c r="CZF233"/>
      <c r="CZG233"/>
      <c r="CZH233"/>
      <c r="CZI233"/>
      <c r="CZJ233"/>
      <c r="CZK233"/>
      <c r="CZL233"/>
      <c r="CZM233"/>
      <c r="CZN233"/>
      <c r="CZO233"/>
      <c r="CZP233"/>
      <c r="CZQ233"/>
      <c r="CZR233"/>
      <c r="CZS233"/>
      <c r="CZT233"/>
      <c r="CZU233"/>
      <c r="CZV233"/>
      <c r="CZW233"/>
      <c r="CZX233"/>
      <c r="CZY233"/>
      <c r="CZZ233"/>
      <c r="DAA233"/>
      <c r="DAB233"/>
      <c r="DAC233"/>
      <c r="DAD233"/>
      <c r="DAE233"/>
      <c r="DAF233"/>
      <c r="DAG233"/>
      <c r="DAH233"/>
      <c r="DAI233"/>
      <c r="DAJ233"/>
      <c r="DAK233"/>
      <c r="DAL233"/>
      <c r="DAM233"/>
      <c r="DAN233"/>
      <c r="DAO233"/>
      <c r="DAP233"/>
      <c r="DAQ233"/>
      <c r="DAR233"/>
      <c r="DAS233"/>
      <c r="DAT233"/>
      <c r="DAU233"/>
      <c r="DAV233"/>
      <c r="DAW233"/>
      <c r="DAX233"/>
      <c r="DAY233"/>
      <c r="DAZ233"/>
      <c r="DBA233"/>
      <c r="DBB233"/>
      <c r="DBC233"/>
      <c r="DBD233"/>
      <c r="DBE233"/>
      <c r="DBF233"/>
      <c r="DBG233"/>
      <c r="DBH233"/>
      <c r="DBI233"/>
      <c r="DBJ233"/>
      <c r="DBK233"/>
      <c r="DBL233"/>
      <c r="DBM233"/>
      <c r="DBN233"/>
      <c r="DBO233"/>
      <c r="DBP233"/>
      <c r="DBQ233"/>
      <c r="DBR233"/>
      <c r="DBS233"/>
      <c r="DBT233"/>
      <c r="DBU233"/>
      <c r="DBV233"/>
      <c r="DBW233"/>
      <c r="DBX233"/>
      <c r="DBY233"/>
      <c r="DBZ233"/>
      <c r="DCA233"/>
      <c r="DCB233"/>
      <c r="DCC233"/>
      <c r="DCD233"/>
      <c r="DCE233"/>
      <c r="DCF233"/>
      <c r="DCG233"/>
      <c r="DCH233"/>
      <c r="DCI233"/>
      <c r="DCJ233"/>
      <c r="DCK233"/>
      <c r="DCL233"/>
      <c r="DCM233"/>
      <c r="DCN233"/>
      <c r="DCO233"/>
      <c r="DCP233"/>
      <c r="DCQ233"/>
      <c r="DCR233"/>
      <c r="DCS233"/>
      <c r="DCT233"/>
      <c r="DCU233"/>
      <c r="DCV233"/>
      <c r="DCW233"/>
      <c r="DCX233"/>
      <c r="DCY233"/>
      <c r="DCZ233"/>
      <c r="DDA233"/>
      <c r="DDB233"/>
      <c r="DDC233"/>
      <c r="DDD233"/>
      <c r="DDE233"/>
      <c r="DDF233"/>
      <c r="DDG233"/>
      <c r="DDH233"/>
      <c r="DDI233"/>
      <c r="DDJ233"/>
      <c r="DDK233"/>
      <c r="DDL233"/>
      <c r="DDM233"/>
      <c r="DDN233"/>
      <c r="DDO233"/>
      <c r="DDP233"/>
      <c r="DDQ233"/>
      <c r="DDR233"/>
      <c r="DDS233"/>
      <c r="DDT233"/>
      <c r="DDU233"/>
      <c r="DDV233"/>
      <c r="DDW233"/>
      <c r="DDX233"/>
      <c r="DDY233"/>
      <c r="DDZ233"/>
      <c r="DEA233"/>
      <c r="DEB233"/>
      <c r="DEC233"/>
      <c r="DED233"/>
      <c r="DEE233"/>
      <c r="DEF233"/>
      <c r="DEG233"/>
      <c r="DEH233"/>
      <c r="DEI233"/>
      <c r="DEJ233"/>
      <c r="DEK233"/>
      <c r="DEL233"/>
      <c r="DEM233"/>
      <c r="DEN233"/>
      <c r="DEO233"/>
      <c r="DEP233"/>
      <c r="DEQ233"/>
      <c r="DER233"/>
      <c r="DES233"/>
      <c r="DET233"/>
      <c r="DEU233"/>
      <c r="DEV233"/>
      <c r="DEW233"/>
      <c r="DEX233"/>
      <c r="DEY233"/>
      <c r="DEZ233"/>
      <c r="DFA233"/>
      <c r="DFB233"/>
      <c r="DFC233"/>
      <c r="DFD233"/>
      <c r="DFE233"/>
      <c r="DFF233"/>
      <c r="DFG233"/>
      <c r="DFH233"/>
      <c r="DFI233"/>
      <c r="DFJ233"/>
      <c r="DFK233"/>
      <c r="DFL233"/>
      <c r="DFM233"/>
      <c r="DFN233"/>
      <c r="DFO233"/>
      <c r="DFP233"/>
      <c r="DFQ233"/>
      <c r="DFR233"/>
      <c r="DFS233"/>
      <c r="DFT233"/>
      <c r="DFU233"/>
      <c r="DFV233"/>
      <c r="DFW233"/>
      <c r="DFX233"/>
      <c r="DFY233"/>
      <c r="DFZ233"/>
      <c r="DGA233"/>
      <c r="DGB233"/>
      <c r="DGC233"/>
      <c r="DGD233"/>
      <c r="DGE233"/>
      <c r="DGF233"/>
      <c r="DGG233"/>
      <c r="DGH233"/>
      <c r="DGI233"/>
      <c r="DGJ233"/>
      <c r="DGK233"/>
      <c r="DGL233"/>
      <c r="DGM233"/>
      <c r="DGN233"/>
      <c r="DGO233"/>
      <c r="DGP233"/>
      <c r="DGQ233"/>
      <c r="DGR233"/>
      <c r="DGS233"/>
      <c r="DGT233"/>
      <c r="DGU233"/>
      <c r="DGV233"/>
      <c r="DGW233"/>
      <c r="DGX233"/>
      <c r="DGY233"/>
      <c r="DGZ233"/>
      <c r="DHA233"/>
      <c r="DHB233"/>
      <c r="DHC233"/>
      <c r="DHD233"/>
      <c r="DHE233"/>
      <c r="DHF233"/>
      <c r="DHG233"/>
      <c r="DHH233"/>
      <c r="DHI233"/>
      <c r="DHJ233"/>
      <c r="DHK233"/>
      <c r="DHL233"/>
      <c r="DHM233"/>
      <c r="DHN233"/>
      <c r="DHO233"/>
      <c r="DHP233"/>
      <c r="DHQ233"/>
      <c r="DHR233"/>
      <c r="DHS233"/>
      <c r="DHT233"/>
      <c r="DHU233"/>
      <c r="DHV233"/>
      <c r="DHW233"/>
      <c r="DHX233"/>
      <c r="DHY233"/>
      <c r="DHZ233"/>
      <c r="DIA233"/>
      <c r="DIB233"/>
      <c r="DIC233"/>
      <c r="DID233"/>
      <c r="DIE233"/>
      <c r="DIF233"/>
      <c r="DIG233"/>
      <c r="DIH233"/>
      <c r="DII233"/>
      <c r="DIJ233"/>
      <c r="DIK233"/>
      <c r="DIL233"/>
      <c r="DIM233"/>
      <c r="DIN233"/>
      <c r="DIO233"/>
      <c r="DIP233"/>
      <c r="DIQ233"/>
      <c r="DIR233"/>
      <c r="DIS233"/>
      <c r="DIT233"/>
      <c r="DIU233"/>
      <c r="DIV233"/>
      <c r="DIW233"/>
      <c r="DIX233"/>
      <c r="DIY233"/>
      <c r="DIZ233"/>
      <c r="DJA233"/>
      <c r="DJB233"/>
      <c r="DJC233"/>
      <c r="DJD233"/>
      <c r="DJE233"/>
      <c r="DJF233"/>
      <c r="DJG233"/>
      <c r="DJH233"/>
      <c r="DJI233"/>
      <c r="DJJ233"/>
      <c r="DJK233"/>
      <c r="DJL233"/>
      <c r="DJM233"/>
      <c r="DJN233"/>
      <c r="DJO233"/>
      <c r="DJP233"/>
      <c r="DJQ233"/>
      <c r="DJR233"/>
      <c r="DJS233"/>
      <c r="DJT233"/>
      <c r="DJU233"/>
      <c r="DJV233"/>
      <c r="DJW233"/>
      <c r="DJX233"/>
      <c r="DJY233"/>
      <c r="DJZ233"/>
      <c r="DKA233"/>
      <c r="DKB233"/>
      <c r="DKC233"/>
      <c r="DKD233"/>
      <c r="DKE233"/>
      <c r="DKF233"/>
      <c r="DKG233"/>
      <c r="DKH233"/>
      <c r="DKI233"/>
      <c r="DKJ233"/>
      <c r="DKK233"/>
      <c r="DKL233"/>
      <c r="DKM233"/>
      <c r="DKN233"/>
      <c r="DKO233"/>
      <c r="DKP233"/>
      <c r="DKQ233"/>
      <c r="DKR233"/>
      <c r="DKS233"/>
      <c r="DKT233"/>
      <c r="DKU233"/>
      <c r="DKV233"/>
      <c r="DKW233"/>
      <c r="DKX233"/>
      <c r="DKY233"/>
      <c r="DKZ233"/>
      <c r="DLA233"/>
      <c r="DLB233"/>
      <c r="DLC233"/>
      <c r="DLD233"/>
      <c r="DLE233"/>
      <c r="DLF233"/>
      <c r="DLG233"/>
      <c r="DLH233"/>
      <c r="DLI233"/>
      <c r="DLJ233"/>
      <c r="DLK233"/>
      <c r="DLL233"/>
      <c r="DLM233"/>
      <c r="DLN233"/>
      <c r="DLO233"/>
      <c r="DLP233"/>
      <c r="DLQ233"/>
      <c r="DLR233"/>
      <c r="DLS233"/>
      <c r="DLT233"/>
      <c r="DLU233"/>
      <c r="DLV233"/>
      <c r="DLW233"/>
      <c r="DLX233"/>
      <c r="DLY233"/>
      <c r="DLZ233"/>
      <c r="DMA233"/>
      <c r="DMB233"/>
      <c r="DMC233"/>
      <c r="DMD233"/>
      <c r="DME233"/>
      <c r="DMF233"/>
      <c r="DMG233"/>
      <c r="DMH233"/>
      <c r="DMI233"/>
      <c r="DMJ233"/>
      <c r="DMK233"/>
      <c r="DML233"/>
      <c r="DMM233"/>
      <c r="DMN233"/>
      <c r="DMO233"/>
      <c r="DMP233"/>
      <c r="DMQ233"/>
      <c r="DMR233"/>
      <c r="DMS233"/>
      <c r="DMT233"/>
      <c r="DMU233"/>
      <c r="DMV233"/>
      <c r="DMW233"/>
      <c r="DMX233"/>
      <c r="DMY233"/>
      <c r="DMZ233"/>
      <c r="DNA233"/>
      <c r="DNB233"/>
      <c r="DNC233"/>
      <c r="DND233"/>
      <c r="DNE233"/>
      <c r="DNF233"/>
      <c r="DNG233"/>
      <c r="DNH233"/>
      <c r="DNI233"/>
      <c r="DNJ233"/>
      <c r="DNK233"/>
      <c r="DNL233"/>
      <c r="DNM233"/>
      <c r="DNN233"/>
      <c r="DNO233"/>
      <c r="DNP233"/>
      <c r="DNQ233"/>
      <c r="DNR233"/>
      <c r="DNS233"/>
      <c r="DNT233"/>
      <c r="DNU233"/>
      <c r="DNV233"/>
      <c r="DNW233"/>
      <c r="DNX233"/>
      <c r="DNY233"/>
      <c r="DNZ233"/>
      <c r="DOA233"/>
      <c r="DOB233"/>
      <c r="DOC233"/>
      <c r="DOD233"/>
      <c r="DOE233"/>
      <c r="DOF233"/>
      <c r="DOG233"/>
      <c r="DOH233"/>
      <c r="DOI233"/>
      <c r="DOJ233"/>
      <c r="DOK233"/>
      <c r="DOL233"/>
      <c r="DOM233"/>
      <c r="DON233"/>
      <c r="DOO233"/>
      <c r="DOP233"/>
      <c r="DOQ233"/>
      <c r="DOR233"/>
      <c r="DOS233"/>
      <c r="DOT233"/>
      <c r="DOU233"/>
      <c r="DOV233"/>
      <c r="DOW233"/>
      <c r="DOX233"/>
      <c r="DOY233"/>
      <c r="DOZ233"/>
      <c r="DPA233"/>
      <c r="DPB233"/>
      <c r="DPC233"/>
      <c r="DPD233"/>
      <c r="DPE233"/>
      <c r="DPF233"/>
      <c r="DPG233"/>
      <c r="DPH233"/>
      <c r="DPI233"/>
      <c r="DPJ233"/>
      <c r="DPK233"/>
      <c r="DPL233"/>
      <c r="DPM233"/>
      <c r="DPN233"/>
      <c r="DPO233"/>
      <c r="DPP233"/>
      <c r="DPQ233"/>
      <c r="DPR233"/>
      <c r="DPS233"/>
      <c r="DPT233"/>
      <c r="DPU233"/>
      <c r="DPV233"/>
      <c r="DPW233"/>
      <c r="DPX233"/>
      <c r="DPY233"/>
      <c r="DPZ233"/>
      <c r="DQA233"/>
      <c r="DQB233"/>
      <c r="DQC233"/>
      <c r="DQD233"/>
      <c r="DQE233"/>
      <c r="DQF233"/>
      <c r="DQG233"/>
      <c r="DQH233"/>
      <c r="DQI233"/>
      <c r="DQJ233"/>
      <c r="DQK233"/>
      <c r="DQL233"/>
      <c r="DQM233"/>
      <c r="DQN233"/>
      <c r="DQO233"/>
      <c r="DQP233"/>
      <c r="DQQ233"/>
      <c r="DQR233"/>
      <c r="DQS233"/>
      <c r="DQT233"/>
      <c r="DQU233"/>
      <c r="DQV233"/>
      <c r="DQW233"/>
      <c r="DQX233"/>
      <c r="DQY233"/>
      <c r="DQZ233"/>
      <c r="DRA233"/>
      <c r="DRB233"/>
      <c r="DRC233"/>
      <c r="DRD233"/>
      <c r="DRE233"/>
      <c r="DRF233"/>
      <c r="DRG233"/>
      <c r="DRH233"/>
      <c r="DRI233"/>
      <c r="DRJ233"/>
      <c r="DRK233"/>
      <c r="DRL233"/>
      <c r="DRM233"/>
      <c r="DRN233"/>
      <c r="DRO233"/>
      <c r="DRP233"/>
      <c r="DRQ233"/>
      <c r="DRR233"/>
      <c r="DRS233"/>
      <c r="DRT233"/>
      <c r="DRU233"/>
      <c r="DRV233"/>
      <c r="DRW233"/>
      <c r="DRX233"/>
      <c r="DRY233"/>
      <c r="DRZ233"/>
      <c r="DSA233"/>
      <c r="DSB233"/>
      <c r="DSC233"/>
      <c r="DSD233"/>
      <c r="DSE233"/>
      <c r="DSF233"/>
      <c r="DSG233"/>
      <c r="DSH233"/>
      <c r="DSI233"/>
      <c r="DSJ233"/>
      <c r="DSK233"/>
      <c r="DSL233"/>
      <c r="DSM233"/>
      <c r="DSN233"/>
      <c r="DSO233"/>
      <c r="DSP233"/>
      <c r="DSQ233"/>
      <c r="DSR233"/>
      <c r="DSS233"/>
      <c r="DST233"/>
      <c r="DSU233"/>
      <c r="DSV233"/>
      <c r="DSW233"/>
      <c r="DSX233"/>
      <c r="DSY233"/>
      <c r="DSZ233"/>
      <c r="DTA233"/>
      <c r="DTB233"/>
      <c r="DTC233"/>
      <c r="DTD233"/>
      <c r="DTE233"/>
      <c r="DTF233"/>
      <c r="DTG233"/>
      <c r="DTH233"/>
      <c r="DTI233"/>
      <c r="DTJ233"/>
      <c r="DTK233"/>
      <c r="DTL233"/>
      <c r="DTM233"/>
      <c r="DTN233"/>
      <c r="DTO233"/>
      <c r="DTP233"/>
      <c r="DTQ233"/>
      <c r="DTR233"/>
      <c r="DTS233"/>
      <c r="DTT233"/>
      <c r="DTU233"/>
      <c r="DTV233"/>
      <c r="DTW233"/>
      <c r="DTX233"/>
      <c r="DTY233"/>
      <c r="DTZ233"/>
      <c r="DUA233"/>
      <c r="DUB233"/>
      <c r="DUC233"/>
      <c r="DUD233"/>
      <c r="DUE233"/>
      <c r="DUF233"/>
      <c r="DUG233"/>
      <c r="DUH233"/>
      <c r="DUI233"/>
      <c r="DUJ233"/>
      <c r="DUK233"/>
      <c r="DUL233"/>
      <c r="DUM233"/>
      <c r="DUN233"/>
      <c r="DUO233"/>
      <c r="DUP233"/>
      <c r="DUQ233"/>
      <c r="DUR233"/>
      <c r="DUS233"/>
      <c r="DUT233"/>
      <c r="DUU233"/>
      <c r="DUV233"/>
      <c r="DUW233"/>
      <c r="DUX233"/>
      <c r="DUY233"/>
      <c r="DUZ233"/>
      <c r="DVA233"/>
      <c r="DVB233"/>
      <c r="DVC233"/>
      <c r="DVD233"/>
      <c r="DVE233"/>
      <c r="DVF233"/>
      <c r="DVG233"/>
      <c r="DVH233"/>
      <c r="DVI233"/>
      <c r="DVJ233"/>
      <c r="DVK233"/>
      <c r="DVL233"/>
      <c r="DVM233"/>
      <c r="DVN233"/>
      <c r="DVO233"/>
      <c r="DVP233"/>
      <c r="DVQ233"/>
      <c r="DVR233"/>
      <c r="DVS233"/>
      <c r="DVT233"/>
      <c r="DVU233"/>
      <c r="DVV233"/>
      <c r="DVW233"/>
      <c r="DVX233"/>
      <c r="DVY233"/>
      <c r="DVZ233"/>
      <c r="DWA233"/>
      <c r="DWB233"/>
      <c r="DWC233"/>
      <c r="DWD233"/>
      <c r="DWE233"/>
      <c r="DWF233"/>
      <c r="DWG233"/>
      <c r="DWH233"/>
      <c r="DWI233"/>
      <c r="DWJ233"/>
      <c r="DWK233"/>
      <c r="DWL233"/>
      <c r="DWM233"/>
      <c r="DWN233"/>
      <c r="DWO233"/>
      <c r="DWP233"/>
      <c r="DWQ233"/>
      <c r="DWR233"/>
      <c r="DWS233"/>
      <c r="DWT233"/>
      <c r="DWU233"/>
      <c r="DWV233"/>
      <c r="DWW233"/>
      <c r="DWX233"/>
      <c r="DWY233"/>
      <c r="DWZ233"/>
      <c r="DXA233"/>
      <c r="DXB233"/>
      <c r="DXC233"/>
      <c r="DXD233"/>
      <c r="DXE233"/>
      <c r="DXF233"/>
      <c r="DXG233"/>
      <c r="DXH233"/>
      <c r="DXI233"/>
      <c r="DXJ233"/>
      <c r="DXK233"/>
      <c r="DXL233"/>
      <c r="DXM233"/>
      <c r="DXN233"/>
      <c r="DXO233"/>
      <c r="DXP233"/>
      <c r="DXQ233"/>
      <c r="DXR233"/>
      <c r="DXS233"/>
      <c r="DXT233"/>
      <c r="DXU233"/>
      <c r="DXV233"/>
      <c r="DXW233"/>
      <c r="DXX233"/>
      <c r="DXY233"/>
      <c r="DXZ233"/>
      <c r="DYA233"/>
      <c r="DYB233"/>
      <c r="DYC233"/>
      <c r="DYD233"/>
      <c r="DYE233"/>
      <c r="DYF233"/>
      <c r="DYG233"/>
      <c r="DYH233"/>
      <c r="DYI233"/>
      <c r="DYJ233"/>
      <c r="DYK233"/>
      <c r="DYL233"/>
      <c r="DYM233"/>
      <c r="DYN233"/>
      <c r="DYO233"/>
      <c r="DYP233"/>
      <c r="DYQ233"/>
      <c r="DYR233"/>
      <c r="DYS233"/>
      <c r="DYT233"/>
      <c r="DYU233"/>
      <c r="DYV233"/>
      <c r="DYW233"/>
      <c r="DYX233"/>
      <c r="DYY233"/>
      <c r="DYZ233"/>
      <c r="DZA233"/>
      <c r="DZB233"/>
      <c r="DZC233"/>
      <c r="DZD233"/>
      <c r="DZE233"/>
      <c r="DZF233"/>
      <c r="DZG233"/>
      <c r="DZH233"/>
      <c r="DZI233"/>
      <c r="DZJ233"/>
      <c r="DZK233"/>
      <c r="DZL233"/>
      <c r="DZM233"/>
      <c r="DZN233"/>
      <c r="DZO233"/>
      <c r="DZP233"/>
      <c r="DZQ233"/>
      <c r="DZR233"/>
      <c r="DZS233"/>
      <c r="DZT233"/>
      <c r="DZU233"/>
      <c r="DZV233"/>
      <c r="DZW233"/>
      <c r="DZX233"/>
      <c r="DZY233"/>
      <c r="DZZ233"/>
      <c r="EAA233"/>
      <c r="EAB233"/>
      <c r="EAC233"/>
      <c r="EAD233"/>
      <c r="EAE233"/>
      <c r="EAF233"/>
      <c r="EAG233"/>
      <c r="EAH233"/>
      <c r="EAI233"/>
      <c r="EAJ233"/>
      <c r="EAK233"/>
      <c r="EAL233"/>
      <c r="EAM233"/>
      <c r="EAN233"/>
      <c r="EAO233"/>
      <c r="EAP233"/>
      <c r="EAQ233"/>
      <c r="EAR233"/>
      <c r="EAS233"/>
      <c r="EAT233"/>
      <c r="EAU233"/>
      <c r="EAV233"/>
      <c r="EAW233"/>
      <c r="EAX233"/>
      <c r="EAY233"/>
      <c r="EAZ233"/>
      <c r="EBA233"/>
      <c r="EBB233"/>
      <c r="EBC233"/>
      <c r="EBD233"/>
      <c r="EBE233"/>
      <c r="EBF233"/>
      <c r="EBG233"/>
      <c r="EBH233"/>
      <c r="EBI233"/>
      <c r="EBJ233"/>
      <c r="EBK233"/>
      <c r="EBL233"/>
      <c r="EBM233"/>
      <c r="EBN233"/>
      <c r="EBO233"/>
      <c r="EBP233"/>
      <c r="EBQ233"/>
      <c r="EBR233"/>
      <c r="EBS233"/>
      <c r="EBT233"/>
      <c r="EBU233"/>
      <c r="EBV233"/>
      <c r="EBW233"/>
      <c r="EBX233"/>
      <c r="EBY233"/>
      <c r="EBZ233"/>
      <c r="ECA233"/>
      <c r="ECB233"/>
      <c r="ECC233"/>
      <c r="ECD233"/>
      <c r="ECE233"/>
      <c r="ECF233"/>
      <c r="ECG233"/>
      <c r="ECH233"/>
      <c r="ECI233"/>
      <c r="ECJ233"/>
      <c r="ECK233"/>
      <c r="ECL233"/>
      <c r="ECM233"/>
      <c r="ECN233"/>
      <c r="ECO233"/>
      <c r="ECP233"/>
      <c r="ECQ233"/>
      <c r="ECR233"/>
      <c r="ECS233"/>
      <c r="ECT233"/>
      <c r="ECU233"/>
      <c r="ECV233"/>
      <c r="ECW233"/>
      <c r="ECX233"/>
      <c r="ECY233"/>
      <c r="ECZ233"/>
      <c r="EDA233"/>
      <c r="EDB233"/>
      <c r="EDC233"/>
      <c r="EDD233"/>
      <c r="EDE233"/>
      <c r="EDF233"/>
      <c r="EDG233"/>
      <c r="EDH233"/>
      <c r="EDI233"/>
      <c r="EDJ233"/>
      <c r="EDK233"/>
      <c r="EDL233"/>
      <c r="EDM233"/>
      <c r="EDN233"/>
      <c r="EDO233"/>
      <c r="EDP233"/>
      <c r="EDQ233"/>
      <c r="EDR233"/>
      <c r="EDS233"/>
      <c r="EDT233"/>
      <c r="EDU233"/>
      <c r="EDV233"/>
      <c r="EDW233"/>
      <c r="EDX233"/>
      <c r="EDY233"/>
      <c r="EDZ233"/>
      <c r="EEA233"/>
      <c r="EEB233"/>
      <c r="EEC233"/>
      <c r="EED233"/>
      <c r="EEE233"/>
      <c r="EEF233"/>
      <c r="EEG233"/>
      <c r="EEH233"/>
      <c r="EEI233"/>
      <c r="EEJ233"/>
      <c r="EEK233"/>
      <c r="EEL233"/>
      <c r="EEM233"/>
      <c r="EEN233"/>
      <c r="EEO233"/>
      <c r="EEP233"/>
      <c r="EEQ233"/>
      <c r="EER233"/>
      <c r="EES233"/>
      <c r="EET233"/>
      <c r="EEU233"/>
      <c r="EEV233"/>
      <c r="EEW233"/>
      <c r="EEX233"/>
      <c r="EEY233"/>
      <c r="EEZ233"/>
      <c r="EFA233"/>
      <c r="EFB233"/>
      <c r="EFC233"/>
      <c r="EFD233"/>
      <c r="EFE233"/>
      <c r="EFF233"/>
      <c r="EFG233"/>
      <c r="EFH233"/>
      <c r="EFI233"/>
      <c r="EFJ233"/>
      <c r="EFK233"/>
      <c r="EFL233"/>
      <c r="EFM233"/>
      <c r="EFN233"/>
      <c r="EFO233"/>
      <c r="EFP233"/>
      <c r="EFQ233"/>
      <c r="EFR233"/>
      <c r="EFS233"/>
      <c r="EFT233"/>
      <c r="EFU233"/>
      <c r="EFV233"/>
      <c r="EFW233"/>
      <c r="EFX233"/>
      <c r="EFY233"/>
      <c r="EFZ233"/>
      <c r="EGA233"/>
      <c r="EGB233"/>
      <c r="EGC233"/>
      <c r="EGD233"/>
      <c r="EGE233"/>
      <c r="EGF233"/>
      <c r="EGG233"/>
      <c r="EGH233"/>
      <c r="EGI233"/>
      <c r="EGJ233"/>
      <c r="EGK233"/>
      <c r="EGL233"/>
      <c r="EGM233"/>
      <c r="EGN233"/>
      <c r="EGO233"/>
      <c r="EGP233"/>
      <c r="EGQ233"/>
      <c r="EGR233"/>
      <c r="EGS233"/>
      <c r="EGT233"/>
      <c r="EGU233"/>
      <c r="EGV233"/>
      <c r="EGW233"/>
      <c r="EGX233"/>
      <c r="EGY233"/>
      <c r="EGZ233"/>
      <c r="EHA233"/>
      <c r="EHB233"/>
      <c r="EHC233"/>
      <c r="EHD233"/>
      <c r="EHE233"/>
      <c r="EHF233"/>
      <c r="EHG233"/>
      <c r="EHH233"/>
      <c r="EHI233"/>
      <c r="EHJ233"/>
      <c r="EHK233"/>
      <c r="EHL233"/>
      <c r="EHM233"/>
      <c r="EHN233"/>
      <c r="EHO233"/>
      <c r="EHP233"/>
      <c r="EHQ233"/>
      <c r="EHR233"/>
      <c r="EHS233"/>
      <c r="EHT233"/>
      <c r="EHU233"/>
      <c r="EHV233"/>
      <c r="EHW233"/>
      <c r="EHX233"/>
      <c r="EHY233"/>
      <c r="EHZ233"/>
      <c r="EIA233"/>
      <c r="EIB233"/>
      <c r="EIC233"/>
      <c r="EID233"/>
      <c r="EIE233"/>
      <c r="EIF233"/>
      <c r="EIG233"/>
      <c r="EIH233"/>
      <c r="EII233"/>
      <c r="EIJ233"/>
      <c r="EIK233"/>
      <c r="EIL233"/>
      <c r="EIM233"/>
      <c r="EIN233"/>
      <c r="EIO233"/>
      <c r="EIP233"/>
      <c r="EIQ233"/>
      <c r="EIR233"/>
      <c r="EIS233"/>
      <c r="EIT233"/>
      <c r="EIU233"/>
      <c r="EIV233"/>
      <c r="EIW233"/>
      <c r="EIX233"/>
      <c r="EIY233"/>
      <c r="EIZ233"/>
      <c r="EJA233"/>
      <c r="EJB233"/>
      <c r="EJC233"/>
      <c r="EJD233"/>
      <c r="EJE233"/>
      <c r="EJF233"/>
      <c r="EJG233"/>
      <c r="EJH233"/>
      <c r="EJI233"/>
      <c r="EJJ233"/>
      <c r="EJK233"/>
      <c r="EJL233"/>
      <c r="EJM233"/>
      <c r="EJN233"/>
      <c r="EJO233"/>
      <c r="EJP233"/>
      <c r="EJQ233"/>
      <c r="EJR233"/>
      <c r="EJS233"/>
      <c r="EJT233"/>
      <c r="EJU233"/>
      <c r="EJV233"/>
      <c r="EJW233"/>
      <c r="EJX233"/>
      <c r="EJY233"/>
      <c r="EJZ233"/>
      <c r="EKA233"/>
      <c r="EKB233"/>
      <c r="EKC233"/>
      <c r="EKD233"/>
      <c r="EKE233"/>
      <c r="EKF233"/>
      <c r="EKG233"/>
      <c r="EKH233"/>
      <c r="EKI233"/>
      <c r="EKJ233"/>
      <c r="EKK233"/>
      <c r="EKL233"/>
      <c r="EKM233"/>
      <c r="EKN233"/>
      <c r="EKO233"/>
      <c r="EKP233"/>
      <c r="EKQ233"/>
      <c r="EKR233"/>
      <c r="EKS233"/>
      <c r="EKT233"/>
      <c r="EKU233"/>
      <c r="EKV233"/>
      <c r="EKW233"/>
      <c r="EKX233"/>
      <c r="EKY233"/>
      <c r="EKZ233"/>
      <c r="ELA233"/>
      <c r="ELB233"/>
      <c r="ELC233"/>
      <c r="ELD233"/>
      <c r="ELE233"/>
      <c r="ELF233"/>
      <c r="ELG233"/>
      <c r="ELH233"/>
      <c r="ELI233"/>
      <c r="ELJ233"/>
      <c r="ELK233"/>
      <c r="ELL233"/>
      <c r="ELM233"/>
      <c r="ELN233"/>
      <c r="ELO233"/>
      <c r="ELP233"/>
      <c r="ELQ233"/>
      <c r="ELR233"/>
      <c r="ELS233"/>
      <c r="ELT233"/>
      <c r="ELU233"/>
      <c r="ELV233"/>
      <c r="ELW233"/>
      <c r="ELX233"/>
      <c r="ELY233"/>
      <c r="ELZ233"/>
      <c r="EMA233"/>
      <c r="EMB233"/>
      <c r="EMC233"/>
      <c r="EMD233"/>
      <c r="EME233"/>
      <c r="EMF233"/>
      <c r="EMG233"/>
      <c r="EMH233"/>
      <c r="EMI233"/>
      <c r="EMJ233"/>
      <c r="EMK233"/>
      <c r="EML233"/>
      <c r="EMM233"/>
      <c r="EMN233"/>
      <c r="EMO233"/>
      <c r="EMP233"/>
      <c r="EMQ233"/>
      <c r="EMR233"/>
      <c r="EMS233"/>
      <c r="EMT233"/>
      <c r="EMU233"/>
      <c r="EMV233"/>
      <c r="EMW233"/>
      <c r="EMX233"/>
      <c r="EMY233"/>
      <c r="EMZ233"/>
      <c r="ENA233"/>
      <c r="ENB233"/>
      <c r="ENC233"/>
      <c r="END233"/>
      <c r="ENE233"/>
      <c r="ENF233"/>
      <c r="ENG233"/>
      <c r="ENH233"/>
      <c r="ENI233"/>
      <c r="ENJ233"/>
      <c r="ENK233"/>
      <c r="ENL233"/>
      <c r="ENM233"/>
      <c r="ENN233"/>
      <c r="ENO233"/>
      <c r="ENP233"/>
      <c r="ENQ233"/>
      <c r="ENR233"/>
      <c r="ENS233"/>
      <c r="ENT233"/>
      <c r="ENU233"/>
      <c r="ENV233"/>
      <c r="ENW233"/>
      <c r="ENX233"/>
      <c r="ENY233"/>
      <c r="ENZ233"/>
      <c r="EOA233"/>
      <c r="EOB233"/>
      <c r="EOC233"/>
      <c r="EOD233"/>
      <c r="EOE233"/>
      <c r="EOF233"/>
      <c r="EOG233"/>
      <c r="EOH233"/>
      <c r="EOI233"/>
      <c r="EOJ233"/>
      <c r="EOK233"/>
      <c r="EOL233"/>
      <c r="EOM233"/>
      <c r="EON233"/>
      <c r="EOO233"/>
      <c r="EOP233"/>
      <c r="EOQ233"/>
      <c r="EOR233"/>
      <c r="EOS233"/>
      <c r="EOT233"/>
      <c r="EOU233"/>
      <c r="EOV233"/>
      <c r="EOW233"/>
      <c r="EOX233"/>
      <c r="EOY233"/>
      <c r="EOZ233"/>
      <c r="EPA233"/>
      <c r="EPB233"/>
      <c r="EPC233"/>
      <c r="EPD233"/>
      <c r="EPE233"/>
      <c r="EPF233"/>
      <c r="EPG233"/>
      <c r="EPH233"/>
      <c r="EPI233"/>
      <c r="EPJ233"/>
      <c r="EPK233"/>
      <c r="EPL233"/>
      <c r="EPM233"/>
      <c r="EPN233"/>
      <c r="EPO233"/>
      <c r="EPP233"/>
      <c r="EPQ233"/>
      <c r="EPR233"/>
      <c r="EPS233"/>
      <c r="EPT233"/>
      <c r="EPU233"/>
      <c r="EPV233"/>
      <c r="EPW233"/>
      <c r="EPX233"/>
      <c r="EPY233"/>
      <c r="EPZ233"/>
      <c r="EQA233"/>
      <c r="EQB233"/>
      <c r="EQC233"/>
      <c r="EQD233"/>
      <c r="EQE233"/>
      <c r="EQF233"/>
      <c r="EQG233"/>
      <c r="EQH233"/>
      <c r="EQI233"/>
      <c r="EQJ233"/>
      <c r="EQK233"/>
      <c r="EQL233"/>
      <c r="EQM233"/>
      <c r="EQN233"/>
      <c r="EQO233"/>
      <c r="EQP233"/>
      <c r="EQQ233"/>
      <c r="EQR233"/>
      <c r="EQS233"/>
      <c r="EQT233"/>
      <c r="EQU233"/>
      <c r="EQV233"/>
      <c r="EQW233"/>
      <c r="EQX233"/>
      <c r="EQY233"/>
      <c r="EQZ233"/>
      <c r="ERA233"/>
      <c r="ERB233"/>
      <c r="ERC233"/>
      <c r="ERD233"/>
      <c r="ERE233"/>
      <c r="ERF233"/>
      <c r="ERG233"/>
      <c r="ERH233"/>
      <c r="ERI233"/>
      <c r="ERJ233"/>
      <c r="ERK233"/>
      <c r="ERL233"/>
      <c r="ERM233"/>
      <c r="ERN233"/>
      <c r="ERO233"/>
      <c r="ERP233"/>
      <c r="ERQ233"/>
      <c r="ERR233"/>
      <c r="ERS233"/>
      <c r="ERT233"/>
      <c r="ERU233"/>
      <c r="ERV233"/>
      <c r="ERW233"/>
      <c r="ERX233"/>
      <c r="ERY233"/>
      <c r="ERZ233"/>
      <c r="ESA233"/>
      <c r="ESB233"/>
      <c r="ESC233"/>
      <c r="ESD233"/>
      <c r="ESE233"/>
      <c r="ESF233"/>
      <c r="ESG233"/>
      <c r="ESH233"/>
      <c r="ESI233"/>
      <c r="ESJ233"/>
      <c r="ESK233"/>
      <c r="ESL233"/>
      <c r="ESM233"/>
      <c r="ESN233"/>
      <c r="ESO233"/>
      <c r="ESP233"/>
      <c r="ESQ233"/>
      <c r="ESR233"/>
      <c r="ESS233"/>
      <c r="EST233"/>
      <c r="ESU233"/>
      <c r="ESV233"/>
      <c r="ESW233"/>
      <c r="ESX233"/>
      <c r="ESY233"/>
      <c r="ESZ233"/>
      <c r="ETA233"/>
      <c r="ETB233"/>
      <c r="ETC233"/>
      <c r="ETD233"/>
      <c r="ETE233"/>
      <c r="ETF233"/>
      <c r="ETG233"/>
      <c r="ETH233"/>
      <c r="ETI233"/>
      <c r="ETJ233"/>
      <c r="ETK233"/>
      <c r="ETL233"/>
      <c r="ETM233"/>
      <c r="ETN233"/>
      <c r="ETO233"/>
      <c r="ETP233"/>
      <c r="ETQ233"/>
      <c r="ETR233"/>
      <c r="ETS233"/>
      <c r="ETT233"/>
      <c r="ETU233"/>
      <c r="ETV233"/>
      <c r="ETW233"/>
      <c r="ETX233"/>
      <c r="ETY233"/>
      <c r="ETZ233"/>
      <c r="EUA233"/>
      <c r="EUB233"/>
      <c r="EUC233"/>
      <c r="EUD233"/>
      <c r="EUE233"/>
      <c r="EUF233"/>
      <c r="EUG233"/>
      <c r="EUH233"/>
      <c r="EUI233"/>
      <c r="EUJ233"/>
      <c r="EUK233"/>
      <c r="EUL233"/>
      <c r="EUM233"/>
      <c r="EUN233"/>
      <c r="EUO233"/>
      <c r="EUP233"/>
      <c r="EUQ233"/>
      <c r="EUR233"/>
      <c r="EUS233"/>
      <c r="EUT233"/>
      <c r="EUU233"/>
      <c r="EUV233"/>
      <c r="EUW233"/>
      <c r="EUX233"/>
      <c r="EUY233"/>
      <c r="EUZ233"/>
      <c r="EVA233"/>
      <c r="EVB233"/>
      <c r="EVC233"/>
      <c r="EVD233"/>
      <c r="EVE233"/>
      <c r="EVF233"/>
      <c r="EVG233"/>
      <c r="EVH233"/>
      <c r="EVI233"/>
      <c r="EVJ233"/>
      <c r="EVK233"/>
      <c r="EVL233"/>
      <c r="EVM233"/>
      <c r="EVN233"/>
      <c r="EVO233"/>
      <c r="EVP233"/>
      <c r="EVQ233"/>
      <c r="EVR233"/>
      <c r="EVS233"/>
      <c r="EVT233"/>
      <c r="EVU233"/>
      <c r="EVV233"/>
      <c r="EVW233"/>
      <c r="EVX233"/>
      <c r="EVY233"/>
      <c r="EVZ233"/>
      <c r="EWA233"/>
      <c r="EWB233"/>
      <c r="EWC233"/>
      <c r="EWD233"/>
      <c r="EWE233"/>
      <c r="EWF233"/>
      <c r="EWG233"/>
      <c r="EWH233"/>
      <c r="EWI233"/>
      <c r="EWJ233"/>
      <c r="EWK233"/>
      <c r="EWL233"/>
      <c r="EWM233"/>
      <c r="EWN233"/>
      <c r="EWO233"/>
      <c r="EWP233"/>
      <c r="EWQ233"/>
      <c r="EWR233"/>
      <c r="EWS233"/>
      <c r="EWT233"/>
      <c r="EWU233"/>
      <c r="EWV233"/>
      <c r="EWW233"/>
      <c r="EWX233"/>
      <c r="EWY233"/>
      <c r="EWZ233"/>
      <c r="EXA233"/>
      <c r="EXB233"/>
      <c r="EXC233"/>
      <c r="EXD233"/>
      <c r="EXE233"/>
      <c r="EXF233"/>
      <c r="EXG233"/>
      <c r="EXH233"/>
      <c r="EXI233"/>
      <c r="EXJ233"/>
      <c r="EXK233"/>
      <c r="EXL233"/>
      <c r="EXM233"/>
      <c r="EXN233"/>
      <c r="EXO233"/>
      <c r="EXP233"/>
      <c r="EXQ233"/>
      <c r="EXR233"/>
      <c r="EXS233"/>
      <c r="EXT233"/>
      <c r="EXU233"/>
      <c r="EXV233"/>
      <c r="EXW233"/>
      <c r="EXX233"/>
      <c r="EXY233"/>
      <c r="EXZ233"/>
      <c r="EYA233"/>
      <c r="EYB233"/>
      <c r="EYC233"/>
      <c r="EYD233"/>
      <c r="EYE233"/>
      <c r="EYF233"/>
      <c r="EYG233"/>
      <c r="EYH233"/>
      <c r="EYI233"/>
      <c r="EYJ233"/>
      <c r="EYK233"/>
      <c r="EYL233"/>
      <c r="EYM233"/>
      <c r="EYN233"/>
      <c r="EYO233"/>
      <c r="EYP233"/>
      <c r="EYQ233"/>
      <c r="EYR233"/>
      <c r="EYS233"/>
      <c r="EYT233"/>
      <c r="EYU233"/>
      <c r="EYV233"/>
      <c r="EYW233"/>
      <c r="EYX233"/>
      <c r="EYY233"/>
      <c r="EYZ233"/>
      <c r="EZA233"/>
      <c r="EZB233"/>
      <c r="EZC233"/>
      <c r="EZD233"/>
      <c r="EZE233"/>
      <c r="EZF233"/>
      <c r="EZG233"/>
      <c r="EZH233"/>
      <c r="EZI233"/>
      <c r="EZJ233"/>
      <c r="EZK233"/>
      <c r="EZL233"/>
      <c r="EZM233"/>
      <c r="EZN233"/>
      <c r="EZO233"/>
      <c r="EZP233"/>
      <c r="EZQ233"/>
      <c r="EZR233"/>
      <c r="EZS233"/>
      <c r="EZT233"/>
      <c r="EZU233"/>
      <c r="EZV233"/>
      <c r="EZW233"/>
      <c r="EZX233"/>
      <c r="EZY233"/>
      <c r="EZZ233"/>
      <c r="FAA233"/>
      <c r="FAB233"/>
      <c r="FAC233"/>
      <c r="FAD233"/>
      <c r="FAE233"/>
      <c r="FAF233"/>
      <c r="FAG233"/>
      <c r="FAH233"/>
      <c r="FAI233"/>
      <c r="FAJ233"/>
      <c r="FAK233"/>
      <c r="FAL233"/>
      <c r="FAM233"/>
      <c r="FAN233"/>
      <c r="FAO233"/>
      <c r="FAP233"/>
      <c r="FAQ233"/>
      <c r="FAR233"/>
      <c r="FAS233"/>
      <c r="FAT233"/>
      <c r="FAU233"/>
      <c r="FAV233"/>
      <c r="FAW233"/>
      <c r="FAX233"/>
      <c r="FAY233"/>
      <c r="FAZ233"/>
      <c r="FBA233"/>
      <c r="FBB233"/>
      <c r="FBC233"/>
      <c r="FBD233"/>
      <c r="FBE233"/>
      <c r="FBF233"/>
      <c r="FBG233"/>
      <c r="FBH233"/>
      <c r="FBI233"/>
      <c r="FBJ233"/>
      <c r="FBK233"/>
      <c r="FBL233"/>
      <c r="FBM233"/>
      <c r="FBN233"/>
      <c r="FBO233"/>
      <c r="FBP233"/>
      <c r="FBQ233"/>
      <c r="FBR233"/>
      <c r="FBS233"/>
      <c r="FBT233"/>
      <c r="FBU233"/>
      <c r="FBV233"/>
      <c r="FBW233"/>
      <c r="FBX233"/>
      <c r="FBY233"/>
      <c r="FBZ233"/>
      <c r="FCA233"/>
      <c r="FCB233"/>
      <c r="FCC233"/>
      <c r="FCD233"/>
      <c r="FCE233"/>
      <c r="FCF233"/>
      <c r="FCG233"/>
      <c r="FCH233"/>
      <c r="FCI233"/>
      <c r="FCJ233"/>
      <c r="FCK233"/>
      <c r="FCL233"/>
      <c r="FCM233"/>
      <c r="FCN233"/>
      <c r="FCO233"/>
      <c r="FCP233"/>
      <c r="FCQ233"/>
      <c r="FCR233"/>
      <c r="FCS233"/>
      <c r="FCT233"/>
      <c r="FCU233"/>
      <c r="FCV233"/>
      <c r="FCW233"/>
      <c r="FCX233"/>
      <c r="FCY233"/>
      <c r="FCZ233"/>
      <c r="FDA233"/>
      <c r="FDB233"/>
      <c r="FDC233"/>
      <c r="FDD233"/>
      <c r="FDE233"/>
      <c r="FDF233"/>
      <c r="FDG233"/>
      <c r="FDH233"/>
      <c r="FDI233"/>
      <c r="FDJ233"/>
      <c r="FDK233"/>
      <c r="FDL233"/>
      <c r="FDM233"/>
      <c r="FDN233"/>
      <c r="FDO233"/>
      <c r="FDP233"/>
      <c r="FDQ233"/>
      <c r="FDR233"/>
      <c r="FDS233"/>
      <c r="FDT233"/>
      <c r="FDU233"/>
      <c r="FDV233"/>
      <c r="FDW233"/>
      <c r="FDX233"/>
      <c r="FDY233"/>
      <c r="FDZ233"/>
      <c r="FEA233"/>
      <c r="FEB233"/>
      <c r="FEC233"/>
      <c r="FED233"/>
      <c r="FEE233"/>
      <c r="FEF233"/>
      <c r="FEG233"/>
      <c r="FEH233"/>
      <c r="FEI233"/>
      <c r="FEJ233"/>
      <c r="FEK233"/>
      <c r="FEL233"/>
      <c r="FEM233"/>
      <c r="FEN233"/>
      <c r="FEO233"/>
      <c r="FEP233"/>
      <c r="FEQ233"/>
      <c r="FER233"/>
      <c r="FES233"/>
      <c r="FET233"/>
      <c r="FEU233"/>
      <c r="FEV233"/>
      <c r="FEW233"/>
      <c r="FEX233"/>
      <c r="FEY233"/>
      <c r="FEZ233"/>
      <c r="FFA233"/>
      <c r="FFB233"/>
      <c r="FFC233"/>
      <c r="FFD233"/>
      <c r="FFE233"/>
      <c r="FFF233"/>
      <c r="FFG233"/>
      <c r="FFH233"/>
      <c r="FFI233"/>
      <c r="FFJ233"/>
      <c r="FFK233"/>
      <c r="FFL233"/>
      <c r="FFM233"/>
      <c r="FFN233"/>
      <c r="FFO233"/>
      <c r="FFP233"/>
      <c r="FFQ233"/>
      <c r="FFR233"/>
      <c r="FFS233"/>
      <c r="FFT233"/>
      <c r="FFU233"/>
      <c r="FFV233"/>
      <c r="FFW233"/>
      <c r="FFX233"/>
      <c r="FFY233"/>
      <c r="FFZ233"/>
      <c r="FGA233"/>
      <c r="FGB233"/>
      <c r="FGC233"/>
      <c r="FGD233"/>
      <c r="FGE233"/>
      <c r="FGF233"/>
      <c r="FGG233"/>
      <c r="FGH233"/>
      <c r="FGI233"/>
      <c r="FGJ233"/>
      <c r="FGK233"/>
      <c r="FGL233"/>
      <c r="FGM233"/>
      <c r="FGN233"/>
      <c r="FGO233"/>
      <c r="FGP233"/>
      <c r="FGQ233"/>
      <c r="FGR233"/>
      <c r="FGS233"/>
      <c r="FGT233"/>
      <c r="FGU233"/>
      <c r="FGV233"/>
      <c r="FGW233"/>
      <c r="FGX233"/>
      <c r="FGY233"/>
      <c r="FGZ233"/>
      <c r="FHA233"/>
      <c r="FHB233"/>
      <c r="FHC233"/>
      <c r="FHD233"/>
      <c r="FHE233"/>
      <c r="FHF233"/>
      <c r="FHG233"/>
      <c r="FHH233"/>
      <c r="FHI233"/>
      <c r="FHJ233"/>
      <c r="FHK233"/>
      <c r="FHL233"/>
      <c r="FHM233"/>
      <c r="FHN233"/>
      <c r="FHO233"/>
      <c r="FHP233"/>
      <c r="FHQ233"/>
      <c r="FHR233"/>
      <c r="FHS233"/>
      <c r="FHT233"/>
      <c r="FHU233"/>
      <c r="FHV233"/>
      <c r="FHW233"/>
      <c r="FHX233"/>
      <c r="FHY233"/>
      <c r="FHZ233"/>
      <c r="FIA233"/>
      <c r="FIB233"/>
      <c r="FIC233"/>
      <c r="FID233"/>
      <c r="FIE233"/>
      <c r="FIF233"/>
      <c r="FIG233"/>
      <c r="FIH233"/>
      <c r="FII233"/>
      <c r="FIJ233"/>
      <c r="FIK233"/>
      <c r="FIL233"/>
      <c r="FIM233"/>
      <c r="FIN233"/>
      <c r="FIO233"/>
      <c r="FIP233"/>
      <c r="FIQ233"/>
      <c r="FIR233"/>
      <c r="FIS233"/>
      <c r="FIT233"/>
      <c r="FIU233"/>
      <c r="FIV233"/>
      <c r="FIW233"/>
      <c r="FIX233"/>
      <c r="FIY233"/>
      <c r="FIZ233"/>
      <c r="FJA233"/>
      <c r="FJB233"/>
      <c r="FJC233"/>
      <c r="FJD233"/>
      <c r="FJE233"/>
      <c r="FJF233"/>
      <c r="FJG233"/>
      <c r="FJH233"/>
      <c r="FJI233"/>
      <c r="FJJ233"/>
      <c r="FJK233"/>
      <c r="FJL233"/>
      <c r="FJM233"/>
      <c r="FJN233"/>
      <c r="FJO233"/>
      <c r="FJP233"/>
      <c r="FJQ233"/>
      <c r="FJR233"/>
      <c r="FJS233"/>
      <c r="FJT233"/>
      <c r="FJU233"/>
      <c r="FJV233"/>
      <c r="FJW233"/>
      <c r="FJX233"/>
      <c r="FJY233"/>
      <c r="FJZ233"/>
      <c r="FKA233"/>
      <c r="FKB233"/>
      <c r="FKC233"/>
      <c r="FKD233"/>
      <c r="FKE233"/>
      <c r="FKF233"/>
      <c r="FKG233"/>
      <c r="FKH233"/>
      <c r="FKI233"/>
      <c r="FKJ233"/>
      <c r="FKK233"/>
      <c r="FKL233"/>
      <c r="FKM233"/>
      <c r="FKN233"/>
      <c r="FKO233"/>
      <c r="FKP233"/>
      <c r="FKQ233"/>
      <c r="FKR233"/>
      <c r="FKS233"/>
      <c r="FKT233"/>
      <c r="FKU233"/>
      <c r="FKV233"/>
      <c r="FKW233"/>
      <c r="FKX233"/>
      <c r="FKY233"/>
      <c r="FKZ233"/>
      <c r="FLA233"/>
      <c r="FLB233"/>
      <c r="FLC233"/>
      <c r="FLD233"/>
      <c r="FLE233"/>
      <c r="FLF233"/>
      <c r="FLG233"/>
      <c r="FLH233"/>
      <c r="FLI233"/>
      <c r="FLJ233"/>
      <c r="FLK233"/>
      <c r="FLL233"/>
      <c r="FLM233"/>
      <c r="FLN233"/>
      <c r="FLO233"/>
      <c r="FLP233"/>
      <c r="FLQ233"/>
      <c r="FLR233"/>
      <c r="FLS233"/>
      <c r="FLT233"/>
      <c r="FLU233"/>
      <c r="FLV233"/>
      <c r="FLW233"/>
      <c r="FLX233"/>
      <c r="FLY233"/>
      <c r="FLZ233"/>
      <c r="FMA233"/>
      <c r="FMB233"/>
      <c r="FMC233"/>
      <c r="FMD233"/>
      <c r="FME233"/>
      <c r="FMF233"/>
      <c r="FMG233"/>
      <c r="FMH233"/>
      <c r="FMI233"/>
      <c r="FMJ233"/>
      <c r="FMK233"/>
      <c r="FML233"/>
      <c r="FMM233"/>
      <c r="FMN233"/>
      <c r="FMO233"/>
      <c r="FMP233"/>
      <c r="FMQ233"/>
      <c r="FMR233"/>
      <c r="FMS233"/>
      <c r="FMT233"/>
      <c r="FMU233"/>
      <c r="FMV233"/>
      <c r="FMW233"/>
      <c r="FMX233"/>
      <c r="FMY233"/>
      <c r="FMZ233"/>
      <c r="FNA233"/>
      <c r="FNB233"/>
      <c r="FNC233"/>
      <c r="FND233"/>
      <c r="FNE233"/>
      <c r="FNF233"/>
      <c r="FNG233"/>
      <c r="FNH233"/>
      <c r="FNI233"/>
      <c r="FNJ233"/>
      <c r="FNK233"/>
      <c r="FNL233"/>
      <c r="FNM233"/>
      <c r="FNN233"/>
      <c r="FNO233"/>
      <c r="FNP233"/>
      <c r="FNQ233"/>
      <c r="FNR233"/>
      <c r="FNS233"/>
      <c r="FNT233"/>
      <c r="FNU233"/>
      <c r="FNV233"/>
      <c r="FNW233"/>
      <c r="FNX233"/>
      <c r="FNY233"/>
      <c r="FNZ233"/>
      <c r="FOA233"/>
      <c r="FOB233"/>
      <c r="FOC233"/>
      <c r="FOD233"/>
      <c r="FOE233"/>
      <c r="FOF233"/>
      <c r="FOG233"/>
      <c r="FOH233"/>
      <c r="FOI233"/>
      <c r="FOJ233"/>
      <c r="FOK233"/>
      <c r="FOL233"/>
      <c r="FOM233"/>
      <c r="FON233"/>
      <c r="FOO233"/>
      <c r="FOP233"/>
      <c r="FOQ233"/>
      <c r="FOR233"/>
      <c r="FOS233"/>
      <c r="FOT233"/>
      <c r="FOU233"/>
      <c r="FOV233"/>
      <c r="FOW233"/>
      <c r="FOX233"/>
      <c r="FOY233"/>
      <c r="FOZ233"/>
      <c r="FPA233"/>
      <c r="FPB233"/>
      <c r="FPC233"/>
      <c r="FPD233"/>
      <c r="FPE233"/>
      <c r="FPF233"/>
      <c r="FPG233"/>
      <c r="FPH233"/>
      <c r="FPI233"/>
      <c r="FPJ233"/>
      <c r="FPK233"/>
      <c r="FPL233"/>
      <c r="FPM233"/>
      <c r="FPN233"/>
      <c r="FPO233"/>
      <c r="FPP233"/>
      <c r="FPQ233"/>
      <c r="FPR233"/>
      <c r="FPS233"/>
      <c r="FPT233"/>
      <c r="FPU233"/>
      <c r="FPV233"/>
      <c r="FPW233"/>
      <c r="FPX233"/>
      <c r="FPY233"/>
      <c r="FPZ233"/>
      <c r="FQA233"/>
      <c r="FQB233"/>
      <c r="FQC233"/>
      <c r="FQD233"/>
      <c r="FQE233"/>
      <c r="FQF233"/>
      <c r="FQG233"/>
      <c r="FQH233"/>
      <c r="FQI233"/>
      <c r="FQJ233"/>
      <c r="FQK233"/>
      <c r="FQL233"/>
      <c r="FQM233"/>
      <c r="FQN233"/>
      <c r="FQO233"/>
      <c r="FQP233"/>
      <c r="FQQ233"/>
      <c r="FQR233"/>
      <c r="FQS233"/>
      <c r="FQT233"/>
      <c r="FQU233"/>
      <c r="FQV233"/>
      <c r="FQW233"/>
      <c r="FQX233"/>
      <c r="FQY233"/>
      <c r="FQZ233"/>
      <c r="FRA233"/>
      <c r="FRB233"/>
      <c r="FRC233"/>
      <c r="FRD233"/>
      <c r="FRE233"/>
      <c r="FRF233"/>
      <c r="FRG233"/>
      <c r="FRH233"/>
      <c r="FRI233"/>
      <c r="FRJ233"/>
      <c r="FRK233"/>
      <c r="FRL233"/>
      <c r="FRM233"/>
      <c r="FRN233"/>
      <c r="FRO233"/>
      <c r="FRP233"/>
      <c r="FRQ233"/>
      <c r="FRR233"/>
      <c r="FRS233"/>
      <c r="FRT233"/>
      <c r="FRU233"/>
      <c r="FRV233"/>
      <c r="FRW233"/>
      <c r="FRX233"/>
      <c r="FRY233"/>
      <c r="FRZ233"/>
      <c r="FSA233"/>
      <c r="FSB233"/>
      <c r="FSC233"/>
      <c r="FSD233"/>
      <c r="FSE233"/>
      <c r="FSF233"/>
      <c r="FSG233"/>
      <c r="FSH233"/>
      <c r="FSI233"/>
      <c r="FSJ233"/>
      <c r="FSK233"/>
      <c r="FSL233"/>
      <c r="FSM233"/>
      <c r="FSN233"/>
      <c r="FSO233"/>
      <c r="FSP233"/>
      <c r="FSQ233"/>
      <c r="FSR233"/>
      <c r="FSS233"/>
      <c r="FST233"/>
      <c r="FSU233"/>
      <c r="FSV233"/>
      <c r="FSW233"/>
      <c r="FSX233"/>
      <c r="FSY233"/>
      <c r="FSZ233"/>
      <c r="FTA233"/>
      <c r="FTB233"/>
      <c r="FTC233"/>
      <c r="FTD233"/>
      <c r="FTE233"/>
      <c r="FTF233"/>
      <c r="FTG233"/>
      <c r="FTH233"/>
      <c r="FTI233"/>
      <c r="FTJ233"/>
      <c r="FTK233"/>
      <c r="FTL233"/>
      <c r="FTM233"/>
      <c r="FTN233"/>
      <c r="FTO233"/>
      <c r="FTP233"/>
      <c r="FTQ233"/>
      <c r="FTR233"/>
      <c r="FTS233"/>
      <c r="FTT233"/>
      <c r="FTU233"/>
      <c r="FTV233"/>
      <c r="FTW233"/>
      <c r="FTX233"/>
      <c r="FTY233"/>
      <c r="FTZ233"/>
      <c r="FUA233"/>
      <c r="FUB233"/>
      <c r="FUC233"/>
      <c r="FUD233"/>
      <c r="FUE233"/>
      <c r="FUF233"/>
      <c r="FUG233"/>
      <c r="FUH233"/>
      <c r="FUI233"/>
      <c r="FUJ233"/>
      <c r="FUK233"/>
      <c r="FUL233"/>
      <c r="FUM233"/>
      <c r="FUN233"/>
      <c r="FUO233"/>
      <c r="FUP233"/>
      <c r="FUQ233"/>
      <c r="FUR233"/>
      <c r="FUS233"/>
      <c r="FUT233"/>
      <c r="FUU233"/>
      <c r="FUV233"/>
      <c r="FUW233"/>
      <c r="FUX233"/>
      <c r="FUY233"/>
      <c r="FUZ233"/>
      <c r="FVA233"/>
      <c r="FVB233"/>
      <c r="FVC233"/>
      <c r="FVD233"/>
      <c r="FVE233"/>
      <c r="FVF233"/>
      <c r="FVG233"/>
      <c r="FVH233"/>
      <c r="FVI233"/>
      <c r="FVJ233"/>
      <c r="FVK233"/>
      <c r="FVL233"/>
      <c r="FVM233"/>
      <c r="FVN233"/>
      <c r="FVO233"/>
      <c r="FVP233"/>
      <c r="FVQ233"/>
      <c r="FVR233"/>
      <c r="FVS233"/>
      <c r="FVT233"/>
      <c r="FVU233"/>
      <c r="FVV233"/>
      <c r="FVW233"/>
      <c r="FVX233"/>
      <c r="FVY233"/>
      <c r="FVZ233"/>
      <c r="FWA233"/>
      <c r="FWB233"/>
      <c r="FWC233"/>
      <c r="FWD233"/>
      <c r="FWE233"/>
      <c r="FWF233"/>
      <c r="FWG233"/>
      <c r="FWH233"/>
      <c r="FWI233"/>
      <c r="FWJ233"/>
      <c r="FWK233"/>
      <c r="FWL233"/>
      <c r="FWM233"/>
      <c r="FWN233"/>
      <c r="FWO233"/>
      <c r="FWP233"/>
      <c r="FWQ233"/>
      <c r="FWR233"/>
      <c r="FWS233"/>
      <c r="FWT233"/>
      <c r="FWU233"/>
      <c r="FWV233"/>
      <c r="FWW233"/>
      <c r="FWX233"/>
      <c r="FWY233"/>
      <c r="FWZ233"/>
      <c r="FXA233"/>
      <c r="FXB233"/>
      <c r="FXC233"/>
      <c r="FXD233"/>
      <c r="FXE233"/>
      <c r="FXF233"/>
      <c r="FXG233"/>
      <c r="FXH233"/>
      <c r="FXI233"/>
      <c r="FXJ233"/>
      <c r="FXK233"/>
      <c r="FXL233"/>
      <c r="FXM233"/>
      <c r="FXN233"/>
      <c r="FXO233"/>
      <c r="FXP233"/>
      <c r="FXQ233"/>
      <c r="FXR233"/>
      <c r="FXS233"/>
      <c r="FXT233"/>
      <c r="FXU233"/>
      <c r="FXV233"/>
      <c r="FXW233"/>
      <c r="FXX233"/>
      <c r="FXY233"/>
      <c r="FXZ233"/>
      <c r="FYA233"/>
      <c r="FYB233"/>
      <c r="FYC233"/>
      <c r="FYD233"/>
      <c r="FYE233"/>
      <c r="FYF233"/>
      <c r="FYG233"/>
      <c r="FYH233"/>
      <c r="FYI233"/>
      <c r="FYJ233"/>
      <c r="FYK233"/>
      <c r="FYL233"/>
      <c r="FYM233"/>
      <c r="FYN233"/>
      <c r="FYO233"/>
      <c r="FYP233"/>
      <c r="FYQ233"/>
      <c r="FYR233"/>
      <c r="FYS233"/>
      <c r="FYT233"/>
      <c r="FYU233"/>
      <c r="FYV233"/>
      <c r="FYW233"/>
      <c r="FYX233"/>
      <c r="FYY233"/>
      <c r="FYZ233"/>
      <c r="FZA233"/>
      <c r="FZB233"/>
      <c r="FZC233"/>
      <c r="FZD233"/>
      <c r="FZE233"/>
      <c r="FZF233"/>
      <c r="FZG233"/>
      <c r="FZH233"/>
      <c r="FZI233"/>
      <c r="FZJ233"/>
      <c r="FZK233"/>
      <c r="FZL233"/>
      <c r="FZM233"/>
      <c r="FZN233"/>
      <c r="FZO233"/>
      <c r="FZP233"/>
      <c r="FZQ233"/>
      <c r="FZR233"/>
      <c r="FZS233"/>
      <c r="FZT233"/>
      <c r="FZU233"/>
      <c r="FZV233"/>
      <c r="FZW233"/>
      <c r="FZX233"/>
      <c r="FZY233"/>
      <c r="FZZ233"/>
      <c r="GAA233"/>
      <c r="GAB233"/>
      <c r="GAC233"/>
      <c r="GAD233"/>
      <c r="GAE233"/>
      <c r="GAF233"/>
      <c r="GAG233"/>
      <c r="GAH233"/>
      <c r="GAI233"/>
      <c r="GAJ233"/>
      <c r="GAK233"/>
      <c r="GAL233"/>
      <c r="GAM233"/>
      <c r="GAN233"/>
      <c r="GAO233"/>
      <c r="GAP233"/>
      <c r="GAQ233"/>
      <c r="GAR233"/>
      <c r="GAS233"/>
      <c r="GAT233"/>
      <c r="GAU233"/>
      <c r="GAV233"/>
      <c r="GAW233"/>
      <c r="GAX233"/>
      <c r="GAY233"/>
      <c r="GAZ233"/>
      <c r="GBA233"/>
      <c r="GBB233"/>
      <c r="GBC233"/>
      <c r="GBD233"/>
      <c r="GBE233"/>
      <c r="GBF233"/>
      <c r="GBG233"/>
      <c r="GBH233"/>
      <c r="GBI233"/>
      <c r="GBJ233"/>
      <c r="GBK233"/>
      <c r="GBL233"/>
      <c r="GBM233"/>
      <c r="GBN233"/>
      <c r="GBO233"/>
      <c r="GBP233"/>
      <c r="GBQ233"/>
      <c r="GBR233"/>
      <c r="GBS233"/>
      <c r="GBT233"/>
      <c r="GBU233"/>
      <c r="GBV233"/>
      <c r="GBW233"/>
      <c r="GBX233"/>
      <c r="GBY233"/>
      <c r="GBZ233"/>
      <c r="GCA233"/>
      <c r="GCB233"/>
      <c r="GCC233"/>
      <c r="GCD233"/>
      <c r="GCE233"/>
      <c r="GCF233"/>
      <c r="GCG233"/>
      <c r="GCH233"/>
      <c r="GCI233"/>
      <c r="GCJ233"/>
      <c r="GCK233"/>
      <c r="GCL233"/>
      <c r="GCM233"/>
      <c r="GCN233"/>
      <c r="GCO233"/>
      <c r="GCP233"/>
      <c r="GCQ233"/>
      <c r="GCR233"/>
      <c r="GCS233"/>
      <c r="GCT233"/>
      <c r="GCU233"/>
      <c r="GCV233"/>
      <c r="GCW233"/>
      <c r="GCX233"/>
      <c r="GCY233"/>
      <c r="GCZ233"/>
      <c r="GDA233"/>
      <c r="GDB233"/>
      <c r="GDC233"/>
      <c r="GDD233"/>
      <c r="GDE233"/>
      <c r="GDF233"/>
      <c r="GDG233"/>
      <c r="GDH233"/>
      <c r="GDI233"/>
      <c r="GDJ233"/>
      <c r="GDK233"/>
      <c r="GDL233"/>
      <c r="GDM233"/>
      <c r="GDN233"/>
      <c r="GDO233"/>
      <c r="GDP233"/>
      <c r="GDQ233"/>
      <c r="GDR233"/>
      <c r="GDS233"/>
      <c r="GDT233"/>
      <c r="GDU233"/>
      <c r="GDV233"/>
      <c r="GDW233"/>
      <c r="GDX233"/>
      <c r="GDY233"/>
      <c r="GDZ233"/>
      <c r="GEA233"/>
      <c r="GEB233"/>
      <c r="GEC233"/>
      <c r="GED233"/>
      <c r="GEE233"/>
      <c r="GEF233"/>
      <c r="GEG233"/>
      <c r="GEH233"/>
      <c r="GEI233"/>
      <c r="GEJ233"/>
      <c r="GEK233"/>
      <c r="GEL233"/>
      <c r="GEM233"/>
      <c r="GEN233"/>
      <c r="GEO233"/>
      <c r="GEP233"/>
      <c r="GEQ233"/>
      <c r="GER233"/>
      <c r="GES233"/>
      <c r="GET233"/>
      <c r="GEU233"/>
      <c r="GEV233"/>
      <c r="GEW233"/>
      <c r="GEX233"/>
      <c r="GEY233"/>
      <c r="GEZ233"/>
      <c r="GFA233"/>
      <c r="GFB233"/>
      <c r="GFC233"/>
      <c r="GFD233"/>
      <c r="GFE233"/>
      <c r="GFF233"/>
      <c r="GFG233"/>
      <c r="GFH233"/>
      <c r="GFI233"/>
      <c r="GFJ233"/>
      <c r="GFK233"/>
      <c r="GFL233"/>
      <c r="GFM233"/>
      <c r="GFN233"/>
      <c r="GFO233"/>
      <c r="GFP233"/>
      <c r="GFQ233"/>
      <c r="GFR233"/>
      <c r="GFS233"/>
      <c r="GFT233"/>
      <c r="GFU233"/>
      <c r="GFV233"/>
      <c r="GFW233"/>
      <c r="GFX233"/>
      <c r="GFY233"/>
      <c r="GFZ233"/>
      <c r="GGA233"/>
      <c r="GGB233"/>
      <c r="GGC233"/>
      <c r="GGD233"/>
      <c r="GGE233"/>
      <c r="GGF233"/>
      <c r="GGG233"/>
      <c r="GGH233"/>
      <c r="GGI233"/>
      <c r="GGJ233"/>
      <c r="GGK233"/>
      <c r="GGL233"/>
      <c r="GGM233"/>
      <c r="GGN233"/>
      <c r="GGO233"/>
      <c r="GGP233"/>
      <c r="GGQ233"/>
      <c r="GGR233"/>
      <c r="GGS233"/>
      <c r="GGT233"/>
      <c r="GGU233"/>
      <c r="GGV233"/>
      <c r="GGW233"/>
      <c r="GGX233"/>
      <c r="GGY233"/>
      <c r="GGZ233"/>
      <c r="GHA233"/>
      <c r="GHB233"/>
      <c r="GHC233"/>
      <c r="GHD233"/>
      <c r="GHE233"/>
      <c r="GHF233"/>
      <c r="GHG233"/>
      <c r="GHH233"/>
      <c r="GHI233"/>
      <c r="GHJ233"/>
      <c r="GHK233"/>
      <c r="GHL233"/>
      <c r="GHM233"/>
      <c r="GHN233"/>
      <c r="GHO233"/>
      <c r="GHP233"/>
      <c r="GHQ233"/>
      <c r="GHR233"/>
      <c r="GHS233"/>
      <c r="GHT233"/>
      <c r="GHU233"/>
      <c r="GHV233"/>
      <c r="GHW233"/>
      <c r="GHX233"/>
      <c r="GHY233"/>
      <c r="GHZ233"/>
      <c r="GIA233"/>
      <c r="GIB233"/>
      <c r="GIC233"/>
      <c r="GID233"/>
      <c r="GIE233"/>
      <c r="GIF233"/>
      <c r="GIG233"/>
      <c r="GIH233"/>
      <c r="GII233"/>
      <c r="GIJ233"/>
      <c r="GIK233"/>
      <c r="GIL233"/>
      <c r="GIM233"/>
      <c r="GIN233"/>
      <c r="GIO233"/>
      <c r="GIP233"/>
      <c r="GIQ233"/>
      <c r="GIR233"/>
      <c r="GIS233"/>
      <c r="GIT233"/>
      <c r="GIU233"/>
      <c r="GIV233"/>
      <c r="GIW233"/>
      <c r="GIX233"/>
      <c r="GIY233"/>
      <c r="GIZ233"/>
      <c r="GJA233"/>
      <c r="GJB233"/>
      <c r="GJC233"/>
      <c r="GJD233"/>
      <c r="GJE233"/>
      <c r="GJF233"/>
      <c r="GJG233"/>
      <c r="GJH233"/>
      <c r="GJI233"/>
      <c r="GJJ233"/>
      <c r="GJK233"/>
      <c r="GJL233"/>
      <c r="GJM233"/>
      <c r="GJN233"/>
      <c r="GJO233"/>
      <c r="GJP233"/>
      <c r="GJQ233"/>
      <c r="GJR233"/>
      <c r="GJS233"/>
      <c r="GJT233"/>
      <c r="GJU233"/>
      <c r="GJV233"/>
      <c r="GJW233"/>
      <c r="GJX233"/>
      <c r="GJY233"/>
      <c r="GJZ233"/>
      <c r="GKA233"/>
      <c r="GKB233"/>
      <c r="GKC233"/>
      <c r="GKD233"/>
      <c r="GKE233"/>
      <c r="GKF233"/>
      <c r="GKG233"/>
      <c r="GKH233"/>
      <c r="GKI233"/>
      <c r="GKJ233"/>
      <c r="GKK233"/>
      <c r="GKL233"/>
      <c r="GKM233"/>
      <c r="GKN233"/>
      <c r="GKO233"/>
      <c r="GKP233"/>
      <c r="GKQ233"/>
      <c r="GKR233"/>
      <c r="GKS233"/>
      <c r="GKT233"/>
      <c r="GKU233"/>
      <c r="GKV233"/>
      <c r="GKW233"/>
      <c r="GKX233"/>
      <c r="GKY233"/>
      <c r="GKZ233"/>
      <c r="GLA233"/>
      <c r="GLB233"/>
      <c r="GLC233"/>
      <c r="GLD233"/>
      <c r="GLE233"/>
      <c r="GLF233"/>
      <c r="GLG233"/>
      <c r="GLH233"/>
      <c r="GLI233"/>
      <c r="GLJ233"/>
      <c r="GLK233"/>
      <c r="GLL233"/>
      <c r="GLM233"/>
      <c r="GLN233"/>
      <c r="GLO233"/>
      <c r="GLP233"/>
      <c r="GLQ233"/>
      <c r="GLR233"/>
      <c r="GLS233"/>
      <c r="GLT233"/>
      <c r="GLU233"/>
      <c r="GLV233"/>
      <c r="GLW233"/>
      <c r="GLX233"/>
      <c r="GLY233"/>
      <c r="GLZ233"/>
      <c r="GMA233"/>
      <c r="GMB233"/>
      <c r="GMC233"/>
      <c r="GMD233"/>
      <c r="GME233"/>
      <c r="GMF233"/>
      <c r="GMG233"/>
      <c r="GMH233"/>
      <c r="GMI233"/>
      <c r="GMJ233"/>
      <c r="GMK233"/>
      <c r="GML233"/>
      <c r="GMM233"/>
      <c r="GMN233"/>
      <c r="GMO233"/>
      <c r="GMP233"/>
      <c r="GMQ233"/>
      <c r="GMR233"/>
      <c r="GMS233"/>
      <c r="GMT233"/>
      <c r="GMU233"/>
      <c r="GMV233"/>
      <c r="GMW233"/>
      <c r="GMX233"/>
      <c r="GMY233"/>
      <c r="GMZ233"/>
      <c r="GNA233"/>
      <c r="GNB233"/>
      <c r="GNC233"/>
      <c r="GND233"/>
      <c r="GNE233"/>
      <c r="GNF233"/>
      <c r="GNG233"/>
      <c r="GNH233"/>
      <c r="GNI233"/>
      <c r="GNJ233"/>
      <c r="GNK233"/>
      <c r="GNL233"/>
      <c r="GNM233"/>
      <c r="GNN233"/>
      <c r="GNO233"/>
      <c r="GNP233"/>
      <c r="GNQ233"/>
      <c r="GNR233"/>
      <c r="GNS233"/>
      <c r="GNT233"/>
      <c r="GNU233"/>
      <c r="GNV233"/>
      <c r="GNW233"/>
      <c r="GNX233"/>
      <c r="GNY233"/>
      <c r="GNZ233"/>
      <c r="GOA233"/>
      <c r="GOB233"/>
      <c r="GOC233"/>
      <c r="GOD233"/>
      <c r="GOE233"/>
      <c r="GOF233"/>
      <c r="GOG233"/>
      <c r="GOH233"/>
      <c r="GOI233"/>
      <c r="GOJ233"/>
      <c r="GOK233"/>
      <c r="GOL233"/>
      <c r="GOM233"/>
      <c r="GON233"/>
      <c r="GOO233"/>
      <c r="GOP233"/>
      <c r="GOQ233"/>
      <c r="GOR233"/>
      <c r="GOS233"/>
      <c r="GOT233"/>
      <c r="GOU233"/>
      <c r="GOV233"/>
      <c r="GOW233"/>
      <c r="GOX233"/>
      <c r="GOY233"/>
      <c r="GOZ233"/>
      <c r="GPA233"/>
      <c r="GPB233"/>
      <c r="GPC233"/>
      <c r="GPD233"/>
      <c r="GPE233"/>
      <c r="GPF233"/>
      <c r="GPG233"/>
      <c r="GPH233"/>
      <c r="GPI233"/>
      <c r="GPJ233"/>
      <c r="GPK233"/>
      <c r="GPL233"/>
      <c r="GPM233"/>
      <c r="GPN233"/>
      <c r="GPO233"/>
      <c r="GPP233"/>
      <c r="GPQ233"/>
      <c r="GPR233"/>
      <c r="GPS233"/>
      <c r="GPT233"/>
      <c r="GPU233"/>
      <c r="GPV233"/>
      <c r="GPW233"/>
      <c r="GPX233"/>
      <c r="GPY233"/>
      <c r="GPZ233"/>
      <c r="GQA233"/>
      <c r="GQB233"/>
      <c r="GQC233"/>
      <c r="GQD233"/>
      <c r="GQE233"/>
      <c r="GQF233"/>
      <c r="GQG233"/>
      <c r="GQH233"/>
      <c r="GQI233"/>
      <c r="GQJ233"/>
      <c r="GQK233"/>
      <c r="GQL233"/>
      <c r="GQM233"/>
      <c r="GQN233"/>
      <c r="GQO233"/>
      <c r="GQP233"/>
      <c r="GQQ233"/>
      <c r="GQR233"/>
      <c r="GQS233"/>
      <c r="GQT233"/>
      <c r="GQU233"/>
      <c r="GQV233"/>
      <c r="GQW233"/>
      <c r="GQX233"/>
      <c r="GQY233"/>
      <c r="GQZ233"/>
      <c r="GRA233"/>
      <c r="GRB233"/>
      <c r="GRC233"/>
      <c r="GRD233"/>
      <c r="GRE233"/>
      <c r="GRF233"/>
      <c r="GRG233"/>
      <c r="GRH233"/>
      <c r="GRI233"/>
      <c r="GRJ233"/>
      <c r="GRK233"/>
      <c r="GRL233"/>
      <c r="GRM233"/>
      <c r="GRN233"/>
      <c r="GRO233"/>
      <c r="GRP233"/>
      <c r="GRQ233"/>
      <c r="GRR233"/>
      <c r="GRS233"/>
      <c r="GRT233"/>
      <c r="GRU233"/>
      <c r="GRV233"/>
      <c r="GRW233"/>
      <c r="GRX233"/>
      <c r="GRY233"/>
      <c r="GRZ233"/>
      <c r="GSA233"/>
      <c r="GSB233"/>
      <c r="GSC233"/>
      <c r="GSD233"/>
      <c r="GSE233"/>
      <c r="GSF233"/>
      <c r="GSG233"/>
      <c r="GSH233"/>
      <c r="GSI233"/>
      <c r="GSJ233"/>
      <c r="GSK233"/>
      <c r="GSL233"/>
      <c r="GSM233"/>
      <c r="GSN233"/>
      <c r="GSO233"/>
      <c r="GSP233"/>
      <c r="GSQ233"/>
      <c r="GSR233"/>
      <c r="GSS233"/>
      <c r="GST233"/>
      <c r="GSU233"/>
      <c r="GSV233"/>
      <c r="GSW233"/>
      <c r="GSX233"/>
      <c r="GSY233"/>
      <c r="GSZ233"/>
      <c r="GTA233"/>
      <c r="GTB233"/>
      <c r="GTC233"/>
      <c r="GTD233"/>
      <c r="GTE233"/>
      <c r="GTF233"/>
      <c r="GTG233"/>
      <c r="GTH233"/>
      <c r="GTI233"/>
      <c r="GTJ233"/>
      <c r="GTK233"/>
      <c r="GTL233"/>
      <c r="GTM233"/>
      <c r="GTN233"/>
      <c r="GTO233"/>
      <c r="GTP233"/>
      <c r="GTQ233"/>
      <c r="GTR233"/>
      <c r="GTS233"/>
      <c r="GTT233"/>
      <c r="GTU233"/>
      <c r="GTV233"/>
      <c r="GTW233"/>
      <c r="GTX233"/>
      <c r="GTY233"/>
      <c r="GTZ233"/>
      <c r="GUA233"/>
      <c r="GUB233"/>
      <c r="GUC233"/>
      <c r="GUD233"/>
      <c r="GUE233"/>
      <c r="GUF233"/>
      <c r="GUG233"/>
      <c r="GUH233"/>
      <c r="GUI233"/>
      <c r="GUJ233"/>
      <c r="GUK233"/>
      <c r="GUL233"/>
      <c r="GUM233"/>
      <c r="GUN233"/>
      <c r="GUO233"/>
      <c r="GUP233"/>
      <c r="GUQ233"/>
      <c r="GUR233"/>
      <c r="GUS233"/>
      <c r="GUT233"/>
      <c r="GUU233"/>
      <c r="GUV233"/>
      <c r="GUW233"/>
      <c r="GUX233"/>
      <c r="GUY233"/>
      <c r="GUZ233"/>
      <c r="GVA233"/>
      <c r="GVB233"/>
      <c r="GVC233"/>
      <c r="GVD233"/>
      <c r="GVE233"/>
      <c r="GVF233"/>
      <c r="GVG233"/>
      <c r="GVH233"/>
      <c r="GVI233"/>
      <c r="GVJ233"/>
      <c r="GVK233"/>
      <c r="GVL233"/>
      <c r="GVM233"/>
      <c r="GVN233"/>
      <c r="GVO233"/>
      <c r="GVP233"/>
      <c r="GVQ233"/>
      <c r="GVR233"/>
      <c r="GVS233"/>
      <c r="GVT233"/>
      <c r="GVU233"/>
      <c r="GVV233"/>
      <c r="GVW233"/>
      <c r="GVX233"/>
      <c r="GVY233"/>
      <c r="GVZ233"/>
      <c r="GWA233"/>
      <c r="GWB233"/>
      <c r="GWC233"/>
      <c r="GWD233"/>
      <c r="GWE233"/>
      <c r="GWF233"/>
      <c r="GWG233"/>
      <c r="GWH233"/>
      <c r="GWI233"/>
      <c r="GWJ233"/>
      <c r="GWK233"/>
      <c r="GWL233"/>
      <c r="GWM233"/>
      <c r="GWN233"/>
      <c r="GWO233"/>
      <c r="GWP233"/>
      <c r="GWQ233"/>
      <c r="GWR233"/>
      <c r="GWS233"/>
      <c r="GWT233"/>
      <c r="GWU233"/>
      <c r="GWV233"/>
      <c r="GWW233"/>
      <c r="GWX233"/>
      <c r="GWY233"/>
      <c r="GWZ233"/>
      <c r="GXA233"/>
      <c r="GXB233"/>
      <c r="GXC233"/>
      <c r="GXD233"/>
      <c r="GXE233"/>
      <c r="GXF233"/>
      <c r="GXG233"/>
      <c r="GXH233"/>
      <c r="GXI233"/>
      <c r="GXJ233"/>
      <c r="GXK233"/>
      <c r="GXL233"/>
      <c r="GXM233"/>
      <c r="GXN233"/>
      <c r="GXO233"/>
      <c r="GXP233"/>
      <c r="GXQ233"/>
      <c r="GXR233"/>
      <c r="GXS233"/>
      <c r="GXT233"/>
      <c r="GXU233"/>
      <c r="GXV233"/>
      <c r="GXW233"/>
      <c r="GXX233"/>
      <c r="GXY233"/>
      <c r="GXZ233"/>
      <c r="GYA233"/>
      <c r="GYB233"/>
      <c r="GYC233"/>
      <c r="GYD233"/>
      <c r="GYE233"/>
      <c r="GYF233"/>
      <c r="GYG233"/>
      <c r="GYH233"/>
      <c r="GYI233"/>
      <c r="GYJ233"/>
      <c r="GYK233"/>
      <c r="GYL233"/>
      <c r="GYM233"/>
      <c r="GYN233"/>
      <c r="GYO233"/>
      <c r="GYP233"/>
      <c r="GYQ233"/>
      <c r="GYR233"/>
      <c r="GYS233"/>
      <c r="GYT233"/>
      <c r="GYU233"/>
      <c r="GYV233"/>
      <c r="GYW233"/>
      <c r="GYX233"/>
      <c r="GYY233"/>
      <c r="GYZ233"/>
      <c r="GZA233"/>
      <c r="GZB233"/>
      <c r="GZC233"/>
      <c r="GZD233"/>
      <c r="GZE233"/>
      <c r="GZF233"/>
      <c r="GZG233"/>
      <c r="GZH233"/>
      <c r="GZI233"/>
      <c r="GZJ233"/>
      <c r="GZK233"/>
      <c r="GZL233"/>
      <c r="GZM233"/>
      <c r="GZN233"/>
      <c r="GZO233"/>
      <c r="GZP233"/>
      <c r="GZQ233"/>
      <c r="GZR233"/>
      <c r="GZS233"/>
      <c r="GZT233"/>
      <c r="GZU233"/>
      <c r="GZV233"/>
      <c r="GZW233"/>
      <c r="GZX233"/>
      <c r="GZY233"/>
      <c r="GZZ233"/>
      <c r="HAA233"/>
      <c r="HAB233"/>
      <c r="HAC233"/>
      <c r="HAD233"/>
      <c r="HAE233"/>
      <c r="HAF233"/>
      <c r="HAG233"/>
      <c r="HAH233"/>
      <c r="HAI233"/>
      <c r="HAJ233"/>
      <c r="HAK233"/>
      <c r="HAL233"/>
      <c r="HAM233"/>
      <c r="HAN233"/>
      <c r="HAO233"/>
      <c r="HAP233"/>
      <c r="HAQ233"/>
      <c r="HAR233"/>
      <c r="HAS233"/>
      <c r="HAT233"/>
      <c r="HAU233"/>
      <c r="HAV233"/>
      <c r="HAW233"/>
      <c r="HAX233"/>
      <c r="HAY233"/>
      <c r="HAZ233"/>
      <c r="HBA233"/>
      <c r="HBB233"/>
      <c r="HBC233"/>
      <c r="HBD233"/>
      <c r="HBE233"/>
      <c r="HBF233"/>
      <c r="HBG233"/>
      <c r="HBH233"/>
      <c r="HBI233"/>
      <c r="HBJ233"/>
      <c r="HBK233"/>
      <c r="HBL233"/>
      <c r="HBM233"/>
      <c r="HBN233"/>
      <c r="HBO233"/>
      <c r="HBP233"/>
      <c r="HBQ233"/>
      <c r="HBR233"/>
      <c r="HBS233"/>
      <c r="HBT233"/>
      <c r="HBU233"/>
      <c r="HBV233"/>
      <c r="HBW233"/>
      <c r="HBX233"/>
      <c r="HBY233"/>
      <c r="HBZ233"/>
      <c r="HCA233"/>
      <c r="HCB233"/>
      <c r="HCC233"/>
      <c r="HCD233"/>
      <c r="HCE233"/>
      <c r="HCF233"/>
      <c r="HCG233"/>
      <c r="HCH233"/>
      <c r="HCI233"/>
      <c r="HCJ233"/>
      <c r="HCK233"/>
      <c r="HCL233"/>
      <c r="HCM233"/>
      <c r="HCN233"/>
      <c r="HCO233"/>
      <c r="HCP233"/>
      <c r="HCQ233"/>
      <c r="HCR233"/>
      <c r="HCS233"/>
      <c r="HCT233"/>
      <c r="HCU233"/>
      <c r="HCV233"/>
      <c r="HCW233"/>
      <c r="HCX233"/>
      <c r="HCY233"/>
      <c r="HCZ233"/>
      <c r="HDA233"/>
      <c r="HDB233"/>
      <c r="HDC233"/>
      <c r="HDD233"/>
      <c r="HDE233"/>
      <c r="HDF233"/>
      <c r="HDG233"/>
      <c r="HDH233"/>
      <c r="HDI233"/>
      <c r="HDJ233"/>
      <c r="HDK233"/>
      <c r="HDL233"/>
      <c r="HDM233"/>
      <c r="HDN233"/>
      <c r="HDO233"/>
      <c r="HDP233"/>
      <c r="HDQ233"/>
      <c r="HDR233"/>
      <c r="HDS233"/>
      <c r="HDT233"/>
      <c r="HDU233"/>
      <c r="HDV233"/>
      <c r="HDW233"/>
      <c r="HDX233"/>
      <c r="HDY233"/>
      <c r="HDZ233"/>
      <c r="HEA233"/>
      <c r="HEB233"/>
      <c r="HEC233"/>
      <c r="HED233"/>
      <c r="HEE233"/>
      <c r="HEF233"/>
      <c r="HEG233"/>
      <c r="HEH233"/>
      <c r="HEI233"/>
      <c r="HEJ233"/>
      <c r="HEK233"/>
      <c r="HEL233"/>
      <c r="HEM233"/>
      <c r="HEN233"/>
      <c r="HEO233"/>
      <c r="HEP233"/>
      <c r="HEQ233"/>
      <c r="HER233"/>
      <c r="HES233"/>
      <c r="HET233"/>
      <c r="HEU233"/>
      <c r="HEV233"/>
      <c r="HEW233"/>
      <c r="HEX233"/>
      <c r="HEY233"/>
      <c r="HEZ233"/>
      <c r="HFA233"/>
      <c r="HFB233"/>
      <c r="HFC233"/>
      <c r="HFD233"/>
      <c r="HFE233"/>
      <c r="HFF233"/>
      <c r="HFG233"/>
      <c r="HFH233"/>
      <c r="HFI233"/>
      <c r="HFJ233"/>
      <c r="HFK233"/>
      <c r="HFL233"/>
      <c r="HFM233"/>
      <c r="HFN233"/>
      <c r="HFO233"/>
      <c r="HFP233"/>
      <c r="HFQ233"/>
      <c r="HFR233"/>
      <c r="HFS233"/>
      <c r="HFT233"/>
      <c r="HFU233"/>
      <c r="HFV233"/>
      <c r="HFW233"/>
      <c r="HFX233"/>
      <c r="HFY233"/>
      <c r="HFZ233"/>
      <c r="HGA233"/>
      <c r="HGB233"/>
      <c r="HGC233"/>
      <c r="HGD233"/>
      <c r="HGE233"/>
      <c r="HGF233"/>
      <c r="HGG233"/>
      <c r="HGH233"/>
      <c r="HGI233"/>
      <c r="HGJ233"/>
      <c r="HGK233"/>
      <c r="HGL233"/>
      <c r="HGM233"/>
      <c r="HGN233"/>
      <c r="HGO233"/>
      <c r="HGP233"/>
      <c r="HGQ233"/>
      <c r="HGR233"/>
      <c r="HGS233"/>
      <c r="HGT233"/>
      <c r="HGU233"/>
      <c r="HGV233"/>
      <c r="HGW233"/>
      <c r="HGX233"/>
      <c r="HGY233"/>
      <c r="HGZ233"/>
      <c r="HHA233"/>
      <c r="HHB233"/>
      <c r="HHC233"/>
      <c r="HHD233"/>
      <c r="HHE233"/>
      <c r="HHF233"/>
      <c r="HHG233"/>
      <c r="HHH233"/>
      <c r="HHI233"/>
      <c r="HHJ233"/>
      <c r="HHK233"/>
      <c r="HHL233"/>
      <c r="HHM233"/>
      <c r="HHN233"/>
      <c r="HHO233"/>
      <c r="HHP233"/>
      <c r="HHQ233"/>
      <c r="HHR233"/>
      <c r="HHS233"/>
      <c r="HHT233"/>
      <c r="HHU233"/>
      <c r="HHV233"/>
      <c r="HHW233"/>
      <c r="HHX233"/>
      <c r="HHY233"/>
      <c r="HHZ233"/>
      <c r="HIA233"/>
      <c r="HIB233"/>
      <c r="HIC233"/>
      <c r="HID233"/>
      <c r="HIE233"/>
      <c r="HIF233"/>
      <c r="HIG233"/>
      <c r="HIH233"/>
      <c r="HII233"/>
      <c r="HIJ233"/>
      <c r="HIK233"/>
      <c r="HIL233"/>
      <c r="HIM233"/>
      <c r="HIN233"/>
      <c r="HIO233"/>
      <c r="HIP233"/>
      <c r="HIQ233"/>
      <c r="HIR233"/>
      <c r="HIS233"/>
      <c r="HIT233"/>
      <c r="HIU233"/>
      <c r="HIV233"/>
      <c r="HIW233"/>
      <c r="HIX233"/>
      <c r="HIY233"/>
      <c r="HIZ233"/>
      <c r="HJA233"/>
      <c r="HJB233"/>
      <c r="HJC233"/>
      <c r="HJD233"/>
      <c r="HJE233"/>
      <c r="HJF233"/>
      <c r="HJG233"/>
      <c r="HJH233"/>
      <c r="HJI233"/>
      <c r="HJJ233"/>
      <c r="HJK233"/>
      <c r="HJL233"/>
      <c r="HJM233"/>
      <c r="HJN233"/>
      <c r="HJO233"/>
      <c r="HJP233"/>
      <c r="HJQ233"/>
      <c r="HJR233"/>
      <c r="HJS233"/>
      <c r="HJT233"/>
      <c r="HJU233"/>
      <c r="HJV233"/>
      <c r="HJW233"/>
      <c r="HJX233"/>
      <c r="HJY233"/>
      <c r="HJZ233"/>
      <c r="HKA233"/>
      <c r="HKB233"/>
      <c r="HKC233"/>
      <c r="HKD233"/>
      <c r="HKE233"/>
      <c r="HKF233"/>
      <c r="HKG233"/>
      <c r="HKH233"/>
      <c r="HKI233"/>
      <c r="HKJ233"/>
      <c r="HKK233"/>
      <c r="HKL233"/>
      <c r="HKM233"/>
      <c r="HKN233"/>
      <c r="HKO233"/>
      <c r="HKP233"/>
      <c r="HKQ233"/>
      <c r="HKR233"/>
      <c r="HKS233"/>
      <c r="HKT233"/>
      <c r="HKU233"/>
      <c r="HKV233"/>
      <c r="HKW233"/>
      <c r="HKX233"/>
      <c r="HKY233"/>
      <c r="HKZ233"/>
      <c r="HLA233"/>
      <c r="HLB233"/>
      <c r="HLC233"/>
      <c r="HLD233"/>
      <c r="HLE233"/>
      <c r="HLF233"/>
      <c r="HLG233"/>
      <c r="HLH233"/>
      <c r="HLI233"/>
      <c r="HLJ233"/>
      <c r="HLK233"/>
      <c r="HLL233"/>
      <c r="HLM233"/>
      <c r="HLN233"/>
      <c r="HLO233"/>
      <c r="HLP233"/>
      <c r="HLQ233"/>
      <c r="HLR233"/>
      <c r="HLS233"/>
      <c r="HLT233"/>
      <c r="HLU233"/>
      <c r="HLV233"/>
      <c r="HLW233"/>
      <c r="HLX233"/>
      <c r="HLY233"/>
      <c r="HLZ233"/>
      <c r="HMA233"/>
      <c r="HMB233"/>
      <c r="HMC233"/>
      <c r="HMD233"/>
      <c r="HME233"/>
      <c r="HMF233"/>
      <c r="HMG233"/>
      <c r="HMH233"/>
      <c r="HMI233"/>
      <c r="HMJ233"/>
      <c r="HMK233"/>
      <c r="HML233"/>
      <c r="HMM233"/>
      <c r="HMN233"/>
      <c r="HMO233"/>
      <c r="HMP233"/>
      <c r="HMQ233"/>
      <c r="HMR233"/>
      <c r="HMS233"/>
      <c r="HMT233"/>
      <c r="HMU233"/>
      <c r="HMV233"/>
      <c r="HMW233"/>
      <c r="HMX233"/>
      <c r="HMY233"/>
      <c r="HMZ233"/>
      <c r="HNA233"/>
      <c r="HNB233"/>
      <c r="HNC233"/>
      <c r="HND233"/>
      <c r="HNE233"/>
      <c r="HNF233"/>
      <c r="HNG233"/>
      <c r="HNH233"/>
      <c r="HNI233"/>
      <c r="HNJ233"/>
      <c r="HNK233"/>
      <c r="HNL233"/>
      <c r="HNM233"/>
      <c r="HNN233"/>
      <c r="HNO233"/>
      <c r="HNP233"/>
      <c r="HNQ233"/>
      <c r="HNR233"/>
      <c r="HNS233"/>
      <c r="HNT233"/>
      <c r="HNU233"/>
      <c r="HNV233"/>
      <c r="HNW233"/>
      <c r="HNX233"/>
      <c r="HNY233"/>
      <c r="HNZ233"/>
      <c r="HOA233"/>
      <c r="HOB233"/>
      <c r="HOC233"/>
      <c r="HOD233"/>
      <c r="HOE233"/>
      <c r="HOF233"/>
      <c r="HOG233"/>
      <c r="HOH233"/>
      <c r="HOI233"/>
      <c r="HOJ233"/>
      <c r="HOK233"/>
      <c r="HOL233"/>
      <c r="HOM233"/>
      <c r="HON233"/>
      <c r="HOO233"/>
      <c r="HOP233"/>
      <c r="HOQ233"/>
      <c r="HOR233"/>
      <c r="HOS233"/>
      <c r="HOT233"/>
      <c r="HOU233"/>
      <c r="HOV233"/>
      <c r="HOW233"/>
      <c r="HOX233"/>
      <c r="HOY233"/>
      <c r="HOZ233"/>
      <c r="HPA233"/>
      <c r="HPB233"/>
      <c r="HPC233"/>
      <c r="HPD233"/>
      <c r="HPE233"/>
      <c r="HPF233"/>
      <c r="HPG233"/>
      <c r="HPH233"/>
      <c r="HPI233"/>
      <c r="HPJ233"/>
      <c r="HPK233"/>
      <c r="HPL233"/>
      <c r="HPM233"/>
      <c r="HPN233"/>
      <c r="HPO233"/>
      <c r="HPP233"/>
      <c r="HPQ233"/>
      <c r="HPR233"/>
      <c r="HPS233"/>
      <c r="HPT233"/>
      <c r="HPU233"/>
      <c r="HPV233"/>
      <c r="HPW233"/>
      <c r="HPX233"/>
      <c r="HPY233"/>
      <c r="HPZ233"/>
      <c r="HQA233"/>
      <c r="HQB233"/>
      <c r="HQC233"/>
      <c r="HQD233"/>
      <c r="HQE233"/>
      <c r="HQF233"/>
      <c r="HQG233"/>
      <c r="HQH233"/>
      <c r="HQI233"/>
      <c r="HQJ233"/>
      <c r="HQK233"/>
      <c r="HQL233"/>
      <c r="HQM233"/>
      <c r="HQN233"/>
      <c r="HQO233"/>
      <c r="HQP233"/>
      <c r="HQQ233"/>
      <c r="HQR233"/>
      <c r="HQS233"/>
      <c r="HQT233"/>
      <c r="HQU233"/>
      <c r="HQV233"/>
      <c r="HQW233"/>
      <c r="HQX233"/>
      <c r="HQY233"/>
      <c r="HQZ233"/>
      <c r="HRA233"/>
      <c r="HRB233"/>
      <c r="HRC233"/>
      <c r="HRD233"/>
      <c r="HRE233"/>
      <c r="HRF233"/>
      <c r="HRG233"/>
      <c r="HRH233"/>
      <c r="HRI233"/>
      <c r="HRJ233"/>
      <c r="HRK233"/>
      <c r="HRL233"/>
      <c r="HRM233"/>
      <c r="HRN233"/>
      <c r="HRO233"/>
      <c r="HRP233"/>
      <c r="HRQ233"/>
      <c r="HRR233"/>
      <c r="HRS233"/>
      <c r="HRT233"/>
      <c r="HRU233"/>
      <c r="HRV233"/>
      <c r="HRW233"/>
      <c r="HRX233"/>
      <c r="HRY233"/>
      <c r="HRZ233"/>
      <c r="HSA233"/>
      <c r="HSB233"/>
      <c r="HSC233"/>
      <c r="HSD233"/>
      <c r="HSE233"/>
      <c r="HSF233"/>
      <c r="HSG233"/>
      <c r="HSH233"/>
      <c r="HSI233"/>
      <c r="HSJ233"/>
      <c r="HSK233"/>
      <c r="HSL233"/>
      <c r="HSM233"/>
      <c r="HSN233"/>
      <c r="HSO233"/>
      <c r="HSP233"/>
      <c r="HSQ233"/>
      <c r="HSR233"/>
      <c r="HSS233"/>
      <c r="HST233"/>
      <c r="HSU233"/>
      <c r="HSV233"/>
      <c r="HSW233"/>
      <c r="HSX233"/>
      <c r="HSY233"/>
      <c r="HSZ233"/>
      <c r="HTA233"/>
      <c r="HTB233"/>
      <c r="HTC233"/>
      <c r="HTD233"/>
      <c r="HTE233"/>
      <c r="HTF233"/>
      <c r="HTG233"/>
      <c r="HTH233"/>
      <c r="HTI233"/>
      <c r="HTJ233"/>
      <c r="HTK233"/>
      <c r="HTL233"/>
      <c r="HTM233"/>
      <c r="HTN233"/>
      <c r="HTO233"/>
      <c r="HTP233"/>
      <c r="HTQ233"/>
      <c r="HTR233"/>
      <c r="HTS233"/>
      <c r="HTT233"/>
      <c r="HTU233"/>
      <c r="HTV233"/>
      <c r="HTW233"/>
      <c r="HTX233"/>
      <c r="HTY233"/>
      <c r="HTZ233"/>
      <c r="HUA233"/>
      <c r="HUB233"/>
      <c r="HUC233"/>
      <c r="HUD233"/>
      <c r="HUE233"/>
      <c r="HUF233"/>
      <c r="HUG233"/>
      <c r="HUH233"/>
      <c r="HUI233"/>
      <c r="HUJ233"/>
      <c r="HUK233"/>
      <c r="HUL233"/>
      <c r="HUM233"/>
      <c r="HUN233"/>
      <c r="HUO233"/>
      <c r="HUP233"/>
      <c r="HUQ233"/>
      <c r="HUR233"/>
      <c r="HUS233"/>
      <c r="HUT233"/>
      <c r="HUU233"/>
      <c r="HUV233"/>
      <c r="HUW233"/>
      <c r="HUX233"/>
      <c r="HUY233"/>
      <c r="HUZ233"/>
      <c r="HVA233"/>
      <c r="HVB233"/>
      <c r="HVC233"/>
      <c r="HVD233"/>
      <c r="HVE233"/>
      <c r="HVF233"/>
      <c r="HVG233"/>
      <c r="HVH233"/>
      <c r="HVI233"/>
      <c r="HVJ233"/>
      <c r="HVK233"/>
      <c r="HVL233"/>
      <c r="HVM233"/>
      <c r="HVN233"/>
      <c r="HVO233"/>
      <c r="HVP233"/>
      <c r="HVQ233"/>
      <c r="HVR233"/>
      <c r="HVS233"/>
      <c r="HVT233"/>
      <c r="HVU233"/>
      <c r="HVV233"/>
      <c r="HVW233"/>
      <c r="HVX233"/>
      <c r="HVY233"/>
      <c r="HVZ233"/>
      <c r="HWA233"/>
      <c r="HWB233"/>
      <c r="HWC233"/>
      <c r="HWD233"/>
      <c r="HWE233"/>
      <c r="HWF233"/>
      <c r="HWG233"/>
      <c r="HWH233"/>
      <c r="HWI233"/>
      <c r="HWJ233"/>
      <c r="HWK233"/>
      <c r="HWL233"/>
      <c r="HWM233"/>
      <c r="HWN233"/>
      <c r="HWO233"/>
      <c r="HWP233"/>
      <c r="HWQ233"/>
      <c r="HWR233"/>
      <c r="HWS233"/>
      <c r="HWT233"/>
      <c r="HWU233"/>
      <c r="HWV233"/>
      <c r="HWW233"/>
      <c r="HWX233"/>
      <c r="HWY233"/>
      <c r="HWZ233"/>
      <c r="HXA233"/>
      <c r="HXB233"/>
      <c r="HXC233"/>
      <c r="HXD233"/>
      <c r="HXE233"/>
      <c r="HXF233"/>
      <c r="HXG233"/>
      <c r="HXH233"/>
      <c r="HXI233"/>
      <c r="HXJ233"/>
      <c r="HXK233"/>
      <c r="HXL233"/>
      <c r="HXM233"/>
      <c r="HXN233"/>
      <c r="HXO233"/>
      <c r="HXP233"/>
      <c r="HXQ233"/>
      <c r="HXR233"/>
      <c r="HXS233"/>
      <c r="HXT233"/>
      <c r="HXU233"/>
      <c r="HXV233"/>
      <c r="HXW233"/>
      <c r="HXX233"/>
      <c r="HXY233"/>
      <c r="HXZ233"/>
      <c r="HYA233"/>
      <c r="HYB233"/>
      <c r="HYC233"/>
      <c r="HYD233"/>
      <c r="HYE233"/>
      <c r="HYF233"/>
      <c r="HYG233"/>
      <c r="HYH233"/>
      <c r="HYI233"/>
      <c r="HYJ233"/>
      <c r="HYK233"/>
      <c r="HYL233"/>
      <c r="HYM233"/>
      <c r="HYN233"/>
      <c r="HYO233"/>
      <c r="HYP233"/>
      <c r="HYQ233"/>
      <c r="HYR233"/>
      <c r="HYS233"/>
      <c r="HYT233"/>
      <c r="HYU233"/>
      <c r="HYV233"/>
      <c r="HYW233"/>
      <c r="HYX233"/>
      <c r="HYY233"/>
      <c r="HYZ233"/>
      <c r="HZA233"/>
      <c r="HZB233"/>
      <c r="HZC233"/>
      <c r="HZD233"/>
      <c r="HZE233"/>
      <c r="HZF233"/>
      <c r="HZG233"/>
      <c r="HZH233"/>
      <c r="HZI233"/>
      <c r="HZJ233"/>
      <c r="HZK233"/>
      <c r="HZL233"/>
      <c r="HZM233"/>
      <c r="HZN233"/>
      <c r="HZO233"/>
      <c r="HZP233"/>
      <c r="HZQ233"/>
      <c r="HZR233"/>
      <c r="HZS233"/>
      <c r="HZT233"/>
      <c r="HZU233"/>
      <c r="HZV233"/>
      <c r="HZW233"/>
      <c r="HZX233"/>
      <c r="HZY233"/>
      <c r="HZZ233"/>
      <c r="IAA233"/>
      <c r="IAB233"/>
      <c r="IAC233"/>
      <c r="IAD233"/>
      <c r="IAE233"/>
      <c r="IAF233"/>
      <c r="IAG233"/>
      <c r="IAH233"/>
      <c r="IAI233"/>
      <c r="IAJ233"/>
      <c r="IAK233"/>
      <c r="IAL233"/>
      <c r="IAM233"/>
      <c r="IAN233"/>
      <c r="IAO233"/>
      <c r="IAP233"/>
      <c r="IAQ233"/>
      <c r="IAR233"/>
      <c r="IAS233"/>
      <c r="IAT233"/>
      <c r="IAU233"/>
      <c r="IAV233"/>
      <c r="IAW233"/>
      <c r="IAX233"/>
      <c r="IAY233"/>
      <c r="IAZ233"/>
      <c r="IBA233"/>
      <c r="IBB233"/>
      <c r="IBC233"/>
      <c r="IBD233"/>
      <c r="IBE233"/>
      <c r="IBF233"/>
      <c r="IBG233"/>
      <c r="IBH233"/>
      <c r="IBI233"/>
      <c r="IBJ233"/>
      <c r="IBK233"/>
      <c r="IBL233"/>
      <c r="IBM233"/>
      <c r="IBN233"/>
      <c r="IBO233"/>
      <c r="IBP233"/>
      <c r="IBQ233"/>
      <c r="IBR233"/>
      <c r="IBS233"/>
      <c r="IBT233"/>
      <c r="IBU233"/>
      <c r="IBV233"/>
      <c r="IBW233"/>
      <c r="IBX233"/>
      <c r="IBY233"/>
      <c r="IBZ233"/>
      <c r="ICA233"/>
      <c r="ICB233"/>
      <c r="ICC233"/>
      <c r="ICD233"/>
      <c r="ICE233"/>
      <c r="ICF233"/>
      <c r="ICG233"/>
      <c r="ICH233"/>
      <c r="ICI233"/>
      <c r="ICJ233"/>
      <c r="ICK233"/>
      <c r="ICL233"/>
      <c r="ICM233"/>
      <c r="ICN233"/>
      <c r="ICO233"/>
      <c r="ICP233"/>
      <c r="ICQ233"/>
      <c r="ICR233"/>
      <c r="ICS233"/>
      <c r="ICT233"/>
      <c r="ICU233"/>
      <c r="ICV233"/>
      <c r="ICW233"/>
      <c r="ICX233"/>
      <c r="ICY233"/>
      <c r="ICZ233"/>
      <c r="IDA233"/>
      <c r="IDB233"/>
      <c r="IDC233"/>
      <c r="IDD233"/>
      <c r="IDE233"/>
      <c r="IDF233"/>
      <c r="IDG233"/>
      <c r="IDH233"/>
      <c r="IDI233"/>
      <c r="IDJ233"/>
      <c r="IDK233"/>
      <c r="IDL233"/>
      <c r="IDM233"/>
      <c r="IDN233"/>
      <c r="IDO233"/>
      <c r="IDP233"/>
      <c r="IDQ233"/>
      <c r="IDR233"/>
      <c r="IDS233"/>
      <c r="IDT233"/>
      <c r="IDU233"/>
      <c r="IDV233"/>
      <c r="IDW233"/>
      <c r="IDX233"/>
      <c r="IDY233"/>
      <c r="IDZ233"/>
      <c r="IEA233"/>
      <c r="IEB233"/>
      <c r="IEC233"/>
      <c r="IED233"/>
      <c r="IEE233"/>
      <c r="IEF233"/>
      <c r="IEG233"/>
      <c r="IEH233"/>
      <c r="IEI233"/>
      <c r="IEJ233"/>
      <c r="IEK233"/>
      <c r="IEL233"/>
      <c r="IEM233"/>
      <c r="IEN233"/>
      <c r="IEO233"/>
      <c r="IEP233"/>
      <c r="IEQ233"/>
      <c r="IER233"/>
      <c r="IES233"/>
      <c r="IET233"/>
      <c r="IEU233"/>
      <c r="IEV233"/>
      <c r="IEW233"/>
      <c r="IEX233"/>
      <c r="IEY233"/>
      <c r="IEZ233"/>
      <c r="IFA233"/>
      <c r="IFB233"/>
      <c r="IFC233"/>
      <c r="IFD233"/>
      <c r="IFE233"/>
      <c r="IFF233"/>
      <c r="IFG233"/>
      <c r="IFH233"/>
      <c r="IFI233"/>
      <c r="IFJ233"/>
      <c r="IFK233"/>
      <c r="IFL233"/>
      <c r="IFM233"/>
      <c r="IFN233"/>
      <c r="IFO233"/>
      <c r="IFP233"/>
      <c r="IFQ233"/>
      <c r="IFR233"/>
      <c r="IFS233"/>
      <c r="IFT233"/>
      <c r="IFU233"/>
      <c r="IFV233"/>
      <c r="IFW233"/>
      <c r="IFX233"/>
      <c r="IFY233"/>
      <c r="IFZ233"/>
      <c r="IGA233"/>
      <c r="IGB233"/>
      <c r="IGC233"/>
      <c r="IGD233"/>
      <c r="IGE233"/>
      <c r="IGF233"/>
      <c r="IGG233"/>
      <c r="IGH233"/>
      <c r="IGI233"/>
      <c r="IGJ233"/>
      <c r="IGK233"/>
      <c r="IGL233"/>
      <c r="IGM233"/>
      <c r="IGN233"/>
      <c r="IGO233"/>
      <c r="IGP233"/>
      <c r="IGQ233"/>
      <c r="IGR233"/>
      <c r="IGS233"/>
      <c r="IGT233"/>
      <c r="IGU233"/>
      <c r="IGV233"/>
      <c r="IGW233"/>
      <c r="IGX233"/>
      <c r="IGY233"/>
      <c r="IGZ233"/>
      <c r="IHA233"/>
      <c r="IHB233"/>
      <c r="IHC233"/>
      <c r="IHD233"/>
      <c r="IHE233"/>
      <c r="IHF233"/>
      <c r="IHG233"/>
      <c r="IHH233"/>
      <c r="IHI233"/>
      <c r="IHJ233"/>
      <c r="IHK233"/>
      <c r="IHL233"/>
      <c r="IHM233"/>
      <c r="IHN233"/>
      <c r="IHO233"/>
      <c r="IHP233"/>
      <c r="IHQ233"/>
      <c r="IHR233"/>
      <c r="IHS233"/>
      <c r="IHT233"/>
      <c r="IHU233"/>
      <c r="IHV233"/>
      <c r="IHW233"/>
      <c r="IHX233"/>
      <c r="IHY233"/>
      <c r="IHZ233"/>
      <c r="IIA233"/>
      <c r="IIB233"/>
      <c r="IIC233"/>
      <c r="IID233"/>
      <c r="IIE233"/>
      <c r="IIF233"/>
      <c r="IIG233"/>
      <c r="IIH233"/>
      <c r="III233"/>
      <c r="IIJ233"/>
      <c r="IIK233"/>
      <c r="IIL233"/>
      <c r="IIM233"/>
      <c r="IIN233"/>
      <c r="IIO233"/>
      <c r="IIP233"/>
      <c r="IIQ233"/>
      <c r="IIR233"/>
      <c r="IIS233"/>
      <c r="IIT233"/>
      <c r="IIU233"/>
      <c r="IIV233"/>
      <c r="IIW233"/>
      <c r="IIX233"/>
      <c r="IIY233"/>
      <c r="IIZ233"/>
      <c r="IJA233"/>
      <c r="IJB233"/>
      <c r="IJC233"/>
      <c r="IJD233"/>
      <c r="IJE233"/>
      <c r="IJF233"/>
      <c r="IJG233"/>
      <c r="IJH233"/>
      <c r="IJI233"/>
      <c r="IJJ233"/>
      <c r="IJK233"/>
      <c r="IJL233"/>
      <c r="IJM233"/>
      <c r="IJN233"/>
      <c r="IJO233"/>
      <c r="IJP233"/>
      <c r="IJQ233"/>
      <c r="IJR233"/>
      <c r="IJS233"/>
      <c r="IJT233"/>
      <c r="IJU233"/>
      <c r="IJV233"/>
      <c r="IJW233"/>
      <c r="IJX233"/>
      <c r="IJY233"/>
      <c r="IJZ233"/>
      <c r="IKA233"/>
      <c r="IKB233"/>
      <c r="IKC233"/>
      <c r="IKD233"/>
      <c r="IKE233"/>
      <c r="IKF233"/>
      <c r="IKG233"/>
      <c r="IKH233"/>
      <c r="IKI233"/>
      <c r="IKJ233"/>
      <c r="IKK233"/>
      <c r="IKL233"/>
      <c r="IKM233"/>
      <c r="IKN233"/>
      <c r="IKO233"/>
      <c r="IKP233"/>
      <c r="IKQ233"/>
      <c r="IKR233"/>
      <c r="IKS233"/>
      <c r="IKT233"/>
      <c r="IKU233"/>
      <c r="IKV233"/>
      <c r="IKW233"/>
      <c r="IKX233"/>
      <c r="IKY233"/>
      <c r="IKZ233"/>
      <c r="ILA233"/>
      <c r="ILB233"/>
      <c r="ILC233"/>
      <c r="ILD233"/>
      <c r="ILE233"/>
      <c r="ILF233"/>
      <c r="ILG233"/>
      <c r="ILH233"/>
      <c r="ILI233"/>
      <c r="ILJ233"/>
      <c r="ILK233"/>
      <c r="ILL233"/>
      <c r="ILM233"/>
      <c r="ILN233"/>
      <c r="ILO233"/>
      <c r="ILP233"/>
      <c r="ILQ233"/>
      <c r="ILR233"/>
      <c r="ILS233"/>
      <c r="ILT233"/>
      <c r="ILU233"/>
      <c r="ILV233"/>
      <c r="ILW233"/>
      <c r="ILX233"/>
      <c r="ILY233"/>
      <c r="ILZ233"/>
      <c r="IMA233"/>
      <c r="IMB233"/>
      <c r="IMC233"/>
      <c r="IMD233"/>
      <c r="IME233"/>
      <c r="IMF233"/>
      <c r="IMG233"/>
      <c r="IMH233"/>
      <c r="IMI233"/>
      <c r="IMJ233"/>
      <c r="IMK233"/>
      <c r="IML233"/>
      <c r="IMM233"/>
      <c r="IMN233"/>
      <c r="IMO233"/>
      <c r="IMP233"/>
      <c r="IMQ233"/>
      <c r="IMR233"/>
      <c r="IMS233"/>
      <c r="IMT233"/>
      <c r="IMU233"/>
      <c r="IMV233"/>
      <c r="IMW233"/>
      <c r="IMX233"/>
      <c r="IMY233"/>
      <c r="IMZ233"/>
      <c r="INA233"/>
      <c r="INB233"/>
      <c r="INC233"/>
      <c r="IND233"/>
      <c r="INE233"/>
      <c r="INF233"/>
      <c r="ING233"/>
      <c r="INH233"/>
      <c r="INI233"/>
      <c r="INJ233"/>
      <c r="INK233"/>
      <c r="INL233"/>
      <c r="INM233"/>
      <c r="INN233"/>
      <c r="INO233"/>
      <c r="INP233"/>
      <c r="INQ233"/>
      <c r="INR233"/>
      <c r="INS233"/>
      <c r="INT233"/>
      <c r="INU233"/>
      <c r="INV233"/>
      <c r="INW233"/>
      <c r="INX233"/>
      <c r="INY233"/>
      <c r="INZ233"/>
      <c r="IOA233"/>
      <c r="IOB233"/>
      <c r="IOC233"/>
      <c r="IOD233"/>
      <c r="IOE233"/>
      <c r="IOF233"/>
      <c r="IOG233"/>
      <c r="IOH233"/>
      <c r="IOI233"/>
      <c r="IOJ233"/>
      <c r="IOK233"/>
      <c r="IOL233"/>
      <c r="IOM233"/>
      <c r="ION233"/>
      <c r="IOO233"/>
      <c r="IOP233"/>
      <c r="IOQ233"/>
      <c r="IOR233"/>
      <c r="IOS233"/>
      <c r="IOT233"/>
      <c r="IOU233"/>
      <c r="IOV233"/>
      <c r="IOW233"/>
      <c r="IOX233"/>
      <c r="IOY233"/>
      <c r="IOZ233"/>
      <c r="IPA233"/>
      <c r="IPB233"/>
      <c r="IPC233"/>
      <c r="IPD233"/>
      <c r="IPE233"/>
      <c r="IPF233"/>
      <c r="IPG233"/>
      <c r="IPH233"/>
      <c r="IPI233"/>
      <c r="IPJ233"/>
      <c r="IPK233"/>
      <c r="IPL233"/>
      <c r="IPM233"/>
      <c r="IPN233"/>
      <c r="IPO233"/>
      <c r="IPP233"/>
      <c r="IPQ233"/>
      <c r="IPR233"/>
      <c r="IPS233"/>
      <c r="IPT233"/>
      <c r="IPU233"/>
      <c r="IPV233"/>
      <c r="IPW233"/>
      <c r="IPX233"/>
      <c r="IPY233"/>
      <c r="IPZ233"/>
      <c r="IQA233"/>
      <c r="IQB233"/>
      <c r="IQC233"/>
      <c r="IQD233"/>
      <c r="IQE233"/>
      <c r="IQF233"/>
      <c r="IQG233"/>
      <c r="IQH233"/>
      <c r="IQI233"/>
      <c r="IQJ233"/>
      <c r="IQK233"/>
      <c r="IQL233"/>
      <c r="IQM233"/>
      <c r="IQN233"/>
      <c r="IQO233"/>
      <c r="IQP233"/>
      <c r="IQQ233"/>
      <c r="IQR233"/>
      <c r="IQS233"/>
      <c r="IQT233"/>
      <c r="IQU233"/>
      <c r="IQV233"/>
      <c r="IQW233"/>
      <c r="IQX233"/>
      <c r="IQY233"/>
      <c r="IQZ233"/>
      <c r="IRA233"/>
      <c r="IRB233"/>
      <c r="IRC233"/>
      <c r="IRD233"/>
      <c r="IRE233"/>
      <c r="IRF233"/>
      <c r="IRG233"/>
      <c r="IRH233"/>
      <c r="IRI233"/>
      <c r="IRJ233"/>
      <c r="IRK233"/>
      <c r="IRL233"/>
      <c r="IRM233"/>
      <c r="IRN233"/>
      <c r="IRO233"/>
      <c r="IRP233"/>
      <c r="IRQ233"/>
      <c r="IRR233"/>
      <c r="IRS233"/>
      <c r="IRT233"/>
      <c r="IRU233"/>
      <c r="IRV233"/>
      <c r="IRW233"/>
      <c r="IRX233"/>
      <c r="IRY233"/>
      <c r="IRZ233"/>
      <c r="ISA233"/>
      <c r="ISB233"/>
      <c r="ISC233"/>
      <c r="ISD233"/>
      <c r="ISE233"/>
      <c r="ISF233"/>
      <c r="ISG233"/>
      <c r="ISH233"/>
      <c r="ISI233"/>
      <c r="ISJ233"/>
      <c r="ISK233"/>
      <c r="ISL233"/>
      <c r="ISM233"/>
      <c r="ISN233"/>
      <c r="ISO233"/>
      <c r="ISP233"/>
      <c r="ISQ233"/>
      <c r="ISR233"/>
      <c r="ISS233"/>
      <c r="IST233"/>
      <c r="ISU233"/>
      <c r="ISV233"/>
      <c r="ISW233"/>
      <c r="ISX233"/>
      <c r="ISY233"/>
      <c r="ISZ233"/>
      <c r="ITA233"/>
      <c r="ITB233"/>
      <c r="ITC233"/>
      <c r="ITD233"/>
      <c r="ITE233"/>
      <c r="ITF233"/>
      <c r="ITG233"/>
      <c r="ITH233"/>
      <c r="ITI233"/>
      <c r="ITJ233"/>
      <c r="ITK233"/>
      <c r="ITL233"/>
      <c r="ITM233"/>
      <c r="ITN233"/>
      <c r="ITO233"/>
      <c r="ITP233"/>
      <c r="ITQ233"/>
      <c r="ITR233"/>
      <c r="ITS233"/>
      <c r="ITT233"/>
      <c r="ITU233"/>
      <c r="ITV233"/>
      <c r="ITW233"/>
      <c r="ITX233"/>
      <c r="ITY233"/>
      <c r="ITZ233"/>
      <c r="IUA233"/>
      <c r="IUB233"/>
      <c r="IUC233"/>
      <c r="IUD233"/>
      <c r="IUE233"/>
      <c r="IUF233"/>
      <c r="IUG233"/>
      <c r="IUH233"/>
      <c r="IUI233"/>
      <c r="IUJ233"/>
      <c r="IUK233"/>
      <c r="IUL233"/>
      <c r="IUM233"/>
      <c r="IUN233"/>
      <c r="IUO233"/>
      <c r="IUP233"/>
      <c r="IUQ233"/>
      <c r="IUR233"/>
      <c r="IUS233"/>
      <c r="IUT233"/>
      <c r="IUU233"/>
      <c r="IUV233"/>
      <c r="IUW233"/>
      <c r="IUX233"/>
      <c r="IUY233"/>
      <c r="IUZ233"/>
      <c r="IVA233"/>
      <c r="IVB233"/>
      <c r="IVC233"/>
      <c r="IVD233"/>
      <c r="IVE233"/>
      <c r="IVF233"/>
      <c r="IVG233"/>
      <c r="IVH233"/>
      <c r="IVI233"/>
      <c r="IVJ233"/>
      <c r="IVK233"/>
      <c r="IVL233"/>
      <c r="IVM233"/>
      <c r="IVN233"/>
      <c r="IVO233"/>
      <c r="IVP233"/>
      <c r="IVQ233"/>
      <c r="IVR233"/>
      <c r="IVS233"/>
      <c r="IVT233"/>
      <c r="IVU233"/>
      <c r="IVV233"/>
      <c r="IVW233"/>
      <c r="IVX233"/>
      <c r="IVY233"/>
      <c r="IVZ233"/>
      <c r="IWA233"/>
      <c r="IWB233"/>
      <c r="IWC233"/>
      <c r="IWD233"/>
      <c r="IWE233"/>
      <c r="IWF233"/>
      <c r="IWG233"/>
      <c r="IWH233"/>
      <c r="IWI233"/>
      <c r="IWJ233"/>
      <c r="IWK233"/>
      <c r="IWL233"/>
      <c r="IWM233"/>
      <c r="IWN233"/>
      <c r="IWO233"/>
      <c r="IWP233"/>
      <c r="IWQ233"/>
      <c r="IWR233"/>
      <c r="IWS233"/>
      <c r="IWT233"/>
      <c r="IWU233"/>
      <c r="IWV233"/>
      <c r="IWW233"/>
      <c r="IWX233"/>
      <c r="IWY233"/>
      <c r="IWZ233"/>
      <c r="IXA233"/>
      <c r="IXB233"/>
      <c r="IXC233"/>
      <c r="IXD233"/>
      <c r="IXE233"/>
      <c r="IXF233"/>
      <c r="IXG233"/>
      <c r="IXH233"/>
      <c r="IXI233"/>
      <c r="IXJ233"/>
      <c r="IXK233"/>
      <c r="IXL233"/>
      <c r="IXM233"/>
      <c r="IXN233"/>
      <c r="IXO233"/>
      <c r="IXP233"/>
      <c r="IXQ233"/>
      <c r="IXR233"/>
      <c r="IXS233"/>
      <c r="IXT233"/>
      <c r="IXU233"/>
      <c r="IXV233"/>
      <c r="IXW233"/>
      <c r="IXX233"/>
      <c r="IXY233"/>
      <c r="IXZ233"/>
      <c r="IYA233"/>
      <c r="IYB233"/>
      <c r="IYC233"/>
      <c r="IYD233"/>
      <c r="IYE233"/>
      <c r="IYF233"/>
      <c r="IYG233"/>
      <c r="IYH233"/>
      <c r="IYI233"/>
      <c r="IYJ233"/>
      <c r="IYK233"/>
      <c r="IYL233"/>
      <c r="IYM233"/>
      <c r="IYN233"/>
      <c r="IYO233"/>
      <c r="IYP233"/>
      <c r="IYQ233"/>
      <c r="IYR233"/>
      <c r="IYS233"/>
      <c r="IYT233"/>
      <c r="IYU233"/>
      <c r="IYV233"/>
      <c r="IYW233"/>
      <c r="IYX233"/>
      <c r="IYY233"/>
      <c r="IYZ233"/>
      <c r="IZA233"/>
      <c r="IZB233"/>
      <c r="IZC233"/>
      <c r="IZD233"/>
      <c r="IZE233"/>
      <c r="IZF233"/>
      <c r="IZG233"/>
      <c r="IZH233"/>
      <c r="IZI233"/>
      <c r="IZJ233"/>
      <c r="IZK233"/>
      <c r="IZL233"/>
      <c r="IZM233"/>
      <c r="IZN233"/>
      <c r="IZO233"/>
      <c r="IZP233"/>
      <c r="IZQ233"/>
      <c r="IZR233"/>
      <c r="IZS233"/>
      <c r="IZT233"/>
      <c r="IZU233"/>
      <c r="IZV233"/>
      <c r="IZW233"/>
      <c r="IZX233"/>
      <c r="IZY233"/>
      <c r="IZZ233"/>
      <c r="JAA233"/>
      <c r="JAB233"/>
      <c r="JAC233"/>
      <c r="JAD233"/>
      <c r="JAE233"/>
      <c r="JAF233"/>
      <c r="JAG233"/>
      <c r="JAH233"/>
      <c r="JAI233"/>
      <c r="JAJ233"/>
      <c r="JAK233"/>
      <c r="JAL233"/>
      <c r="JAM233"/>
      <c r="JAN233"/>
      <c r="JAO233"/>
      <c r="JAP233"/>
      <c r="JAQ233"/>
      <c r="JAR233"/>
      <c r="JAS233"/>
      <c r="JAT233"/>
      <c r="JAU233"/>
      <c r="JAV233"/>
      <c r="JAW233"/>
      <c r="JAX233"/>
      <c r="JAY233"/>
      <c r="JAZ233"/>
      <c r="JBA233"/>
      <c r="JBB233"/>
      <c r="JBC233"/>
      <c r="JBD233"/>
      <c r="JBE233"/>
      <c r="JBF233"/>
      <c r="JBG233"/>
      <c r="JBH233"/>
      <c r="JBI233"/>
      <c r="JBJ233"/>
      <c r="JBK233"/>
      <c r="JBL233"/>
      <c r="JBM233"/>
      <c r="JBN233"/>
      <c r="JBO233"/>
      <c r="JBP233"/>
      <c r="JBQ233"/>
      <c r="JBR233"/>
      <c r="JBS233"/>
      <c r="JBT233"/>
      <c r="JBU233"/>
      <c r="JBV233"/>
      <c r="JBW233"/>
      <c r="JBX233"/>
      <c r="JBY233"/>
      <c r="JBZ233"/>
      <c r="JCA233"/>
      <c r="JCB233"/>
      <c r="JCC233"/>
      <c r="JCD233"/>
      <c r="JCE233"/>
      <c r="JCF233"/>
      <c r="JCG233"/>
      <c r="JCH233"/>
      <c r="JCI233"/>
      <c r="JCJ233"/>
      <c r="JCK233"/>
      <c r="JCL233"/>
      <c r="JCM233"/>
      <c r="JCN233"/>
      <c r="JCO233"/>
      <c r="JCP233"/>
      <c r="JCQ233"/>
      <c r="JCR233"/>
      <c r="JCS233"/>
      <c r="JCT233"/>
      <c r="JCU233"/>
      <c r="JCV233"/>
      <c r="JCW233"/>
      <c r="JCX233"/>
      <c r="JCY233"/>
      <c r="JCZ233"/>
      <c r="JDA233"/>
      <c r="JDB233"/>
      <c r="JDC233"/>
      <c r="JDD233"/>
      <c r="JDE233"/>
      <c r="JDF233"/>
      <c r="JDG233"/>
      <c r="JDH233"/>
      <c r="JDI233"/>
      <c r="JDJ233"/>
      <c r="JDK233"/>
      <c r="JDL233"/>
      <c r="JDM233"/>
      <c r="JDN233"/>
      <c r="JDO233"/>
      <c r="JDP233"/>
      <c r="JDQ233"/>
      <c r="JDR233"/>
      <c r="JDS233"/>
      <c r="JDT233"/>
      <c r="JDU233"/>
      <c r="JDV233"/>
      <c r="JDW233"/>
      <c r="JDX233"/>
      <c r="JDY233"/>
      <c r="JDZ233"/>
      <c r="JEA233"/>
      <c r="JEB233"/>
      <c r="JEC233"/>
      <c r="JED233"/>
      <c r="JEE233"/>
      <c r="JEF233"/>
      <c r="JEG233"/>
      <c r="JEH233"/>
      <c r="JEI233"/>
      <c r="JEJ233"/>
      <c r="JEK233"/>
      <c r="JEL233"/>
      <c r="JEM233"/>
      <c r="JEN233"/>
      <c r="JEO233"/>
      <c r="JEP233"/>
      <c r="JEQ233"/>
      <c r="JER233"/>
      <c r="JES233"/>
      <c r="JET233"/>
      <c r="JEU233"/>
      <c r="JEV233"/>
      <c r="JEW233"/>
      <c r="JEX233"/>
      <c r="JEY233"/>
      <c r="JEZ233"/>
      <c r="JFA233"/>
      <c r="JFB233"/>
      <c r="JFC233"/>
      <c r="JFD233"/>
      <c r="JFE233"/>
      <c r="JFF233"/>
      <c r="JFG233"/>
      <c r="JFH233"/>
      <c r="JFI233"/>
      <c r="JFJ233"/>
      <c r="JFK233"/>
      <c r="JFL233"/>
      <c r="JFM233"/>
      <c r="JFN233"/>
      <c r="JFO233"/>
      <c r="JFP233"/>
      <c r="JFQ233"/>
      <c r="JFR233"/>
      <c r="JFS233"/>
      <c r="JFT233"/>
      <c r="JFU233"/>
      <c r="JFV233"/>
      <c r="JFW233"/>
      <c r="JFX233"/>
      <c r="JFY233"/>
      <c r="JFZ233"/>
      <c r="JGA233"/>
      <c r="JGB233"/>
      <c r="JGC233"/>
      <c r="JGD233"/>
      <c r="JGE233"/>
      <c r="JGF233"/>
      <c r="JGG233"/>
      <c r="JGH233"/>
      <c r="JGI233"/>
      <c r="JGJ233"/>
      <c r="JGK233"/>
      <c r="JGL233"/>
      <c r="JGM233"/>
      <c r="JGN233"/>
      <c r="JGO233"/>
      <c r="JGP233"/>
      <c r="JGQ233"/>
      <c r="JGR233"/>
      <c r="JGS233"/>
      <c r="JGT233"/>
      <c r="JGU233"/>
      <c r="JGV233"/>
      <c r="JGW233"/>
      <c r="JGX233"/>
      <c r="JGY233"/>
      <c r="JGZ233"/>
      <c r="JHA233"/>
      <c r="JHB233"/>
      <c r="JHC233"/>
      <c r="JHD233"/>
      <c r="JHE233"/>
      <c r="JHF233"/>
      <c r="JHG233"/>
      <c r="JHH233"/>
      <c r="JHI233"/>
      <c r="JHJ233"/>
      <c r="JHK233"/>
      <c r="JHL233"/>
      <c r="JHM233"/>
      <c r="JHN233"/>
      <c r="JHO233"/>
      <c r="JHP233"/>
      <c r="JHQ233"/>
      <c r="JHR233"/>
      <c r="JHS233"/>
      <c r="JHT233"/>
      <c r="JHU233"/>
      <c r="JHV233"/>
      <c r="JHW233"/>
      <c r="JHX233"/>
      <c r="JHY233"/>
      <c r="JHZ233"/>
      <c r="JIA233"/>
      <c r="JIB233"/>
      <c r="JIC233"/>
      <c r="JID233"/>
      <c r="JIE233"/>
      <c r="JIF233"/>
      <c r="JIG233"/>
      <c r="JIH233"/>
      <c r="JII233"/>
      <c r="JIJ233"/>
      <c r="JIK233"/>
      <c r="JIL233"/>
      <c r="JIM233"/>
      <c r="JIN233"/>
      <c r="JIO233"/>
      <c r="JIP233"/>
      <c r="JIQ233"/>
      <c r="JIR233"/>
      <c r="JIS233"/>
      <c r="JIT233"/>
      <c r="JIU233"/>
      <c r="JIV233"/>
      <c r="JIW233"/>
      <c r="JIX233"/>
      <c r="JIY233"/>
      <c r="JIZ233"/>
      <c r="JJA233"/>
      <c r="JJB233"/>
      <c r="JJC233"/>
      <c r="JJD233"/>
      <c r="JJE233"/>
      <c r="JJF233"/>
      <c r="JJG233"/>
      <c r="JJH233"/>
      <c r="JJI233"/>
      <c r="JJJ233"/>
      <c r="JJK233"/>
      <c r="JJL233"/>
      <c r="JJM233"/>
      <c r="JJN233"/>
      <c r="JJO233"/>
      <c r="JJP233"/>
      <c r="JJQ233"/>
      <c r="JJR233"/>
      <c r="JJS233"/>
      <c r="JJT233"/>
      <c r="JJU233"/>
      <c r="JJV233"/>
      <c r="JJW233"/>
      <c r="JJX233"/>
      <c r="JJY233"/>
      <c r="JJZ233"/>
      <c r="JKA233"/>
      <c r="JKB233"/>
      <c r="JKC233"/>
      <c r="JKD233"/>
      <c r="JKE233"/>
      <c r="JKF233"/>
      <c r="JKG233"/>
      <c r="JKH233"/>
      <c r="JKI233"/>
      <c r="JKJ233"/>
      <c r="JKK233"/>
      <c r="JKL233"/>
      <c r="JKM233"/>
      <c r="JKN233"/>
      <c r="JKO233"/>
      <c r="JKP233"/>
      <c r="JKQ233"/>
      <c r="JKR233"/>
      <c r="JKS233"/>
      <c r="JKT233"/>
      <c r="JKU233"/>
      <c r="JKV233"/>
      <c r="JKW233"/>
      <c r="JKX233"/>
      <c r="JKY233"/>
      <c r="JKZ233"/>
      <c r="JLA233"/>
      <c r="JLB233"/>
      <c r="JLC233"/>
      <c r="JLD233"/>
      <c r="JLE233"/>
      <c r="JLF233"/>
      <c r="JLG233"/>
      <c r="JLH233"/>
      <c r="JLI233"/>
      <c r="JLJ233"/>
      <c r="JLK233"/>
      <c r="JLL233"/>
      <c r="JLM233"/>
      <c r="JLN233"/>
      <c r="JLO233"/>
      <c r="JLP233"/>
      <c r="JLQ233"/>
      <c r="JLR233"/>
      <c r="JLS233"/>
      <c r="JLT233"/>
      <c r="JLU233"/>
      <c r="JLV233"/>
      <c r="JLW233"/>
      <c r="JLX233"/>
      <c r="JLY233"/>
      <c r="JLZ233"/>
      <c r="JMA233"/>
      <c r="JMB233"/>
      <c r="JMC233"/>
      <c r="JMD233"/>
      <c r="JME233"/>
      <c r="JMF233"/>
      <c r="JMG233"/>
      <c r="JMH233"/>
      <c r="JMI233"/>
      <c r="JMJ233"/>
      <c r="JMK233"/>
      <c r="JML233"/>
      <c r="JMM233"/>
      <c r="JMN233"/>
      <c r="JMO233"/>
      <c r="JMP233"/>
      <c r="JMQ233"/>
      <c r="JMR233"/>
      <c r="JMS233"/>
      <c r="JMT233"/>
      <c r="JMU233"/>
      <c r="JMV233"/>
      <c r="JMW233"/>
      <c r="JMX233"/>
      <c r="JMY233"/>
      <c r="JMZ233"/>
      <c r="JNA233"/>
      <c r="JNB233"/>
      <c r="JNC233"/>
      <c r="JND233"/>
      <c r="JNE233"/>
      <c r="JNF233"/>
      <c r="JNG233"/>
      <c r="JNH233"/>
      <c r="JNI233"/>
      <c r="JNJ233"/>
      <c r="JNK233"/>
      <c r="JNL233"/>
      <c r="JNM233"/>
      <c r="JNN233"/>
      <c r="JNO233"/>
      <c r="JNP233"/>
      <c r="JNQ233"/>
      <c r="JNR233"/>
      <c r="JNS233"/>
      <c r="JNT233"/>
      <c r="JNU233"/>
      <c r="JNV233"/>
      <c r="JNW233"/>
      <c r="JNX233"/>
      <c r="JNY233"/>
      <c r="JNZ233"/>
      <c r="JOA233"/>
      <c r="JOB233"/>
      <c r="JOC233"/>
      <c r="JOD233"/>
      <c r="JOE233"/>
      <c r="JOF233"/>
      <c r="JOG233"/>
      <c r="JOH233"/>
      <c r="JOI233"/>
      <c r="JOJ233"/>
      <c r="JOK233"/>
      <c r="JOL233"/>
      <c r="JOM233"/>
      <c r="JON233"/>
      <c r="JOO233"/>
      <c r="JOP233"/>
      <c r="JOQ233"/>
      <c r="JOR233"/>
      <c r="JOS233"/>
      <c r="JOT233"/>
      <c r="JOU233"/>
      <c r="JOV233"/>
      <c r="JOW233"/>
      <c r="JOX233"/>
      <c r="JOY233"/>
      <c r="JOZ233"/>
      <c r="JPA233"/>
      <c r="JPB233"/>
      <c r="JPC233"/>
      <c r="JPD233"/>
      <c r="JPE233"/>
      <c r="JPF233"/>
      <c r="JPG233"/>
      <c r="JPH233"/>
      <c r="JPI233"/>
      <c r="JPJ233"/>
      <c r="JPK233"/>
      <c r="JPL233"/>
      <c r="JPM233"/>
      <c r="JPN233"/>
      <c r="JPO233"/>
      <c r="JPP233"/>
      <c r="JPQ233"/>
      <c r="JPR233"/>
      <c r="JPS233"/>
      <c r="JPT233"/>
      <c r="JPU233"/>
      <c r="JPV233"/>
      <c r="JPW233"/>
      <c r="JPX233"/>
      <c r="JPY233"/>
      <c r="JPZ233"/>
      <c r="JQA233"/>
      <c r="JQB233"/>
      <c r="JQC233"/>
      <c r="JQD233"/>
      <c r="JQE233"/>
      <c r="JQF233"/>
      <c r="JQG233"/>
      <c r="JQH233"/>
      <c r="JQI233"/>
      <c r="JQJ233"/>
      <c r="JQK233"/>
      <c r="JQL233"/>
      <c r="JQM233"/>
      <c r="JQN233"/>
      <c r="JQO233"/>
      <c r="JQP233"/>
      <c r="JQQ233"/>
      <c r="JQR233"/>
      <c r="JQS233"/>
      <c r="JQT233"/>
      <c r="JQU233"/>
      <c r="JQV233"/>
      <c r="JQW233"/>
      <c r="JQX233"/>
      <c r="JQY233"/>
      <c r="JQZ233"/>
      <c r="JRA233"/>
      <c r="JRB233"/>
      <c r="JRC233"/>
      <c r="JRD233"/>
      <c r="JRE233"/>
      <c r="JRF233"/>
      <c r="JRG233"/>
      <c r="JRH233"/>
      <c r="JRI233"/>
      <c r="JRJ233"/>
      <c r="JRK233"/>
      <c r="JRL233"/>
      <c r="JRM233"/>
      <c r="JRN233"/>
      <c r="JRO233"/>
      <c r="JRP233"/>
      <c r="JRQ233"/>
      <c r="JRR233"/>
      <c r="JRS233"/>
      <c r="JRT233"/>
      <c r="JRU233"/>
      <c r="JRV233"/>
      <c r="JRW233"/>
      <c r="JRX233"/>
      <c r="JRY233"/>
      <c r="JRZ233"/>
      <c r="JSA233"/>
      <c r="JSB233"/>
      <c r="JSC233"/>
      <c r="JSD233"/>
      <c r="JSE233"/>
      <c r="JSF233"/>
      <c r="JSG233"/>
      <c r="JSH233"/>
      <c r="JSI233"/>
      <c r="JSJ233"/>
      <c r="JSK233"/>
      <c r="JSL233"/>
      <c r="JSM233"/>
      <c r="JSN233"/>
      <c r="JSO233"/>
      <c r="JSP233"/>
      <c r="JSQ233"/>
      <c r="JSR233"/>
      <c r="JSS233"/>
      <c r="JST233"/>
      <c r="JSU233"/>
      <c r="JSV233"/>
      <c r="JSW233"/>
      <c r="JSX233"/>
      <c r="JSY233"/>
      <c r="JSZ233"/>
      <c r="JTA233"/>
      <c r="JTB233"/>
      <c r="JTC233"/>
      <c r="JTD233"/>
      <c r="JTE233"/>
      <c r="JTF233"/>
      <c r="JTG233"/>
      <c r="JTH233"/>
      <c r="JTI233"/>
      <c r="JTJ233"/>
      <c r="JTK233"/>
      <c r="JTL233"/>
      <c r="JTM233"/>
      <c r="JTN233"/>
      <c r="JTO233"/>
      <c r="JTP233"/>
      <c r="JTQ233"/>
      <c r="JTR233"/>
      <c r="JTS233"/>
      <c r="JTT233"/>
      <c r="JTU233"/>
      <c r="JTV233"/>
      <c r="JTW233"/>
      <c r="JTX233"/>
      <c r="JTY233"/>
      <c r="JTZ233"/>
      <c r="JUA233"/>
      <c r="JUB233"/>
      <c r="JUC233"/>
      <c r="JUD233"/>
      <c r="JUE233"/>
      <c r="JUF233"/>
      <c r="JUG233"/>
      <c r="JUH233"/>
      <c r="JUI233"/>
      <c r="JUJ233"/>
      <c r="JUK233"/>
      <c r="JUL233"/>
      <c r="JUM233"/>
      <c r="JUN233"/>
      <c r="JUO233"/>
      <c r="JUP233"/>
      <c r="JUQ233"/>
      <c r="JUR233"/>
      <c r="JUS233"/>
      <c r="JUT233"/>
      <c r="JUU233"/>
      <c r="JUV233"/>
      <c r="JUW233"/>
      <c r="JUX233"/>
      <c r="JUY233"/>
      <c r="JUZ233"/>
      <c r="JVA233"/>
      <c r="JVB233"/>
      <c r="JVC233"/>
      <c r="JVD233"/>
      <c r="JVE233"/>
      <c r="JVF233"/>
      <c r="JVG233"/>
      <c r="JVH233"/>
      <c r="JVI233"/>
      <c r="JVJ233"/>
      <c r="JVK233"/>
      <c r="JVL233"/>
      <c r="JVM233"/>
      <c r="JVN233"/>
      <c r="JVO233"/>
      <c r="JVP233"/>
      <c r="JVQ233"/>
      <c r="JVR233"/>
      <c r="JVS233"/>
      <c r="JVT233"/>
      <c r="JVU233"/>
      <c r="JVV233"/>
      <c r="JVW233"/>
      <c r="JVX233"/>
      <c r="JVY233"/>
      <c r="JVZ233"/>
      <c r="JWA233"/>
      <c r="JWB233"/>
      <c r="JWC233"/>
      <c r="JWD233"/>
      <c r="JWE233"/>
      <c r="JWF233"/>
      <c r="JWG233"/>
      <c r="JWH233"/>
      <c r="JWI233"/>
      <c r="JWJ233"/>
      <c r="JWK233"/>
      <c r="JWL233"/>
      <c r="JWM233"/>
      <c r="JWN233"/>
      <c r="JWO233"/>
      <c r="JWP233"/>
      <c r="JWQ233"/>
      <c r="JWR233"/>
      <c r="JWS233"/>
      <c r="JWT233"/>
      <c r="JWU233"/>
      <c r="JWV233"/>
      <c r="JWW233"/>
      <c r="JWX233"/>
      <c r="JWY233"/>
      <c r="JWZ233"/>
      <c r="JXA233"/>
      <c r="JXB233"/>
      <c r="JXC233"/>
      <c r="JXD233"/>
      <c r="JXE233"/>
      <c r="JXF233"/>
      <c r="JXG233"/>
      <c r="JXH233"/>
      <c r="JXI233"/>
      <c r="JXJ233"/>
      <c r="JXK233"/>
      <c r="JXL233"/>
      <c r="JXM233"/>
      <c r="JXN233"/>
      <c r="JXO233"/>
      <c r="JXP233"/>
      <c r="JXQ233"/>
      <c r="JXR233"/>
      <c r="JXS233"/>
      <c r="JXT233"/>
      <c r="JXU233"/>
      <c r="JXV233"/>
      <c r="JXW233"/>
      <c r="JXX233"/>
      <c r="JXY233"/>
      <c r="JXZ233"/>
      <c r="JYA233"/>
      <c r="JYB233"/>
      <c r="JYC233"/>
      <c r="JYD233"/>
      <c r="JYE233"/>
      <c r="JYF233"/>
      <c r="JYG233"/>
      <c r="JYH233"/>
      <c r="JYI233"/>
      <c r="JYJ233"/>
      <c r="JYK233"/>
      <c r="JYL233"/>
      <c r="JYM233"/>
      <c r="JYN233"/>
      <c r="JYO233"/>
      <c r="JYP233"/>
      <c r="JYQ233"/>
      <c r="JYR233"/>
      <c r="JYS233"/>
      <c r="JYT233"/>
      <c r="JYU233"/>
      <c r="JYV233"/>
      <c r="JYW233"/>
      <c r="JYX233"/>
      <c r="JYY233"/>
      <c r="JYZ233"/>
      <c r="JZA233"/>
      <c r="JZB233"/>
      <c r="JZC233"/>
      <c r="JZD233"/>
      <c r="JZE233"/>
      <c r="JZF233"/>
      <c r="JZG233"/>
      <c r="JZH233"/>
      <c r="JZI233"/>
      <c r="JZJ233"/>
      <c r="JZK233"/>
      <c r="JZL233"/>
      <c r="JZM233"/>
      <c r="JZN233"/>
      <c r="JZO233"/>
      <c r="JZP233"/>
      <c r="JZQ233"/>
      <c r="JZR233"/>
      <c r="JZS233"/>
      <c r="JZT233"/>
      <c r="JZU233"/>
      <c r="JZV233"/>
      <c r="JZW233"/>
      <c r="JZX233"/>
      <c r="JZY233"/>
      <c r="JZZ233"/>
      <c r="KAA233"/>
      <c r="KAB233"/>
      <c r="KAC233"/>
      <c r="KAD233"/>
      <c r="KAE233"/>
      <c r="KAF233"/>
      <c r="KAG233"/>
      <c r="KAH233"/>
      <c r="KAI233"/>
      <c r="KAJ233"/>
      <c r="KAK233"/>
      <c r="KAL233"/>
      <c r="KAM233"/>
      <c r="KAN233"/>
      <c r="KAO233"/>
      <c r="KAP233"/>
      <c r="KAQ233"/>
      <c r="KAR233"/>
      <c r="KAS233"/>
      <c r="KAT233"/>
      <c r="KAU233"/>
      <c r="KAV233"/>
      <c r="KAW233"/>
      <c r="KAX233"/>
      <c r="KAY233"/>
      <c r="KAZ233"/>
      <c r="KBA233"/>
      <c r="KBB233"/>
      <c r="KBC233"/>
      <c r="KBD233"/>
      <c r="KBE233"/>
      <c r="KBF233"/>
      <c r="KBG233"/>
      <c r="KBH233"/>
      <c r="KBI233"/>
      <c r="KBJ233"/>
      <c r="KBK233"/>
      <c r="KBL233"/>
      <c r="KBM233"/>
      <c r="KBN233"/>
      <c r="KBO233"/>
      <c r="KBP233"/>
      <c r="KBQ233"/>
      <c r="KBR233"/>
      <c r="KBS233"/>
      <c r="KBT233"/>
      <c r="KBU233"/>
      <c r="KBV233"/>
      <c r="KBW233"/>
      <c r="KBX233"/>
      <c r="KBY233"/>
      <c r="KBZ233"/>
      <c r="KCA233"/>
      <c r="KCB233"/>
      <c r="KCC233"/>
      <c r="KCD233"/>
      <c r="KCE233"/>
      <c r="KCF233"/>
      <c r="KCG233"/>
      <c r="KCH233"/>
      <c r="KCI233"/>
      <c r="KCJ233"/>
      <c r="KCK233"/>
      <c r="KCL233"/>
      <c r="KCM233"/>
      <c r="KCN233"/>
      <c r="KCO233"/>
      <c r="KCP233"/>
      <c r="KCQ233"/>
      <c r="KCR233"/>
      <c r="KCS233"/>
      <c r="KCT233"/>
      <c r="KCU233"/>
      <c r="KCV233"/>
      <c r="KCW233"/>
      <c r="KCX233"/>
      <c r="KCY233"/>
      <c r="KCZ233"/>
      <c r="KDA233"/>
      <c r="KDB233"/>
      <c r="KDC233"/>
      <c r="KDD233"/>
      <c r="KDE233"/>
      <c r="KDF233"/>
      <c r="KDG233"/>
      <c r="KDH233"/>
      <c r="KDI233"/>
      <c r="KDJ233"/>
      <c r="KDK233"/>
      <c r="KDL233"/>
      <c r="KDM233"/>
      <c r="KDN233"/>
      <c r="KDO233"/>
      <c r="KDP233"/>
      <c r="KDQ233"/>
      <c r="KDR233"/>
      <c r="KDS233"/>
      <c r="KDT233"/>
      <c r="KDU233"/>
      <c r="KDV233"/>
      <c r="KDW233"/>
      <c r="KDX233"/>
      <c r="KDY233"/>
      <c r="KDZ233"/>
      <c r="KEA233"/>
      <c r="KEB233"/>
      <c r="KEC233"/>
      <c r="KED233"/>
      <c r="KEE233"/>
      <c r="KEF233"/>
      <c r="KEG233"/>
      <c r="KEH233"/>
      <c r="KEI233"/>
      <c r="KEJ233"/>
      <c r="KEK233"/>
      <c r="KEL233"/>
      <c r="KEM233"/>
      <c r="KEN233"/>
      <c r="KEO233"/>
      <c r="KEP233"/>
      <c r="KEQ233"/>
      <c r="KER233"/>
      <c r="KES233"/>
      <c r="KET233"/>
      <c r="KEU233"/>
      <c r="KEV233"/>
      <c r="KEW233"/>
      <c r="KEX233"/>
      <c r="KEY233"/>
      <c r="KEZ233"/>
      <c r="KFA233"/>
      <c r="KFB233"/>
      <c r="KFC233"/>
      <c r="KFD233"/>
      <c r="KFE233"/>
      <c r="KFF233"/>
      <c r="KFG233"/>
      <c r="KFH233"/>
      <c r="KFI233"/>
      <c r="KFJ233"/>
      <c r="KFK233"/>
      <c r="KFL233"/>
      <c r="KFM233"/>
      <c r="KFN233"/>
      <c r="KFO233"/>
      <c r="KFP233"/>
      <c r="KFQ233"/>
      <c r="KFR233"/>
      <c r="KFS233"/>
      <c r="KFT233"/>
      <c r="KFU233"/>
      <c r="KFV233"/>
      <c r="KFW233"/>
      <c r="KFX233"/>
      <c r="KFY233"/>
      <c r="KFZ233"/>
      <c r="KGA233"/>
      <c r="KGB233"/>
      <c r="KGC233"/>
      <c r="KGD233"/>
      <c r="KGE233"/>
      <c r="KGF233"/>
      <c r="KGG233"/>
      <c r="KGH233"/>
      <c r="KGI233"/>
      <c r="KGJ233"/>
      <c r="KGK233"/>
      <c r="KGL233"/>
      <c r="KGM233"/>
      <c r="KGN233"/>
      <c r="KGO233"/>
      <c r="KGP233"/>
      <c r="KGQ233"/>
      <c r="KGR233"/>
      <c r="KGS233"/>
      <c r="KGT233"/>
      <c r="KGU233"/>
      <c r="KGV233"/>
      <c r="KGW233"/>
      <c r="KGX233"/>
      <c r="KGY233"/>
      <c r="KGZ233"/>
      <c r="KHA233"/>
      <c r="KHB233"/>
      <c r="KHC233"/>
      <c r="KHD233"/>
      <c r="KHE233"/>
      <c r="KHF233"/>
      <c r="KHG233"/>
      <c r="KHH233"/>
      <c r="KHI233"/>
      <c r="KHJ233"/>
      <c r="KHK233"/>
      <c r="KHL233"/>
      <c r="KHM233"/>
      <c r="KHN233"/>
      <c r="KHO233"/>
      <c r="KHP233"/>
      <c r="KHQ233"/>
      <c r="KHR233"/>
      <c r="KHS233"/>
      <c r="KHT233"/>
      <c r="KHU233"/>
      <c r="KHV233"/>
      <c r="KHW233"/>
      <c r="KHX233"/>
      <c r="KHY233"/>
      <c r="KHZ233"/>
      <c r="KIA233"/>
      <c r="KIB233"/>
      <c r="KIC233"/>
      <c r="KID233"/>
      <c r="KIE233"/>
      <c r="KIF233"/>
      <c r="KIG233"/>
      <c r="KIH233"/>
      <c r="KII233"/>
      <c r="KIJ233"/>
      <c r="KIK233"/>
      <c r="KIL233"/>
      <c r="KIM233"/>
      <c r="KIN233"/>
      <c r="KIO233"/>
      <c r="KIP233"/>
      <c r="KIQ233"/>
      <c r="KIR233"/>
      <c r="KIS233"/>
      <c r="KIT233"/>
      <c r="KIU233"/>
      <c r="KIV233"/>
      <c r="KIW233"/>
      <c r="KIX233"/>
      <c r="KIY233"/>
      <c r="KIZ233"/>
      <c r="KJA233"/>
      <c r="KJB233"/>
      <c r="KJC233"/>
      <c r="KJD233"/>
      <c r="KJE233"/>
      <c r="KJF233"/>
      <c r="KJG233"/>
      <c r="KJH233"/>
      <c r="KJI233"/>
      <c r="KJJ233"/>
      <c r="KJK233"/>
      <c r="KJL233"/>
      <c r="KJM233"/>
      <c r="KJN233"/>
      <c r="KJO233"/>
      <c r="KJP233"/>
      <c r="KJQ233"/>
      <c r="KJR233"/>
      <c r="KJS233"/>
      <c r="KJT233"/>
      <c r="KJU233"/>
      <c r="KJV233"/>
      <c r="KJW233"/>
      <c r="KJX233"/>
      <c r="KJY233"/>
      <c r="KJZ233"/>
      <c r="KKA233"/>
      <c r="KKB233"/>
      <c r="KKC233"/>
      <c r="KKD233"/>
      <c r="KKE233"/>
      <c r="KKF233"/>
      <c r="KKG233"/>
      <c r="KKH233"/>
      <c r="KKI233"/>
      <c r="KKJ233"/>
      <c r="KKK233"/>
      <c r="KKL233"/>
      <c r="KKM233"/>
      <c r="KKN233"/>
      <c r="KKO233"/>
      <c r="KKP233"/>
      <c r="KKQ233"/>
      <c r="KKR233"/>
      <c r="KKS233"/>
      <c r="KKT233"/>
      <c r="KKU233"/>
      <c r="KKV233"/>
      <c r="KKW233"/>
      <c r="KKX233"/>
      <c r="KKY233"/>
      <c r="KKZ233"/>
      <c r="KLA233"/>
      <c r="KLB233"/>
      <c r="KLC233"/>
      <c r="KLD233"/>
      <c r="KLE233"/>
      <c r="KLF233"/>
      <c r="KLG233"/>
      <c r="KLH233"/>
      <c r="KLI233"/>
      <c r="KLJ233"/>
      <c r="KLK233"/>
      <c r="KLL233"/>
      <c r="KLM233"/>
      <c r="KLN233"/>
      <c r="KLO233"/>
      <c r="KLP233"/>
      <c r="KLQ233"/>
      <c r="KLR233"/>
      <c r="KLS233"/>
      <c r="KLT233"/>
      <c r="KLU233"/>
      <c r="KLV233"/>
      <c r="KLW233"/>
      <c r="KLX233"/>
      <c r="KLY233"/>
      <c r="KLZ233"/>
      <c r="KMA233"/>
      <c r="KMB233"/>
      <c r="KMC233"/>
      <c r="KMD233"/>
      <c r="KME233"/>
      <c r="KMF233"/>
      <c r="KMG233"/>
      <c r="KMH233"/>
      <c r="KMI233"/>
      <c r="KMJ233"/>
      <c r="KMK233"/>
      <c r="KML233"/>
      <c r="KMM233"/>
      <c r="KMN233"/>
      <c r="KMO233"/>
      <c r="KMP233"/>
      <c r="KMQ233"/>
      <c r="KMR233"/>
      <c r="KMS233"/>
      <c r="KMT233"/>
      <c r="KMU233"/>
      <c r="KMV233"/>
      <c r="KMW233"/>
      <c r="KMX233"/>
      <c r="KMY233"/>
      <c r="KMZ233"/>
      <c r="KNA233"/>
      <c r="KNB233"/>
      <c r="KNC233"/>
      <c r="KND233"/>
      <c r="KNE233"/>
      <c r="KNF233"/>
      <c r="KNG233"/>
      <c r="KNH233"/>
      <c r="KNI233"/>
      <c r="KNJ233"/>
      <c r="KNK233"/>
      <c r="KNL233"/>
      <c r="KNM233"/>
      <c r="KNN233"/>
      <c r="KNO233"/>
      <c r="KNP233"/>
      <c r="KNQ233"/>
      <c r="KNR233"/>
      <c r="KNS233"/>
      <c r="KNT233"/>
      <c r="KNU233"/>
      <c r="KNV233"/>
      <c r="KNW233"/>
      <c r="KNX233"/>
      <c r="KNY233"/>
      <c r="KNZ233"/>
      <c r="KOA233"/>
      <c r="KOB233"/>
      <c r="KOC233"/>
      <c r="KOD233"/>
      <c r="KOE233"/>
      <c r="KOF233"/>
      <c r="KOG233"/>
      <c r="KOH233"/>
      <c r="KOI233"/>
      <c r="KOJ233"/>
      <c r="KOK233"/>
      <c r="KOL233"/>
      <c r="KOM233"/>
      <c r="KON233"/>
      <c r="KOO233"/>
      <c r="KOP233"/>
      <c r="KOQ233"/>
      <c r="KOR233"/>
      <c r="KOS233"/>
      <c r="KOT233"/>
      <c r="KOU233"/>
      <c r="KOV233"/>
      <c r="KOW233"/>
      <c r="KOX233"/>
      <c r="KOY233"/>
      <c r="KOZ233"/>
      <c r="KPA233"/>
      <c r="KPB233"/>
      <c r="KPC233"/>
      <c r="KPD233"/>
      <c r="KPE233"/>
      <c r="KPF233"/>
      <c r="KPG233"/>
      <c r="KPH233"/>
      <c r="KPI233"/>
      <c r="KPJ233"/>
      <c r="KPK233"/>
      <c r="KPL233"/>
      <c r="KPM233"/>
      <c r="KPN233"/>
      <c r="KPO233"/>
      <c r="KPP233"/>
      <c r="KPQ233"/>
      <c r="KPR233"/>
      <c r="KPS233"/>
      <c r="KPT233"/>
      <c r="KPU233"/>
      <c r="KPV233"/>
      <c r="KPW233"/>
      <c r="KPX233"/>
      <c r="KPY233"/>
      <c r="KPZ233"/>
      <c r="KQA233"/>
      <c r="KQB233"/>
      <c r="KQC233"/>
      <c r="KQD233"/>
      <c r="KQE233"/>
      <c r="KQF233"/>
      <c r="KQG233"/>
      <c r="KQH233"/>
      <c r="KQI233"/>
      <c r="KQJ233"/>
      <c r="KQK233"/>
      <c r="KQL233"/>
      <c r="KQM233"/>
      <c r="KQN233"/>
      <c r="KQO233"/>
      <c r="KQP233"/>
      <c r="KQQ233"/>
      <c r="KQR233"/>
      <c r="KQS233"/>
      <c r="KQT233"/>
      <c r="KQU233"/>
      <c r="KQV233"/>
      <c r="KQW233"/>
      <c r="KQX233"/>
      <c r="KQY233"/>
      <c r="KQZ233"/>
      <c r="KRA233"/>
      <c r="KRB233"/>
      <c r="KRC233"/>
      <c r="KRD233"/>
      <c r="KRE233"/>
      <c r="KRF233"/>
      <c r="KRG233"/>
      <c r="KRH233"/>
      <c r="KRI233"/>
      <c r="KRJ233"/>
      <c r="KRK233"/>
      <c r="KRL233"/>
      <c r="KRM233"/>
      <c r="KRN233"/>
      <c r="KRO233"/>
      <c r="KRP233"/>
      <c r="KRQ233"/>
      <c r="KRR233"/>
      <c r="KRS233"/>
      <c r="KRT233"/>
      <c r="KRU233"/>
      <c r="KRV233"/>
      <c r="KRW233"/>
      <c r="KRX233"/>
      <c r="KRY233"/>
      <c r="KRZ233"/>
      <c r="KSA233"/>
      <c r="KSB233"/>
      <c r="KSC233"/>
      <c r="KSD233"/>
      <c r="KSE233"/>
      <c r="KSF233"/>
      <c r="KSG233"/>
      <c r="KSH233"/>
      <c r="KSI233"/>
      <c r="KSJ233"/>
      <c r="KSK233"/>
      <c r="KSL233"/>
      <c r="KSM233"/>
      <c r="KSN233"/>
      <c r="KSO233"/>
      <c r="KSP233"/>
      <c r="KSQ233"/>
      <c r="KSR233"/>
      <c r="KSS233"/>
      <c r="KST233"/>
      <c r="KSU233"/>
      <c r="KSV233"/>
      <c r="KSW233"/>
      <c r="KSX233"/>
      <c r="KSY233"/>
      <c r="KSZ233"/>
      <c r="KTA233"/>
      <c r="KTB233"/>
      <c r="KTC233"/>
      <c r="KTD233"/>
      <c r="KTE233"/>
      <c r="KTF233"/>
      <c r="KTG233"/>
      <c r="KTH233"/>
      <c r="KTI233"/>
      <c r="KTJ233"/>
      <c r="KTK233"/>
      <c r="KTL233"/>
      <c r="KTM233"/>
      <c r="KTN233"/>
      <c r="KTO233"/>
      <c r="KTP233"/>
      <c r="KTQ233"/>
      <c r="KTR233"/>
      <c r="KTS233"/>
      <c r="KTT233"/>
      <c r="KTU233"/>
      <c r="KTV233"/>
      <c r="KTW233"/>
      <c r="KTX233"/>
      <c r="KTY233"/>
      <c r="KTZ233"/>
      <c r="KUA233"/>
      <c r="KUB233"/>
      <c r="KUC233"/>
      <c r="KUD233"/>
      <c r="KUE233"/>
      <c r="KUF233"/>
      <c r="KUG233"/>
      <c r="KUH233"/>
      <c r="KUI233"/>
      <c r="KUJ233"/>
      <c r="KUK233"/>
      <c r="KUL233"/>
      <c r="KUM233"/>
      <c r="KUN233"/>
      <c r="KUO233"/>
      <c r="KUP233"/>
      <c r="KUQ233"/>
      <c r="KUR233"/>
      <c r="KUS233"/>
      <c r="KUT233"/>
      <c r="KUU233"/>
      <c r="KUV233"/>
      <c r="KUW233"/>
      <c r="KUX233"/>
      <c r="KUY233"/>
      <c r="KUZ233"/>
      <c r="KVA233"/>
      <c r="KVB233"/>
      <c r="KVC233"/>
      <c r="KVD233"/>
      <c r="KVE233"/>
      <c r="KVF233"/>
      <c r="KVG233"/>
      <c r="KVH233"/>
      <c r="KVI233"/>
      <c r="KVJ233"/>
      <c r="KVK233"/>
      <c r="KVL233"/>
      <c r="KVM233"/>
      <c r="KVN233"/>
      <c r="KVO233"/>
      <c r="KVP233"/>
      <c r="KVQ233"/>
      <c r="KVR233"/>
      <c r="KVS233"/>
      <c r="KVT233"/>
      <c r="KVU233"/>
      <c r="KVV233"/>
      <c r="KVW233"/>
      <c r="KVX233"/>
      <c r="KVY233"/>
      <c r="KVZ233"/>
      <c r="KWA233"/>
      <c r="KWB233"/>
      <c r="KWC233"/>
      <c r="KWD233"/>
      <c r="KWE233"/>
      <c r="KWF233"/>
      <c r="KWG233"/>
      <c r="KWH233"/>
      <c r="KWI233"/>
      <c r="KWJ233"/>
      <c r="KWK233"/>
      <c r="KWL233"/>
      <c r="KWM233"/>
      <c r="KWN233"/>
      <c r="KWO233"/>
      <c r="KWP233"/>
      <c r="KWQ233"/>
      <c r="KWR233"/>
      <c r="KWS233"/>
      <c r="KWT233"/>
      <c r="KWU233"/>
      <c r="KWV233"/>
      <c r="KWW233"/>
      <c r="KWX233"/>
      <c r="KWY233"/>
      <c r="KWZ233"/>
      <c r="KXA233"/>
      <c r="KXB233"/>
      <c r="KXC233"/>
      <c r="KXD233"/>
      <c r="KXE233"/>
      <c r="KXF233"/>
      <c r="KXG233"/>
      <c r="KXH233"/>
      <c r="KXI233"/>
      <c r="KXJ233"/>
      <c r="KXK233"/>
      <c r="KXL233"/>
      <c r="KXM233"/>
      <c r="KXN233"/>
      <c r="KXO233"/>
      <c r="KXP233"/>
      <c r="KXQ233"/>
      <c r="KXR233"/>
      <c r="KXS233"/>
      <c r="KXT233"/>
      <c r="KXU233"/>
      <c r="KXV233"/>
      <c r="KXW233"/>
      <c r="KXX233"/>
      <c r="KXY233"/>
      <c r="KXZ233"/>
      <c r="KYA233"/>
      <c r="KYB233"/>
      <c r="KYC233"/>
      <c r="KYD233"/>
      <c r="KYE233"/>
      <c r="KYF233"/>
      <c r="KYG233"/>
      <c r="KYH233"/>
      <c r="KYI233"/>
      <c r="KYJ233"/>
      <c r="KYK233"/>
      <c r="KYL233"/>
      <c r="KYM233"/>
      <c r="KYN233"/>
      <c r="KYO233"/>
      <c r="KYP233"/>
      <c r="KYQ233"/>
      <c r="KYR233"/>
      <c r="KYS233"/>
      <c r="KYT233"/>
      <c r="KYU233"/>
      <c r="KYV233"/>
      <c r="KYW233"/>
      <c r="KYX233"/>
      <c r="KYY233"/>
      <c r="KYZ233"/>
      <c r="KZA233"/>
      <c r="KZB233"/>
      <c r="KZC233"/>
      <c r="KZD233"/>
      <c r="KZE233"/>
      <c r="KZF233"/>
      <c r="KZG233"/>
      <c r="KZH233"/>
      <c r="KZI233"/>
      <c r="KZJ233"/>
      <c r="KZK233"/>
      <c r="KZL233"/>
      <c r="KZM233"/>
      <c r="KZN233"/>
      <c r="KZO233"/>
      <c r="KZP233"/>
      <c r="KZQ233"/>
      <c r="KZR233"/>
      <c r="KZS233"/>
      <c r="KZT233"/>
      <c r="KZU233"/>
      <c r="KZV233"/>
      <c r="KZW233"/>
      <c r="KZX233"/>
      <c r="KZY233"/>
      <c r="KZZ233"/>
      <c r="LAA233"/>
      <c r="LAB233"/>
      <c r="LAC233"/>
      <c r="LAD233"/>
      <c r="LAE233"/>
      <c r="LAF233"/>
      <c r="LAG233"/>
      <c r="LAH233"/>
      <c r="LAI233"/>
      <c r="LAJ233"/>
      <c r="LAK233"/>
      <c r="LAL233"/>
      <c r="LAM233"/>
      <c r="LAN233"/>
      <c r="LAO233"/>
      <c r="LAP233"/>
      <c r="LAQ233"/>
      <c r="LAR233"/>
      <c r="LAS233"/>
      <c r="LAT233"/>
      <c r="LAU233"/>
      <c r="LAV233"/>
      <c r="LAW233"/>
      <c r="LAX233"/>
      <c r="LAY233"/>
      <c r="LAZ233"/>
      <c r="LBA233"/>
      <c r="LBB233"/>
      <c r="LBC233"/>
      <c r="LBD233"/>
      <c r="LBE233"/>
      <c r="LBF233"/>
      <c r="LBG233"/>
      <c r="LBH233"/>
      <c r="LBI233"/>
      <c r="LBJ233"/>
      <c r="LBK233"/>
      <c r="LBL233"/>
      <c r="LBM233"/>
      <c r="LBN233"/>
      <c r="LBO233"/>
      <c r="LBP233"/>
      <c r="LBQ233"/>
      <c r="LBR233"/>
      <c r="LBS233"/>
      <c r="LBT233"/>
      <c r="LBU233"/>
      <c r="LBV233"/>
      <c r="LBW233"/>
      <c r="LBX233"/>
      <c r="LBY233"/>
      <c r="LBZ233"/>
      <c r="LCA233"/>
      <c r="LCB233"/>
      <c r="LCC233"/>
      <c r="LCD233"/>
      <c r="LCE233"/>
      <c r="LCF233"/>
      <c r="LCG233"/>
      <c r="LCH233"/>
      <c r="LCI233"/>
      <c r="LCJ233"/>
      <c r="LCK233"/>
      <c r="LCL233"/>
      <c r="LCM233"/>
      <c r="LCN233"/>
      <c r="LCO233"/>
      <c r="LCP233"/>
      <c r="LCQ233"/>
      <c r="LCR233"/>
      <c r="LCS233"/>
      <c r="LCT233"/>
      <c r="LCU233"/>
      <c r="LCV233"/>
      <c r="LCW233"/>
      <c r="LCX233"/>
      <c r="LCY233"/>
      <c r="LCZ233"/>
      <c r="LDA233"/>
      <c r="LDB233"/>
      <c r="LDC233"/>
      <c r="LDD233"/>
      <c r="LDE233"/>
      <c r="LDF233"/>
      <c r="LDG233"/>
      <c r="LDH233"/>
      <c r="LDI233"/>
      <c r="LDJ233"/>
      <c r="LDK233"/>
      <c r="LDL233"/>
      <c r="LDM233"/>
      <c r="LDN233"/>
      <c r="LDO233"/>
      <c r="LDP233"/>
      <c r="LDQ233"/>
      <c r="LDR233"/>
      <c r="LDS233"/>
      <c r="LDT233"/>
      <c r="LDU233"/>
      <c r="LDV233"/>
      <c r="LDW233"/>
      <c r="LDX233"/>
      <c r="LDY233"/>
      <c r="LDZ233"/>
      <c r="LEA233"/>
      <c r="LEB233"/>
      <c r="LEC233"/>
      <c r="LED233"/>
      <c r="LEE233"/>
      <c r="LEF233"/>
      <c r="LEG233"/>
      <c r="LEH233"/>
      <c r="LEI233"/>
      <c r="LEJ233"/>
      <c r="LEK233"/>
      <c r="LEL233"/>
      <c r="LEM233"/>
      <c r="LEN233"/>
      <c r="LEO233"/>
      <c r="LEP233"/>
      <c r="LEQ233"/>
      <c r="LER233"/>
      <c r="LES233"/>
      <c r="LET233"/>
      <c r="LEU233"/>
      <c r="LEV233"/>
      <c r="LEW233"/>
      <c r="LEX233"/>
      <c r="LEY233"/>
      <c r="LEZ233"/>
      <c r="LFA233"/>
      <c r="LFB233"/>
      <c r="LFC233"/>
      <c r="LFD233"/>
      <c r="LFE233"/>
      <c r="LFF233"/>
      <c r="LFG233"/>
      <c r="LFH233"/>
      <c r="LFI233"/>
      <c r="LFJ233"/>
      <c r="LFK233"/>
      <c r="LFL233"/>
      <c r="LFM233"/>
      <c r="LFN233"/>
      <c r="LFO233"/>
      <c r="LFP233"/>
      <c r="LFQ233"/>
      <c r="LFR233"/>
      <c r="LFS233"/>
      <c r="LFT233"/>
      <c r="LFU233"/>
      <c r="LFV233"/>
      <c r="LFW233"/>
      <c r="LFX233"/>
      <c r="LFY233"/>
      <c r="LFZ233"/>
      <c r="LGA233"/>
      <c r="LGB233"/>
      <c r="LGC233"/>
      <c r="LGD233"/>
      <c r="LGE233"/>
      <c r="LGF233"/>
      <c r="LGG233"/>
      <c r="LGH233"/>
      <c r="LGI233"/>
      <c r="LGJ233"/>
      <c r="LGK233"/>
      <c r="LGL233"/>
      <c r="LGM233"/>
      <c r="LGN233"/>
      <c r="LGO233"/>
      <c r="LGP233"/>
      <c r="LGQ233"/>
      <c r="LGR233"/>
      <c r="LGS233"/>
      <c r="LGT233"/>
      <c r="LGU233"/>
      <c r="LGV233"/>
      <c r="LGW233"/>
      <c r="LGX233"/>
      <c r="LGY233"/>
      <c r="LGZ233"/>
      <c r="LHA233"/>
      <c r="LHB233"/>
      <c r="LHC233"/>
      <c r="LHD233"/>
      <c r="LHE233"/>
      <c r="LHF233"/>
      <c r="LHG233"/>
      <c r="LHH233"/>
      <c r="LHI233"/>
      <c r="LHJ233"/>
      <c r="LHK233"/>
      <c r="LHL233"/>
      <c r="LHM233"/>
      <c r="LHN233"/>
      <c r="LHO233"/>
      <c r="LHP233"/>
      <c r="LHQ233"/>
      <c r="LHR233"/>
      <c r="LHS233"/>
      <c r="LHT233"/>
      <c r="LHU233"/>
      <c r="LHV233"/>
      <c r="LHW233"/>
      <c r="LHX233"/>
      <c r="LHY233"/>
      <c r="LHZ233"/>
      <c r="LIA233"/>
      <c r="LIB233"/>
      <c r="LIC233"/>
      <c r="LID233"/>
      <c r="LIE233"/>
      <c r="LIF233"/>
      <c r="LIG233"/>
      <c r="LIH233"/>
      <c r="LII233"/>
      <c r="LIJ233"/>
      <c r="LIK233"/>
      <c r="LIL233"/>
      <c r="LIM233"/>
      <c r="LIN233"/>
      <c r="LIO233"/>
      <c r="LIP233"/>
      <c r="LIQ233"/>
      <c r="LIR233"/>
      <c r="LIS233"/>
      <c r="LIT233"/>
      <c r="LIU233"/>
      <c r="LIV233"/>
      <c r="LIW233"/>
      <c r="LIX233"/>
      <c r="LIY233"/>
      <c r="LIZ233"/>
      <c r="LJA233"/>
      <c r="LJB233"/>
      <c r="LJC233"/>
      <c r="LJD233"/>
      <c r="LJE233"/>
      <c r="LJF233"/>
      <c r="LJG233"/>
      <c r="LJH233"/>
      <c r="LJI233"/>
      <c r="LJJ233"/>
      <c r="LJK233"/>
      <c r="LJL233"/>
      <c r="LJM233"/>
      <c r="LJN233"/>
      <c r="LJO233"/>
      <c r="LJP233"/>
      <c r="LJQ233"/>
      <c r="LJR233"/>
      <c r="LJS233"/>
      <c r="LJT233"/>
      <c r="LJU233"/>
      <c r="LJV233"/>
      <c r="LJW233"/>
      <c r="LJX233"/>
      <c r="LJY233"/>
      <c r="LJZ233"/>
      <c r="LKA233"/>
      <c r="LKB233"/>
      <c r="LKC233"/>
      <c r="LKD233"/>
      <c r="LKE233"/>
      <c r="LKF233"/>
      <c r="LKG233"/>
      <c r="LKH233"/>
      <c r="LKI233"/>
      <c r="LKJ233"/>
      <c r="LKK233"/>
      <c r="LKL233"/>
      <c r="LKM233"/>
      <c r="LKN233"/>
      <c r="LKO233"/>
      <c r="LKP233"/>
      <c r="LKQ233"/>
      <c r="LKR233"/>
      <c r="LKS233"/>
      <c r="LKT233"/>
      <c r="LKU233"/>
      <c r="LKV233"/>
      <c r="LKW233"/>
      <c r="LKX233"/>
      <c r="LKY233"/>
      <c r="LKZ233"/>
      <c r="LLA233"/>
      <c r="LLB233"/>
      <c r="LLC233"/>
      <c r="LLD233"/>
      <c r="LLE233"/>
      <c r="LLF233"/>
      <c r="LLG233"/>
      <c r="LLH233"/>
      <c r="LLI233"/>
      <c r="LLJ233"/>
      <c r="LLK233"/>
      <c r="LLL233"/>
      <c r="LLM233"/>
      <c r="LLN233"/>
      <c r="LLO233"/>
      <c r="LLP233"/>
      <c r="LLQ233"/>
      <c r="LLR233"/>
      <c r="LLS233"/>
      <c r="LLT233"/>
      <c r="LLU233"/>
      <c r="LLV233"/>
      <c r="LLW233"/>
      <c r="LLX233"/>
      <c r="LLY233"/>
      <c r="LLZ233"/>
      <c r="LMA233"/>
      <c r="LMB233"/>
      <c r="LMC233"/>
      <c r="LMD233"/>
      <c r="LME233"/>
      <c r="LMF233"/>
      <c r="LMG233"/>
      <c r="LMH233"/>
      <c r="LMI233"/>
      <c r="LMJ233"/>
      <c r="LMK233"/>
      <c r="LML233"/>
      <c r="LMM233"/>
      <c r="LMN233"/>
      <c r="LMO233"/>
      <c r="LMP233"/>
      <c r="LMQ233"/>
      <c r="LMR233"/>
      <c r="LMS233"/>
      <c r="LMT233"/>
      <c r="LMU233"/>
      <c r="LMV233"/>
      <c r="LMW233"/>
      <c r="LMX233"/>
      <c r="LMY233"/>
      <c r="LMZ233"/>
      <c r="LNA233"/>
      <c r="LNB233"/>
      <c r="LNC233"/>
      <c r="LND233"/>
      <c r="LNE233"/>
      <c r="LNF233"/>
      <c r="LNG233"/>
      <c r="LNH233"/>
      <c r="LNI233"/>
      <c r="LNJ233"/>
      <c r="LNK233"/>
      <c r="LNL233"/>
      <c r="LNM233"/>
      <c r="LNN233"/>
      <c r="LNO233"/>
      <c r="LNP233"/>
      <c r="LNQ233"/>
      <c r="LNR233"/>
      <c r="LNS233"/>
      <c r="LNT233"/>
      <c r="LNU233"/>
      <c r="LNV233"/>
      <c r="LNW233"/>
      <c r="LNX233"/>
      <c r="LNY233"/>
      <c r="LNZ233"/>
      <c r="LOA233"/>
      <c r="LOB233"/>
      <c r="LOC233"/>
      <c r="LOD233"/>
      <c r="LOE233"/>
      <c r="LOF233"/>
      <c r="LOG233"/>
      <c r="LOH233"/>
      <c r="LOI233"/>
      <c r="LOJ233"/>
      <c r="LOK233"/>
      <c r="LOL233"/>
      <c r="LOM233"/>
      <c r="LON233"/>
      <c r="LOO233"/>
      <c r="LOP233"/>
      <c r="LOQ233"/>
      <c r="LOR233"/>
      <c r="LOS233"/>
      <c r="LOT233"/>
      <c r="LOU233"/>
      <c r="LOV233"/>
      <c r="LOW233"/>
      <c r="LOX233"/>
      <c r="LOY233"/>
      <c r="LOZ233"/>
      <c r="LPA233"/>
      <c r="LPB233"/>
      <c r="LPC233"/>
      <c r="LPD233"/>
      <c r="LPE233"/>
      <c r="LPF233"/>
      <c r="LPG233"/>
      <c r="LPH233"/>
      <c r="LPI233"/>
      <c r="LPJ233"/>
      <c r="LPK233"/>
      <c r="LPL233"/>
      <c r="LPM233"/>
      <c r="LPN233"/>
      <c r="LPO233"/>
      <c r="LPP233"/>
      <c r="LPQ233"/>
      <c r="LPR233"/>
      <c r="LPS233"/>
      <c r="LPT233"/>
      <c r="LPU233"/>
      <c r="LPV233"/>
      <c r="LPW233"/>
      <c r="LPX233"/>
      <c r="LPY233"/>
      <c r="LPZ233"/>
      <c r="LQA233"/>
      <c r="LQB233"/>
      <c r="LQC233"/>
      <c r="LQD233"/>
      <c r="LQE233"/>
      <c r="LQF233"/>
      <c r="LQG233"/>
      <c r="LQH233"/>
      <c r="LQI233"/>
      <c r="LQJ233"/>
      <c r="LQK233"/>
      <c r="LQL233"/>
      <c r="LQM233"/>
      <c r="LQN233"/>
      <c r="LQO233"/>
      <c r="LQP233"/>
      <c r="LQQ233"/>
      <c r="LQR233"/>
      <c r="LQS233"/>
      <c r="LQT233"/>
      <c r="LQU233"/>
      <c r="LQV233"/>
      <c r="LQW233"/>
      <c r="LQX233"/>
      <c r="LQY233"/>
      <c r="LQZ233"/>
      <c r="LRA233"/>
      <c r="LRB233"/>
      <c r="LRC233"/>
      <c r="LRD233"/>
      <c r="LRE233"/>
      <c r="LRF233"/>
      <c r="LRG233"/>
      <c r="LRH233"/>
      <c r="LRI233"/>
      <c r="LRJ233"/>
      <c r="LRK233"/>
      <c r="LRL233"/>
      <c r="LRM233"/>
      <c r="LRN233"/>
      <c r="LRO233"/>
      <c r="LRP233"/>
      <c r="LRQ233"/>
      <c r="LRR233"/>
      <c r="LRS233"/>
      <c r="LRT233"/>
      <c r="LRU233"/>
      <c r="LRV233"/>
      <c r="LRW233"/>
      <c r="LRX233"/>
      <c r="LRY233"/>
      <c r="LRZ233"/>
      <c r="LSA233"/>
      <c r="LSB233"/>
      <c r="LSC233"/>
      <c r="LSD233"/>
      <c r="LSE233"/>
      <c r="LSF233"/>
      <c r="LSG233"/>
      <c r="LSH233"/>
      <c r="LSI233"/>
      <c r="LSJ233"/>
      <c r="LSK233"/>
      <c r="LSL233"/>
      <c r="LSM233"/>
      <c r="LSN233"/>
      <c r="LSO233"/>
      <c r="LSP233"/>
      <c r="LSQ233"/>
      <c r="LSR233"/>
      <c r="LSS233"/>
      <c r="LST233"/>
      <c r="LSU233"/>
      <c r="LSV233"/>
      <c r="LSW233"/>
      <c r="LSX233"/>
      <c r="LSY233"/>
      <c r="LSZ233"/>
      <c r="LTA233"/>
      <c r="LTB233"/>
      <c r="LTC233"/>
      <c r="LTD233"/>
      <c r="LTE233"/>
      <c r="LTF233"/>
      <c r="LTG233"/>
      <c r="LTH233"/>
      <c r="LTI233"/>
      <c r="LTJ233"/>
      <c r="LTK233"/>
      <c r="LTL233"/>
      <c r="LTM233"/>
      <c r="LTN233"/>
      <c r="LTO233"/>
      <c r="LTP233"/>
      <c r="LTQ233"/>
      <c r="LTR233"/>
      <c r="LTS233"/>
      <c r="LTT233"/>
      <c r="LTU233"/>
      <c r="LTV233"/>
      <c r="LTW233"/>
      <c r="LTX233"/>
      <c r="LTY233"/>
      <c r="LTZ233"/>
      <c r="LUA233"/>
      <c r="LUB233"/>
      <c r="LUC233"/>
      <c r="LUD233"/>
      <c r="LUE233"/>
      <c r="LUF233"/>
      <c r="LUG233"/>
      <c r="LUH233"/>
      <c r="LUI233"/>
      <c r="LUJ233"/>
      <c r="LUK233"/>
      <c r="LUL233"/>
      <c r="LUM233"/>
      <c r="LUN233"/>
      <c r="LUO233"/>
      <c r="LUP233"/>
      <c r="LUQ233"/>
      <c r="LUR233"/>
      <c r="LUS233"/>
      <c r="LUT233"/>
      <c r="LUU233"/>
      <c r="LUV233"/>
      <c r="LUW233"/>
      <c r="LUX233"/>
      <c r="LUY233"/>
      <c r="LUZ233"/>
      <c r="LVA233"/>
      <c r="LVB233"/>
      <c r="LVC233"/>
      <c r="LVD233"/>
      <c r="LVE233"/>
      <c r="LVF233"/>
      <c r="LVG233"/>
      <c r="LVH233"/>
      <c r="LVI233"/>
      <c r="LVJ233"/>
      <c r="LVK233"/>
      <c r="LVL233"/>
      <c r="LVM233"/>
      <c r="LVN233"/>
      <c r="LVO233"/>
      <c r="LVP233"/>
      <c r="LVQ233"/>
      <c r="LVR233"/>
      <c r="LVS233"/>
      <c r="LVT233"/>
      <c r="LVU233"/>
      <c r="LVV233"/>
      <c r="LVW233"/>
      <c r="LVX233"/>
      <c r="LVY233"/>
      <c r="LVZ233"/>
      <c r="LWA233"/>
      <c r="LWB233"/>
      <c r="LWC233"/>
      <c r="LWD233"/>
      <c r="LWE233"/>
      <c r="LWF233"/>
      <c r="LWG233"/>
      <c r="LWH233"/>
      <c r="LWI233"/>
      <c r="LWJ233"/>
      <c r="LWK233"/>
      <c r="LWL233"/>
      <c r="LWM233"/>
      <c r="LWN233"/>
      <c r="LWO233"/>
      <c r="LWP233"/>
      <c r="LWQ233"/>
      <c r="LWR233"/>
      <c r="LWS233"/>
      <c r="LWT233"/>
      <c r="LWU233"/>
      <c r="LWV233"/>
      <c r="LWW233"/>
      <c r="LWX233"/>
      <c r="LWY233"/>
      <c r="LWZ233"/>
      <c r="LXA233"/>
      <c r="LXB233"/>
      <c r="LXC233"/>
      <c r="LXD233"/>
      <c r="LXE233"/>
      <c r="LXF233"/>
      <c r="LXG233"/>
      <c r="LXH233"/>
      <c r="LXI233"/>
      <c r="LXJ233"/>
      <c r="LXK233"/>
      <c r="LXL233"/>
      <c r="LXM233"/>
      <c r="LXN233"/>
      <c r="LXO233"/>
      <c r="LXP233"/>
      <c r="LXQ233"/>
      <c r="LXR233"/>
      <c r="LXS233"/>
      <c r="LXT233"/>
      <c r="LXU233"/>
      <c r="LXV233"/>
      <c r="LXW233"/>
      <c r="LXX233"/>
      <c r="LXY233"/>
      <c r="LXZ233"/>
      <c r="LYA233"/>
      <c r="LYB233"/>
      <c r="LYC233"/>
      <c r="LYD233"/>
      <c r="LYE233"/>
      <c r="LYF233"/>
      <c r="LYG233"/>
      <c r="LYH233"/>
      <c r="LYI233"/>
      <c r="LYJ233"/>
      <c r="LYK233"/>
      <c r="LYL233"/>
      <c r="LYM233"/>
      <c r="LYN233"/>
      <c r="LYO233"/>
      <c r="LYP233"/>
      <c r="LYQ233"/>
      <c r="LYR233"/>
      <c r="LYS233"/>
      <c r="LYT233"/>
      <c r="LYU233"/>
      <c r="LYV233"/>
      <c r="LYW233"/>
      <c r="LYX233"/>
      <c r="LYY233"/>
      <c r="LYZ233"/>
      <c r="LZA233"/>
      <c r="LZB233"/>
      <c r="LZC233"/>
      <c r="LZD233"/>
      <c r="LZE233"/>
      <c r="LZF233"/>
      <c r="LZG233"/>
      <c r="LZH233"/>
      <c r="LZI233"/>
      <c r="LZJ233"/>
      <c r="LZK233"/>
      <c r="LZL233"/>
      <c r="LZM233"/>
      <c r="LZN233"/>
      <c r="LZO233"/>
      <c r="LZP233"/>
      <c r="LZQ233"/>
      <c r="LZR233"/>
      <c r="LZS233"/>
      <c r="LZT233"/>
      <c r="LZU233"/>
      <c r="LZV233"/>
      <c r="LZW233"/>
      <c r="LZX233"/>
      <c r="LZY233"/>
      <c r="LZZ233"/>
      <c r="MAA233"/>
      <c r="MAB233"/>
      <c r="MAC233"/>
      <c r="MAD233"/>
      <c r="MAE233"/>
      <c r="MAF233"/>
      <c r="MAG233"/>
      <c r="MAH233"/>
      <c r="MAI233"/>
      <c r="MAJ233"/>
      <c r="MAK233"/>
      <c r="MAL233"/>
      <c r="MAM233"/>
      <c r="MAN233"/>
      <c r="MAO233"/>
      <c r="MAP233"/>
      <c r="MAQ233"/>
      <c r="MAR233"/>
      <c r="MAS233"/>
      <c r="MAT233"/>
      <c r="MAU233"/>
      <c r="MAV233"/>
      <c r="MAW233"/>
      <c r="MAX233"/>
      <c r="MAY233"/>
      <c r="MAZ233"/>
      <c r="MBA233"/>
      <c r="MBB233"/>
      <c r="MBC233"/>
      <c r="MBD233"/>
      <c r="MBE233"/>
      <c r="MBF233"/>
      <c r="MBG233"/>
      <c r="MBH233"/>
      <c r="MBI233"/>
      <c r="MBJ233"/>
      <c r="MBK233"/>
      <c r="MBL233"/>
      <c r="MBM233"/>
      <c r="MBN233"/>
      <c r="MBO233"/>
      <c r="MBP233"/>
      <c r="MBQ233"/>
      <c r="MBR233"/>
      <c r="MBS233"/>
      <c r="MBT233"/>
      <c r="MBU233"/>
      <c r="MBV233"/>
      <c r="MBW233"/>
      <c r="MBX233"/>
      <c r="MBY233"/>
      <c r="MBZ233"/>
      <c r="MCA233"/>
      <c r="MCB233"/>
      <c r="MCC233"/>
      <c r="MCD233"/>
      <c r="MCE233"/>
      <c r="MCF233"/>
      <c r="MCG233"/>
      <c r="MCH233"/>
      <c r="MCI233"/>
      <c r="MCJ233"/>
      <c r="MCK233"/>
      <c r="MCL233"/>
      <c r="MCM233"/>
      <c r="MCN233"/>
      <c r="MCO233"/>
      <c r="MCP233"/>
      <c r="MCQ233"/>
      <c r="MCR233"/>
      <c r="MCS233"/>
      <c r="MCT233"/>
      <c r="MCU233"/>
      <c r="MCV233"/>
      <c r="MCW233"/>
      <c r="MCX233"/>
      <c r="MCY233"/>
      <c r="MCZ233"/>
      <c r="MDA233"/>
      <c r="MDB233"/>
      <c r="MDC233"/>
      <c r="MDD233"/>
      <c r="MDE233"/>
      <c r="MDF233"/>
      <c r="MDG233"/>
      <c r="MDH233"/>
      <c r="MDI233"/>
      <c r="MDJ233"/>
      <c r="MDK233"/>
      <c r="MDL233"/>
      <c r="MDM233"/>
      <c r="MDN233"/>
      <c r="MDO233"/>
      <c r="MDP233"/>
      <c r="MDQ233"/>
      <c r="MDR233"/>
      <c r="MDS233"/>
      <c r="MDT233"/>
      <c r="MDU233"/>
      <c r="MDV233"/>
      <c r="MDW233"/>
      <c r="MDX233"/>
      <c r="MDY233"/>
      <c r="MDZ233"/>
      <c r="MEA233"/>
      <c r="MEB233"/>
      <c r="MEC233"/>
      <c r="MED233"/>
      <c r="MEE233"/>
      <c r="MEF233"/>
      <c r="MEG233"/>
      <c r="MEH233"/>
      <c r="MEI233"/>
      <c r="MEJ233"/>
      <c r="MEK233"/>
      <c r="MEL233"/>
      <c r="MEM233"/>
      <c r="MEN233"/>
      <c r="MEO233"/>
      <c r="MEP233"/>
      <c r="MEQ233"/>
      <c r="MER233"/>
      <c r="MES233"/>
      <c r="MET233"/>
      <c r="MEU233"/>
      <c r="MEV233"/>
      <c r="MEW233"/>
      <c r="MEX233"/>
      <c r="MEY233"/>
      <c r="MEZ233"/>
      <c r="MFA233"/>
      <c r="MFB233"/>
      <c r="MFC233"/>
      <c r="MFD233"/>
      <c r="MFE233"/>
      <c r="MFF233"/>
      <c r="MFG233"/>
      <c r="MFH233"/>
      <c r="MFI233"/>
      <c r="MFJ233"/>
      <c r="MFK233"/>
      <c r="MFL233"/>
      <c r="MFM233"/>
      <c r="MFN233"/>
      <c r="MFO233"/>
      <c r="MFP233"/>
      <c r="MFQ233"/>
      <c r="MFR233"/>
      <c r="MFS233"/>
      <c r="MFT233"/>
      <c r="MFU233"/>
      <c r="MFV233"/>
      <c r="MFW233"/>
      <c r="MFX233"/>
      <c r="MFY233"/>
      <c r="MFZ233"/>
      <c r="MGA233"/>
      <c r="MGB233"/>
      <c r="MGC233"/>
      <c r="MGD233"/>
      <c r="MGE233"/>
      <c r="MGF233"/>
      <c r="MGG233"/>
      <c r="MGH233"/>
      <c r="MGI233"/>
      <c r="MGJ233"/>
      <c r="MGK233"/>
      <c r="MGL233"/>
      <c r="MGM233"/>
      <c r="MGN233"/>
      <c r="MGO233"/>
      <c r="MGP233"/>
      <c r="MGQ233"/>
      <c r="MGR233"/>
      <c r="MGS233"/>
      <c r="MGT233"/>
      <c r="MGU233"/>
      <c r="MGV233"/>
      <c r="MGW233"/>
      <c r="MGX233"/>
      <c r="MGY233"/>
      <c r="MGZ233"/>
      <c r="MHA233"/>
      <c r="MHB233"/>
      <c r="MHC233"/>
      <c r="MHD233"/>
      <c r="MHE233"/>
      <c r="MHF233"/>
      <c r="MHG233"/>
      <c r="MHH233"/>
      <c r="MHI233"/>
      <c r="MHJ233"/>
      <c r="MHK233"/>
      <c r="MHL233"/>
      <c r="MHM233"/>
      <c r="MHN233"/>
      <c r="MHO233"/>
      <c r="MHP233"/>
      <c r="MHQ233"/>
      <c r="MHR233"/>
      <c r="MHS233"/>
      <c r="MHT233"/>
      <c r="MHU233"/>
      <c r="MHV233"/>
      <c r="MHW233"/>
      <c r="MHX233"/>
      <c r="MHY233"/>
      <c r="MHZ233"/>
      <c r="MIA233"/>
      <c r="MIB233"/>
      <c r="MIC233"/>
      <c r="MID233"/>
      <c r="MIE233"/>
      <c r="MIF233"/>
      <c r="MIG233"/>
      <c r="MIH233"/>
      <c r="MII233"/>
      <c r="MIJ233"/>
      <c r="MIK233"/>
      <c r="MIL233"/>
      <c r="MIM233"/>
      <c r="MIN233"/>
      <c r="MIO233"/>
      <c r="MIP233"/>
      <c r="MIQ233"/>
      <c r="MIR233"/>
      <c r="MIS233"/>
      <c r="MIT233"/>
      <c r="MIU233"/>
      <c r="MIV233"/>
      <c r="MIW233"/>
      <c r="MIX233"/>
      <c r="MIY233"/>
      <c r="MIZ233"/>
      <c r="MJA233"/>
      <c r="MJB233"/>
      <c r="MJC233"/>
      <c r="MJD233"/>
      <c r="MJE233"/>
      <c r="MJF233"/>
      <c r="MJG233"/>
      <c r="MJH233"/>
      <c r="MJI233"/>
      <c r="MJJ233"/>
      <c r="MJK233"/>
      <c r="MJL233"/>
      <c r="MJM233"/>
      <c r="MJN233"/>
      <c r="MJO233"/>
      <c r="MJP233"/>
      <c r="MJQ233"/>
      <c r="MJR233"/>
      <c r="MJS233"/>
      <c r="MJT233"/>
      <c r="MJU233"/>
      <c r="MJV233"/>
      <c r="MJW233"/>
      <c r="MJX233"/>
      <c r="MJY233"/>
      <c r="MJZ233"/>
      <c r="MKA233"/>
      <c r="MKB233"/>
      <c r="MKC233"/>
      <c r="MKD233"/>
      <c r="MKE233"/>
      <c r="MKF233"/>
      <c r="MKG233"/>
      <c r="MKH233"/>
      <c r="MKI233"/>
      <c r="MKJ233"/>
      <c r="MKK233"/>
      <c r="MKL233"/>
      <c r="MKM233"/>
      <c r="MKN233"/>
      <c r="MKO233"/>
      <c r="MKP233"/>
      <c r="MKQ233"/>
      <c r="MKR233"/>
      <c r="MKS233"/>
      <c r="MKT233"/>
      <c r="MKU233"/>
      <c r="MKV233"/>
      <c r="MKW233"/>
      <c r="MKX233"/>
      <c r="MKY233"/>
      <c r="MKZ233"/>
      <c r="MLA233"/>
      <c r="MLB233"/>
      <c r="MLC233"/>
      <c r="MLD233"/>
      <c r="MLE233"/>
      <c r="MLF233"/>
      <c r="MLG233"/>
      <c r="MLH233"/>
      <c r="MLI233"/>
      <c r="MLJ233"/>
      <c r="MLK233"/>
      <c r="MLL233"/>
      <c r="MLM233"/>
      <c r="MLN233"/>
      <c r="MLO233"/>
      <c r="MLP233"/>
      <c r="MLQ233"/>
      <c r="MLR233"/>
      <c r="MLS233"/>
      <c r="MLT233"/>
      <c r="MLU233"/>
      <c r="MLV233"/>
      <c r="MLW233"/>
      <c r="MLX233"/>
      <c r="MLY233"/>
      <c r="MLZ233"/>
      <c r="MMA233"/>
      <c r="MMB233"/>
      <c r="MMC233"/>
      <c r="MMD233"/>
      <c r="MME233"/>
      <c r="MMF233"/>
      <c r="MMG233"/>
      <c r="MMH233"/>
      <c r="MMI233"/>
      <c r="MMJ233"/>
      <c r="MMK233"/>
      <c r="MML233"/>
      <c r="MMM233"/>
      <c r="MMN233"/>
      <c r="MMO233"/>
      <c r="MMP233"/>
      <c r="MMQ233"/>
      <c r="MMR233"/>
      <c r="MMS233"/>
      <c r="MMT233"/>
      <c r="MMU233"/>
      <c r="MMV233"/>
      <c r="MMW233"/>
      <c r="MMX233"/>
      <c r="MMY233"/>
      <c r="MMZ233"/>
      <c r="MNA233"/>
      <c r="MNB233"/>
      <c r="MNC233"/>
      <c r="MND233"/>
      <c r="MNE233"/>
      <c r="MNF233"/>
      <c r="MNG233"/>
      <c r="MNH233"/>
      <c r="MNI233"/>
      <c r="MNJ233"/>
      <c r="MNK233"/>
      <c r="MNL233"/>
      <c r="MNM233"/>
      <c r="MNN233"/>
      <c r="MNO233"/>
      <c r="MNP233"/>
      <c r="MNQ233"/>
      <c r="MNR233"/>
      <c r="MNS233"/>
      <c r="MNT233"/>
      <c r="MNU233"/>
      <c r="MNV233"/>
      <c r="MNW233"/>
      <c r="MNX233"/>
      <c r="MNY233"/>
      <c r="MNZ233"/>
      <c r="MOA233"/>
      <c r="MOB233"/>
      <c r="MOC233"/>
      <c r="MOD233"/>
      <c r="MOE233"/>
      <c r="MOF233"/>
      <c r="MOG233"/>
      <c r="MOH233"/>
      <c r="MOI233"/>
      <c r="MOJ233"/>
      <c r="MOK233"/>
      <c r="MOL233"/>
      <c r="MOM233"/>
      <c r="MON233"/>
      <c r="MOO233"/>
      <c r="MOP233"/>
      <c r="MOQ233"/>
      <c r="MOR233"/>
      <c r="MOS233"/>
      <c r="MOT233"/>
      <c r="MOU233"/>
      <c r="MOV233"/>
      <c r="MOW233"/>
      <c r="MOX233"/>
      <c r="MOY233"/>
      <c r="MOZ233"/>
      <c r="MPA233"/>
      <c r="MPB233"/>
      <c r="MPC233"/>
      <c r="MPD233"/>
      <c r="MPE233"/>
      <c r="MPF233"/>
      <c r="MPG233"/>
      <c r="MPH233"/>
      <c r="MPI233"/>
      <c r="MPJ233"/>
      <c r="MPK233"/>
      <c r="MPL233"/>
      <c r="MPM233"/>
      <c r="MPN233"/>
      <c r="MPO233"/>
      <c r="MPP233"/>
      <c r="MPQ233"/>
      <c r="MPR233"/>
      <c r="MPS233"/>
      <c r="MPT233"/>
      <c r="MPU233"/>
      <c r="MPV233"/>
      <c r="MPW233"/>
      <c r="MPX233"/>
      <c r="MPY233"/>
      <c r="MPZ233"/>
      <c r="MQA233"/>
      <c r="MQB233"/>
      <c r="MQC233"/>
      <c r="MQD233"/>
      <c r="MQE233"/>
      <c r="MQF233"/>
      <c r="MQG233"/>
      <c r="MQH233"/>
      <c r="MQI233"/>
      <c r="MQJ233"/>
      <c r="MQK233"/>
      <c r="MQL233"/>
      <c r="MQM233"/>
      <c r="MQN233"/>
      <c r="MQO233"/>
      <c r="MQP233"/>
      <c r="MQQ233"/>
      <c r="MQR233"/>
      <c r="MQS233"/>
      <c r="MQT233"/>
      <c r="MQU233"/>
      <c r="MQV233"/>
      <c r="MQW233"/>
      <c r="MQX233"/>
      <c r="MQY233"/>
      <c r="MQZ233"/>
      <c r="MRA233"/>
      <c r="MRB233"/>
      <c r="MRC233"/>
      <c r="MRD233"/>
      <c r="MRE233"/>
      <c r="MRF233"/>
      <c r="MRG233"/>
      <c r="MRH233"/>
      <c r="MRI233"/>
      <c r="MRJ233"/>
      <c r="MRK233"/>
      <c r="MRL233"/>
      <c r="MRM233"/>
      <c r="MRN233"/>
      <c r="MRO233"/>
      <c r="MRP233"/>
      <c r="MRQ233"/>
      <c r="MRR233"/>
      <c r="MRS233"/>
      <c r="MRT233"/>
      <c r="MRU233"/>
      <c r="MRV233"/>
      <c r="MRW233"/>
      <c r="MRX233"/>
      <c r="MRY233"/>
      <c r="MRZ233"/>
      <c r="MSA233"/>
      <c r="MSB233"/>
      <c r="MSC233"/>
      <c r="MSD233"/>
      <c r="MSE233"/>
      <c r="MSF233"/>
      <c r="MSG233"/>
      <c r="MSH233"/>
      <c r="MSI233"/>
      <c r="MSJ233"/>
      <c r="MSK233"/>
      <c r="MSL233"/>
      <c r="MSM233"/>
      <c r="MSN233"/>
      <c r="MSO233"/>
      <c r="MSP233"/>
      <c r="MSQ233"/>
      <c r="MSR233"/>
      <c r="MSS233"/>
      <c r="MST233"/>
      <c r="MSU233"/>
      <c r="MSV233"/>
      <c r="MSW233"/>
      <c r="MSX233"/>
      <c r="MSY233"/>
      <c r="MSZ233"/>
      <c r="MTA233"/>
      <c r="MTB233"/>
      <c r="MTC233"/>
      <c r="MTD233"/>
      <c r="MTE233"/>
      <c r="MTF233"/>
      <c r="MTG233"/>
      <c r="MTH233"/>
      <c r="MTI233"/>
      <c r="MTJ233"/>
      <c r="MTK233"/>
      <c r="MTL233"/>
      <c r="MTM233"/>
      <c r="MTN233"/>
      <c r="MTO233"/>
      <c r="MTP233"/>
      <c r="MTQ233"/>
      <c r="MTR233"/>
      <c r="MTS233"/>
      <c r="MTT233"/>
      <c r="MTU233"/>
      <c r="MTV233"/>
      <c r="MTW233"/>
      <c r="MTX233"/>
      <c r="MTY233"/>
      <c r="MTZ233"/>
      <c r="MUA233"/>
      <c r="MUB233"/>
      <c r="MUC233"/>
      <c r="MUD233"/>
      <c r="MUE233"/>
      <c r="MUF233"/>
      <c r="MUG233"/>
      <c r="MUH233"/>
      <c r="MUI233"/>
      <c r="MUJ233"/>
      <c r="MUK233"/>
      <c r="MUL233"/>
      <c r="MUM233"/>
      <c r="MUN233"/>
      <c r="MUO233"/>
      <c r="MUP233"/>
      <c r="MUQ233"/>
      <c r="MUR233"/>
      <c r="MUS233"/>
      <c r="MUT233"/>
      <c r="MUU233"/>
      <c r="MUV233"/>
      <c r="MUW233"/>
      <c r="MUX233"/>
      <c r="MUY233"/>
      <c r="MUZ233"/>
      <c r="MVA233"/>
      <c r="MVB233"/>
      <c r="MVC233"/>
      <c r="MVD233"/>
      <c r="MVE233"/>
      <c r="MVF233"/>
      <c r="MVG233"/>
      <c r="MVH233"/>
      <c r="MVI233"/>
      <c r="MVJ233"/>
      <c r="MVK233"/>
      <c r="MVL233"/>
      <c r="MVM233"/>
      <c r="MVN233"/>
      <c r="MVO233"/>
      <c r="MVP233"/>
      <c r="MVQ233"/>
      <c r="MVR233"/>
      <c r="MVS233"/>
      <c r="MVT233"/>
      <c r="MVU233"/>
      <c r="MVV233"/>
      <c r="MVW233"/>
      <c r="MVX233"/>
      <c r="MVY233"/>
      <c r="MVZ233"/>
      <c r="MWA233"/>
      <c r="MWB233"/>
      <c r="MWC233"/>
      <c r="MWD233"/>
      <c r="MWE233"/>
      <c r="MWF233"/>
      <c r="MWG233"/>
      <c r="MWH233"/>
      <c r="MWI233"/>
      <c r="MWJ233"/>
      <c r="MWK233"/>
      <c r="MWL233"/>
      <c r="MWM233"/>
      <c r="MWN233"/>
      <c r="MWO233"/>
      <c r="MWP233"/>
      <c r="MWQ233"/>
      <c r="MWR233"/>
      <c r="MWS233"/>
      <c r="MWT233"/>
      <c r="MWU233"/>
      <c r="MWV233"/>
      <c r="MWW233"/>
      <c r="MWX233"/>
      <c r="MWY233"/>
      <c r="MWZ233"/>
      <c r="MXA233"/>
      <c r="MXB233"/>
      <c r="MXC233"/>
      <c r="MXD233"/>
      <c r="MXE233"/>
      <c r="MXF233"/>
      <c r="MXG233"/>
      <c r="MXH233"/>
      <c r="MXI233"/>
      <c r="MXJ233"/>
      <c r="MXK233"/>
      <c r="MXL233"/>
      <c r="MXM233"/>
      <c r="MXN233"/>
      <c r="MXO233"/>
      <c r="MXP233"/>
      <c r="MXQ233"/>
      <c r="MXR233"/>
      <c r="MXS233"/>
      <c r="MXT233"/>
      <c r="MXU233"/>
      <c r="MXV233"/>
      <c r="MXW233"/>
      <c r="MXX233"/>
      <c r="MXY233"/>
      <c r="MXZ233"/>
      <c r="MYA233"/>
      <c r="MYB233"/>
      <c r="MYC233"/>
      <c r="MYD233"/>
      <c r="MYE233"/>
      <c r="MYF233"/>
      <c r="MYG233"/>
      <c r="MYH233"/>
      <c r="MYI233"/>
      <c r="MYJ233"/>
      <c r="MYK233"/>
      <c r="MYL233"/>
      <c r="MYM233"/>
      <c r="MYN233"/>
      <c r="MYO233"/>
      <c r="MYP233"/>
      <c r="MYQ233"/>
      <c r="MYR233"/>
      <c r="MYS233"/>
      <c r="MYT233"/>
      <c r="MYU233"/>
      <c r="MYV233"/>
      <c r="MYW233"/>
      <c r="MYX233"/>
      <c r="MYY233"/>
      <c r="MYZ233"/>
      <c r="MZA233"/>
      <c r="MZB233"/>
      <c r="MZC233"/>
      <c r="MZD233"/>
      <c r="MZE233"/>
      <c r="MZF233"/>
      <c r="MZG233"/>
      <c r="MZH233"/>
      <c r="MZI233"/>
      <c r="MZJ233"/>
      <c r="MZK233"/>
      <c r="MZL233"/>
      <c r="MZM233"/>
      <c r="MZN233"/>
      <c r="MZO233"/>
      <c r="MZP233"/>
      <c r="MZQ233"/>
      <c r="MZR233"/>
      <c r="MZS233"/>
      <c r="MZT233"/>
      <c r="MZU233"/>
      <c r="MZV233"/>
      <c r="MZW233"/>
      <c r="MZX233"/>
      <c r="MZY233"/>
      <c r="MZZ233"/>
      <c r="NAA233"/>
      <c r="NAB233"/>
      <c r="NAC233"/>
      <c r="NAD233"/>
      <c r="NAE233"/>
      <c r="NAF233"/>
      <c r="NAG233"/>
      <c r="NAH233"/>
      <c r="NAI233"/>
      <c r="NAJ233"/>
      <c r="NAK233"/>
      <c r="NAL233"/>
      <c r="NAM233"/>
      <c r="NAN233"/>
      <c r="NAO233"/>
      <c r="NAP233"/>
      <c r="NAQ233"/>
      <c r="NAR233"/>
      <c r="NAS233"/>
      <c r="NAT233"/>
      <c r="NAU233"/>
      <c r="NAV233"/>
      <c r="NAW233"/>
      <c r="NAX233"/>
      <c r="NAY233"/>
      <c r="NAZ233"/>
      <c r="NBA233"/>
      <c r="NBB233"/>
      <c r="NBC233"/>
      <c r="NBD233"/>
      <c r="NBE233"/>
      <c r="NBF233"/>
      <c r="NBG233"/>
      <c r="NBH233"/>
      <c r="NBI233"/>
      <c r="NBJ233"/>
      <c r="NBK233"/>
      <c r="NBL233"/>
      <c r="NBM233"/>
      <c r="NBN233"/>
      <c r="NBO233"/>
      <c r="NBP233"/>
      <c r="NBQ233"/>
      <c r="NBR233"/>
      <c r="NBS233"/>
      <c r="NBT233"/>
      <c r="NBU233"/>
      <c r="NBV233"/>
      <c r="NBW233"/>
      <c r="NBX233"/>
      <c r="NBY233"/>
      <c r="NBZ233"/>
      <c r="NCA233"/>
      <c r="NCB233"/>
      <c r="NCC233"/>
      <c r="NCD233"/>
      <c r="NCE233"/>
      <c r="NCF233"/>
      <c r="NCG233"/>
      <c r="NCH233"/>
      <c r="NCI233"/>
      <c r="NCJ233"/>
      <c r="NCK233"/>
      <c r="NCL233"/>
      <c r="NCM233"/>
      <c r="NCN233"/>
      <c r="NCO233"/>
      <c r="NCP233"/>
      <c r="NCQ233"/>
      <c r="NCR233"/>
      <c r="NCS233"/>
      <c r="NCT233"/>
      <c r="NCU233"/>
      <c r="NCV233"/>
      <c r="NCW233"/>
      <c r="NCX233"/>
      <c r="NCY233"/>
      <c r="NCZ233"/>
      <c r="NDA233"/>
      <c r="NDB233"/>
      <c r="NDC233"/>
      <c r="NDD233"/>
      <c r="NDE233"/>
      <c r="NDF233"/>
      <c r="NDG233"/>
      <c r="NDH233"/>
      <c r="NDI233"/>
      <c r="NDJ233"/>
      <c r="NDK233"/>
      <c r="NDL233"/>
      <c r="NDM233"/>
      <c r="NDN233"/>
      <c r="NDO233"/>
      <c r="NDP233"/>
      <c r="NDQ233"/>
      <c r="NDR233"/>
      <c r="NDS233"/>
      <c r="NDT233"/>
      <c r="NDU233"/>
      <c r="NDV233"/>
      <c r="NDW233"/>
      <c r="NDX233"/>
      <c r="NDY233"/>
      <c r="NDZ233"/>
      <c r="NEA233"/>
      <c r="NEB233"/>
      <c r="NEC233"/>
      <c r="NED233"/>
      <c r="NEE233"/>
      <c r="NEF233"/>
      <c r="NEG233"/>
      <c r="NEH233"/>
      <c r="NEI233"/>
      <c r="NEJ233"/>
      <c r="NEK233"/>
      <c r="NEL233"/>
      <c r="NEM233"/>
      <c r="NEN233"/>
      <c r="NEO233"/>
      <c r="NEP233"/>
      <c r="NEQ233"/>
      <c r="NER233"/>
      <c r="NES233"/>
      <c r="NET233"/>
      <c r="NEU233"/>
      <c r="NEV233"/>
      <c r="NEW233"/>
      <c r="NEX233"/>
      <c r="NEY233"/>
      <c r="NEZ233"/>
      <c r="NFA233"/>
      <c r="NFB233"/>
      <c r="NFC233"/>
      <c r="NFD233"/>
      <c r="NFE233"/>
      <c r="NFF233"/>
      <c r="NFG233"/>
      <c r="NFH233"/>
      <c r="NFI233"/>
      <c r="NFJ233"/>
      <c r="NFK233"/>
      <c r="NFL233"/>
      <c r="NFM233"/>
      <c r="NFN233"/>
      <c r="NFO233"/>
      <c r="NFP233"/>
      <c r="NFQ233"/>
      <c r="NFR233"/>
      <c r="NFS233"/>
      <c r="NFT233"/>
      <c r="NFU233"/>
      <c r="NFV233"/>
      <c r="NFW233"/>
      <c r="NFX233"/>
      <c r="NFY233"/>
      <c r="NFZ233"/>
      <c r="NGA233"/>
      <c r="NGB233"/>
      <c r="NGC233"/>
      <c r="NGD233"/>
      <c r="NGE233"/>
      <c r="NGF233"/>
      <c r="NGG233"/>
      <c r="NGH233"/>
      <c r="NGI233"/>
      <c r="NGJ233"/>
      <c r="NGK233"/>
      <c r="NGL233"/>
      <c r="NGM233"/>
      <c r="NGN233"/>
      <c r="NGO233"/>
      <c r="NGP233"/>
      <c r="NGQ233"/>
      <c r="NGR233"/>
      <c r="NGS233"/>
      <c r="NGT233"/>
      <c r="NGU233"/>
      <c r="NGV233"/>
      <c r="NGW233"/>
      <c r="NGX233"/>
      <c r="NGY233"/>
      <c r="NGZ233"/>
      <c r="NHA233"/>
      <c r="NHB233"/>
      <c r="NHC233"/>
      <c r="NHD233"/>
      <c r="NHE233"/>
      <c r="NHF233"/>
      <c r="NHG233"/>
      <c r="NHH233"/>
      <c r="NHI233"/>
      <c r="NHJ233"/>
      <c r="NHK233"/>
      <c r="NHL233"/>
      <c r="NHM233"/>
      <c r="NHN233"/>
      <c r="NHO233"/>
      <c r="NHP233"/>
      <c r="NHQ233"/>
      <c r="NHR233"/>
      <c r="NHS233"/>
      <c r="NHT233"/>
      <c r="NHU233"/>
      <c r="NHV233"/>
      <c r="NHW233"/>
      <c r="NHX233"/>
      <c r="NHY233"/>
      <c r="NHZ233"/>
      <c r="NIA233"/>
      <c r="NIB233"/>
      <c r="NIC233"/>
      <c r="NID233"/>
      <c r="NIE233"/>
      <c r="NIF233"/>
      <c r="NIG233"/>
      <c r="NIH233"/>
      <c r="NII233"/>
      <c r="NIJ233"/>
      <c r="NIK233"/>
      <c r="NIL233"/>
      <c r="NIM233"/>
      <c r="NIN233"/>
      <c r="NIO233"/>
      <c r="NIP233"/>
      <c r="NIQ233"/>
      <c r="NIR233"/>
      <c r="NIS233"/>
      <c r="NIT233"/>
      <c r="NIU233"/>
      <c r="NIV233"/>
      <c r="NIW233"/>
      <c r="NIX233"/>
      <c r="NIY233"/>
      <c r="NIZ233"/>
      <c r="NJA233"/>
      <c r="NJB233"/>
      <c r="NJC233"/>
      <c r="NJD233"/>
      <c r="NJE233"/>
      <c r="NJF233"/>
      <c r="NJG233"/>
      <c r="NJH233"/>
      <c r="NJI233"/>
      <c r="NJJ233"/>
      <c r="NJK233"/>
      <c r="NJL233"/>
      <c r="NJM233"/>
      <c r="NJN233"/>
      <c r="NJO233"/>
      <c r="NJP233"/>
      <c r="NJQ233"/>
      <c r="NJR233"/>
      <c r="NJS233"/>
      <c r="NJT233"/>
      <c r="NJU233"/>
      <c r="NJV233"/>
      <c r="NJW233"/>
      <c r="NJX233"/>
      <c r="NJY233"/>
      <c r="NJZ233"/>
      <c r="NKA233"/>
      <c r="NKB233"/>
      <c r="NKC233"/>
      <c r="NKD233"/>
      <c r="NKE233"/>
      <c r="NKF233"/>
      <c r="NKG233"/>
      <c r="NKH233"/>
      <c r="NKI233"/>
      <c r="NKJ233"/>
      <c r="NKK233"/>
      <c r="NKL233"/>
      <c r="NKM233"/>
      <c r="NKN233"/>
      <c r="NKO233"/>
      <c r="NKP233"/>
      <c r="NKQ233"/>
      <c r="NKR233"/>
      <c r="NKS233"/>
      <c r="NKT233"/>
      <c r="NKU233"/>
      <c r="NKV233"/>
      <c r="NKW233"/>
      <c r="NKX233"/>
      <c r="NKY233"/>
      <c r="NKZ233"/>
      <c r="NLA233"/>
      <c r="NLB233"/>
      <c r="NLC233"/>
      <c r="NLD233"/>
      <c r="NLE233"/>
      <c r="NLF233"/>
      <c r="NLG233"/>
      <c r="NLH233"/>
      <c r="NLI233"/>
      <c r="NLJ233"/>
      <c r="NLK233"/>
      <c r="NLL233"/>
      <c r="NLM233"/>
      <c r="NLN233"/>
      <c r="NLO233"/>
      <c r="NLP233"/>
      <c r="NLQ233"/>
      <c r="NLR233"/>
      <c r="NLS233"/>
      <c r="NLT233"/>
      <c r="NLU233"/>
      <c r="NLV233"/>
      <c r="NLW233"/>
      <c r="NLX233"/>
      <c r="NLY233"/>
      <c r="NLZ233"/>
      <c r="NMA233"/>
      <c r="NMB233"/>
      <c r="NMC233"/>
      <c r="NMD233"/>
      <c r="NME233"/>
      <c r="NMF233"/>
      <c r="NMG233"/>
      <c r="NMH233"/>
      <c r="NMI233"/>
      <c r="NMJ233"/>
      <c r="NMK233"/>
      <c r="NML233"/>
      <c r="NMM233"/>
      <c r="NMN233"/>
      <c r="NMO233"/>
      <c r="NMP233"/>
      <c r="NMQ233"/>
      <c r="NMR233"/>
      <c r="NMS233"/>
      <c r="NMT233"/>
      <c r="NMU233"/>
      <c r="NMV233"/>
      <c r="NMW233"/>
      <c r="NMX233"/>
      <c r="NMY233"/>
      <c r="NMZ233"/>
      <c r="NNA233"/>
      <c r="NNB233"/>
      <c r="NNC233"/>
      <c r="NND233"/>
      <c r="NNE233"/>
      <c r="NNF233"/>
      <c r="NNG233"/>
      <c r="NNH233"/>
      <c r="NNI233"/>
      <c r="NNJ233"/>
      <c r="NNK233"/>
      <c r="NNL233"/>
      <c r="NNM233"/>
      <c r="NNN233"/>
      <c r="NNO233"/>
      <c r="NNP233"/>
      <c r="NNQ233"/>
      <c r="NNR233"/>
      <c r="NNS233"/>
      <c r="NNT233"/>
      <c r="NNU233"/>
      <c r="NNV233"/>
      <c r="NNW233"/>
      <c r="NNX233"/>
      <c r="NNY233"/>
      <c r="NNZ233"/>
      <c r="NOA233"/>
      <c r="NOB233"/>
      <c r="NOC233"/>
      <c r="NOD233"/>
      <c r="NOE233"/>
      <c r="NOF233"/>
      <c r="NOG233"/>
      <c r="NOH233"/>
      <c r="NOI233"/>
      <c r="NOJ233"/>
      <c r="NOK233"/>
      <c r="NOL233"/>
      <c r="NOM233"/>
      <c r="NON233"/>
      <c r="NOO233"/>
      <c r="NOP233"/>
      <c r="NOQ233"/>
      <c r="NOR233"/>
      <c r="NOS233"/>
      <c r="NOT233"/>
      <c r="NOU233"/>
      <c r="NOV233"/>
      <c r="NOW233"/>
      <c r="NOX233"/>
      <c r="NOY233"/>
      <c r="NOZ233"/>
      <c r="NPA233"/>
      <c r="NPB233"/>
      <c r="NPC233"/>
      <c r="NPD233"/>
      <c r="NPE233"/>
      <c r="NPF233"/>
      <c r="NPG233"/>
      <c r="NPH233"/>
      <c r="NPI233"/>
      <c r="NPJ233"/>
      <c r="NPK233"/>
      <c r="NPL233"/>
      <c r="NPM233"/>
      <c r="NPN233"/>
      <c r="NPO233"/>
      <c r="NPP233"/>
      <c r="NPQ233"/>
      <c r="NPR233"/>
      <c r="NPS233"/>
      <c r="NPT233"/>
      <c r="NPU233"/>
      <c r="NPV233"/>
      <c r="NPW233"/>
      <c r="NPX233"/>
      <c r="NPY233"/>
      <c r="NPZ233"/>
      <c r="NQA233"/>
      <c r="NQB233"/>
      <c r="NQC233"/>
      <c r="NQD233"/>
      <c r="NQE233"/>
      <c r="NQF233"/>
      <c r="NQG233"/>
      <c r="NQH233"/>
      <c r="NQI233"/>
      <c r="NQJ233"/>
      <c r="NQK233"/>
      <c r="NQL233"/>
      <c r="NQM233"/>
      <c r="NQN233"/>
      <c r="NQO233"/>
      <c r="NQP233"/>
      <c r="NQQ233"/>
      <c r="NQR233"/>
      <c r="NQS233"/>
      <c r="NQT233"/>
      <c r="NQU233"/>
      <c r="NQV233"/>
      <c r="NQW233"/>
      <c r="NQX233"/>
      <c r="NQY233"/>
      <c r="NQZ233"/>
      <c r="NRA233"/>
      <c r="NRB233"/>
      <c r="NRC233"/>
      <c r="NRD233"/>
      <c r="NRE233"/>
      <c r="NRF233"/>
      <c r="NRG233"/>
      <c r="NRH233"/>
      <c r="NRI233"/>
      <c r="NRJ233"/>
      <c r="NRK233"/>
      <c r="NRL233"/>
      <c r="NRM233"/>
      <c r="NRN233"/>
      <c r="NRO233"/>
      <c r="NRP233"/>
      <c r="NRQ233"/>
      <c r="NRR233"/>
      <c r="NRS233"/>
      <c r="NRT233"/>
      <c r="NRU233"/>
      <c r="NRV233"/>
      <c r="NRW233"/>
      <c r="NRX233"/>
      <c r="NRY233"/>
      <c r="NRZ233"/>
      <c r="NSA233"/>
      <c r="NSB233"/>
      <c r="NSC233"/>
      <c r="NSD233"/>
      <c r="NSE233"/>
      <c r="NSF233"/>
      <c r="NSG233"/>
      <c r="NSH233"/>
      <c r="NSI233"/>
      <c r="NSJ233"/>
      <c r="NSK233"/>
      <c r="NSL233"/>
      <c r="NSM233"/>
      <c r="NSN233"/>
      <c r="NSO233"/>
      <c r="NSP233"/>
      <c r="NSQ233"/>
      <c r="NSR233"/>
      <c r="NSS233"/>
      <c r="NST233"/>
      <c r="NSU233"/>
      <c r="NSV233"/>
      <c r="NSW233"/>
      <c r="NSX233"/>
      <c r="NSY233"/>
      <c r="NSZ233"/>
      <c r="NTA233"/>
      <c r="NTB233"/>
      <c r="NTC233"/>
      <c r="NTD233"/>
      <c r="NTE233"/>
      <c r="NTF233"/>
      <c r="NTG233"/>
      <c r="NTH233"/>
      <c r="NTI233"/>
      <c r="NTJ233"/>
      <c r="NTK233"/>
      <c r="NTL233"/>
      <c r="NTM233"/>
      <c r="NTN233"/>
      <c r="NTO233"/>
      <c r="NTP233"/>
      <c r="NTQ233"/>
      <c r="NTR233"/>
      <c r="NTS233"/>
      <c r="NTT233"/>
      <c r="NTU233"/>
      <c r="NTV233"/>
      <c r="NTW233"/>
      <c r="NTX233"/>
      <c r="NTY233"/>
      <c r="NTZ233"/>
      <c r="NUA233"/>
      <c r="NUB233"/>
      <c r="NUC233"/>
      <c r="NUD233"/>
      <c r="NUE233"/>
      <c r="NUF233"/>
      <c r="NUG233"/>
      <c r="NUH233"/>
      <c r="NUI233"/>
      <c r="NUJ233"/>
      <c r="NUK233"/>
      <c r="NUL233"/>
      <c r="NUM233"/>
      <c r="NUN233"/>
      <c r="NUO233"/>
      <c r="NUP233"/>
      <c r="NUQ233"/>
      <c r="NUR233"/>
      <c r="NUS233"/>
      <c r="NUT233"/>
      <c r="NUU233"/>
      <c r="NUV233"/>
      <c r="NUW233"/>
      <c r="NUX233"/>
      <c r="NUY233"/>
      <c r="NUZ233"/>
      <c r="NVA233"/>
      <c r="NVB233"/>
      <c r="NVC233"/>
      <c r="NVD233"/>
      <c r="NVE233"/>
      <c r="NVF233"/>
      <c r="NVG233"/>
      <c r="NVH233"/>
      <c r="NVI233"/>
      <c r="NVJ233"/>
      <c r="NVK233"/>
      <c r="NVL233"/>
      <c r="NVM233"/>
      <c r="NVN233"/>
      <c r="NVO233"/>
      <c r="NVP233"/>
      <c r="NVQ233"/>
      <c r="NVR233"/>
      <c r="NVS233"/>
      <c r="NVT233"/>
      <c r="NVU233"/>
      <c r="NVV233"/>
      <c r="NVW233"/>
      <c r="NVX233"/>
      <c r="NVY233"/>
      <c r="NVZ233"/>
      <c r="NWA233"/>
      <c r="NWB233"/>
      <c r="NWC233"/>
      <c r="NWD233"/>
      <c r="NWE233"/>
      <c r="NWF233"/>
      <c r="NWG233"/>
      <c r="NWH233"/>
      <c r="NWI233"/>
      <c r="NWJ233"/>
      <c r="NWK233"/>
      <c r="NWL233"/>
      <c r="NWM233"/>
      <c r="NWN233"/>
      <c r="NWO233"/>
      <c r="NWP233"/>
      <c r="NWQ233"/>
      <c r="NWR233"/>
      <c r="NWS233"/>
      <c r="NWT233"/>
      <c r="NWU233"/>
      <c r="NWV233"/>
      <c r="NWW233"/>
      <c r="NWX233"/>
      <c r="NWY233"/>
      <c r="NWZ233"/>
      <c r="NXA233"/>
      <c r="NXB233"/>
      <c r="NXC233"/>
      <c r="NXD233"/>
      <c r="NXE233"/>
      <c r="NXF233"/>
      <c r="NXG233"/>
      <c r="NXH233"/>
      <c r="NXI233"/>
      <c r="NXJ233"/>
      <c r="NXK233"/>
      <c r="NXL233"/>
      <c r="NXM233"/>
      <c r="NXN233"/>
      <c r="NXO233"/>
      <c r="NXP233"/>
      <c r="NXQ233"/>
      <c r="NXR233"/>
      <c r="NXS233"/>
      <c r="NXT233"/>
      <c r="NXU233"/>
      <c r="NXV233"/>
      <c r="NXW233"/>
      <c r="NXX233"/>
      <c r="NXY233"/>
      <c r="NXZ233"/>
      <c r="NYA233"/>
      <c r="NYB233"/>
      <c r="NYC233"/>
      <c r="NYD233"/>
      <c r="NYE233"/>
      <c r="NYF233"/>
      <c r="NYG233"/>
      <c r="NYH233"/>
      <c r="NYI233"/>
      <c r="NYJ233"/>
      <c r="NYK233"/>
      <c r="NYL233"/>
      <c r="NYM233"/>
      <c r="NYN233"/>
      <c r="NYO233"/>
      <c r="NYP233"/>
      <c r="NYQ233"/>
      <c r="NYR233"/>
      <c r="NYS233"/>
      <c r="NYT233"/>
      <c r="NYU233"/>
      <c r="NYV233"/>
      <c r="NYW233"/>
      <c r="NYX233"/>
      <c r="NYY233"/>
      <c r="NYZ233"/>
      <c r="NZA233"/>
      <c r="NZB233"/>
      <c r="NZC233"/>
      <c r="NZD233"/>
      <c r="NZE233"/>
      <c r="NZF233"/>
      <c r="NZG233"/>
      <c r="NZH233"/>
      <c r="NZI233"/>
      <c r="NZJ233"/>
      <c r="NZK233"/>
      <c r="NZL233"/>
      <c r="NZM233"/>
      <c r="NZN233"/>
      <c r="NZO233"/>
      <c r="NZP233"/>
      <c r="NZQ233"/>
      <c r="NZR233"/>
      <c r="NZS233"/>
      <c r="NZT233"/>
      <c r="NZU233"/>
      <c r="NZV233"/>
      <c r="NZW233"/>
      <c r="NZX233"/>
      <c r="NZY233"/>
      <c r="NZZ233"/>
      <c r="OAA233"/>
      <c r="OAB233"/>
      <c r="OAC233"/>
      <c r="OAD233"/>
      <c r="OAE233"/>
      <c r="OAF233"/>
      <c r="OAG233"/>
      <c r="OAH233"/>
      <c r="OAI233"/>
      <c r="OAJ233"/>
      <c r="OAK233"/>
      <c r="OAL233"/>
      <c r="OAM233"/>
      <c r="OAN233"/>
      <c r="OAO233"/>
      <c r="OAP233"/>
      <c r="OAQ233"/>
      <c r="OAR233"/>
      <c r="OAS233"/>
      <c r="OAT233"/>
      <c r="OAU233"/>
      <c r="OAV233"/>
      <c r="OAW233"/>
      <c r="OAX233"/>
      <c r="OAY233"/>
      <c r="OAZ233"/>
      <c r="OBA233"/>
      <c r="OBB233"/>
      <c r="OBC233"/>
      <c r="OBD233"/>
      <c r="OBE233"/>
      <c r="OBF233"/>
      <c r="OBG233"/>
      <c r="OBH233"/>
      <c r="OBI233"/>
      <c r="OBJ233"/>
      <c r="OBK233"/>
      <c r="OBL233"/>
      <c r="OBM233"/>
      <c r="OBN233"/>
      <c r="OBO233"/>
      <c r="OBP233"/>
      <c r="OBQ233"/>
      <c r="OBR233"/>
      <c r="OBS233"/>
      <c r="OBT233"/>
      <c r="OBU233"/>
      <c r="OBV233"/>
      <c r="OBW233"/>
      <c r="OBX233"/>
      <c r="OBY233"/>
      <c r="OBZ233"/>
      <c r="OCA233"/>
      <c r="OCB233"/>
      <c r="OCC233"/>
      <c r="OCD233"/>
      <c r="OCE233"/>
      <c r="OCF233"/>
      <c r="OCG233"/>
      <c r="OCH233"/>
      <c r="OCI233"/>
      <c r="OCJ233"/>
      <c r="OCK233"/>
      <c r="OCL233"/>
      <c r="OCM233"/>
      <c r="OCN233"/>
      <c r="OCO233"/>
      <c r="OCP233"/>
      <c r="OCQ233"/>
      <c r="OCR233"/>
      <c r="OCS233"/>
      <c r="OCT233"/>
      <c r="OCU233"/>
      <c r="OCV233"/>
      <c r="OCW233"/>
      <c r="OCX233"/>
      <c r="OCY233"/>
      <c r="OCZ233"/>
      <c r="ODA233"/>
      <c r="ODB233"/>
      <c r="ODC233"/>
      <c r="ODD233"/>
      <c r="ODE233"/>
      <c r="ODF233"/>
      <c r="ODG233"/>
      <c r="ODH233"/>
      <c r="ODI233"/>
      <c r="ODJ233"/>
      <c r="ODK233"/>
      <c r="ODL233"/>
      <c r="ODM233"/>
      <c r="ODN233"/>
      <c r="ODO233"/>
      <c r="ODP233"/>
      <c r="ODQ233"/>
      <c r="ODR233"/>
      <c r="ODS233"/>
      <c r="ODT233"/>
      <c r="ODU233"/>
      <c r="ODV233"/>
      <c r="ODW233"/>
      <c r="ODX233"/>
      <c r="ODY233"/>
      <c r="ODZ233"/>
      <c r="OEA233"/>
      <c r="OEB233"/>
      <c r="OEC233"/>
      <c r="OED233"/>
      <c r="OEE233"/>
      <c r="OEF233"/>
      <c r="OEG233"/>
      <c r="OEH233"/>
      <c r="OEI233"/>
      <c r="OEJ233"/>
      <c r="OEK233"/>
      <c r="OEL233"/>
      <c r="OEM233"/>
      <c r="OEN233"/>
      <c r="OEO233"/>
      <c r="OEP233"/>
      <c r="OEQ233"/>
      <c r="OER233"/>
      <c r="OES233"/>
      <c r="OET233"/>
      <c r="OEU233"/>
      <c r="OEV233"/>
      <c r="OEW233"/>
      <c r="OEX233"/>
      <c r="OEY233"/>
      <c r="OEZ233"/>
      <c r="OFA233"/>
      <c r="OFB233"/>
      <c r="OFC233"/>
      <c r="OFD233"/>
      <c r="OFE233"/>
      <c r="OFF233"/>
      <c r="OFG233"/>
      <c r="OFH233"/>
      <c r="OFI233"/>
      <c r="OFJ233"/>
      <c r="OFK233"/>
      <c r="OFL233"/>
      <c r="OFM233"/>
      <c r="OFN233"/>
      <c r="OFO233"/>
      <c r="OFP233"/>
      <c r="OFQ233"/>
      <c r="OFR233"/>
      <c r="OFS233"/>
      <c r="OFT233"/>
      <c r="OFU233"/>
      <c r="OFV233"/>
      <c r="OFW233"/>
      <c r="OFX233"/>
      <c r="OFY233"/>
      <c r="OFZ233"/>
      <c r="OGA233"/>
      <c r="OGB233"/>
      <c r="OGC233"/>
      <c r="OGD233"/>
      <c r="OGE233"/>
      <c r="OGF233"/>
      <c r="OGG233"/>
      <c r="OGH233"/>
      <c r="OGI233"/>
      <c r="OGJ233"/>
      <c r="OGK233"/>
      <c r="OGL233"/>
      <c r="OGM233"/>
      <c r="OGN233"/>
      <c r="OGO233"/>
      <c r="OGP233"/>
      <c r="OGQ233"/>
      <c r="OGR233"/>
      <c r="OGS233"/>
      <c r="OGT233"/>
      <c r="OGU233"/>
      <c r="OGV233"/>
      <c r="OGW233"/>
      <c r="OGX233"/>
      <c r="OGY233"/>
      <c r="OGZ233"/>
      <c r="OHA233"/>
      <c r="OHB233"/>
      <c r="OHC233"/>
      <c r="OHD233"/>
      <c r="OHE233"/>
      <c r="OHF233"/>
      <c r="OHG233"/>
      <c r="OHH233"/>
      <c r="OHI233"/>
      <c r="OHJ233"/>
      <c r="OHK233"/>
      <c r="OHL233"/>
      <c r="OHM233"/>
      <c r="OHN233"/>
      <c r="OHO233"/>
      <c r="OHP233"/>
      <c r="OHQ233"/>
      <c r="OHR233"/>
      <c r="OHS233"/>
      <c r="OHT233"/>
      <c r="OHU233"/>
      <c r="OHV233"/>
      <c r="OHW233"/>
      <c r="OHX233"/>
      <c r="OHY233"/>
      <c r="OHZ233"/>
      <c r="OIA233"/>
      <c r="OIB233"/>
      <c r="OIC233"/>
      <c r="OID233"/>
      <c r="OIE233"/>
      <c r="OIF233"/>
      <c r="OIG233"/>
      <c r="OIH233"/>
      <c r="OII233"/>
      <c r="OIJ233"/>
      <c r="OIK233"/>
      <c r="OIL233"/>
      <c r="OIM233"/>
      <c r="OIN233"/>
      <c r="OIO233"/>
      <c r="OIP233"/>
      <c r="OIQ233"/>
      <c r="OIR233"/>
      <c r="OIS233"/>
      <c r="OIT233"/>
      <c r="OIU233"/>
      <c r="OIV233"/>
      <c r="OIW233"/>
      <c r="OIX233"/>
      <c r="OIY233"/>
      <c r="OIZ233"/>
      <c r="OJA233"/>
      <c r="OJB233"/>
      <c r="OJC233"/>
      <c r="OJD233"/>
      <c r="OJE233"/>
      <c r="OJF233"/>
      <c r="OJG233"/>
      <c r="OJH233"/>
      <c r="OJI233"/>
      <c r="OJJ233"/>
      <c r="OJK233"/>
      <c r="OJL233"/>
      <c r="OJM233"/>
      <c r="OJN233"/>
      <c r="OJO233"/>
      <c r="OJP233"/>
      <c r="OJQ233"/>
      <c r="OJR233"/>
      <c r="OJS233"/>
      <c r="OJT233"/>
      <c r="OJU233"/>
      <c r="OJV233"/>
      <c r="OJW233"/>
      <c r="OJX233"/>
      <c r="OJY233"/>
      <c r="OJZ233"/>
      <c r="OKA233"/>
      <c r="OKB233"/>
      <c r="OKC233"/>
      <c r="OKD233"/>
      <c r="OKE233"/>
      <c r="OKF233"/>
      <c r="OKG233"/>
      <c r="OKH233"/>
      <c r="OKI233"/>
      <c r="OKJ233"/>
      <c r="OKK233"/>
      <c r="OKL233"/>
      <c r="OKM233"/>
      <c r="OKN233"/>
      <c r="OKO233"/>
      <c r="OKP233"/>
      <c r="OKQ233"/>
      <c r="OKR233"/>
      <c r="OKS233"/>
      <c r="OKT233"/>
      <c r="OKU233"/>
      <c r="OKV233"/>
      <c r="OKW233"/>
      <c r="OKX233"/>
      <c r="OKY233"/>
      <c r="OKZ233"/>
      <c r="OLA233"/>
      <c r="OLB233"/>
      <c r="OLC233"/>
      <c r="OLD233"/>
      <c r="OLE233"/>
      <c r="OLF233"/>
      <c r="OLG233"/>
      <c r="OLH233"/>
      <c r="OLI233"/>
      <c r="OLJ233"/>
      <c r="OLK233"/>
      <c r="OLL233"/>
      <c r="OLM233"/>
      <c r="OLN233"/>
      <c r="OLO233"/>
      <c r="OLP233"/>
      <c r="OLQ233"/>
      <c r="OLR233"/>
      <c r="OLS233"/>
      <c r="OLT233"/>
      <c r="OLU233"/>
      <c r="OLV233"/>
      <c r="OLW233"/>
      <c r="OLX233"/>
      <c r="OLY233"/>
      <c r="OLZ233"/>
      <c r="OMA233"/>
      <c r="OMB233"/>
      <c r="OMC233"/>
      <c r="OMD233"/>
      <c r="OME233"/>
      <c r="OMF233"/>
      <c r="OMG233"/>
      <c r="OMH233"/>
      <c r="OMI233"/>
      <c r="OMJ233"/>
      <c r="OMK233"/>
      <c r="OML233"/>
      <c r="OMM233"/>
      <c r="OMN233"/>
      <c r="OMO233"/>
      <c r="OMP233"/>
      <c r="OMQ233"/>
      <c r="OMR233"/>
      <c r="OMS233"/>
      <c r="OMT233"/>
      <c r="OMU233"/>
      <c r="OMV233"/>
      <c r="OMW233"/>
      <c r="OMX233"/>
      <c r="OMY233"/>
      <c r="OMZ233"/>
      <c r="ONA233"/>
      <c r="ONB233"/>
      <c r="ONC233"/>
      <c r="OND233"/>
      <c r="ONE233"/>
      <c r="ONF233"/>
      <c r="ONG233"/>
      <c r="ONH233"/>
      <c r="ONI233"/>
      <c r="ONJ233"/>
      <c r="ONK233"/>
      <c r="ONL233"/>
      <c r="ONM233"/>
      <c r="ONN233"/>
      <c r="ONO233"/>
      <c r="ONP233"/>
      <c r="ONQ233"/>
      <c r="ONR233"/>
      <c r="ONS233"/>
      <c r="ONT233"/>
      <c r="ONU233"/>
      <c r="ONV233"/>
      <c r="ONW233"/>
      <c r="ONX233"/>
      <c r="ONY233"/>
      <c r="ONZ233"/>
      <c r="OOA233"/>
      <c r="OOB233"/>
      <c r="OOC233"/>
      <c r="OOD233"/>
      <c r="OOE233"/>
      <c r="OOF233"/>
      <c r="OOG233"/>
      <c r="OOH233"/>
      <c r="OOI233"/>
      <c r="OOJ233"/>
      <c r="OOK233"/>
      <c r="OOL233"/>
      <c r="OOM233"/>
      <c r="OON233"/>
      <c r="OOO233"/>
      <c r="OOP233"/>
      <c r="OOQ233"/>
      <c r="OOR233"/>
      <c r="OOS233"/>
      <c r="OOT233"/>
      <c r="OOU233"/>
      <c r="OOV233"/>
      <c r="OOW233"/>
      <c r="OOX233"/>
      <c r="OOY233"/>
      <c r="OOZ233"/>
      <c r="OPA233"/>
      <c r="OPB233"/>
      <c r="OPC233"/>
      <c r="OPD233"/>
      <c r="OPE233"/>
      <c r="OPF233"/>
      <c r="OPG233"/>
      <c r="OPH233"/>
      <c r="OPI233"/>
      <c r="OPJ233"/>
      <c r="OPK233"/>
      <c r="OPL233"/>
      <c r="OPM233"/>
      <c r="OPN233"/>
      <c r="OPO233"/>
      <c r="OPP233"/>
      <c r="OPQ233"/>
      <c r="OPR233"/>
      <c r="OPS233"/>
      <c r="OPT233"/>
      <c r="OPU233"/>
      <c r="OPV233"/>
      <c r="OPW233"/>
      <c r="OPX233"/>
      <c r="OPY233"/>
      <c r="OPZ233"/>
      <c r="OQA233"/>
      <c r="OQB233"/>
      <c r="OQC233"/>
      <c r="OQD233"/>
      <c r="OQE233"/>
      <c r="OQF233"/>
      <c r="OQG233"/>
      <c r="OQH233"/>
      <c r="OQI233"/>
      <c r="OQJ233"/>
      <c r="OQK233"/>
      <c r="OQL233"/>
      <c r="OQM233"/>
      <c r="OQN233"/>
      <c r="OQO233"/>
      <c r="OQP233"/>
      <c r="OQQ233"/>
      <c r="OQR233"/>
      <c r="OQS233"/>
      <c r="OQT233"/>
      <c r="OQU233"/>
      <c r="OQV233"/>
      <c r="OQW233"/>
      <c r="OQX233"/>
      <c r="OQY233"/>
      <c r="OQZ233"/>
      <c r="ORA233"/>
      <c r="ORB233"/>
      <c r="ORC233"/>
      <c r="ORD233"/>
      <c r="ORE233"/>
      <c r="ORF233"/>
      <c r="ORG233"/>
      <c r="ORH233"/>
      <c r="ORI233"/>
      <c r="ORJ233"/>
      <c r="ORK233"/>
      <c r="ORL233"/>
      <c r="ORM233"/>
      <c r="ORN233"/>
      <c r="ORO233"/>
      <c r="ORP233"/>
      <c r="ORQ233"/>
      <c r="ORR233"/>
      <c r="ORS233"/>
      <c r="ORT233"/>
      <c r="ORU233"/>
      <c r="ORV233"/>
      <c r="ORW233"/>
      <c r="ORX233"/>
      <c r="ORY233"/>
      <c r="ORZ233"/>
      <c r="OSA233"/>
      <c r="OSB233"/>
      <c r="OSC233"/>
      <c r="OSD233"/>
      <c r="OSE233"/>
      <c r="OSF233"/>
      <c r="OSG233"/>
      <c r="OSH233"/>
      <c r="OSI233"/>
      <c r="OSJ233"/>
      <c r="OSK233"/>
      <c r="OSL233"/>
      <c r="OSM233"/>
      <c r="OSN233"/>
      <c r="OSO233"/>
      <c r="OSP233"/>
      <c r="OSQ233"/>
      <c r="OSR233"/>
      <c r="OSS233"/>
      <c r="OST233"/>
      <c r="OSU233"/>
      <c r="OSV233"/>
      <c r="OSW233"/>
      <c r="OSX233"/>
      <c r="OSY233"/>
      <c r="OSZ233"/>
      <c r="OTA233"/>
      <c r="OTB233"/>
      <c r="OTC233"/>
      <c r="OTD233"/>
      <c r="OTE233"/>
      <c r="OTF233"/>
      <c r="OTG233"/>
      <c r="OTH233"/>
      <c r="OTI233"/>
      <c r="OTJ233"/>
      <c r="OTK233"/>
      <c r="OTL233"/>
      <c r="OTM233"/>
      <c r="OTN233"/>
      <c r="OTO233"/>
      <c r="OTP233"/>
      <c r="OTQ233"/>
      <c r="OTR233"/>
      <c r="OTS233"/>
      <c r="OTT233"/>
      <c r="OTU233"/>
      <c r="OTV233"/>
      <c r="OTW233"/>
      <c r="OTX233"/>
      <c r="OTY233"/>
      <c r="OTZ233"/>
      <c r="OUA233"/>
      <c r="OUB233"/>
      <c r="OUC233"/>
      <c r="OUD233"/>
      <c r="OUE233"/>
      <c r="OUF233"/>
      <c r="OUG233"/>
      <c r="OUH233"/>
      <c r="OUI233"/>
      <c r="OUJ233"/>
      <c r="OUK233"/>
      <c r="OUL233"/>
      <c r="OUM233"/>
      <c r="OUN233"/>
      <c r="OUO233"/>
      <c r="OUP233"/>
      <c r="OUQ233"/>
      <c r="OUR233"/>
      <c r="OUS233"/>
      <c r="OUT233"/>
      <c r="OUU233"/>
      <c r="OUV233"/>
      <c r="OUW233"/>
      <c r="OUX233"/>
      <c r="OUY233"/>
      <c r="OUZ233"/>
      <c r="OVA233"/>
      <c r="OVB233"/>
      <c r="OVC233"/>
      <c r="OVD233"/>
      <c r="OVE233"/>
      <c r="OVF233"/>
      <c r="OVG233"/>
      <c r="OVH233"/>
      <c r="OVI233"/>
      <c r="OVJ233"/>
      <c r="OVK233"/>
      <c r="OVL233"/>
      <c r="OVM233"/>
      <c r="OVN233"/>
      <c r="OVO233"/>
      <c r="OVP233"/>
      <c r="OVQ233"/>
      <c r="OVR233"/>
      <c r="OVS233"/>
      <c r="OVT233"/>
      <c r="OVU233"/>
      <c r="OVV233"/>
      <c r="OVW233"/>
      <c r="OVX233"/>
      <c r="OVY233"/>
      <c r="OVZ233"/>
      <c r="OWA233"/>
      <c r="OWB233"/>
      <c r="OWC233"/>
      <c r="OWD233"/>
      <c r="OWE233"/>
      <c r="OWF233"/>
      <c r="OWG233"/>
      <c r="OWH233"/>
      <c r="OWI233"/>
      <c r="OWJ233"/>
      <c r="OWK233"/>
      <c r="OWL233"/>
      <c r="OWM233"/>
      <c r="OWN233"/>
      <c r="OWO233"/>
      <c r="OWP233"/>
      <c r="OWQ233"/>
      <c r="OWR233"/>
      <c r="OWS233"/>
      <c r="OWT233"/>
      <c r="OWU233"/>
      <c r="OWV233"/>
      <c r="OWW233"/>
      <c r="OWX233"/>
      <c r="OWY233"/>
      <c r="OWZ233"/>
      <c r="OXA233"/>
      <c r="OXB233"/>
      <c r="OXC233"/>
      <c r="OXD233"/>
      <c r="OXE233"/>
      <c r="OXF233"/>
      <c r="OXG233"/>
      <c r="OXH233"/>
      <c r="OXI233"/>
      <c r="OXJ233"/>
      <c r="OXK233"/>
      <c r="OXL233"/>
      <c r="OXM233"/>
      <c r="OXN233"/>
      <c r="OXO233"/>
      <c r="OXP233"/>
      <c r="OXQ233"/>
      <c r="OXR233"/>
      <c r="OXS233"/>
      <c r="OXT233"/>
      <c r="OXU233"/>
      <c r="OXV233"/>
      <c r="OXW233"/>
      <c r="OXX233"/>
      <c r="OXY233"/>
      <c r="OXZ233"/>
      <c r="OYA233"/>
      <c r="OYB233"/>
      <c r="OYC233"/>
      <c r="OYD233"/>
      <c r="OYE233"/>
      <c r="OYF233"/>
      <c r="OYG233"/>
      <c r="OYH233"/>
      <c r="OYI233"/>
      <c r="OYJ233"/>
      <c r="OYK233"/>
      <c r="OYL233"/>
      <c r="OYM233"/>
      <c r="OYN233"/>
      <c r="OYO233"/>
      <c r="OYP233"/>
      <c r="OYQ233"/>
      <c r="OYR233"/>
      <c r="OYS233"/>
      <c r="OYT233"/>
      <c r="OYU233"/>
      <c r="OYV233"/>
      <c r="OYW233"/>
      <c r="OYX233"/>
      <c r="OYY233"/>
      <c r="OYZ233"/>
      <c r="OZA233"/>
      <c r="OZB233"/>
      <c r="OZC233"/>
      <c r="OZD233"/>
      <c r="OZE233"/>
      <c r="OZF233"/>
      <c r="OZG233"/>
      <c r="OZH233"/>
      <c r="OZI233"/>
      <c r="OZJ233"/>
      <c r="OZK233"/>
      <c r="OZL233"/>
      <c r="OZM233"/>
      <c r="OZN233"/>
      <c r="OZO233"/>
      <c r="OZP233"/>
      <c r="OZQ233"/>
      <c r="OZR233"/>
      <c r="OZS233"/>
      <c r="OZT233"/>
      <c r="OZU233"/>
      <c r="OZV233"/>
      <c r="OZW233"/>
      <c r="OZX233"/>
      <c r="OZY233"/>
      <c r="OZZ233"/>
      <c r="PAA233"/>
      <c r="PAB233"/>
      <c r="PAC233"/>
      <c r="PAD233"/>
      <c r="PAE233"/>
      <c r="PAF233"/>
      <c r="PAG233"/>
      <c r="PAH233"/>
      <c r="PAI233"/>
      <c r="PAJ233"/>
      <c r="PAK233"/>
      <c r="PAL233"/>
      <c r="PAM233"/>
      <c r="PAN233"/>
      <c r="PAO233"/>
      <c r="PAP233"/>
      <c r="PAQ233"/>
      <c r="PAR233"/>
      <c r="PAS233"/>
      <c r="PAT233"/>
      <c r="PAU233"/>
      <c r="PAV233"/>
      <c r="PAW233"/>
      <c r="PAX233"/>
      <c r="PAY233"/>
      <c r="PAZ233"/>
      <c r="PBA233"/>
      <c r="PBB233"/>
      <c r="PBC233"/>
      <c r="PBD233"/>
      <c r="PBE233"/>
      <c r="PBF233"/>
      <c r="PBG233"/>
      <c r="PBH233"/>
      <c r="PBI233"/>
      <c r="PBJ233"/>
      <c r="PBK233"/>
      <c r="PBL233"/>
      <c r="PBM233"/>
      <c r="PBN233"/>
      <c r="PBO233"/>
      <c r="PBP233"/>
      <c r="PBQ233"/>
      <c r="PBR233"/>
      <c r="PBS233"/>
      <c r="PBT233"/>
      <c r="PBU233"/>
      <c r="PBV233"/>
      <c r="PBW233"/>
      <c r="PBX233"/>
      <c r="PBY233"/>
      <c r="PBZ233"/>
      <c r="PCA233"/>
      <c r="PCB233"/>
      <c r="PCC233"/>
      <c r="PCD233"/>
      <c r="PCE233"/>
      <c r="PCF233"/>
      <c r="PCG233"/>
      <c r="PCH233"/>
      <c r="PCI233"/>
      <c r="PCJ233"/>
      <c r="PCK233"/>
      <c r="PCL233"/>
      <c r="PCM233"/>
      <c r="PCN233"/>
      <c r="PCO233"/>
      <c r="PCP233"/>
      <c r="PCQ233"/>
      <c r="PCR233"/>
      <c r="PCS233"/>
      <c r="PCT233"/>
      <c r="PCU233"/>
      <c r="PCV233"/>
      <c r="PCW233"/>
      <c r="PCX233"/>
      <c r="PCY233"/>
      <c r="PCZ233"/>
      <c r="PDA233"/>
      <c r="PDB233"/>
      <c r="PDC233"/>
      <c r="PDD233"/>
      <c r="PDE233"/>
      <c r="PDF233"/>
      <c r="PDG233"/>
      <c r="PDH233"/>
      <c r="PDI233"/>
      <c r="PDJ233"/>
      <c r="PDK233"/>
      <c r="PDL233"/>
      <c r="PDM233"/>
      <c r="PDN233"/>
      <c r="PDO233"/>
      <c r="PDP233"/>
      <c r="PDQ233"/>
      <c r="PDR233"/>
      <c r="PDS233"/>
      <c r="PDT233"/>
      <c r="PDU233"/>
      <c r="PDV233"/>
      <c r="PDW233"/>
      <c r="PDX233"/>
      <c r="PDY233"/>
      <c r="PDZ233"/>
      <c r="PEA233"/>
      <c r="PEB233"/>
      <c r="PEC233"/>
      <c r="PED233"/>
      <c r="PEE233"/>
      <c r="PEF233"/>
      <c r="PEG233"/>
      <c r="PEH233"/>
      <c r="PEI233"/>
      <c r="PEJ233"/>
      <c r="PEK233"/>
      <c r="PEL233"/>
      <c r="PEM233"/>
      <c r="PEN233"/>
      <c r="PEO233"/>
      <c r="PEP233"/>
      <c r="PEQ233"/>
      <c r="PER233"/>
      <c r="PES233"/>
      <c r="PET233"/>
      <c r="PEU233"/>
      <c r="PEV233"/>
      <c r="PEW233"/>
      <c r="PEX233"/>
      <c r="PEY233"/>
      <c r="PEZ233"/>
      <c r="PFA233"/>
      <c r="PFB233"/>
      <c r="PFC233"/>
      <c r="PFD233"/>
      <c r="PFE233"/>
      <c r="PFF233"/>
      <c r="PFG233"/>
      <c r="PFH233"/>
      <c r="PFI233"/>
      <c r="PFJ233"/>
      <c r="PFK233"/>
      <c r="PFL233"/>
      <c r="PFM233"/>
      <c r="PFN233"/>
      <c r="PFO233"/>
      <c r="PFP233"/>
      <c r="PFQ233"/>
      <c r="PFR233"/>
      <c r="PFS233"/>
      <c r="PFT233"/>
      <c r="PFU233"/>
      <c r="PFV233"/>
      <c r="PFW233"/>
      <c r="PFX233"/>
      <c r="PFY233"/>
      <c r="PFZ233"/>
      <c r="PGA233"/>
      <c r="PGB233"/>
      <c r="PGC233"/>
      <c r="PGD233"/>
      <c r="PGE233"/>
      <c r="PGF233"/>
      <c r="PGG233"/>
      <c r="PGH233"/>
      <c r="PGI233"/>
      <c r="PGJ233"/>
      <c r="PGK233"/>
      <c r="PGL233"/>
      <c r="PGM233"/>
      <c r="PGN233"/>
      <c r="PGO233"/>
      <c r="PGP233"/>
      <c r="PGQ233"/>
      <c r="PGR233"/>
      <c r="PGS233"/>
      <c r="PGT233"/>
      <c r="PGU233"/>
      <c r="PGV233"/>
      <c r="PGW233"/>
      <c r="PGX233"/>
      <c r="PGY233"/>
      <c r="PGZ233"/>
      <c r="PHA233"/>
      <c r="PHB233"/>
      <c r="PHC233"/>
      <c r="PHD233"/>
      <c r="PHE233"/>
      <c r="PHF233"/>
      <c r="PHG233"/>
      <c r="PHH233"/>
      <c r="PHI233"/>
      <c r="PHJ233"/>
      <c r="PHK233"/>
      <c r="PHL233"/>
      <c r="PHM233"/>
      <c r="PHN233"/>
      <c r="PHO233"/>
      <c r="PHP233"/>
      <c r="PHQ233"/>
      <c r="PHR233"/>
      <c r="PHS233"/>
      <c r="PHT233"/>
      <c r="PHU233"/>
      <c r="PHV233"/>
      <c r="PHW233"/>
      <c r="PHX233"/>
      <c r="PHY233"/>
      <c r="PHZ233"/>
      <c r="PIA233"/>
      <c r="PIB233"/>
      <c r="PIC233"/>
      <c r="PID233"/>
      <c r="PIE233"/>
      <c r="PIF233"/>
      <c r="PIG233"/>
      <c r="PIH233"/>
      <c r="PII233"/>
      <c r="PIJ233"/>
      <c r="PIK233"/>
      <c r="PIL233"/>
      <c r="PIM233"/>
      <c r="PIN233"/>
      <c r="PIO233"/>
      <c r="PIP233"/>
      <c r="PIQ233"/>
      <c r="PIR233"/>
      <c r="PIS233"/>
      <c r="PIT233"/>
      <c r="PIU233"/>
      <c r="PIV233"/>
      <c r="PIW233"/>
      <c r="PIX233"/>
      <c r="PIY233"/>
      <c r="PIZ233"/>
      <c r="PJA233"/>
      <c r="PJB233"/>
      <c r="PJC233"/>
      <c r="PJD233"/>
      <c r="PJE233"/>
      <c r="PJF233"/>
      <c r="PJG233"/>
      <c r="PJH233"/>
      <c r="PJI233"/>
      <c r="PJJ233"/>
      <c r="PJK233"/>
      <c r="PJL233"/>
      <c r="PJM233"/>
      <c r="PJN233"/>
      <c r="PJO233"/>
      <c r="PJP233"/>
      <c r="PJQ233"/>
      <c r="PJR233"/>
      <c r="PJS233"/>
      <c r="PJT233"/>
      <c r="PJU233"/>
      <c r="PJV233"/>
      <c r="PJW233"/>
      <c r="PJX233"/>
      <c r="PJY233"/>
      <c r="PJZ233"/>
      <c r="PKA233"/>
      <c r="PKB233"/>
      <c r="PKC233"/>
      <c r="PKD233"/>
      <c r="PKE233"/>
      <c r="PKF233"/>
      <c r="PKG233"/>
      <c r="PKH233"/>
      <c r="PKI233"/>
      <c r="PKJ233"/>
      <c r="PKK233"/>
      <c r="PKL233"/>
      <c r="PKM233"/>
      <c r="PKN233"/>
      <c r="PKO233"/>
      <c r="PKP233"/>
      <c r="PKQ233"/>
      <c r="PKR233"/>
      <c r="PKS233"/>
      <c r="PKT233"/>
      <c r="PKU233"/>
      <c r="PKV233"/>
      <c r="PKW233"/>
      <c r="PKX233"/>
      <c r="PKY233"/>
      <c r="PKZ233"/>
      <c r="PLA233"/>
      <c r="PLB233"/>
      <c r="PLC233"/>
      <c r="PLD233"/>
      <c r="PLE233"/>
      <c r="PLF233"/>
      <c r="PLG233"/>
      <c r="PLH233"/>
      <c r="PLI233"/>
      <c r="PLJ233"/>
      <c r="PLK233"/>
      <c r="PLL233"/>
      <c r="PLM233"/>
      <c r="PLN233"/>
      <c r="PLO233"/>
      <c r="PLP233"/>
      <c r="PLQ233"/>
      <c r="PLR233"/>
      <c r="PLS233"/>
      <c r="PLT233"/>
      <c r="PLU233"/>
      <c r="PLV233"/>
      <c r="PLW233"/>
      <c r="PLX233"/>
      <c r="PLY233"/>
      <c r="PLZ233"/>
      <c r="PMA233"/>
      <c r="PMB233"/>
      <c r="PMC233"/>
      <c r="PMD233"/>
      <c r="PME233"/>
      <c r="PMF233"/>
      <c r="PMG233"/>
      <c r="PMH233"/>
      <c r="PMI233"/>
      <c r="PMJ233"/>
      <c r="PMK233"/>
      <c r="PML233"/>
      <c r="PMM233"/>
      <c r="PMN233"/>
      <c r="PMO233"/>
      <c r="PMP233"/>
      <c r="PMQ233"/>
      <c r="PMR233"/>
      <c r="PMS233"/>
      <c r="PMT233"/>
      <c r="PMU233"/>
      <c r="PMV233"/>
      <c r="PMW233"/>
      <c r="PMX233"/>
      <c r="PMY233"/>
      <c r="PMZ233"/>
      <c r="PNA233"/>
      <c r="PNB233"/>
      <c r="PNC233"/>
      <c r="PND233"/>
      <c r="PNE233"/>
      <c r="PNF233"/>
      <c r="PNG233"/>
      <c r="PNH233"/>
      <c r="PNI233"/>
      <c r="PNJ233"/>
      <c r="PNK233"/>
      <c r="PNL233"/>
      <c r="PNM233"/>
      <c r="PNN233"/>
      <c r="PNO233"/>
      <c r="PNP233"/>
      <c r="PNQ233"/>
      <c r="PNR233"/>
      <c r="PNS233"/>
      <c r="PNT233"/>
      <c r="PNU233"/>
      <c r="PNV233"/>
      <c r="PNW233"/>
      <c r="PNX233"/>
      <c r="PNY233"/>
      <c r="PNZ233"/>
      <c r="POA233"/>
      <c r="POB233"/>
      <c r="POC233"/>
      <c r="POD233"/>
      <c r="POE233"/>
      <c r="POF233"/>
      <c r="POG233"/>
      <c r="POH233"/>
      <c r="POI233"/>
      <c r="POJ233"/>
      <c r="POK233"/>
      <c r="POL233"/>
      <c r="POM233"/>
      <c r="PON233"/>
      <c r="POO233"/>
      <c r="POP233"/>
      <c r="POQ233"/>
      <c r="POR233"/>
      <c r="POS233"/>
      <c r="POT233"/>
      <c r="POU233"/>
      <c r="POV233"/>
      <c r="POW233"/>
      <c r="POX233"/>
      <c r="POY233"/>
      <c r="POZ233"/>
      <c r="PPA233"/>
      <c r="PPB233"/>
      <c r="PPC233"/>
      <c r="PPD233"/>
      <c r="PPE233"/>
      <c r="PPF233"/>
      <c r="PPG233"/>
      <c r="PPH233"/>
      <c r="PPI233"/>
      <c r="PPJ233"/>
      <c r="PPK233"/>
      <c r="PPL233"/>
      <c r="PPM233"/>
      <c r="PPN233"/>
      <c r="PPO233"/>
      <c r="PPP233"/>
      <c r="PPQ233"/>
      <c r="PPR233"/>
      <c r="PPS233"/>
      <c r="PPT233"/>
      <c r="PPU233"/>
      <c r="PPV233"/>
      <c r="PPW233"/>
      <c r="PPX233"/>
      <c r="PPY233"/>
      <c r="PPZ233"/>
      <c r="PQA233"/>
      <c r="PQB233"/>
      <c r="PQC233"/>
      <c r="PQD233"/>
      <c r="PQE233"/>
      <c r="PQF233"/>
      <c r="PQG233"/>
      <c r="PQH233"/>
      <c r="PQI233"/>
      <c r="PQJ233"/>
      <c r="PQK233"/>
      <c r="PQL233"/>
      <c r="PQM233"/>
      <c r="PQN233"/>
      <c r="PQO233"/>
      <c r="PQP233"/>
      <c r="PQQ233"/>
      <c r="PQR233"/>
      <c r="PQS233"/>
      <c r="PQT233"/>
      <c r="PQU233"/>
      <c r="PQV233"/>
      <c r="PQW233"/>
      <c r="PQX233"/>
      <c r="PQY233"/>
      <c r="PQZ233"/>
      <c r="PRA233"/>
      <c r="PRB233"/>
      <c r="PRC233"/>
      <c r="PRD233"/>
      <c r="PRE233"/>
      <c r="PRF233"/>
      <c r="PRG233"/>
      <c r="PRH233"/>
      <c r="PRI233"/>
      <c r="PRJ233"/>
      <c r="PRK233"/>
      <c r="PRL233"/>
      <c r="PRM233"/>
      <c r="PRN233"/>
      <c r="PRO233"/>
      <c r="PRP233"/>
      <c r="PRQ233"/>
      <c r="PRR233"/>
      <c r="PRS233"/>
      <c r="PRT233"/>
      <c r="PRU233"/>
      <c r="PRV233"/>
      <c r="PRW233"/>
      <c r="PRX233"/>
      <c r="PRY233"/>
      <c r="PRZ233"/>
      <c r="PSA233"/>
      <c r="PSB233"/>
      <c r="PSC233"/>
      <c r="PSD233"/>
      <c r="PSE233"/>
      <c r="PSF233"/>
      <c r="PSG233"/>
      <c r="PSH233"/>
      <c r="PSI233"/>
      <c r="PSJ233"/>
      <c r="PSK233"/>
      <c r="PSL233"/>
      <c r="PSM233"/>
      <c r="PSN233"/>
      <c r="PSO233"/>
      <c r="PSP233"/>
      <c r="PSQ233"/>
      <c r="PSR233"/>
      <c r="PSS233"/>
      <c r="PST233"/>
      <c r="PSU233"/>
      <c r="PSV233"/>
      <c r="PSW233"/>
      <c r="PSX233"/>
      <c r="PSY233"/>
      <c r="PSZ233"/>
      <c r="PTA233"/>
      <c r="PTB233"/>
      <c r="PTC233"/>
      <c r="PTD233"/>
      <c r="PTE233"/>
      <c r="PTF233"/>
      <c r="PTG233"/>
      <c r="PTH233"/>
      <c r="PTI233"/>
      <c r="PTJ233"/>
      <c r="PTK233"/>
      <c r="PTL233"/>
      <c r="PTM233"/>
      <c r="PTN233"/>
      <c r="PTO233"/>
      <c r="PTP233"/>
      <c r="PTQ233"/>
      <c r="PTR233"/>
      <c r="PTS233"/>
      <c r="PTT233"/>
      <c r="PTU233"/>
      <c r="PTV233"/>
      <c r="PTW233"/>
      <c r="PTX233"/>
      <c r="PTY233"/>
      <c r="PTZ233"/>
      <c r="PUA233"/>
      <c r="PUB233"/>
      <c r="PUC233"/>
      <c r="PUD233"/>
      <c r="PUE233"/>
      <c r="PUF233"/>
      <c r="PUG233"/>
      <c r="PUH233"/>
      <c r="PUI233"/>
      <c r="PUJ233"/>
      <c r="PUK233"/>
      <c r="PUL233"/>
      <c r="PUM233"/>
      <c r="PUN233"/>
      <c r="PUO233"/>
      <c r="PUP233"/>
      <c r="PUQ233"/>
      <c r="PUR233"/>
      <c r="PUS233"/>
      <c r="PUT233"/>
      <c r="PUU233"/>
      <c r="PUV233"/>
      <c r="PUW233"/>
      <c r="PUX233"/>
      <c r="PUY233"/>
      <c r="PUZ233"/>
      <c r="PVA233"/>
      <c r="PVB233"/>
      <c r="PVC233"/>
      <c r="PVD233"/>
      <c r="PVE233"/>
      <c r="PVF233"/>
      <c r="PVG233"/>
      <c r="PVH233"/>
      <c r="PVI233"/>
      <c r="PVJ233"/>
      <c r="PVK233"/>
      <c r="PVL233"/>
      <c r="PVM233"/>
      <c r="PVN233"/>
      <c r="PVO233"/>
      <c r="PVP233"/>
      <c r="PVQ233"/>
      <c r="PVR233"/>
      <c r="PVS233"/>
      <c r="PVT233"/>
      <c r="PVU233"/>
      <c r="PVV233"/>
      <c r="PVW233"/>
      <c r="PVX233"/>
      <c r="PVY233"/>
      <c r="PVZ233"/>
      <c r="PWA233"/>
      <c r="PWB233"/>
      <c r="PWC233"/>
      <c r="PWD233"/>
      <c r="PWE233"/>
      <c r="PWF233"/>
      <c r="PWG233"/>
      <c r="PWH233"/>
      <c r="PWI233"/>
      <c r="PWJ233"/>
      <c r="PWK233"/>
      <c r="PWL233"/>
      <c r="PWM233"/>
      <c r="PWN233"/>
      <c r="PWO233"/>
      <c r="PWP233"/>
      <c r="PWQ233"/>
      <c r="PWR233"/>
      <c r="PWS233"/>
      <c r="PWT233"/>
      <c r="PWU233"/>
      <c r="PWV233"/>
      <c r="PWW233"/>
      <c r="PWX233"/>
      <c r="PWY233"/>
      <c r="PWZ233"/>
      <c r="PXA233"/>
      <c r="PXB233"/>
      <c r="PXC233"/>
      <c r="PXD233"/>
      <c r="PXE233"/>
      <c r="PXF233"/>
      <c r="PXG233"/>
      <c r="PXH233"/>
      <c r="PXI233"/>
      <c r="PXJ233"/>
      <c r="PXK233"/>
      <c r="PXL233"/>
      <c r="PXM233"/>
      <c r="PXN233"/>
      <c r="PXO233"/>
      <c r="PXP233"/>
      <c r="PXQ233"/>
      <c r="PXR233"/>
      <c r="PXS233"/>
      <c r="PXT233"/>
      <c r="PXU233"/>
      <c r="PXV233"/>
      <c r="PXW233"/>
      <c r="PXX233"/>
      <c r="PXY233"/>
      <c r="PXZ233"/>
      <c r="PYA233"/>
      <c r="PYB233"/>
      <c r="PYC233"/>
      <c r="PYD233"/>
      <c r="PYE233"/>
      <c r="PYF233"/>
      <c r="PYG233"/>
      <c r="PYH233"/>
      <c r="PYI233"/>
      <c r="PYJ233"/>
      <c r="PYK233"/>
      <c r="PYL233"/>
      <c r="PYM233"/>
      <c r="PYN233"/>
      <c r="PYO233"/>
      <c r="PYP233"/>
      <c r="PYQ233"/>
      <c r="PYR233"/>
      <c r="PYS233"/>
      <c r="PYT233"/>
      <c r="PYU233"/>
      <c r="PYV233"/>
      <c r="PYW233"/>
      <c r="PYX233"/>
      <c r="PYY233"/>
      <c r="PYZ233"/>
      <c r="PZA233"/>
      <c r="PZB233"/>
      <c r="PZC233"/>
      <c r="PZD233"/>
      <c r="PZE233"/>
      <c r="PZF233"/>
      <c r="PZG233"/>
      <c r="PZH233"/>
      <c r="PZI233"/>
      <c r="PZJ233"/>
      <c r="PZK233"/>
      <c r="PZL233"/>
      <c r="PZM233"/>
      <c r="PZN233"/>
      <c r="PZO233"/>
      <c r="PZP233"/>
      <c r="PZQ233"/>
      <c r="PZR233"/>
      <c r="PZS233"/>
      <c r="PZT233"/>
      <c r="PZU233"/>
      <c r="PZV233"/>
      <c r="PZW233"/>
      <c r="PZX233"/>
      <c r="PZY233"/>
      <c r="PZZ233"/>
      <c r="QAA233"/>
      <c r="QAB233"/>
      <c r="QAC233"/>
      <c r="QAD233"/>
      <c r="QAE233"/>
      <c r="QAF233"/>
      <c r="QAG233"/>
      <c r="QAH233"/>
      <c r="QAI233"/>
      <c r="QAJ233"/>
      <c r="QAK233"/>
      <c r="QAL233"/>
      <c r="QAM233"/>
      <c r="QAN233"/>
      <c r="QAO233"/>
      <c r="QAP233"/>
      <c r="QAQ233"/>
      <c r="QAR233"/>
      <c r="QAS233"/>
      <c r="QAT233"/>
      <c r="QAU233"/>
      <c r="QAV233"/>
      <c r="QAW233"/>
      <c r="QAX233"/>
      <c r="QAY233"/>
      <c r="QAZ233"/>
      <c r="QBA233"/>
      <c r="QBB233"/>
      <c r="QBC233"/>
      <c r="QBD233"/>
      <c r="QBE233"/>
      <c r="QBF233"/>
      <c r="QBG233"/>
      <c r="QBH233"/>
      <c r="QBI233"/>
      <c r="QBJ233"/>
      <c r="QBK233"/>
      <c r="QBL233"/>
      <c r="QBM233"/>
      <c r="QBN233"/>
      <c r="QBO233"/>
      <c r="QBP233"/>
      <c r="QBQ233"/>
      <c r="QBR233"/>
      <c r="QBS233"/>
      <c r="QBT233"/>
      <c r="QBU233"/>
      <c r="QBV233"/>
      <c r="QBW233"/>
      <c r="QBX233"/>
      <c r="QBY233"/>
      <c r="QBZ233"/>
      <c r="QCA233"/>
      <c r="QCB233"/>
      <c r="QCC233"/>
      <c r="QCD233"/>
      <c r="QCE233"/>
      <c r="QCF233"/>
      <c r="QCG233"/>
      <c r="QCH233"/>
      <c r="QCI233"/>
      <c r="QCJ233"/>
      <c r="QCK233"/>
      <c r="QCL233"/>
      <c r="QCM233"/>
      <c r="QCN233"/>
      <c r="QCO233"/>
      <c r="QCP233"/>
      <c r="QCQ233"/>
      <c r="QCR233"/>
      <c r="QCS233"/>
      <c r="QCT233"/>
      <c r="QCU233"/>
      <c r="QCV233"/>
      <c r="QCW233"/>
      <c r="QCX233"/>
      <c r="QCY233"/>
      <c r="QCZ233"/>
      <c r="QDA233"/>
      <c r="QDB233"/>
      <c r="QDC233"/>
      <c r="QDD233"/>
      <c r="QDE233"/>
      <c r="QDF233"/>
      <c r="QDG233"/>
      <c r="QDH233"/>
      <c r="QDI233"/>
      <c r="QDJ233"/>
      <c r="QDK233"/>
      <c r="QDL233"/>
      <c r="QDM233"/>
      <c r="QDN233"/>
      <c r="QDO233"/>
      <c r="QDP233"/>
      <c r="QDQ233"/>
      <c r="QDR233"/>
      <c r="QDS233"/>
      <c r="QDT233"/>
      <c r="QDU233"/>
      <c r="QDV233"/>
      <c r="QDW233"/>
      <c r="QDX233"/>
      <c r="QDY233"/>
      <c r="QDZ233"/>
      <c r="QEA233"/>
      <c r="QEB233"/>
      <c r="QEC233"/>
      <c r="QED233"/>
      <c r="QEE233"/>
      <c r="QEF233"/>
      <c r="QEG233"/>
      <c r="QEH233"/>
      <c r="QEI233"/>
      <c r="QEJ233"/>
      <c r="QEK233"/>
      <c r="QEL233"/>
      <c r="QEM233"/>
      <c r="QEN233"/>
      <c r="QEO233"/>
      <c r="QEP233"/>
      <c r="QEQ233"/>
      <c r="QER233"/>
      <c r="QES233"/>
      <c r="QET233"/>
      <c r="QEU233"/>
      <c r="QEV233"/>
      <c r="QEW233"/>
      <c r="QEX233"/>
      <c r="QEY233"/>
      <c r="QEZ233"/>
      <c r="QFA233"/>
      <c r="QFB233"/>
      <c r="QFC233"/>
      <c r="QFD233"/>
      <c r="QFE233"/>
      <c r="QFF233"/>
      <c r="QFG233"/>
      <c r="QFH233"/>
      <c r="QFI233"/>
      <c r="QFJ233"/>
      <c r="QFK233"/>
      <c r="QFL233"/>
      <c r="QFM233"/>
      <c r="QFN233"/>
      <c r="QFO233"/>
      <c r="QFP233"/>
      <c r="QFQ233"/>
      <c r="QFR233"/>
      <c r="QFS233"/>
      <c r="QFT233"/>
      <c r="QFU233"/>
      <c r="QFV233"/>
      <c r="QFW233"/>
      <c r="QFX233"/>
      <c r="QFY233"/>
      <c r="QFZ233"/>
      <c r="QGA233"/>
      <c r="QGB233"/>
      <c r="QGC233"/>
      <c r="QGD233"/>
      <c r="QGE233"/>
      <c r="QGF233"/>
      <c r="QGG233"/>
      <c r="QGH233"/>
      <c r="QGI233"/>
      <c r="QGJ233"/>
      <c r="QGK233"/>
      <c r="QGL233"/>
      <c r="QGM233"/>
      <c r="QGN233"/>
      <c r="QGO233"/>
      <c r="QGP233"/>
      <c r="QGQ233"/>
      <c r="QGR233"/>
      <c r="QGS233"/>
      <c r="QGT233"/>
      <c r="QGU233"/>
      <c r="QGV233"/>
      <c r="QGW233"/>
      <c r="QGX233"/>
      <c r="QGY233"/>
      <c r="QGZ233"/>
      <c r="QHA233"/>
      <c r="QHB233"/>
      <c r="QHC233"/>
      <c r="QHD233"/>
      <c r="QHE233"/>
      <c r="QHF233"/>
      <c r="QHG233"/>
      <c r="QHH233"/>
      <c r="QHI233"/>
      <c r="QHJ233"/>
      <c r="QHK233"/>
      <c r="QHL233"/>
      <c r="QHM233"/>
      <c r="QHN233"/>
      <c r="QHO233"/>
      <c r="QHP233"/>
      <c r="QHQ233"/>
      <c r="QHR233"/>
      <c r="QHS233"/>
      <c r="QHT233"/>
      <c r="QHU233"/>
      <c r="QHV233"/>
      <c r="QHW233"/>
      <c r="QHX233"/>
      <c r="QHY233"/>
      <c r="QHZ233"/>
      <c r="QIA233"/>
      <c r="QIB233"/>
      <c r="QIC233"/>
      <c r="QID233"/>
      <c r="QIE233"/>
      <c r="QIF233"/>
      <c r="QIG233"/>
      <c r="QIH233"/>
      <c r="QII233"/>
      <c r="QIJ233"/>
      <c r="QIK233"/>
      <c r="QIL233"/>
      <c r="QIM233"/>
      <c r="QIN233"/>
      <c r="QIO233"/>
      <c r="QIP233"/>
      <c r="QIQ233"/>
      <c r="QIR233"/>
      <c r="QIS233"/>
      <c r="QIT233"/>
      <c r="QIU233"/>
      <c r="QIV233"/>
      <c r="QIW233"/>
      <c r="QIX233"/>
      <c r="QIY233"/>
      <c r="QIZ233"/>
      <c r="QJA233"/>
      <c r="QJB233"/>
      <c r="QJC233"/>
      <c r="QJD233"/>
      <c r="QJE233"/>
      <c r="QJF233"/>
      <c r="QJG233"/>
      <c r="QJH233"/>
      <c r="QJI233"/>
      <c r="QJJ233"/>
      <c r="QJK233"/>
      <c r="QJL233"/>
      <c r="QJM233"/>
      <c r="QJN233"/>
      <c r="QJO233"/>
      <c r="QJP233"/>
      <c r="QJQ233"/>
      <c r="QJR233"/>
      <c r="QJS233"/>
      <c r="QJT233"/>
      <c r="QJU233"/>
      <c r="QJV233"/>
      <c r="QJW233"/>
      <c r="QJX233"/>
      <c r="QJY233"/>
      <c r="QJZ233"/>
      <c r="QKA233"/>
      <c r="QKB233"/>
      <c r="QKC233"/>
      <c r="QKD233"/>
      <c r="QKE233"/>
      <c r="QKF233"/>
      <c r="QKG233"/>
      <c r="QKH233"/>
      <c r="QKI233"/>
      <c r="QKJ233"/>
      <c r="QKK233"/>
      <c r="QKL233"/>
      <c r="QKM233"/>
      <c r="QKN233"/>
      <c r="QKO233"/>
      <c r="QKP233"/>
      <c r="QKQ233"/>
      <c r="QKR233"/>
      <c r="QKS233"/>
      <c r="QKT233"/>
      <c r="QKU233"/>
      <c r="QKV233"/>
      <c r="QKW233"/>
      <c r="QKX233"/>
      <c r="QKY233"/>
      <c r="QKZ233"/>
      <c r="QLA233"/>
      <c r="QLB233"/>
      <c r="QLC233"/>
      <c r="QLD233"/>
      <c r="QLE233"/>
      <c r="QLF233"/>
      <c r="QLG233"/>
      <c r="QLH233"/>
      <c r="QLI233"/>
      <c r="QLJ233"/>
      <c r="QLK233"/>
      <c r="QLL233"/>
      <c r="QLM233"/>
      <c r="QLN233"/>
      <c r="QLO233"/>
      <c r="QLP233"/>
      <c r="QLQ233"/>
      <c r="QLR233"/>
      <c r="QLS233"/>
      <c r="QLT233"/>
      <c r="QLU233"/>
      <c r="QLV233"/>
      <c r="QLW233"/>
      <c r="QLX233"/>
      <c r="QLY233"/>
      <c r="QLZ233"/>
      <c r="QMA233"/>
      <c r="QMB233"/>
      <c r="QMC233"/>
      <c r="QMD233"/>
      <c r="QME233"/>
      <c r="QMF233"/>
      <c r="QMG233"/>
      <c r="QMH233"/>
      <c r="QMI233"/>
      <c r="QMJ233"/>
      <c r="QMK233"/>
      <c r="QML233"/>
      <c r="QMM233"/>
      <c r="QMN233"/>
      <c r="QMO233"/>
      <c r="QMP233"/>
      <c r="QMQ233"/>
      <c r="QMR233"/>
      <c r="QMS233"/>
      <c r="QMT233"/>
      <c r="QMU233"/>
      <c r="QMV233"/>
      <c r="QMW233"/>
      <c r="QMX233"/>
      <c r="QMY233"/>
      <c r="QMZ233"/>
      <c r="QNA233"/>
      <c r="QNB233"/>
      <c r="QNC233"/>
      <c r="QND233"/>
      <c r="QNE233"/>
      <c r="QNF233"/>
      <c r="QNG233"/>
      <c r="QNH233"/>
      <c r="QNI233"/>
      <c r="QNJ233"/>
      <c r="QNK233"/>
      <c r="QNL233"/>
      <c r="QNM233"/>
      <c r="QNN233"/>
      <c r="QNO233"/>
      <c r="QNP233"/>
      <c r="QNQ233"/>
      <c r="QNR233"/>
      <c r="QNS233"/>
      <c r="QNT233"/>
      <c r="QNU233"/>
      <c r="QNV233"/>
      <c r="QNW233"/>
      <c r="QNX233"/>
      <c r="QNY233"/>
      <c r="QNZ233"/>
      <c r="QOA233"/>
      <c r="QOB233"/>
      <c r="QOC233"/>
      <c r="QOD233"/>
      <c r="QOE233"/>
      <c r="QOF233"/>
      <c r="QOG233"/>
      <c r="QOH233"/>
      <c r="QOI233"/>
      <c r="QOJ233"/>
      <c r="QOK233"/>
      <c r="QOL233"/>
      <c r="QOM233"/>
      <c r="QON233"/>
      <c r="QOO233"/>
      <c r="QOP233"/>
      <c r="QOQ233"/>
      <c r="QOR233"/>
      <c r="QOS233"/>
      <c r="QOT233"/>
      <c r="QOU233"/>
      <c r="QOV233"/>
      <c r="QOW233"/>
      <c r="QOX233"/>
      <c r="QOY233"/>
      <c r="QOZ233"/>
      <c r="QPA233"/>
      <c r="QPB233"/>
      <c r="QPC233"/>
      <c r="QPD233"/>
      <c r="QPE233"/>
      <c r="QPF233"/>
      <c r="QPG233"/>
      <c r="QPH233"/>
      <c r="QPI233"/>
      <c r="QPJ233"/>
      <c r="QPK233"/>
      <c r="QPL233"/>
      <c r="QPM233"/>
      <c r="QPN233"/>
      <c r="QPO233"/>
      <c r="QPP233"/>
      <c r="QPQ233"/>
      <c r="QPR233"/>
      <c r="QPS233"/>
      <c r="QPT233"/>
      <c r="QPU233"/>
      <c r="QPV233"/>
      <c r="QPW233"/>
      <c r="QPX233"/>
      <c r="QPY233"/>
      <c r="QPZ233"/>
      <c r="QQA233"/>
      <c r="QQB233"/>
      <c r="QQC233"/>
      <c r="QQD233"/>
      <c r="QQE233"/>
      <c r="QQF233"/>
      <c r="QQG233"/>
      <c r="QQH233"/>
      <c r="QQI233"/>
      <c r="QQJ233"/>
      <c r="QQK233"/>
      <c r="QQL233"/>
      <c r="QQM233"/>
      <c r="QQN233"/>
      <c r="QQO233"/>
      <c r="QQP233"/>
      <c r="QQQ233"/>
      <c r="QQR233"/>
      <c r="QQS233"/>
      <c r="QQT233"/>
      <c r="QQU233"/>
      <c r="QQV233"/>
      <c r="QQW233"/>
      <c r="QQX233"/>
      <c r="QQY233"/>
      <c r="QQZ233"/>
      <c r="QRA233"/>
      <c r="QRB233"/>
      <c r="QRC233"/>
      <c r="QRD233"/>
      <c r="QRE233"/>
      <c r="QRF233"/>
      <c r="QRG233"/>
      <c r="QRH233"/>
      <c r="QRI233"/>
      <c r="QRJ233"/>
      <c r="QRK233"/>
      <c r="QRL233"/>
      <c r="QRM233"/>
      <c r="QRN233"/>
      <c r="QRO233"/>
      <c r="QRP233"/>
      <c r="QRQ233"/>
      <c r="QRR233"/>
      <c r="QRS233"/>
      <c r="QRT233"/>
      <c r="QRU233"/>
      <c r="QRV233"/>
      <c r="QRW233"/>
      <c r="QRX233"/>
      <c r="QRY233"/>
      <c r="QRZ233"/>
      <c r="QSA233"/>
      <c r="QSB233"/>
      <c r="QSC233"/>
      <c r="QSD233"/>
      <c r="QSE233"/>
      <c r="QSF233"/>
      <c r="QSG233"/>
      <c r="QSH233"/>
      <c r="QSI233"/>
      <c r="QSJ233"/>
      <c r="QSK233"/>
      <c r="QSL233"/>
      <c r="QSM233"/>
      <c r="QSN233"/>
      <c r="QSO233"/>
      <c r="QSP233"/>
      <c r="QSQ233"/>
      <c r="QSR233"/>
      <c r="QSS233"/>
      <c r="QST233"/>
      <c r="QSU233"/>
      <c r="QSV233"/>
      <c r="QSW233"/>
      <c r="QSX233"/>
      <c r="QSY233"/>
      <c r="QSZ233"/>
      <c r="QTA233"/>
      <c r="QTB233"/>
      <c r="QTC233"/>
      <c r="QTD233"/>
      <c r="QTE233"/>
      <c r="QTF233"/>
      <c r="QTG233"/>
      <c r="QTH233"/>
      <c r="QTI233"/>
      <c r="QTJ233"/>
      <c r="QTK233"/>
      <c r="QTL233"/>
      <c r="QTM233"/>
      <c r="QTN233"/>
      <c r="QTO233"/>
      <c r="QTP233"/>
      <c r="QTQ233"/>
      <c r="QTR233"/>
      <c r="QTS233"/>
      <c r="QTT233"/>
      <c r="QTU233"/>
      <c r="QTV233"/>
      <c r="QTW233"/>
      <c r="QTX233"/>
      <c r="QTY233"/>
      <c r="QTZ233"/>
      <c r="QUA233"/>
      <c r="QUB233"/>
      <c r="QUC233"/>
      <c r="QUD233"/>
      <c r="QUE233"/>
      <c r="QUF233"/>
      <c r="QUG233"/>
      <c r="QUH233"/>
      <c r="QUI233"/>
      <c r="QUJ233"/>
      <c r="QUK233"/>
      <c r="QUL233"/>
      <c r="QUM233"/>
      <c r="QUN233"/>
      <c r="QUO233"/>
      <c r="QUP233"/>
      <c r="QUQ233"/>
      <c r="QUR233"/>
      <c r="QUS233"/>
      <c r="QUT233"/>
      <c r="QUU233"/>
      <c r="QUV233"/>
      <c r="QUW233"/>
      <c r="QUX233"/>
      <c r="QUY233"/>
      <c r="QUZ233"/>
      <c r="QVA233"/>
      <c r="QVB233"/>
      <c r="QVC233"/>
      <c r="QVD233"/>
      <c r="QVE233"/>
      <c r="QVF233"/>
      <c r="QVG233"/>
      <c r="QVH233"/>
      <c r="QVI233"/>
      <c r="QVJ233"/>
      <c r="QVK233"/>
      <c r="QVL233"/>
      <c r="QVM233"/>
      <c r="QVN233"/>
      <c r="QVO233"/>
      <c r="QVP233"/>
      <c r="QVQ233"/>
      <c r="QVR233"/>
      <c r="QVS233"/>
      <c r="QVT233"/>
      <c r="QVU233"/>
      <c r="QVV233"/>
      <c r="QVW233"/>
      <c r="QVX233"/>
      <c r="QVY233"/>
      <c r="QVZ233"/>
      <c r="QWA233"/>
      <c r="QWB233"/>
      <c r="QWC233"/>
      <c r="QWD233"/>
      <c r="QWE233"/>
      <c r="QWF233"/>
      <c r="QWG233"/>
      <c r="QWH233"/>
      <c r="QWI233"/>
      <c r="QWJ233"/>
      <c r="QWK233"/>
      <c r="QWL233"/>
      <c r="QWM233"/>
      <c r="QWN233"/>
      <c r="QWO233"/>
      <c r="QWP233"/>
      <c r="QWQ233"/>
      <c r="QWR233"/>
      <c r="QWS233"/>
      <c r="QWT233"/>
      <c r="QWU233"/>
      <c r="QWV233"/>
      <c r="QWW233"/>
      <c r="QWX233"/>
      <c r="QWY233"/>
      <c r="QWZ233"/>
      <c r="QXA233"/>
      <c r="QXB233"/>
      <c r="QXC233"/>
      <c r="QXD233"/>
      <c r="QXE233"/>
      <c r="QXF233"/>
      <c r="QXG233"/>
      <c r="QXH233"/>
      <c r="QXI233"/>
      <c r="QXJ233"/>
      <c r="QXK233"/>
      <c r="QXL233"/>
      <c r="QXM233"/>
      <c r="QXN233"/>
      <c r="QXO233"/>
      <c r="QXP233"/>
      <c r="QXQ233"/>
      <c r="QXR233"/>
      <c r="QXS233"/>
      <c r="QXT233"/>
      <c r="QXU233"/>
      <c r="QXV233"/>
      <c r="QXW233"/>
      <c r="QXX233"/>
      <c r="QXY233"/>
      <c r="QXZ233"/>
      <c r="QYA233"/>
      <c r="QYB233"/>
      <c r="QYC233"/>
      <c r="QYD233"/>
      <c r="QYE233"/>
      <c r="QYF233"/>
      <c r="QYG233"/>
      <c r="QYH233"/>
      <c r="QYI233"/>
      <c r="QYJ233"/>
      <c r="QYK233"/>
      <c r="QYL233"/>
      <c r="QYM233"/>
      <c r="QYN233"/>
      <c r="QYO233"/>
      <c r="QYP233"/>
      <c r="QYQ233"/>
      <c r="QYR233"/>
      <c r="QYS233"/>
      <c r="QYT233"/>
      <c r="QYU233"/>
      <c r="QYV233"/>
      <c r="QYW233"/>
      <c r="QYX233"/>
      <c r="QYY233"/>
      <c r="QYZ233"/>
      <c r="QZA233"/>
      <c r="QZB233"/>
      <c r="QZC233"/>
      <c r="QZD233"/>
      <c r="QZE233"/>
      <c r="QZF233"/>
      <c r="QZG233"/>
      <c r="QZH233"/>
      <c r="QZI233"/>
      <c r="QZJ233"/>
      <c r="QZK233"/>
      <c r="QZL233"/>
      <c r="QZM233"/>
      <c r="QZN233"/>
      <c r="QZO233"/>
      <c r="QZP233"/>
      <c r="QZQ233"/>
      <c r="QZR233"/>
      <c r="QZS233"/>
      <c r="QZT233"/>
      <c r="QZU233"/>
      <c r="QZV233"/>
      <c r="QZW233"/>
      <c r="QZX233"/>
      <c r="QZY233"/>
      <c r="QZZ233"/>
      <c r="RAA233"/>
      <c r="RAB233"/>
      <c r="RAC233"/>
      <c r="RAD233"/>
      <c r="RAE233"/>
      <c r="RAF233"/>
      <c r="RAG233"/>
      <c r="RAH233"/>
      <c r="RAI233"/>
      <c r="RAJ233"/>
      <c r="RAK233"/>
      <c r="RAL233"/>
      <c r="RAM233"/>
      <c r="RAN233"/>
      <c r="RAO233"/>
      <c r="RAP233"/>
      <c r="RAQ233"/>
      <c r="RAR233"/>
      <c r="RAS233"/>
      <c r="RAT233"/>
      <c r="RAU233"/>
      <c r="RAV233"/>
      <c r="RAW233"/>
      <c r="RAX233"/>
      <c r="RAY233"/>
      <c r="RAZ233"/>
      <c r="RBA233"/>
      <c r="RBB233"/>
      <c r="RBC233"/>
      <c r="RBD233"/>
      <c r="RBE233"/>
      <c r="RBF233"/>
      <c r="RBG233"/>
      <c r="RBH233"/>
      <c r="RBI233"/>
      <c r="RBJ233"/>
      <c r="RBK233"/>
      <c r="RBL233"/>
      <c r="RBM233"/>
      <c r="RBN233"/>
      <c r="RBO233"/>
      <c r="RBP233"/>
      <c r="RBQ233"/>
      <c r="RBR233"/>
      <c r="RBS233"/>
      <c r="RBT233"/>
      <c r="RBU233"/>
      <c r="RBV233"/>
      <c r="RBW233"/>
      <c r="RBX233"/>
      <c r="RBY233"/>
      <c r="RBZ233"/>
      <c r="RCA233"/>
      <c r="RCB233"/>
      <c r="RCC233"/>
      <c r="RCD233"/>
      <c r="RCE233"/>
      <c r="RCF233"/>
      <c r="RCG233"/>
      <c r="RCH233"/>
      <c r="RCI233"/>
      <c r="RCJ233"/>
      <c r="RCK233"/>
      <c r="RCL233"/>
      <c r="RCM233"/>
      <c r="RCN233"/>
      <c r="RCO233"/>
      <c r="RCP233"/>
      <c r="RCQ233"/>
      <c r="RCR233"/>
      <c r="RCS233"/>
      <c r="RCT233"/>
      <c r="RCU233"/>
      <c r="RCV233"/>
      <c r="RCW233"/>
      <c r="RCX233"/>
      <c r="RCY233"/>
      <c r="RCZ233"/>
      <c r="RDA233"/>
      <c r="RDB233"/>
      <c r="RDC233"/>
      <c r="RDD233"/>
      <c r="RDE233"/>
      <c r="RDF233"/>
      <c r="RDG233"/>
      <c r="RDH233"/>
      <c r="RDI233"/>
      <c r="RDJ233"/>
      <c r="RDK233"/>
      <c r="RDL233"/>
      <c r="RDM233"/>
      <c r="RDN233"/>
      <c r="RDO233"/>
      <c r="RDP233"/>
      <c r="RDQ233"/>
      <c r="RDR233"/>
      <c r="RDS233"/>
      <c r="RDT233"/>
      <c r="RDU233"/>
      <c r="RDV233"/>
      <c r="RDW233"/>
      <c r="RDX233"/>
      <c r="RDY233"/>
      <c r="RDZ233"/>
      <c r="REA233"/>
      <c r="REB233"/>
      <c r="REC233"/>
      <c r="RED233"/>
      <c r="REE233"/>
      <c r="REF233"/>
      <c r="REG233"/>
      <c r="REH233"/>
      <c r="REI233"/>
      <c r="REJ233"/>
      <c r="REK233"/>
      <c r="REL233"/>
      <c r="REM233"/>
      <c r="REN233"/>
      <c r="REO233"/>
      <c r="REP233"/>
      <c r="REQ233"/>
      <c r="RER233"/>
      <c r="RES233"/>
      <c r="RET233"/>
      <c r="REU233"/>
      <c r="REV233"/>
      <c r="REW233"/>
      <c r="REX233"/>
      <c r="REY233"/>
      <c r="REZ233"/>
      <c r="RFA233"/>
      <c r="RFB233"/>
      <c r="RFC233"/>
      <c r="RFD233"/>
      <c r="RFE233"/>
      <c r="RFF233"/>
      <c r="RFG233"/>
      <c r="RFH233"/>
      <c r="RFI233"/>
      <c r="RFJ233"/>
      <c r="RFK233"/>
      <c r="RFL233"/>
      <c r="RFM233"/>
      <c r="RFN233"/>
      <c r="RFO233"/>
      <c r="RFP233"/>
      <c r="RFQ233"/>
      <c r="RFR233"/>
      <c r="RFS233"/>
      <c r="RFT233"/>
      <c r="RFU233"/>
      <c r="RFV233"/>
      <c r="RFW233"/>
      <c r="RFX233"/>
      <c r="RFY233"/>
      <c r="RFZ233"/>
      <c r="RGA233"/>
      <c r="RGB233"/>
      <c r="RGC233"/>
      <c r="RGD233"/>
      <c r="RGE233"/>
      <c r="RGF233"/>
      <c r="RGG233"/>
      <c r="RGH233"/>
      <c r="RGI233"/>
      <c r="RGJ233"/>
      <c r="RGK233"/>
      <c r="RGL233"/>
      <c r="RGM233"/>
      <c r="RGN233"/>
      <c r="RGO233"/>
      <c r="RGP233"/>
      <c r="RGQ233"/>
      <c r="RGR233"/>
      <c r="RGS233"/>
      <c r="RGT233"/>
      <c r="RGU233"/>
      <c r="RGV233"/>
      <c r="RGW233"/>
      <c r="RGX233"/>
      <c r="RGY233"/>
      <c r="RGZ233"/>
      <c r="RHA233"/>
      <c r="RHB233"/>
      <c r="RHC233"/>
      <c r="RHD233"/>
      <c r="RHE233"/>
      <c r="RHF233"/>
      <c r="RHG233"/>
      <c r="RHH233"/>
      <c r="RHI233"/>
      <c r="RHJ233"/>
      <c r="RHK233"/>
      <c r="RHL233"/>
      <c r="RHM233"/>
      <c r="RHN233"/>
      <c r="RHO233"/>
      <c r="RHP233"/>
      <c r="RHQ233"/>
      <c r="RHR233"/>
      <c r="RHS233"/>
      <c r="RHT233"/>
      <c r="RHU233"/>
      <c r="RHV233"/>
      <c r="RHW233"/>
      <c r="RHX233"/>
      <c r="RHY233"/>
      <c r="RHZ233"/>
      <c r="RIA233"/>
      <c r="RIB233"/>
      <c r="RIC233"/>
      <c r="RID233"/>
      <c r="RIE233"/>
      <c r="RIF233"/>
      <c r="RIG233"/>
      <c r="RIH233"/>
      <c r="RII233"/>
      <c r="RIJ233"/>
      <c r="RIK233"/>
      <c r="RIL233"/>
      <c r="RIM233"/>
      <c r="RIN233"/>
      <c r="RIO233"/>
      <c r="RIP233"/>
      <c r="RIQ233"/>
      <c r="RIR233"/>
      <c r="RIS233"/>
      <c r="RIT233"/>
      <c r="RIU233"/>
      <c r="RIV233"/>
      <c r="RIW233"/>
      <c r="RIX233"/>
      <c r="RIY233"/>
      <c r="RIZ233"/>
      <c r="RJA233"/>
      <c r="RJB233"/>
      <c r="RJC233"/>
      <c r="RJD233"/>
      <c r="RJE233"/>
      <c r="RJF233"/>
      <c r="RJG233"/>
      <c r="RJH233"/>
      <c r="RJI233"/>
      <c r="RJJ233"/>
      <c r="RJK233"/>
      <c r="RJL233"/>
      <c r="RJM233"/>
      <c r="RJN233"/>
      <c r="RJO233"/>
      <c r="RJP233"/>
      <c r="RJQ233"/>
      <c r="RJR233"/>
      <c r="RJS233"/>
      <c r="RJT233"/>
      <c r="RJU233"/>
      <c r="RJV233"/>
      <c r="RJW233"/>
      <c r="RJX233"/>
      <c r="RJY233"/>
      <c r="RJZ233"/>
      <c r="RKA233"/>
      <c r="RKB233"/>
      <c r="RKC233"/>
      <c r="RKD233"/>
      <c r="RKE233"/>
      <c r="RKF233"/>
      <c r="RKG233"/>
      <c r="RKH233"/>
      <c r="RKI233"/>
      <c r="RKJ233"/>
      <c r="RKK233"/>
      <c r="RKL233"/>
      <c r="RKM233"/>
      <c r="RKN233"/>
      <c r="RKO233"/>
      <c r="RKP233"/>
      <c r="RKQ233"/>
      <c r="RKR233"/>
      <c r="RKS233"/>
      <c r="RKT233"/>
      <c r="RKU233"/>
      <c r="RKV233"/>
      <c r="RKW233"/>
      <c r="RKX233"/>
      <c r="RKY233"/>
      <c r="RKZ233"/>
      <c r="RLA233"/>
      <c r="RLB233"/>
      <c r="RLC233"/>
      <c r="RLD233"/>
      <c r="RLE233"/>
      <c r="RLF233"/>
      <c r="RLG233"/>
      <c r="RLH233"/>
      <c r="RLI233"/>
      <c r="RLJ233"/>
      <c r="RLK233"/>
      <c r="RLL233"/>
      <c r="RLM233"/>
      <c r="RLN233"/>
      <c r="RLO233"/>
      <c r="RLP233"/>
      <c r="RLQ233"/>
      <c r="RLR233"/>
      <c r="RLS233"/>
      <c r="RLT233"/>
      <c r="RLU233"/>
      <c r="RLV233"/>
      <c r="RLW233"/>
      <c r="RLX233"/>
      <c r="RLY233"/>
      <c r="RLZ233"/>
      <c r="RMA233"/>
      <c r="RMB233"/>
      <c r="RMC233"/>
      <c r="RMD233"/>
      <c r="RME233"/>
      <c r="RMF233"/>
      <c r="RMG233"/>
      <c r="RMH233"/>
      <c r="RMI233"/>
      <c r="RMJ233"/>
      <c r="RMK233"/>
      <c r="RML233"/>
      <c r="RMM233"/>
      <c r="RMN233"/>
      <c r="RMO233"/>
      <c r="RMP233"/>
      <c r="RMQ233"/>
      <c r="RMR233"/>
      <c r="RMS233"/>
      <c r="RMT233"/>
      <c r="RMU233"/>
      <c r="RMV233"/>
      <c r="RMW233"/>
      <c r="RMX233"/>
      <c r="RMY233"/>
      <c r="RMZ233"/>
      <c r="RNA233"/>
      <c r="RNB233"/>
      <c r="RNC233"/>
      <c r="RND233"/>
      <c r="RNE233"/>
      <c r="RNF233"/>
      <c r="RNG233"/>
      <c r="RNH233"/>
      <c r="RNI233"/>
      <c r="RNJ233"/>
      <c r="RNK233"/>
      <c r="RNL233"/>
      <c r="RNM233"/>
      <c r="RNN233"/>
      <c r="RNO233"/>
      <c r="RNP233"/>
      <c r="RNQ233"/>
      <c r="RNR233"/>
      <c r="RNS233"/>
      <c r="RNT233"/>
      <c r="RNU233"/>
      <c r="RNV233"/>
      <c r="RNW233"/>
      <c r="RNX233"/>
      <c r="RNY233"/>
      <c r="RNZ233"/>
      <c r="ROA233"/>
      <c r="ROB233"/>
      <c r="ROC233"/>
      <c r="ROD233"/>
      <c r="ROE233"/>
      <c r="ROF233"/>
      <c r="ROG233"/>
      <c r="ROH233"/>
      <c r="ROI233"/>
      <c r="ROJ233"/>
      <c r="ROK233"/>
      <c r="ROL233"/>
      <c r="ROM233"/>
      <c r="RON233"/>
      <c r="ROO233"/>
      <c r="ROP233"/>
      <c r="ROQ233"/>
      <c r="ROR233"/>
      <c r="ROS233"/>
      <c r="ROT233"/>
      <c r="ROU233"/>
      <c r="ROV233"/>
      <c r="ROW233"/>
      <c r="ROX233"/>
      <c r="ROY233"/>
      <c r="ROZ233"/>
      <c r="RPA233"/>
      <c r="RPB233"/>
      <c r="RPC233"/>
      <c r="RPD233"/>
      <c r="RPE233"/>
      <c r="RPF233"/>
      <c r="RPG233"/>
      <c r="RPH233"/>
      <c r="RPI233"/>
      <c r="RPJ233"/>
      <c r="RPK233"/>
      <c r="RPL233"/>
      <c r="RPM233"/>
      <c r="RPN233"/>
      <c r="RPO233"/>
      <c r="RPP233"/>
      <c r="RPQ233"/>
      <c r="RPR233"/>
      <c r="RPS233"/>
      <c r="RPT233"/>
      <c r="RPU233"/>
      <c r="RPV233"/>
      <c r="RPW233"/>
      <c r="RPX233"/>
      <c r="RPY233"/>
      <c r="RPZ233"/>
      <c r="RQA233"/>
      <c r="RQB233"/>
      <c r="RQC233"/>
      <c r="RQD233"/>
      <c r="RQE233"/>
      <c r="RQF233"/>
      <c r="RQG233"/>
      <c r="RQH233"/>
      <c r="RQI233"/>
      <c r="RQJ233"/>
      <c r="RQK233"/>
      <c r="RQL233"/>
      <c r="RQM233"/>
      <c r="RQN233"/>
      <c r="RQO233"/>
      <c r="RQP233"/>
      <c r="RQQ233"/>
      <c r="RQR233"/>
      <c r="RQS233"/>
      <c r="RQT233"/>
      <c r="RQU233"/>
      <c r="RQV233"/>
      <c r="RQW233"/>
      <c r="RQX233"/>
      <c r="RQY233"/>
      <c r="RQZ233"/>
      <c r="RRA233"/>
      <c r="RRB233"/>
      <c r="RRC233"/>
      <c r="RRD233"/>
      <c r="RRE233"/>
      <c r="RRF233"/>
      <c r="RRG233"/>
      <c r="RRH233"/>
      <c r="RRI233"/>
      <c r="RRJ233"/>
      <c r="RRK233"/>
      <c r="RRL233"/>
      <c r="RRM233"/>
      <c r="RRN233"/>
      <c r="RRO233"/>
      <c r="RRP233"/>
      <c r="RRQ233"/>
      <c r="RRR233"/>
      <c r="RRS233"/>
      <c r="RRT233"/>
      <c r="RRU233"/>
      <c r="RRV233"/>
      <c r="RRW233"/>
      <c r="RRX233"/>
      <c r="RRY233"/>
      <c r="RRZ233"/>
      <c r="RSA233"/>
      <c r="RSB233"/>
      <c r="RSC233"/>
      <c r="RSD233"/>
      <c r="RSE233"/>
      <c r="RSF233"/>
      <c r="RSG233"/>
      <c r="RSH233"/>
      <c r="RSI233"/>
      <c r="RSJ233"/>
      <c r="RSK233"/>
      <c r="RSL233"/>
      <c r="RSM233"/>
      <c r="RSN233"/>
      <c r="RSO233"/>
      <c r="RSP233"/>
      <c r="RSQ233"/>
      <c r="RSR233"/>
      <c r="RSS233"/>
      <c r="RST233"/>
      <c r="RSU233"/>
      <c r="RSV233"/>
      <c r="RSW233"/>
      <c r="RSX233"/>
      <c r="RSY233"/>
      <c r="RSZ233"/>
      <c r="RTA233"/>
      <c r="RTB233"/>
      <c r="RTC233"/>
      <c r="RTD233"/>
      <c r="RTE233"/>
      <c r="RTF233"/>
      <c r="RTG233"/>
      <c r="RTH233"/>
      <c r="RTI233"/>
      <c r="RTJ233"/>
      <c r="RTK233"/>
      <c r="RTL233"/>
      <c r="RTM233"/>
      <c r="RTN233"/>
      <c r="RTO233"/>
      <c r="RTP233"/>
      <c r="RTQ233"/>
      <c r="RTR233"/>
      <c r="RTS233"/>
      <c r="RTT233"/>
      <c r="RTU233"/>
      <c r="RTV233"/>
      <c r="RTW233"/>
      <c r="RTX233"/>
      <c r="RTY233"/>
      <c r="RTZ233"/>
      <c r="RUA233"/>
      <c r="RUB233"/>
      <c r="RUC233"/>
      <c r="RUD233"/>
      <c r="RUE233"/>
      <c r="RUF233"/>
      <c r="RUG233"/>
      <c r="RUH233"/>
      <c r="RUI233"/>
      <c r="RUJ233"/>
      <c r="RUK233"/>
      <c r="RUL233"/>
      <c r="RUM233"/>
      <c r="RUN233"/>
      <c r="RUO233"/>
      <c r="RUP233"/>
      <c r="RUQ233"/>
      <c r="RUR233"/>
      <c r="RUS233"/>
      <c r="RUT233"/>
      <c r="RUU233"/>
      <c r="RUV233"/>
      <c r="RUW233"/>
      <c r="RUX233"/>
      <c r="RUY233"/>
      <c r="RUZ233"/>
      <c r="RVA233"/>
      <c r="RVB233"/>
      <c r="RVC233"/>
      <c r="RVD233"/>
      <c r="RVE233"/>
      <c r="RVF233"/>
      <c r="RVG233"/>
      <c r="RVH233"/>
      <c r="RVI233"/>
      <c r="RVJ233"/>
      <c r="RVK233"/>
      <c r="RVL233"/>
      <c r="RVM233"/>
      <c r="RVN233"/>
      <c r="RVO233"/>
      <c r="RVP233"/>
      <c r="RVQ233"/>
      <c r="RVR233"/>
      <c r="RVS233"/>
      <c r="RVT233"/>
      <c r="RVU233"/>
      <c r="RVV233"/>
      <c r="RVW233"/>
      <c r="RVX233"/>
      <c r="RVY233"/>
      <c r="RVZ233"/>
      <c r="RWA233"/>
      <c r="RWB233"/>
      <c r="RWC233"/>
      <c r="RWD233"/>
      <c r="RWE233"/>
      <c r="RWF233"/>
      <c r="RWG233"/>
      <c r="RWH233"/>
      <c r="RWI233"/>
      <c r="RWJ233"/>
      <c r="RWK233"/>
      <c r="RWL233"/>
      <c r="RWM233"/>
      <c r="RWN233"/>
      <c r="RWO233"/>
      <c r="RWP233"/>
      <c r="RWQ233"/>
      <c r="RWR233"/>
      <c r="RWS233"/>
      <c r="RWT233"/>
      <c r="RWU233"/>
      <c r="RWV233"/>
      <c r="RWW233"/>
      <c r="RWX233"/>
      <c r="RWY233"/>
      <c r="RWZ233"/>
      <c r="RXA233"/>
      <c r="RXB233"/>
      <c r="RXC233"/>
      <c r="RXD233"/>
      <c r="RXE233"/>
      <c r="RXF233"/>
      <c r="RXG233"/>
      <c r="RXH233"/>
      <c r="RXI233"/>
      <c r="RXJ233"/>
      <c r="RXK233"/>
      <c r="RXL233"/>
      <c r="RXM233"/>
      <c r="RXN233"/>
      <c r="RXO233"/>
      <c r="RXP233"/>
      <c r="RXQ233"/>
      <c r="RXR233"/>
      <c r="RXS233"/>
      <c r="RXT233"/>
      <c r="RXU233"/>
      <c r="RXV233"/>
      <c r="RXW233"/>
      <c r="RXX233"/>
      <c r="RXY233"/>
      <c r="RXZ233"/>
      <c r="RYA233"/>
      <c r="RYB233"/>
      <c r="RYC233"/>
      <c r="RYD233"/>
      <c r="RYE233"/>
      <c r="RYF233"/>
      <c r="RYG233"/>
      <c r="RYH233"/>
      <c r="RYI233"/>
      <c r="RYJ233"/>
      <c r="RYK233"/>
      <c r="RYL233"/>
      <c r="RYM233"/>
      <c r="RYN233"/>
      <c r="RYO233"/>
      <c r="RYP233"/>
      <c r="RYQ233"/>
      <c r="RYR233"/>
      <c r="RYS233"/>
      <c r="RYT233"/>
      <c r="RYU233"/>
      <c r="RYV233"/>
      <c r="RYW233"/>
      <c r="RYX233"/>
      <c r="RYY233"/>
      <c r="RYZ233"/>
      <c r="RZA233"/>
      <c r="RZB233"/>
      <c r="RZC233"/>
      <c r="RZD233"/>
      <c r="RZE233"/>
      <c r="RZF233"/>
      <c r="RZG233"/>
      <c r="RZH233"/>
      <c r="RZI233"/>
      <c r="RZJ233"/>
      <c r="RZK233"/>
      <c r="RZL233"/>
      <c r="RZM233"/>
      <c r="RZN233"/>
      <c r="RZO233"/>
      <c r="RZP233"/>
      <c r="RZQ233"/>
      <c r="RZR233"/>
      <c r="RZS233"/>
      <c r="RZT233"/>
      <c r="RZU233"/>
      <c r="RZV233"/>
      <c r="RZW233"/>
      <c r="RZX233"/>
      <c r="RZY233"/>
      <c r="RZZ233"/>
      <c r="SAA233"/>
      <c r="SAB233"/>
      <c r="SAC233"/>
      <c r="SAD233"/>
      <c r="SAE233"/>
      <c r="SAF233"/>
      <c r="SAG233"/>
      <c r="SAH233"/>
      <c r="SAI233"/>
      <c r="SAJ233"/>
      <c r="SAK233"/>
      <c r="SAL233"/>
      <c r="SAM233"/>
      <c r="SAN233"/>
      <c r="SAO233"/>
      <c r="SAP233"/>
      <c r="SAQ233"/>
      <c r="SAR233"/>
      <c r="SAS233"/>
      <c r="SAT233"/>
      <c r="SAU233"/>
      <c r="SAV233"/>
      <c r="SAW233"/>
      <c r="SAX233"/>
      <c r="SAY233"/>
      <c r="SAZ233"/>
      <c r="SBA233"/>
      <c r="SBB233"/>
      <c r="SBC233"/>
      <c r="SBD233"/>
      <c r="SBE233"/>
      <c r="SBF233"/>
      <c r="SBG233"/>
      <c r="SBH233"/>
      <c r="SBI233"/>
      <c r="SBJ233"/>
      <c r="SBK233"/>
      <c r="SBL233"/>
      <c r="SBM233"/>
      <c r="SBN233"/>
      <c r="SBO233"/>
      <c r="SBP233"/>
      <c r="SBQ233"/>
      <c r="SBR233"/>
      <c r="SBS233"/>
      <c r="SBT233"/>
      <c r="SBU233"/>
      <c r="SBV233"/>
      <c r="SBW233"/>
      <c r="SBX233"/>
      <c r="SBY233"/>
      <c r="SBZ233"/>
      <c r="SCA233"/>
      <c r="SCB233"/>
      <c r="SCC233"/>
      <c r="SCD233"/>
      <c r="SCE233"/>
      <c r="SCF233"/>
      <c r="SCG233"/>
      <c r="SCH233"/>
      <c r="SCI233"/>
      <c r="SCJ233"/>
      <c r="SCK233"/>
      <c r="SCL233"/>
      <c r="SCM233"/>
      <c r="SCN233"/>
      <c r="SCO233"/>
      <c r="SCP233"/>
      <c r="SCQ233"/>
      <c r="SCR233"/>
      <c r="SCS233"/>
      <c r="SCT233"/>
      <c r="SCU233"/>
      <c r="SCV233"/>
      <c r="SCW233"/>
      <c r="SCX233"/>
      <c r="SCY233"/>
      <c r="SCZ233"/>
      <c r="SDA233"/>
      <c r="SDB233"/>
      <c r="SDC233"/>
      <c r="SDD233"/>
      <c r="SDE233"/>
      <c r="SDF233"/>
      <c r="SDG233"/>
      <c r="SDH233"/>
      <c r="SDI233"/>
      <c r="SDJ233"/>
      <c r="SDK233"/>
      <c r="SDL233"/>
      <c r="SDM233"/>
      <c r="SDN233"/>
      <c r="SDO233"/>
      <c r="SDP233"/>
      <c r="SDQ233"/>
      <c r="SDR233"/>
      <c r="SDS233"/>
      <c r="SDT233"/>
      <c r="SDU233"/>
      <c r="SDV233"/>
      <c r="SDW233"/>
      <c r="SDX233"/>
      <c r="SDY233"/>
      <c r="SDZ233"/>
      <c r="SEA233"/>
      <c r="SEB233"/>
      <c r="SEC233"/>
      <c r="SED233"/>
      <c r="SEE233"/>
      <c r="SEF233"/>
      <c r="SEG233"/>
      <c r="SEH233"/>
      <c r="SEI233"/>
      <c r="SEJ233"/>
      <c r="SEK233"/>
      <c r="SEL233"/>
      <c r="SEM233"/>
      <c r="SEN233"/>
      <c r="SEO233"/>
      <c r="SEP233"/>
      <c r="SEQ233"/>
      <c r="SER233"/>
      <c r="SES233"/>
      <c r="SET233"/>
      <c r="SEU233"/>
      <c r="SEV233"/>
      <c r="SEW233"/>
      <c r="SEX233"/>
      <c r="SEY233"/>
      <c r="SEZ233"/>
      <c r="SFA233"/>
      <c r="SFB233"/>
      <c r="SFC233"/>
      <c r="SFD233"/>
      <c r="SFE233"/>
      <c r="SFF233"/>
      <c r="SFG233"/>
      <c r="SFH233"/>
      <c r="SFI233"/>
      <c r="SFJ233"/>
      <c r="SFK233"/>
      <c r="SFL233"/>
      <c r="SFM233"/>
      <c r="SFN233"/>
      <c r="SFO233"/>
      <c r="SFP233"/>
      <c r="SFQ233"/>
      <c r="SFR233"/>
      <c r="SFS233"/>
      <c r="SFT233"/>
      <c r="SFU233"/>
      <c r="SFV233"/>
      <c r="SFW233"/>
      <c r="SFX233"/>
      <c r="SFY233"/>
      <c r="SFZ233"/>
      <c r="SGA233"/>
      <c r="SGB233"/>
      <c r="SGC233"/>
      <c r="SGD233"/>
      <c r="SGE233"/>
      <c r="SGF233"/>
      <c r="SGG233"/>
      <c r="SGH233"/>
      <c r="SGI233"/>
      <c r="SGJ233"/>
      <c r="SGK233"/>
      <c r="SGL233"/>
      <c r="SGM233"/>
      <c r="SGN233"/>
      <c r="SGO233"/>
      <c r="SGP233"/>
      <c r="SGQ233"/>
      <c r="SGR233"/>
      <c r="SGS233"/>
      <c r="SGT233"/>
      <c r="SGU233"/>
      <c r="SGV233"/>
      <c r="SGW233"/>
      <c r="SGX233"/>
      <c r="SGY233"/>
      <c r="SGZ233"/>
      <c r="SHA233"/>
      <c r="SHB233"/>
      <c r="SHC233"/>
      <c r="SHD233"/>
      <c r="SHE233"/>
      <c r="SHF233"/>
      <c r="SHG233"/>
      <c r="SHH233"/>
      <c r="SHI233"/>
      <c r="SHJ233"/>
      <c r="SHK233"/>
      <c r="SHL233"/>
      <c r="SHM233"/>
      <c r="SHN233"/>
      <c r="SHO233"/>
      <c r="SHP233"/>
      <c r="SHQ233"/>
      <c r="SHR233"/>
      <c r="SHS233"/>
      <c r="SHT233"/>
      <c r="SHU233"/>
      <c r="SHV233"/>
      <c r="SHW233"/>
      <c r="SHX233"/>
      <c r="SHY233"/>
      <c r="SHZ233"/>
      <c r="SIA233"/>
      <c r="SIB233"/>
      <c r="SIC233"/>
      <c r="SID233"/>
      <c r="SIE233"/>
      <c r="SIF233"/>
      <c r="SIG233"/>
      <c r="SIH233"/>
      <c r="SII233"/>
      <c r="SIJ233"/>
      <c r="SIK233"/>
      <c r="SIL233"/>
      <c r="SIM233"/>
      <c r="SIN233"/>
      <c r="SIO233"/>
      <c r="SIP233"/>
      <c r="SIQ233"/>
      <c r="SIR233"/>
      <c r="SIS233"/>
      <c r="SIT233"/>
      <c r="SIU233"/>
      <c r="SIV233"/>
      <c r="SIW233"/>
      <c r="SIX233"/>
      <c r="SIY233"/>
      <c r="SIZ233"/>
      <c r="SJA233"/>
      <c r="SJB233"/>
      <c r="SJC233"/>
      <c r="SJD233"/>
      <c r="SJE233"/>
      <c r="SJF233"/>
      <c r="SJG233"/>
      <c r="SJH233"/>
      <c r="SJI233"/>
      <c r="SJJ233"/>
      <c r="SJK233"/>
      <c r="SJL233"/>
      <c r="SJM233"/>
      <c r="SJN233"/>
      <c r="SJO233"/>
      <c r="SJP233"/>
      <c r="SJQ233"/>
      <c r="SJR233"/>
      <c r="SJS233"/>
      <c r="SJT233"/>
      <c r="SJU233"/>
      <c r="SJV233"/>
      <c r="SJW233"/>
      <c r="SJX233"/>
      <c r="SJY233"/>
      <c r="SJZ233"/>
      <c r="SKA233"/>
      <c r="SKB233"/>
      <c r="SKC233"/>
      <c r="SKD233"/>
      <c r="SKE233"/>
      <c r="SKF233"/>
      <c r="SKG233"/>
      <c r="SKH233"/>
      <c r="SKI233"/>
      <c r="SKJ233"/>
      <c r="SKK233"/>
      <c r="SKL233"/>
      <c r="SKM233"/>
      <c r="SKN233"/>
      <c r="SKO233"/>
      <c r="SKP233"/>
      <c r="SKQ233"/>
      <c r="SKR233"/>
      <c r="SKS233"/>
      <c r="SKT233"/>
      <c r="SKU233"/>
      <c r="SKV233"/>
      <c r="SKW233"/>
      <c r="SKX233"/>
      <c r="SKY233"/>
      <c r="SKZ233"/>
      <c r="SLA233"/>
      <c r="SLB233"/>
      <c r="SLC233"/>
      <c r="SLD233"/>
      <c r="SLE233"/>
      <c r="SLF233"/>
      <c r="SLG233"/>
      <c r="SLH233"/>
      <c r="SLI233"/>
      <c r="SLJ233"/>
      <c r="SLK233"/>
      <c r="SLL233"/>
      <c r="SLM233"/>
      <c r="SLN233"/>
      <c r="SLO233"/>
      <c r="SLP233"/>
      <c r="SLQ233"/>
      <c r="SLR233"/>
      <c r="SLS233"/>
      <c r="SLT233"/>
      <c r="SLU233"/>
      <c r="SLV233"/>
      <c r="SLW233"/>
      <c r="SLX233"/>
      <c r="SLY233"/>
      <c r="SLZ233"/>
      <c r="SMA233"/>
      <c r="SMB233"/>
      <c r="SMC233"/>
      <c r="SMD233"/>
      <c r="SME233"/>
      <c r="SMF233"/>
      <c r="SMG233"/>
      <c r="SMH233"/>
      <c r="SMI233"/>
      <c r="SMJ233"/>
      <c r="SMK233"/>
      <c r="SML233"/>
      <c r="SMM233"/>
      <c r="SMN233"/>
      <c r="SMO233"/>
      <c r="SMP233"/>
      <c r="SMQ233"/>
      <c r="SMR233"/>
      <c r="SMS233"/>
      <c r="SMT233"/>
      <c r="SMU233"/>
      <c r="SMV233"/>
      <c r="SMW233"/>
      <c r="SMX233"/>
      <c r="SMY233"/>
      <c r="SMZ233"/>
      <c r="SNA233"/>
      <c r="SNB233"/>
      <c r="SNC233"/>
      <c r="SND233"/>
      <c r="SNE233"/>
      <c r="SNF233"/>
      <c r="SNG233"/>
      <c r="SNH233"/>
      <c r="SNI233"/>
      <c r="SNJ233"/>
      <c r="SNK233"/>
      <c r="SNL233"/>
      <c r="SNM233"/>
      <c r="SNN233"/>
      <c r="SNO233"/>
      <c r="SNP233"/>
      <c r="SNQ233"/>
      <c r="SNR233"/>
      <c r="SNS233"/>
      <c r="SNT233"/>
      <c r="SNU233"/>
      <c r="SNV233"/>
      <c r="SNW233"/>
      <c r="SNX233"/>
      <c r="SNY233"/>
      <c r="SNZ233"/>
      <c r="SOA233"/>
      <c r="SOB233"/>
      <c r="SOC233"/>
      <c r="SOD233"/>
      <c r="SOE233"/>
      <c r="SOF233"/>
      <c r="SOG233"/>
      <c r="SOH233"/>
      <c r="SOI233"/>
      <c r="SOJ233"/>
      <c r="SOK233"/>
      <c r="SOL233"/>
      <c r="SOM233"/>
      <c r="SON233"/>
      <c r="SOO233"/>
      <c r="SOP233"/>
      <c r="SOQ233"/>
      <c r="SOR233"/>
      <c r="SOS233"/>
      <c r="SOT233"/>
      <c r="SOU233"/>
      <c r="SOV233"/>
      <c r="SOW233"/>
      <c r="SOX233"/>
      <c r="SOY233"/>
      <c r="SOZ233"/>
      <c r="SPA233"/>
      <c r="SPB233"/>
      <c r="SPC233"/>
      <c r="SPD233"/>
      <c r="SPE233"/>
      <c r="SPF233"/>
      <c r="SPG233"/>
      <c r="SPH233"/>
      <c r="SPI233"/>
      <c r="SPJ233"/>
      <c r="SPK233"/>
      <c r="SPL233"/>
      <c r="SPM233"/>
      <c r="SPN233"/>
      <c r="SPO233"/>
      <c r="SPP233"/>
      <c r="SPQ233"/>
      <c r="SPR233"/>
      <c r="SPS233"/>
      <c r="SPT233"/>
      <c r="SPU233"/>
      <c r="SPV233"/>
      <c r="SPW233"/>
      <c r="SPX233"/>
      <c r="SPY233"/>
      <c r="SPZ233"/>
      <c r="SQA233"/>
      <c r="SQB233"/>
      <c r="SQC233"/>
      <c r="SQD233"/>
      <c r="SQE233"/>
      <c r="SQF233"/>
      <c r="SQG233"/>
      <c r="SQH233"/>
      <c r="SQI233"/>
      <c r="SQJ233"/>
      <c r="SQK233"/>
      <c r="SQL233"/>
      <c r="SQM233"/>
      <c r="SQN233"/>
      <c r="SQO233"/>
      <c r="SQP233"/>
      <c r="SQQ233"/>
      <c r="SQR233"/>
      <c r="SQS233"/>
      <c r="SQT233"/>
      <c r="SQU233"/>
      <c r="SQV233"/>
      <c r="SQW233"/>
      <c r="SQX233"/>
      <c r="SQY233"/>
      <c r="SQZ233"/>
      <c r="SRA233"/>
      <c r="SRB233"/>
      <c r="SRC233"/>
      <c r="SRD233"/>
      <c r="SRE233"/>
      <c r="SRF233"/>
      <c r="SRG233"/>
      <c r="SRH233"/>
      <c r="SRI233"/>
      <c r="SRJ233"/>
      <c r="SRK233"/>
      <c r="SRL233"/>
      <c r="SRM233"/>
      <c r="SRN233"/>
      <c r="SRO233"/>
      <c r="SRP233"/>
      <c r="SRQ233"/>
      <c r="SRR233"/>
      <c r="SRS233"/>
      <c r="SRT233"/>
      <c r="SRU233"/>
      <c r="SRV233"/>
      <c r="SRW233"/>
      <c r="SRX233"/>
      <c r="SRY233"/>
      <c r="SRZ233"/>
      <c r="SSA233"/>
      <c r="SSB233"/>
      <c r="SSC233"/>
      <c r="SSD233"/>
      <c r="SSE233"/>
      <c r="SSF233"/>
      <c r="SSG233"/>
      <c r="SSH233"/>
      <c r="SSI233"/>
      <c r="SSJ233"/>
      <c r="SSK233"/>
      <c r="SSL233"/>
      <c r="SSM233"/>
      <c r="SSN233"/>
      <c r="SSO233"/>
      <c r="SSP233"/>
      <c r="SSQ233"/>
      <c r="SSR233"/>
      <c r="SSS233"/>
      <c r="SST233"/>
      <c r="SSU233"/>
      <c r="SSV233"/>
      <c r="SSW233"/>
      <c r="SSX233"/>
      <c r="SSY233"/>
      <c r="SSZ233"/>
      <c r="STA233"/>
      <c r="STB233"/>
      <c r="STC233"/>
      <c r="STD233"/>
      <c r="STE233"/>
      <c r="STF233"/>
      <c r="STG233"/>
      <c r="STH233"/>
      <c r="STI233"/>
      <c r="STJ233"/>
      <c r="STK233"/>
      <c r="STL233"/>
      <c r="STM233"/>
      <c r="STN233"/>
      <c r="STO233"/>
      <c r="STP233"/>
      <c r="STQ233"/>
      <c r="STR233"/>
      <c r="STS233"/>
      <c r="STT233"/>
      <c r="STU233"/>
      <c r="STV233"/>
      <c r="STW233"/>
      <c r="STX233"/>
      <c r="STY233"/>
      <c r="STZ233"/>
      <c r="SUA233"/>
      <c r="SUB233"/>
      <c r="SUC233"/>
      <c r="SUD233"/>
      <c r="SUE233"/>
      <c r="SUF233"/>
      <c r="SUG233"/>
      <c r="SUH233"/>
      <c r="SUI233"/>
      <c r="SUJ233"/>
      <c r="SUK233"/>
      <c r="SUL233"/>
      <c r="SUM233"/>
      <c r="SUN233"/>
      <c r="SUO233"/>
      <c r="SUP233"/>
      <c r="SUQ233"/>
      <c r="SUR233"/>
      <c r="SUS233"/>
      <c r="SUT233"/>
      <c r="SUU233"/>
      <c r="SUV233"/>
      <c r="SUW233"/>
      <c r="SUX233"/>
      <c r="SUY233"/>
      <c r="SUZ233"/>
      <c r="SVA233"/>
      <c r="SVB233"/>
      <c r="SVC233"/>
      <c r="SVD233"/>
      <c r="SVE233"/>
      <c r="SVF233"/>
      <c r="SVG233"/>
      <c r="SVH233"/>
      <c r="SVI233"/>
      <c r="SVJ233"/>
      <c r="SVK233"/>
      <c r="SVL233"/>
      <c r="SVM233"/>
      <c r="SVN233"/>
      <c r="SVO233"/>
      <c r="SVP233"/>
      <c r="SVQ233"/>
      <c r="SVR233"/>
      <c r="SVS233"/>
      <c r="SVT233"/>
      <c r="SVU233"/>
      <c r="SVV233"/>
      <c r="SVW233"/>
      <c r="SVX233"/>
      <c r="SVY233"/>
      <c r="SVZ233"/>
      <c r="SWA233"/>
      <c r="SWB233"/>
      <c r="SWC233"/>
      <c r="SWD233"/>
      <c r="SWE233"/>
      <c r="SWF233"/>
      <c r="SWG233"/>
      <c r="SWH233"/>
      <c r="SWI233"/>
      <c r="SWJ233"/>
      <c r="SWK233"/>
      <c r="SWL233"/>
      <c r="SWM233"/>
      <c r="SWN233"/>
      <c r="SWO233"/>
      <c r="SWP233"/>
      <c r="SWQ233"/>
      <c r="SWR233"/>
      <c r="SWS233"/>
      <c r="SWT233"/>
      <c r="SWU233"/>
      <c r="SWV233"/>
      <c r="SWW233"/>
      <c r="SWX233"/>
      <c r="SWY233"/>
      <c r="SWZ233"/>
      <c r="SXA233"/>
      <c r="SXB233"/>
      <c r="SXC233"/>
      <c r="SXD233"/>
      <c r="SXE233"/>
      <c r="SXF233"/>
      <c r="SXG233"/>
      <c r="SXH233"/>
      <c r="SXI233"/>
      <c r="SXJ233"/>
      <c r="SXK233"/>
      <c r="SXL233"/>
      <c r="SXM233"/>
      <c r="SXN233"/>
      <c r="SXO233"/>
      <c r="SXP233"/>
      <c r="SXQ233"/>
      <c r="SXR233"/>
      <c r="SXS233"/>
      <c r="SXT233"/>
      <c r="SXU233"/>
      <c r="SXV233"/>
      <c r="SXW233"/>
      <c r="SXX233"/>
      <c r="SXY233"/>
      <c r="SXZ233"/>
      <c r="SYA233"/>
      <c r="SYB233"/>
      <c r="SYC233"/>
      <c r="SYD233"/>
      <c r="SYE233"/>
      <c r="SYF233"/>
      <c r="SYG233"/>
      <c r="SYH233"/>
      <c r="SYI233"/>
      <c r="SYJ233"/>
      <c r="SYK233"/>
      <c r="SYL233"/>
      <c r="SYM233"/>
      <c r="SYN233"/>
      <c r="SYO233"/>
      <c r="SYP233"/>
      <c r="SYQ233"/>
      <c r="SYR233"/>
      <c r="SYS233"/>
      <c r="SYT233"/>
      <c r="SYU233"/>
      <c r="SYV233"/>
      <c r="SYW233"/>
      <c r="SYX233"/>
      <c r="SYY233"/>
      <c r="SYZ233"/>
      <c r="SZA233"/>
      <c r="SZB233"/>
      <c r="SZC233"/>
      <c r="SZD233"/>
      <c r="SZE233"/>
      <c r="SZF233"/>
      <c r="SZG233"/>
      <c r="SZH233"/>
      <c r="SZI233"/>
      <c r="SZJ233"/>
      <c r="SZK233"/>
      <c r="SZL233"/>
      <c r="SZM233"/>
      <c r="SZN233"/>
      <c r="SZO233"/>
      <c r="SZP233"/>
      <c r="SZQ233"/>
      <c r="SZR233"/>
      <c r="SZS233"/>
      <c r="SZT233"/>
      <c r="SZU233"/>
      <c r="SZV233"/>
      <c r="SZW233"/>
      <c r="SZX233"/>
      <c r="SZY233"/>
      <c r="SZZ233"/>
      <c r="TAA233"/>
      <c r="TAB233"/>
      <c r="TAC233"/>
      <c r="TAD233"/>
      <c r="TAE233"/>
      <c r="TAF233"/>
      <c r="TAG233"/>
      <c r="TAH233"/>
      <c r="TAI233"/>
      <c r="TAJ233"/>
      <c r="TAK233"/>
      <c r="TAL233"/>
      <c r="TAM233"/>
      <c r="TAN233"/>
      <c r="TAO233"/>
      <c r="TAP233"/>
      <c r="TAQ233"/>
      <c r="TAR233"/>
      <c r="TAS233"/>
      <c r="TAT233"/>
      <c r="TAU233"/>
      <c r="TAV233"/>
      <c r="TAW233"/>
      <c r="TAX233"/>
      <c r="TAY233"/>
      <c r="TAZ233"/>
      <c r="TBA233"/>
      <c r="TBB233"/>
      <c r="TBC233"/>
      <c r="TBD233"/>
      <c r="TBE233"/>
      <c r="TBF233"/>
      <c r="TBG233"/>
      <c r="TBH233"/>
      <c r="TBI233"/>
      <c r="TBJ233"/>
      <c r="TBK233"/>
      <c r="TBL233"/>
      <c r="TBM233"/>
      <c r="TBN233"/>
      <c r="TBO233"/>
      <c r="TBP233"/>
      <c r="TBQ233"/>
      <c r="TBR233"/>
      <c r="TBS233"/>
      <c r="TBT233"/>
      <c r="TBU233"/>
      <c r="TBV233"/>
      <c r="TBW233"/>
      <c r="TBX233"/>
      <c r="TBY233"/>
      <c r="TBZ233"/>
      <c r="TCA233"/>
      <c r="TCB233"/>
      <c r="TCC233"/>
      <c r="TCD233"/>
      <c r="TCE233"/>
      <c r="TCF233"/>
      <c r="TCG233"/>
      <c r="TCH233"/>
      <c r="TCI233"/>
      <c r="TCJ233"/>
      <c r="TCK233"/>
      <c r="TCL233"/>
      <c r="TCM233"/>
      <c r="TCN233"/>
      <c r="TCO233"/>
      <c r="TCP233"/>
      <c r="TCQ233"/>
      <c r="TCR233"/>
      <c r="TCS233"/>
      <c r="TCT233"/>
      <c r="TCU233"/>
      <c r="TCV233"/>
      <c r="TCW233"/>
      <c r="TCX233"/>
      <c r="TCY233"/>
      <c r="TCZ233"/>
      <c r="TDA233"/>
      <c r="TDB233"/>
      <c r="TDC233"/>
      <c r="TDD233"/>
      <c r="TDE233"/>
      <c r="TDF233"/>
      <c r="TDG233"/>
      <c r="TDH233"/>
      <c r="TDI233"/>
      <c r="TDJ233"/>
      <c r="TDK233"/>
      <c r="TDL233"/>
      <c r="TDM233"/>
      <c r="TDN233"/>
      <c r="TDO233"/>
      <c r="TDP233"/>
      <c r="TDQ233"/>
      <c r="TDR233"/>
      <c r="TDS233"/>
      <c r="TDT233"/>
      <c r="TDU233"/>
      <c r="TDV233"/>
      <c r="TDW233"/>
      <c r="TDX233"/>
      <c r="TDY233"/>
      <c r="TDZ233"/>
      <c r="TEA233"/>
      <c r="TEB233"/>
      <c r="TEC233"/>
      <c r="TED233"/>
      <c r="TEE233"/>
      <c r="TEF233"/>
      <c r="TEG233"/>
      <c r="TEH233"/>
      <c r="TEI233"/>
      <c r="TEJ233"/>
      <c r="TEK233"/>
      <c r="TEL233"/>
      <c r="TEM233"/>
      <c r="TEN233"/>
      <c r="TEO233"/>
      <c r="TEP233"/>
      <c r="TEQ233"/>
      <c r="TER233"/>
      <c r="TES233"/>
      <c r="TET233"/>
      <c r="TEU233"/>
      <c r="TEV233"/>
      <c r="TEW233"/>
      <c r="TEX233"/>
      <c r="TEY233"/>
      <c r="TEZ233"/>
      <c r="TFA233"/>
      <c r="TFB233"/>
      <c r="TFC233"/>
      <c r="TFD233"/>
      <c r="TFE233"/>
      <c r="TFF233"/>
      <c r="TFG233"/>
      <c r="TFH233"/>
      <c r="TFI233"/>
      <c r="TFJ233"/>
      <c r="TFK233"/>
      <c r="TFL233"/>
      <c r="TFM233"/>
      <c r="TFN233"/>
      <c r="TFO233"/>
      <c r="TFP233"/>
      <c r="TFQ233"/>
      <c r="TFR233"/>
      <c r="TFS233"/>
      <c r="TFT233"/>
      <c r="TFU233"/>
      <c r="TFV233"/>
      <c r="TFW233"/>
      <c r="TFX233"/>
      <c r="TFY233"/>
      <c r="TFZ233"/>
      <c r="TGA233"/>
      <c r="TGB233"/>
      <c r="TGC233"/>
      <c r="TGD233"/>
      <c r="TGE233"/>
      <c r="TGF233"/>
      <c r="TGG233"/>
      <c r="TGH233"/>
      <c r="TGI233"/>
      <c r="TGJ233"/>
      <c r="TGK233"/>
      <c r="TGL233"/>
      <c r="TGM233"/>
      <c r="TGN233"/>
      <c r="TGO233"/>
      <c r="TGP233"/>
      <c r="TGQ233"/>
      <c r="TGR233"/>
      <c r="TGS233"/>
      <c r="TGT233"/>
      <c r="TGU233"/>
      <c r="TGV233"/>
      <c r="TGW233"/>
      <c r="TGX233"/>
      <c r="TGY233"/>
      <c r="TGZ233"/>
      <c r="THA233"/>
      <c r="THB233"/>
      <c r="THC233"/>
      <c r="THD233"/>
      <c r="THE233"/>
      <c r="THF233"/>
      <c r="THG233"/>
      <c r="THH233"/>
      <c r="THI233"/>
      <c r="THJ233"/>
      <c r="THK233"/>
      <c r="THL233"/>
      <c r="THM233"/>
      <c r="THN233"/>
      <c r="THO233"/>
      <c r="THP233"/>
      <c r="THQ233"/>
      <c r="THR233"/>
      <c r="THS233"/>
      <c r="THT233"/>
      <c r="THU233"/>
      <c r="THV233"/>
      <c r="THW233"/>
      <c r="THX233"/>
      <c r="THY233"/>
      <c r="THZ233"/>
      <c r="TIA233"/>
      <c r="TIB233"/>
      <c r="TIC233"/>
      <c r="TID233"/>
      <c r="TIE233"/>
      <c r="TIF233"/>
      <c r="TIG233"/>
      <c r="TIH233"/>
      <c r="TII233"/>
      <c r="TIJ233"/>
      <c r="TIK233"/>
      <c r="TIL233"/>
      <c r="TIM233"/>
      <c r="TIN233"/>
      <c r="TIO233"/>
      <c r="TIP233"/>
      <c r="TIQ233"/>
      <c r="TIR233"/>
      <c r="TIS233"/>
      <c r="TIT233"/>
      <c r="TIU233"/>
      <c r="TIV233"/>
      <c r="TIW233"/>
      <c r="TIX233"/>
      <c r="TIY233"/>
      <c r="TIZ233"/>
      <c r="TJA233"/>
      <c r="TJB233"/>
      <c r="TJC233"/>
      <c r="TJD233"/>
      <c r="TJE233"/>
      <c r="TJF233"/>
      <c r="TJG233"/>
      <c r="TJH233"/>
      <c r="TJI233"/>
      <c r="TJJ233"/>
      <c r="TJK233"/>
      <c r="TJL233"/>
      <c r="TJM233"/>
      <c r="TJN233"/>
      <c r="TJO233"/>
      <c r="TJP233"/>
      <c r="TJQ233"/>
      <c r="TJR233"/>
      <c r="TJS233"/>
      <c r="TJT233"/>
      <c r="TJU233"/>
      <c r="TJV233"/>
      <c r="TJW233"/>
      <c r="TJX233"/>
      <c r="TJY233"/>
      <c r="TJZ233"/>
      <c r="TKA233"/>
      <c r="TKB233"/>
      <c r="TKC233"/>
      <c r="TKD233"/>
      <c r="TKE233"/>
      <c r="TKF233"/>
      <c r="TKG233"/>
      <c r="TKH233"/>
      <c r="TKI233"/>
      <c r="TKJ233"/>
      <c r="TKK233"/>
      <c r="TKL233"/>
      <c r="TKM233"/>
      <c r="TKN233"/>
      <c r="TKO233"/>
      <c r="TKP233"/>
      <c r="TKQ233"/>
      <c r="TKR233"/>
      <c r="TKS233"/>
      <c r="TKT233"/>
      <c r="TKU233"/>
      <c r="TKV233"/>
      <c r="TKW233"/>
      <c r="TKX233"/>
      <c r="TKY233"/>
      <c r="TKZ233"/>
      <c r="TLA233"/>
      <c r="TLB233"/>
      <c r="TLC233"/>
      <c r="TLD233"/>
      <c r="TLE233"/>
      <c r="TLF233"/>
      <c r="TLG233"/>
      <c r="TLH233"/>
      <c r="TLI233"/>
      <c r="TLJ233"/>
      <c r="TLK233"/>
      <c r="TLL233"/>
      <c r="TLM233"/>
      <c r="TLN233"/>
      <c r="TLO233"/>
      <c r="TLP233"/>
      <c r="TLQ233"/>
      <c r="TLR233"/>
      <c r="TLS233"/>
      <c r="TLT233"/>
      <c r="TLU233"/>
      <c r="TLV233"/>
      <c r="TLW233"/>
      <c r="TLX233"/>
      <c r="TLY233"/>
      <c r="TLZ233"/>
      <c r="TMA233"/>
      <c r="TMB233"/>
      <c r="TMC233"/>
      <c r="TMD233"/>
      <c r="TME233"/>
      <c r="TMF233"/>
      <c r="TMG233"/>
      <c r="TMH233"/>
      <c r="TMI233"/>
      <c r="TMJ233"/>
      <c r="TMK233"/>
      <c r="TML233"/>
      <c r="TMM233"/>
      <c r="TMN233"/>
      <c r="TMO233"/>
      <c r="TMP233"/>
      <c r="TMQ233"/>
      <c r="TMR233"/>
      <c r="TMS233"/>
      <c r="TMT233"/>
      <c r="TMU233"/>
      <c r="TMV233"/>
      <c r="TMW233"/>
      <c r="TMX233"/>
      <c r="TMY233"/>
      <c r="TMZ233"/>
      <c r="TNA233"/>
      <c r="TNB233"/>
      <c r="TNC233"/>
      <c r="TND233"/>
      <c r="TNE233"/>
      <c r="TNF233"/>
      <c r="TNG233"/>
      <c r="TNH233"/>
      <c r="TNI233"/>
      <c r="TNJ233"/>
      <c r="TNK233"/>
      <c r="TNL233"/>
      <c r="TNM233"/>
      <c r="TNN233"/>
      <c r="TNO233"/>
      <c r="TNP233"/>
      <c r="TNQ233"/>
      <c r="TNR233"/>
      <c r="TNS233"/>
      <c r="TNT233"/>
      <c r="TNU233"/>
      <c r="TNV233"/>
      <c r="TNW233"/>
      <c r="TNX233"/>
      <c r="TNY233"/>
      <c r="TNZ233"/>
      <c r="TOA233"/>
      <c r="TOB233"/>
      <c r="TOC233"/>
      <c r="TOD233"/>
      <c r="TOE233"/>
      <c r="TOF233"/>
      <c r="TOG233"/>
      <c r="TOH233"/>
      <c r="TOI233"/>
      <c r="TOJ233"/>
      <c r="TOK233"/>
      <c r="TOL233"/>
      <c r="TOM233"/>
      <c r="TON233"/>
      <c r="TOO233"/>
      <c r="TOP233"/>
      <c r="TOQ233"/>
      <c r="TOR233"/>
      <c r="TOS233"/>
      <c r="TOT233"/>
      <c r="TOU233"/>
      <c r="TOV233"/>
      <c r="TOW233"/>
      <c r="TOX233"/>
      <c r="TOY233"/>
      <c r="TOZ233"/>
      <c r="TPA233"/>
      <c r="TPB233"/>
      <c r="TPC233"/>
      <c r="TPD233"/>
      <c r="TPE233"/>
      <c r="TPF233"/>
      <c r="TPG233"/>
      <c r="TPH233"/>
      <c r="TPI233"/>
      <c r="TPJ233"/>
      <c r="TPK233"/>
      <c r="TPL233"/>
      <c r="TPM233"/>
      <c r="TPN233"/>
      <c r="TPO233"/>
      <c r="TPP233"/>
      <c r="TPQ233"/>
      <c r="TPR233"/>
      <c r="TPS233"/>
      <c r="TPT233"/>
      <c r="TPU233"/>
      <c r="TPV233"/>
      <c r="TPW233"/>
      <c r="TPX233"/>
      <c r="TPY233"/>
      <c r="TPZ233"/>
      <c r="TQA233"/>
      <c r="TQB233"/>
      <c r="TQC233"/>
      <c r="TQD233"/>
      <c r="TQE233"/>
      <c r="TQF233"/>
      <c r="TQG233"/>
      <c r="TQH233"/>
      <c r="TQI233"/>
      <c r="TQJ233"/>
      <c r="TQK233"/>
      <c r="TQL233"/>
      <c r="TQM233"/>
      <c r="TQN233"/>
      <c r="TQO233"/>
      <c r="TQP233"/>
      <c r="TQQ233"/>
      <c r="TQR233"/>
      <c r="TQS233"/>
      <c r="TQT233"/>
      <c r="TQU233"/>
      <c r="TQV233"/>
      <c r="TQW233"/>
      <c r="TQX233"/>
      <c r="TQY233"/>
      <c r="TQZ233"/>
      <c r="TRA233"/>
      <c r="TRB233"/>
      <c r="TRC233"/>
      <c r="TRD233"/>
      <c r="TRE233"/>
      <c r="TRF233"/>
      <c r="TRG233"/>
      <c r="TRH233"/>
      <c r="TRI233"/>
      <c r="TRJ233"/>
      <c r="TRK233"/>
      <c r="TRL233"/>
      <c r="TRM233"/>
      <c r="TRN233"/>
      <c r="TRO233"/>
      <c r="TRP233"/>
      <c r="TRQ233"/>
      <c r="TRR233"/>
      <c r="TRS233"/>
      <c r="TRT233"/>
      <c r="TRU233"/>
      <c r="TRV233"/>
      <c r="TRW233"/>
      <c r="TRX233"/>
      <c r="TRY233"/>
      <c r="TRZ233"/>
      <c r="TSA233"/>
      <c r="TSB233"/>
      <c r="TSC233"/>
      <c r="TSD233"/>
      <c r="TSE233"/>
      <c r="TSF233"/>
      <c r="TSG233"/>
      <c r="TSH233"/>
      <c r="TSI233"/>
      <c r="TSJ233"/>
      <c r="TSK233"/>
      <c r="TSL233"/>
      <c r="TSM233"/>
      <c r="TSN233"/>
      <c r="TSO233"/>
      <c r="TSP233"/>
      <c r="TSQ233"/>
      <c r="TSR233"/>
      <c r="TSS233"/>
      <c r="TST233"/>
      <c r="TSU233"/>
      <c r="TSV233"/>
      <c r="TSW233"/>
      <c r="TSX233"/>
      <c r="TSY233"/>
      <c r="TSZ233"/>
      <c r="TTA233"/>
      <c r="TTB233"/>
      <c r="TTC233"/>
      <c r="TTD233"/>
      <c r="TTE233"/>
      <c r="TTF233"/>
      <c r="TTG233"/>
      <c r="TTH233"/>
      <c r="TTI233"/>
      <c r="TTJ233"/>
      <c r="TTK233"/>
      <c r="TTL233"/>
      <c r="TTM233"/>
      <c r="TTN233"/>
      <c r="TTO233"/>
      <c r="TTP233"/>
      <c r="TTQ233"/>
      <c r="TTR233"/>
      <c r="TTS233"/>
      <c r="TTT233"/>
      <c r="TTU233"/>
      <c r="TTV233"/>
      <c r="TTW233"/>
      <c r="TTX233"/>
      <c r="TTY233"/>
      <c r="TTZ233"/>
      <c r="TUA233"/>
      <c r="TUB233"/>
      <c r="TUC233"/>
      <c r="TUD233"/>
      <c r="TUE233"/>
      <c r="TUF233"/>
      <c r="TUG233"/>
      <c r="TUH233"/>
      <c r="TUI233"/>
      <c r="TUJ233"/>
      <c r="TUK233"/>
      <c r="TUL233"/>
      <c r="TUM233"/>
      <c r="TUN233"/>
      <c r="TUO233"/>
      <c r="TUP233"/>
      <c r="TUQ233"/>
      <c r="TUR233"/>
      <c r="TUS233"/>
      <c r="TUT233"/>
      <c r="TUU233"/>
      <c r="TUV233"/>
      <c r="TUW233"/>
      <c r="TUX233"/>
      <c r="TUY233"/>
      <c r="TUZ233"/>
      <c r="TVA233"/>
      <c r="TVB233"/>
      <c r="TVC233"/>
      <c r="TVD233"/>
      <c r="TVE233"/>
      <c r="TVF233"/>
      <c r="TVG233"/>
      <c r="TVH233"/>
      <c r="TVI233"/>
      <c r="TVJ233"/>
      <c r="TVK233"/>
      <c r="TVL233"/>
      <c r="TVM233"/>
      <c r="TVN233"/>
      <c r="TVO233"/>
      <c r="TVP233"/>
      <c r="TVQ233"/>
      <c r="TVR233"/>
      <c r="TVS233"/>
      <c r="TVT233"/>
      <c r="TVU233"/>
      <c r="TVV233"/>
      <c r="TVW233"/>
      <c r="TVX233"/>
      <c r="TVY233"/>
      <c r="TVZ233"/>
      <c r="TWA233"/>
      <c r="TWB233"/>
      <c r="TWC233"/>
      <c r="TWD233"/>
      <c r="TWE233"/>
      <c r="TWF233"/>
      <c r="TWG233"/>
      <c r="TWH233"/>
      <c r="TWI233"/>
      <c r="TWJ233"/>
      <c r="TWK233"/>
      <c r="TWL233"/>
      <c r="TWM233"/>
      <c r="TWN233"/>
      <c r="TWO233"/>
      <c r="TWP233"/>
      <c r="TWQ233"/>
      <c r="TWR233"/>
      <c r="TWS233"/>
      <c r="TWT233"/>
      <c r="TWU233"/>
      <c r="TWV233"/>
      <c r="TWW233"/>
      <c r="TWX233"/>
      <c r="TWY233"/>
      <c r="TWZ233"/>
      <c r="TXA233"/>
      <c r="TXB233"/>
      <c r="TXC233"/>
      <c r="TXD233"/>
      <c r="TXE233"/>
      <c r="TXF233"/>
      <c r="TXG233"/>
      <c r="TXH233"/>
      <c r="TXI233"/>
      <c r="TXJ233"/>
      <c r="TXK233"/>
      <c r="TXL233"/>
      <c r="TXM233"/>
      <c r="TXN233"/>
      <c r="TXO233"/>
      <c r="TXP233"/>
      <c r="TXQ233"/>
      <c r="TXR233"/>
      <c r="TXS233"/>
      <c r="TXT233"/>
      <c r="TXU233"/>
      <c r="TXV233"/>
      <c r="TXW233"/>
      <c r="TXX233"/>
      <c r="TXY233"/>
      <c r="TXZ233"/>
      <c r="TYA233"/>
      <c r="TYB233"/>
      <c r="TYC233"/>
      <c r="TYD233"/>
      <c r="TYE233"/>
      <c r="TYF233"/>
      <c r="TYG233"/>
      <c r="TYH233"/>
      <c r="TYI233"/>
      <c r="TYJ233"/>
      <c r="TYK233"/>
      <c r="TYL233"/>
      <c r="TYM233"/>
      <c r="TYN233"/>
      <c r="TYO233"/>
      <c r="TYP233"/>
      <c r="TYQ233"/>
      <c r="TYR233"/>
      <c r="TYS233"/>
      <c r="TYT233"/>
      <c r="TYU233"/>
      <c r="TYV233"/>
      <c r="TYW233"/>
      <c r="TYX233"/>
      <c r="TYY233"/>
      <c r="TYZ233"/>
      <c r="TZA233"/>
      <c r="TZB233"/>
      <c r="TZC233"/>
      <c r="TZD233"/>
      <c r="TZE233"/>
      <c r="TZF233"/>
      <c r="TZG233"/>
      <c r="TZH233"/>
      <c r="TZI233"/>
      <c r="TZJ233"/>
      <c r="TZK233"/>
      <c r="TZL233"/>
      <c r="TZM233"/>
      <c r="TZN233"/>
      <c r="TZO233"/>
      <c r="TZP233"/>
      <c r="TZQ233"/>
      <c r="TZR233"/>
      <c r="TZS233"/>
      <c r="TZT233"/>
      <c r="TZU233"/>
      <c r="TZV233"/>
      <c r="TZW233"/>
      <c r="TZX233"/>
      <c r="TZY233"/>
      <c r="TZZ233"/>
      <c r="UAA233"/>
      <c r="UAB233"/>
      <c r="UAC233"/>
      <c r="UAD233"/>
      <c r="UAE233"/>
      <c r="UAF233"/>
      <c r="UAG233"/>
      <c r="UAH233"/>
      <c r="UAI233"/>
      <c r="UAJ233"/>
      <c r="UAK233"/>
      <c r="UAL233"/>
      <c r="UAM233"/>
      <c r="UAN233"/>
      <c r="UAO233"/>
      <c r="UAP233"/>
      <c r="UAQ233"/>
      <c r="UAR233"/>
      <c r="UAS233"/>
      <c r="UAT233"/>
      <c r="UAU233"/>
      <c r="UAV233"/>
      <c r="UAW233"/>
      <c r="UAX233"/>
      <c r="UAY233"/>
      <c r="UAZ233"/>
      <c r="UBA233"/>
      <c r="UBB233"/>
      <c r="UBC233"/>
      <c r="UBD233"/>
      <c r="UBE233"/>
      <c r="UBF233"/>
      <c r="UBG233"/>
      <c r="UBH233"/>
      <c r="UBI233"/>
      <c r="UBJ233"/>
      <c r="UBK233"/>
      <c r="UBL233"/>
      <c r="UBM233"/>
      <c r="UBN233"/>
      <c r="UBO233"/>
      <c r="UBP233"/>
      <c r="UBQ233"/>
      <c r="UBR233"/>
      <c r="UBS233"/>
      <c r="UBT233"/>
      <c r="UBU233"/>
      <c r="UBV233"/>
      <c r="UBW233"/>
      <c r="UBX233"/>
      <c r="UBY233"/>
      <c r="UBZ233"/>
      <c r="UCA233"/>
      <c r="UCB233"/>
      <c r="UCC233"/>
      <c r="UCD233"/>
      <c r="UCE233"/>
      <c r="UCF233"/>
      <c r="UCG233"/>
      <c r="UCH233"/>
      <c r="UCI233"/>
      <c r="UCJ233"/>
      <c r="UCK233"/>
      <c r="UCL233"/>
      <c r="UCM233"/>
      <c r="UCN233"/>
      <c r="UCO233"/>
      <c r="UCP233"/>
      <c r="UCQ233"/>
      <c r="UCR233"/>
      <c r="UCS233"/>
      <c r="UCT233"/>
      <c r="UCU233"/>
      <c r="UCV233"/>
      <c r="UCW233"/>
      <c r="UCX233"/>
      <c r="UCY233"/>
      <c r="UCZ233"/>
      <c r="UDA233"/>
      <c r="UDB233"/>
      <c r="UDC233"/>
      <c r="UDD233"/>
      <c r="UDE233"/>
      <c r="UDF233"/>
      <c r="UDG233"/>
      <c r="UDH233"/>
      <c r="UDI233"/>
      <c r="UDJ233"/>
      <c r="UDK233"/>
      <c r="UDL233"/>
      <c r="UDM233"/>
      <c r="UDN233"/>
      <c r="UDO233"/>
      <c r="UDP233"/>
      <c r="UDQ233"/>
      <c r="UDR233"/>
      <c r="UDS233"/>
      <c r="UDT233"/>
      <c r="UDU233"/>
      <c r="UDV233"/>
      <c r="UDW233"/>
      <c r="UDX233"/>
      <c r="UDY233"/>
      <c r="UDZ233"/>
      <c r="UEA233"/>
      <c r="UEB233"/>
      <c r="UEC233"/>
      <c r="UED233"/>
      <c r="UEE233"/>
      <c r="UEF233"/>
      <c r="UEG233"/>
      <c r="UEH233"/>
      <c r="UEI233"/>
      <c r="UEJ233"/>
      <c r="UEK233"/>
      <c r="UEL233"/>
      <c r="UEM233"/>
      <c r="UEN233"/>
      <c r="UEO233"/>
      <c r="UEP233"/>
      <c r="UEQ233"/>
      <c r="UER233"/>
      <c r="UES233"/>
      <c r="UET233"/>
      <c r="UEU233"/>
      <c r="UEV233"/>
      <c r="UEW233"/>
      <c r="UEX233"/>
      <c r="UEY233"/>
      <c r="UEZ233"/>
      <c r="UFA233"/>
      <c r="UFB233"/>
      <c r="UFC233"/>
      <c r="UFD233"/>
      <c r="UFE233"/>
      <c r="UFF233"/>
      <c r="UFG233"/>
      <c r="UFH233"/>
      <c r="UFI233"/>
      <c r="UFJ233"/>
      <c r="UFK233"/>
      <c r="UFL233"/>
      <c r="UFM233"/>
      <c r="UFN233"/>
      <c r="UFO233"/>
      <c r="UFP233"/>
      <c r="UFQ233"/>
      <c r="UFR233"/>
      <c r="UFS233"/>
      <c r="UFT233"/>
      <c r="UFU233"/>
      <c r="UFV233"/>
      <c r="UFW233"/>
      <c r="UFX233"/>
      <c r="UFY233"/>
      <c r="UFZ233"/>
      <c r="UGA233"/>
      <c r="UGB233"/>
      <c r="UGC233"/>
      <c r="UGD233"/>
      <c r="UGE233"/>
      <c r="UGF233"/>
      <c r="UGG233"/>
      <c r="UGH233"/>
      <c r="UGI233"/>
      <c r="UGJ233"/>
      <c r="UGK233"/>
      <c r="UGL233"/>
      <c r="UGM233"/>
      <c r="UGN233"/>
      <c r="UGO233"/>
      <c r="UGP233"/>
      <c r="UGQ233"/>
      <c r="UGR233"/>
      <c r="UGS233"/>
      <c r="UGT233"/>
      <c r="UGU233"/>
      <c r="UGV233"/>
      <c r="UGW233"/>
      <c r="UGX233"/>
      <c r="UGY233"/>
      <c r="UGZ233"/>
      <c r="UHA233"/>
      <c r="UHB233"/>
      <c r="UHC233"/>
      <c r="UHD233"/>
      <c r="UHE233"/>
      <c r="UHF233"/>
      <c r="UHG233"/>
      <c r="UHH233"/>
      <c r="UHI233"/>
      <c r="UHJ233"/>
      <c r="UHK233"/>
      <c r="UHL233"/>
      <c r="UHM233"/>
      <c r="UHN233"/>
      <c r="UHO233"/>
      <c r="UHP233"/>
      <c r="UHQ233"/>
      <c r="UHR233"/>
      <c r="UHS233"/>
      <c r="UHT233"/>
      <c r="UHU233"/>
      <c r="UHV233"/>
      <c r="UHW233"/>
      <c r="UHX233"/>
      <c r="UHY233"/>
      <c r="UHZ233"/>
      <c r="UIA233"/>
      <c r="UIB233"/>
      <c r="UIC233"/>
      <c r="UID233"/>
      <c r="UIE233"/>
      <c r="UIF233"/>
      <c r="UIG233"/>
      <c r="UIH233"/>
      <c r="UII233"/>
      <c r="UIJ233"/>
      <c r="UIK233"/>
      <c r="UIL233"/>
      <c r="UIM233"/>
      <c r="UIN233"/>
      <c r="UIO233"/>
      <c r="UIP233"/>
      <c r="UIQ233"/>
      <c r="UIR233"/>
      <c r="UIS233"/>
      <c r="UIT233"/>
      <c r="UIU233"/>
      <c r="UIV233"/>
      <c r="UIW233"/>
      <c r="UIX233"/>
      <c r="UIY233"/>
      <c r="UIZ233"/>
      <c r="UJA233"/>
      <c r="UJB233"/>
      <c r="UJC233"/>
      <c r="UJD233"/>
      <c r="UJE233"/>
      <c r="UJF233"/>
      <c r="UJG233"/>
      <c r="UJH233"/>
      <c r="UJI233"/>
      <c r="UJJ233"/>
      <c r="UJK233"/>
      <c r="UJL233"/>
      <c r="UJM233"/>
      <c r="UJN233"/>
      <c r="UJO233"/>
      <c r="UJP233"/>
      <c r="UJQ233"/>
      <c r="UJR233"/>
      <c r="UJS233"/>
      <c r="UJT233"/>
      <c r="UJU233"/>
      <c r="UJV233"/>
      <c r="UJW233"/>
      <c r="UJX233"/>
      <c r="UJY233"/>
      <c r="UJZ233"/>
      <c r="UKA233"/>
      <c r="UKB233"/>
      <c r="UKC233"/>
      <c r="UKD233"/>
      <c r="UKE233"/>
      <c r="UKF233"/>
      <c r="UKG233"/>
      <c r="UKH233"/>
      <c r="UKI233"/>
      <c r="UKJ233"/>
      <c r="UKK233"/>
      <c r="UKL233"/>
      <c r="UKM233"/>
      <c r="UKN233"/>
      <c r="UKO233"/>
      <c r="UKP233"/>
      <c r="UKQ233"/>
      <c r="UKR233"/>
      <c r="UKS233"/>
      <c r="UKT233"/>
      <c r="UKU233"/>
      <c r="UKV233"/>
      <c r="UKW233"/>
      <c r="UKX233"/>
      <c r="UKY233"/>
      <c r="UKZ233"/>
      <c r="ULA233"/>
      <c r="ULB233"/>
      <c r="ULC233"/>
      <c r="ULD233"/>
      <c r="ULE233"/>
      <c r="ULF233"/>
      <c r="ULG233"/>
      <c r="ULH233"/>
      <c r="ULI233"/>
      <c r="ULJ233"/>
      <c r="ULK233"/>
      <c r="ULL233"/>
      <c r="ULM233"/>
      <c r="ULN233"/>
      <c r="ULO233"/>
      <c r="ULP233"/>
      <c r="ULQ233"/>
      <c r="ULR233"/>
      <c r="ULS233"/>
      <c r="ULT233"/>
      <c r="ULU233"/>
      <c r="ULV233"/>
      <c r="ULW233"/>
      <c r="ULX233"/>
      <c r="ULY233"/>
      <c r="ULZ233"/>
      <c r="UMA233"/>
      <c r="UMB233"/>
      <c r="UMC233"/>
      <c r="UMD233"/>
      <c r="UME233"/>
      <c r="UMF233"/>
      <c r="UMG233"/>
      <c r="UMH233"/>
      <c r="UMI233"/>
      <c r="UMJ233"/>
      <c r="UMK233"/>
      <c r="UML233"/>
      <c r="UMM233"/>
      <c r="UMN233"/>
      <c r="UMO233"/>
      <c r="UMP233"/>
      <c r="UMQ233"/>
      <c r="UMR233"/>
      <c r="UMS233"/>
      <c r="UMT233"/>
      <c r="UMU233"/>
      <c r="UMV233"/>
      <c r="UMW233"/>
      <c r="UMX233"/>
      <c r="UMY233"/>
      <c r="UMZ233"/>
      <c r="UNA233"/>
      <c r="UNB233"/>
      <c r="UNC233"/>
      <c r="UND233"/>
      <c r="UNE233"/>
      <c r="UNF233"/>
      <c r="UNG233"/>
      <c r="UNH233"/>
      <c r="UNI233"/>
      <c r="UNJ233"/>
      <c r="UNK233"/>
      <c r="UNL233"/>
      <c r="UNM233"/>
      <c r="UNN233"/>
      <c r="UNO233"/>
      <c r="UNP233"/>
      <c r="UNQ233"/>
      <c r="UNR233"/>
      <c r="UNS233"/>
      <c r="UNT233"/>
      <c r="UNU233"/>
      <c r="UNV233"/>
      <c r="UNW233"/>
      <c r="UNX233"/>
      <c r="UNY233"/>
      <c r="UNZ233"/>
      <c r="UOA233"/>
      <c r="UOB233"/>
      <c r="UOC233"/>
      <c r="UOD233"/>
      <c r="UOE233"/>
      <c r="UOF233"/>
      <c r="UOG233"/>
      <c r="UOH233"/>
      <c r="UOI233"/>
      <c r="UOJ233"/>
      <c r="UOK233"/>
      <c r="UOL233"/>
      <c r="UOM233"/>
      <c r="UON233"/>
      <c r="UOO233"/>
      <c r="UOP233"/>
      <c r="UOQ233"/>
      <c r="UOR233"/>
      <c r="UOS233"/>
      <c r="UOT233"/>
      <c r="UOU233"/>
      <c r="UOV233"/>
      <c r="UOW233"/>
      <c r="UOX233"/>
      <c r="UOY233"/>
      <c r="UOZ233"/>
      <c r="UPA233"/>
      <c r="UPB233"/>
      <c r="UPC233"/>
      <c r="UPD233"/>
      <c r="UPE233"/>
      <c r="UPF233"/>
      <c r="UPG233"/>
      <c r="UPH233"/>
      <c r="UPI233"/>
      <c r="UPJ233"/>
      <c r="UPK233"/>
      <c r="UPL233"/>
      <c r="UPM233"/>
      <c r="UPN233"/>
      <c r="UPO233"/>
      <c r="UPP233"/>
      <c r="UPQ233"/>
      <c r="UPR233"/>
      <c r="UPS233"/>
      <c r="UPT233"/>
      <c r="UPU233"/>
      <c r="UPV233"/>
      <c r="UPW233"/>
      <c r="UPX233"/>
      <c r="UPY233"/>
      <c r="UPZ233"/>
      <c r="UQA233"/>
      <c r="UQB233"/>
      <c r="UQC233"/>
      <c r="UQD233"/>
      <c r="UQE233"/>
      <c r="UQF233"/>
      <c r="UQG233"/>
      <c r="UQH233"/>
      <c r="UQI233"/>
      <c r="UQJ233"/>
      <c r="UQK233"/>
      <c r="UQL233"/>
      <c r="UQM233"/>
      <c r="UQN233"/>
      <c r="UQO233"/>
      <c r="UQP233"/>
      <c r="UQQ233"/>
      <c r="UQR233"/>
      <c r="UQS233"/>
      <c r="UQT233"/>
      <c r="UQU233"/>
      <c r="UQV233"/>
      <c r="UQW233"/>
      <c r="UQX233"/>
      <c r="UQY233"/>
      <c r="UQZ233"/>
      <c r="URA233"/>
      <c r="URB233"/>
      <c r="URC233"/>
      <c r="URD233"/>
      <c r="URE233"/>
      <c r="URF233"/>
      <c r="URG233"/>
      <c r="URH233"/>
      <c r="URI233"/>
      <c r="URJ233"/>
      <c r="URK233"/>
      <c r="URL233"/>
      <c r="URM233"/>
      <c r="URN233"/>
      <c r="URO233"/>
      <c r="URP233"/>
      <c r="URQ233"/>
      <c r="URR233"/>
      <c r="URS233"/>
      <c r="URT233"/>
      <c r="URU233"/>
      <c r="URV233"/>
      <c r="URW233"/>
      <c r="URX233"/>
      <c r="URY233"/>
      <c r="URZ233"/>
      <c r="USA233"/>
      <c r="USB233"/>
      <c r="USC233"/>
      <c r="USD233"/>
      <c r="USE233"/>
      <c r="USF233"/>
      <c r="USG233"/>
      <c r="USH233"/>
      <c r="USI233"/>
      <c r="USJ233"/>
      <c r="USK233"/>
      <c r="USL233"/>
      <c r="USM233"/>
      <c r="USN233"/>
      <c r="USO233"/>
      <c r="USP233"/>
      <c r="USQ233"/>
      <c r="USR233"/>
      <c r="USS233"/>
      <c r="UST233"/>
      <c r="USU233"/>
      <c r="USV233"/>
      <c r="USW233"/>
      <c r="USX233"/>
      <c r="USY233"/>
      <c r="USZ233"/>
      <c r="UTA233"/>
      <c r="UTB233"/>
      <c r="UTC233"/>
      <c r="UTD233"/>
      <c r="UTE233"/>
      <c r="UTF233"/>
      <c r="UTG233"/>
      <c r="UTH233"/>
      <c r="UTI233"/>
      <c r="UTJ233"/>
      <c r="UTK233"/>
      <c r="UTL233"/>
      <c r="UTM233"/>
      <c r="UTN233"/>
      <c r="UTO233"/>
      <c r="UTP233"/>
      <c r="UTQ233"/>
      <c r="UTR233"/>
      <c r="UTS233"/>
      <c r="UTT233"/>
      <c r="UTU233"/>
      <c r="UTV233"/>
      <c r="UTW233"/>
      <c r="UTX233"/>
      <c r="UTY233"/>
      <c r="UTZ233"/>
      <c r="UUA233"/>
      <c r="UUB233"/>
      <c r="UUC233"/>
      <c r="UUD233"/>
      <c r="UUE233"/>
      <c r="UUF233"/>
      <c r="UUG233"/>
      <c r="UUH233"/>
      <c r="UUI233"/>
      <c r="UUJ233"/>
      <c r="UUK233"/>
      <c r="UUL233"/>
      <c r="UUM233"/>
      <c r="UUN233"/>
      <c r="UUO233"/>
      <c r="UUP233"/>
      <c r="UUQ233"/>
      <c r="UUR233"/>
      <c r="UUS233"/>
      <c r="UUT233"/>
      <c r="UUU233"/>
      <c r="UUV233"/>
      <c r="UUW233"/>
      <c r="UUX233"/>
      <c r="UUY233"/>
      <c r="UUZ233"/>
      <c r="UVA233"/>
      <c r="UVB233"/>
      <c r="UVC233"/>
      <c r="UVD233"/>
      <c r="UVE233"/>
      <c r="UVF233"/>
      <c r="UVG233"/>
      <c r="UVH233"/>
      <c r="UVI233"/>
      <c r="UVJ233"/>
      <c r="UVK233"/>
      <c r="UVL233"/>
      <c r="UVM233"/>
      <c r="UVN233"/>
      <c r="UVO233"/>
      <c r="UVP233"/>
      <c r="UVQ233"/>
      <c r="UVR233"/>
      <c r="UVS233"/>
      <c r="UVT233"/>
      <c r="UVU233"/>
      <c r="UVV233"/>
      <c r="UVW233"/>
      <c r="UVX233"/>
      <c r="UVY233"/>
      <c r="UVZ233"/>
      <c r="UWA233"/>
      <c r="UWB233"/>
      <c r="UWC233"/>
      <c r="UWD233"/>
      <c r="UWE233"/>
      <c r="UWF233"/>
      <c r="UWG233"/>
      <c r="UWH233"/>
      <c r="UWI233"/>
      <c r="UWJ233"/>
      <c r="UWK233"/>
      <c r="UWL233"/>
      <c r="UWM233"/>
      <c r="UWN233"/>
      <c r="UWO233"/>
      <c r="UWP233"/>
      <c r="UWQ233"/>
      <c r="UWR233"/>
      <c r="UWS233"/>
      <c r="UWT233"/>
      <c r="UWU233"/>
      <c r="UWV233"/>
      <c r="UWW233"/>
      <c r="UWX233"/>
      <c r="UWY233"/>
      <c r="UWZ233"/>
      <c r="UXA233"/>
      <c r="UXB233"/>
      <c r="UXC233"/>
      <c r="UXD233"/>
      <c r="UXE233"/>
      <c r="UXF233"/>
      <c r="UXG233"/>
      <c r="UXH233"/>
      <c r="UXI233"/>
      <c r="UXJ233"/>
      <c r="UXK233"/>
      <c r="UXL233"/>
      <c r="UXM233"/>
      <c r="UXN233"/>
      <c r="UXO233"/>
      <c r="UXP233"/>
      <c r="UXQ233"/>
      <c r="UXR233"/>
      <c r="UXS233"/>
      <c r="UXT233"/>
      <c r="UXU233"/>
      <c r="UXV233"/>
      <c r="UXW233"/>
      <c r="UXX233"/>
      <c r="UXY233"/>
      <c r="UXZ233"/>
      <c r="UYA233"/>
      <c r="UYB233"/>
      <c r="UYC233"/>
      <c r="UYD233"/>
      <c r="UYE233"/>
      <c r="UYF233"/>
      <c r="UYG233"/>
      <c r="UYH233"/>
      <c r="UYI233"/>
      <c r="UYJ233"/>
      <c r="UYK233"/>
      <c r="UYL233"/>
      <c r="UYM233"/>
      <c r="UYN233"/>
      <c r="UYO233"/>
      <c r="UYP233"/>
      <c r="UYQ233"/>
      <c r="UYR233"/>
      <c r="UYS233"/>
      <c r="UYT233"/>
      <c r="UYU233"/>
      <c r="UYV233"/>
      <c r="UYW233"/>
      <c r="UYX233"/>
      <c r="UYY233"/>
      <c r="UYZ233"/>
      <c r="UZA233"/>
      <c r="UZB233"/>
      <c r="UZC233"/>
      <c r="UZD233"/>
      <c r="UZE233"/>
      <c r="UZF233"/>
      <c r="UZG233"/>
      <c r="UZH233"/>
      <c r="UZI233"/>
      <c r="UZJ233"/>
      <c r="UZK233"/>
      <c r="UZL233"/>
      <c r="UZM233"/>
      <c r="UZN233"/>
      <c r="UZO233"/>
      <c r="UZP233"/>
      <c r="UZQ233"/>
      <c r="UZR233"/>
      <c r="UZS233"/>
      <c r="UZT233"/>
      <c r="UZU233"/>
      <c r="UZV233"/>
      <c r="UZW233"/>
      <c r="UZX233"/>
      <c r="UZY233"/>
      <c r="UZZ233"/>
      <c r="VAA233"/>
      <c r="VAB233"/>
      <c r="VAC233"/>
      <c r="VAD233"/>
      <c r="VAE233"/>
      <c r="VAF233"/>
      <c r="VAG233"/>
      <c r="VAH233"/>
      <c r="VAI233"/>
      <c r="VAJ233"/>
      <c r="VAK233"/>
      <c r="VAL233"/>
      <c r="VAM233"/>
      <c r="VAN233"/>
      <c r="VAO233"/>
      <c r="VAP233"/>
      <c r="VAQ233"/>
      <c r="VAR233"/>
      <c r="VAS233"/>
      <c r="VAT233"/>
      <c r="VAU233"/>
      <c r="VAV233"/>
      <c r="VAW233"/>
      <c r="VAX233"/>
      <c r="VAY233"/>
      <c r="VAZ233"/>
      <c r="VBA233"/>
      <c r="VBB233"/>
      <c r="VBC233"/>
      <c r="VBD233"/>
      <c r="VBE233"/>
      <c r="VBF233"/>
      <c r="VBG233"/>
      <c r="VBH233"/>
      <c r="VBI233"/>
      <c r="VBJ233"/>
      <c r="VBK233"/>
      <c r="VBL233"/>
      <c r="VBM233"/>
      <c r="VBN233"/>
      <c r="VBO233"/>
      <c r="VBP233"/>
      <c r="VBQ233"/>
      <c r="VBR233"/>
      <c r="VBS233"/>
      <c r="VBT233"/>
      <c r="VBU233"/>
      <c r="VBV233"/>
      <c r="VBW233"/>
      <c r="VBX233"/>
      <c r="VBY233"/>
      <c r="VBZ233"/>
      <c r="VCA233"/>
      <c r="VCB233"/>
      <c r="VCC233"/>
      <c r="VCD233"/>
      <c r="VCE233"/>
      <c r="VCF233"/>
      <c r="VCG233"/>
      <c r="VCH233"/>
      <c r="VCI233"/>
      <c r="VCJ233"/>
      <c r="VCK233"/>
      <c r="VCL233"/>
      <c r="VCM233"/>
      <c r="VCN233"/>
      <c r="VCO233"/>
      <c r="VCP233"/>
      <c r="VCQ233"/>
      <c r="VCR233"/>
      <c r="VCS233"/>
      <c r="VCT233"/>
      <c r="VCU233"/>
      <c r="VCV233"/>
      <c r="VCW233"/>
      <c r="VCX233"/>
      <c r="VCY233"/>
      <c r="VCZ233"/>
      <c r="VDA233"/>
      <c r="VDB233"/>
      <c r="VDC233"/>
      <c r="VDD233"/>
      <c r="VDE233"/>
      <c r="VDF233"/>
      <c r="VDG233"/>
      <c r="VDH233"/>
      <c r="VDI233"/>
      <c r="VDJ233"/>
      <c r="VDK233"/>
      <c r="VDL233"/>
      <c r="VDM233"/>
      <c r="VDN233"/>
      <c r="VDO233"/>
      <c r="VDP233"/>
      <c r="VDQ233"/>
      <c r="VDR233"/>
      <c r="VDS233"/>
      <c r="VDT233"/>
      <c r="VDU233"/>
      <c r="VDV233"/>
      <c r="VDW233"/>
      <c r="VDX233"/>
      <c r="VDY233"/>
      <c r="VDZ233"/>
      <c r="VEA233"/>
      <c r="VEB233"/>
      <c r="VEC233"/>
      <c r="VED233"/>
      <c r="VEE233"/>
      <c r="VEF233"/>
      <c r="VEG233"/>
      <c r="VEH233"/>
      <c r="VEI233"/>
      <c r="VEJ233"/>
      <c r="VEK233"/>
      <c r="VEL233"/>
      <c r="VEM233"/>
      <c r="VEN233"/>
      <c r="VEO233"/>
      <c r="VEP233"/>
      <c r="VEQ233"/>
      <c r="VER233"/>
      <c r="VES233"/>
      <c r="VET233"/>
      <c r="VEU233"/>
      <c r="VEV233"/>
      <c r="VEW233"/>
      <c r="VEX233"/>
      <c r="VEY233"/>
      <c r="VEZ233"/>
      <c r="VFA233"/>
      <c r="VFB233"/>
      <c r="VFC233"/>
      <c r="VFD233"/>
      <c r="VFE233"/>
      <c r="VFF233"/>
      <c r="VFG233"/>
      <c r="VFH233"/>
      <c r="VFI233"/>
      <c r="VFJ233"/>
      <c r="VFK233"/>
      <c r="VFL233"/>
      <c r="VFM233"/>
      <c r="VFN233"/>
      <c r="VFO233"/>
      <c r="VFP233"/>
      <c r="VFQ233"/>
      <c r="VFR233"/>
      <c r="VFS233"/>
      <c r="VFT233"/>
      <c r="VFU233"/>
      <c r="VFV233"/>
      <c r="VFW233"/>
      <c r="VFX233"/>
      <c r="VFY233"/>
      <c r="VFZ233"/>
      <c r="VGA233"/>
      <c r="VGB233"/>
      <c r="VGC233"/>
      <c r="VGD233"/>
      <c r="VGE233"/>
      <c r="VGF233"/>
      <c r="VGG233"/>
      <c r="VGH233"/>
      <c r="VGI233"/>
      <c r="VGJ233"/>
      <c r="VGK233"/>
      <c r="VGL233"/>
      <c r="VGM233"/>
      <c r="VGN233"/>
      <c r="VGO233"/>
      <c r="VGP233"/>
      <c r="VGQ233"/>
      <c r="VGR233"/>
      <c r="VGS233"/>
      <c r="VGT233"/>
      <c r="VGU233"/>
      <c r="VGV233"/>
      <c r="VGW233"/>
      <c r="VGX233"/>
      <c r="VGY233"/>
      <c r="VGZ233"/>
      <c r="VHA233"/>
      <c r="VHB233"/>
      <c r="VHC233"/>
      <c r="VHD233"/>
      <c r="VHE233"/>
      <c r="VHF233"/>
      <c r="VHG233"/>
      <c r="VHH233"/>
      <c r="VHI233"/>
      <c r="VHJ233"/>
      <c r="VHK233"/>
      <c r="VHL233"/>
      <c r="VHM233"/>
      <c r="VHN233"/>
      <c r="VHO233"/>
      <c r="VHP233"/>
      <c r="VHQ233"/>
      <c r="VHR233"/>
      <c r="VHS233"/>
      <c r="VHT233"/>
      <c r="VHU233"/>
      <c r="VHV233"/>
      <c r="VHW233"/>
      <c r="VHX233"/>
      <c r="VHY233"/>
      <c r="VHZ233"/>
      <c r="VIA233"/>
      <c r="VIB233"/>
      <c r="VIC233"/>
      <c r="VID233"/>
      <c r="VIE233"/>
      <c r="VIF233"/>
      <c r="VIG233"/>
      <c r="VIH233"/>
      <c r="VII233"/>
      <c r="VIJ233"/>
      <c r="VIK233"/>
      <c r="VIL233"/>
      <c r="VIM233"/>
      <c r="VIN233"/>
      <c r="VIO233"/>
      <c r="VIP233"/>
      <c r="VIQ233"/>
      <c r="VIR233"/>
      <c r="VIS233"/>
      <c r="VIT233"/>
      <c r="VIU233"/>
      <c r="VIV233"/>
      <c r="VIW233"/>
      <c r="VIX233"/>
      <c r="VIY233"/>
      <c r="VIZ233"/>
      <c r="VJA233"/>
      <c r="VJB233"/>
      <c r="VJC233"/>
      <c r="VJD233"/>
      <c r="VJE233"/>
      <c r="VJF233"/>
      <c r="VJG233"/>
      <c r="VJH233"/>
      <c r="VJI233"/>
      <c r="VJJ233"/>
      <c r="VJK233"/>
      <c r="VJL233"/>
      <c r="VJM233"/>
      <c r="VJN233"/>
      <c r="VJO233"/>
      <c r="VJP233"/>
      <c r="VJQ233"/>
      <c r="VJR233"/>
      <c r="VJS233"/>
      <c r="VJT233"/>
      <c r="VJU233"/>
      <c r="VJV233"/>
      <c r="VJW233"/>
      <c r="VJX233"/>
      <c r="VJY233"/>
      <c r="VJZ233"/>
      <c r="VKA233"/>
      <c r="VKB233"/>
      <c r="VKC233"/>
      <c r="VKD233"/>
      <c r="VKE233"/>
      <c r="VKF233"/>
      <c r="VKG233"/>
      <c r="VKH233"/>
      <c r="VKI233"/>
      <c r="VKJ233"/>
      <c r="VKK233"/>
      <c r="VKL233"/>
      <c r="VKM233"/>
      <c r="VKN233"/>
      <c r="VKO233"/>
      <c r="VKP233"/>
      <c r="VKQ233"/>
      <c r="VKR233"/>
      <c r="VKS233"/>
      <c r="VKT233"/>
      <c r="VKU233"/>
      <c r="VKV233"/>
      <c r="VKW233"/>
      <c r="VKX233"/>
      <c r="VKY233"/>
      <c r="VKZ233"/>
      <c r="VLA233"/>
      <c r="VLB233"/>
      <c r="VLC233"/>
      <c r="VLD233"/>
      <c r="VLE233"/>
      <c r="VLF233"/>
      <c r="VLG233"/>
      <c r="VLH233"/>
      <c r="VLI233"/>
      <c r="VLJ233"/>
      <c r="VLK233"/>
      <c r="VLL233"/>
      <c r="VLM233"/>
      <c r="VLN233"/>
      <c r="VLO233"/>
      <c r="VLP233"/>
      <c r="VLQ233"/>
      <c r="VLR233"/>
      <c r="VLS233"/>
      <c r="VLT233"/>
      <c r="VLU233"/>
      <c r="VLV233"/>
      <c r="VLW233"/>
      <c r="VLX233"/>
      <c r="VLY233"/>
      <c r="VLZ233"/>
      <c r="VMA233"/>
      <c r="VMB233"/>
      <c r="VMC233"/>
      <c r="VMD233"/>
      <c r="VME233"/>
      <c r="VMF233"/>
      <c r="VMG233"/>
      <c r="VMH233"/>
      <c r="VMI233"/>
      <c r="VMJ233"/>
      <c r="VMK233"/>
      <c r="VML233"/>
      <c r="VMM233"/>
      <c r="VMN233"/>
      <c r="VMO233"/>
      <c r="VMP233"/>
      <c r="VMQ233"/>
      <c r="VMR233"/>
      <c r="VMS233"/>
      <c r="VMT233"/>
      <c r="VMU233"/>
      <c r="VMV233"/>
      <c r="VMW233"/>
      <c r="VMX233"/>
      <c r="VMY233"/>
      <c r="VMZ233"/>
      <c r="VNA233"/>
      <c r="VNB233"/>
      <c r="VNC233"/>
      <c r="VND233"/>
      <c r="VNE233"/>
      <c r="VNF233"/>
      <c r="VNG233"/>
      <c r="VNH233"/>
      <c r="VNI233"/>
      <c r="VNJ233"/>
      <c r="VNK233"/>
      <c r="VNL233"/>
      <c r="VNM233"/>
      <c r="VNN233"/>
      <c r="VNO233"/>
      <c r="VNP233"/>
      <c r="VNQ233"/>
      <c r="VNR233"/>
      <c r="VNS233"/>
      <c r="VNT233"/>
      <c r="VNU233"/>
      <c r="VNV233"/>
      <c r="VNW233"/>
      <c r="VNX233"/>
      <c r="VNY233"/>
      <c r="VNZ233"/>
      <c r="VOA233"/>
      <c r="VOB233"/>
      <c r="VOC233"/>
      <c r="VOD233"/>
      <c r="VOE233"/>
      <c r="VOF233"/>
      <c r="VOG233"/>
      <c r="VOH233"/>
      <c r="VOI233"/>
      <c r="VOJ233"/>
      <c r="VOK233"/>
      <c r="VOL233"/>
      <c r="VOM233"/>
      <c r="VON233"/>
      <c r="VOO233"/>
      <c r="VOP233"/>
      <c r="VOQ233"/>
      <c r="VOR233"/>
      <c r="VOS233"/>
      <c r="VOT233"/>
      <c r="VOU233"/>
      <c r="VOV233"/>
      <c r="VOW233"/>
      <c r="VOX233"/>
      <c r="VOY233"/>
      <c r="VOZ233"/>
      <c r="VPA233"/>
      <c r="VPB233"/>
      <c r="VPC233"/>
      <c r="VPD233"/>
      <c r="VPE233"/>
      <c r="VPF233"/>
      <c r="VPG233"/>
      <c r="VPH233"/>
      <c r="VPI233"/>
      <c r="VPJ233"/>
      <c r="VPK233"/>
      <c r="VPL233"/>
      <c r="VPM233"/>
      <c r="VPN233"/>
      <c r="VPO233"/>
      <c r="VPP233"/>
      <c r="VPQ233"/>
      <c r="VPR233"/>
      <c r="VPS233"/>
      <c r="VPT233"/>
      <c r="VPU233"/>
      <c r="VPV233"/>
      <c r="VPW233"/>
      <c r="VPX233"/>
      <c r="VPY233"/>
      <c r="VPZ233"/>
      <c r="VQA233"/>
      <c r="VQB233"/>
      <c r="VQC233"/>
      <c r="VQD233"/>
      <c r="VQE233"/>
      <c r="VQF233"/>
      <c r="VQG233"/>
      <c r="VQH233"/>
      <c r="VQI233"/>
      <c r="VQJ233"/>
      <c r="VQK233"/>
      <c r="VQL233"/>
      <c r="VQM233"/>
      <c r="VQN233"/>
      <c r="VQO233"/>
      <c r="VQP233"/>
      <c r="VQQ233"/>
      <c r="VQR233"/>
      <c r="VQS233"/>
      <c r="VQT233"/>
      <c r="VQU233"/>
      <c r="VQV233"/>
      <c r="VQW233"/>
      <c r="VQX233"/>
      <c r="VQY233"/>
      <c r="VQZ233"/>
      <c r="VRA233"/>
      <c r="VRB233"/>
      <c r="VRC233"/>
      <c r="VRD233"/>
      <c r="VRE233"/>
      <c r="VRF233"/>
      <c r="VRG233"/>
      <c r="VRH233"/>
      <c r="VRI233"/>
      <c r="VRJ233"/>
      <c r="VRK233"/>
      <c r="VRL233"/>
      <c r="VRM233"/>
      <c r="VRN233"/>
      <c r="VRO233"/>
      <c r="VRP233"/>
      <c r="VRQ233"/>
      <c r="VRR233"/>
      <c r="VRS233"/>
      <c r="VRT233"/>
      <c r="VRU233"/>
      <c r="VRV233"/>
      <c r="VRW233"/>
      <c r="VRX233"/>
      <c r="VRY233"/>
      <c r="VRZ233"/>
      <c r="VSA233"/>
      <c r="VSB233"/>
      <c r="VSC233"/>
      <c r="VSD233"/>
      <c r="VSE233"/>
      <c r="VSF233"/>
      <c r="VSG233"/>
      <c r="VSH233"/>
      <c r="VSI233"/>
      <c r="VSJ233"/>
      <c r="VSK233"/>
      <c r="VSL233"/>
      <c r="VSM233"/>
      <c r="VSN233"/>
      <c r="VSO233"/>
      <c r="VSP233"/>
      <c r="VSQ233"/>
      <c r="VSR233"/>
      <c r="VSS233"/>
      <c r="VST233"/>
      <c r="VSU233"/>
      <c r="VSV233"/>
      <c r="VSW233"/>
      <c r="VSX233"/>
      <c r="VSY233"/>
      <c r="VSZ233"/>
      <c r="VTA233"/>
      <c r="VTB233"/>
      <c r="VTC233"/>
      <c r="VTD233"/>
      <c r="VTE233"/>
      <c r="VTF233"/>
      <c r="VTG233"/>
      <c r="VTH233"/>
      <c r="VTI233"/>
      <c r="VTJ233"/>
      <c r="VTK233"/>
      <c r="VTL233"/>
      <c r="VTM233"/>
      <c r="VTN233"/>
      <c r="VTO233"/>
      <c r="VTP233"/>
      <c r="VTQ233"/>
      <c r="VTR233"/>
      <c r="VTS233"/>
      <c r="VTT233"/>
      <c r="VTU233"/>
      <c r="VTV233"/>
      <c r="VTW233"/>
      <c r="VTX233"/>
      <c r="VTY233"/>
      <c r="VTZ233"/>
      <c r="VUA233"/>
      <c r="VUB233"/>
      <c r="VUC233"/>
      <c r="VUD233"/>
      <c r="VUE233"/>
      <c r="VUF233"/>
      <c r="VUG233"/>
      <c r="VUH233"/>
      <c r="VUI233"/>
      <c r="VUJ233"/>
      <c r="VUK233"/>
      <c r="VUL233"/>
      <c r="VUM233"/>
      <c r="VUN233"/>
      <c r="VUO233"/>
      <c r="VUP233"/>
      <c r="VUQ233"/>
      <c r="VUR233"/>
      <c r="VUS233"/>
      <c r="VUT233"/>
      <c r="VUU233"/>
      <c r="VUV233"/>
      <c r="VUW233"/>
      <c r="VUX233"/>
      <c r="VUY233"/>
      <c r="VUZ233"/>
      <c r="VVA233"/>
      <c r="VVB233"/>
      <c r="VVC233"/>
      <c r="VVD233"/>
      <c r="VVE233"/>
      <c r="VVF233"/>
      <c r="VVG233"/>
      <c r="VVH233"/>
      <c r="VVI233"/>
      <c r="VVJ233"/>
      <c r="VVK233"/>
      <c r="VVL233"/>
      <c r="VVM233"/>
      <c r="VVN233"/>
      <c r="VVO233"/>
      <c r="VVP233"/>
      <c r="VVQ233"/>
      <c r="VVR233"/>
      <c r="VVS233"/>
      <c r="VVT233"/>
      <c r="VVU233"/>
      <c r="VVV233"/>
      <c r="VVW233"/>
      <c r="VVX233"/>
      <c r="VVY233"/>
      <c r="VVZ233"/>
      <c r="VWA233"/>
      <c r="VWB233"/>
      <c r="VWC233"/>
      <c r="VWD233"/>
      <c r="VWE233"/>
      <c r="VWF233"/>
      <c r="VWG233"/>
      <c r="VWH233"/>
      <c r="VWI233"/>
      <c r="VWJ233"/>
      <c r="VWK233"/>
      <c r="VWL233"/>
      <c r="VWM233"/>
      <c r="VWN233"/>
      <c r="VWO233"/>
      <c r="VWP233"/>
      <c r="VWQ233"/>
      <c r="VWR233"/>
      <c r="VWS233"/>
      <c r="VWT233"/>
      <c r="VWU233"/>
      <c r="VWV233"/>
      <c r="VWW233"/>
      <c r="VWX233"/>
      <c r="VWY233"/>
      <c r="VWZ233"/>
      <c r="VXA233"/>
      <c r="VXB233"/>
      <c r="VXC233"/>
      <c r="VXD233"/>
      <c r="VXE233"/>
      <c r="VXF233"/>
      <c r="VXG233"/>
      <c r="VXH233"/>
      <c r="VXI233"/>
      <c r="VXJ233"/>
      <c r="VXK233"/>
      <c r="VXL233"/>
      <c r="VXM233"/>
      <c r="VXN233"/>
      <c r="VXO233"/>
      <c r="VXP233"/>
      <c r="VXQ233"/>
      <c r="VXR233"/>
      <c r="VXS233"/>
      <c r="VXT233"/>
      <c r="VXU233"/>
      <c r="VXV233"/>
      <c r="VXW233"/>
      <c r="VXX233"/>
      <c r="VXY233"/>
      <c r="VXZ233"/>
      <c r="VYA233"/>
      <c r="VYB233"/>
      <c r="VYC233"/>
      <c r="VYD233"/>
      <c r="VYE233"/>
      <c r="VYF233"/>
      <c r="VYG233"/>
      <c r="VYH233"/>
      <c r="VYI233"/>
      <c r="VYJ233"/>
      <c r="VYK233"/>
      <c r="VYL233"/>
      <c r="VYM233"/>
      <c r="VYN233"/>
      <c r="VYO233"/>
      <c r="VYP233"/>
      <c r="VYQ233"/>
      <c r="VYR233"/>
      <c r="VYS233"/>
      <c r="VYT233"/>
      <c r="VYU233"/>
      <c r="VYV233"/>
      <c r="VYW233"/>
      <c r="VYX233"/>
      <c r="VYY233"/>
      <c r="VYZ233"/>
      <c r="VZA233"/>
      <c r="VZB233"/>
      <c r="VZC233"/>
      <c r="VZD233"/>
      <c r="VZE233"/>
      <c r="VZF233"/>
      <c r="VZG233"/>
      <c r="VZH233"/>
      <c r="VZI233"/>
      <c r="VZJ233"/>
      <c r="VZK233"/>
      <c r="VZL233"/>
      <c r="VZM233"/>
      <c r="VZN233"/>
      <c r="VZO233"/>
      <c r="VZP233"/>
      <c r="VZQ233"/>
      <c r="VZR233"/>
      <c r="VZS233"/>
      <c r="VZT233"/>
      <c r="VZU233"/>
      <c r="VZV233"/>
      <c r="VZW233"/>
      <c r="VZX233"/>
      <c r="VZY233"/>
      <c r="VZZ233"/>
      <c r="WAA233"/>
      <c r="WAB233"/>
      <c r="WAC233"/>
      <c r="WAD233"/>
      <c r="WAE233"/>
      <c r="WAF233"/>
      <c r="WAG233"/>
      <c r="WAH233"/>
      <c r="WAI233"/>
      <c r="WAJ233"/>
      <c r="WAK233"/>
      <c r="WAL233"/>
      <c r="WAM233"/>
      <c r="WAN233"/>
      <c r="WAO233"/>
      <c r="WAP233"/>
      <c r="WAQ233"/>
      <c r="WAR233"/>
      <c r="WAS233"/>
      <c r="WAT233"/>
      <c r="WAU233"/>
      <c r="WAV233"/>
      <c r="WAW233"/>
      <c r="WAX233"/>
      <c r="WAY233"/>
      <c r="WAZ233"/>
      <c r="WBA233"/>
      <c r="WBB233"/>
      <c r="WBC233"/>
      <c r="WBD233"/>
      <c r="WBE233"/>
      <c r="WBF233"/>
      <c r="WBG233"/>
      <c r="WBH233"/>
      <c r="WBI233"/>
      <c r="WBJ233"/>
      <c r="WBK233"/>
      <c r="WBL233"/>
      <c r="WBM233"/>
      <c r="WBN233"/>
      <c r="WBO233"/>
      <c r="WBP233"/>
      <c r="WBQ233"/>
      <c r="WBR233"/>
      <c r="WBS233"/>
      <c r="WBT233"/>
      <c r="WBU233"/>
      <c r="WBV233"/>
      <c r="WBW233"/>
      <c r="WBX233"/>
      <c r="WBY233"/>
      <c r="WBZ233"/>
      <c r="WCA233"/>
      <c r="WCB233"/>
      <c r="WCC233"/>
      <c r="WCD233"/>
      <c r="WCE233"/>
      <c r="WCF233"/>
      <c r="WCG233"/>
      <c r="WCH233"/>
      <c r="WCI233"/>
      <c r="WCJ233"/>
      <c r="WCK233"/>
      <c r="WCL233"/>
      <c r="WCM233"/>
      <c r="WCN233"/>
      <c r="WCO233"/>
      <c r="WCP233"/>
      <c r="WCQ233"/>
      <c r="WCR233"/>
      <c r="WCS233"/>
      <c r="WCT233"/>
      <c r="WCU233"/>
      <c r="WCV233"/>
      <c r="WCW233"/>
      <c r="WCX233"/>
      <c r="WCY233"/>
      <c r="WCZ233"/>
      <c r="WDA233"/>
      <c r="WDB233"/>
      <c r="WDC233"/>
      <c r="WDD233"/>
      <c r="WDE233"/>
      <c r="WDF233"/>
      <c r="WDG233"/>
      <c r="WDH233"/>
      <c r="WDI233"/>
      <c r="WDJ233"/>
      <c r="WDK233"/>
      <c r="WDL233"/>
      <c r="WDM233"/>
      <c r="WDN233"/>
      <c r="WDO233"/>
      <c r="WDP233"/>
      <c r="WDQ233"/>
      <c r="WDR233"/>
      <c r="WDS233"/>
      <c r="WDT233"/>
      <c r="WDU233"/>
      <c r="WDV233"/>
      <c r="WDW233"/>
      <c r="WDX233"/>
      <c r="WDY233"/>
      <c r="WDZ233"/>
      <c r="WEA233"/>
      <c r="WEB233"/>
      <c r="WEC233"/>
      <c r="WED233"/>
      <c r="WEE233"/>
      <c r="WEF233"/>
      <c r="WEG233"/>
      <c r="WEH233"/>
      <c r="WEI233"/>
      <c r="WEJ233"/>
      <c r="WEK233"/>
      <c r="WEL233"/>
      <c r="WEM233"/>
      <c r="WEN233"/>
      <c r="WEO233"/>
      <c r="WEP233"/>
      <c r="WEQ233"/>
      <c r="WER233"/>
      <c r="WES233"/>
      <c r="WET233"/>
      <c r="WEU233"/>
      <c r="WEV233"/>
      <c r="WEW233"/>
      <c r="WEX233"/>
      <c r="WEY233"/>
      <c r="WEZ233"/>
      <c r="WFA233"/>
      <c r="WFB233"/>
      <c r="WFC233"/>
      <c r="WFD233"/>
      <c r="WFE233"/>
      <c r="WFF233"/>
      <c r="WFG233"/>
      <c r="WFH233"/>
      <c r="WFI233"/>
      <c r="WFJ233"/>
      <c r="WFK233"/>
      <c r="WFL233"/>
      <c r="WFM233"/>
      <c r="WFN233"/>
      <c r="WFO233"/>
      <c r="WFP233"/>
      <c r="WFQ233"/>
      <c r="WFR233"/>
      <c r="WFS233"/>
      <c r="WFT233"/>
      <c r="WFU233"/>
      <c r="WFV233"/>
      <c r="WFW233"/>
      <c r="WFX233"/>
      <c r="WFY233"/>
      <c r="WFZ233"/>
      <c r="WGA233"/>
      <c r="WGB233"/>
      <c r="WGC233"/>
      <c r="WGD233"/>
      <c r="WGE233"/>
      <c r="WGF233"/>
      <c r="WGG233"/>
      <c r="WGH233"/>
      <c r="WGI233"/>
      <c r="WGJ233"/>
      <c r="WGK233"/>
      <c r="WGL233"/>
      <c r="WGM233"/>
      <c r="WGN233"/>
      <c r="WGO233"/>
      <c r="WGP233"/>
      <c r="WGQ233"/>
      <c r="WGR233"/>
      <c r="WGS233"/>
      <c r="WGT233"/>
      <c r="WGU233"/>
      <c r="WGV233"/>
      <c r="WGW233"/>
      <c r="WGX233"/>
      <c r="WGY233"/>
      <c r="WGZ233"/>
      <c r="WHA233"/>
      <c r="WHB233"/>
      <c r="WHC233"/>
      <c r="WHD233"/>
      <c r="WHE233"/>
      <c r="WHF233"/>
      <c r="WHG233"/>
      <c r="WHH233"/>
      <c r="WHI233"/>
      <c r="WHJ233"/>
      <c r="WHK233"/>
      <c r="WHL233"/>
      <c r="WHM233"/>
      <c r="WHN233"/>
      <c r="WHO233"/>
      <c r="WHP233"/>
      <c r="WHQ233"/>
      <c r="WHR233"/>
      <c r="WHS233"/>
      <c r="WHT233"/>
      <c r="WHU233"/>
      <c r="WHV233"/>
      <c r="WHW233"/>
      <c r="WHX233"/>
      <c r="WHY233"/>
      <c r="WHZ233"/>
      <c r="WIA233"/>
      <c r="WIB233"/>
      <c r="WIC233"/>
      <c r="WID233"/>
      <c r="WIE233"/>
      <c r="WIF233"/>
      <c r="WIG233"/>
      <c r="WIH233"/>
      <c r="WII233"/>
      <c r="WIJ233"/>
      <c r="WIK233"/>
      <c r="WIL233"/>
      <c r="WIM233"/>
      <c r="WIN233"/>
      <c r="WIO233"/>
      <c r="WIP233"/>
      <c r="WIQ233"/>
      <c r="WIR233"/>
      <c r="WIS233"/>
      <c r="WIT233"/>
      <c r="WIU233"/>
      <c r="WIV233"/>
      <c r="WIW233"/>
      <c r="WIX233"/>
      <c r="WIY233"/>
      <c r="WIZ233"/>
      <c r="WJA233"/>
      <c r="WJB233"/>
      <c r="WJC233"/>
      <c r="WJD233"/>
      <c r="WJE233"/>
      <c r="WJF233"/>
      <c r="WJG233"/>
      <c r="WJH233"/>
      <c r="WJI233"/>
      <c r="WJJ233"/>
      <c r="WJK233"/>
      <c r="WJL233"/>
      <c r="WJM233"/>
      <c r="WJN233"/>
      <c r="WJO233"/>
      <c r="WJP233"/>
      <c r="WJQ233"/>
      <c r="WJR233"/>
      <c r="WJS233"/>
      <c r="WJT233"/>
      <c r="WJU233"/>
      <c r="WJV233"/>
      <c r="WJW233"/>
      <c r="WJX233"/>
      <c r="WJY233"/>
      <c r="WJZ233"/>
      <c r="WKA233"/>
      <c r="WKB233"/>
      <c r="WKC233"/>
      <c r="WKD233"/>
      <c r="WKE233"/>
      <c r="WKF233"/>
      <c r="WKG233"/>
      <c r="WKH233"/>
      <c r="WKI233"/>
      <c r="WKJ233"/>
      <c r="WKK233"/>
      <c r="WKL233"/>
      <c r="WKM233"/>
      <c r="WKN233"/>
      <c r="WKO233"/>
      <c r="WKP233"/>
      <c r="WKQ233"/>
      <c r="WKR233"/>
      <c r="WKS233"/>
      <c r="WKT233"/>
      <c r="WKU233"/>
      <c r="WKV233"/>
      <c r="WKW233"/>
      <c r="WKX233"/>
      <c r="WKY233"/>
      <c r="WKZ233"/>
      <c r="WLA233"/>
      <c r="WLB233"/>
      <c r="WLC233"/>
      <c r="WLD233"/>
      <c r="WLE233"/>
      <c r="WLF233"/>
      <c r="WLG233"/>
      <c r="WLH233"/>
      <c r="WLI233"/>
      <c r="WLJ233"/>
      <c r="WLK233"/>
      <c r="WLL233"/>
      <c r="WLM233"/>
      <c r="WLN233"/>
      <c r="WLO233"/>
      <c r="WLP233"/>
      <c r="WLQ233"/>
      <c r="WLR233"/>
      <c r="WLS233"/>
      <c r="WLT233"/>
      <c r="WLU233"/>
      <c r="WLV233"/>
      <c r="WLW233"/>
      <c r="WLX233"/>
      <c r="WLY233"/>
      <c r="WLZ233"/>
      <c r="WMA233"/>
      <c r="WMB233"/>
      <c r="WMC233"/>
      <c r="WMD233"/>
      <c r="WME233"/>
      <c r="WMF233"/>
      <c r="WMG233"/>
      <c r="WMH233"/>
      <c r="WMI233"/>
      <c r="WMJ233"/>
      <c r="WMK233"/>
      <c r="WML233"/>
      <c r="WMM233"/>
      <c r="WMN233"/>
      <c r="WMO233"/>
      <c r="WMP233"/>
      <c r="WMQ233"/>
      <c r="WMR233"/>
      <c r="WMS233"/>
      <c r="WMT233"/>
      <c r="WMU233"/>
      <c r="WMV233"/>
      <c r="WMW233"/>
      <c r="WMX233"/>
      <c r="WMY233"/>
      <c r="WMZ233"/>
      <c r="WNA233"/>
      <c r="WNB233"/>
      <c r="WNC233"/>
      <c r="WND233"/>
      <c r="WNE233"/>
      <c r="WNF233"/>
      <c r="WNG233"/>
      <c r="WNH233"/>
      <c r="WNI233"/>
      <c r="WNJ233"/>
      <c r="WNK233"/>
      <c r="WNL233"/>
      <c r="WNM233"/>
      <c r="WNN233"/>
      <c r="WNO233"/>
      <c r="WNP233"/>
      <c r="WNQ233"/>
      <c r="WNR233"/>
      <c r="WNS233"/>
      <c r="WNT233"/>
      <c r="WNU233"/>
      <c r="WNV233"/>
      <c r="WNW233"/>
      <c r="WNX233"/>
      <c r="WNY233"/>
      <c r="WNZ233"/>
      <c r="WOA233"/>
      <c r="WOB233"/>
      <c r="WOC233"/>
      <c r="WOD233"/>
      <c r="WOE233"/>
      <c r="WOF233"/>
      <c r="WOG233"/>
      <c r="WOH233"/>
      <c r="WOI233"/>
      <c r="WOJ233"/>
      <c r="WOK233"/>
      <c r="WOL233"/>
      <c r="WOM233"/>
      <c r="WON233"/>
      <c r="WOO233"/>
      <c r="WOP233"/>
      <c r="WOQ233"/>
      <c r="WOR233"/>
      <c r="WOS233"/>
      <c r="WOT233"/>
      <c r="WOU233"/>
      <c r="WOV233"/>
      <c r="WOW233"/>
      <c r="WOX233"/>
      <c r="WOY233"/>
      <c r="WOZ233"/>
      <c r="WPA233"/>
      <c r="WPB233"/>
      <c r="WPC233"/>
      <c r="WPD233"/>
      <c r="WPE233"/>
      <c r="WPF233"/>
      <c r="WPG233"/>
      <c r="WPH233"/>
      <c r="WPI233"/>
      <c r="WPJ233"/>
      <c r="WPK233"/>
      <c r="WPL233"/>
      <c r="WPM233"/>
      <c r="WPN233"/>
      <c r="WPO233"/>
      <c r="WPP233"/>
      <c r="WPQ233"/>
      <c r="WPR233"/>
      <c r="WPS233"/>
      <c r="WPT233"/>
      <c r="WPU233"/>
      <c r="WPV233"/>
      <c r="WPW233"/>
      <c r="WPX233"/>
      <c r="WPY233"/>
      <c r="WPZ233"/>
      <c r="WQA233"/>
      <c r="WQB233"/>
      <c r="WQC233"/>
      <c r="WQD233"/>
      <c r="WQE233"/>
      <c r="WQF233"/>
      <c r="WQG233"/>
      <c r="WQH233"/>
      <c r="WQI233"/>
      <c r="WQJ233"/>
      <c r="WQK233"/>
      <c r="WQL233"/>
      <c r="WQM233"/>
      <c r="WQN233"/>
      <c r="WQO233"/>
      <c r="WQP233"/>
      <c r="WQQ233"/>
      <c r="WQR233"/>
      <c r="WQS233"/>
      <c r="WQT233"/>
      <c r="WQU233"/>
      <c r="WQV233"/>
      <c r="WQW233"/>
      <c r="WQX233"/>
      <c r="WQY233"/>
      <c r="WQZ233"/>
      <c r="WRA233"/>
      <c r="WRB233"/>
      <c r="WRC233"/>
      <c r="WRD233"/>
      <c r="WRE233"/>
      <c r="WRF233"/>
      <c r="WRG233"/>
      <c r="WRH233"/>
      <c r="WRI233"/>
      <c r="WRJ233"/>
      <c r="WRK233"/>
      <c r="WRL233"/>
      <c r="WRM233"/>
      <c r="WRN233"/>
      <c r="WRO233"/>
      <c r="WRP233"/>
      <c r="WRQ233"/>
      <c r="WRR233"/>
      <c r="WRS233"/>
      <c r="WRT233"/>
      <c r="WRU233"/>
      <c r="WRV233"/>
      <c r="WRW233"/>
      <c r="WRX233"/>
      <c r="WRY233"/>
      <c r="WRZ233"/>
      <c r="WSA233"/>
      <c r="WSB233"/>
      <c r="WSC233"/>
      <c r="WSD233"/>
      <c r="WSE233"/>
      <c r="WSF233"/>
      <c r="WSG233"/>
      <c r="WSH233"/>
      <c r="WSI233"/>
      <c r="WSJ233"/>
      <c r="WSK233"/>
      <c r="WSL233"/>
      <c r="WSM233"/>
      <c r="WSN233"/>
      <c r="WSO233"/>
      <c r="WSP233"/>
      <c r="WSQ233"/>
      <c r="WSR233"/>
      <c r="WSS233"/>
      <c r="WST233"/>
      <c r="WSU233"/>
      <c r="WSV233"/>
      <c r="WSW233"/>
      <c r="WSX233"/>
      <c r="WSY233"/>
      <c r="WSZ233"/>
      <c r="WTA233"/>
      <c r="WTB233"/>
      <c r="WTC233"/>
      <c r="WTD233"/>
      <c r="WTE233"/>
      <c r="WTF233"/>
      <c r="WTG233"/>
      <c r="WTH233"/>
      <c r="WTI233"/>
      <c r="WTJ233"/>
      <c r="WTK233"/>
      <c r="WTL233"/>
      <c r="WTM233"/>
      <c r="WTN233"/>
      <c r="WTO233"/>
      <c r="WTP233"/>
      <c r="WTQ233"/>
      <c r="WTR233"/>
      <c r="WTS233"/>
      <c r="WTT233"/>
      <c r="WTU233"/>
      <c r="WTV233"/>
      <c r="WTW233"/>
      <c r="WTX233"/>
      <c r="WTY233"/>
      <c r="WTZ233"/>
      <c r="WUA233"/>
      <c r="WUB233"/>
      <c r="WUC233"/>
      <c r="WUD233"/>
      <c r="WUE233"/>
      <c r="WUF233"/>
      <c r="WUG233"/>
      <c r="WUH233"/>
      <c r="WUI233"/>
      <c r="WUJ233"/>
      <c r="WUK233"/>
      <c r="WUL233"/>
      <c r="WUM233"/>
      <c r="WUN233"/>
      <c r="WUO233"/>
      <c r="WUP233"/>
      <c r="WUQ233"/>
      <c r="WUR233"/>
      <c r="WUS233"/>
      <c r="WUT233"/>
      <c r="WUU233"/>
      <c r="WUV233"/>
      <c r="WUW233"/>
      <c r="WUX233"/>
      <c r="WUY233"/>
      <c r="WUZ233"/>
      <c r="WVA233"/>
      <c r="WVB233"/>
      <c r="WVC233"/>
      <c r="WVD233"/>
      <c r="WVE233"/>
      <c r="WVF233"/>
      <c r="WVG233"/>
      <c r="WVH233"/>
      <c r="WVI233"/>
      <c r="WVJ233"/>
      <c r="WVK233"/>
      <c r="WVL233"/>
      <c r="WVM233"/>
      <c r="WVN233"/>
      <c r="WVO233"/>
      <c r="WVP233"/>
      <c r="WVQ233"/>
      <c r="WVR233"/>
      <c r="WVS233"/>
      <c r="WVT233"/>
      <c r="WVU233"/>
      <c r="WVV233"/>
      <c r="WVW233"/>
      <c r="WVX233"/>
      <c r="WVY233"/>
      <c r="WVZ233"/>
      <c r="WWA233"/>
      <c r="WWB233"/>
      <c r="WWC233"/>
      <c r="WWD233"/>
      <c r="WWE233"/>
      <c r="WWF233"/>
      <c r="WWG233"/>
      <c r="WWH233"/>
      <c r="WWI233"/>
      <c r="WWJ233"/>
      <c r="WWK233"/>
      <c r="WWL233"/>
      <c r="WWM233"/>
      <c r="WWN233"/>
      <c r="WWO233"/>
      <c r="WWP233"/>
      <c r="WWQ233"/>
      <c r="WWR233"/>
      <c r="WWS233"/>
      <c r="WWT233"/>
      <c r="WWU233"/>
      <c r="WWV233"/>
      <c r="WWW233"/>
      <c r="WWX233"/>
      <c r="WWY233"/>
      <c r="WWZ233"/>
      <c r="WXA233"/>
      <c r="WXB233"/>
      <c r="WXC233"/>
      <c r="WXD233"/>
      <c r="WXE233"/>
      <c r="WXF233"/>
      <c r="WXG233"/>
      <c r="WXH233"/>
      <c r="WXI233"/>
      <c r="WXJ233"/>
      <c r="WXK233"/>
      <c r="WXL233"/>
      <c r="WXM233"/>
      <c r="WXN233"/>
      <c r="WXO233"/>
      <c r="WXP233"/>
      <c r="WXQ233"/>
      <c r="WXR233"/>
      <c r="WXS233"/>
      <c r="WXT233"/>
      <c r="WXU233"/>
      <c r="WXV233"/>
      <c r="WXW233"/>
      <c r="WXX233"/>
      <c r="WXY233"/>
      <c r="WXZ233"/>
      <c r="WYA233"/>
      <c r="WYB233"/>
      <c r="WYC233"/>
      <c r="WYD233"/>
      <c r="WYE233"/>
      <c r="WYF233"/>
      <c r="WYG233"/>
      <c r="WYH233"/>
      <c r="WYI233"/>
      <c r="WYJ233"/>
      <c r="WYK233"/>
      <c r="WYL233"/>
      <c r="WYM233"/>
      <c r="WYN233"/>
      <c r="WYO233"/>
      <c r="WYP233"/>
      <c r="WYQ233"/>
      <c r="WYR233"/>
      <c r="WYS233"/>
      <c r="WYT233"/>
      <c r="WYU233"/>
      <c r="WYV233"/>
      <c r="WYW233"/>
      <c r="WYX233"/>
      <c r="WYY233"/>
      <c r="WYZ233"/>
      <c r="WZA233"/>
      <c r="WZB233"/>
      <c r="WZC233"/>
      <c r="WZD233"/>
      <c r="WZE233"/>
      <c r="WZF233"/>
      <c r="WZG233"/>
      <c r="WZH233"/>
      <c r="WZI233"/>
      <c r="WZJ233"/>
      <c r="WZK233"/>
      <c r="WZL233"/>
      <c r="WZM233"/>
      <c r="WZN233"/>
      <c r="WZO233"/>
      <c r="WZP233"/>
      <c r="WZQ233"/>
      <c r="WZR233"/>
      <c r="WZS233"/>
      <c r="WZT233"/>
      <c r="WZU233"/>
      <c r="WZV233"/>
      <c r="WZW233"/>
      <c r="WZX233"/>
      <c r="WZY233"/>
      <c r="WZZ233"/>
      <c r="XAA233"/>
      <c r="XAB233"/>
      <c r="XAC233"/>
      <c r="XAD233"/>
      <c r="XAE233"/>
      <c r="XAF233"/>
      <c r="XAG233"/>
      <c r="XAH233"/>
      <c r="XAI233"/>
      <c r="XAJ233"/>
      <c r="XAK233"/>
      <c r="XAL233"/>
      <c r="XAM233"/>
      <c r="XAN233"/>
      <c r="XAO233"/>
      <c r="XAP233"/>
      <c r="XAQ233"/>
      <c r="XAR233"/>
      <c r="XAS233"/>
      <c r="XAT233"/>
      <c r="XAU233"/>
      <c r="XAV233"/>
      <c r="XAW233"/>
      <c r="XAX233"/>
      <c r="XAY233"/>
      <c r="XAZ233"/>
      <c r="XBA233"/>
      <c r="XBB233"/>
      <c r="XBC233"/>
      <c r="XBD233"/>
      <c r="XBE233"/>
      <c r="XBF233"/>
      <c r="XBG233"/>
      <c r="XBH233"/>
      <c r="XBI233"/>
      <c r="XBJ233"/>
      <c r="XBK233"/>
      <c r="XBL233"/>
      <c r="XBM233"/>
      <c r="XBN233"/>
      <c r="XBO233"/>
      <c r="XBP233"/>
      <c r="XBQ233"/>
      <c r="XBR233"/>
      <c r="XBS233"/>
      <c r="XBT233"/>
      <c r="XBU233"/>
      <c r="XBV233"/>
      <c r="XBW233"/>
      <c r="XBX233"/>
      <c r="XBY233"/>
      <c r="XBZ233"/>
      <c r="XCA233"/>
      <c r="XCB233"/>
      <c r="XCC233"/>
      <c r="XCD233"/>
      <c r="XCE233"/>
      <c r="XCF233"/>
      <c r="XCG233"/>
      <c r="XCH233"/>
      <c r="XCI233"/>
      <c r="XCJ233"/>
      <c r="XCK233"/>
      <c r="XCL233"/>
      <c r="XCM233"/>
      <c r="XCN233"/>
      <c r="XCO233"/>
      <c r="XCP233"/>
      <c r="XCQ233"/>
      <c r="XCR233"/>
      <c r="XCS233"/>
      <c r="XCT233"/>
      <c r="XCU233"/>
      <c r="XCV233"/>
      <c r="XCW233"/>
      <c r="XCX233"/>
      <c r="XCY233"/>
      <c r="XCZ233"/>
      <c r="XDA233"/>
      <c r="XDB233"/>
      <c r="XDC233"/>
      <c r="XDD233"/>
      <c r="XDE233"/>
      <c r="XDF233"/>
      <c r="XDG233"/>
      <c r="XDH233"/>
      <c r="XDI233"/>
      <c r="XDJ233"/>
      <c r="XDK233"/>
      <c r="XDL233"/>
      <c r="XDM233"/>
      <c r="XDN233"/>
      <c r="XDO233"/>
      <c r="XDP233"/>
      <c r="XDQ233"/>
      <c r="XDR233"/>
      <c r="XDS233"/>
      <c r="XDT233"/>
      <c r="XDU233"/>
      <c r="XDV233"/>
      <c r="XDW233"/>
      <c r="XDX233"/>
      <c r="XDY233"/>
      <c r="XDZ233"/>
      <c r="XEA233"/>
      <c r="XEB233"/>
      <c r="XEC233"/>
      <c r="XED233"/>
      <c r="XEE233"/>
      <c r="XEF233"/>
      <c r="XEG233"/>
      <c r="XEH233"/>
      <c r="XEI233"/>
      <c r="XEJ233"/>
      <c r="XEK233"/>
      <c r="XEL233"/>
      <c r="XEM233"/>
      <c r="XEN233"/>
      <c r="XEO233"/>
      <c r="XEP233"/>
      <c r="XEQ233"/>
      <c r="XER233"/>
      <c r="XES233"/>
      <c r="XET233"/>
      <c r="XEU233"/>
      <c r="XEV233"/>
      <c r="XEW233"/>
      <c r="XEX233"/>
      <c r="XEY233"/>
      <c r="XEZ233"/>
      <c r="XFA233"/>
      <c r="XFB233"/>
      <c r="XFC233"/>
    </row>
    <row r="234" spans="1:16383" ht="15" customHeight="1" x14ac:dyDescent="0.2">
      <c r="B234" s="274" t="s">
        <v>1356</v>
      </c>
      <c r="C234" s="24"/>
      <c r="D234" s="228"/>
      <c r="E234" s="38"/>
      <c r="F234" s="24"/>
      <c r="G234" s="38"/>
      <c r="H234" s="38"/>
      <c r="I234" s="24"/>
      <c r="J234" s="38"/>
      <c r="K234" s="38"/>
      <c r="L234" s="24"/>
      <c r="M234" s="56">
        <f t="shared" si="36"/>
        <v>0</v>
      </c>
      <c r="N234" s="228"/>
      <c r="O234" s="252"/>
      <c r="P234" s="102">
        <f t="shared" si="37"/>
        <v>0</v>
      </c>
      <c r="Q234" s="23"/>
      <c r="R234" s="24"/>
      <c r="S234" s="22"/>
      <c r="T234" s="22"/>
      <c r="U234" s="22"/>
      <c r="V234" s="23"/>
      <c r="W234" s="23"/>
      <c r="AB234" s="211"/>
      <c r="AC234" s="21"/>
      <c r="AF234"/>
      <c r="AG234" s="366"/>
      <c r="AH234" s="294"/>
      <c r="AI234" s="294"/>
      <c r="AJ234" s="26"/>
      <c r="AK234" s="374"/>
      <c r="AL234" s="374"/>
      <c r="AO234" s="294"/>
      <c r="AR234" s="374"/>
      <c r="AY234"/>
      <c r="AZ234" s="297"/>
      <c r="BF234" s="26"/>
      <c r="BG234" s="26"/>
      <c r="BH234" s="26"/>
      <c r="BI234" s="26"/>
      <c r="BJ234" s="26"/>
      <c r="BK234" s="26"/>
      <c r="BL234" s="26"/>
      <c r="BS234" s="20"/>
      <c r="BT234" s="26"/>
      <c r="BV234" s="381"/>
      <c r="BW234" s="26"/>
      <c r="BX234" s="218"/>
      <c r="BY234" s="219"/>
      <c r="BZ234"/>
      <c r="CA234" s="218"/>
      <c r="CB234" s="229"/>
      <c r="CM234"/>
    </row>
    <row r="235" spans="1:16383" x14ac:dyDescent="0.2">
      <c r="B235" s="272" t="s">
        <v>684</v>
      </c>
      <c r="C235" s="24">
        <v>4</v>
      </c>
      <c r="D235" s="228">
        <v>120.76195000000001</v>
      </c>
      <c r="E235" s="38">
        <v>2.8068275000000003</v>
      </c>
      <c r="F235" s="109">
        <v>0</v>
      </c>
      <c r="G235" s="38">
        <v>0</v>
      </c>
      <c r="H235" s="38">
        <v>0</v>
      </c>
      <c r="I235" s="24">
        <v>5</v>
      </c>
      <c r="J235" s="38">
        <v>423.92599999999999</v>
      </c>
      <c r="K235" s="38">
        <v>75.968000000000004</v>
      </c>
      <c r="L235" s="24">
        <v>9</v>
      </c>
      <c r="M235" s="56">
        <f t="shared" si="36"/>
        <v>2.2388059701492536E-2</v>
      </c>
      <c r="N235" s="228">
        <v>544.68795</v>
      </c>
      <c r="O235" s="252">
        <v>78.774827500000001</v>
      </c>
      <c r="P235" s="102">
        <f t="shared" si="37"/>
        <v>8.4352308110045501E-3</v>
      </c>
      <c r="Q235" s="23">
        <v>5310.8857958904109</v>
      </c>
      <c r="R235" s="24">
        <v>0</v>
      </c>
      <c r="S235" s="22">
        <v>0</v>
      </c>
      <c r="T235" s="22">
        <v>0</v>
      </c>
      <c r="U235" s="22">
        <v>0</v>
      </c>
      <c r="V235" s="23">
        <v>0</v>
      </c>
      <c r="W235" s="23">
        <v>14</v>
      </c>
      <c r="AB235" s="211"/>
      <c r="AC235" s="21"/>
      <c r="AF235"/>
      <c r="AG235" s="366"/>
      <c r="AH235" s="294"/>
      <c r="AI235" s="294"/>
      <c r="AJ235" s="26"/>
      <c r="AK235" s="374"/>
      <c r="AL235" s="374"/>
      <c r="AO235" s="294"/>
      <c r="AR235" s="374"/>
      <c r="AY235"/>
      <c r="AZ235" s="297"/>
      <c r="BF235" s="26"/>
      <c r="BG235" s="26"/>
      <c r="BH235" s="26"/>
      <c r="BI235" s="26"/>
      <c r="BJ235" s="26"/>
      <c r="BK235" s="26"/>
      <c r="BL235" s="26"/>
      <c r="BS235" s="20"/>
      <c r="BT235" s="26"/>
      <c r="BV235" s="381"/>
      <c r="BW235" s="26"/>
      <c r="BX235" s="218"/>
      <c r="BY235" s="219"/>
      <c r="BZ235"/>
      <c r="CA235" s="218"/>
      <c r="CB235" s="229"/>
      <c r="CM235"/>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c r="AML235" s="1"/>
      <c r="AMM235" s="1"/>
      <c r="AMN235" s="1"/>
      <c r="AMO235" s="1"/>
      <c r="AMP235" s="1"/>
      <c r="AMQ235" s="1"/>
      <c r="AMR235" s="1"/>
      <c r="AMS235" s="1"/>
      <c r="AMT235" s="1"/>
      <c r="AMU235" s="1"/>
      <c r="AMV235" s="1"/>
      <c r="AMW235" s="1"/>
      <c r="AMX235" s="1"/>
      <c r="AMY235" s="1"/>
      <c r="AMZ235" s="1"/>
      <c r="ANA235" s="1"/>
      <c r="ANB235" s="1"/>
      <c r="ANC235" s="1"/>
      <c r="AND235" s="1"/>
      <c r="ANE235" s="1"/>
      <c r="ANF235" s="1"/>
      <c r="ANG235" s="1"/>
      <c r="ANH235" s="1"/>
      <c r="ANI235" s="1"/>
      <c r="ANJ235" s="1"/>
      <c r="ANK235" s="1"/>
      <c r="ANL235" s="1"/>
      <c r="ANM235" s="1"/>
      <c r="ANN235" s="1"/>
      <c r="ANO235" s="1"/>
      <c r="ANP235" s="1"/>
      <c r="ANQ235" s="1"/>
      <c r="ANR235" s="1"/>
      <c r="ANS235" s="1"/>
      <c r="ANT235" s="1"/>
      <c r="ANU235" s="1"/>
      <c r="ANV235" s="1"/>
      <c r="ANW235" s="1"/>
      <c r="ANX235" s="1"/>
      <c r="ANY235" s="1"/>
      <c r="ANZ235" s="1"/>
      <c r="AOA235" s="1"/>
      <c r="AOB235" s="1"/>
      <c r="AOC235" s="1"/>
      <c r="AOD235" s="1"/>
      <c r="AOE235" s="1"/>
      <c r="AOF235" s="1"/>
      <c r="AOG235" s="1"/>
      <c r="AOH235" s="1"/>
      <c r="AOI235" s="1"/>
      <c r="AOJ235" s="1"/>
      <c r="AOK235" s="1"/>
      <c r="AOL235" s="1"/>
      <c r="AOM235" s="1"/>
      <c r="AON235" s="1"/>
      <c r="AOO235" s="1"/>
      <c r="AOP235" s="1"/>
      <c r="AOQ235" s="1"/>
      <c r="AOR235" s="1"/>
      <c r="AOS235" s="1"/>
      <c r="AOT235" s="1"/>
      <c r="AOU235" s="1"/>
      <c r="AOV235" s="1"/>
      <c r="AOW235" s="1"/>
      <c r="AOX235" s="1"/>
      <c r="AOY235" s="1"/>
      <c r="AOZ235" s="1"/>
      <c r="APA235" s="1"/>
      <c r="APB235" s="1"/>
      <c r="APC235" s="1"/>
      <c r="APD235" s="1"/>
      <c r="APE235" s="1"/>
      <c r="APF235" s="1"/>
      <c r="APG235" s="1"/>
      <c r="APH235" s="1"/>
      <c r="API235" s="1"/>
      <c r="APJ235" s="1"/>
      <c r="APK235" s="1"/>
      <c r="APL235" s="1"/>
      <c r="APM235" s="1"/>
      <c r="APN235" s="1"/>
      <c r="APO235" s="1"/>
      <c r="APP235" s="1"/>
      <c r="APQ235" s="1"/>
      <c r="APR235" s="1"/>
      <c r="APS235" s="1"/>
      <c r="APT235" s="1"/>
      <c r="APU235" s="1"/>
      <c r="APV235" s="1"/>
      <c r="APW235" s="1"/>
      <c r="APX235" s="1"/>
      <c r="APY235" s="1"/>
      <c r="APZ235" s="1"/>
      <c r="AQA235" s="1"/>
      <c r="AQB235" s="1"/>
      <c r="AQC235" s="1"/>
      <c r="AQD235" s="1"/>
      <c r="AQE235" s="1"/>
      <c r="AQF235" s="1"/>
      <c r="AQG235" s="1"/>
      <c r="AQH235" s="1"/>
      <c r="AQI235" s="1"/>
      <c r="AQJ235" s="1"/>
      <c r="AQK235" s="1"/>
      <c r="AQL235" s="1"/>
      <c r="AQM235" s="1"/>
      <c r="AQN235" s="1"/>
      <c r="AQO235" s="1"/>
      <c r="AQP235" s="1"/>
      <c r="AQQ235" s="1"/>
      <c r="AQR235" s="1"/>
      <c r="AQS235" s="1"/>
      <c r="AQT235" s="1"/>
      <c r="AQU235" s="1"/>
      <c r="AQV235" s="1"/>
      <c r="AQW235" s="1"/>
      <c r="AQX235" s="1"/>
      <c r="AQY235" s="1"/>
      <c r="AQZ235" s="1"/>
      <c r="ARA235" s="1"/>
      <c r="ARB235" s="1"/>
      <c r="ARC235" s="1"/>
      <c r="ARD235" s="1"/>
      <c r="ARE235" s="1"/>
      <c r="ARF235" s="1"/>
      <c r="ARG235" s="1"/>
      <c r="ARH235" s="1"/>
      <c r="ARI235" s="1"/>
      <c r="ARJ235" s="1"/>
      <c r="ARK235" s="1"/>
      <c r="ARL235" s="1"/>
      <c r="ARM235" s="1"/>
      <c r="ARN235" s="1"/>
      <c r="ARO235" s="1"/>
      <c r="ARP235" s="1"/>
      <c r="ARQ235" s="1"/>
      <c r="ARR235" s="1"/>
      <c r="ARS235" s="1"/>
      <c r="ART235" s="1"/>
      <c r="ARU235" s="1"/>
      <c r="ARV235" s="1"/>
      <c r="ARW235" s="1"/>
      <c r="ARX235" s="1"/>
      <c r="ARY235" s="1"/>
      <c r="ARZ235" s="1"/>
      <c r="ASA235" s="1"/>
      <c r="ASB235" s="1"/>
      <c r="ASC235" s="1"/>
      <c r="ASD235" s="1"/>
      <c r="ASE235" s="1"/>
      <c r="ASF235" s="1"/>
      <c r="ASG235" s="1"/>
      <c r="ASH235" s="1"/>
      <c r="ASI235" s="1"/>
      <c r="ASJ235" s="1"/>
      <c r="ASK235" s="1"/>
      <c r="ASL235" s="1"/>
      <c r="ASM235" s="1"/>
      <c r="ASN235" s="1"/>
      <c r="ASO235" s="1"/>
      <c r="ASP235" s="1"/>
      <c r="ASQ235" s="1"/>
      <c r="ASR235" s="1"/>
      <c r="ASS235" s="1"/>
      <c r="AST235" s="1"/>
      <c r="ASU235" s="1"/>
      <c r="ASV235" s="1"/>
      <c r="ASW235" s="1"/>
      <c r="ASX235" s="1"/>
      <c r="ASY235" s="1"/>
      <c r="ASZ235" s="1"/>
      <c r="ATA235" s="1"/>
      <c r="ATB235" s="1"/>
      <c r="ATC235" s="1"/>
      <c r="ATD235" s="1"/>
      <c r="ATE235" s="1"/>
      <c r="ATF235" s="1"/>
      <c r="ATG235" s="1"/>
      <c r="ATH235" s="1"/>
      <c r="ATI235" s="1"/>
      <c r="ATJ235" s="1"/>
      <c r="ATK235" s="1"/>
      <c r="ATL235" s="1"/>
      <c r="ATM235" s="1"/>
      <c r="ATN235" s="1"/>
      <c r="ATO235" s="1"/>
      <c r="ATP235" s="1"/>
      <c r="ATQ235" s="1"/>
      <c r="ATR235" s="1"/>
      <c r="ATS235" s="1"/>
      <c r="ATT235" s="1"/>
      <c r="ATU235" s="1"/>
      <c r="ATV235" s="1"/>
      <c r="ATW235" s="1"/>
      <c r="ATX235" s="1"/>
      <c r="ATY235" s="1"/>
      <c r="ATZ235" s="1"/>
      <c r="AUA235" s="1"/>
      <c r="AUB235" s="1"/>
      <c r="AUC235" s="1"/>
      <c r="AUD235" s="1"/>
      <c r="AUE235" s="1"/>
      <c r="AUF235" s="1"/>
      <c r="AUG235" s="1"/>
      <c r="AUH235" s="1"/>
      <c r="AUI235" s="1"/>
      <c r="AUJ235" s="1"/>
      <c r="AUK235" s="1"/>
      <c r="AUL235" s="1"/>
      <c r="AUM235" s="1"/>
      <c r="AUN235" s="1"/>
      <c r="AUO235" s="1"/>
      <c r="AUP235" s="1"/>
      <c r="AUQ235" s="1"/>
      <c r="AUR235" s="1"/>
      <c r="AUS235" s="1"/>
      <c r="AUT235" s="1"/>
      <c r="AUU235" s="1"/>
      <c r="AUV235" s="1"/>
      <c r="AUW235" s="1"/>
      <c r="AUX235" s="1"/>
      <c r="AUY235" s="1"/>
      <c r="AUZ235" s="1"/>
      <c r="AVA235" s="1"/>
      <c r="AVB235" s="1"/>
      <c r="AVC235" s="1"/>
      <c r="AVD235" s="1"/>
      <c r="AVE235" s="1"/>
      <c r="AVF235" s="1"/>
      <c r="AVG235" s="1"/>
      <c r="AVH235" s="1"/>
      <c r="AVI235" s="1"/>
      <c r="AVJ235" s="1"/>
      <c r="AVK235" s="1"/>
      <c r="AVL235" s="1"/>
      <c r="AVM235" s="1"/>
      <c r="AVN235" s="1"/>
      <c r="AVO235" s="1"/>
      <c r="AVP235" s="1"/>
      <c r="AVQ235" s="1"/>
      <c r="AVR235" s="1"/>
      <c r="AVS235" s="1"/>
      <c r="AVT235" s="1"/>
      <c r="AVU235" s="1"/>
      <c r="AVV235" s="1"/>
      <c r="AVW235" s="1"/>
      <c r="AVX235" s="1"/>
      <c r="AVY235" s="1"/>
      <c r="AVZ235" s="1"/>
      <c r="AWA235" s="1"/>
      <c r="AWB235" s="1"/>
      <c r="AWC235" s="1"/>
      <c r="AWD235" s="1"/>
      <c r="AWE235" s="1"/>
      <c r="AWF235" s="1"/>
      <c r="AWG235" s="1"/>
      <c r="AWH235" s="1"/>
      <c r="AWI235" s="1"/>
      <c r="AWJ235" s="1"/>
      <c r="AWK235" s="1"/>
      <c r="AWL235" s="1"/>
      <c r="AWM235" s="1"/>
      <c r="AWN235" s="1"/>
      <c r="AWO235" s="1"/>
      <c r="AWP235" s="1"/>
      <c r="AWQ235" s="1"/>
      <c r="AWR235" s="1"/>
      <c r="AWS235" s="1"/>
      <c r="AWT235" s="1"/>
      <c r="AWU235" s="1"/>
      <c r="AWV235" s="1"/>
      <c r="AWW235" s="1"/>
      <c r="AWX235" s="1"/>
      <c r="AWY235" s="1"/>
      <c r="AWZ235" s="1"/>
      <c r="AXA235" s="1"/>
      <c r="AXB235" s="1"/>
      <c r="AXC235" s="1"/>
      <c r="AXD235" s="1"/>
      <c r="AXE235" s="1"/>
      <c r="AXF235" s="1"/>
      <c r="AXG235" s="1"/>
      <c r="AXH235" s="1"/>
      <c r="AXI235" s="1"/>
      <c r="AXJ235" s="1"/>
      <c r="AXK235" s="1"/>
      <c r="AXL235" s="1"/>
      <c r="AXM235" s="1"/>
      <c r="AXN235" s="1"/>
      <c r="AXO235" s="1"/>
      <c r="AXP235" s="1"/>
      <c r="AXQ235" s="1"/>
      <c r="AXR235" s="1"/>
      <c r="AXS235" s="1"/>
      <c r="AXT235" s="1"/>
      <c r="AXU235" s="1"/>
      <c r="AXV235" s="1"/>
      <c r="AXW235" s="1"/>
      <c r="AXX235" s="1"/>
      <c r="AXY235" s="1"/>
      <c r="AXZ235" s="1"/>
      <c r="AYA235" s="1"/>
      <c r="AYB235" s="1"/>
      <c r="AYC235" s="1"/>
      <c r="AYD235" s="1"/>
      <c r="AYE235" s="1"/>
      <c r="AYF235" s="1"/>
      <c r="AYG235" s="1"/>
      <c r="AYH235" s="1"/>
      <c r="AYI235" s="1"/>
      <c r="AYJ235" s="1"/>
      <c r="AYK235" s="1"/>
      <c r="AYL235" s="1"/>
      <c r="AYM235" s="1"/>
      <c r="AYN235" s="1"/>
      <c r="AYO235" s="1"/>
      <c r="AYP235" s="1"/>
      <c r="AYQ235" s="1"/>
      <c r="AYR235" s="1"/>
      <c r="AYS235" s="1"/>
      <c r="AYT235" s="1"/>
      <c r="AYU235" s="1"/>
      <c r="AYV235" s="1"/>
      <c r="AYW235" s="1"/>
      <c r="AYX235" s="1"/>
      <c r="AYY235" s="1"/>
      <c r="AYZ235" s="1"/>
      <c r="AZA235" s="1"/>
      <c r="AZB235" s="1"/>
      <c r="AZC235" s="1"/>
      <c r="AZD235" s="1"/>
      <c r="AZE235" s="1"/>
      <c r="AZF235" s="1"/>
      <c r="AZG235" s="1"/>
      <c r="AZH235" s="1"/>
      <c r="AZI235" s="1"/>
      <c r="AZJ235" s="1"/>
      <c r="AZK235" s="1"/>
      <c r="AZL235" s="1"/>
      <c r="AZM235" s="1"/>
      <c r="AZN235" s="1"/>
      <c r="AZO235" s="1"/>
      <c r="AZP235" s="1"/>
      <c r="AZQ235" s="1"/>
      <c r="AZR235" s="1"/>
      <c r="AZS235" s="1"/>
      <c r="AZT235" s="1"/>
      <c r="AZU235" s="1"/>
      <c r="AZV235" s="1"/>
      <c r="AZW235" s="1"/>
      <c r="AZX235" s="1"/>
      <c r="AZY235" s="1"/>
      <c r="AZZ235" s="1"/>
      <c r="BAA235" s="1"/>
      <c r="BAB235" s="1"/>
      <c r="BAC235" s="1"/>
      <c r="BAD235" s="1"/>
      <c r="BAE235" s="1"/>
      <c r="BAF235" s="1"/>
      <c r="BAG235" s="1"/>
      <c r="BAH235" s="1"/>
      <c r="BAI235" s="1"/>
      <c r="BAJ235" s="1"/>
      <c r="BAK235" s="1"/>
      <c r="BAL235" s="1"/>
      <c r="BAM235" s="1"/>
      <c r="BAN235" s="1"/>
      <c r="BAO235" s="1"/>
      <c r="BAP235" s="1"/>
      <c r="BAQ235" s="1"/>
      <c r="BAR235" s="1"/>
      <c r="BAS235" s="1"/>
      <c r="BAT235" s="1"/>
      <c r="BAU235" s="1"/>
      <c r="BAV235" s="1"/>
      <c r="BAW235" s="1"/>
      <c r="BAX235" s="1"/>
      <c r="BAY235" s="1"/>
      <c r="BAZ235" s="1"/>
      <c r="BBA235" s="1"/>
      <c r="BBB235" s="1"/>
      <c r="BBC235" s="1"/>
      <c r="BBD235" s="1"/>
      <c r="BBE235" s="1"/>
      <c r="BBF235" s="1"/>
      <c r="BBG235" s="1"/>
      <c r="BBH235" s="1"/>
      <c r="BBI235" s="1"/>
      <c r="BBJ235" s="1"/>
      <c r="BBK235" s="1"/>
      <c r="BBL235" s="1"/>
      <c r="BBM235" s="1"/>
      <c r="BBN235" s="1"/>
      <c r="BBO235" s="1"/>
      <c r="BBP235" s="1"/>
      <c r="BBQ235" s="1"/>
      <c r="BBR235" s="1"/>
      <c r="BBS235" s="1"/>
      <c r="BBT235" s="1"/>
      <c r="BBU235" s="1"/>
      <c r="BBV235" s="1"/>
      <c r="BBW235" s="1"/>
      <c r="BBX235" s="1"/>
      <c r="BBY235" s="1"/>
      <c r="BBZ235" s="1"/>
      <c r="BCA235" s="1"/>
      <c r="BCB235" s="1"/>
      <c r="BCC235" s="1"/>
      <c r="BCD235" s="1"/>
      <c r="BCE235" s="1"/>
      <c r="BCF235" s="1"/>
      <c r="BCG235" s="1"/>
      <c r="BCH235" s="1"/>
      <c r="BCI235" s="1"/>
      <c r="BCJ235" s="1"/>
      <c r="BCK235" s="1"/>
      <c r="BCL235" s="1"/>
      <c r="BCM235" s="1"/>
      <c r="BCN235" s="1"/>
      <c r="BCO235" s="1"/>
      <c r="BCP235" s="1"/>
      <c r="BCQ235" s="1"/>
      <c r="BCR235" s="1"/>
      <c r="BCS235" s="1"/>
      <c r="BCT235" s="1"/>
      <c r="BCU235" s="1"/>
      <c r="BCV235" s="1"/>
      <c r="BCW235" s="1"/>
      <c r="BCX235" s="1"/>
      <c r="BCY235" s="1"/>
      <c r="BCZ235" s="1"/>
      <c r="BDA235" s="1"/>
      <c r="BDB235" s="1"/>
      <c r="BDC235" s="1"/>
      <c r="BDD235" s="1"/>
      <c r="BDE235" s="1"/>
      <c r="BDF235" s="1"/>
      <c r="BDG235" s="1"/>
      <c r="BDH235" s="1"/>
      <c r="BDI235" s="1"/>
      <c r="BDJ235" s="1"/>
      <c r="BDK235" s="1"/>
      <c r="BDL235" s="1"/>
      <c r="BDM235" s="1"/>
      <c r="BDN235" s="1"/>
      <c r="BDO235" s="1"/>
      <c r="BDP235" s="1"/>
      <c r="BDQ235" s="1"/>
      <c r="BDR235" s="1"/>
      <c r="BDS235" s="1"/>
      <c r="BDT235" s="1"/>
      <c r="BDU235" s="1"/>
      <c r="BDV235" s="1"/>
      <c r="BDW235" s="1"/>
      <c r="BDX235" s="1"/>
      <c r="BDY235" s="1"/>
      <c r="BDZ235" s="1"/>
      <c r="BEA235" s="1"/>
      <c r="BEB235" s="1"/>
      <c r="BEC235" s="1"/>
      <c r="BED235" s="1"/>
      <c r="BEE235" s="1"/>
      <c r="BEF235" s="1"/>
      <c r="BEG235" s="1"/>
      <c r="BEH235" s="1"/>
      <c r="BEI235" s="1"/>
      <c r="BEJ235" s="1"/>
      <c r="BEK235" s="1"/>
      <c r="BEL235" s="1"/>
      <c r="BEM235" s="1"/>
      <c r="BEN235" s="1"/>
      <c r="BEO235" s="1"/>
      <c r="BEP235" s="1"/>
      <c r="BEQ235" s="1"/>
      <c r="BER235" s="1"/>
      <c r="BES235" s="1"/>
      <c r="BET235" s="1"/>
      <c r="BEU235" s="1"/>
      <c r="BEV235" s="1"/>
      <c r="BEW235" s="1"/>
      <c r="BEX235" s="1"/>
      <c r="BEY235" s="1"/>
      <c r="BEZ235" s="1"/>
      <c r="BFA235" s="1"/>
      <c r="BFB235" s="1"/>
      <c r="BFC235" s="1"/>
      <c r="BFD235" s="1"/>
      <c r="BFE235" s="1"/>
      <c r="BFF235" s="1"/>
      <c r="BFG235" s="1"/>
      <c r="BFH235" s="1"/>
      <c r="BFI235" s="1"/>
      <c r="BFJ235" s="1"/>
      <c r="BFK235" s="1"/>
      <c r="BFL235" s="1"/>
      <c r="BFM235" s="1"/>
      <c r="BFN235" s="1"/>
      <c r="BFO235" s="1"/>
      <c r="BFP235" s="1"/>
      <c r="BFQ235" s="1"/>
      <c r="BFR235" s="1"/>
      <c r="BFS235" s="1"/>
      <c r="BFT235" s="1"/>
      <c r="BFU235" s="1"/>
      <c r="BFV235" s="1"/>
      <c r="BFW235" s="1"/>
      <c r="BFX235" s="1"/>
      <c r="BFY235" s="1"/>
      <c r="BFZ235" s="1"/>
      <c r="BGA235" s="1"/>
      <c r="BGB235" s="1"/>
      <c r="BGC235" s="1"/>
      <c r="BGD235" s="1"/>
      <c r="BGE235" s="1"/>
      <c r="BGF235" s="1"/>
      <c r="BGG235" s="1"/>
      <c r="BGH235" s="1"/>
      <c r="BGI235" s="1"/>
      <c r="BGJ235" s="1"/>
      <c r="BGK235" s="1"/>
      <c r="BGL235" s="1"/>
      <c r="BGM235" s="1"/>
      <c r="BGN235" s="1"/>
      <c r="BGO235" s="1"/>
      <c r="BGP235" s="1"/>
      <c r="BGQ235" s="1"/>
      <c r="BGR235" s="1"/>
      <c r="BGS235" s="1"/>
      <c r="BGT235" s="1"/>
      <c r="BGU235" s="1"/>
      <c r="BGV235" s="1"/>
      <c r="BGW235" s="1"/>
      <c r="BGX235" s="1"/>
      <c r="BGY235" s="1"/>
      <c r="BGZ235" s="1"/>
      <c r="BHA235" s="1"/>
      <c r="BHB235" s="1"/>
      <c r="BHC235" s="1"/>
      <c r="BHD235" s="1"/>
      <c r="BHE235" s="1"/>
      <c r="BHF235" s="1"/>
      <c r="BHG235" s="1"/>
      <c r="BHH235" s="1"/>
      <c r="BHI235" s="1"/>
      <c r="BHJ235" s="1"/>
      <c r="BHK235" s="1"/>
      <c r="BHL235" s="1"/>
      <c r="BHM235" s="1"/>
      <c r="BHN235" s="1"/>
      <c r="BHO235" s="1"/>
      <c r="BHP235" s="1"/>
      <c r="BHQ235" s="1"/>
      <c r="BHR235" s="1"/>
      <c r="BHS235" s="1"/>
      <c r="BHT235" s="1"/>
      <c r="BHU235" s="1"/>
      <c r="BHV235" s="1"/>
      <c r="BHW235" s="1"/>
      <c r="BHX235" s="1"/>
      <c r="BHY235" s="1"/>
      <c r="BHZ235" s="1"/>
      <c r="BIA235" s="1"/>
      <c r="BIB235" s="1"/>
      <c r="BIC235" s="1"/>
      <c r="BID235" s="1"/>
      <c r="BIE235" s="1"/>
      <c r="BIF235" s="1"/>
      <c r="BIG235" s="1"/>
      <c r="BIH235" s="1"/>
      <c r="BII235" s="1"/>
      <c r="BIJ235" s="1"/>
      <c r="BIK235" s="1"/>
      <c r="BIL235" s="1"/>
      <c r="BIM235" s="1"/>
      <c r="BIN235" s="1"/>
      <c r="BIO235" s="1"/>
      <c r="BIP235" s="1"/>
      <c r="BIQ235" s="1"/>
      <c r="BIR235" s="1"/>
      <c r="BIS235" s="1"/>
      <c r="BIT235" s="1"/>
      <c r="BIU235" s="1"/>
      <c r="BIV235" s="1"/>
      <c r="BIW235" s="1"/>
      <c r="BIX235" s="1"/>
      <c r="BIY235" s="1"/>
      <c r="BIZ235" s="1"/>
      <c r="BJA235" s="1"/>
      <c r="BJB235" s="1"/>
      <c r="BJC235" s="1"/>
      <c r="BJD235" s="1"/>
      <c r="BJE235" s="1"/>
      <c r="BJF235" s="1"/>
      <c r="BJG235" s="1"/>
      <c r="BJH235" s="1"/>
      <c r="BJI235" s="1"/>
      <c r="BJJ235" s="1"/>
      <c r="BJK235" s="1"/>
      <c r="BJL235" s="1"/>
      <c r="BJM235" s="1"/>
      <c r="BJN235" s="1"/>
      <c r="BJO235" s="1"/>
      <c r="BJP235" s="1"/>
      <c r="BJQ235" s="1"/>
      <c r="BJR235" s="1"/>
      <c r="BJS235" s="1"/>
      <c r="BJT235" s="1"/>
      <c r="BJU235" s="1"/>
      <c r="BJV235" s="1"/>
      <c r="BJW235" s="1"/>
      <c r="BJX235" s="1"/>
      <c r="BJY235" s="1"/>
      <c r="BJZ235" s="1"/>
      <c r="BKA235" s="1"/>
      <c r="BKB235" s="1"/>
      <c r="BKC235" s="1"/>
      <c r="BKD235" s="1"/>
      <c r="BKE235" s="1"/>
      <c r="BKF235" s="1"/>
      <c r="BKG235" s="1"/>
      <c r="BKH235" s="1"/>
      <c r="BKI235" s="1"/>
      <c r="BKJ235" s="1"/>
      <c r="BKK235" s="1"/>
      <c r="BKL235" s="1"/>
      <c r="BKM235" s="1"/>
      <c r="BKN235" s="1"/>
      <c r="BKO235" s="1"/>
      <c r="BKP235" s="1"/>
      <c r="BKQ235" s="1"/>
      <c r="BKR235" s="1"/>
      <c r="BKS235" s="1"/>
      <c r="BKT235" s="1"/>
      <c r="BKU235" s="1"/>
      <c r="BKV235" s="1"/>
      <c r="BKW235" s="1"/>
      <c r="BKX235" s="1"/>
      <c r="BKY235" s="1"/>
      <c r="BKZ235" s="1"/>
      <c r="BLA235" s="1"/>
      <c r="BLB235" s="1"/>
      <c r="BLC235" s="1"/>
      <c r="BLD235" s="1"/>
      <c r="BLE235" s="1"/>
      <c r="BLF235" s="1"/>
      <c r="BLG235" s="1"/>
      <c r="BLH235" s="1"/>
      <c r="BLI235" s="1"/>
      <c r="BLJ235" s="1"/>
      <c r="BLK235" s="1"/>
      <c r="BLL235" s="1"/>
      <c r="BLM235" s="1"/>
      <c r="BLN235" s="1"/>
      <c r="BLO235" s="1"/>
      <c r="BLP235" s="1"/>
      <c r="BLQ235" s="1"/>
      <c r="BLR235" s="1"/>
      <c r="BLS235" s="1"/>
      <c r="BLT235" s="1"/>
      <c r="BLU235" s="1"/>
      <c r="BLV235" s="1"/>
      <c r="BLW235" s="1"/>
      <c r="BLX235" s="1"/>
      <c r="BLY235" s="1"/>
      <c r="BLZ235" s="1"/>
      <c r="BMA235" s="1"/>
      <c r="BMB235" s="1"/>
      <c r="BMC235" s="1"/>
      <c r="BMD235" s="1"/>
      <c r="BME235" s="1"/>
      <c r="BMF235" s="1"/>
      <c r="BMG235" s="1"/>
      <c r="BMH235" s="1"/>
      <c r="BMI235" s="1"/>
      <c r="BMJ235" s="1"/>
      <c r="BMK235" s="1"/>
      <c r="BML235" s="1"/>
      <c r="BMM235" s="1"/>
      <c r="BMN235" s="1"/>
      <c r="BMO235" s="1"/>
      <c r="BMP235" s="1"/>
      <c r="BMQ235" s="1"/>
      <c r="BMR235" s="1"/>
      <c r="BMS235" s="1"/>
      <c r="BMT235" s="1"/>
      <c r="BMU235" s="1"/>
      <c r="BMV235" s="1"/>
      <c r="BMW235" s="1"/>
      <c r="BMX235" s="1"/>
      <c r="BMY235" s="1"/>
      <c r="BMZ235" s="1"/>
      <c r="BNA235" s="1"/>
      <c r="BNB235" s="1"/>
      <c r="BNC235" s="1"/>
      <c r="BND235" s="1"/>
      <c r="BNE235" s="1"/>
      <c r="BNF235" s="1"/>
      <c r="BNG235" s="1"/>
      <c r="BNH235" s="1"/>
      <c r="BNI235" s="1"/>
      <c r="BNJ235" s="1"/>
      <c r="BNK235" s="1"/>
      <c r="BNL235" s="1"/>
      <c r="BNM235" s="1"/>
      <c r="BNN235" s="1"/>
      <c r="BNO235" s="1"/>
      <c r="BNP235" s="1"/>
      <c r="BNQ235" s="1"/>
      <c r="BNR235" s="1"/>
      <c r="BNS235" s="1"/>
      <c r="BNT235" s="1"/>
      <c r="BNU235" s="1"/>
      <c r="BNV235" s="1"/>
      <c r="BNW235" s="1"/>
      <c r="BNX235" s="1"/>
      <c r="BNY235" s="1"/>
      <c r="BNZ235" s="1"/>
      <c r="BOA235" s="1"/>
      <c r="BOB235" s="1"/>
      <c r="BOC235" s="1"/>
      <c r="BOD235" s="1"/>
      <c r="BOE235" s="1"/>
      <c r="BOF235" s="1"/>
      <c r="BOG235" s="1"/>
      <c r="BOH235" s="1"/>
      <c r="BOI235" s="1"/>
      <c r="BOJ235" s="1"/>
      <c r="BOK235" s="1"/>
      <c r="BOL235" s="1"/>
      <c r="BOM235" s="1"/>
      <c r="BON235" s="1"/>
      <c r="BOO235" s="1"/>
      <c r="BOP235" s="1"/>
      <c r="BOQ235" s="1"/>
      <c r="BOR235" s="1"/>
      <c r="BOS235" s="1"/>
      <c r="BOT235" s="1"/>
      <c r="BOU235" s="1"/>
      <c r="BOV235" s="1"/>
      <c r="BOW235" s="1"/>
      <c r="BOX235" s="1"/>
      <c r="BOY235" s="1"/>
      <c r="BOZ235" s="1"/>
      <c r="BPA235" s="1"/>
      <c r="BPB235" s="1"/>
      <c r="BPC235" s="1"/>
      <c r="BPD235" s="1"/>
      <c r="BPE235" s="1"/>
      <c r="BPF235" s="1"/>
      <c r="BPG235" s="1"/>
      <c r="BPH235" s="1"/>
      <c r="BPI235" s="1"/>
      <c r="BPJ235" s="1"/>
      <c r="BPK235" s="1"/>
      <c r="BPL235" s="1"/>
      <c r="BPM235" s="1"/>
      <c r="BPN235" s="1"/>
      <c r="BPO235" s="1"/>
      <c r="BPP235" s="1"/>
      <c r="BPQ235" s="1"/>
      <c r="BPR235" s="1"/>
      <c r="BPS235" s="1"/>
      <c r="BPT235" s="1"/>
      <c r="BPU235" s="1"/>
      <c r="BPV235" s="1"/>
      <c r="BPW235" s="1"/>
      <c r="BPX235" s="1"/>
      <c r="BPY235" s="1"/>
      <c r="BPZ235" s="1"/>
      <c r="BQA235" s="1"/>
      <c r="BQB235" s="1"/>
      <c r="BQC235" s="1"/>
      <c r="BQD235" s="1"/>
      <c r="BQE235" s="1"/>
      <c r="BQF235" s="1"/>
      <c r="BQG235" s="1"/>
      <c r="BQH235" s="1"/>
      <c r="BQI235" s="1"/>
      <c r="BQJ235" s="1"/>
      <c r="BQK235" s="1"/>
      <c r="BQL235" s="1"/>
      <c r="BQM235" s="1"/>
      <c r="BQN235" s="1"/>
      <c r="BQO235" s="1"/>
      <c r="BQP235" s="1"/>
      <c r="BQQ235" s="1"/>
      <c r="BQR235" s="1"/>
      <c r="BQS235" s="1"/>
      <c r="BQT235" s="1"/>
      <c r="BQU235" s="1"/>
      <c r="BQV235" s="1"/>
      <c r="BQW235" s="1"/>
      <c r="BQX235" s="1"/>
      <c r="BQY235" s="1"/>
      <c r="BQZ235" s="1"/>
      <c r="BRA235" s="1"/>
      <c r="BRB235" s="1"/>
      <c r="BRC235" s="1"/>
      <c r="BRD235" s="1"/>
      <c r="BRE235" s="1"/>
      <c r="BRF235" s="1"/>
      <c r="BRG235" s="1"/>
      <c r="BRH235" s="1"/>
      <c r="BRI235" s="1"/>
      <c r="BRJ235" s="1"/>
      <c r="BRK235" s="1"/>
      <c r="BRL235" s="1"/>
      <c r="BRM235" s="1"/>
      <c r="BRN235" s="1"/>
      <c r="BRO235" s="1"/>
      <c r="BRP235" s="1"/>
      <c r="BRQ235" s="1"/>
      <c r="BRR235" s="1"/>
      <c r="BRS235" s="1"/>
      <c r="BRT235" s="1"/>
      <c r="BRU235" s="1"/>
      <c r="BRV235" s="1"/>
      <c r="BRW235" s="1"/>
      <c r="BRX235" s="1"/>
      <c r="BRY235" s="1"/>
      <c r="BRZ235" s="1"/>
      <c r="BSA235" s="1"/>
      <c r="BSB235" s="1"/>
      <c r="BSC235" s="1"/>
      <c r="BSD235" s="1"/>
      <c r="BSE235" s="1"/>
      <c r="BSF235" s="1"/>
      <c r="BSG235" s="1"/>
      <c r="BSH235" s="1"/>
      <c r="BSI235" s="1"/>
      <c r="BSJ235" s="1"/>
      <c r="BSK235" s="1"/>
      <c r="BSL235" s="1"/>
      <c r="BSM235" s="1"/>
      <c r="BSN235" s="1"/>
      <c r="BSO235" s="1"/>
      <c r="BSP235" s="1"/>
      <c r="BSQ235" s="1"/>
      <c r="BSR235" s="1"/>
      <c r="BSS235" s="1"/>
      <c r="BST235" s="1"/>
      <c r="BSU235" s="1"/>
      <c r="BSV235" s="1"/>
      <c r="BSW235" s="1"/>
      <c r="BSX235" s="1"/>
      <c r="BSY235" s="1"/>
      <c r="BSZ235" s="1"/>
      <c r="BTA235" s="1"/>
      <c r="BTB235" s="1"/>
      <c r="BTC235" s="1"/>
      <c r="BTD235" s="1"/>
      <c r="BTE235" s="1"/>
      <c r="BTF235" s="1"/>
      <c r="BTG235" s="1"/>
      <c r="BTH235" s="1"/>
      <c r="BTI235" s="1"/>
      <c r="BTJ235" s="1"/>
      <c r="BTK235" s="1"/>
      <c r="BTL235" s="1"/>
      <c r="BTM235" s="1"/>
      <c r="BTN235" s="1"/>
      <c r="BTO235" s="1"/>
      <c r="BTP235" s="1"/>
      <c r="BTQ235" s="1"/>
      <c r="BTR235" s="1"/>
      <c r="BTS235" s="1"/>
      <c r="BTT235" s="1"/>
      <c r="BTU235" s="1"/>
      <c r="BTV235" s="1"/>
      <c r="BTW235" s="1"/>
      <c r="BTX235" s="1"/>
      <c r="BTY235" s="1"/>
      <c r="BTZ235" s="1"/>
      <c r="BUA235" s="1"/>
      <c r="BUB235" s="1"/>
      <c r="BUC235" s="1"/>
      <c r="BUD235" s="1"/>
      <c r="BUE235" s="1"/>
      <c r="BUF235" s="1"/>
      <c r="BUG235" s="1"/>
      <c r="BUH235" s="1"/>
      <c r="BUI235" s="1"/>
      <c r="BUJ235" s="1"/>
      <c r="BUK235" s="1"/>
      <c r="BUL235" s="1"/>
      <c r="BUM235" s="1"/>
      <c r="BUN235" s="1"/>
      <c r="BUO235" s="1"/>
      <c r="BUP235" s="1"/>
      <c r="BUQ235" s="1"/>
      <c r="BUR235" s="1"/>
      <c r="BUS235" s="1"/>
      <c r="BUT235" s="1"/>
      <c r="BUU235" s="1"/>
      <c r="BUV235" s="1"/>
      <c r="BUW235" s="1"/>
      <c r="BUX235" s="1"/>
      <c r="BUY235" s="1"/>
      <c r="BUZ235" s="1"/>
      <c r="BVA235" s="1"/>
      <c r="BVB235" s="1"/>
      <c r="BVC235" s="1"/>
      <c r="BVD235" s="1"/>
      <c r="BVE235" s="1"/>
      <c r="BVF235" s="1"/>
      <c r="BVG235" s="1"/>
      <c r="BVH235" s="1"/>
      <c r="BVI235" s="1"/>
      <c r="BVJ235" s="1"/>
      <c r="BVK235" s="1"/>
      <c r="BVL235" s="1"/>
      <c r="BVM235" s="1"/>
      <c r="BVN235" s="1"/>
      <c r="BVO235" s="1"/>
      <c r="BVP235" s="1"/>
      <c r="BVQ235" s="1"/>
      <c r="BVR235" s="1"/>
      <c r="BVS235" s="1"/>
      <c r="BVT235" s="1"/>
      <c r="BVU235" s="1"/>
      <c r="BVV235" s="1"/>
      <c r="BVW235" s="1"/>
      <c r="BVX235" s="1"/>
      <c r="BVY235" s="1"/>
      <c r="BVZ235" s="1"/>
      <c r="BWA235" s="1"/>
      <c r="BWB235" s="1"/>
      <c r="BWC235" s="1"/>
      <c r="BWD235" s="1"/>
      <c r="BWE235" s="1"/>
      <c r="BWF235" s="1"/>
      <c r="BWG235" s="1"/>
      <c r="BWH235" s="1"/>
      <c r="BWI235" s="1"/>
      <c r="BWJ235" s="1"/>
      <c r="BWK235" s="1"/>
      <c r="BWL235" s="1"/>
      <c r="BWM235" s="1"/>
      <c r="BWN235" s="1"/>
      <c r="BWO235" s="1"/>
      <c r="BWP235" s="1"/>
      <c r="BWQ235" s="1"/>
      <c r="BWR235" s="1"/>
      <c r="BWS235" s="1"/>
      <c r="BWT235" s="1"/>
      <c r="BWU235" s="1"/>
      <c r="BWV235" s="1"/>
      <c r="BWW235" s="1"/>
      <c r="BWX235" s="1"/>
      <c r="BWY235" s="1"/>
      <c r="BWZ235" s="1"/>
      <c r="BXA235" s="1"/>
      <c r="BXB235" s="1"/>
      <c r="BXC235" s="1"/>
      <c r="BXD235" s="1"/>
      <c r="BXE235" s="1"/>
      <c r="BXF235" s="1"/>
      <c r="BXG235" s="1"/>
      <c r="BXH235" s="1"/>
      <c r="BXI235" s="1"/>
      <c r="BXJ235" s="1"/>
      <c r="BXK235" s="1"/>
      <c r="BXL235" s="1"/>
      <c r="BXM235" s="1"/>
      <c r="BXN235" s="1"/>
      <c r="BXO235" s="1"/>
      <c r="BXP235" s="1"/>
      <c r="BXQ235" s="1"/>
      <c r="BXR235" s="1"/>
      <c r="BXS235" s="1"/>
      <c r="BXT235" s="1"/>
      <c r="BXU235" s="1"/>
      <c r="BXV235" s="1"/>
      <c r="BXW235" s="1"/>
      <c r="BXX235" s="1"/>
      <c r="BXY235" s="1"/>
      <c r="BXZ235" s="1"/>
      <c r="BYA235" s="1"/>
      <c r="BYB235" s="1"/>
      <c r="BYC235" s="1"/>
      <c r="BYD235" s="1"/>
      <c r="BYE235" s="1"/>
      <c r="BYF235" s="1"/>
      <c r="BYG235" s="1"/>
      <c r="BYH235" s="1"/>
      <c r="BYI235" s="1"/>
      <c r="BYJ235" s="1"/>
      <c r="BYK235" s="1"/>
      <c r="BYL235" s="1"/>
      <c r="BYM235" s="1"/>
      <c r="BYN235" s="1"/>
      <c r="BYO235" s="1"/>
      <c r="BYP235" s="1"/>
      <c r="BYQ235" s="1"/>
      <c r="BYR235" s="1"/>
      <c r="BYS235" s="1"/>
      <c r="BYT235" s="1"/>
      <c r="BYU235" s="1"/>
      <c r="BYV235" s="1"/>
      <c r="BYW235" s="1"/>
      <c r="BYX235" s="1"/>
      <c r="BYY235" s="1"/>
      <c r="BYZ235" s="1"/>
      <c r="BZA235" s="1"/>
      <c r="BZB235" s="1"/>
      <c r="BZC235" s="1"/>
      <c r="BZD235" s="1"/>
      <c r="BZE235" s="1"/>
      <c r="BZF235" s="1"/>
      <c r="BZG235" s="1"/>
      <c r="BZH235" s="1"/>
      <c r="BZI235" s="1"/>
      <c r="BZJ235" s="1"/>
      <c r="BZK235" s="1"/>
      <c r="BZL235" s="1"/>
      <c r="BZM235" s="1"/>
      <c r="BZN235" s="1"/>
      <c r="BZO235" s="1"/>
      <c r="BZP235" s="1"/>
      <c r="BZQ235" s="1"/>
      <c r="BZR235" s="1"/>
      <c r="BZS235" s="1"/>
      <c r="BZT235" s="1"/>
      <c r="BZU235" s="1"/>
      <c r="BZV235" s="1"/>
      <c r="BZW235" s="1"/>
      <c r="BZX235" s="1"/>
      <c r="BZY235" s="1"/>
      <c r="BZZ235" s="1"/>
      <c r="CAA235" s="1"/>
      <c r="CAB235" s="1"/>
      <c r="CAC235" s="1"/>
      <c r="CAD235" s="1"/>
      <c r="CAE235" s="1"/>
      <c r="CAF235" s="1"/>
      <c r="CAG235" s="1"/>
      <c r="CAH235" s="1"/>
      <c r="CAI235" s="1"/>
      <c r="CAJ235" s="1"/>
      <c r="CAK235" s="1"/>
      <c r="CAL235" s="1"/>
      <c r="CAM235" s="1"/>
      <c r="CAN235" s="1"/>
      <c r="CAO235" s="1"/>
      <c r="CAP235" s="1"/>
      <c r="CAQ235" s="1"/>
      <c r="CAR235" s="1"/>
      <c r="CAS235" s="1"/>
      <c r="CAT235" s="1"/>
      <c r="CAU235" s="1"/>
      <c r="CAV235" s="1"/>
      <c r="CAW235" s="1"/>
      <c r="CAX235" s="1"/>
      <c r="CAY235" s="1"/>
      <c r="CAZ235" s="1"/>
      <c r="CBA235" s="1"/>
      <c r="CBB235" s="1"/>
      <c r="CBC235" s="1"/>
      <c r="CBD235" s="1"/>
      <c r="CBE235" s="1"/>
      <c r="CBF235" s="1"/>
      <c r="CBG235" s="1"/>
      <c r="CBH235" s="1"/>
      <c r="CBI235" s="1"/>
      <c r="CBJ235" s="1"/>
      <c r="CBK235" s="1"/>
      <c r="CBL235" s="1"/>
      <c r="CBM235" s="1"/>
      <c r="CBN235" s="1"/>
      <c r="CBO235" s="1"/>
      <c r="CBP235" s="1"/>
      <c r="CBQ235" s="1"/>
      <c r="CBR235" s="1"/>
      <c r="CBS235" s="1"/>
      <c r="CBT235" s="1"/>
      <c r="CBU235" s="1"/>
      <c r="CBV235" s="1"/>
      <c r="CBW235" s="1"/>
      <c r="CBX235" s="1"/>
      <c r="CBY235" s="1"/>
      <c r="CBZ235" s="1"/>
      <c r="CCA235" s="1"/>
      <c r="CCB235" s="1"/>
      <c r="CCC235" s="1"/>
      <c r="CCD235" s="1"/>
      <c r="CCE235" s="1"/>
      <c r="CCF235" s="1"/>
      <c r="CCG235" s="1"/>
      <c r="CCH235" s="1"/>
      <c r="CCI235" s="1"/>
      <c r="CCJ235" s="1"/>
      <c r="CCK235" s="1"/>
      <c r="CCL235" s="1"/>
      <c r="CCM235" s="1"/>
      <c r="CCN235" s="1"/>
      <c r="CCO235" s="1"/>
      <c r="CCP235" s="1"/>
      <c r="CCQ235" s="1"/>
      <c r="CCR235" s="1"/>
      <c r="CCS235" s="1"/>
      <c r="CCT235" s="1"/>
      <c r="CCU235" s="1"/>
      <c r="CCV235" s="1"/>
      <c r="CCW235" s="1"/>
      <c r="CCX235" s="1"/>
      <c r="CCY235" s="1"/>
      <c r="CCZ235" s="1"/>
      <c r="CDA235" s="1"/>
      <c r="CDB235" s="1"/>
      <c r="CDC235" s="1"/>
      <c r="CDD235" s="1"/>
      <c r="CDE235" s="1"/>
      <c r="CDF235" s="1"/>
      <c r="CDG235" s="1"/>
      <c r="CDH235" s="1"/>
      <c r="CDI235" s="1"/>
      <c r="CDJ235" s="1"/>
      <c r="CDK235" s="1"/>
      <c r="CDL235" s="1"/>
      <c r="CDM235" s="1"/>
      <c r="CDN235" s="1"/>
      <c r="CDO235" s="1"/>
      <c r="CDP235" s="1"/>
      <c r="CDQ235" s="1"/>
      <c r="CDR235" s="1"/>
      <c r="CDS235" s="1"/>
      <c r="CDT235" s="1"/>
      <c r="CDU235" s="1"/>
      <c r="CDV235" s="1"/>
      <c r="CDW235" s="1"/>
      <c r="CDX235" s="1"/>
      <c r="CDY235" s="1"/>
      <c r="CDZ235" s="1"/>
      <c r="CEA235" s="1"/>
      <c r="CEB235" s="1"/>
      <c r="CEC235" s="1"/>
      <c r="CED235" s="1"/>
      <c r="CEE235" s="1"/>
      <c r="CEF235" s="1"/>
      <c r="CEG235" s="1"/>
      <c r="CEH235" s="1"/>
      <c r="CEI235" s="1"/>
      <c r="CEJ235" s="1"/>
      <c r="CEK235" s="1"/>
      <c r="CEL235" s="1"/>
      <c r="CEM235" s="1"/>
      <c r="CEN235" s="1"/>
      <c r="CEO235" s="1"/>
      <c r="CEP235" s="1"/>
      <c r="CEQ235" s="1"/>
      <c r="CER235" s="1"/>
      <c r="CES235" s="1"/>
      <c r="CET235" s="1"/>
      <c r="CEU235" s="1"/>
      <c r="CEV235" s="1"/>
      <c r="CEW235" s="1"/>
      <c r="CEX235" s="1"/>
      <c r="CEY235" s="1"/>
      <c r="CEZ235" s="1"/>
      <c r="CFA235" s="1"/>
      <c r="CFB235" s="1"/>
      <c r="CFC235" s="1"/>
      <c r="CFD235" s="1"/>
      <c r="CFE235" s="1"/>
      <c r="CFF235" s="1"/>
      <c r="CFG235" s="1"/>
      <c r="CFH235" s="1"/>
      <c r="CFI235" s="1"/>
      <c r="CFJ235" s="1"/>
      <c r="CFK235" s="1"/>
      <c r="CFL235" s="1"/>
      <c r="CFM235" s="1"/>
      <c r="CFN235" s="1"/>
      <c r="CFO235" s="1"/>
      <c r="CFP235" s="1"/>
      <c r="CFQ235" s="1"/>
      <c r="CFR235" s="1"/>
      <c r="CFS235" s="1"/>
      <c r="CFT235" s="1"/>
      <c r="CFU235" s="1"/>
      <c r="CFV235" s="1"/>
      <c r="CFW235" s="1"/>
      <c r="CFX235" s="1"/>
      <c r="CFY235" s="1"/>
      <c r="CFZ235" s="1"/>
      <c r="CGA235" s="1"/>
      <c r="CGB235" s="1"/>
      <c r="CGC235" s="1"/>
      <c r="CGD235" s="1"/>
      <c r="CGE235" s="1"/>
      <c r="CGF235" s="1"/>
      <c r="CGG235" s="1"/>
      <c r="CGH235" s="1"/>
      <c r="CGI235" s="1"/>
      <c r="CGJ235" s="1"/>
      <c r="CGK235" s="1"/>
      <c r="CGL235" s="1"/>
      <c r="CGM235" s="1"/>
      <c r="CGN235" s="1"/>
      <c r="CGO235" s="1"/>
      <c r="CGP235" s="1"/>
      <c r="CGQ235" s="1"/>
      <c r="CGR235" s="1"/>
      <c r="CGS235" s="1"/>
      <c r="CGT235" s="1"/>
      <c r="CGU235" s="1"/>
      <c r="CGV235" s="1"/>
      <c r="CGW235" s="1"/>
      <c r="CGX235" s="1"/>
      <c r="CGY235" s="1"/>
      <c r="CGZ235" s="1"/>
      <c r="CHA235" s="1"/>
      <c r="CHB235" s="1"/>
      <c r="CHC235" s="1"/>
      <c r="CHD235" s="1"/>
      <c r="CHE235" s="1"/>
      <c r="CHF235" s="1"/>
      <c r="CHG235" s="1"/>
      <c r="CHH235" s="1"/>
      <c r="CHI235" s="1"/>
      <c r="CHJ235" s="1"/>
      <c r="CHK235" s="1"/>
      <c r="CHL235" s="1"/>
      <c r="CHM235" s="1"/>
      <c r="CHN235" s="1"/>
      <c r="CHO235" s="1"/>
      <c r="CHP235" s="1"/>
      <c r="CHQ235" s="1"/>
      <c r="CHR235" s="1"/>
      <c r="CHS235" s="1"/>
      <c r="CHT235" s="1"/>
      <c r="CHU235" s="1"/>
      <c r="CHV235" s="1"/>
      <c r="CHW235" s="1"/>
      <c r="CHX235" s="1"/>
      <c r="CHY235" s="1"/>
      <c r="CHZ235" s="1"/>
      <c r="CIA235" s="1"/>
      <c r="CIB235" s="1"/>
      <c r="CIC235" s="1"/>
      <c r="CID235" s="1"/>
      <c r="CIE235" s="1"/>
      <c r="CIF235" s="1"/>
      <c r="CIG235" s="1"/>
      <c r="CIH235" s="1"/>
      <c r="CII235" s="1"/>
      <c r="CIJ235" s="1"/>
      <c r="CIK235" s="1"/>
      <c r="CIL235" s="1"/>
      <c r="CIM235" s="1"/>
      <c r="CIN235" s="1"/>
      <c r="CIO235" s="1"/>
      <c r="CIP235" s="1"/>
      <c r="CIQ235" s="1"/>
      <c r="CIR235" s="1"/>
      <c r="CIS235" s="1"/>
      <c r="CIT235" s="1"/>
      <c r="CIU235" s="1"/>
      <c r="CIV235" s="1"/>
      <c r="CIW235" s="1"/>
      <c r="CIX235" s="1"/>
      <c r="CIY235" s="1"/>
      <c r="CIZ235" s="1"/>
      <c r="CJA235" s="1"/>
      <c r="CJB235" s="1"/>
      <c r="CJC235" s="1"/>
      <c r="CJD235" s="1"/>
      <c r="CJE235" s="1"/>
      <c r="CJF235" s="1"/>
      <c r="CJG235" s="1"/>
      <c r="CJH235" s="1"/>
      <c r="CJI235" s="1"/>
      <c r="CJJ235" s="1"/>
      <c r="CJK235" s="1"/>
      <c r="CJL235" s="1"/>
      <c r="CJM235" s="1"/>
      <c r="CJN235" s="1"/>
      <c r="CJO235" s="1"/>
      <c r="CJP235" s="1"/>
      <c r="CJQ235" s="1"/>
      <c r="CJR235" s="1"/>
      <c r="CJS235" s="1"/>
      <c r="CJT235" s="1"/>
      <c r="CJU235" s="1"/>
      <c r="CJV235" s="1"/>
      <c r="CJW235" s="1"/>
      <c r="CJX235" s="1"/>
      <c r="CJY235" s="1"/>
      <c r="CJZ235" s="1"/>
      <c r="CKA235" s="1"/>
      <c r="CKB235" s="1"/>
      <c r="CKC235" s="1"/>
      <c r="CKD235" s="1"/>
      <c r="CKE235" s="1"/>
      <c r="CKF235" s="1"/>
      <c r="CKG235" s="1"/>
      <c r="CKH235" s="1"/>
      <c r="CKI235" s="1"/>
      <c r="CKJ235" s="1"/>
      <c r="CKK235" s="1"/>
      <c r="CKL235" s="1"/>
      <c r="CKM235" s="1"/>
      <c r="CKN235" s="1"/>
      <c r="CKO235" s="1"/>
      <c r="CKP235" s="1"/>
      <c r="CKQ235" s="1"/>
      <c r="CKR235" s="1"/>
      <c r="CKS235" s="1"/>
      <c r="CKT235" s="1"/>
      <c r="CKU235" s="1"/>
      <c r="CKV235" s="1"/>
      <c r="CKW235" s="1"/>
      <c r="CKX235" s="1"/>
      <c r="CKY235" s="1"/>
      <c r="CKZ235" s="1"/>
      <c r="CLA235" s="1"/>
      <c r="CLB235" s="1"/>
      <c r="CLC235" s="1"/>
      <c r="CLD235" s="1"/>
      <c r="CLE235" s="1"/>
      <c r="CLF235" s="1"/>
      <c r="CLG235" s="1"/>
      <c r="CLH235" s="1"/>
      <c r="CLI235" s="1"/>
      <c r="CLJ235" s="1"/>
      <c r="CLK235" s="1"/>
      <c r="CLL235" s="1"/>
      <c r="CLM235" s="1"/>
      <c r="CLN235" s="1"/>
      <c r="CLO235" s="1"/>
      <c r="CLP235" s="1"/>
      <c r="CLQ235" s="1"/>
      <c r="CLR235" s="1"/>
      <c r="CLS235" s="1"/>
      <c r="CLT235" s="1"/>
      <c r="CLU235" s="1"/>
      <c r="CLV235" s="1"/>
      <c r="CLW235" s="1"/>
      <c r="CLX235" s="1"/>
      <c r="CLY235" s="1"/>
      <c r="CLZ235" s="1"/>
      <c r="CMA235" s="1"/>
      <c r="CMB235" s="1"/>
      <c r="CMC235" s="1"/>
      <c r="CMD235" s="1"/>
      <c r="CME235" s="1"/>
      <c r="CMF235" s="1"/>
      <c r="CMG235" s="1"/>
      <c r="CMH235" s="1"/>
      <c r="CMI235" s="1"/>
      <c r="CMJ235" s="1"/>
      <c r="CMK235" s="1"/>
      <c r="CML235" s="1"/>
      <c r="CMM235" s="1"/>
      <c r="CMN235" s="1"/>
      <c r="CMO235" s="1"/>
      <c r="CMP235" s="1"/>
      <c r="CMQ235" s="1"/>
      <c r="CMR235" s="1"/>
      <c r="CMS235" s="1"/>
      <c r="CMT235" s="1"/>
      <c r="CMU235" s="1"/>
      <c r="CMV235" s="1"/>
      <c r="CMW235" s="1"/>
      <c r="CMX235" s="1"/>
      <c r="CMY235" s="1"/>
      <c r="CMZ235" s="1"/>
      <c r="CNA235" s="1"/>
      <c r="CNB235" s="1"/>
      <c r="CNC235" s="1"/>
      <c r="CND235" s="1"/>
      <c r="CNE235" s="1"/>
      <c r="CNF235" s="1"/>
      <c r="CNG235" s="1"/>
      <c r="CNH235" s="1"/>
      <c r="CNI235" s="1"/>
      <c r="CNJ235" s="1"/>
      <c r="CNK235" s="1"/>
      <c r="CNL235" s="1"/>
      <c r="CNM235" s="1"/>
      <c r="CNN235" s="1"/>
      <c r="CNO235" s="1"/>
      <c r="CNP235" s="1"/>
      <c r="CNQ235" s="1"/>
      <c r="CNR235" s="1"/>
      <c r="CNS235" s="1"/>
      <c r="CNT235" s="1"/>
      <c r="CNU235" s="1"/>
      <c r="CNV235" s="1"/>
      <c r="CNW235" s="1"/>
      <c r="CNX235" s="1"/>
      <c r="CNY235" s="1"/>
      <c r="CNZ235" s="1"/>
      <c r="COA235" s="1"/>
      <c r="COB235" s="1"/>
      <c r="COC235" s="1"/>
      <c r="COD235" s="1"/>
      <c r="COE235" s="1"/>
      <c r="COF235" s="1"/>
      <c r="COG235" s="1"/>
      <c r="COH235" s="1"/>
      <c r="COI235" s="1"/>
      <c r="COJ235" s="1"/>
      <c r="COK235" s="1"/>
      <c r="COL235" s="1"/>
      <c r="COM235" s="1"/>
      <c r="CON235" s="1"/>
      <c r="COO235" s="1"/>
      <c r="COP235" s="1"/>
      <c r="COQ235" s="1"/>
      <c r="COR235" s="1"/>
      <c r="COS235" s="1"/>
      <c r="COT235" s="1"/>
      <c r="COU235" s="1"/>
      <c r="COV235" s="1"/>
      <c r="COW235" s="1"/>
      <c r="COX235" s="1"/>
      <c r="COY235" s="1"/>
      <c r="COZ235" s="1"/>
      <c r="CPA235" s="1"/>
      <c r="CPB235" s="1"/>
      <c r="CPC235" s="1"/>
      <c r="CPD235" s="1"/>
      <c r="CPE235" s="1"/>
      <c r="CPF235" s="1"/>
      <c r="CPG235" s="1"/>
      <c r="CPH235" s="1"/>
      <c r="CPI235" s="1"/>
      <c r="CPJ235" s="1"/>
      <c r="CPK235" s="1"/>
      <c r="CPL235" s="1"/>
      <c r="CPM235" s="1"/>
      <c r="CPN235" s="1"/>
      <c r="CPO235" s="1"/>
      <c r="CPP235" s="1"/>
      <c r="CPQ235" s="1"/>
      <c r="CPR235" s="1"/>
      <c r="CPS235" s="1"/>
      <c r="CPT235" s="1"/>
      <c r="CPU235" s="1"/>
      <c r="CPV235" s="1"/>
      <c r="CPW235" s="1"/>
      <c r="CPX235" s="1"/>
      <c r="CPY235" s="1"/>
      <c r="CPZ235" s="1"/>
      <c r="CQA235" s="1"/>
      <c r="CQB235" s="1"/>
      <c r="CQC235" s="1"/>
      <c r="CQD235" s="1"/>
      <c r="CQE235" s="1"/>
      <c r="CQF235" s="1"/>
      <c r="CQG235" s="1"/>
      <c r="CQH235" s="1"/>
      <c r="CQI235" s="1"/>
      <c r="CQJ235" s="1"/>
      <c r="CQK235" s="1"/>
      <c r="CQL235" s="1"/>
      <c r="CQM235" s="1"/>
      <c r="CQN235" s="1"/>
      <c r="CQO235" s="1"/>
      <c r="CQP235" s="1"/>
      <c r="CQQ235" s="1"/>
      <c r="CQR235" s="1"/>
      <c r="CQS235" s="1"/>
      <c r="CQT235" s="1"/>
      <c r="CQU235" s="1"/>
      <c r="CQV235" s="1"/>
      <c r="CQW235" s="1"/>
      <c r="CQX235" s="1"/>
      <c r="CQY235" s="1"/>
      <c r="CQZ235" s="1"/>
      <c r="CRA235" s="1"/>
      <c r="CRB235" s="1"/>
      <c r="CRC235" s="1"/>
      <c r="CRD235" s="1"/>
      <c r="CRE235" s="1"/>
      <c r="CRF235" s="1"/>
      <c r="CRG235" s="1"/>
      <c r="CRH235" s="1"/>
      <c r="CRI235" s="1"/>
      <c r="CRJ235" s="1"/>
      <c r="CRK235" s="1"/>
      <c r="CRL235" s="1"/>
      <c r="CRM235" s="1"/>
      <c r="CRN235" s="1"/>
      <c r="CRO235" s="1"/>
      <c r="CRP235" s="1"/>
      <c r="CRQ235" s="1"/>
      <c r="CRR235" s="1"/>
      <c r="CRS235" s="1"/>
      <c r="CRT235" s="1"/>
      <c r="CRU235" s="1"/>
      <c r="CRV235" s="1"/>
      <c r="CRW235" s="1"/>
      <c r="CRX235" s="1"/>
      <c r="CRY235" s="1"/>
      <c r="CRZ235" s="1"/>
      <c r="CSA235" s="1"/>
      <c r="CSB235" s="1"/>
      <c r="CSC235" s="1"/>
      <c r="CSD235" s="1"/>
      <c r="CSE235" s="1"/>
      <c r="CSF235" s="1"/>
      <c r="CSG235" s="1"/>
      <c r="CSH235" s="1"/>
      <c r="CSI235" s="1"/>
      <c r="CSJ235" s="1"/>
      <c r="CSK235" s="1"/>
      <c r="CSL235" s="1"/>
      <c r="CSM235" s="1"/>
      <c r="CSN235" s="1"/>
      <c r="CSO235" s="1"/>
      <c r="CSP235" s="1"/>
      <c r="CSQ235" s="1"/>
      <c r="CSR235" s="1"/>
      <c r="CSS235" s="1"/>
      <c r="CST235" s="1"/>
      <c r="CSU235" s="1"/>
      <c r="CSV235" s="1"/>
      <c r="CSW235" s="1"/>
      <c r="CSX235" s="1"/>
      <c r="CSY235" s="1"/>
      <c r="CSZ235" s="1"/>
      <c r="CTA235" s="1"/>
      <c r="CTB235" s="1"/>
      <c r="CTC235" s="1"/>
      <c r="CTD235" s="1"/>
      <c r="CTE235" s="1"/>
      <c r="CTF235" s="1"/>
      <c r="CTG235" s="1"/>
      <c r="CTH235" s="1"/>
      <c r="CTI235" s="1"/>
      <c r="CTJ235" s="1"/>
      <c r="CTK235" s="1"/>
      <c r="CTL235" s="1"/>
      <c r="CTM235" s="1"/>
      <c r="CTN235" s="1"/>
      <c r="CTO235" s="1"/>
      <c r="CTP235" s="1"/>
      <c r="CTQ235" s="1"/>
      <c r="CTR235" s="1"/>
      <c r="CTS235" s="1"/>
      <c r="CTT235" s="1"/>
      <c r="CTU235" s="1"/>
      <c r="CTV235" s="1"/>
      <c r="CTW235" s="1"/>
      <c r="CTX235" s="1"/>
      <c r="CTY235" s="1"/>
      <c r="CTZ235" s="1"/>
      <c r="CUA235" s="1"/>
      <c r="CUB235" s="1"/>
      <c r="CUC235" s="1"/>
      <c r="CUD235" s="1"/>
      <c r="CUE235" s="1"/>
      <c r="CUF235" s="1"/>
      <c r="CUG235" s="1"/>
      <c r="CUH235" s="1"/>
      <c r="CUI235" s="1"/>
      <c r="CUJ235" s="1"/>
      <c r="CUK235" s="1"/>
      <c r="CUL235" s="1"/>
      <c r="CUM235" s="1"/>
      <c r="CUN235" s="1"/>
      <c r="CUO235" s="1"/>
      <c r="CUP235" s="1"/>
      <c r="CUQ235" s="1"/>
      <c r="CUR235" s="1"/>
      <c r="CUS235" s="1"/>
      <c r="CUT235" s="1"/>
      <c r="CUU235" s="1"/>
      <c r="CUV235" s="1"/>
      <c r="CUW235" s="1"/>
      <c r="CUX235" s="1"/>
      <c r="CUY235" s="1"/>
      <c r="CUZ235" s="1"/>
      <c r="CVA235" s="1"/>
      <c r="CVB235" s="1"/>
      <c r="CVC235" s="1"/>
      <c r="CVD235" s="1"/>
      <c r="CVE235" s="1"/>
      <c r="CVF235" s="1"/>
      <c r="CVG235" s="1"/>
      <c r="CVH235" s="1"/>
      <c r="CVI235" s="1"/>
      <c r="CVJ235" s="1"/>
      <c r="CVK235" s="1"/>
      <c r="CVL235" s="1"/>
      <c r="CVM235" s="1"/>
      <c r="CVN235" s="1"/>
      <c r="CVO235" s="1"/>
      <c r="CVP235" s="1"/>
      <c r="CVQ235" s="1"/>
      <c r="CVR235" s="1"/>
      <c r="CVS235" s="1"/>
      <c r="CVT235" s="1"/>
      <c r="CVU235" s="1"/>
      <c r="CVV235" s="1"/>
      <c r="CVW235" s="1"/>
      <c r="CVX235" s="1"/>
      <c r="CVY235" s="1"/>
      <c r="CVZ235" s="1"/>
      <c r="CWA235" s="1"/>
      <c r="CWB235" s="1"/>
      <c r="CWC235" s="1"/>
      <c r="CWD235" s="1"/>
      <c r="CWE235" s="1"/>
      <c r="CWF235" s="1"/>
      <c r="CWG235" s="1"/>
      <c r="CWH235" s="1"/>
      <c r="CWI235" s="1"/>
      <c r="CWJ235" s="1"/>
      <c r="CWK235" s="1"/>
      <c r="CWL235" s="1"/>
      <c r="CWM235" s="1"/>
      <c r="CWN235" s="1"/>
      <c r="CWO235" s="1"/>
      <c r="CWP235" s="1"/>
      <c r="CWQ235" s="1"/>
      <c r="CWR235" s="1"/>
      <c r="CWS235" s="1"/>
      <c r="CWT235" s="1"/>
      <c r="CWU235" s="1"/>
      <c r="CWV235" s="1"/>
      <c r="CWW235" s="1"/>
      <c r="CWX235" s="1"/>
      <c r="CWY235" s="1"/>
      <c r="CWZ235" s="1"/>
      <c r="CXA235" s="1"/>
      <c r="CXB235" s="1"/>
      <c r="CXC235" s="1"/>
      <c r="CXD235" s="1"/>
      <c r="CXE235" s="1"/>
      <c r="CXF235" s="1"/>
      <c r="CXG235" s="1"/>
      <c r="CXH235" s="1"/>
      <c r="CXI235" s="1"/>
      <c r="CXJ235" s="1"/>
      <c r="CXK235" s="1"/>
      <c r="CXL235" s="1"/>
      <c r="CXM235" s="1"/>
      <c r="CXN235" s="1"/>
      <c r="CXO235" s="1"/>
      <c r="CXP235" s="1"/>
      <c r="CXQ235" s="1"/>
      <c r="CXR235" s="1"/>
      <c r="CXS235" s="1"/>
      <c r="CXT235" s="1"/>
      <c r="CXU235" s="1"/>
      <c r="CXV235" s="1"/>
      <c r="CXW235" s="1"/>
      <c r="CXX235" s="1"/>
      <c r="CXY235" s="1"/>
      <c r="CXZ235" s="1"/>
      <c r="CYA235" s="1"/>
      <c r="CYB235" s="1"/>
      <c r="CYC235" s="1"/>
      <c r="CYD235" s="1"/>
      <c r="CYE235" s="1"/>
      <c r="CYF235" s="1"/>
      <c r="CYG235" s="1"/>
      <c r="CYH235" s="1"/>
      <c r="CYI235" s="1"/>
      <c r="CYJ235" s="1"/>
      <c r="CYK235" s="1"/>
      <c r="CYL235" s="1"/>
      <c r="CYM235" s="1"/>
      <c r="CYN235" s="1"/>
      <c r="CYO235" s="1"/>
      <c r="CYP235" s="1"/>
      <c r="CYQ235" s="1"/>
      <c r="CYR235" s="1"/>
      <c r="CYS235" s="1"/>
      <c r="CYT235" s="1"/>
      <c r="CYU235" s="1"/>
      <c r="CYV235" s="1"/>
      <c r="CYW235" s="1"/>
      <c r="CYX235" s="1"/>
      <c r="CYY235" s="1"/>
      <c r="CYZ235" s="1"/>
      <c r="CZA235" s="1"/>
      <c r="CZB235" s="1"/>
      <c r="CZC235" s="1"/>
      <c r="CZD235" s="1"/>
      <c r="CZE235" s="1"/>
      <c r="CZF235" s="1"/>
      <c r="CZG235" s="1"/>
      <c r="CZH235" s="1"/>
      <c r="CZI235" s="1"/>
      <c r="CZJ235" s="1"/>
      <c r="CZK235" s="1"/>
      <c r="CZL235" s="1"/>
      <c r="CZM235" s="1"/>
      <c r="CZN235" s="1"/>
      <c r="CZO235" s="1"/>
      <c r="CZP235" s="1"/>
      <c r="CZQ235" s="1"/>
      <c r="CZR235" s="1"/>
      <c r="CZS235" s="1"/>
      <c r="CZT235" s="1"/>
      <c r="CZU235" s="1"/>
      <c r="CZV235" s="1"/>
      <c r="CZW235" s="1"/>
      <c r="CZX235" s="1"/>
      <c r="CZY235" s="1"/>
      <c r="CZZ235" s="1"/>
      <c r="DAA235" s="1"/>
      <c r="DAB235" s="1"/>
      <c r="DAC235" s="1"/>
      <c r="DAD235" s="1"/>
      <c r="DAE235" s="1"/>
      <c r="DAF235" s="1"/>
      <c r="DAG235" s="1"/>
      <c r="DAH235" s="1"/>
      <c r="DAI235" s="1"/>
      <c r="DAJ235" s="1"/>
      <c r="DAK235" s="1"/>
      <c r="DAL235" s="1"/>
      <c r="DAM235" s="1"/>
      <c r="DAN235" s="1"/>
      <c r="DAO235" s="1"/>
      <c r="DAP235" s="1"/>
      <c r="DAQ235" s="1"/>
      <c r="DAR235" s="1"/>
      <c r="DAS235" s="1"/>
      <c r="DAT235" s="1"/>
      <c r="DAU235" s="1"/>
      <c r="DAV235" s="1"/>
      <c r="DAW235" s="1"/>
      <c r="DAX235" s="1"/>
      <c r="DAY235" s="1"/>
      <c r="DAZ235" s="1"/>
      <c r="DBA235" s="1"/>
      <c r="DBB235" s="1"/>
      <c r="DBC235" s="1"/>
      <c r="DBD235" s="1"/>
      <c r="DBE235" s="1"/>
      <c r="DBF235" s="1"/>
      <c r="DBG235" s="1"/>
      <c r="DBH235" s="1"/>
      <c r="DBI235" s="1"/>
      <c r="DBJ235" s="1"/>
      <c r="DBK235" s="1"/>
      <c r="DBL235" s="1"/>
      <c r="DBM235" s="1"/>
      <c r="DBN235" s="1"/>
      <c r="DBO235" s="1"/>
      <c r="DBP235" s="1"/>
      <c r="DBQ235" s="1"/>
      <c r="DBR235" s="1"/>
      <c r="DBS235" s="1"/>
      <c r="DBT235" s="1"/>
      <c r="DBU235" s="1"/>
      <c r="DBV235" s="1"/>
      <c r="DBW235" s="1"/>
      <c r="DBX235" s="1"/>
      <c r="DBY235" s="1"/>
      <c r="DBZ235" s="1"/>
      <c r="DCA235" s="1"/>
      <c r="DCB235" s="1"/>
      <c r="DCC235" s="1"/>
      <c r="DCD235" s="1"/>
      <c r="DCE235" s="1"/>
      <c r="DCF235" s="1"/>
      <c r="DCG235" s="1"/>
      <c r="DCH235" s="1"/>
      <c r="DCI235" s="1"/>
      <c r="DCJ235" s="1"/>
      <c r="DCK235" s="1"/>
      <c r="DCL235" s="1"/>
      <c r="DCM235" s="1"/>
      <c r="DCN235" s="1"/>
      <c r="DCO235" s="1"/>
      <c r="DCP235" s="1"/>
      <c r="DCQ235" s="1"/>
      <c r="DCR235" s="1"/>
      <c r="DCS235" s="1"/>
      <c r="DCT235" s="1"/>
      <c r="DCU235" s="1"/>
      <c r="DCV235" s="1"/>
      <c r="DCW235" s="1"/>
      <c r="DCX235" s="1"/>
      <c r="DCY235" s="1"/>
      <c r="DCZ235" s="1"/>
      <c r="DDA235" s="1"/>
      <c r="DDB235" s="1"/>
      <c r="DDC235" s="1"/>
      <c r="DDD235" s="1"/>
      <c r="DDE235" s="1"/>
      <c r="DDF235" s="1"/>
      <c r="DDG235" s="1"/>
      <c r="DDH235" s="1"/>
      <c r="DDI235" s="1"/>
      <c r="DDJ235" s="1"/>
      <c r="DDK235" s="1"/>
      <c r="DDL235" s="1"/>
      <c r="DDM235" s="1"/>
      <c r="DDN235" s="1"/>
      <c r="DDO235" s="1"/>
      <c r="DDP235" s="1"/>
      <c r="DDQ235" s="1"/>
      <c r="DDR235" s="1"/>
      <c r="DDS235" s="1"/>
      <c r="DDT235" s="1"/>
      <c r="DDU235" s="1"/>
      <c r="DDV235" s="1"/>
      <c r="DDW235" s="1"/>
      <c r="DDX235" s="1"/>
      <c r="DDY235" s="1"/>
      <c r="DDZ235" s="1"/>
      <c r="DEA235" s="1"/>
      <c r="DEB235" s="1"/>
      <c r="DEC235" s="1"/>
      <c r="DED235" s="1"/>
      <c r="DEE235" s="1"/>
      <c r="DEF235" s="1"/>
      <c r="DEG235" s="1"/>
      <c r="DEH235" s="1"/>
      <c r="DEI235" s="1"/>
      <c r="DEJ235" s="1"/>
      <c r="DEK235" s="1"/>
      <c r="DEL235" s="1"/>
      <c r="DEM235" s="1"/>
      <c r="DEN235" s="1"/>
      <c r="DEO235" s="1"/>
      <c r="DEP235" s="1"/>
      <c r="DEQ235" s="1"/>
      <c r="DER235" s="1"/>
      <c r="DES235" s="1"/>
      <c r="DET235" s="1"/>
      <c r="DEU235" s="1"/>
      <c r="DEV235" s="1"/>
      <c r="DEW235" s="1"/>
      <c r="DEX235" s="1"/>
      <c r="DEY235" s="1"/>
      <c r="DEZ235" s="1"/>
      <c r="DFA235" s="1"/>
      <c r="DFB235" s="1"/>
      <c r="DFC235" s="1"/>
      <c r="DFD235" s="1"/>
      <c r="DFE235" s="1"/>
      <c r="DFF235" s="1"/>
      <c r="DFG235" s="1"/>
      <c r="DFH235" s="1"/>
      <c r="DFI235" s="1"/>
      <c r="DFJ235" s="1"/>
      <c r="DFK235" s="1"/>
      <c r="DFL235" s="1"/>
      <c r="DFM235" s="1"/>
      <c r="DFN235" s="1"/>
      <c r="DFO235" s="1"/>
      <c r="DFP235" s="1"/>
      <c r="DFQ235" s="1"/>
      <c r="DFR235" s="1"/>
      <c r="DFS235" s="1"/>
      <c r="DFT235" s="1"/>
      <c r="DFU235" s="1"/>
      <c r="DFV235" s="1"/>
      <c r="DFW235" s="1"/>
      <c r="DFX235" s="1"/>
      <c r="DFY235" s="1"/>
      <c r="DFZ235" s="1"/>
      <c r="DGA235" s="1"/>
      <c r="DGB235" s="1"/>
      <c r="DGC235" s="1"/>
      <c r="DGD235" s="1"/>
      <c r="DGE235" s="1"/>
      <c r="DGF235" s="1"/>
      <c r="DGG235" s="1"/>
      <c r="DGH235" s="1"/>
      <c r="DGI235" s="1"/>
      <c r="DGJ235" s="1"/>
      <c r="DGK235" s="1"/>
      <c r="DGL235" s="1"/>
      <c r="DGM235" s="1"/>
      <c r="DGN235" s="1"/>
      <c r="DGO235" s="1"/>
      <c r="DGP235" s="1"/>
      <c r="DGQ235" s="1"/>
      <c r="DGR235" s="1"/>
      <c r="DGS235" s="1"/>
      <c r="DGT235" s="1"/>
      <c r="DGU235" s="1"/>
      <c r="DGV235" s="1"/>
      <c r="DGW235" s="1"/>
      <c r="DGX235" s="1"/>
      <c r="DGY235" s="1"/>
      <c r="DGZ235" s="1"/>
      <c r="DHA235" s="1"/>
      <c r="DHB235" s="1"/>
      <c r="DHC235" s="1"/>
      <c r="DHD235" s="1"/>
      <c r="DHE235" s="1"/>
      <c r="DHF235" s="1"/>
      <c r="DHG235" s="1"/>
      <c r="DHH235" s="1"/>
      <c r="DHI235" s="1"/>
      <c r="DHJ235" s="1"/>
      <c r="DHK235" s="1"/>
      <c r="DHL235" s="1"/>
      <c r="DHM235" s="1"/>
      <c r="DHN235" s="1"/>
      <c r="DHO235" s="1"/>
      <c r="DHP235" s="1"/>
      <c r="DHQ235" s="1"/>
      <c r="DHR235" s="1"/>
      <c r="DHS235" s="1"/>
      <c r="DHT235" s="1"/>
      <c r="DHU235" s="1"/>
      <c r="DHV235" s="1"/>
      <c r="DHW235" s="1"/>
      <c r="DHX235" s="1"/>
      <c r="DHY235" s="1"/>
      <c r="DHZ235" s="1"/>
      <c r="DIA235" s="1"/>
      <c r="DIB235" s="1"/>
      <c r="DIC235" s="1"/>
      <c r="DID235" s="1"/>
      <c r="DIE235" s="1"/>
      <c r="DIF235" s="1"/>
      <c r="DIG235" s="1"/>
      <c r="DIH235" s="1"/>
      <c r="DII235" s="1"/>
      <c r="DIJ235" s="1"/>
      <c r="DIK235" s="1"/>
      <c r="DIL235" s="1"/>
      <c r="DIM235" s="1"/>
      <c r="DIN235" s="1"/>
      <c r="DIO235" s="1"/>
      <c r="DIP235" s="1"/>
      <c r="DIQ235" s="1"/>
      <c r="DIR235" s="1"/>
      <c r="DIS235" s="1"/>
      <c r="DIT235" s="1"/>
      <c r="DIU235" s="1"/>
      <c r="DIV235" s="1"/>
      <c r="DIW235" s="1"/>
      <c r="DIX235" s="1"/>
      <c r="DIY235" s="1"/>
      <c r="DIZ235" s="1"/>
      <c r="DJA235" s="1"/>
      <c r="DJB235" s="1"/>
      <c r="DJC235" s="1"/>
      <c r="DJD235" s="1"/>
      <c r="DJE235" s="1"/>
      <c r="DJF235" s="1"/>
      <c r="DJG235" s="1"/>
      <c r="DJH235" s="1"/>
      <c r="DJI235" s="1"/>
      <c r="DJJ235" s="1"/>
      <c r="DJK235" s="1"/>
      <c r="DJL235" s="1"/>
      <c r="DJM235" s="1"/>
      <c r="DJN235" s="1"/>
      <c r="DJO235" s="1"/>
      <c r="DJP235" s="1"/>
      <c r="DJQ235" s="1"/>
      <c r="DJR235" s="1"/>
      <c r="DJS235" s="1"/>
      <c r="DJT235" s="1"/>
      <c r="DJU235" s="1"/>
      <c r="DJV235" s="1"/>
      <c r="DJW235" s="1"/>
      <c r="DJX235" s="1"/>
      <c r="DJY235" s="1"/>
      <c r="DJZ235" s="1"/>
      <c r="DKA235" s="1"/>
      <c r="DKB235" s="1"/>
      <c r="DKC235" s="1"/>
      <c r="DKD235" s="1"/>
      <c r="DKE235" s="1"/>
      <c r="DKF235" s="1"/>
      <c r="DKG235" s="1"/>
      <c r="DKH235" s="1"/>
      <c r="DKI235" s="1"/>
      <c r="DKJ235" s="1"/>
      <c r="DKK235" s="1"/>
      <c r="DKL235" s="1"/>
      <c r="DKM235" s="1"/>
      <c r="DKN235" s="1"/>
      <c r="DKO235" s="1"/>
      <c r="DKP235" s="1"/>
      <c r="DKQ235" s="1"/>
      <c r="DKR235" s="1"/>
      <c r="DKS235" s="1"/>
      <c r="DKT235" s="1"/>
      <c r="DKU235" s="1"/>
      <c r="DKV235" s="1"/>
      <c r="DKW235" s="1"/>
      <c r="DKX235" s="1"/>
      <c r="DKY235" s="1"/>
      <c r="DKZ235" s="1"/>
      <c r="DLA235" s="1"/>
      <c r="DLB235" s="1"/>
      <c r="DLC235" s="1"/>
      <c r="DLD235" s="1"/>
      <c r="DLE235" s="1"/>
      <c r="DLF235" s="1"/>
      <c r="DLG235" s="1"/>
      <c r="DLH235" s="1"/>
      <c r="DLI235" s="1"/>
      <c r="DLJ235" s="1"/>
      <c r="DLK235" s="1"/>
      <c r="DLL235" s="1"/>
      <c r="DLM235" s="1"/>
      <c r="DLN235" s="1"/>
      <c r="DLO235" s="1"/>
      <c r="DLP235" s="1"/>
      <c r="DLQ235" s="1"/>
      <c r="DLR235" s="1"/>
      <c r="DLS235" s="1"/>
      <c r="DLT235" s="1"/>
      <c r="DLU235" s="1"/>
      <c r="DLV235" s="1"/>
      <c r="DLW235" s="1"/>
      <c r="DLX235" s="1"/>
      <c r="DLY235" s="1"/>
      <c r="DLZ235" s="1"/>
      <c r="DMA235" s="1"/>
      <c r="DMB235" s="1"/>
      <c r="DMC235" s="1"/>
      <c r="DMD235" s="1"/>
      <c r="DME235" s="1"/>
      <c r="DMF235" s="1"/>
      <c r="DMG235" s="1"/>
      <c r="DMH235" s="1"/>
      <c r="DMI235" s="1"/>
      <c r="DMJ235" s="1"/>
      <c r="DMK235" s="1"/>
      <c r="DML235" s="1"/>
      <c r="DMM235" s="1"/>
      <c r="DMN235" s="1"/>
      <c r="DMO235" s="1"/>
      <c r="DMP235" s="1"/>
      <c r="DMQ235" s="1"/>
      <c r="DMR235" s="1"/>
      <c r="DMS235" s="1"/>
      <c r="DMT235" s="1"/>
      <c r="DMU235" s="1"/>
      <c r="DMV235" s="1"/>
      <c r="DMW235" s="1"/>
      <c r="DMX235" s="1"/>
      <c r="DMY235" s="1"/>
      <c r="DMZ235" s="1"/>
      <c r="DNA235" s="1"/>
      <c r="DNB235" s="1"/>
      <c r="DNC235" s="1"/>
      <c r="DND235" s="1"/>
      <c r="DNE235" s="1"/>
      <c r="DNF235" s="1"/>
      <c r="DNG235" s="1"/>
      <c r="DNH235" s="1"/>
      <c r="DNI235" s="1"/>
      <c r="DNJ235" s="1"/>
      <c r="DNK235" s="1"/>
      <c r="DNL235" s="1"/>
      <c r="DNM235" s="1"/>
      <c r="DNN235" s="1"/>
      <c r="DNO235" s="1"/>
      <c r="DNP235" s="1"/>
      <c r="DNQ235" s="1"/>
      <c r="DNR235" s="1"/>
      <c r="DNS235" s="1"/>
      <c r="DNT235" s="1"/>
      <c r="DNU235" s="1"/>
      <c r="DNV235" s="1"/>
      <c r="DNW235" s="1"/>
      <c r="DNX235" s="1"/>
      <c r="DNY235" s="1"/>
      <c r="DNZ235" s="1"/>
      <c r="DOA235" s="1"/>
      <c r="DOB235" s="1"/>
      <c r="DOC235" s="1"/>
      <c r="DOD235" s="1"/>
      <c r="DOE235" s="1"/>
      <c r="DOF235" s="1"/>
      <c r="DOG235" s="1"/>
      <c r="DOH235" s="1"/>
      <c r="DOI235" s="1"/>
      <c r="DOJ235" s="1"/>
      <c r="DOK235" s="1"/>
      <c r="DOL235" s="1"/>
      <c r="DOM235" s="1"/>
      <c r="DON235" s="1"/>
      <c r="DOO235" s="1"/>
      <c r="DOP235" s="1"/>
      <c r="DOQ235" s="1"/>
      <c r="DOR235" s="1"/>
      <c r="DOS235" s="1"/>
      <c r="DOT235" s="1"/>
      <c r="DOU235" s="1"/>
      <c r="DOV235" s="1"/>
      <c r="DOW235" s="1"/>
      <c r="DOX235" s="1"/>
      <c r="DOY235" s="1"/>
      <c r="DOZ235" s="1"/>
      <c r="DPA235" s="1"/>
      <c r="DPB235" s="1"/>
      <c r="DPC235" s="1"/>
      <c r="DPD235" s="1"/>
      <c r="DPE235" s="1"/>
      <c r="DPF235" s="1"/>
      <c r="DPG235" s="1"/>
      <c r="DPH235" s="1"/>
      <c r="DPI235" s="1"/>
      <c r="DPJ235" s="1"/>
      <c r="DPK235" s="1"/>
      <c r="DPL235" s="1"/>
      <c r="DPM235" s="1"/>
      <c r="DPN235" s="1"/>
      <c r="DPO235" s="1"/>
      <c r="DPP235" s="1"/>
      <c r="DPQ235" s="1"/>
      <c r="DPR235" s="1"/>
      <c r="DPS235" s="1"/>
      <c r="DPT235" s="1"/>
      <c r="DPU235" s="1"/>
      <c r="DPV235" s="1"/>
      <c r="DPW235" s="1"/>
      <c r="DPX235" s="1"/>
      <c r="DPY235" s="1"/>
      <c r="DPZ235" s="1"/>
      <c r="DQA235" s="1"/>
      <c r="DQB235" s="1"/>
      <c r="DQC235" s="1"/>
      <c r="DQD235" s="1"/>
      <c r="DQE235" s="1"/>
      <c r="DQF235" s="1"/>
      <c r="DQG235" s="1"/>
      <c r="DQH235" s="1"/>
      <c r="DQI235" s="1"/>
      <c r="DQJ235" s="1"/>
      <c r="DQK235" s="1"/>
      <c r="DQL235" s="1"/>
      <c r="DQM235" s="1"/>
      <c r="DQN235" s="1"/>
      <c r="DQO235" s="1"/>
      <c r="DQP235" s="1"/>
      <c r="DQQ235" s="1"/>
      <c r="DQR235" s="1"/>
      <c r="DQS235" s="1"/>
      <c r="DQT235" s="1"/>
      <c r="DQU235" s="1"/>
      <c r="DQV235" s="1"/>
      <c r="DQW235" s="1"/>
      <c r="DQX235" s="1"/>
      <c r="DQY235" s="1"/>
      <c r="DQZ235" s="1"/>
      <c r="DRA235" s="1"/>
      <c r="DRB235" s="1"/>
      <c r="DRC235" s="1"/>
      <c r="DRD235" s="1"/>
      <c r="DRE235" s="1"/>
      <c r="DRF235" s="1"/>
      <c r="DRG235" s="1"/>
      <c r="DRH235" s="1"/>
      <c r="DRI235" s="1"/>
      <c r="DRJ235" s="1"/>
      <c r="DRK235" s="1"/>
      <c r="DRL235" s="1"/>
      <c r="DRM235" s="1"/>
      <c r="DRN235" s="1"/>
      <c r="DRO235" s="1"/>
      <c r="DRP235" s="1"/>
      <c r="DRQ235" s="1"/>
      <c r="DRR235" s="1"/>
      <c r="DRS235" s="1"/>
      <c r="DRT235" s="1"/>
      <c r="DRU235" s="1"/>
      <c r="DRV235" s="1"/>
      <c r="DRW235" s="1"/>
      <c r="DRX235" s="1"/>
      <c r="DRY235" s="1"/>
      <c r="DRZ235" s="1"/>
      <c r="DSA235" s="1"/>
      <c r="DSB235" s="1"/>
      <c r="DSC235" s="1"/>
      <c r="DSD235" s="1"/>
      <c r="DSE235" s="1"/>
      <c r="DSF235" s="1"/>
      <c r="DSG235" s="1"/>
      <c r="DSH235" s="1"/>
      <c r="DSI235" s="1"/>
      <c r="DSJ235" s="1"/>
      <c r="DSK235" s="1"/>
      <c r="DSL235" s="1"/>
      <c r="DSM235" s="1"/>
      <c r="DSN235" s="1"/>
      <c r="DSO235" s="1"/>
      <c r="DSP235" s="1"/>
      <c r="DSQ235" s="1"/>
      <c r="DSR235" s="1"/>
      <c r="DSS235" s="1"/>
      <c r="DST235" s="1"/>
      <c r="DSU235" s="1"/>
      <c r="DSV235" s="1"/>
      <c r="DSW235" s="1"/>
      <c r="DSX235" s="1"/>
      <c r="DSY235" s="1"/>
      <c r="DSZ235" s="1"/>
      <c r="DTA235" s="1"/>
      <c r="DTB235" s="1"/>
      <c r="DTC235" s="1"/>
      <c r="DTD235" s="1"/>
      <c r="DTE235" s="1"/>
      <c r="DTF235" s="1"/>
      <c r="DTG235" s="1"/>
      <c r="DTH235" s="1"/>
      <c r="DTI235" s="1"/>
      <c r="DTJ235" s="1"/>
      <c r="DTK235" s="1"/>
      <c r="DTL235" s="1"/>
      <c r="DTM235" s="1"/>
      <c r="DTN235" s="1"/>
      <c r="DTO235" s="1"/>
      <c r="DTP235" s="1"/>
      <c r="DTQ235" s="1"/>
      <c r="DTR235" s="1"/>
      <c r="DTS235" s="1"/>
      <c r="DTT235" s="1"/>
      <c r="DTU235" s="1"/>
      <c r="DTV235" s="1"/>
      <c r="DTW235" s="1"/>
      <c r="DTX235" s="1"/>
      <c r="DTY235" s="1"/>
      <c r="DTZ235" s="1"/>
      <c r="DUA235" s="1"/>
      <c r="DUB235" s="1"/>
      <c r="DUC235" s="1"/>
      <c r="DUD235" s="1"/>
      <c r="DUE235" s="1"/>
      <c r="DUF235" s="1"/>
      <c r="DUG235" s="1"/>
      <c r="DUH235" s="1"/>
      <c r="DUI235" s="1"/>
      <c r="DUJ235" s="1"/>
      <c r="DUK235" s="1"/>
      <c r="DUL235" s="1"/>
      <c r="DUM235" s="1"/>
      <c r="DUN235" s="1"/>
      <c r="DUO235" s="1"/>
      <c r="DUP235" s="1"/>
      <c r="DUQ235" s="1"/>
      <c r="DUR235" s="1"/>
      <c r="DUS235" s="1"/>
      <c r="DUT235" s="1"/>
      <c r="DUU235" s="1"/>
      <c r="DUV235" s="1"/>
      <c r="DUW235" s="1"/>
      <c r="DUX235" s="1"/>
      <c r="DUY235" s="1"/>
      <c r="DUZ235" s="1"/>
      <c r="DVA235" s="1"/>
      <c r="DVB235" s="1"/>
      <c r="DVC235" s="1"/>
      <c r="DVD235" s="1"/>
      <c r="DVE235" s="1"/>
      <c r="DVF235" s="1"/>
      <c r="DVG235" s="1"/>
      <c r="DVH235" s="1"/>
      <c r="DVI235" s="1"/>
      <c r="DVJ235" s="1"/>
      <c r="DVK235" s="1"/>
      <c r="DVL235" s="1"/>
      <c r="DVM235" s="1"/>
      <c r="DVN235" s="1"/>
      <c r="DVO235" s="1"/>
      <c r="DVP235" s="1"/>
      <c r="DVQ235" s="1"/>
      <c r="DVR235" s="1"/>
      <c r="DVS235" s="1"/>
      <c r="DVT235" s="1"/>
      <c r="DVU235" s="1"/>
      <c r="DVV235" s="1"/>
      <c r="DVW235" s="1"/>
      <c r="DVX235" s="1"/>
      <c r="DVY235" s="1"/>
      <c r="DVZ235" s="1"/>
      <c r="DWA235" s="1"/>
      <c r="DWB235" s="1"/>
      <c r="DWC235" s="1"/>
      <c r="DWD235" s="1"/>
      <c r="DWE235" s="1"/>
      <c r="DWF235" s="1"/>
      <c r="DWG235" s="1"/>
      <c r="DWH235" s="1"/>
      <c r="DWI235" s="1"/>
      <c r="DWJ235" s="1"/>
      <c r="DWK235" s="1"/>
      <c r="DWL235" s="1"/>
      <c r="DWM235" s="1"/>
      <c r="DWN235" s="1"/>
      <c r="DWO235" s="1"/>
      <c r="DWP235" s="1"/>
      <c r="DWQ235" s="1"/>
      <c r="DWR235" s="1"/>
      <c r="DWS235" s="1"/>
      <c r="DWT235" s="1"/>
      <c r="DWU235" s="1"/>
      <c r="DWV235" s="1"/>
      <c r="DWW235" s="1"/>
      <c r="DWX235" s="1"/>
      <c r="DWY235" s="1"/>
      <c r="DWZ235" s="1"/>
      <c r="DXA235" s="1"/>
      <c r="DXB235" s="1"/>
      <c r="DXC235" s="1"/>
      <c r="DXD235" s="1"/>
      <c r="DXE235" s="1"/>
      <c r="DXF235" s="1"/>
      <c r="DXG235" s="1"/>
      <c r="DXH235" s="1"/>
      <c r="DXI235" s="1"/>
      <c r="DXJ235" s="1"/>
      <c r="DXK235" s="1"/>
      <c r="DXL235" s="1"/>
      <c r="DXM235" s="1"/>
      <c r="DXN235" s="1"/>
      <c r="DXO235" s="1"/>
      <c r="DXP235" s="1"/>
      <c r="DXQ235" s="1"/>
      <c r="DXR235" s="1"/>
      <c r="DXS235" s="1"/>
      <c r="DXT235" s="1"/>
      <c r="DXU235" s="1"/>
      <c r="DXV235" s="1"/>
      <c r="DXW235" s="1"/>
      <c r="DXX235" s="1"/>
      <c r="DXY235" s="1"/>
      <c r="DXZ235" s="1"/>
      <c r="DYA235" s="1"/>
      <c r="DYB235" s="1"/>
      <c r="DYC235" s="1"/>
      <c r="DYD235" s="1"/>
      <c r="DYE235" s="1"/>
      <c r="DYF235" s="1"/>
      <c r="DYG235" s="1"/>
      <c r="DYH235" s="1"/>
      <c r="DYI235" s="1"/>
      <c r="DYJ235" s="1"/>
      <c r="DYK235" s="1"/>
      <c r="DYL235" s="1"/>
      <c r="DYM235" s="1"/>
      <c r="DYN235" s="1"/>
      <c r="DYO235" s="1"/>
      <c r="DYP235" s="1"/>
      <c r="DYQ235" s="1"/>
      <c r="DYR235" s="1"/>
      <c r="DYS235" s="1"/>
      <c r="DYT235" s="1"/>
      <c r="DYU235" s="1"/>
      <c r="DYV235" s="1"/>
      <c r="DYW235" s="1"/>
      <c r="DYX235" s="1"/>
      <c r="DYY235" s="1"/>
      <c r="DYZ235" s="1"/>
      <c r="DZA235" s="1"/>
      <c r="DZB235" s="1"/>
      <c r="DZC235" s="1"/>
      <c r="DZD235" s="1"/>
      <c r="DZE235" s="1"/>
      <c r="DZF235" s="1"/>
      <c r="DZG235" s="1"/>
      <c r="DZH235" s="1"/>
      <c r="DZI235" s="1"/>
      <c r="DZJ235" s="1"/>
      <c r="DZK235" s="1"/>
      <c r="DZL235" s="1"/>
      <c r="DZM235" s="1"/>
      <c r="DZN235" s="1"/>
      <c r="DZO235" s="1"/>
      <c r="DZP235" s="1"/>
      <c r="DZQ235" s="1"/>
      <c r="DZR235" s="1"/>
      <c r="DZS235" s="1"/>
      <c r="DZT235" s="1"/>
      <c r="DZU235" s="1"/>
      <c r="DZV235" s="1"/>
      <c r="DZW235" s="1"/>
      <c r="DZX235" s="1"/>
      <c r="DZY235" s="1"/>
      <c r="DZZ235" s="1"/>
      <c r="EAA235" s="1"/>
      <c r="EAB235" s="1"/>
      <c r="EAC235" s="1"/>
      <c r="EAD235" s="1"/>
      <c r="EAE235" s="1"/>
      <c r="EAF235" s="1"/>
      <c r="EAG235" s="1"/>
      <c r="EAH235" s="1"/>
      <c r="EAI235" s="1"/>
      <c r="EAJ235" s="1"/>
      <c r="EAK235" s="1"/>
      <c r="EAL235" s="1"/>
      <c r="EAM235" s="1"/>
      <c r="EAN235" s="1"/>
      <c r="EAO235" s="1"/>
      <c r="EAP235" s="1"/>
      <c r="EAQ235" s="1"/>
      <c r="EAR235" s="1"/>
      <c r="EAS235" s="1"/>
      <c r="EAT235" s="1"/>
      <c r="EAU235" s="1"/>
      <c r="EAV235" s="1"/>
      <c r="EAW235" s="1"/>
      <c r="EAX235" s="1"/>
      <c r="EAY235" s="1"/>
      <c r="EAZ235" s="1"/>
      <c r="EBA235" s="1"/>
      <c r="EBB235" s="1"/>
      <c r="EBC235" s="1"/>
      <c r="EBD235" s="1"/>
      <c r="EBE235" s="1"/>
      <c r="EBF235" s="1"/>
      <c r="EBG235" s="1"/>
      <c r="EBH235" s="1"/>
      <c r="EBI235" s="1"/>
      <c r="EBJ235" s="1"/>
      <c r="EBK235" s="1"/>
      <c r="EBL235" s="1"/>
      <c r="EBM235" s="1"/>
      <c r="EBN235" s="1"/>
      <c r="EBO235" s="1"/>
      <c r="EBP235" s="1"/>
      <c r="EBQ235" s="1"/>
      <c r="EBR235" s="1"/>
      <c r="EBS235" s="1"/>
      <c r="EBT235" s="1"/>
      <c r="EBU235" s="1"/>
      <c r="EBV235" s="1"/>
      <c r="EBW235" s="1"/>
      <c r="EBX235" s="1"/>
      <c r="EBY235" s="1"/>
      <c r="EBZ235" s="1"/>
      <c r="ECA235" s="1"/>
      <c r="ECB235" s="1"/>
      <c r="ECC235" s="1"/>
      <c r="ECD235" s="1"/>
      <c r="ECE235" s="1"/>
      <c r="ECF235" s="1"/>
      <c r="ECG235" s="1"/>
      <c r="ECH235" s="1"/>
      <c r="ECI235" s="1"/>
      <c r="ECJ235" s="1"/>
      <c r="ECK235" s="1"/>
      <c r="ECL235" s="1"/>
      <c r="ECM235" s="1"/>
      <c r="ECN235" s="1"/>
      <c r="ECO235" s="1"/>
      <c r="ECP235" s="1"/>
      <c r="ECQ235" s="1"/>
      <c r="ECR235" s="1"/>
      <c r="ECS235" s="1"/>
      <c r="ECT235" s="1"/>
      <c r="ECU235" s="1"/>
      <c r="ECV235" s="1"/>
      <c r="ECW235" s="1"/>
      <c r="ECX235" s="1"/>
      <c r="ECY235" s="1"/>
      <c r="ECZ235" s="1"/>
      <c r="EDA235" s="1"/>
      <c r="EDB235" s="1"/>
      <c r="EDC235" s="1"/>
      <c r="EDD235" s="1"/>
      <c r="EDE235" s="1"/>
      <c r="EDF235" s="1"/>
      <c r="EDG235" s="1"/>
      <c r="EDH235" s="1"/>
      <c r="EDI235" s="1"/>
      <c r="EDJ235" s="1"/>
      <c r="EDK235" s="1"/>
      <c r="EDL235" s="1"/>
      <c r="EDM235" s="1"/>
      <c r="EDN235" s="1"/>
      <c r="EDO235" s="1"/>
      <c r="EDP235" s="1"/>
      <c r="EDQ235" s="1"/>
      <c r="EDR235" s="1"/>
      <c r="EDS235" s="1"/>
      <c r="EDT235" s="1"/>
      <c r="EDU235" s="1"/>
      <c r="EDV235" s="1"/>
      <c r="EDW235" s="1"/>
      <c r="EDX235" s="1"/>
      <c r="EDY235" s="1"/>
      <c r="EDZ235" s="1"/>
      <c r="EEA235" s="1"/>
      <c r="EEB235" s="1"/>
      <c r="EEC235" s="1"/>
      <c r="EED235" s="1"/>
      <c r="EEE235" s="1"/>
      <c r="EEF235" s="1"/>
      <c r="EEG235" s="1"/>
      <c r="EEH235" s="1"/>
      <c r="EEI235" s="1"/>
      <c r="EEJ235" s="1"/>
      <c r="EEK235" s="1"/>
      <c r="EEL235" s="1"/>
      <c r="EEM235" s="1"/>
      <c r="EEN235" s="1"/>
      <c r="EEO235" s="1"/>
      <c r="EEP235" s="1"/>
      <c r="EEQ235" s="1"/>
      <c r="EER235" s="1"/>
      <c r="EES235" s="1"/>
      <c r="EET235" s="1"/>
      <c r="EEU235" s="1"/>
      <c r="EEV235" s="1"/>
      <c r="EEW235" s="1"/>
      <c r="EEX235" s="1"/>
      <c r="EEY235" s="1"/>
      <c r="EEZ235" s="1"/>
      <c r="EFA235" s="1"/>
      <c r="EFB235" s="1"/>
      <c r="EFC235" s="1"/>
      <c r="EFD235" s="1"/>
      <c r="EFE235" s="1"/>
      <c r="EFF235" s="1"/>
      <c r="EFG235" s="1"/>
      <c r="EFH235" s="1"/>
      <c r="EFI235" s="1"/>
      <c r="EFJ235" s="1"/>
      <c r="EFK235" s="1"/>
      <c r="EFL235" s="1"/>
      <c r="EFM235" s="1"/>
      <c r="EFN235" s="1"/>
      <c r="EFO235" s="1"/>
      <c r="EFP235" s="1"/>
      <c r="EFQ235" s="1"/>
      <c r="EFR235" s="1"/>
      <c r="EFS235" s="1"/>
      <c r="EFT235" s="1"/>
      <c r="EFU235" s="1"/>
      <c r="EFV235" s="1"/>
      <c r="EFW235" s="1"/>
      <c r="EFX235" s="1"/>
      <c r="EFY235" s="1"/>
      <c r="EFZ235" s="1"/>
      <c r="EGA235" s="1"/>
      <c r="EGB235" s="1"/>
      <c r="EGC235" s="1"/>
      <c r="EGD235" s="1"/>
      <c r="EGE235" s="1"/>
      <c r="EGF235" s="1"/>
      <c r="EGG235" s="1"/>
      <c r="EGH235" s="1"/>
      <c r="EGI235" s="1"/>
      <c r="EGJ235" s="1"/>
      <c r="EGK235" s="1"/>
      <c r="EGL235" s="1"/>
      <c r="EGM235" s="1"/>
      <c r="EGN235" s="1"/>
      <c r="EGO235" s="1"/>
      <c r="EGP235" s="1"/>
      <c r="EGQ235" s="1"/>
      <c r="EGR235" s="1"/>
      <c r="EGS235" s="1"/>
      <c r="EGT235" s="1"/>
      <c r="EGU235" s="1"/>
      <c r="EGV235" s="1"/>
      <c r="EGW235" s="1"/>
      <c r="EGX235" s="1"/>
      <c r="EGY235" s="1"/>
      <c r="EGZ235" s="1"/>
      <c r="EHA235" s="1"/>
      <c r="EHB235" s="1"/>
      <c r="EHC235" s="1"/>
      <c r="EHD235" s="1"/>
      <c r="EHE235" s="1"/>
      <c r="EHF235" s="1"/>
      <c r="EHG235" s="1"/>
      <c r="EHH235" s="1"/>
      <c r="EHI235" s="1"/>
      <c r="EHJ235" s="1"/>
      <c r="EHK235" s="1"/>
      <c r="EHL235" s="1"/>
      <c r="EHM235" s="1"/>
      <c r="EHN235" s="1"/>
      <c r="EHO235" s="1"/>
      <c r="EHP235" s="1"/>
      <c r="EHQ235" s="1"/>
      <c r="EHR235" s="1"/>
      <c r="EHS235" s="1"/>
      <c r="EHT235" s="1"/>
      <c r="EHU235" s="1"/>
      <c r="EHV235" s="1"/>
      <c r="EHW235" s="1"/>
      <c r="EHX235" s="1"/>
      <c r="EHY235" s="1"/>
      <c r="EHZ235" s="1"/>
      <c r="EIA235" s="1"/>
      <c r="EIB235" s="1"/>
      <c r="EIC235" s="1"/>
      <c r="EID235" s="1"/>
      <c r="EIE235" s="1"/>
      <c r="EIF235" s="1"/>
      <c r="EIG235" s="1"/>
      <c r="EIH235" s="1"/>
      <c r="EII235" s="1"/>
      <c r="EIJ235" s="1"/>
      <c r="EIK235" s="1"/>
      <c r="EIL235" s="1"/>
      <c r="EIM235" s="1"/>
      <c r="EIN235" s="1"/>
      <c r="EIO235" s="1"/>
      <c r="EIP235" s="1"/>
      <c r="EIQ235" s="1"/>
      <c r="EIR235" s="1"/>
      <c r="EIS235" s="1"/>
      <c r="EIT235" s="1"/>
      <c r="EIU235" s="1"/>
      <c r="EIV235" s="1"/>
      <c r="EIW235" s="1"/>
      <c r="EIX235" s="1"/>
      <c r="EIY235" s="1"/>
      <c r="EIZ235" s="1"/>
      <c r="EJA235" s="1"/>
      <c r="EJB235" s="1"/>
      <c r="EJC235" s="1"/>
      <c r="EJD235" s="1"/>
      <c r="EJE235" s="1"/>
      <c r="EJF235" s="1"/>
      <c r="EJG235" s="1"/>
      <c r="EJH235" s="1"/>
      <c r="EJI235" s="1"/>
      <c r="EJJ235" s="1"/>
      <c r="EJK235" s="1"/>
      <c r="EJL235" s="1"/>
      <c r="EJM235" s="1"/>
      <c r="EJN235" s="1"/>
      <c r="EJO235" s="1"/>
      <c r="EJP235" s="1"/>
      <c r="EJQ235" s="1"/>
      <c r="EJR235" s="1"/>
      <c r="EJS235" s="1"/>
      <c r="EJT235" s="1"/>
      <c r="EJU235" s="1"/>
      <c r="EJV235" s="1"/>
      <c r="EJW235" s="1"/>
      <c r="EJX235" s="1"/>
      <c r="EJY235" s="1"/>
      <c r="EJZ235" s="1"/>
      <c r="EKA235" s="1"/>
      <c r="EKB235" s="1"/>
      <c r="EKC235" s="1"/>
      <c r="EKD235" s="1"/>
      <c r="EKE235" s="1"/>
      <c r="EKF235" s="1"/>
      <c r="EKG235" s="1"/>
      <c r="EKH235" s="1"/>
      <c r="EKI235" s="1"/>
      <c r="EKJ235" s="1"/>
      <c r="EKK235" s="1"/>
      <c r="EKL235" s="1"/>
      <c r="EKM235" s="1"/>
      <c r="EKN235" s="1"/>
      <c r="EKO235" s="1"/>
      <c r="EKP235" s="1"/>
      <c r="EKQ235" s="1"/>
      <c r="EKR235" s="1"/>
      <c r="EKS235" s="1"/>
      <c r="EKT235" s="1"/>
      <c r="EKU235" s="1"/>
      <c r="EKV235" s="1"/>
      <c r="EKW235" s="1"/>
      <c r="EKX235" s="1"/>
      <c r="EKY235" s="1"/>
      <c r="EKZ235" s="1"/>
      <c r="ELA235" s="1"/>
      <c r="ELB235" s="1"/>
      <c r="ELC235" s="1"/>
      <c r="ELD235" s="1"/>
      <c r="ELE235" s="1"/>
      <c r="ELF235" s="1"/>
      <c r="ELG235" s="1"/>
      <c r="ELH235" s="1"/>
      <c r="ELI235" s="1"/>
      <c r="ELJ235" s="1"/>
      <c r="ELK235" s="1"/>
      <c r="ELL235" s="1"/>
      <c r="ELM235" s="1"/>
      <c r="ELN235" s="1"/>
      <c r="ELO235" s="1"/>
      <c r="ELP235" s="1"/>
      <c r="ELQ235" s="1"/>
      <c r="ELR235" s="1"/>
      <c r="ELS235" s="1"/>
      <c r="ELT235" s="1"/>
      <c r="ELU235" s="1"/>
      <c r="ELV235" s="1"/>
      <c r="ELW235" s="1"/>
      <c r="ELX235" s="1"/>
      <c r="ELY235" s="1"/>
      <c r="ELZ235" s="1"/>
      <c r="EMA235" s="1"/>
      <c r="EMB235" s="1"/>
      <c r="EMC235" s="1"/>
      <c r="EMD235" s="1"/>
      <c r="EME235" s="1"/>
      <c r="EMF235" s="1"/>
      <c r="EMG235" s="1"/>
      <c r="EMH235" s="1"/>
      <c r="EMI235" s="1"/>
      <c r="EMJ235" s="1"/>
      <c r="EMK235" s="1"/>
      <c r="EML235" s="1"/>
      <c r="EMM235" s="1"/>
      <c r="EMN235" s="1"/>
      <c r="EMO235" s="1"/>
      <c r="EMP235" s="1"/>
      <c r="EMQ235" s="1"/>
      <c r="EMR235" s="1"/>
      <c r="EMS235" s="1"/>
      <c r="EMT235" s="1"/>
      <c r="EMU235" s="1"/>
      <c r="EMV235" s="1"/>
      <c r="EMW235" s="1"/>
      <c r="EMX235" s="1"/>
      <c r="EMY235" s="1"/>
      <c r="EMZ235" s="1"/>
      <c r="ENA235" s="1"/>
      <c r="ENB235" s="1"/>
      <c r="ENC235" s="1"/>
      <c r="END235" s="1"/>
      <c r="ENE235" s="1"/>
      <c r="ENF235" s="1"/>
      <c r="ENG235" s="1"/>
      <c r="ENH235" s="1"/>
      <c r="ENI235" s="1"/>
      <c r="ENJ235" s="1"/>
      <c r="ENK235" s="1"/>
      <c r="ENL235" s="1"/>
      <c r="ENM235" s="1"/>
      <c r="ENN235" s="1"/>
      <c r="ENO235" s="1"/>
      <c r="ENP235" s="1"/>
      <c r="ENQ235" s="1"/>
      <c r="ENR235" s="1"/>
      <c r="ENS235" s="1"/>
      <c r="ENT235" s="1"/>
      <c r="ENU235" s="1"/>
      <c r="ENV235" s="1"/>
      <c r="ENW235" s="1"/>
      <c r="ENX235" s="1"/>
      <c r="ENY235" s="1"/>
      <c r="ENZ235" s="1"/>
      <c r="EOA235" s="1"/>
      <c r="EOB235" s="1"/>
      <c r="EOC235" s="1"/>
      <c r="EOD235" s="1"/>
      <c r="EOE235" s="1"/>
      <c r="EOF235" s="1"/>
      <c r="EOG235" s="1"/>
      <c r="EOH235" s="1"/>
      <c r="EOI235" s="1"/>
      <c r="EOJ235" s="1"/>
      <c r="EOK235" s="1"/>
      <c r="EOL235" s="1"/>
      <c r="EOM235" s="1"/>
      <c r="EON235" s="1"/>
      <c r="EOO235" s="1"/>
      <c r="EOP235" s="1"/>
      <c r="EOQ235" s="1"/>
      <c r="EOR235" s="1"/>
      <c r="EOS235" s="1"/>
      <c r="EOT235" s="1"/>
      <c r="EOU235" s="1"/>
      <c r="EOV235" s="1"/>
      <c r="EOW235" s="1"/>
      <c r="EOX235" s="1"/>
      <c r="EOY235" s="1"/>
      <c r="EOZ235" s="1"/>
      <c r="EPA235" s="1"/>
      <c r="EPB235" s="1"/>
      <c r="EPC235" s="1"/>
      <c r="EPD235" s="1"/>
      <c r="EPE235" s="1"/>
      <c r="EPF235" s="1"/>
      <c r="EPG235" s="1"/>
      <c r="EPH235" s="1"/>
      <c r="EPI235" s="1"/>
      <c r="EPJ235" s="1"/>
      <c r="EPK235" s="1"/>
      <c r="EPL235" s="1"/>
      <c r="EPM235" s="1"/>
      <c r="EPN235" s="1"/>
      <c r="EPO235" s="1"/>
      <c r="EPP235" s="1"/>
      <c r="EPQ235" s="1"/>
      <c r="EPR235" s="1"/>
      <c r="EPS235" s="1"/>
      <c r="EPT235" s="1"/>
      <c r="EPU235" s="1"/>
      <c r="EPV235" s="1"/>
      <c r="EPW235" s="1"/>
      <c r="EPX235" s="1"/>
      <c r="EPY235" s="1"/>
      <c r="EPZ235" s="1"/>
      <c r="EQA235" s="1"/>
      <c r="EQB235" s="1"/>
      <c r="EQC235" s="1"/>
      <c r="EQD235" s="1"/>
      <c r="EQE235" s="1"/>
      <c r="EQF235" s="1"/>
      <c r="EQG235" s="1"/>
      <c r="EQH235" s="1"/>
      <c r="EQI235" s="1"/>
      <c r="EQJ235" s="1"/>
      <c r="EQK235" s="1"/>
      <c r="EQL235" s="1"/>
      <c r="EQM235" s="1"/>
      <c r="EQN235" s="1"/>
      <c r="EQO235" s="1"/>
      <c r="EQP235" s="1"/>
      <c r="EQQ235" s="1"/>
      <c r="EQR235" s="1"/>
      <c r="EQS235" s="1"/>
      <c r="EQT235" s="1"/>
      <c r="EQU235" s="1"/>
      <c r="EQV235" s="1"/>
      <c r="EQW235" s="1"/>
      <c r="EQX235" s="1"/>
      <c r="EQY235" s="1"/>
      <c r="EQZ235" s="1"/>
      <c r="ERA235" s="1"/>
      <c r="ERB235" s="1"/>
      <c r="ERC235" s="1"/>
      <c r="ERD235" s="1"/>
      <c r="ERE235" s="1"/>
      <c r="ERF235" s="1"/>
      <c r="ERG235" s="1"/>
      <c r="ERH235" s="1"/>
      <c r="ERI235" s="1"/>
      <c r="ERJ235" s="1"/>
      <c r="ERK235" s="1"/>
      <c r="ERL235" s="1"/>
      <c r="ERM235" s="1"/>
      <c r="ERN235" s="1"/>
      <c r="ERO235" s="1"/>
      <c r="ERP235" s="1"/>
      <c r="ERQ235" s="1"/>
      <c r="ERR235" s="1"/>
      <c r="ERS235" s="1"/>
      <c r="ERT235" s="1"/>
      <c r="ERU235" s="1"/>
      <c r="ERV235" s="1"/>
      <c r="ERW235" s="1"/>
      <c r="ERX235" s="1"/>
      <c r="ERY235" s="1"/>
      <c r="ERZ235" s="1"/>
      <c r="ESA235" s="1"/>
      <c r="ESB235" s="1"/>
      <c r="ESC235" s="1"/>
      <c r="ESD235" s="1"/>
      <c r="ESE235" s="1"/>
      <c r="ESF235" s="1"/>
      <c r="ESG235" s="1"/>
      <c r="ESH235" s="1"/>
      <c r="ESI235" s="1"/>
      <c r="ESJ235" s="1"/>
      <c r="ESK235" s="1"/>
      <c r="ESL235" s="1"/>
      <c r="ESM235" s="1"/>
      <c r="ESN235" s="1"/>
      <c r="ESO235" s="1"/>
      <c r="ESP235" s="1"/>
      <c r="ESQ235" s="1"/>
      <c r="ESR235" s="1"/>
      <c r="ESS235" s="1"/>
      <c r="EST235" s="1"/>
      <c r="ESU235" s="1"/>
      <c r="ESV235" s="1"/>
      <c r="ESW235" s="1"/>
      <c r="ESX235" s="1"/>
      <c r="ESY235" s="1"/>
      <c r="ESZ235" s="1"/>
      <c r="ETA235" s="1"/>
      <c r="ETB235" s="1"/>
      <c r="ETC235" s="1"/>
      <c r="ETD235" s="1"/>
      <c r="ETE235" s="1"/>
      <c r="ETF235" s="1"/>
      <c r="ETG235" s="1"/>
      <c r="ETH235" s="1"/>
      <c r="ETI235" s="1"/>
      <c r="ETJ235" s="1"/>
      <c r="ETK235" s="1"/>
      <c r="ETL235" s="1"/>
      <c r="ETM235" s="1"/>
      <c r="ETN235" s="1"/>
      <c r="ETO235" s="1"/>
      <c r="ETP235" s="1"/>
      <c r="ETQ235" s="1"/>
      <c r="ETR235" s="1"/>
      <c r="ETS235" s="1"/>
      <c r="ETT235" s="1"/>
      <c r="ETU235" s="1"/>
      <c r="ETV235" s="1"/>
      <c r="ETW235" s="1"/>
      <c r="ETX235" s="1"/>
      <c r="ETY235" s="1"/>
      <c r="ETZ235" s="1"/>
      <c r="EUA235" s="1"/>
      <c r="EUB235" s="1"/>
      <c r="EUC235" s="1"/>
      <c r="EUD235" s="1"/>
      <c r="EUE235" s="1"/>
      <c r="EUF235" s="1"/>
      <c r="EUG235" s="1"/>
      <c r="EUH235" s="1"/>
      <c r="EUI235" s="1"/>
      <c r="EUJ235" s="1"/>
      <c r="EUK235" s="1"/>
      <c r="EUL235" s="1"/>
      <c r="EUM235" s="1"/>
      <c r="EUN235" s="1"/>
      <c r="EUO235" s="1"/>
      <c r="EUP235" s="1"/>
      <c r="EUQ235" s="1"/>
      <c r="EUR235" s="1"/>
      <c r="EUS235" s="1"/>
      <c r="EUT235" s="1"/>
      <c r="EUU235" s="1"/>
      <c r="EUV235" s="1"/>
      <c r="EUW235" s="1"/>
      <c r="EUX235" s="1"/>
      <c r="EUY235" s="1"/>
      <c r="EUZ235" s="1"/>
      <c r="EVA235" s="1"/>
      <c r="EVB235" s="1"/>
      <c r="EVC235" s="1"/>
      <c r="EVD235" s="1"/>
      <c r="EVE235" s="1"/>
      <c r="EVF235" s="1"/>
      <c r="EVG235" s="1"/>
      <c r="EVH235" s="1"/>
      <c r="EVI235" s="1"/>
      <c r="EVJ235" s="1"/>
      <c r="EVK235" s="1"/>
      <c r="EVL235" s="1"/>
      <c r="EVM235" s="1"/>
      <c r="EVN235" s="1"/>
      <c r="EVO235" s="1"/>
      <c r="EVP235" s="1"/>
      <c r="EVQ235" s="1"/>
      <c r="EVR235" s="1"/>
      <c r="EVS235" s="1"/>
      <c r="EVT235" s="1"/>
      <c r="EVU235" s="1"/>
      <c r="EVV235" s="1"/>
      <c r="EVW235" s="1"/>
      <c r="EVX235" s="1"/>
      <c r="EVY235" s="1"/>
      <c r="EVZ235" s="1"/>
      <c r="EWA235" s="1"/>
      <c r="EWB235" s="1"/>
      <c r="EWC235" s="1"/>
      <c r="EWD235" s="1"/>
      <c r="EWE235" s="1"/>
      <c r="EWF235" s="1"/>
      <c r="EWG235" s="1"/>
      <c r="EWH235" s="1"/>
      <c r="EWI235" s="1"/>
      <c r="EWJ235" s="1"/>
      <c r="EWK235" s="1"/>
      <c r="EWL235" s="1"/>
      <c r="EWM235" s="1"/>
      <c r="EWN235" s="1"/>
      <c r="EWO235" s="1"/>
      <c r="EWP235" s="1"/>
      <c r="EWQ235" s="1"/>
      <c r="EWR235" s="1"/>
      <c r="EWS235" s="1"/>
      <c r="EWT235" s="1"/>
      <c r="EWU235" s="1"/>
      <c r="EWV235" s="1"/>
      <c r="EWW235" s="1"/>
      <c r="EWX235" s="1"/>
      <c r="EWY235" s="1"/>
      <c r="EWZ235" s="1"/>
      <c r="EXA235" s="1"/>
      <c r="EXB235" s="1"/>
      <c r="EXC235" s="1"/>
      <c r="EXD235" s="1"/>
      <c r="EXE235" s="1"/>
      <c r="EXF235" s="1"/>
      <c r="EXG235" s="1"/>
      <c r="EXH235" s="1"/>
      <c r="EXI235" s="1"/>
      <c r="EXJ235" s="1"/>
      <c r="EXK235" s="1"/>
      <c r="EXL235" s="1"/>
      <c r="EXM235" s="1"/>
      <c r="EXN235" s="1"/>
      <c r="EXO235" s="1"/>
      <c r="EXP235" s="1"/>
      <c r="EXQ235" s="1"/>
      <c r="EXR235" s="1"/>
      <c r="EXS235" s="1"/>
      <c r="EXT235" s="1"/>
      <c r="EXU235" s="1"/>
      <c r="EXV235" s="1"/>
      <c r="EXW235" s="1"/>
      <c r="EXX235" s="1"/>
      <c r="EXY235" s="1"/>
      <c r="EXZ235" s="1"/>
      <c r="EYA235" s="1"/>
      <c r="EYB235" s="1"/>
      <c r="EYC235" s="1"/>
      <c r="EYD235" s="1"/>
      <c r="EYE235" s="1"/>
      <c r="EYF235" s="1"/>
      <c r="EYG235" s="1"/>
      <c r="EYH235" s="1"/>
      <c r="EYI235" s="1"/>
      <c r="EYJ235" s="1"/>
      <c r="EYK235" s="1"/>
      <c r="EYL235" s="1"/>
      <c r="EYM235" s="1"/>
      <c r="EYN235" s="1"/>
      <c r="EYO235" s="1"/>
      <c r="EYP235" s="1"/>
      <c r="EYQ235" s="1"/>
      <c r="EYR235" s="1"/>
      <c r="EYS235" s="1"/>
      <c r="EYT235" s="1"/>
      <c r="EYU235" s="1"/>
      <c r="EYV235" s="1"/>
      <c r="EYW235" s="1"/>
      <c r="EYX235" s="1"/>
      <c r="EYY235" s="1"/>
      <c r="EYZ235" s="1"/>
      <c r="EZA235" s="1"/>
      <c r="EZB235" s="1"/>
      <c r="EZC235" s="1"/>
      <c r="EZD235" s="1"/>
      <c r="EZE235" s="1"/>
      <c r="EZF235" s="1"/>
      <c r="EZG235" s="1"/>
      <c r="EZH235" s="1"/>
      <c r="EZI235" s="1"/>
      <c r="EZJ235" s="1"/>
      <c r="EZK235" s="1"/>
      <c r="EZL235" s="1"/>
      <c r="EZM235" s="1"/>
      <c r="EZN235" s="1"/>
      <c r="EZO235" s="1"/>
      <c r="EZP235" s="1"/>
      <c r="EZQ235" s="1"/>
      <c r="EZR235" s="1"/>
      <c r="EZS235" s="1"/>
      <c r="EZT235" s="1"/>
      <c r="EZU235" s="1"/>
      <c r="EZV235" s="1"/>
      <c r="EZW235" s="1"/>
      <c r="EZX235" s="1"/>
      <c r="EZY235" s="1"/>
      <c r="EZZ235" s="1"/>
      <c r="FAA235" s="1"/>
      <c r="FAB235" s="1"/>
      <c r="FAC235" s="1"/>
      <c r="FAD235" s="1"/>
      <c r="FAE235" s="1"/>
      <c r="FAF235" s="1"/>
      <c r="FAG235" s="1"/>
      <c r="FAH235" s="1"/>
      <c r="FAI235" s="1"/>
      <c r="FAJ235" s="1"/>
      <c r="FAK235" s="1"/>
      <c r="FAL235" s="1"/>
      <c r="FAM235" s="1"/>
      <c r="FAN235" s="1"/>
      <c r="FAO235" s="1"/>
      <c r="FAP235" s="1"/>
      <c r="FAQ235" s="1"/>
      <c r="FAR235" s="1"/>
      <c r="FAS235" s="1"/>
      <c r="FAT235" s="1"/>
      <c r="FAU235" s="1"/>
      <c r="FAV235" s="1"/>
      <c r="FAW235" s="1"/>
      <c r="FAX235" s="1"/>
      <c r="FAY235" s="1"/>
      <c r="FAZ235" s="1"/>
      <c r="FBA235" s="1"/>
      <c r="FBB235" s="1"/>
      <c r="FBC235" s="1"/>
      <c r="FBD235" s="1"/>
      <c r="FBE235" s="1"/>
      <c r="FBF235" s="1"/>
      <c r="FBG235" s="1"/>
      <c r="FBH235" s="1"/>
      <c r="FBI235" s="1"/>
      <c r="FBJ235" s="1"/>
      <c r="FBK235" s="1"/>
      <c r="FBL235" s="1"/>
      <c r="FBM235" s="1"/>
      <c r="FBN235" s="1"/>
      <c r="FBO235" s="1"/>
      <c r="FBP235" s="1"/>
      <c r="FBQ235" s="1"/>
      <c r="FBR235" s="1"/>
      <c r="FBS235" s="1"/>
      <c r="FBT235" s="1"/>
      <c r="FBU235" s="1"/>
      <c r="FBV235" s="1"/>
      <c r="FBW235" s="1"/>
      <c r="FBX235" s="1"/>
      <c r="FBY235" s="1"/>
      <c r="FBZ235" s="1"/>
      <c r="FCA235" s="1"/>
      <c r="FCB235" s="1"/>
      <c r="FCC235" s="1"/>
      <c r="FCD235" s="1"/>
      <c r="FCE235" s="1"/>
      <c r="FCF235" s="1"/>
      <c r="FCG235" s="1"/>
      <c r="FCH235" s="1"/>
      <c r="FCI235" s="1"/>
      <c r="FCJ235" s="1"/>
      <c r="FCK235" s="1"/>
      <c r="FCL235" s="1"/>
      <c r="FCM235" s="1"/>
      <c r="FCN235" s="1"/>
      <c r="FCO235" s="1"/>
      <c r="FCP235" s="1"/>
      <c r="FCQ235" s="1"/>
      <c r="FCR235" s="1"/>
      <c r="FCS235" s="1"/>
      <c r="FCT235" s="1"/>
      <c r="FCU235" s="1"/>
      <c r="FCV235" s="1"/>
      <c r="FCW235" s="1"/>
      <c r="FCX235" s="1"/>
      <c r="FCY235" s="1"/>
      <c r="FCZ235" s="1"/>
      <c r="FDA235" s="1"/>
      <c r="FDB235" s="1"/>
      <c r="FDC235" s="1"/>
      <c r="FDD235" s="1"/>
      <c r="FDE235" s="1"/>
      <c r="FDF235" s="1"/>
      <c r="FDG235" s="1"/>
      <c r="FDH235" s="1"/>
      <c r="FDI235" s="1"/>
      <c r="FDJ235" s="1"/>
      <c r="FDK235" s="1"/>
      <c r="FDL235" s="1"/>
      <c r="FDM235" s="1"/>
      <c r="FDN235" s="1"/>
      <c r="FDO235" s="1"/>
      <c r="FDP235" s="1"/>
      <c r="FDQ235" s="1"/>
      <c r="FDR235" s="1"/>
      <c r="FDS235" s="1"/>
      <c r="FDT235" s="1"/>
      <c r="FDU235" s="1"/>
      <c r="FDV235" s="1"/>
      <c r="FDW235" s="1"/>
      <c r="FDX235" s="1"/>
      <c r="FDY235" s="1"/>
      <c r="FDZ235" s="1"/>
      <c r="FEA235" s="1"/>
      <c r="FEB235" s="1"/>
      <c r="FEC235" s="1"/>
      <c r="FED235" s="1"/>
      <c r="FEE235" s="1"/>
      <c r="FEF235" s="1"/>
      <c r="FEG235" s="1"/>
      <c r="FEH235" s="1"/>
      <c r="FEI235" s="1"/>
      <c r="FEJ235" s="1"/>
      <c r="FEK235" s="1"/>
      <c r="FEL235" s="1"/>
      <c r="FEM235" s="1"/>
      <c r="FEN235" s="1"/>
      <c r="FEO235" s="1"/>
      <c r="FEP235" s="1"/>
      <c r="FEQ235" s="1"/>
      <c r="FER235" s="1"/>
      <c r="FES235" s="1"/>
      <c r="FET235" s="1"/>
      <c r="FEU235" s="1"/>
      <c r="FEV235" s="1"/>
      <c r="FEW235" s="1"/>
      <c r="FEX235" s="1"/>
      <c r="FEY235" s="1"/>
      <c r="FEZ235" s="1"/>
      <c r="FFA235" s="1"/>
      <c r="FFB235" s="1"/>
      <c r="FFC235" s="1"/>
      <c r="FFD235" s="1"/>
      <c r="FFE235" s="1"/>
      <c r="FFF235" s="1"/>
      <c r="FFG235" s="1"/>
      <c r="FFH235" s="1"/>
      <c r="FFI235" s="1"/>
      <c r="FFJ235" s="1"/>
      <c r="FFK235" s="1"/>
      <c r="FFL235" s="1"/>
      <c r="FFM235" s="1"/>
      <c r="FFN235" s="1"/>
      <c r="FFO235" s="1"/>
      <c r="FFP235" s="1"/>
      <c r="FFQ235" s="1"/>
      <c r="FFR235" s="1"/>
      <c r="FFS235" s="1"/>
      <c r="FFT235" s="1"/>
      <c r="FFU235" s="1"/>
      <c r="FFV235" s="1"/>
      <c r="FFW235" s="1"/>
      <c r="FFX235" s="1"/>
      <c r="FFY235" s="1"/>
      <c r="FFZ235" s="1"/>
      <c r="FGA235" s="1"/>
      <c r="FGB235" s="1"/>
      <c r="FGC235" s="1"/>
      <c r="FGD235" s="1"/>
      <c r="FGE235" s="1"/>
      <c r="FGF235" s="1"/>
      <c r="FGG235" s="1"/>
      <c r="FGH235" s="1"/>
      <c r="FGI235" s="1"/>
      <c r="FGJ235" s="1"/>
      <c r="FGK235" s="1"/>
      <c r="FGL235" s="1"/>
      <c r="FGM235" s="1"/>
      <c r="FGN235" s="1"/>
      <c r="FGO235" s="1"/>
      <c r="FGP235" s="1"/>
      <c r="FGQ235" s="1"/>
      <c r="FGR235" s="1"/>
      <c r="FGS235" s="1"/>
      <c r="FGT235" s="1"/>
      <c r="FGU235" s="1"/>
      <c r="FGV235" s="1"/>
      <c r="FGW235" s="1"/>
      <c r="FGX235" s="1"/>
      <c r="FGY235" s="1"/>
      <c r="FGZ235" s="1"/>
      <c r="FHA235" s="1"/>
      <c r="FHB235" s="1"/>
      <c r="FHC235" s="1"/>
      <c r="FHD235" s="1"/>
      <c r="FHE235" s="1"/>
      <c r="FHF235" s="1"/>
      <c r="FHG235" s="1"/>
      <c r="FHH235" s="1"/>
      <c r="FHI235" s="1"/>
      <c r="FHJ235" s="1"/>
      <c r="FHK235" s="1"/>
      <c r="FHL235" s="1"/>
      <c r="FHM235" s="1"/>
      <c r="FHN235" s="1"/>
      <c r="FHO235" s="1"/>
      <c r="FHP235" s="1"/>
      <c r="FHQ235" s="1"/>
      <c r="FHR235" s="1"/>
      <c r="FHS235" s="1"/>
      <c r="FHT235" s="1"/>
      <c r="FHU235" s="1"/>
      <c r="FHV235" s="1"/>
      <c r="FHW235" s="1"/>
      <c r="FHX235" s="1"/>
      <c r="FHY235" s="1"/>
      <c r="FHZ235" s="1"/>
      <c r="FIA235" s="1"/>
      <c r="FIB235" s="1"/>
      <c r="FIC235" s="1"/>
      <c r="FID235" s="1"/>
      <c r="FIE235" s="1"/>
      <c r="FIF235" s="1"/>
      <c r="FIG235" s="1"/>
      <c r="FIH235" s="1"/>
      <c r="FII235" s="1"/>
      <c r="FIJ235" s="1"/>
      <c r="FIK235" s="1"/>
      <c r="FIL235" s="1"/>
      <c r="FIM235" s="1"/>
      <c r="FIN235" s="1"/>
      <c r="FIO235" s="1"/>
      <c r="FIP235" s="1"/>
      <c r="FIQ235" s="1"/>
      <c r="FIR235" s="1"/>
      <c r="FIS235" s="1"/>
      <c r="FIT235" s="1"/>
      <c r="FIU235" s="1"/>
      <c r="FIV235" s="1"/>
      <c r="FIW235" s="1"/>
      <c r="FIX235" s="1"/>
      <c r="FIY235" s="1"/>
      <c r="FIZ235" s="1"/>
      <c r="FJA235" s="1"/>
      <c r="FJB235" s="1"/>
      <c r="FJC235" s="1"/>
      <c r="FJD235" s="1"/>
      <c r="FJE235" s="1"/>
      <c r="FJF235" s="1"/>
      <c r="FJG235" s="1"/>
      <c r="FJH235" s="1"/>
      <c r="FJI235" s="1"/>
      <c r="FJJ235" s="1"/>
      <c r="FJK235" s="1"/>
      <c r="FJL235" s="1"/>
      <c r="FJM235" s="1"/>
      <c r="FJN235" s="1"/>
      <c r="FJO235" s="1"/>
      <c r="FJP235" s="1"/>
      <c r="FJQ235" s="1"/>
      <c r="FJR235" s="1"/>
      <c r="FJS235" s="1"/>
      <c r="FJT235" s="1"/>
      <c r="FJU235" s="1"/>
      <c r="FJV235" s="1"/>
      <c r="FJW235" s="1"/>
      <c r="FJX235" s="1"/>
      <c r="FJY235" s="1"/>
      <c r="FJZ235" s="1"/>
      <c r="FKA235" s="1"/>
      <c r="FKB235" s="1"/>
      <c r="FKC235" s="1"/>
      <c r="FKD235" s="1"/>
      <c r="FKE235" s="1"/>
      <c r="FKF235" s="1"/>
      <c r="FKG235" s="1"/>
      <c r="FKH235" s="1"/>
      <c r="FKI235" s="1"/>
      <c r="FKJ235" s="1"/>
      <c r="FKK235" s="1"/>
      <c r="FKL235" s="1"/>
      <c r="FKM235" s="1"/>
      <c r="FKN235" s="1"/>
      <c r="FKO235" s="1"/>
      <c r="FKP235" s="1"/>
      <c r="FKQ235" s="1"/>
      <c r="FKR235" s="1"/>
      <c r="FKS235" s="1"/>
      <c r="FKT235" s="1"/>
      <c r="FKU235" s="1"/>
      <c r="FKV235" s="1"/>
      <c r="FKW235" s="1"/>
      <c r="FKX235" s="1"/>
      <c r="FKY235" s="1"/>
      <c r="FKZ235" s="1"/>
      <c r="FLA235" s="1"/>
      <c r="FLB235" s="1"/>
      <c r="FLC235" s="1"/>
      <c r="FLD235" s="1"/>
      <c r="FLE235" s="1"/>
      <c r="FLF235" s="1"/>
      <c r="FLG235" s="1"/>
      <c r="FLH235" s="1"/>
      <c r="FLI235" s="1"/>
      <c r="FLJ235" s="1"/>
      <c r="FLK235" s="1"/>
      <c r="FLL235" s="1"/>
      <c r="FLM235" s="1"/>
      <c r="FLN235" s="1"/>
      <c r="FLO235" s="1"/>
      <c r="FLP235" s="1"/>
      <c r="FLQ235" s="1"/>
      <c r="FLR235" s="1"/>
      <c r="FLS235" s="1"/>
      <c r="FLT235" s="1"/>
      <c r="FLU235" s="1"/>
      <c r="FLV235" s="1"/>
      <c r="FLW235" s="1"/>
      <c r="FLX235" s="1"/>
      <c r="FLY235" s="1"/>
      <c r="FLZ235" s="1"/>
      <c r="FMA235" s="1"/>
      <c r="FMB235" s="1"/>
      <c r="FMC235" s="1"/>
      <c r="FMD235" s="1"/>
      <c r="FME235" s="1"/>
      <c r="FMF235" s="1"/>
      <c r="FMG235" s="1"/>
      <c r="FMH235" s="1"/>
      <c r="FMI235" s="1"/>
      <c r="FMJ235" s="1"/>
      <c r="FMK235" s="1"/>
      <c r="FML235" s="1"/>
      <c r="FMM235" s="1"/>
      <c r="FMN235" s="1"/>
      <c r="FMO235" s="1"/>
      <c r="FMP235" s="1"/>
      <c r="FMQ235" s="1"/>
      <c r="FMR235" s="1"/>
      <c r="FMS235" s="1"/>
      <c r="FMT235" s="1"/>
      <c r="FMU235" s="1"/>
      <c r="FMV235" s="1"/>
      <c r="FMW235" s="1"/>
      <c r="FMX235" s="1"/>
      <c r="FMY235" s="1"/>
      <c r="FMZ235" s="1"/>
      <c r="FNA235" s="1"/>
      <c r="FNB235" s="1"/>
      <c r="FNC235" s="1"/>
      <c r="FND235" s="1"/>
      <c r="FNE235" s="1"/>
      <c r="FNF235" s="1"/>
      <c r="FNG235" s="1"/>
      <c r="FNH235" s="1"/>
      <c r="FNI235" s="1"/>
      <c r="FNJ235" s="1"/>
      <c r="FNK235" s="1"/>
      <c r="FNL235" s="1"/>
      <c r="FNM235" s="1"/>
      <c r="FNN235" s="1"/>
      <c r="FNO235" s="1"/>
      <c r="FNP235" s="1"/>
      <c r="FNQ235" s="1"/>
      <c r="FNR235" s="1"/>
      <c r="FNS235" s="1"/>
      <c r="FNT235" s="1"/>
      <c r="FNU235" s="1"/>
      <c r="FNV235" s="1"/>
      <c r="FNW235" s="1"/>
      <c r="FNX235" s="1"/>
      <c r="FNY235" s="1"/>
      <c r="FNZ235" s="1"/>
      <c r="FOA235" s="1"/>
      <c r="FOB235" s="1"/>
      <c r="FOC235" s="1"/>
      <c r="FOD235" s="1"/>
      <c r="FOE235" s="1"/>
      <c r="FOF235" s="1"/>
      <c r="FOG235" s="1"/>
      <c r="FOH235" s="1"/>
      <c r="FOI235" s="1"/>
      <c r="FOJ235" s="1"/>
      <c r="FOK235" s="1"/>
      <c r="FOL235" s="1"/>
      <c r="FOM235" s="1"/>
      <c r="FON235" s="1"/>
      <c r="FOO235" s="1"/>
      <c r="FOP235" s="1"/>
      <c r="FOQ235" s="1"/>
      <c r="FOR235" s="1"/>
      <c r="FOS235" s="1"/>
      <c r="FOT235" s="1"/>
      <c r="FOU235" s="1"/>
      <c r="FOV235" s="1"/>
      <c r="FOW235" s="1"/>
      <c r="FOX235" s="1"/>
      <c r="FOY235" s="1"/>
      <c r="FOZ235" s="1"/>
      <c r="FPA235" s="1"/>
      <c r="FPB235" s="1"/>
      <c r="FPC235" s="1"/>
      <c r="FPD235" s="1"/>
      <c r="FPE235" s="1"/>
      <c r="FPF235" s="1"/>
      <c r="FPG235" s="1"/>
      <c r="FPH235" s="1"/>
      <c r="FPI235" s="1"/>
      <c r="FPJ235" s="1"/>
      <c r="FPK235" s="1"/>
      <c r="FPL235" s="1"/>
      <c r="FPM235" s="1"/>
      <c r="FPN235" s="1"/>
      <c r="FPO235" s="1"/>
      <c r="FPP235" s="1"/>
      <c r="FPQ235" s="1"/>
      <c r="FPR235" s="1"/>
      <c r="FPS235" s="1"/>
      <c r="FPT235" s="1"/>
      <c r="FPU235" s="1"/>
      <c r="FPV235" s="1"/>
      <c r="FPW235" s="1"/>
      <c r="FPX235" s="1"/>
      <c r="FPY235" s="1"/>
      <c r="FPZ235" s="1"/>
      <c r="FQA235" s="1"/>
      <c r="FQB235" s="1"/>
      <c r="FQC235" s="1"/>
      <c r="FQD235" s="1"/>
      <c r="FQE235" s="1"/>
      <c r="FQF235" s="1"/>
      <c r="FQG235" s="1"/>
      <c r="FQH235" s="1"/>
      <c r="FQI235" s="1"/>
      <c r="FQJ235" s="1"/>
      <c r="FQK235" s="1"/>
      <c r="FQL235" s="1"/>
      <c r="FQM235" s="1"/>
      <c r="FQN235" s="1"/>
      <c r="FQO235" s="1"/>
      <c r="FQP235" s="1"/>
      <c r="FQQ235" s="1"/>
      <c r="FQR235" s="1"/>
      <c r="FQS235" s="1"/>
      <c r="FQT235" s="1"/>
      <c r="FQU235" s="1"/>
      <c r="FQV235" s="1"/>
      <c r="FQW235" s="1"/>
      <c r="FQX235" s="1"/>
      <c r="FQY235" s="1"/>
      <c r="FQZ235" s="1"/>
      <c r="FRA235" s="1"/>
      <c r="FRB235" s="1"/>
      <c r="FRC235" s="1"/>
      <c r="FRD235" s="1"/>
      <c r="FRE235" s="1"/>
      <c r="FRF235" s="1"/>
      <c r="FRG235" s="1"/>
      <c r="FRH235" s="1"/>
      <c r="FRI235" s="1"/>
      <c r="FRJ235" s="1"/>
      <c r="FRK235" s="1"/>
      <c r="FRL235" s="1"/>
      <c r="FRM235" s="1"/>
      <c r="FRN235" s="1"/>
      <c r="FRO235" s="1"/>
      <c r="FRP235" s="1"/>
      <c r="FRQ235" s="1"/>
      <c r="FRR235" s="1"/>
      <c r="FRS235" s="1"/>
      <c r="FRT235" s="1"/>
      <c r="FRU235" s="1"/>
      <c r="FRV235" s="1"/>
      <c r="FRW235" s="1"/>
      <c r="FRX235" s="1"/>
      <c r="FRY235" s="1"/>
      <c r="FRZ235" s="1"/>
      <c r="FSA235" s="1"/>
      <c r="FSB235" s="1"/>
      <c r="FSC235" s="1"/>
      <c r="FSD235" s="1"/>
      <c r="FSE235" s="1"/>
      <c r="FSF235" s="1"/>
      <c r="FSG235" s="1"/>
      <c r="FSH235" s="1"/>
      <c r="FSI235" s="1"/>
      <c r="FSJ235" s="1"/>
      <c r="FSK235" s="1"/>
      <c r="FSL235" s="1"/>
      <c r="FSM235" s="1"/>
      <c r="FSN235" s="1"/>
      <c r="FSO235" s="1"/>
      <c r="FSP235" s="1"/>
      <c r="FSQ235" s="1"/>
      <c r="FSR235" s="1"/>
      <c r="FSS235" s="1"/>
      <c r="FST235" s="1"/>
      <c r="FSU235" s="1"/>
      <c r="FSV235" s="1"/>
      <c r="FSW235" s="1"/>
      <c r="FSX235" s="1"/>
      <c r="FSY235" s="1"/>
      <c r="FSZ235" s="1"/>
      <c r="FTA235" s="1"/>
      <c r="FTB235" s="1"/>
      <c r="FTC235" s="1"/>
      <c r="FTD235" s="1"/>
      <c r="FTE235" s="1"/>
      <c r="FTF235" s="1"/>
      <c r="FTG235" s="1"/>
      <c r="FTH235" s="1"/>
      <c r="FTI235" s="1"/>
      <c r="FTJ235" s="1"/>
      <c r="FTK235" s="1"/>
      <c r="FTL235" s="1"/>
      <c r="FTM235" s="1"/>
      <c r="FTN235" s="1"/>
      <c r="FTO235" s="1"/>
      <c r="FTP235" s="1"/>
      <c r="FTQ235" s="1"/>
      <c r="FTR235" s="1"/>
      <c r="FTS235" s="1"/>
      <c r="FTT235" s="1"/>
      <c r="FTU235" s="1"/>
      <c r="FTV235" s="1"/>
      <c r="FTW235" s="1"/>
      <c r="FTX235" s="1"/>
      <c r="FTY235" s="1"/>
      <c r="FTZ235" s="1"/>
      <c r="FUA235" s="1"/>
      <c r="FUB235" s="1"/>
      <c r="FUC235" s="1"/>
      <c r="FUD235" s="1"/>
      <c r="FUE235" s="1"/>
      <c r="FUF235" s="1"/>
      <c r="FUG235" s="1"/>
      <c r="FUH235" s="1"/>
      <c r="FUI235" s="1"/>
      <c r="FUJ235" s="1"/>
      <c r="FUK235" s="1"/>
      <c r="FUL235" s="1"/>
      <c r="FUM235" s="1"/>
      <c r="FUN235" s="1"/>
      <c r="FUO235" s="1"/>
      <c r="FUP235" s="1"/>
      <c r="FUQ235" s="1"/>
      <c r="FUR235" s="1"/>
      <c r="FUS235" s="1"/>
      <c r="FUT235" s="1"/>
      <c r="FUU235" s="1"/>
      <c r="FUV235" s="1"/>
      <c r="FUW235" s="1"/>
      <c r="FUX235" s="1"/>
      <c r="FUY235" s="1"/>
      <c r="FUZ235" s="1"/>
      <c r="FVA235" s="1"/>
      <c r="FVB235" s="1"/>
      <c r="FVC235" s="1"/>
      <c r="FVD235" s="1"/>
      <c r="FVE235" s="1"/>
      <c r="FVF235" s="1"/>
      <c r="FVG235" s="1"/>
      <c r="FVH235" s="1"/>
      <c r="FVI235" s="1"/>
      <c r="FVJ235" s="1"/>
      <c r="FVK235" s="1"/>
      <c r="FVL235" s="1"/>
      <c r="FVM235" s="1"/>
      <c r="FVN235" s="1"/>
      <c r="FVO235" s="1"/>
      <c r="FVP235" s="1"/>
      <c r="FVQ235" s="1"/>
      <c r="FVR235" s="1"/>
      <c r="FVS235" s="1"/>
      <c r="FVT235" s="1"/>
      <c r="FVU235" s="1"/>
      <c r="FVV235" s="1"/>
      <c r="FVW235" s="1"/>
      <c r="FVX235" s="1"/>
      <c r="FVY235" s="1"/>
      <c r="FVZ235" s="1"/>
      <c r="FWA235" s="1"/>
      <c r="FWB235" s="1"/>
      <c r="FWC235" s="1"/>
      <c r="FWD235" s="1"/>
      <c r="FWE235" s="1"/>
      <c r="FWF235" s="1"/>
      <c r="FWG235" s="1"/>
      <c r="FWH235" s="1"/>
      <c r="FWI235" s="1"/>
      <c r="FWJ235" s="1"/>
      <c r="FWK235" s="1"/>
      <c r="FWL235" s="1"/>
      <c r="FWM235" s="1"/>
      <c r="FWN235" s="1"/>
      <c r="FWO235" s="1"/>
      <c r="FWP235" s="1"/>
      <c r="FWQ235" s="1"/>
      <c r="FWR235" s="1"/>
      <c r="FWS235" s="1"/>
      <c r="FWT235" s="1"/>
      <c r="FWU235" s="1"/>
      <c r="FWV235" s="1"/>
      <c r="FWW235" s="1"/>
      <c r="FWX235" s="1"/>
      <c r="FWY235" s="1"/>
      <c r="FWZ235" s="1"/>
      <c r="FXA235" s="1"/>
      <c r="FXB235" s="1"/>
      <c r="FXC235" s="1"/>
      <c r="FXD235" s="1"/>
      <c r="FXE235" s="1"/>
      <c r="FXF235" s="1"/>
      <c r="FXG235" s="1"/>
      <c r="FXH235" s="1"/>
      <c r="FXI235" s="1"/>
      <c r="FXJ235" s="1"/>
      <c r="FXK235" s="1"/>
      <c r="FXL235" s="1"/>
      <c r="FXM235" s="1"/>
      <c r="FXN235" s="1"/>
      <c r="FXO235" s="1"/>
      <c r="FXP235" s="1"/>
      <c r="FXQ235" s="1"/>
      <c r="FXR235" s="1"/>
      <c r="FXS235" s="1"/>
      <c r="FXT235" s="1"/>
      <c r="FXU235" s="1"/>
      <c r="FXV235" s="1"/>
      <c r="FXW235" s="1"/>
      <c r="FXX235" s="1"/>
      <c r="FXY235" s="1"/>
      <c r="FXZ235" s="1"/>
      <c r="FYA235" s="1"/>
      <c r="FYB235" s="1"/>
      <c r="FYC235" s="1"/>
      <c r="FYD235" s="1"/>
      <c r="FYE235" s="1"/>
      <c r="FYF235" s="1"/>
      <c r="FYG235" s="1"/>
      <c r="FYH235" s="1"/>
      <c r="FYI235" s="1"/>
      <c r="FYJ235" s="1"/>
      <c r="FYK235" s="1"/>
      <c r="FYL235" s="1"/>
      <c r="FYM235" s="1"/>
      <c r="FYN235" s="1"/>
      <c r="FYO235" s="1"/>
      <c r="FYP235" s="1"/>
      <c r="FYQ235" s="1"/>
      <c r="FYR235" s="1"/>
      <c r="FYS235" s="1"/>
      <c r="FYT235" s="1"/>
      <c r="FYU235" s="1"/>
      <c r="FYV235" s="1"/>
      <c r="FYW235" s="1"/>
      <c r="FYX235" s="1"/>
      <c r="FYY235" s="1"/>
      <c r="FYZ235" s="1"/>
      <c r="FZA235" s="1"/>
      <c r="FZB235" s="1"/>
      <c r="FZC235" s="1"/>
      <c r="FZD235" s="1"/>
      <c r="FZE235" s="1"/>
      <c r="FZF235" s="1"/>
      <c r="FZG235" s="1"/>
      <c r="FZH235" s="1"/>
      <c r="FZI235" s="1"/>
      <c r="FZJ235" s="1"/>
      <c r="FZK235" s="1"/>
      <c r="FZL235" s="1"/>
      <c r="FZM235" s="1"/>
      <c r="FZN235" s="1"/>
      <c r="FZO235" s="1"/>
      <c r="FZP235" s="1"/>
      <c r="FZQ235" s="1"/>
      <c r="FZR235" s="1"/>
      <c r="FZS235" s="1"/>
      <c r="FZT235" s="1"/>
      <c r="FZU235" s="1"/>
      <c r="FZV235" s="1"/>
      <c r="FZW235" s="1"/>
      <c r="FZX235" s="1"/>
      <c r="FZY235" s="1"/>
      <c r="FZZ235" s="1"/>
      <c r="GAA235" s="1"/>
      <c r="GAB235" s="1"/>
      <c r="GAC235" s="1"/>
      <c r="GAD235" s="1"/>
      <c r="GAE235" s="1"/>
      <c r="GAF235" s="1"/>
      <c r="GAG235" s="1"/>
      <c r="GAH235" s="1"/>
      <c r="GAI235" s="1"/>
      <c r="GAJ235" s="1"/>
      <c r="GAK235" s="1"/>
      <c r="GAL235" s="1"/>
      <c r="GAM235" s="1"/>
      <c r="GAN235" s="1"/>
      <c r="GAO235" s="1"/>
      <c r="GAP235" s="1"/>
      <c r="GAQ235" s="1"/>
      <c r="GAR235" s="1"/>
      <c r="GAS235" s="1"/>
      <c r="GAT235" s="1"/>
      <c r="GAU235" s="1"/>
      <c r="GAV235" s="1"/>
      <c r="GAW235" s="1"/>
      <c r="GAX235" s="1"/>
      <c r="GAY235" s="1"/>
      <c r="GAZ235" s="1"/>
      <c r="GBA235" s="1"/>
      <c r="GBB235" s="1"/>
      <c r="GBC235" s="1"/>
      <c r="GBD235" s="1"/>
      <c r="GBE235" s="1"/>
      <c r="GBF235" s="1"/>
      <c r="GBG235" s="1"/>
      <c r="GBH235" s="1"/>
      <c r="GBI235" s="1"/>
      <c r="GBJ235" s="1"/>
      <c r="GBK235" s="1"/>
      <c r="GBL235" s="1"/>
      <c r="GBM235" s="1"/>
      <c r="GBN235" s="1"/>
      <c r="GBO235" s="1"/>
      <c r="GBP235" s="1"/>
      <c r="GBQ235" s="1"/>
      <c r="GBR235" s="1"/>
      <c r="GBS235" s="1"/>
      <c r="GBT235" s="1"/>
      <c r="GBU235" s="1"/>
      <c r="GBV235" s="1"/>
      <c r="GBW235" s="1"/>
      <c r="GBX235" s="1"/>
      <c r="GBY235" s="1"/>
      <c r="GBZ235" s="1"/>
      <c r="GCA235" s="1"/>
      <c r="GCB235" s="1"/>
      <c r="GCC235" s="1"/>
      <c r="GCD235" s="1"/>
      <c r="GCE235" s="1"/>
      <c r="GCF235" s="1"/>
      <c r="GCG235" s="1"/>
      <c r="GCH235" s="1"/>
      <c r="GCI235" s="1"/>
      <c r="GCJ235" s="1"/>
      <c r="GCK235" s="1"/>
      <c r="GCL235" s="1"/>
      <c r="GCM235" s="1"/>
      <c r="GCN235" s="1"/>
      <c r="GCO235" s="1"/>
      <c r="GCP235" s="1"/>
      <c r="GCQ235" s="1"/>
      <c r="GCR235" s="1"/>
      <c r="GCS235" s="1"/>
      <c r="GCT235" s="1"/>
      <c r="GCU235" s="1"/>
      <c r="GCV235" s="1"/>
      <c r="GCW235" s="1"/>
      <c r="GCX235" s="1"/>
      <c r="GCY235" s="1"/>
      <c r="GCZ235" s="1"/>
      <c r="GDA235" s="1"/>
      <c r="GDB235" s="1"/>
      <c r="GDC235" s="1"/>
      <c r="GDD235" s="1"/>
      <c r="GDE235" s="1"/>
      <c r="GDF235" s="1"/>
      <c r="GDG235" s="1"/>
      <c r="GDH235" s="1"/>
      <c r="GDI235" s="1"/>
      <c r="GDJ235" s="1"/>
      <c r="GDK235" s="1"/>
      <c r="GDL235" s="1"/>
      <c r="GDM235" s="1"/>
      <c r="GDN235" s="1"/>
      <c r="GDO235" s="1"/>
      <c r="GDP235" s="1"/>
      <c r="GDQ235" s="1"/>
      <c r="GDR235" s="1"/>
      <c r="GDS235" s="1"/>
      <c r="GDT235" s="1"/>
      <c r="GDU235" s="1"/>
      <c r="GDV235" s="1"/>
      <c r="GDW235" s="1"/>
      <c r="GDX235" s="1"/>
      <c r="GDY235" s="1"/>
      <c r="GDZ235" s="1"/>
      <c r="GEA235" s="1"/>
      <c r="GEB235" s="1"/>
      <c r="GEC235" s="1"/>
      <c r="GED235" s="1"/>
      <c r="GEE235" s="1"/>
      <c r="GEF235" s="1"/>
      <c r="GEG235" s="1"/>
      <c r="GEH235" s="1"/>
      <c r="GEI235" s="1"/>
      <c r="GEJ235" s="1"/>
      <c r="GEK235" s="1"/>
      <c r="GEL235" s="1"/>
      <c r="GEM235" s="1"/>
      <c r="GEN235" s="1"/>
      <c r="GEO235" s="1"/>
      <c r="GEP235" s="1"/>
      <c r="GEQ235" s="1"/>
      <c r="GER235" s="1"/>
      <c r="GES235" s="1"/>
      <c r="GET235" s="1"/>
      <c r="GEU235" s="1"/>
      <c r="GEV235" s="1"/>
      <c r="GEW235" s="1"/>
      <c r="GEX235" s="1"/>
      <c r="GEY235" s="1"/>
      <c r="GEZ235" s="1"/>
      <c r="GFA235" s="1"/>
      <c r="GFB235" s="1"/>
      <c r="GFC235" s="1"/>
      <c r="GFD235" s="1"/>
      <c r="GFE235" s="1"/>
      <c r="GFF235" s="1"/>
      <c r="GFG235" s="1"/>
      <c r="GFH235" s="1"/>
      <c r="GFI235" s="1"/>
      <c r="GFJ235" s="1"/>
      <c r="GFK235" s="1"/>
      <c r="GFL235" s="1"/>
      <c r="GFM235" s="1"/>
      <c r="GFN235" s="1"/>
      <c r="GFO235" s="1"/>
      <c r="GFP235" s="1"/>
      <c r="GFQ235" s="1"/>
      <c r="GFR235" s="1"/>
      <c r="GFS235" s="1"/>
      <c r="GFT235" s="1"/>
      <c r="GFU235" s="1"/>
      <c r="GFV235" s="1"/>
      <c r="GFW235" s="1"/>
      <c r="GFX235" s="1"/>
      <c r="GFY235" s="1"/>
      <c r="GFZ235" s="1"/>
      <c r="GGA235" s="1"/>
      <c r="GGB235" s="1"/>
      <c r="GGC235" s="1"/>
      <c r="GGD235" s="1"/>
      <c r="GGE235" s="1"/>
      <c r="GGF235" s="1"/>
      <c r="GGG235" s="1"/>
      <c r="GGH235" s="1"/>
      <c r="GGI235" s="1"/>
      <c r="GGJ235" s="1"/>
      <c r="GGK235" s="1"/>
      <c r="GGL235" s="1"/>
      <c r="GGM235" s="1"/>
      <c r="GGN235" s="1"/>
      <c r="GGO235" s="1"/>
      <c r="GGP235" s="1"/>
      <c r="GGQ235" s="1"/>
      <c r="GGR235" s="1"/>
      <c r="GGS235" s="1"/>
      <c r="GGT235" s="1"/>
      <c r="GGU235" s="1"/>
      <c r="GGV235" s="1"/>
      <c r="GGW235" s="1"/>
      <c r="GGX235" s="1"/>
      <c r="GGY235" s="1"/>
      <c r="GGZ235" s="1"/>
      <c r="GHA235" s="1"/>
      <c r="GHB235" s="1"/>
      <c r="GHC235" s="1"/>
      <c r="GHD235" s="1"/>
      <c r="GHE235" s="1"/>
      <c r="GHF235" s="1"/>
      <c r="GHG235" s="1"/>
      <c r="GHH235" s="1"/>
      <c r="GHI235" s="1"/>
      <c r="GHJ235" s="1"/>
      <c r="GHK235" s="1"/>
      <c r="GHL235" s="1"/>
      <c r="GHM235" s="1"/>
      <c r="GHN235" s="1"/>
      <c r="GHO235" s="1"/>
      <c r="GHP235" s="1"/>
      <c r="GHQ235" s="1"/>
      <c r="GHR235" s="1"/>
      <c r="GHS235" s="1"/>
      <c r="GHT235" s="1"/>
      <c r="GHU235" s="1"/>
      <c r="GHV235" s="1"/>
      <c r="GHW235" s="1"/>
      <c r="GHX235" s="1"/>
      <c r="GHY235" s="1"/>
      <c r="GHZ235" s="1"/>
      <c r="GIA235" s="1"/>
      <c r="GIB235" s="1"/>
      <c r="GIC235" s="1"/>
      <c r="GID235" s="1"/>
      <c r="GIE235" s="1"/>
      <c r="GIF235" s="1"/>
      <c r="GIG235" s="1"/>
      <c r="GIH235" s="1"/>
      <c r="GII235" s="1"/>
      <c r="GIJ235" s="1"/>
      <c r="GIK235" s="1"/>
      <c r="GIL235" s="1"/>
      <c r="GIM235" s="1"/>
      <c r="GIN235" s="1"/>
      <c r="GIO235" s="1"/>
      <c r="GIP235" s="1"/>
      <c r="GIQ235" s="1"/>
      <c r="GIR235" s="1"/>
      <c r="GIS235" s="1"/>
      <c r="GIT235" s="1"/>
      <c r="GIU235" s="1"/>
      <c r="GIV235" s="1"/>
      <c r="GIW235" s="1"/>
      <c r="GIX235" s="1"/>
      <c r="GIY235" s="1"/>
      <c r="GIZ235" s="1"/>
      <c r="GJA235" s="1"/>
      <c r="GJB235" s="1"/>
      <c r="GJC235" s="1"/>
      <c r="GJD235" s="1"/>
      <c r="GJE235" s="1"/>
      <c r="GJF235" s="1"/>
      <c r="GJG235" s="1"/>
      <c r="GJH235" s="1"/>
      <c r="GJI235" s="1"/>
      <c r="GJJ235" s="1"/>
      <c r="GJK235" s="1"/>
      <c r="GJL235" s="1"/>
      <c r="GJM235" s="1"/>
      <c r="GJN235" s="1"/>
      <c r="GJO235" s="1"/>
      <c r="GJP235" s="1"/>
      <c r="GJQ235" s="1"/>
      <c r="GJR235" s="1"/>
      <c r="GJS235" s="1"/>
      <c r="GJT235" s="1"/>
      <c r="GJU235" s="1"/>
      <c r="GJV235" s="1"/>
      <c r="GJW235" s="1"/>
      <c r="GJX235" s="1"/>
      <c r="GJY235" s="1"/>
      <c r="GJZ235" s="1"/>
      <c r="GKA235" s="1"/>
      <c r="GKB235" s="1"/>
      <c r="GKC235" s="1"/>
      <c r="GKD235" s="1"/>
      <c r="GKE235" s="1"/>
      <c r="GKF235" s="1"/>
      <c r="GKG235" s="1"/>
      <c r="GKH235" s="1"/>
      <c r="GKI235" s="1"/>
      <c r="GKJ235" s="1"/>
      <c r="GKK235" s="1"/>
      <c r="GKL235" s="1"/>
      <c r="GKM235" s="1"/>
      <c r="GKN235" s="1"/>
      <c r="GKO235" s="1"/>
      <c r="GKP235" s="1"/>
      <c r="GKQ235" s="1"/>
      <c r="GKR235" s="1"/>
      <c r="GKS235" s="1"/>
      <c r="GKT235" s="1"/>
      <c r="GKU235" s="1"/>
      <c r="GKV235" s="1"/>
      <c r="GKW235" s="1"/>
      <c r="GKX235" s="1"/>
      <c r="GKY235" s="1"/>
      <c r="GKZ235" s="1"/>
      <c r="GLA235" s="1"/>
      <c r="GLB235" s="1"/>
      <c r="GLC235" s="1"/>
      <c r="GLD235" s="1"/>
      <c r="GLE235" s="1"/>
      <c r="GLF235" s="1"/>
      <c r="GLG235" s="1"/>
      <c r="GLH235" s="1"/>
      <c r="GLI235" s="1"/>
      <c r="GLJ235" s="1"/>
      <c r="GLK235" s="1"/>
      <c r="GLL235" s="1"/>
      <c r="GLM235" s="1"/>
      <c r="GLN235" s="1"/>
      <c r="GLO235" s="1"/>
      <c r="GLP235" s="1"/>
      <c r="GLQ235" s="1"/>
      <c r="GLR235" s="1"/>
      <c r="GLS235" s="1"/>
      <c r="GLT235" s="1"/>
      <c r="GLU235" s="1"/>
      <c r="GLV235" s="1"/>
      <c r="GLW235" s="1"/>
      <c r="GLX235" s="1"/>
      <c r="GLY235" s="1"/>
      <c r="GLZ235" s="1"/>
      <c r="GMA235" s="1"/>
      <c r="GMB235" s="1"/>
      <c r="GMC235" s="1"/>
      <c r="GMD235" s="1"/>
      <c r="GME235" s="1"/>
      <c r="GMF235" s="1"/>
      <c r="GMG235" s="1"/>
      <c r="GMH235" s="1"/>
      <c r="GMI235" s="1"/>
      <c r="GMJ235" s="1"/>
      <c r="GMK235" s="1"/>
      <c r="GML235" s="1"/>
      <c r="GMM235" s="1"/>
      <c r="GMN235" s="1"/>
      <c r="GMO235" s="1"/>
      <c r="GMP235" s="1"/>
      <c r="GMQ235" s="1"/>
      <c r="GMR235" s="1"/>
      <c r="GMS235" s="1"/>
      <c r="GMT235" s="1"/>
      <c r="GMU235" s="1"/>
      <c r="GMV235" s="1"/>
      <c r="GMW235" s="1"/>
      <c r="GMX235" s="1"/>
      <c r="GMY235" s="1"/>
      <c r="GMZ235" s="1"/>
      <c r="GNA235" s="1"/>
      <c r="GNB235" s="1"/>
      <c r="GNC235" s="1"/>
      <c r="GND235" s="1"/>
      <c r="GNE235" s="1"/>
      <c r="GNF235" s="1"/>
      <c r="GNG235" s="1"/>
      <c r="GNH235" s="1"/>
      <c r="GNI235" s="1"/>
      <c r="GNJ235" s="1"/>
      <c r="GNK235" s="1"/>
      <c r="GNL235" s="1"/>
      <c r="GNM235" s="1"/>
      <c r="GNN235" s="1"/>
      <c r="GNO235" s="1"/>
      <c r="GNP235" s="1"/>
      <c r="GNQ235" s="1"/>
      <c r="GNR235" s="1"/>
      <c r="GNS235" s="1"/>
      <c r="GNT235" s="1"/>
      <c r="GNU235" s="1"/>
      <c r="GNV235" s="1"/>
      <c r="GNW235" s="1"/>
      <c r="GNX235" s="1"/>
      <c r="GNY235" s="1"/>
      <c r="GNZ235" s="1"/>
      <c r="GOA235" s="1"/>
      <c r="GOB235" s="1"/>
      <c r="GOC235" s="1"/>
      <c r="GOD235" s="1"/>
      <c r="GOE235" s="1"/>
      <c r="GOF235" s="1"/>
      <c r="GOG235" s="1"/>
      <c r="GOH235" s="1"/>
      <c r="GOI235" s="1"/>
      <c r="GOJ235" s="1"/>
      <c r="GOK235" s="1"/>
      <c r="GOL235" s="1"/>
      <c r="GOM235" s="1"/>
      <c r="GON235" s="1"/>
      <c r="GOO235" s="1"/>
      <c r="GOP235" s="1"/>
      <c r="GOQ235" s="1"/>
      <c r="GOR235" s="1"/>
      <c r="GOS235" s="1"/>
      <c r="GOT235" s="1"/>
      <c r="GOU235" s="1"/>
      <c r="GOV235" s="1"/>
      <c r="GOW235" s="1"/>
      <c r="GOX235" s="1"/>
      <c r="GOY235" s="1"/>
      <c r="GOZ235" s="1"/>
      <c r="GPA235" s="1"/>
      <c r="GPB235" s="1"/>
      <c r="GPC235" s="1"/>
      <c r="GPD235" s="1"/>
      <c r="GPE235" s="1"/>
      <c r="GPF235" s="1"/>
      <c r="GPG235" s="1"/>
      <c r="GPH235" s="1"/>
      <c r="GPI235" s="1"/>
      <c r="GPJ235" s="1"/>
      <c r="GPK235" s="1"/>
      <c r="GPL235" s="1"/>
      <c r="GPM235" s="1"/>
      <c r="GPN235" s="1"/>
      <c r="GPO235" s="1"/>
      <c r="GPP235" s="1"/>
      <c r="GPQ235" s="1"/>
      <c r="GPR235" s="1"/>
      <c r="GPS235" s="1"/>
      <c r="GPT235" s="1"/>
      <c r="GPU235" s="1"/>
      <c r="GPV235" s="1"/>
      <c r="GPW235" s="1"/>
      <c r="GPX235" s="1"/>
      <c r="GPY235" s="1"/>
      <c r="GPZ235" s="1"/>
      <c r="GQA235" s="1"/>
      <c r="GQB235" s="1"/>
      <c r="GQC235" s="1"/>
      <c r="GQD235" s="1"/>
      <c r="GQE235" s="1"/>
      <c r="GQF235" s="1"/>
      <c r="GQG235" s="1"/>
      <c r="GQH235" s="1"/>
      <c r="GQI235" s="1"/>
      <c r="GQJ235" s="1"/>
      <c r="GQK235" s="1"/>
      <c r="GQL235" s="1"/>
      <c r="GQM235" s="1"/>
      <c r="GQN235" s="1"/>
      <c r="GQO235" s="1"/>
      <c r="GQP235" s="1"/>
      <c r="GQQ235" s="1"/>
      <c r="GQR235" s="1"/>
      <c r="GQS235" s="1"/>
      <c r="GQT235" s="1"/>
      <c r="GQU235" s="1"/>
      <c r="GQV235" s="1"/>
      <c r="GQW235" s="1"/>
      <c r="GQX235" s="1"/>
      <c r="GQY235" s="1"/>
      <c r="GQZ235" s="1"/>
      <c r="GRA235" s="1"/>
      <c r="GRB235" s="1"/>
      <c r="GRC235" s="1"/>
      <c r="GRD235" s="1"/>
      <c r="GRE235" s="1"/>
      <c r="GRF235" s="1"/>
      <c r="GRG235" s="1"/>
      <c r="GRH235" s="1"/>
      <c r="GRI235" s="1"/>
      <c r="GRJ235" s="1"/>
      <c r="GRK235" s="1"/>
      <c r="GRL235" s="1"/>
      <c r="GRM235" s="1"/>
      <c r="GRN235" s="1"/>
      <c r="GRO235" s="1"/>
      <c r="GRP235" s="1"/>
      <c r="GRQ235" s="1"/>
      <c r="GRR235" s="1"/>
      <c r="GRS235" s="1"/>
      <c r="GRT235" s="1"/>
      <c r="GRU235" s="1"/>
      <c r="GRV235" s="1"/>
      <c r="GRW235" s="1"/>
      <c r="GRX235" s="1"/>
      <c r="GRY235" s="1"/>
      <c r="GRZ235" s="1"/>
      <c r="GSA235" s="1"/>
      <c r="GSB235" s="1"/>
      <c r="GSC235" s="1"/>
      <c r="GSD235" s="1"/>
      <c r="GSE235" s="1"/>
      <c r="GSF235" s="1"/>
      <c r="GSG235" s="1"/>
      <c r="GSH235" s="1"/>
      <c r="GSI235" s="1"/>
      <c r="GSJ235" s="1"/>
      <c r="GSK235" s="1"/>
      <c r="GSL235" s="1"/>
      <c r="GSM235" s="1"/>
      <c r="GSN235" s="1"/>
      <c r="GSO235" s="1"/>
      <c r="GSP235" s="1"/>
      <c r="GSQ235" s="1"/>
      <c r="GSR235" s="1"/>
      <c r="GSS235" s="1"/>
      <c r="GST235" s="1"/>
      <c r="GSU235" s="1"/>
      <c r="GSV235" s="1"/>
      <c r="GSW235" s="1"/>
      <c r="GSX235" s="1"/>
      <c r="GSY235" s="1"/>
      <c r="GSZ235" s="1"/>
      <c r="GTA235" s="1"/>
      <c r="GTB235" s="1"/>
      <c r="GTC235" s="1"/>
      <c r="GTD235" s="1"/>
      <c r="GTE235" s="1"/>
      <c r="GTF235" s="1"/>
      <c r="GTG235" s="1"/>
      <c r="GTH235" s="1"/>
      <c r="GTI235" s="1"/>
      <c r="GTJ235" s="1"/>
      <c r="GTK235" s="1"/>
      <c r="GTL235" s="1"/>
      <c r="GTM235" s="1"/>
      <c r="GTN235" s="1"/>
      <c r="GTO235" s="1"/>
      <c r="GTP235" s="1"/>
      <c r="GTQ235" s="1"/>
      <c r="GTR235" s="1"/>
      <c r="GTS235" s="1"/>
      <c r="GTT235" s="1"/>
      <c r="GTU235" s="1"/>
      <c r="GTV235" s="1"/>
      <c r="GTW235" s="1"/>
      <c r="GTX235" s="1"/>
      <c r="GTY235" s="1"/>
      <c r="GTZ235" s="1"/>
      <c r="GUA235" s="1"/>
      <c r="GUB235" s="1"/>
      <c r="GUC235" s="1"/>
      <c r="GUD235" s="1"/>
      <c r="GUE235" s="1"/>
      <c r="GUF235" s="1"/>
      <c r="GUG235" s="1"/>
      <c r="GUH235" s="1"/>
      <c r="GUI235" s="1"/>
      <c r="GUJ235" s="1"/>
      <c r="GUK235" s="1"/>
      <c r="GUL235" s="1"/>
      <c r="GUM235" s="1"/>
      <c r="GUN235" s="1"/>
      <c r="GUO235" s="1"/>
      <c r="GUP235" s="1"/>
      <c r="GUQ235" s="1"/>
      <c r="GUR235" s="1"/>
      <c r="GUS235" s="1"/>
      <c r="GUT235" s="1"/>
      <c r="GUU235" s="1"/>
      <c r="GUV235" s="1"/>
      <c r="GUW235" s="1"/>
      <c r="GUX235" s="1"/>
      <c r="GUY235" s="1"/>
      <c r="GUZ235" s="1"/>
      <c r="GVA235" s="1"/>
      <c r="GVB235" s="1"/>
      <c r="GVC235" s="1"/>
      <c r="GVD235" s="1"/>
      <c r="GVE235" s="1"/>
      <c r="GVF235" s="1"/>
      <c r="GVG235" s="1"/>
      <c r="GVH235" s="1"/>
      <c r="GVI235" s="1"/>
      <c r="GVJ235" s="1"/>
      <c r="GVK235" s="1"/>
      <c r="GVL235" s="1"/>
      <c r="GVM235" s="1"/>
      <c r="GVN235" s="1"/>
      <c r="GVO235" s="1"/>
      <c r="GVP235" s="1"/>
      <c r="GVQ235" s="1"/>
      <c r="GVR235" s="1"/>
      <c r="GVS235" s="1"/>
      <c r="GVT235" s="1"/>
      <c r="GVU235" s="1"/>
      <c r="GVV235" s="1"/>
      <c r="GVW235" s="1"/>
      <c r="GVX235" s="1"/>
      <c r="GVY235" s="1"/>
      <c r="GVZ235" s="1"/>
      <c r="GWA235" s="1"/>
      <c r="GWB235" s="1"/>
      <c r="GWC235" s="1"/>
      <c r="GWD235" s="1"/>
      <c r="GWE235" s="1"/>
      <c r="GWF235" s="1"/>
      <c r="GWG235" s="1"/>
      <c r="GWH235" s="1"/>
      <c r="GWI235" s="1"/>
      <c r="GWJ235" s="1"/>
      <c r="GWK235" s="1"/>
      <c r="GWL235" s="1"/>
      <c r="GWM235" s="1"/>
      <c r="GWN235" s="1"/>
      <c r="GWO235" s="1"/>
      <c r="GWP235" s="1"/>
      <c r="GWQ235" s="1"/>
      <c r="GWR235" s="1"/>
      <c r="GWS235" s="1"/>
      <c r="GWT235" s="1"/>
      <c r="GWU235" s="1"/>
      <c r="GWV235" s="1"/>
      <c r="GWW235" s="1"/>
      <c r="GWX235" s="1"/>
      <c r="GWY235" s="1"/>
      <c r="GWZ235" s="1"/>
      <c r="GXA235" s="1"/>
      <c r="GXB235" s="1"/>
      <c r="GXC235" s="1"/>
      <c r="GXD235" s="1"/>
      <c r="GXE235" s="1"/>
      <c r="GXF235" s="1"/>
      <c r="GXG235" s="1"/>
      <c r="GXH235" s="1"/>
      <c r="GXI235" s="1"/>
      <c r="GXJ235" s="1"/>
      <c r="GXK235" s="1"/>
      <c r="GXL235" s="1"/>
      <c r="GXM235" s="1"/>
      <c r="GXN235" s="1"/>
      <c r="GXO235" s="1"/>
      <c r="GXP235" s="1"/>
      <c r="GXQ235" s="1"/>
      <c r="GXR235" s="1"/>
      <c r="GXS235" s="1"/>
      <c r="GXT235" s="1"/>
      <c r="GXU235" s="1"/>
      <c r="GXV235" s="1"/>
      <c r="GXW235" s="1"/>
      <c r="GXX235" s="1"/>
      <c r="GXY235" s="1"/>
      <c r="GXZ235" s="1"/>
      <c r="GYA235" s="1"/>
      <c r="GYB235" s="1"/>
      <c r="GYC235" s="1"/>
      <c r="GYD235" s="1"/>
      <c r="GYE235" s="1"/>
      <c r="GYF235" s="1"/>
      <c r="GYG235" s="1"/>
      <c r="GYH235" s="1"/>
      <c r="GYI235" s="1"/>
      <c r="GYJ235" s="1"/>
      <c r="GYK235" s="1"/>
      <c r="GYL235" s="1"/>
      <c r="GYM235" s="1"/>
      <c r="GYN235" s="1"/>
      <c r="GYO235" s="1"/>
      <c r="GYP235" s="1"/>
      <c r="GYQ235" s="1"/>
      <c r="GYR235" s="1"/>
      <c r="GYS235" s="1"/>
      <c r="GYT235" s="1"/>
      <c r="GYU235" s="1"/>
      <c r="GYV235" s="1"/>
      <c r="GYW235" s="1"/>
      <c r="GYX235" s="1"/>
      <c r="GYY235" s="1"/>
      <c r="GYZ235" s="1"/>
      <c r="GZA235" s="1"/>
      <c r="GZB235" s="1"/>
      <c r="GZC235" s="1"/>
      <c r="GZD235" s="1"/>
      <c r="GZE235" s="1"/>
      <c r="GZF235" s="1"/>
      <c r="GZG235" s="1"/>
      <c r="GZH235" s="1"/>
      <c r="GZI235" s="1"/>
      <c r="GZJ235" s="1"/>
      <c r="GZK235" s="1"/>
      <c r="GZL235" s="1"/>
      <c r="GZM235" s="1"/>
      <c r="GZN235" s="1"/>
      <c r="GZO235" s="1"/>
      <c r="GZP235" s="1"/>
      <c r="GZQ235" s="1"/>
      <c r="GZR235" s="1"/>
      <c r="GZS235" s="1"/>
      <c r="GZT235" s="1"/>
      <c r="GZU235" s="1"/>
      <c r="GZV235" s="1"/>
      <c r="GZW235" s="1"/>
      <c r="GZX235" s="1"/>
      <c r="GZY235" s="1"/>
      <c r="GZZ235" s="1"/>
      <c r="HAA235" s="1"/>
      <c r="HAB235" s="1"/>
      <c r="HAC235" s="1"/>
      <c r="HAD235" s="1"/>
      <c r="HAE235" s="1"/>
      <c r="HAF235" s="1"/>
      <c r="HAG235" s="1"/>
      <c r="HAH235" s="1"/>
      <c r="HAI235" s="1"/>
      <c r="HAJ235" s="1"/>
      <c r="HAK235" s="1"/>
      <c r="HAL235" s="1"/>
      <c r="HAM235" s="1"/>
      <c r="HAN235" s="1"/>
      <c r="HAO235" s="1"/>
      <c r="HAP235" s="1"/>
      <c r="HAQ235" s="1"/>
      <c r="HAR235" s="1"/>
      <c r="HAS235" s="1"/>
      <c r="HAT235" s="1"/>
      <c r="HAU235" s="1"/>
      <c r="HAV235" s="1"/>
      <c r="HAW235" s="1"/>
      <c r="HAX235" s="1"/>
      <c r="HAY235" s="1"/>
      <c r="HAZ235" s="1"/>
      <c r="HBA235" s="1"/>
      <c r="HBB235" s="1"/>
      <c r="HBC235" s="1"/>
      <c r="HBD235" s="1"/>
      <c r="HBE235" s="1"/>
      <c r="HBF235" s="1"/>
      <c r="HBG235" s="1"/>
      <c r="HBH235" s="1"/>
      <c r="HBI235" s="1"/>
      <c r="HBJ235" s="1"/>
      <c r="HBK235" s="1"/>
      <c r="HBL235" s="1"/>
      <c r="HBM235" s="1"/>
      <c r="HBN235" s="1"/>
      <c r="HBO235" s="1"/>
      <c r="HBP235" s="1"/>
      <c r="HBQ235" s="1"/>
      <c r="HBR235" s="1"/>
      <c r="HBS235" s="1"/>
      <c r="HBT235" s="1"/>
      <c r="HBU235" s="1"/>
      <c r="HBV235" s="1"/>
      <c r="HBW235" s="1"/>
      <c r="HBX235" s="1"/>
      <c r="HBY235" s="1"/>
      <c r="HBZ235" s="1"/>
      <c r="HCA235" s="1"/>
      <c r="HCB235" s="1"/>
      <c r="HCC235" s="1"/>
      <c r="HCD235" s="1"/>
      <c r="HCE235" s="1"/>
      <c r="HCF235" s="1"/>
      <c r="HCG235" s="1"/>
      <c r="HCH235" s="1"/>
      <c r="HCI235" s="1"/>
      <c r="HCJ235" s="1"/>
      <c r="HCK235" s="1"/>
      <c r="HCL235" s="1"/>
      <c r="HCM235" s="1"/>
      <c r="HCN235" s="1"/>
      <c r="HCO235" s="1"/>
      <c r="HCP235" s="1"/>
      <c r="HCQ235" s="1"/>
      <c r="HCR235" s="1"/>
      <c r="HCS235" s="1"/>
      <c r="HCT235" s="1"/>
      <c r="HCU235" s="1"/>
      <c r="HCV235" s="1"/>
      <c r="HCW235" s="1"/>
      <c r="HCX235" s="1"/>
      <c r="HCY235" s="1"/>
      <c r="HCZ235" s="1"/>
      <c r="HDA235" s="1"/>
      <c r="HDB235" s="1"/>
      <c r="HDC235" s="1"/>
      <c r="HDD235" s="1"/>
      <c r="HDE235" s="1"/>
      <c r="HDF235" s="1"/>
      <c r="HDG235" s="1"/>
      <c r="HDH235" s="1"/>
      <c r="HDI235" s="1"/>
      <c r="HDJ235" s="1"/>
      <c r="HDK235" s="1"/>
      <c r="HDL235" s="1"/>
      <c r="HDM235" s="1"/>
      <c r="HDN235" s="1"/>
      <c r="HDO235" s="1"/>
      <c r="HDP235" s="1"/>
      <c r="HDQ235" s="1"/>
      <c r="HDR235" s="1"/>
      <c r="HDS235" s="1"/>
      <c r="HDT235" s="1"/>
      <c r="HDU235" s="1"/>
      <c r="HDV235" s="1"/>
      <c r="HDW235" s="1"/>
      <c r="HDX235" s="1"/>
      <c r="HDY235" s="1"/>
      <c r="HDZ235" s="1"/>
      <c r="HEA235" s="1"/>
      <c r="HEB235" s="1"/>
      <c r="HEC235" s="1"/>
      <c r="HED235" s="1"/>
      <c r="HEE235" s="1"/>
      <c r="HEF235" s="1"/>
      <c r="HEG235" s="1"/>
      <c r="HEH235" s="1"/>
      <c r="HEI235" s="1"/>
      <c r="HEJ235" s="1"/>
      <c r="HEK235" s="1"/>
      <c r="HEL235" s="1"/>
      <c r="HEM235" s="1"/>
      <c r="HEN235" s="1"/>
      <c r="HEO235" s="1"/>
      <c r="HEP235" s="1"/>
      <c r="HEQ235" s="1"/>
      <c r="HER235" s="1"/>
      <c r="HES235" s="1"/>
      <c r="HET235" s="1"/>
      <c r="HEU235" s="1"/>
      <c r="HEV235" s="1"/>
      <c r="HEW235" s="1"/>
      <c r="HEX235" s="1"/>
      <c r="HEY235" s="1"/>
      <c r="HEZ235" s="1"/>
      <c r="HFA235" s="1"/>
      <c r="HFB235" s="1"/>
      <c r="HFC235" s="1"/>
      <c r="HFD235" s="1"/>
      <c r="HFE235" s="1"/>
      <c r="HFF235" s="1"/>
      <c r="HFG235" s="1"/>
      <c r="HFH235" s="1"/>
      <c r="HFI235" s="1"/>
      <c r="HFJ235" s="1"/>
      <c r="HFK235" s="1"/>
      <c r="HFL235" s="1"/>
      <c r="HFM235" s="1"/>
      <c r="HFN235" s="1"/>
      <c r="HFO235" s="1"/>
      <c r="HFP235" s="1"/>
      <c r="HFQ235" s="1"/>
      <c r="HFR235" s="1"/>
      <c r="HFS235" s="1"/>
      <c r="HFT235" s="1"/>
      <c r="HFU235" s="1"/>
      <c r="HFV235" s="1"/>
      <c r="HFW235" s="1"/>
      <c r="HFX235" s="1"/>
      <c r="HFY235" s="1"/>
      <c r="HFZ235" s="1"/>
      <c r="HGA235" s="1"/>
      <c r="HGB235" s="1"/>
      <c r="HGC235" s="1"/>
      <c r="HGD235" s="1"/>
      <c r="HGE235" s="1"/>
      <c r="HGF235" s="1"/>
      <c r="HGG235" s="1"/>
      <c r="HGH235" s="1"/>
      <c r="HGI235" s="1"/>
      <c r="HGJ235" s="1"/>
      <c r="HGK235" s="1"/>
      <c r="HGL235" s="1"/>
      <c r="HGM235" s="1"/>
      <c r="HGN235" s="1"/>
      <c r="HGO235" s="1"/>
      <c r="HGP235" s="1"/>
      <c r="HGQ235" s="1"/>
      <c r="HGR235" s="1"/>
      <c r="HGS235" s="1"/>
      <c r="HGT235" s="1"/>
      <c r="HGU235" s="1"/>
      <c r="HGV235" s="1"/>
      <c r="HGW235" s="1"/>
      <c r="HGX235" s="1"/>
      <c r="HGY235" s="1"/>
      <c r="HGZ235" s="1"/>
      <c r="HHA235" s="1"/>
      <c r="HHB235" s="1"/>
      <c r="HHC235" s="1"/>
      <c r="HHD235" s="1"/>
      <c r="HHE235" s="1"/>
      <c r="HHF235" s="1"/>
      <c r="HHG235" s="1"/>
      <c r="HHH235" s="1"/>
      <c r="HHI235" s="1"/>
      <c r="HHJ235" s="1"/>
      <c r="HHK235" s="1"/>
      <c r="HHL235" s="1"/>
      <c r="HHM235" s="1"/>
      <c r="HHN235" s="1"/>
      <c r="HHO235" s="1"/>
      <c r="HHP235" s="1"/>
      <c r="HHQ235" s="1"/>
      <c r="HHR235" s="1"/>
      <c r="HHS235" s="1"/>
      <c r="HHT235" s="1"/>
      <c r="HHU235" s="1"/>
      <c r="HHV235" s="1"/>
      <c r="HHW235" s="1"/>
      <c r="HHX235" s="1"/>
      <c r="HHY235" s="1"/>
      <c r="HHZ235" s="1"/>
      <c r="HIA235" s="1"/>
      <c r="HIB235" s="1"/>
      <c r="HIC235" s="1"/>
      <c r="HID235" s="1"/>
      <c r="HIE235" s="1"/>
      <c r="HIF235" s="1"/>
      <c r="HIG235" s="1"/>
      <c r="HIH235" s="1"/>
      <c r="HII235" s="1"/>
      <c r="HIJ235" s="1"/>
      <c r="HIK235" s="1"/>
      <c r="HIL235" s="1"/>
      <c r="HIM235" s="1"/>
      <c r="HIN235" s="1"/>
      <c r="HIO235" s="1"/>
      <c r="HIP235" s="1"/>
      <c r="HIQ235" s="1"/>
      <c r="HIR235" s="1"/>
      <c r="HIS235" s="1"/>
      <c r="HIT235" s="1"/>
      <c r="HIU235" s="1"/>
      <c r="HIV235" s="1"/>
      <c r="HIW235" s="1"/>
      <c r="HIX235" s="1"/>
      <c r="HIY235" s="1"/>
      <c r="HIZ235" s="1"/>
      <c r="HJA235" s="1"/>
      <c r="HJB235" s="1"/>
      <c r="HJC235" s="1"/>
      <c r="HJD235" s="1"/>
      <c r="HJE235" s="1"/>
      <c r="HJF235" s="1"/>
      <c r="HJG235" s="1"/>
      <c r="HJH235" s="1"/>
      <c r="HJI235" s="1"/>
      <c r="HJJ235" s="1"/>
      <c r="HJK235" s="1"/>
      <c r="HJL235" s="1"/>
      <c r="HJM235" s="1"/>
      <c r="HJN235" s="1"/>
      <c r="HJO235" s="1"/>
      <c r="HJP235" s="1"/>
      <c r="HJQ235" s="1"/>
      <c r="HJR235" s="1"/>
      <c r="HJS235" s="1"/>
      <c r="HJT235" s="1"/>
      <c r="HJU235" s="1"/>
      <c r="HJV235" s="1"/>
      <c r="HJW235" s="1"/>
      <c r="HJX235" s="1"/>
      <c r="HJY235" s="1"/>
      <c r="HJZ235" s="1"/>
      <c r="HKA235" s="1"/>
      <c r="HKB235" s="1"/>
      <c r="HKC235" s="1"/>
      <c r="HKD235" s="1"/>
      <c r="HKE235" s="1"/>
      <c r="HKF235" s="1"/>
      <c r="HKG235" s="1"/>
      <c r="HKH235" s="1"/>
      <c r="HKI235" s="1"/>
      <c r="HKJ235" s="1"/>
      <c r="HKK235" s="1"/>
      <c r="HKL235" s="1"/>
      <c r="HKM235" s="1"/>
      <c r="HKN235" s="1"/>
      <c r="HKO235" s="1"/>
      <c r="HKP235" s="1"/>
      <c r="HKQ235" s="1"/>
      <c r="HKR235" s="1"/>
      <c r="HKS235" s="1"/>
      <c r="HKT235" s="1"/>
      <c r="HKU235" s="1"/>
      <c r="HKV235" s="1"/>
      <c r="HKW235" s="1"/>
      <c r="HKX235" s="1"/>
      <c r="HKY235" s="1"/>
      <c r="HKZ235" s="1"/>
      <c r="HLA235" s="1"/>
      <c r="HLB235" s="1"/>
      <c r="HLC235" s="1"/>
      <c r="HLD235" s="1"/>
      <c r="HLE235" s="1"/>
      <c r="HLF235" s="1"/>
      <c r="HLG235" s="1"/>
      <c r="HLH235" s="1"/>
      <c r="HLI235" s="1"/>
      <c r="HLJ235" s="1"/>
      <c r="HLK235" s="1"/>
      <c r="HLL235" s="1"/>
      <c r="HLM235" s="1"/>
      <c r="HLN235" s="1"/>
      <c r="HLO235" s="1"/>
      <c r="HLP235" s="1"/>
      <c r="HLQ235" s="1"/>
      <c r="HLR235" s="1"/>
      <c r="HLS235" s="1"/>
      <c r="HLT235" s="1"/>
      <c r="HLU235" s="1"/>
      <c r="HLV235" s="1"/>
      <c r="HLW235" s="1"/>
      <c r="HLX235" s="1"/>
      <c r="HLY235" s="1"/>
      <c r="HLZ235" s="1"/>
      <c r="HMA235" s="1"/>
      <c r="HMB235" s="1"/>
      <c r="HMC235" s="1"/>
      <c r="HMD235" s="1"/>
      <c r="HME235" s="1"/>
      <c r="HMF235" s="1"/>
      <c r="HMG235" s="1"/>
      <c r="HMH235" s="1"/>
      <c r="HMI235" s="1"/>
      <c r="HMJ235" s="1"/>
      <c r="HMK235" s="1"/>
      <c r="HML235" s="1"/>
      <c r="HMM235" s="1"/>
      <c r="HMN235" s="1"/>
      <c r="HMO235" s="1"/>
      <c r="HMP235" s="1"/>
      <c r="HMQ235" s="1"/>
      <c r="HMR235" s="1"/>
      <c r="HMS235" s="1"/>
      <c r="HMT235" s="1"/>
      <c r="HMU235" s="1"/>
      <c r="HMV235" s="1"/>
      <c r="HMW235" s="1"/>
      <c r="HMX235" s="1"/>
      <c r="HMY235" s="1"/>
      <c r="HMZ235" s="1"/>
      <c r="HNA235" s="1"/>
      <c r="HNB235" s="1"/>
      <c r="HNC235" s="1"/>
      <c r="HND235" s="1"/>
      <c r="HNE235" s="1"/>
      <c r="HNF235" s="1"/>
      <c r="HNG235" s="1"/>
      <c r="HNH235" s="1"/>
      <c r="HNI235" s="1"/>
      <c r="HNJ235" s="1"/>
      <c r="HNK235" s="1"/>
      <c r="HNL235" s="1"/>
      <c r="HNM235" s="1"/>
      <c r="HNN235" s="1"/>
      <c r="HNO235" s="1"/>
      <c r="HNP235" s="1"/>
      <c r="HNQ235" s="1"/>
      <c r="HNR235" s="1"/>
      <c r="HNS235" s="1"/>
      <c r="HNT235" s="1"/>
      <c r="HNU235" s="1"/>
      <c r="HNV235" s="1"/>
      <c r="HNW235" s="1"/>
      <c r="HNX235" s="1"/>
      <c r="HNY235" s="1"/>
      <c r="HNZ235" s="1"/>
      <c r="HOA235" s="1"/>
      <c r="HOB235" s="1"/>
      <c r="HOC235" s="1"/>
      <c r="HOD235" s="1"/>
      <c r="HOE235" s="1"/>
      <c r="HOF235" s="1"/>
      <c r="HOG235" s="1"/>
      <c r="HOH235" s="1"/>
      <c r="HOI235" s="1"/>
      <c r="HOJ235" s="1"/>
      <c r="HOK235" s="1"/>
      <c r="HOL235" s="1"/>
      <c r="HOM235" s="1"/>
      <c r="HON235" s="1"/>
      <c r="HOO235" s="1"/>
      <c r="HOP235" s="1"/>
      <c r="HOQ235" s="1"/>
      <c r="HOR235" s="1"/>
      <c r="HOS235" s="1"/>
      <c r="HOT235" s="1"/>
      <c r="HOU235" s="1"/>
      <c r="HOV235" s="1"/>
      <c r="HOW235" s="1"/>
      <c r="HOX235" s="1"/>
      <c r="HOY235" s="1"/>
      <c r="HOZ235" s="1"/>
      <c r="HPA235" s="1"/>
      <c r="HPB235" s="1"/>
      <c r="HPC235" s="1"/>
      <c r="HPD235" s="1"/>
      <c r="HPE235" s="1"/>
      <c r="HPF235" s="1"/>
      <c r="HPG235" s="1"/>
      <c r="HPH235" s="1"/>
      <c r="HPI235" s="1"/>
      <c r="HPJ235" s="1"/>
      <c r="HPK235" s="1"/>
      <c r="HPL235" s="1"/>
      <c r="HPM235" s="1"/>
      <c r="HPN235" s="1"/>
      <c r="HPO235" s="1"/>
      <c r="HPP235" s="1"/>
      <c r="HPQ235" s="1"/>
      <c r="HPR235" s="1"/>
      <c r="HPS235" s="1"/>
      <c r="HPT235" s="1"/>
      <c r="HPU235" s="1"/>
      <c r="HPV235" s="1"/>
      <c r="HPW235" s="1"/>
      <c r="HPX235" s="1"/>
      <c r="HPY235" s="1"/>
      <c r="HPZ235" s="1"/>
      <c r="HQA235" s="1"/>
      <c r="HQB235" s="1"/>
      <c r="HQC235" s="1"/>
      <c r="HQD235" s="1"/>
      <c r="HQE235" s="1"/>
      <c r="HQF235" s="1"/>
      <c r="HQG235" s="1"/>
      <c r="HQH235" s="1"/>
      <c r="HQI235" s="1"/>
      <c r="HQJ235" s="1"/>
      <c r="HQK235" s="1"/>
      <c r="HQL235" s="1"/>
      <c r="HQM235" s="1"/>
      <c r="HQN235" s="1"/>
      <c r="HQO235" s="1"/>
      <c r="HQP235" s="1"/>
      <c r="HQQ235" s="1"/>
      <c r="HQR235" s="1"/>
      <c r="HQS235" s="1"/>
      <c r="HQT235" s="1"/>
      <c r="HQU235" s="1"/>
      <c r="HQV235" s="1"/>
      <c r="HQW235" s="1"/>
      <c r="HQX235" s="1"/>
      <c r="HQY235" s="1"/>
      <c r="HQZ235" s="1"/>
      <c r="HRA235" s="1"/>
      <c r="HRB235" s="1"/>
      <c r="HRC235" s="1"/>
      <c r="HRD235" s="1"/>
      <c r="HRE235" s="1"/>
      <c r="HRF235" s="1"/>
      <c r="HRG235" s="1"/>
      <c r="HRH235" s="1"/>
      <c r="HRI235" s="1"/>
      <c r="HRJ235" s="1"/>
      <c r="HRK235" s="1"/>
      <c r="HRL235" s="1"/>
      <c r="HRM235" s="1"/>
      <c r="HRN235" s="1"/>
      <c r="HRO235" s="1"/>
      <c r="HRP235" s="1"/>
      <c r="HRQ235" s="1"/>
      <c r="HRR235" s="1"/>
      <c r="HRS235" s="1"/>
      <c r="HRT235" s="1"/>
      <c r="HRU235" s="1"/>
      <c r="HRV235" s="1"/>
      <c r="HRW235" s="1"/>
      <c r="HRX235" s="1"/>
      <c r="HRY235" s="1"/>
      <c r="HRZ235" s="1"/>
      <c r="HSA235" s="1"/>
      <c r="HSB235" s="1"/>
      <c r="HSC235" s="1"/>
      <c r="HSD235" s="1"/>
      <c r="HSE235" s="1"/>
      <c r="HSF235" s="1"/>
      <c r="HSG235" s="1"/>
      <c r="HSH235" s="1"/>
      <c r="HSI235" s="1"/>
      <c r="HSJ235" s="1"/>
      <c r="HSK235" s="1"/>
      <c r="HSL235" s="1"/>
      <c r="HSM235" s="1"/>
      <c r="HSN235" s="1"/>
      <c r="HSO235" s="1"/>
      <c r="HSP235" s="1"/>
      <c r="HSQ235" s="1"/>
      <c r="HSR235" s="1"/>
      <c r="HSS235" s="1"/>
      <c r="HST235" s="1"/>
      <c r="HSU235" s="1"/>
      <c r="HSV235" s="1"/>
      <c r="HSW235" s="1"/>
      <c r="HSX235" s="1"/>
      <c r="HSY235" s="1"/>
      <c r="HSZ235" s="1"/>
      <c r="HTA235" s="1"/>
      <c r="HTB235" s="1"/>
      <c r="HTC235" s="1"/>
      <c r="HTD235" s="1"/>
      <c r="HTE235" s="1"/>
      <c r="HTF235" s="1"/>
      <c r="HTG235" s="1"/>
      <c r="HTH235" s="1"/>
      <c r="HTI235" s="1"/>
      <c r="HTJ235" s="1"/>
      <c r="HTK235" s="1"/>
      <c r="HTL235" s="1"/>
      <c r="HTM235" s="1"/>
      <c r="HTN235" s="1"/>
      <c r="HTO235" s="1"/>
      <c r="HTP235" s="1"/>
      <c r="HTQ235" s="1"/>
      <c r="HTR235" s="1"/>
      <c r="HTS235" s="1"/>
      <c r="HTT235" s="1"/>
      <c r="HTU235" s="1"/>
      <c r="HTV235" s="1"/>
      <c r="HTW235" s="1"/>
      <c r="HTX235" s="1"/>
      <c r="HTY235" s="1"/>
      <c r="HTZ235" s="1"/>
      <c r="HUA235" s="1"/>
      <c r="HUB235" s="1"/>
      <c r="HUC235" s="1"/>
      <c r="HUD235" s="1"/>
      <c r="HUE235" s="1"/>
      <c r="HUF235" s="1"/>
      <c r="HUG235" s="1"/>
      <c r="HUH235" s="1"/>
      <c r="HUI235" s="1"/>
      <c r="HUJ235" s="1"/>
      <c r="HUK235" s="1"/>
      <c r="HUL235" s="1"/>
      <c r="HUM235" s="1"/>
      <c r="HUN235" s="1"/>
      <c r="HUO235" s="1"/>
      <c r="HUP235" s="1"/>
      <c r="HUQ235" s="1"/>
      <c r="HUR235" s="1"/>
      <c r="HUS235" s="1"/>
      <c r="HUT235" s="1"/>
      <c r="HUU235" s="1"/>
      <c r="HUV235" s="1"/>
      <c r="HUW235" s="1"/>
      <c r="HUX235" s="1"/>
      <c r="HUY235" s="1"/>
      <c r="HUZ235" s="1"/>
      <c r="HVA235" s="1"/>
      <c r="HVB235" s="1"/>
      <c r="HVC235" s="1"/>
      <c r="HVD235" s="1"/>
      <c r="HVE235" s="1"/>
      <c r="HVF235" s="1"/>
      <c r="HVG235" s="1"/>
      <c r="HVH235" s="1"/>
      <c r="HVI235" s="1"/>
      <c r="HVJ235" s="1"/>
      <c r="HVK235" s="1"/>
      <c r="HVL235" s="1"/>
      <c r="HVM235" s="1"/>
      <c r="HVN235" s="1"/>
      <c r="HVO235" s="1"/>
      <c r="HVP235" s="1"/>
      <c r="HVQ235" s="1"/>
      <c r="HVR235" s="1"/>
      <c r="HVS235" s="1"/>
      <c r="HVT235" s="1"/>
      <c r="HVU235" s="1"/>
      <c r="HVV235" s="1"/>
      <c r="HVW235" s="1"/>
      <c r="HVX235" s="1"/>
      <c r="HVY235" s="1"/>
      <c r="HVZ235" s="1"/>
      <c r="HWA235" s="1"/>
      <c r="HWB235" s="1"/>
      <c r="HWC235" s="1"/>
      <c r="HWD235" s="1"/>
      <c r="HWE235" s="1"/>
      <c r="HWF235" s="1"/>
      <c r="HWG235" s="1"/>
      <c r="HWH235" s="1"/>
      <c r="HWI235" s="1"/>
      <c r="HWJ235" s="1"/>
      <c r="HWK235" s="1"/>
      <c r="HWL235" s="1"/>
      <c r="HWM235" s="1"/>
      <c r="HWN235" s="1"/>
      <c r="HWO235" s="1"/>
      <c r="HWP235" s="1"/>
      <c r="HWQ235" s="1"/>
      <c r="HWR235" s="1"/>
      <c r="HWS235" s="1"/>
      <c r="HWT235" s="1"/>
      <c r="HWU235" s="1"/>
      <c r="HWV235" s="1"/>
      <c r="HWW235" s="1"/>
      <c r="HWX235" s="1"/>
      <c r="HWY235" s="1"/>
      <c r="HWZ235" s="1"/>
      <c r="HXA235" s="1"/>
      <c r="HXB235" s="1"/>
      <c r="HXC235" s="1"/>
      <c r="HXD235" s="1"/>
      <c r="HXE235" s="1"/>
      <c r="HXF235" s="1"/>
      <c r="HXG235" s="1"/>
      <c r="HXH235" s="1"/>
      <c r="HXI235" s="1"/>
      <c r="HXJ235" s="1"/>
      <c r="HXK235" s="1"/>
      <c r="HXL235" s="1"/>
      <c r="HXM235" s="1"/>
      <c r="HXN235" s="1"/>
      <c r="HXO235" s="1"/>
      <c r="HXP235" s="1"/>
      <c r="HXQ235" s="1"/>
      <c r="HXR235" s="1"/>
      <c r="HXS235" s="1"/>
      <c r="HXT235" s="1"/>
      <c r="HXU235" s="1"/>
      <c r="HXV235" s="1"/>
      <c r="HXW235" s="1"/>
      <c r="HXX235" s="1"/>
      <c r="HXY235" s="1"/>
      <c r="HXZ235" s="1"/>
      <c r="HYA235" s="1"/>
      <c r="HYB235" s="1"/>
      <c r="HYC235" s="1"/>
      <c r="HYD235" s="1"/>
      <c r="HYE235" s="1"/>
      <c r="HYF235" s="1"/>
      <c r="HYG235" s="1"/>
      <c r="HYH235" s="1"/>
      <c r="HYI235" s="1"/>
      <c r="HYJ235" s="1"/>
      <c r="HYK235" s="1"/>
      <c r="HYL235" s="1"/>
      <c r="HYM235" s="1"/>
      <c r="HYN235" s="1"/>
      <c r="HYO235" s="1"/>
      <c r="HYP235" s="1"/>
      <c r="HYQ235" s="1"/>
      <c r="HYR235" s="1"/>
      <c r="HYS235" s="1"/>
      <c r="HYT235" s="1"/>
      <c r="HYU235" s="1"/>
      <c r="HYV235" s="1"/>
      <c r="HYW235" s="1"/>
      <c r="HYX235" s="1"/>
      <c r="HYY235" s="1"/>
      <c r="HYZ235" s="1"/>
      <c r="HZA235" s="1"/>
      <c r="HZB235" s="1"/>
      <c r="HZC235" s="1"/>
      <c r="HZD235" s="1"/>
      <c r="HZE235" s="1"/>
      <c r="HZF235" s="1"/>
      <c r="HZG235" s="1"/>
      <c r="HZH235" s="1"/>
      <c r="HZI235" s="1"/>
      <c r="HZJ235" s="1"/>
      <c r="HZK235" s="1"/>
      <c r="HZL235" s="1"/>
      <c r="HZM235" s="1"/>
      <c r="HZN235" s="1"/>
      <c r="HZO235" s="1"/>
      <c r="HZP235" s="1"/>
      <c r="HZQ235" s="1"/>
      <c r="HZR235" s="1"/>
      <c r="HZS235" s="1"/>
      <c r="HZT235" s="1"/>
      <c r="HZU235" s="1"/>
      <c r="HZV235" s="1"/>
      <c r="HZW235" s="1"/>
      <c r="HZX235" s="1"/>
      <c r="HZY235" s="1"/>
      <c r="HZZ235" s="1"/>
      <c r="IAA235" s="1"/>
      <c r="IAB235" s="1"/>
      <c r="IAC235" s="1"/>
      <c r="IAD235" s="1"/>
      <c r="IAE235" s="1"/>
      <c r="IAF235" s="1"/>
      <c r="IAG235" s="1"/>
      <c r="IAH235" s="1"/>
      <c r="IAI235" s="1"/>
      <c r="IAJ235" s="1"/>
      <c r="IAK235" s="1"/>
      <c r="IAL235" s="1"/>
      <c r="IAM235" s="1"/>
      <c r="IAN235" s="1"/>
      <c r="IAO235" s="1"/>
      <c r="IAP235" s="1"/>
      <c r="IAQ235" s="1"/>
      <c r="IAR235" s="1"/>
      <c r="IAS235" s="1"/>
      <c r="IAT235" s="1"/>
      <c r="IAU235" s="1"/>
      <c r="IAV235" s="1"/>
      <c r="IAW235" s="1"/>
      <c r="IAX235" s="1"/>
      <c r="IAY235" s="1"/>
      <c r="IAZ235" s="1"/>
      <c r="IBA235" s="1"/>
      <c r="IBB235" s="1"/>
      <c r="IBC235" s="1"/>
      <c r="IBD235" s="1"/>
      <c r="IBE235" s="1"/>
      <c r="IBF235" s="1"/>
      <c r="IBG235" s="1"/>
      <c r="IBH235" s="1"/>
      <c r="IBI235" s="1"/>
      <c r="IBJ235" s="1"/>
      <c r="IBK235" s="1"/>
      <c r="IBL235" s="1"/>
      <c r="IBM235" s="1"/>
      <c r="IBN235" s="1"/>
      <c r="IBO235" s="1"/>
      <c r="IBP235" s="1"/>
      <c r="IBQ235" s="1"/>
      <c r="IBR235" s="1"/>
      <c r="IBS235" s="1"/>
      <c r="IBT235" s="1"/>
      <c r="IBU235" s="1"/>
      <c r="IBV235" s="1"/>
      <c r="IBW235" s="1"/>
      <c r="IBX235" s="1"/>
      <c r="IBY235" s="1"/>
      <c r="IBZ235" s="1"/>
      <c r="ICA235" s="1"/>
      <c r="ICB235" s="1"/>
      <c r="ICC235" s="1"/>
      <c r="ICD235" s="1"/>
      <c r="ICE235" s="1"/>
      <c r="ICF235" s="1"/>
      <c r="ICG235" s="1"/>
      <c r="ICH235" s="1"/>
      <c r="ICI235" s="1"/>
      <c r="ICJ235" s="1"/>
      <c r="ICK235" s="1"/>
      <c r="ICL235" s="1"/>
      <c r="ICM235" s="1"/>
      <c r="ICN235" s="1"/>
      <c r="ICO235" s="1"/>
      <c r="ICP235" s="1"/>
      <c r="ICQ235" s="1"/>
      <c r="ICR235" s="1"/>
      <c r="ICS235" s="1"/>
      <c r="ICT235" s="1"/>
      <c r="ICU235" s="1"/>
      <c r="ICV235" s="1"/>
      <c r="ICW235" s="1"/>
      <c r="ICX235" s="1"/>
      <c r="ICY235" s="1"/>
      <c r="ICZ235" s="1"/>
      <c r="IDA235" s="1"/>
      <c r="IDB235" s="1"/>
      <c r="IDC235" s="1"/>
      <c r="IDD235" s="1"/>
      <c r="IDE235" s="1"/>
      <c r="IDF235" s="1"/>
      <c r="IDG235" s="1"/>
      <c r="IDH235" s="1"/>
      <c r="IDI235" s="1"/>
      <c r="IDJ235" s="1"/>
      <c r="IDK235" s="1"/>
      <c r="IDL235" s="1"/>
      <c r="IDM235" s="1"/>
      <c r="IDN235" s="1"/>
      <c r="IDO235" s="1"/>
      <c r="IDP235" s="1"/>
      <c r="IDQ235" s="1"/>
      <c r="IDR235" s="1"/>
      <c r="IDS235" s="1"/>
      <c r="IDT235" s="1"/>
      <c r="IDU235" s="1"/>
      <c r="IDV235" s="1"/>
      <c r="IDW235" s="1"/>
      <c r="IDX235" s="1"/>
      <c r="IDY235" s="1"/>
      <c r="IDZ235" s="1"/>
      <c r="IEA235" s="1"/>
      <c r="IEB235" s="1"/>
      <c r="IEC235" s="1"/>
      <c r="IED235" s="1"/>
      <c r="IEE235" s="1"/>
      <c r="IEF235" s="1"/>
      <c r="IEG235" s="1"/>
      <c r="IEH235" s="1"/>
      <c r="IEI235" s="1"/>
      <c r="IEJ235" s="1"/>
      <c r="IEK235" s="1"/>
      <c r="IEL235" s="1"/>
      <c r="IEM235" s="1"/>
      <c r="IEN235" s="1"/>
      <c r="IEO235" s="1"/>
      <c r="IEP235" s="1"/>
      <c r="IEQ235" s="1"/>
      <c r="IER235" s="1"/>
      <c r="IES235" s="1"/>
      <c r="IET235" s="1"/>
      <c r="IEU235" s="1"/>
      <c r="IEV235" s="1"/>
      <c r="IEW235" s="1"/>
      <c r="IEX235" s="1"/>
      <c r="IEY235" s="1"/>
      <c r="IEZ235" s="1"/>
      <c r="IFA235" s="1"/>
      <c r="IFB235" s="1"/>
      <c r="IFC235" s="1"/>
      <c r="IFD235" s="1"/>
      <c r="IFE235" s="1"/>
      <c r="IFF235" s="1"/>
      <c r="IFG235" s="1"/>
      <c r="IFH235" s="1"/>
      <c r="IFI235" s="1"/>
      <c r="IFJ235" s="1"/>
      <c r="IFK235" s="1"/>
      <c r="IFL235" s="1"/>
      <c r="IFM235" s="1"/>
      <c r="IFN235" s="1"/>
      <c r="IFO235" s="1"/>
      <c r="IFP235" s="1"/>
      <c r="IFQ235" s="1"/>
      <c r="IFR235" s="1"/>
      <c r="IFS235" s="1"/>
      <c r="IFT235" s="1"/>
      <c r="IFU235" s="1"/>
      <c r="IFV235" s="1"/>
      <c r="IFW235" s="1"/>
      <c r="IFX235" s="1"/>
      <c r="IFY235" s="1"/>
      <c r="IFZ235" s="1"/>
      <c r="IGA235" s="1"/>
      <c r="IGB235" s="1"/>
      <c r="IGC235" s="1"/>
      <c r="IGD235" s="1"/>
      <c r="IGE235" s="1"/>
      <c r="IGF235" s="1"/>
      <c r="IGG235" s="1"/>
      <c r="IGH235" s="1"/>
      <c r="IGI235" s="1"/>
      <c r="IGJ235" s="1"/>
      <c r="IGK235" s="1"/>
      <c r="IGL235" s="1"/>
      <c r="IGM235" s="1"/>
      <c r="IGN235" s="1"/>
      <c r="IGO235" s="1"/>
      <c r="IGP235" s="1"/>
      <c r="IGQ235" s="1"/>
      <c r="IGR235" s="1"/>
      <c r="IGS235" s="1"/>
      <c r="IGT235" s="1"/>
      <c r="IGU235" s="1"/>
      <c r="IGV235" s="1"/>
      <c r="IGW235" s="1"/>
      <c r="IGX235" s="1"/>
      <c r="IGY235" s="1"/>
      <c r="IGZ235" s="1"/>
      <c r="IHA235" s="1"/>
      <c r="IHB235" s="1"/>
      <c r="IHC235" s="1"/>
      <c r="IHD235" s="1"/>
      <c r="IHE235" s="1"/>
      <c r="IHF235" s="1"/>
      <c r="IHG235" s="1"/>
      <c r="IHH235" s="1"/>
      <c r="IHI235" s="1"/>
      <c r="IHJ235" s="1"/>
      <c r="IHK235" s="1"/>
      <c r="IHL235" s="1"/>
      <c r="IHM235" s="1"/>
      <c r="IHN235" s="1"/>
      <c r="IHO235" s="1"/>
      <c r="IHP235" s="1"/>
      <c r="IHQ235" s="1"/>
      <c r="IHR235" s="1"/>
      <c r="IHS235" s="1"/>
      <c r="IHT235" s="1"/>
      <c r="IHU235" s="1"/>
      <c r="IHV235" s="1"/>
      <c r="IHW235" s="1"/>
      <c r="IHX235" s="1"/>
      <c r="IHY235" s="1"/>
      <c r="IHZ235" s="1"/>
      <c r="IIA235" s="1"/>
      <c r="IIB235" s="1"/>
      <c r="IIC235" s="1"/>
      <c r="IID235" s="1"/>
      <c r="IIE235" s="1"/>
      <c r="IIF235" s="1"/>
      <c r="IIG235" s="1"/>
      <c r="IIH235" s="1"/>
      <c r="III235" s="1"/>
      <c r="IIJ235" s="1"/>
      <c r="IIK235" s="1"/>
      <c r="IIL235" s="1"/>
      <c r="IIM235" s="1"/>
      <c r="IIN235" s="1"/>
      <c r="IIO235" s="1"/>
      <c r="IIP235" s="1"/>
      <c r="IIQ235" s="1"/>
      <c r="IIR235" s="1"/>
      <c r="IIS235" s="1"/>
      <c r="IIT235" s="1"/>
      <c r="IIU235" s="1"/>
      <c r="IIV235" s="1"/>
      <c r="IIW235" s="1"/>
      <c r="IIX235" s="1"/>
      <c r="IIY235" s="1"/>
      <c r="IIZ235" s="1"/>
      <c r="IJA235" s="1"/>
      <c r="IJB235" s="1"/>
      <c r="IJC235" s="1"/>
      <c r="IJD235" s="1"/>
      <c r="IJE235" s="1"/>
      <c r="IJF235" s="1"/>
      <c r="IJG235" s="1"/>
      <c r="IJH235" s="1"/>
      <c r="IJI235" s="1"/>
      <c r="IJJ235" s="1"/>
      <c r="IJK235" s="1"/>
      <c r="IJL235" s="1"/>
      <c r="IJM235" s="1"/>
      <c r="IJN235" s="1"/>
      <c r="IJO235" s="1"/>
      <c r="IJP235" s="1"/>
      <c r="IJQ235" s="1"/>
      <c r="IJR235" s="1"/>
      <c r="IJS235" s="1"/>
      <c r="IJT235" s="1"/>
      <c r="IJU235" s="1"/>
      <c r="IJV235" s="1"/>
      <c r="IJW235" s="1"/>
      <c r="IJX235" s="1"/>
      <c r="IJY235" s="1"/>
      <c r="IJZ235" s="1"/>
      <c r="IKA235" s="1"/>
      <c r="IKB235" s="1"/>
      <c r="IKC235" s="1"/>
      <c r="IKD235" s="1"/>
      <c r="IKE235" s="1"/>
      <c r="IKF235" s="1"/>
      <c r="IKG235" s="1"/>
      <c r="IKH235" s="1"/>
      <c r="IKI235" s="1"/>
      <c r="IKJ235" s="1"/>
      <c r="IKK235" s="1"/>
      <c r="IKL235" s="1"/>
      <c r="IKM235" s="1"/>
      <c r="IKN235" s="1"/>
      <c r="IKO235" s="1"/>
      <c r="IKP235" s="1"/>
      <c r="IKQ235" s="1"/>
      <c r="IKR235" s="1"/>
      <c r="IKS235" s="1"/>
      <c r="IKT235" s="1"/>
      <c r="IKU235" s="1"/>
      <c r="IKV235" s="1"/>
      <c r="IKW235" s="1"/>
      <c r="IKX235" s="1"/>
      <c r="IKY235" s="1"/>
      <c r="IKZ235" s="1"/>
      <c r="ILA235" s="1"/>
      <c r="ILB235" s="1"/>
      <c r="ILC235" s="1"/>
      <c r="ILD235" s="1"/>
      <c r="ILE235" s="1"/>
      <c r="ILF235" s="1"/>
      <c r="ILG235" s="1"/>
      <c r="ILH235" s="1"/>
      <c r="ILI235" s="1"/>
      <c r="ILJ235" s="1"/>
      <c r="ILK235" s="1"/>
      <c r="ILL235" s="1"/>
      <c r="ILM235" s="1"/>
      <c r="ILN235" s="1"/>
      <c r="ILO235" s="1"/>
      <c r="ILP235" s="1"/>
      <c r="ILQ235" s="1"/>
      <c r="ILR235" s="1"/>
      <c r="ILS235" s="1"/>
      <c r="ILT235" s="1"/>
      <c r="ILU235" s="1"/>
      <c r="ILV235" s="1"/>
      <c r="ILW235" s="1"/>
      <c r="ILX235" s="1"/>
      <c r="ILY235" s="1"/>
      <c r="ILZ235" s="1"/>
      <c r="IMA235" s="1"/>
      <c r="IMB235" s="1"/>
      <c r="IMC235" s="1"/>
      <c r="IMD235" s="1"/>
      <c r="IME235" s="1"/>
      <c r="IMF235" s="1"/>
      <c r="IMG235" s="1"/>
      <c r="IMH235" s="1"/>
      <c r="IMI235" s="1"/>
      <c r="IMJ235" s="1"/>
      <c r="IMK235" s="1"/>
      <c r="IML235" s="1"/>
      <c r="IMM235" s="1"/>
      <c r="IMN235" s="1"/>
      <c r="IMO235" s="1"/>
      <c r="IMP235" s="1"/>
      <c r="IMQ235" s="1"/>
      <c r="IMR235" s="1"/>
      <c r="IMS235" s="1"/>
      <c r="IMT235" s="1"/>
      <c r="IMU235" s="1"/>
      <c r="IMV235" s="1"/>
      <c r="IMW235" s="1"/>
      <c r="IMX235" s="1"/>
      <c r="IMY235" s="1"/>
      <c r="IMZ235" s="1"/>
      <c r="INA235" s="1"/>
      <c r="INB235" s="1"/>
      <c r="INC235" s="1"/>
      <c r="IND235" s="1"/>
      <c r="INE235" s="1"/>
      <c r="INF235" s="1"/>
      <c r="ING235" s="1"/>
      <c r="INH235" s="1"/>
      <c r="INI235" s="1"/>
      <c r="INJ235" s="1"/>
      <c r="INK235" s="1"/>
      <c r="INL235" s="1"/>
      <c r="INM235" s="1"/>
      <c r="INN235" s="1"/>
      <c r="INO235" s="1"/>
      <c r="INP235" s="1"/>
      <c r="INQ235" s="1"/>
      <c r="INR235" s="1"/>
      <c r="INS235" s="1"/>
      <c r="INT235" s="1"/>
      <c r="INU235" s="1"/>
      <c r="INV235" s="1"/>
      <c r="INW235" s="1"/>
      <c r="INX235" s="1"/>
      <c r="INY235" s="1"/>
      <c r="INZ235" s="1"/>
      <c r="IOA235" s="1"/>
      <c r="IOB235" s="1"/>
      <c r="IOC235" s="1"/>
      <c r="IOD235" s="1"/>
      <c r="IOE235" s="1"/>
      <c r="IOF235" s="1"/>
      <c r="IOG235" s="1"/>
      <c r="IOH235" s="1"/>
      <c r="IOI235" s="1"/>
      <c r="IOJ235" s="1"/>
      <c r="IOK235" s="1"/>
      <c r="IOL235" s="1"/>
      <c r="IOM235" s="1"/>
      <c r="ION235" s="1"/>
      <c r="IOO235" s="1"/>
      <c r="IOP235" s="1"/>
      <c r="IOQ235" s="1"/>
      <c r="IOR235" s="1"/>
      <c r="IOS235" s="1"/>
      <c r="IOT235" s="1"/>
      <c r="IOU235" s="1"/>
      <c r="IOV235" s="1"/>
      <c r="IOW235" s="1"/>
      <c r="IOX235" s="1"/>
      <c r="IOY235" s="1"/>
      <c r="IOZ235" s="1"/>
      <c r="IPA235" s="1"/>
      <c r="IPB235" s="1"/>
      <c r="IPC235" s="1"/>
      <c r="IPD235" s="1"/>
      <c r="IPE235" s="1"/>
      <c r="IPF235" s="1"/>
      <c r="IPG235" s="1"/>
      <c r="IPH235" s="1"/>
      <c r="IPI235" s="1"/>
      <c r="IPJ235" s="1"/>
      <c r="IPK235" s="1"/>
      <c r="IPL235" s="1"/>
      <c r="IPM235" s="1"/>
      <c r="IPN235" s="1"/>
      <c r="IPO235" s="1"/>
      <c r="IPP235" s="1"/>
      <c r="IPQ235" s="1"/>
      <c r="IPR235" s="1"/>
      <c r="IPS235" s="1"/>
      <c r="IPT235" s="1"/>
      <c r="IPU235" s="1"/>
      <c r="IPV235" s="1"/>
      <c r="IPW235" s="1"/>
      <c r="IPX235" s="1"/>
      <c r="IPY235" s="1"/>
      <c r="IPZ235" s="1"/>
      <c r="IQA235" s="1"/>
      <c r="IQB235" s="1"/>
      <c r="IQC235" s="1"/>
      <c r="IQD235" s="1"/>
      <c r="IQE235" s="1"/>
      <c r="IQF235" s="1"/>
      <c r="IQG235" s="1"/>
      <c r="IQH235" s="1"/>
      <c r="IQI235" s="1"/>
      <c r="IQJ235" s="1"/>
      <c r="IQK235" s="1"/>
      <c r="IQL235" s="1"/>
      <c r="IQM235" s="1"/>
      <c r="IQN235" s="1"/>
      <c r="IQO235" s="1"/>
      <c r="IQP235" s="1"/>
      <c r="IQQ235" s="1"/>
      <c r="IQR235" s="1"/>
      <c r="IQS235" s="1"/>
      <c r="IQT235" s="1"/>
      <c r="IQU235" s="1"/>
      <c r="IQV235" s="1"/>
      <c r="IQW235" s="1"/>
      <c r="IQX235" s="1"/>
      <c r="IQY235" s="1"/>
      <c r="IQZ235" s="1"/>
      <c r="IRA235" s="1"/>
      <c r="IRB235" s="1"/>
      <c r="IRC235" s="1"/>
      <c r="IRD235" s="1"/>
      <c r="IRE235" s="1"/>
      <c r="IRF235" s="1"/>
      <c r="IRG235" s="1"/>
      <c r="IRH235" s="1"/>
      <c r="IRI235" s="1"/>
      <c r="IRJ235" s="1"/>
      <c r="IRK235" s="1"/>
      <c r="IRL235" s="1"/>
      <c r="IRM235" s="1"/>
      <c r="IRN235" s="1"/>
      <c r="IRO235" s="1"/>
      <c r="IRP235" s="1"/>
      <c r="IRQ235" s="1"/>
      <c r="IRR235" s="1"/>
      <c r="IRS235" s="1"/>
      <c r="IRT235" s="1"/>
      <c r="IRU235" s="1"/>
      <c r="IRV235" s="1"/>
      <c r="IRW235" s="1"/>
      <c r="IRX235" s="1"/>
      <c r="IRY235" s="1"/>
      <c r="IRZ235" s="1"/>
      <c r="ISA235" s="1"/>
      <c r="ISB235" s="1"/>
      <c r="ISC235" s="1"/>
      <c r="ISD235" s="1"/>
      <c r="ISE235" s="1"/>
      <c r="ISF235" s="1"/>
      <c r="ISG235" s="1"/>
      <c r="ISH235" s="1"/>
      <c r="ISI235" s="1"/>
      <c r="ISJ235" s="1"/>
      <c r="ISK235" s="1"/>
      <c r="ISL235" s="1"/>
      <c r="ISM235" s="1"/>
      <c r="ISN235" s="1"/>
      <c r="ISO235" s="1"/>
      <c r="ISP235" s="1"/>
      <c r="ISQ235" s="1"/>
      <c r="ISR235" s="1"/>
      <c r="ISS235" s="1"/>
      <c r="IST235" s="1"/>
      <c r="ISU235" s="1"/>
      <c r="ISV235" s="1"/>
      <c r="ISW235" s="1"/>
      <c r="ISX235" s="1"/>
      <c r="ISY235" s="1"/>
      <c r="ISZ235" s="1"/>
      <c r="ITA235" s="1"/>
      <c r="ITB235" s="1"/>
      <c r="ITC235" s="1"/>
      <c r="ITD235" s="1"/>
      <c r="ITE235" s="1"/>
      <c r="ITF235" s="1"/>
      <c r="ITG235" s="1"/>
      <c r="ITH235" s="1"/>
      <c r="ITI235" s="1"/>
      <c r="ITJ235" s="1"/>
      <c r="ITK235" s="1"/>
      <c r="ITL235" s="1"/>
      <c r="ITM235" s="1"/>
      <c r="ITN235" s="1"/>
      <c r="ITO235" s="1"/>
      <c r="ITP235" s="1"/>
      <c r="ITQ235" s="1"/>
      <c r="ITR235" s="1"/>
      <c r="ITS235" s="1"/>
      <c r="ITT235" s="1"/>
      <c r="ITU235" s="1"/>
      <c r="ITV235" s="1"/>
      <c r="ITW235" s="1"/>
      <c r="ITX235" s="1"/>
      <c r="ITY235" s="1"/>
      <c r="ITZ235" s="1"/>
      <c r="IUA235" s="1"/>
      <c r="IUB235" s="1"/>
      <c r="IUC235" s="1"/>
      <c r="IUD235" s="1"/>
      <c r="IUE235" s="1"/>
      <c r="IUF235" s="1"/>
      <c r="IUG235" s="1"/>
      <c r="IUH235" s="1"/>
      <c r="IUI235" s="1"/>
      <c r="IUJ235" s="1"/>
      <c r="IUK235" s="1"/>
      <c r="IUL235" s="1"/>
      <c r="IUM235" s="1"/>
      <c r="IUN235" s="1"/>
      <c r="IUO235" s="1"/>
      <c r="IUP235" s="1"/>
      <c r="IUQ235" s="1"/>
      <c r="IUR235" s="1"/>
      <c r="IUS235" s="1"/>
      <c r="IUT235" s="1"/>
      <c r="IUU235" s="1"/>
      <c r="IUV235" s="1"/>
      <c r="IUW235" s="1"/>
      <c r="IUX235" s="1"/>
      <c r="IUY235" s="1"/>
      <c r="IUZ235" s="1"/>
      <c r="IVA235" s="1"/>
      <c r="IVB235" s="1"/>
      <c r="IVC235" s="1"/>
      <c r="IVD235" s="1"/>
      <c r="IVE235" s="1"/>
      <c r="IVF235" s="1"/>
      <c r="IVG235" s="1"/>
      <c r="IVH235" s="1"/>
      <c r="IVI235" s="1"/>
      <c r="IVJ235" s="1"/>
      <c r="IVK235" s="1"/>
      <c r="IVL235" s="1"/>
      <c r="IVM235" s="1"/>
      <c r="IVN235" s="1"/>
      <c r="IVO235" s="1"/>
      <c r="IVP235" s="1"/>
      <c r="IVQ235" s="1"/>
      <c r="IVR235" s="1"/>
      <c r="IVS235" s="1"/>
      <c r="IVT235" s="1"/>
      <c r="IVU235" s="1"/>
      <c r="IVV235" s="1"/>
      <c r="IVW235" s="1"/>
      <c r="IVX235" s="1"/>
      <c r="IVY235" s="1"/>
      <c r="IVZ235" s="1"/>
      <c r="IWA235" s="1"/>
      <c r="IWB235" s="1"/>
      <c r="IWC235" s="1"/>
      <c r="IWD235" s="1"/>
      <c r="IWE235" s="1"/>
      <c r="IWF235" s="1"/>
      <c r="IWG235" s="1"/>
      <c r="IWH235" s="1"/>
      <c r="IWI235" s="1"/>
      <c r="IWJ235" s="1"/>
      <c r="IWK235" s="1"/>
      <c r="IWL235" s="1"/>
      <c r="IWM235" s="1"/>
      <c r="IWN235" s="1"/>
      <c r="IWO235" s="1"/>
      <c r="IWP235" s="1"/>
      <c r="IWQ235" s="1"/>
      <c r="IWR235" s="1"/>
      <c r="IWS235" s="1"/>
      <c r="IWT235" s="1"/>
      <c r="IWU235" s="1"/>
      <c r="IWV235" s="1"/>
      <c r="IWW235" s="1"/>
      <c r="IWX235" s="1"/>
      <c r="IWY235" s="1"/>
      <c r="IWZ235" s="1"/>
      <c r="IXA235" s="1"/>
      <c r="IXB235" s="1"/>
      <c r="IXC235" s="1"/>
      <c r="IXD235" s="1"/>
      <c r="IXE235" s="1"/>
      <c r="IXF235" s="1"/>
      <c r="IXG235" s="1"/>
      <c r="IXH235" s="1"/>
      <c r="IXI235" s="1"/>
      <c r="IXJ235" s="1"/>
      <c r="IXK235" s="1"/>
      <c r="IXL235" s="1"/>
      <c r="IXM235" s="1"/>
      <c r="IXN235" s="1"/>
      <c r="IXO235" s="1"/>
      <c r="IXP235" s="1"/>
      <c r="IXQ235" s="1"/>
      <c r="IXR235" s="1"/>
      <c r="IXS235" s="1"/>
      <c r="IXT235" s="1"/>
      <c r="IXU235" s="1"/>
      <c r="IXV235" s="1"/>
      <c r="IXW235" s="1"/>
      <c r="IXX235" s="1"/>
      <c r="IXY235" s="1"/>
      <c r="IXZ235" s="1"/>
      <c r="IYA235" s="1"/>
      <c r="IYB235" s="1"/>
      <c r="IYC235" s="1"/>
      <c r="IYD235" s="1"/>
      <c r="IYE235" s="1"/>
      <c r="IYF235" s="1"/>
      <c r="IYG235" s="1"/>
      <c r="IYH235" s="1"/>
      <c r="IYI235" s="1"/>
      <c r="IYJ235" s="1"/>
      <c r="IYK235" s="1"/>
      <c r="IYL235" s="1"/>
      <c r="IYM235" s="1"/>
      <c r="IYN235" s="1"/>
      <c r="IYO235" s="1"/>
      <c r="IYP235" s="1"/>
      <c r="IYQ235" s="1"/>
      <c r="IYR235" s="1"/>
      <c r="IYS235" s="1"/>
      <c r="IYT235" s="1"/>
      <c r="IYU235" s="1"/>
      <c r="IYV235" s="1"/>
      <c r="IYW235" s="1"/>
      <c r="IYX235" s="1"/>
      <c r="IYY235" s="1"/>
      <c r="IYZ235" s="1"/>
      <c r="IZA235" s="1"/>
      <c r="IZB235" s="1"/>
      <c r="IZC235" s="1"/>
      <c r="IZD235" s="1"/>
      <c r="IZE235" s="1"/>
      <c r="IZF235" s="1"/>
      <c r="IZG235" s="1"/>
      <c r="IZH235" s="1"/>
      <c r="IZI235" s="1"/>
      <c r="IZJ235" s="1"/>
      <c r="IZK235" s="1"/>
      <c r="IZL235" s="1"/>
      <c r="IZM235" s="1"/>
      <c r="IZN235" s="1"/>
      <c r="IZO235" s="1"/>
      <c r="IZP235" s="1"/>
      <c r="IZQ235" s="1"/>
      <c r="IZR235" s="1"/>
      <c r="IZS235" s="1"/>
      <c r="IZT235" s="1"/>
      <c r="IZU235" s="1"/>
      <c r="IZV235" s="1"/>
      <c r="IZW235" s="1"/>
      <c r="IZX235" s="1"/>
      <c r="IZY235" s="1"/>
      <c r="IZZ235" s="1"/>
      <c r="JAA235" s="1"/>
      <c r="JAB235" s="1"/>
      <c r="JAC235" s="1"/>
      <c r="JAD235" s="1"/>
      <c r="JAE235" s="1"/>
      <c r="JAF235" s="1"/>
      <c r="JAG235" s="1"/>
      <c r="JAH235" s="1"/>
      <c r="JAI235" s="1"/>
      <c r="JAJ235" s="1"/>
      <c r="JAK235" s="1"/>
      <c r="JAL235" s="1"/>
      <c r="JAM235" s="1"/>
      <c r="JAN235" s="1"/>
      <c r="JAO235" s="1"/>
      <c r="JAP235" s="1"/>
      <c r="JAQ235" s="1"/>
      <c r="JAR235" s="1"/>
      <c r="JAS235" s="1"/>
      <c r="JAT235" s="1"/>
      <c r="JAU235" s="1"/>
      <c r="JAV235" s="1"/>
      <c r="JAW235" s="1"/>
      <c r="JAX235" s="1"/>
      <c r="JAY235" s="1"/>
      <c r="JAZ235" s="1"/>
      <c r="JBA235" s="1"/>
      <c r="JBB235" s="1"/>
      <c r="JBC235" s="1"/>
      <c r="JBD235" s="1"/>
      <c r="JBE235" s="1"/>
      <c r="JBF235" s="1"/>
      <c r="JBG235" s="1"/>
      <c r="JBH235" s="1"/>
      <c r="JBI235" s="1"/>
      <c r="JBJ235" s="1"/>
      <c r="JBK235" s="1"/>
      <c r="JBL235" s="1"/>
      <c r="JBM235" s="1"/>
      <c r="JBN235" s="1"/>
      <c r="JBO235" s="1"/>
      <c r="JBP235" s="1"/>
      <c r="JBQ235" s="1"/>
      <c r="JBR235" s="1"/>
      <c r="JBS235" s="1"/>
      <c r="JBT235" s="1"/>
      <c r="JBU235" s="1"/>
      <c r="JBV235" s="1"/>
      <c r="JBW235" s="1"/>
      <c r="JBX235" s="1"/>
      <c r="JBY235" s="1"/>
      <c r="JBZ235" s="1"/>
      <c r="JCA235" s="1"/>
      <c r="JCB235" s="1"/>
      <c r="JCC235" s="1"/>
      <c r="JCD235" s="1"/>
      <c r="JCE235" s="1"/>
      <c r="JCF235" s="1"/>
      <c r="JCG235" s="1"/>
      <c r="JCH235" s="1"/>
      <c r="JCI235" s="1"/>
      <c r="JCJ235" s="1"/>
      <c r="JCK235" s="1"/>
      <c r="JCL235" s="1"/>
      <c r="JCM235" s="1"/>
      <c r="JCN235" s="1"/>
      <c r="JCO235" s="1"/>
      <c r="JCP235" s="1"/>
      <c r="JCQ235" s="1"/>
      <c r="JCR235" s="1"/>
      <c r="JCS235" s="1"/>
      <c r="JCT235" s="1"/>
      <c r="JCU235" s="1"/>
      <c r="JCV235" s="1"/>
      <c r="JCW235" s="1"/>
      <c r="JCX235" s="1"/>
      <c r="JCY235" s="1"/>
      <c r="JCZ235" s="1"/>
      <c r="JDA235" s="1"/>
      <c r="JDB235" s="1"/>
      <c r="JDC235" s="1"/>
      <c r="JDD235" s="1"/>
      <c r="JDE235" s="1"/>
      <c r="JDF235" s="1"/>
      <c r="JDG235" s="1"/>
      <c r="JDH235" s="1"/>
      <c r="JDI235" s="1"/>
      <c r="JDJ235" s="1"/>
      <c r="JDK235" s="1"/>
      <c r="JDL235" s="1"/>
      <c r="JDM235" s="1"/>
      <c r="JDN235" s="1"/>
      <c r="JDO235" s="1"/>
      <c r="JDP235" s="1"/>
      <c r="JDQ235" s="1"/>
      <c r="JDR235" s="1"/>
      <c r="JDS235" s="1"/>
      <c r="JDT235" s="1"/>
      <c r="JDU235" s="1"/>
      <c r="JDV235" s="1"/>
      <c r="JDW235" s="1"/>
      <c r="JDX235" s="1"/>
      <c r="JDY235" s="1"/>
      <c r="JDZ235" s="1"/>
      <c r="JEA235" s="1"/>
      <c r="JEB235" s="1"/>
      <c r="JEC235" s="1"/>
      <c r="JED235" s="1"/>
      <c r="JEE235" s="1"/>
      <c r="JEF235" s="1"/>
      <c r="JEG235" s="1"/>
      <c r="JEH235" s="1"/>
      <c r="JEI235" s="1"/>
      <c r="JEJ235" s="1"/>
      <c r="JEK235" s="1"/>
      <c r="JEL235" s="1"/>
      <c r="JEM235" s="1"/>
      <c r="JEN235" s="1"/>
      <c r="JEO235" s="1"/>
      <c r="JEP235" s="1"/>
      <c r="JEQ235" s="1"/>
      <c r="JER235" s="1"/>
      <c r="JES235" s="1"/>
      <c r="JET235" s="1"/>
      <c r="JEU235" s="1"/>
      <c r="JEV235" s="1"/>
      <c r="JEW235" s="1"/>
      <c r="JEX235" s="1"/>
      <c r="JEY235" s="1"/>
      <c r="JEZ235" s="1"/>
      <c r="JFA235" s="1"/>
      <c r="JFB235" s="1"/>
      <c r="JFC235" s="1"/>
      <c r="JFD235" s="1"/>
      <c r="JFE235" s="1"/>
      <c r="JFF235" s="1"/>
      <c r="JFG235" s="1"/>
      <c r="JFH235" s="1"/>
      <c r="JFI235" s="1"/>
      <c r="JFJ235" s="1"/>
      <c r="JFK235" s="1"/>
      <c r="JFL235" s="1"/>
      <c r="JFM235" s="1"/>
      <c r="JFN235" s="1"/>
      <c r="JFO235" s="1"/>
      <c r="JFP235" s="1"/>
      <c r="JFQ235" s="1"/>
      <c r="JFR235" s="1"/>
      <c r="JFS235" s="1"/>
      <c r="JFT235" s="1"/>
      <c r="JFU235" s="1"/>
      <c r="JFV235" s="1"/>
      <c r="JFW235" s="1"/>
      <c r="JFX235" s="1"/>
      <c r="JFY235" s="1"/>
      <c r="JFZ235" s="1"/>
      <c r="JGA235" s="1"/>
      <c r="JGB235" s="1"/>
      <c r="JGC235" s="1"/>
      <c r="JGD235" s="1"/>
      <c r="JGE235" s="1"/>
      <c r="JGF235" s="1"/>
      <c r="JGG235" s="1"/>
      <c r="JGH235" s="1"/>
      <c r="JGI235" s="1"/>
      <c r="JGJ235" s="1"/>
      <c r="JGK235" s="1"/>
      <c r="JGL235" s="1"/>
      <c r="JGM235" s="1"/>
      <c r="JGN235" s="1"/>
      <c r="JGO235" s="1"/>
      <c r="JGP235" s="1"/>
      <c r="JGQ235" s="1"/>
      <c r="JGR235" s="1"/>
      <c r="JGS235" s="1"/>
      <c r="JGT235" s="1"/>
      <c r="JGU235" s="1"/>
      <c r="JGV235" s="1"/>
      <c r="JGW235" s="1"/>
      <c r="JGX235" s="1"/>
      <c r="JGY235" s="1"/>
      <c r="JGZ235" s="1"/>
      <c r="JHA235" s="1"/>
      <c r="JHB235" s="1"/>
      <c r="JHC235" s="1"/>
      <c r="JHD235" s="1"/>
      <c r="JHE235" s="1"/>
      <c r="JHF235" s="1"/>
      <c r="JHG235" s="1"/>
      <c r="JHH235" s="1"/>
      <c r="JHI235" s="1"/>
      <c r="JHJ235" s="1"/>
      <c r="JHK235" s="1"/>
      <c r="JHL235" s="1"/>
      <c r="JHM235" s="1"/>
      <c r="JHN235" s="1"/>
      <c r="JHO235" s="1"/>
      <c r="JHP235" s="1"/>
      <c r="JHQ235" s="1"/>
      <c r="JHR235" s="1"/>
      <c r="JHS235" s="1"/>
      <c r="JHT235" s="1"/>
      <c r="JHU235" s="1"/>
      <c r="JHV235" s="1"/>
      <c r="JHW235" s="1"/>
      <c r="JHX235" s="1"/>
      <c r="JHY235" s="1"/>
      <c r="JHZ235" s="1"/>
      <c r="JIA235" s="1"/>
      <c r="JIB235" s="1"/>
      <c r="JIC235" s="1"/>
      <c r="JID235" s="1"/>
      <c r="JIE235" s="1"/>
      <c r="JIF235" s="1"/>
      <c r="JIG235" s="1"/>
      <c r="JIH235" s="1"/>
      <c r="JII235" s="1"/>
      <c r="JIJ235" s="1"/>
      <c r="JIK235" s="1"/>
      <c r="JIL235" s="1"/>
      <c r="JIM235" s="1"/>
      <c r="JIN235" s="1"/>
      <c r="JIO235" s="1"/>
      <c r="JIP235" s="1"/>
      <c r="JIQ235" s="1"/>
      <c r="JIR235" s="1"/>
      <c r="JIS235" s="1"/>
      <c r="JIT235" s="1"/>
      <c r="JIU235" s="1"/>
      <c r="JIV235" s="1"/>
      <c r="JIW235" s="1"/>
      <c r="JIX235" s="1"/>
      <c r="JIY235" s="1"/>
      <c r="JIZ235" s="1"/>
      <c r="JJA235" s="1"/>
      <c r="JJB235" s="1"/>
      <c r="JJC235" s="1"/>
      <c r="JJD235" s="1"/>
      <c r="JJE235" s="1"/>
      <c r="JJF235" s="1"/>
      <c r="JJG235" s="1"/>
      <c r="JJH235" s="1"/>
      <c r="JJI235" s="1"/>
      <c r="JJJ235" s="1"/>
      <c r="JJK235" s="1"/>
      <c r="JJL235" s="1"/>
      <c r="JJM235" s="1"/>
      <c r="JJN235" s="1"/>
      <c r="JJO235" s="1"/>
      <c r="JJP235" s="1"/>
      <c r="JJQ235" s="1"/>
      <c r="JJR235" s="1"/>
      <c r="JJS235" s="1"/>
      <c r="JJT235" s="1"/>
      <c r="JJU235" s="1"/>
      <c r="JJV235" s="1"/>
      <c r="JJW235" s="1"/>
      <c r="JJX235" s="1"/>
      <c r="JJY235" s="1"/>
      <c r="JJZ235" s="1"/>
      <c r="JKA235" s="1"/>
      <c r="JKB235" s="1"/>
      <c r="JKC235" s="1"/>
      <c r="JKD235" s="1"/>
      <c r="JKE235" s="1"/>
      <c r="JKF235" s="1"/>
      <c r="JKG235" s="1"/>
      <c r="JKH235" s="1"/>
      <c r="JKI235" s="1"/>
      <c r="JKJ235" s="1"/>
      <c r="JKK235" s="1"/>
      <c r="JKL235" s="1"/>
      <c r="JKM235" s="1"/>
      <c r="JKN235" s="1"/>
      <c r="JKO235" s="1"/>
      <c r="JKP235" s="1"/>
      <c r="JKQ235" s="1"/>
      <c r="JKR235" s="1"/>
      <c r="JKS235" s="1"/>
      <c r="JKT235" s="1"/>
      <c r="JKU235" s="1"/>
      <c r="JKV235" s="1"/>
      <c r="JKW235" s="1"/>
      <c r="JKX235" s="1"/>
      <c r="JKY235" s="1"/>
      <c r="JKZ235" s="1"/>
      <c r="JLA235" s="1"/>
      <c r="JLB235" s="1"/>
      <c r="JLC235" s="1"/>
      <c r="JLD235" s="1"/>
      <c r="JLE235" s="1"/>
      <c r="JLF235" s="1"/>
      <c r="JLG235" s="1"/>
      <c r="JLH235" s="1"/>
      <c r="JLI235" s="1"/>
      <c r="JLJ235" s="1"/>
      <c r="JLK235" s="1"/>
      <c r="JLL235" s="1"/>
      <c r="JLM235" s="1"/>
      <c r="JLN235" s="1"/>
      <c r="JLO235" s="1"/>
      <c r="JLP235" s="1"/>
      <c r="JLQ235" s="1"/>
      <c r="JLR235" s="1"/>
      <c r="JLS235" s="1"/>
      <c r="JLT235" s="1"/>
      <c r="JLU235" s="1"/>
      <c r="JLV235" s="1"/>
      <c r="JLW235" s="1"/>
      <c r="JLX235" s="1"/>
      <c r="JLY235" s="1"/>
      <c r="JLZ235" s="1"/>
      <c r="JMA235" s="1"/>
      <c r="JMB235" s="1"/>
      <c r="JMC235" s="1"/>
      <c r="JMD235" s="1"/>
      <c r="JME235" s="1"/>
      <c r="JMF235" s="1"/>
      <c r="JMG235" s="1"/>
      <c r="JMH235" s="1"/>
      <c r="JMI235" s="1"/>
      <c r="JMJ235" s="1"/>
      <c r="JMK235" s="1"/>
      <c r="JML235" s="1"/>
      <c r="JMM235" s="1"/>
      <c r="JMN235" s="1"/>
      <c r="JMO235" s="1"/>
      <c r="JMP235" s="1"/>
      <c r="JMQ235" s="1"/>
      <c r="JMR235" s="1"/>
      <c r="JMS235" s="1"/>
      <c r="JMT235" s="1"/>
      <c r="JMU235" s="1"/>
      <c r="JMV235" s="1"/>
      <c r="JMW235" s="1"/>
      <c r="JMX235" s="1"/>
      <c r="JMY235" s="1"/>
      <c r="JMZ235" s="1"/>
      <c r="JNA235" s="1"/>
      <c r="JNB235" s="1"/>
      <c r="JNC235" s="1"/>
      <c r="JND235" s="1"/>
      <c r="JNE235" s="1"/>
      <c r="JNF235" s="1"/>
      <c r="JNG235" s="1"/>
      <c r="JNH235" s="1"/>
      <c r="JNI235" s="1"/>
      <c r="JNJ235" s="1"/>
      <c r="JNK235" s="1"/>
      <c r="JNL235" s="1"/>
      <c r="JNM235" s="1"/>
      <c r="JNN235" s="1"/>
      <c r="JNO235" s="1"/>
      <c r="JNP235" s="1"/>
      <c r="JNQ235" s="1"/>
      <c r="JNR235" s="1"/>
      <c r="JNS235" s="1"/>
      <c r="JNT235" s="1"/>
      <c r="JNU235" s="1"/>
      <c r="JNV235" s="1"/>
      <c r="JNW235" s="1"/>
      <c r="JNX235" s="1"/>
      <c r="JNY235" s="1"/>
      <c r="JNZ235" s="1"/>
      <c r="JOA235" s="1"/>
      <c r="JOB235" s="1"/>
      <c r="JOC235" s="1"/>
      <c r="JOD235" s="1"/>
      <c r="JOE235" s="1"/>
      <c r="JOF235" s="1"/>
      <c r="JOG235" s="1"/>
      <c r="JOH235" s="1"/>
      <c r="JOI235" s="1"/>
      <c r="JOJ235" s="1"/>
      <c r="JOK235" s="1"/>
      <c r="JOL235" s="1"/>
      <c r="JOM235" s="1"/>
      <c r="JON235" s="1"/>
      <c r="JOO235" s="1"/>
      <c r="JOP235" s="1"/>
      <c r="JOQ235" s="1"/>
      <c r="JOR235" s="1"/>
      <c r="JOS235" s="1"/>
      <c r="JOT235" s="1"/>
      <c r="JOU235" s="1"/>
      <c r="JOV235" s="1"/>
      <c r="JOW235" s="1"/>
      <c r="JOX235" s="1"/>
      <c r="JOY235" s="1"/>
      <c r="JOZ235" s="1"/>
      <c r="JPA235" s="1"/>
      <c r="JPB235" s="1"/>
      <c r="JPC235" s="1"/>
      <c r="JPD235" s="1"/>
      <c r="JPE235" s="1"/>
      <c r="JPF235" s="1"/>
      <c r="JPG235" s="1"/>
      <c r="JPH235" s="1"/>
      <c r="JPI235" s="1"/>
      <c r="JPJ235" s="1"/>
      <c r="JPK235" s="1"/>
      <c r="JPL235" s="1"/>
      <c r="JPM235" s="1"/>
      <c r="JPN235" s="1"/>
      <c r="JPO235" s="1"/>
      <c r="JPP235" s="1"/>
      <c r="JPQ235" s="1"/>
      <c r="JPR235" s="1"/>
      <c r="JPS235" s="1"/>
      <c r="JPT235" s="1"/>
      <c r="JPU235" s="1"/>
      <c r="JPV235" s="1"/>
      <c r="JPW235" s="1"/>
      <c r="JPX235" s="1"/>
      <c r="JPY235" s="1"/>
      <c r="JPZ235" s="1"/>
      <c r="JQA235" s="1"/>
      <c r="JQB235" s="1"/>
      <c r="JQC235" s="1"/>
      <c r="JQD235" s="1"/>
      <c r="JQE235" s="1"/>
      <c r="JQF235" s="1"/>
      <c r="JQG235" s="1"/>
      <c r="JQH235" s="1"/>
      <c r="JQI235" s="1"/>
      <c r="JQJ235" s="1"/>
      <c r="JQK235" s="1"/>
      <c r="JQL235" s="1"/>
      <c r="JQM235" s="1"/>
      <c r="JQN235" s="1"/>
      <c r="JQO235" s="1"/>
      <c r="JQP235" s="1"/>
      <c r="JQQ235" s="1"/>
      <c r="JQR235" s="1"/>
      <c r="JQS235" s="1"/>
      <c r="JQT235" s="1"/>
      <c r="JQU235" s="1"/>
      <c r="JQV235" s="1"/>
      <c r="JQW235" s="1"/>
      <c r="JQX235" s="1"/>
      <c r="JQY235" s="1"/>
      <c r="JQZ235" s="1"/>
      <c r="JRA235" s="1"/>
      <c r="JRB235" s="1"/>
      <c r="JRC235" s="1"/>
      <c r="JRD235" s="1"/>
      <c r="JRE235" s="1"/>
      <c r="JRF235" s="1"/>
      <c r="JRG235" s="1"/>
      <c r="JRH235" s="1"/>
      <c r="JRI235" s="1"/>
      <c r="JRJ235" s="1"/>
      <c r="JRK235" s="1"/>
      <c r="JRL235" s="1"/>
      <c r="JRM235" s="1"/>
      <c r="JRN235" s="1"/>
      <c r="JRO235" s="1"/>
      <c r="JRP235" s="1"/>
      <c r="JRQ235" s="1"/>
      <c r="JRR235" s="1"/>
      <c r="JRS235" s="1"/>
      <c r="JRT235" s="1"/>
      <c r="JRU235" s="1"/>
      <c r="JRV235" s="1"/>
      <c r="JRW235" s="1"/>
      <c r="JRX235" s="1"/>
      <c r="JRY235" s="1"/>
      <c r="JRZ235" s="1"/>
      <c r="JSA235" s="1"/>
      <c r="JSB235" s="1"/>
      <c r="JSC235" s="1"/>
      <c r="JSD235" s="1"/>
      <c r="JSE235" s="1"/>
      <c r="JSF235" s="1"/>
      <c r="JSG235" s="1"/>
      <c r="JSH235" s="1"/>
      <c r="JSI235" s="1"/>
      <c r="JSJ235" s="1"/>
      <c r="JSK235" s="1"/>
      <c r="JSL235" s="1"/>
      <c r="JSM235" s="1"/>
      <c r="JSN235" s="1"/>
      <c r="JSO235" s="1"/>
      <c r="JSP235" s="1"/>
      <c r="JSQ235" s="1"/>
      <c r="JSR235" s="1"/>
      <c r="JSS235" s="1"/>
      <c r="JST235" s="1"/>
      <c r="JSU235" s="1"/>
      <c r="JSV235" s="1"/>
      <c r="JSW235" s="1"/>
      <c r="JSX235" s="1"/>
      <c r="JSY235" s="1"/>
      <c r="JSZ235" s="1"/>
      <c r="JTA235" s="1"/>
      <c r="JTB235" s="1"/>
      <c r="JTC235" s="1"/>
      <c r="JTD235" s="1"/>
      <c r="JTE235" s="1"/>
      <c r="JTF235" s="1"/>
      <c r="JTG235" s="1"/>
      <c r="JTH235" s="1"/>
      <c r="JTI235" s="1"/>
      <c r="JTJ235" s="1"/>
      <c r="JTK235" s="1"/>
      <c r="JTL235" s="1"/>
      <c r="JTM235" s="1"/>
      <c r="JTN235" s="1"/>
      <c r="JTO235" s="1"/>
      <c r="JTP235" s="1"/>
      <c r="JTQ235" s="1"/>
      <c r="JTR235" s="1"/>
      <c r="JTS235" s="1"/>
      <c r="JTT235" s="1"/>
      <c r="JTU235" s="1"/>
      <c r="JTV235" s="1"/>
      <c r="JTW235" s="1"/>
      <c r="JTX235" s="1"/>
      <c r="JTY235" s="1"/>
      <c r="JTZ235" s="1"/>
      <c r="JUA235" s="1"/>
      <c r="JUB235" s="1"/>
      <c r="JUC235" s="1"/>
      <c r="JUD235" s="1"/>
      <c r="JUE235" s="1"/>
      <c r="JUF235" s="1"/>
      <c r="JUG235" s="1"/>
      <c r="JUH235" s="1"/>
      <c r="JUI235" s="1"/>
      <c r="JUJ235" s="1"/>
      <c r="JUK235" s="1"/>
      <c r="JUL235" s="1"/>
      <c r="JUM235" s="1"/>
      <c r="JUN235" s="1"/>
      <c r="JUO235" s="1"/>
      <c r="JUP235" s="1"/>
      <c r="JUQ235" s="1"/>
      <c r="JUR235" s="1"/>
      <c r="JUS235" s="1"/>
      <c r="JUT235" s="1"/>
      <c r="JUU235" s="1"/>
      <c r="JUV235" s="1"/>
      <c r="JUW235" s="1"/>
      <c r="JUX235" s="1"/>
      <c r="JUY235" s="1"/>
      <c r="JUZ235" s="1"/>
      <c r="JVA235" s="1"/>
      <c r="JVB235" s="1"/>
      <c r="JVC235" s="1"/>
      <c r="JVD235" s="1"/>
      <c r="JVE235" s="1"/>
      <c r="JVF235" s="1"/>
      <c r="JVG235" s="1"/>
      <c r="JVH235" s="1"/>
      <c r="JVI235" s="1"/>
      <c r="JVJ235" s="1"/>
      <c r="JVK235" s="1"/>
      <c r="JVL235" s="1"/>
      <c r="JVM235" s="1"/>
      <c r="JVN235" s="1"/>
      <c r="JVO235" s="1"/>
      <c r="JVP235" s="1"/>
      <c r="JVQ235" s="1"/>
      <c r="JVR235" s="1"/>
      <c r="JVS235" s="1"/>
      <c r="JVT235" s="1"/>
      <c r="JVU235" s="1"/>
      <c r="JVV235" s="1"/>
      <c r="JVW235" s="1"/>
      <c r="JVX235" s="1"/>
      <c r="JVY235" s="1"/>
      <c r="JVZ235" s="1"/>
      <c r="JWA235" s="1"/>
      <c r="JWB235" s="1"/>
      <c r="JWC235" s="1"/>
      <c r="JWD235" s="1"/>
      <c r="JWE235" s="1"/>
      <c r="JWF235" s="1"/>
      <c r="JWG235" s="1"/>
      <c r="JWH235" s="1"/>
      <c r="JWI235" s="1"/>
      <c r="JWJ235" s="1"/>
      <c r="JWK235" s="1"/>
      <c r="JWL235" s="1"/>
      <c r="JWM235" s="1"/>
      <c r="JWN235" s="1"/>
      <c r="JWO235" s="1"/>
      <c r="JWP235" s="1"/>
      <c r="JWQ235" s="1"/>
      <c r="JWR235" s="1"/>
      <c r="JWS235" s="1"/>
      <c r="JWT235" s="1"/>
      <c r="JWU235" s="1"/>
      <c r="JWV235" s="1"/>
      <c r="JWW235" s="1"/>
      <c r="JWX235" s="1"/>
      <c r="JWY235" s="1"/>
      <c r="JWZ235" s="1"/>
      <c r="JXA235" s="1"/>
      <c r="JXB235" s="1"/>
      <c r="JXC235" s="1"/>
      <c r="JXD235" s="1"/>
      <c r="JXE235" s="1"/>
      <c r="JXF235" s="1"/>
      <c r="JXG235" s="1"/>
      <c r="JXH235" s="1"/>
      <c r="JXI235" s="1"/>
      <c r="JXJ235" s="1"/>
      <c r="JXK235" s="1"/>
      <c r="JXL235" s="1"/>
      <c r="JXM235" s="1"/>
      <c r="JXN235" s="1"/>
      <c r="JXO235" s="1"/>
      <c r="JXP235" s="1"/>
      <c r="JXQ235" s="1"/>
      <c r="JXR235" s="1"/>
      <c r="JXS235" s="1"/>
      <c r="JXT235" s="1"/>
      <c r="JXU235" s="1"/>
      <c r="JXV235" s="1"/>
      <c r="JXW235" s="1"/>
      <c r="JXX235" s="1"/>
      <c r="JXY235" s="1"/>
      <c r="JXZ235" s="1"/>
      <c r="JYA235" s="1"/>
      <c r="JYB235" s="1"/>
      <c r="JYC235" s="1"/>
      <c r="JYD235" s="1"/>
      <c r="JYE235" s="1"/>
      <c r="JYF235" s="1"/>
      <c r="JYG235" s="1"/>
      <c r="JYH235" s="1"/>
      <c r="JYI235" s="1"/>
      <c r="JYJ235" s="1"/>
      <c r="JYK235" s="1"/>
      <c r="JYL235" s="1"/>
      <c r="JYM235" s="1"/>
      <c r="JYN235" s="1"/>
      <c r="JYO235" s="1"/>
      <c r="JYP235" s="1"/>
      <c r="JYQ235" s="1"/>
      <c r="JYR235" s="1"/>
      <c r="JYS235" s="1"/>
      <c r="JYT235" s="1"/>
      <c r="JYU235" s="1"/>
      <c r="JYV235" s="1"/>
      <c r="JYW235" s="1"/>
      <c r="JYX235" s="1"/>
      <c r="JYY235" s="1"/>
      <c r="JYZ235" s="1"/>
      <c r="JZA235" s="1"/>
      <c r="JZB235" s="1"/>
      <c r="JZC235" s="1"/>
      <c r="JZD235" s="1"/>
      <c r="JZE235" s="1"/>
      <c r="JZF235" s="1"/>
      <c r="JZG235" s="1"/>
      <c r="JZH235" s="1"/>
      <c r="JZI235" s="1"/>
      <c r="JZJ235" s="1"/>
      <c r="JZK235" s="1"/>
      <c r="JZL235" s="1"/>
      <c r="JZM235" s="1"/>
      <c r="JZN235" s="1"/>
      <c r="JZO235" s="1"/>
      <c r="JZP235" s="1"/>
      <c r="JZQ235" s="1"/>
      <c r="JZR235" s="1"/>
      <c r="JZS235" s="1"/>
      <c r="JZT235" s="1"/>
      <c r="JZU235" s="1"/>
      <c r="JZV235" s="1"/>
      <c r="JZW235" s="1"/>
      <c r="JZX235" s="1"/>
      <c r="JZY235" s="1"/>
      <c r="JZZ235" s="1"/>
      <c r="KAA235" s="1"/>
      <c r="KAB235" s="1"/>
      <c r="KAC235" s="1"/>
      <c r="KAD235" s="1"/>
      <c r="KAE235" s="1"/>
      <c r="KAF235" s="1"/>
      <c r="KAG235" s="1"/>
      <c r="KAH235" s="1"/>
      <c r="KAI235" s="1"/>
      <c r="KAJ235" s="1"/>
      <c r="KAK235" s="1"/>
      <c r="KAL235" s="1"/>
      <c r="KAM235" s="1"/>
      <c r="KAN235" s="1"/>
      <c r="KAO235" s="1"/>
      <c r="KAP235" s="1"/>
      <c r="KAQ235" s="1"/>
      <c r="KAR235" s="1"/>
      <c r="KAS235" s="1"/>
      <c r="KAT235" s="1"/>
      <c r="KAU235" s="1"/>
      <c r="KAV235" s="1"/>
      <c r="KAW235" s="1"/>
      <c r="KAX235" s="1"/>
      <c r="KAY235" s="1"/>
      <c r="KAZ235" s="1"/>
      <c r="KBA235" s="1"/>
      <c r="KBB235" s="1"/>
      <c r="KBC235" s="1"/>
      <c r="KBD235" s="1"/>
      <c r="KBE235" s="1"/>
      <c r="KBF235" s="1"/>
      <c r="KBG235" s="1"/>
      <c r="KBH235" s="1"/>
      <c r="KBI235" s="1"/>
      <c r="KBJ235" s="1"/>
      <c r="KBK235" s="1"/>
      <c r="KBL235" s="1"/>
      <c r="KBM235" s="1"/>
      <c r="KBN235" s="1"/>
      <c r="KBO235" s="1"/>
      <c r="KBP235" s="1"/>
      <c r="KBQ235" s="1"/>
      <c r="KBR235" s="1"/>
      <c r="KBS235" s="1"/>
      <c r="KBT235" s="1"/>
      <c r="KBU235" s="1"/>
      <c r="KBV235" s="1"/>
      <c r="KBW235" s="1"/>
      <c r="KBX235" s="1"/>
      <c r="KBY235" s="1"/>
      <c r="KBZ235" s="1"/>
      <c r="KCA235" s="1"/>
      <c r="KCB235" s="1"/>
      <c r="KCC235" s="1"/>
      <c r="KCD235" s="1"/>
      <c r="KCE235" s="1"/>
      <c r="KCF235" s="1"/>
      <c r="KCG235" s="1"/>
      <c r="KCH235" s="1"/>
      <c r="KCI235" s="1"/>
      <c r="KCJ235" s="1"/>
      <c r="KCK235" s="1"/>
      <c r="KCL235" s="1"/>
      <c r="KCM235" s="1"/>
      <c r="KCN235" s="1"/>
      <c r="KCO235" s="1"/>
      <c r="KCP235" s="1"/>
      <c r="KCQ235" s="1"/>
      <c r="KCR235" s="1"/>
      <c r="KCS235" s="1"/>
      <c r="KCT235" s="1"/>
      <c r="KCU235" s="1"/>
      <c r="KCV235" s="1"/>
      <c r="KCW235" s="1"/>
      <c r="KCX235" s="1"/>
      <c r="KCY235" s="1"/>
      <c r="KCZ235" s="1"/>
      <c r="KDA235" s="1"/>
      <c r="KDB235" s="1"/>
      <c r="KDC235" s="1"/>
      <c r="KDD235" s="1"/>
      <c r="KDE235" s="1"/>
      <c r="KDF235" s="1"/>
      <c r="KDG235" s="1"/>
      <c r="KDH235" s="1"/>
      <c r="KDI235" s="1"/>
      <c r="KDJ235" s="1"/>
      <c r="KDK235" s="1"/>
      <c r="KDL235" s="1"/>
      <c r="KDM235" s="1"/>
      <c r="KDN235" s="1"/>
      <c r="KDO235" s="1"/>
      <c r="KDP235" s="1"/>
      <c r="KDQ235" s="1"/>
      <c r="KDR235" s="1"/>
      <c r="KDS235" s="1"/>
      <c r="KDT235" s="1"/>
      <c r="KDU235" s="1"/>
      <c r="KDV235" s="1"/>
      <c r="KDW235" s="1"/>
      <c r="KDX235" s="1"/>
      <c r="KDY235" s="1"/>
      <c r="KDZ235" s="1"/>
      <c r="KEA235" s="1"/>
      <c r="KEB235" s="1"/>
      <c r="KEC235" s="1"/>
      <c r="KED235" s="1"/>
      <c r="KEE235" s="1"/>
      <c r="KEF235" s="1"/>
      <c r="KEG235" s="1"/>
      <c r="KEH235" s="1"/>
      <c r="KEI235" s="1"/>
      <c r="KEJ235" s="1"/>
      <c r="KEK235" s="1"/>
      <c r="KEL235" s="1"/>
      <c r="KEM235" s="1"/>
      <c r="KEN235" s="1"/>
      <c r="KEO235" s="1"/>
      <c r="KEP235" s="1"/>
      <c r="KEQ235" s="1"/>
      <c r="KER235" s="1"/>
      <c r="KES235" s="1"/>
      <c r="KET235" s="1"/>
      <c r="KEU235" s="1"/>
      <c r="KEV235" s="1"/>
      <c r="KEW235" s="1"/>
      <c r="KEX235" s="1"/>
      <c r="KEY235" s="1"/>
      <c r="KEZ235" s="1"/>
      <c r="KFA235" s="1"/>
      <c r="KFB235" s="1"/>
      <c r="KFC235" s="1"/>
      <c r="KFD235" s="1"/>
      <c r="KFE235" s="1"/>
      <c r="KFF235" s="1"/>
      <c r="KFG235" s="1"/>
      <c r="KFH235" s="1"/>
      <c r="KFI235" s="1"/>
      <c r="KFJ235" s="1"/>
      <c r="KFK235" s="1"/>
      <c r="KFL235" s="1"/>
      <c r="KFM235" s="1"/>
      <c r="KFN235" s="1"/>
      <c r="KFO235" s="1"/>
      <c r="KFP235" s="1"/>
      <c r="KFQ235" s="1"/>
      <c r="KFR235" s="1"/>
      <c r="KFS235" s="1"/>
      <c r="KFT235" s="1"/>
      <c r="KFU235" s="1"/>
      <c r="KFV235" s="1"/>
      <c r="KFW235" s="1"/>
      <c r="KFX235" s="1"/>
      <c r="KFY235" s="1"/>
      <c r="KFZ235" s="1"/>
      <c r="KGA235" s="1"/>
      <c r="KGB235" s="1"/>
      <c r="KGC235" s="1"/>
      <c r="KGD235" s="1"/>
      <c r="KGE235" s="1"/>
      <c r="KGF235" s="1"/>
      <c r="KGG235" s="1"/>
      <c r="KGH235" s="1"/>
      <c r="KGI235" s="1"/>
      <c r="KGJ235" s="1"/>
      <c r="KGK235" s="1"/>
      <c r="KGL235" s="1"/>
      <c r="KGM235" s="1"/>
      <c r="KGN235" s="1"/>
      <c r="KGO235" s="1"/>
      <c r="KGP235" s="1"/>
      <c r="KGQ235" s="1"/>
      <c r="KGR235" s="1"/>
      <c r="KGS235" s="1"/>
      <c r="KGT235" s="1"/>
      <c r="KGU235" s="1"/>
      <c r="KGV235" s="1"/>
      <c r="KGW235" s="1"/>
      <c r="KGX235" s="1"/>
      <c r="KGY235" s="1"/>
      <c r="KGZ235" s="1"/>
      <c r="KHA235" s="1"/>
      <c r="KHB235" s="1"/>
      <c r="KHC235" s="1"/>
      <c r="KHD235" s="1"/>
      <c r="KHE235" s="1"/>
      <c r="KHF235" s="1"/>
      <c r="KHG235" s="1"/>
      <c r="KHH235" s="1"/>
      <c r="KHI235" s="1"/>
      <c r="KHJ235" s="1"/>
      <c r="KHK235" s="1"/>
      <c r="KHL235" s="1"/>
      <c r="KHM235" s="1"/>
      <c r="KHN235" s="1"/>
      <c r="KHO235" s="1"/>
      <c r="KHP235" s="1"/>
      <c r="KHQ235" s="1"/>
      <c r="KHR235" s="1"/>
      <c r="KHS235" s="1"/>
      <c r="KHT235" s="1"/>
      <c r="KHU235" s="1"/>
      <c r="KHV235" s="1"/>
      <c r="KHW235" s="1"/>
      <c r="KHX235" s="1"/>
      <c r="KHY235" s="1"/>
      <c r="KHZ235" s="1"/>
      <c r="KIA235" s="1"/>
      <c r="KIB235" s="1"/>
      <c r="KIC235" s="1"/>
      <c r="KID235" s="1"/>
      <c r="KIE235" s="1"/>
      <c r="KIF235" s="1"/>
      <c r="KIG235" s="1"/>
      <c r="KIH235" s="1"/>
      <c r="KII235" s="1"/>
      <c r="KIJ235" s="1"/>
      <c r="KIK235" s="1"/>
      <c r="KIL235" s="1"/>
      <c r="KIM235" s="1"/>
      <c r="KIN235" s="1"/>
      <c r="KIO235" s="1"/>
      <c r="KIP235" s="1"/>
      <c r="KIQ235" s="1"/>
      <c r="KIR235" s="1"/>
      <c r="KIS235" s="1"/>
      <c r="KIT235" s="1"/>
      <c r="KIU235" s="1"/>
      <c r="KIV235" s="1"/>
      <c r="KIW235" s="1"/>
      <c r="KIX235" s="1"/>
      <c r="KIY235" s="1"/>
      <c r="KIZ235" s="1"/>
      <c r="KJA235" s="1"/>
      <c r="KJB235" s="1"/>
      <c r="KJC235" s="1"/>
      <c r="KJD235" s="1"/>
      <c r="KJE235" s="1"/>
      <c r="KJF235" s="1"/>
      <c r="KJG235" s="1"/>
      <c r="KJH235" s="1"/>
      <c r="KJI235" s="1"/>
      <c r="KJJ235" s="1"/>
      <c r="KJK235" s="1"/>
      <c r="KJL235" s="1"/>
      <c r="KJM235" s="1"/>
      <c r="KJN235" s="1"/>
      <c r="KJO235" s="1"/>
      <c r="KJP235" s="1"/>
      <c r="KJQ235" s="1"/>
      <c r="KJR235" s="1"/>
      <c r="KJS235" s="1"/>
      <c r="KJT235" s="1"/>
      <c r="KJU235" s="1"/>
      <c r="KJV235" s="1"/>
      <c r="KJW235" s="1"/>
      <c r="KJX235" s="1"/>
      <c r="KJY235" s="1"/>
      <c r="KJZ235" s="1"/>
      <c r="KKA235" s="1"/>
      <c r="KKB235" s="1"/>
      <c r="KKC235" s="1"/>
      <c r="KKD235" s="1"/>
      <c r="KKE235" s="1"/>
      <c r="KKF235" s="1"/>
      <c r="KKG235" s="1"/>
      <c r="KKH235" s="1"/>
      <c r="KKI235" s="1"/>
      <c r="KKJ235" s="1"/>
      <c r="KKK235" s="1"/>
      <c r="KKL235" s="1"/>
      <c r="KKM235" s="1"/>
      <c r="KKN235" s="1"/>
      <c r="KKO235" s="1"/>
      <c r="KKP235" s="1"/>
      <c r="KKQ235" s="1"/>
      <c r="KKR235" s="1"/>
      <c r="KKS235" s="1"/>
      <c r="KKT235" s="1"/>
      <c r="KKU235" s="1"/>
      <c r="KKV235" s="1"/>
      <c r="KKW235" s="1"/>
      <c r="KKX235" s="1"/>
      <c r="KKY235" s="1"/>
      <c r="KKZ235" s="1"/>
      <c r="KLA235" s="1"/>
      <c r="KLB235" s="1"/>
      <c r="KLC235" s="1"/>
      <c r="KLD235" s="1"/>
      <c r="KLE235" s="1"/>
      <c r="KLF235" s="1"/>
      <c r="KLG235" s="1"/>
      <c r="KLH235" s="1"/>
      <c r="KLI235" s="1"/>
      <c r="KLJ235" s="1"/>
      <c r="KLK235" s="1"/>
      <c r="KLL235" s="1"/>
      <c r="KLM235" s="1"/>
      <c r="KLN235" s="1"/>
      <c r="KLO235" s="1"/>
      <c r="KLP235" s="1"/>
      <c r="KLQ235" s="1"/>
      <c r="KLR235" s="1"/>
      <c r="KLS235" s="1"/>
      <c r="KLT235" s="1"/>
      <c r="KLU235" s="1"/>
      <c r="KLV235" s="1"/>
      <c r="KLW235" s="1"/>
      <c r="KLX235" s="1"/>
      <c r="KLY235" s="1"/>
      <c r="KLZ235" s="1"/>
      <c r="KMA235" s="1"/>
      <c r="KMB235" s="1"/>
      <c r="KMC235" s="1"/>
      <c r="KMD235" s="1"/>
      <c r="KME235" s="1"/>
      <c r="KMF235" s="1"/>
      <c r="KMG235" s="1"/>
      <c r="KMH235" s="1"/>
      <c r="KMI235" s="1"/>
      <c r="KMJ235" s="1"/>
      <c r="KMK235" s="1"/>
      <c r="KML235" s="1"/>
      <c r="KMM235" s="1"/>
      <c r="KMN235" s="1"/>
      <c r="KMO235" s="1"/>
      <c r="KMP235" s="1"/>
      <c r="KMQ235" s="1"/>
      <c r="KMR235" s="1"/>
      <c r="KMS235" s="1"/>
      <c r="KMT235" s="1"/>
      <c r="KMU235" s="1"/>
      <c r="KMV235" s="1"/>
      <c r="KMW235" s="1"/>
      <c r="KMX235" s="1"/>
      <c r="KMY235" s="1"/>
      <c r="KMZ235" s="1"/>
      <c r="KNA235" s="1"/>
      <c r="KNB235" s="1"/>
      <c r="KNC235" s="1"/>
      <c r="KND235" s="1"/>
      <c r="KNE235" s="1"/>
      <c r="KNF235" s="1"/>
      <c r="KNG235" s="1"/>
      <c r="KNH235" s="1"/>
      <c r="KNI235" s="1"/>
      <c r="KNJ235" s="1"/>
      <c r="KNK235" s="1"/>
      <c r="KNL235" s="1"/>
      <c r="KNM235" s="1"/>
      <c r="KNN235" s="1"/>
      <c r="KNO235" s="1"/>
      <c r="KNP235" s="1"/>
      <c r="KNQ235" s="1"/>
      <c r="KNR235" s="1"/>
      <c r="KNS235" s="1"/>
      <c r="KNT235" s="1"/>
      <c r="KNU235" s="1"/>
      <c r="KNV235" s="1"/>
      <c r="KNW235" s="1"/>
      <c r="KNX235" s="1"/>
      <c r="KNY235" s="1"/>
      <c r="KNZ235" s="1"/>
      <c r="KOA235" s="1"/>
      <c r="KOB235" s="1"/>
      <c r="KOC235" s="1"/>
      <c r="KOD235" s="1"/>
      <c r="KOE235" s="1"/>
      <c r="KOF235" s="1"/>
      <c r="KOG235" s="1"/>
      <c r="KOH235" s="1"/>
      <c r="KOI235" s="1"/>
      <c r="KOJ235" s="1"/>
      <c r="KOK235" s="1"/>
      <c r="KOL235" s="1"/>
      <c r="KOM235" s="1"/>
      <c r="KON235" s="1"/>
      <c r="KOO235" s="1"/>
      <c r="KOP235" s="1"/>
      <c r="KOQ235" s="1"/>
      <c r="KOR235" s="1"/>
      <c r="KOS235" s="1"/>
      <c r="KOT235" s="1"/>
      <c r="KOU235" s="1"/>
      <c r="KOV235" s="1"/>
      <c r="KOW235" s="1"/>
      <c r="KOX235" s="1"/>
      <c r="KOY235" s="1"/>
      <c r="KOZ235" s="1"/>
      <c r="KPA235" s="1"/>
      <c r="KPB235" s="1"/>
      <c r="KPC235" s="1"/>
      <c r="KPD235" s="1"/>
      <c r="KPE235" s="1"/>
      <c r="KPF235" s="1"/>
      <c r="KPG235" s="1"/>
      <c r="KPH235" s="1"/>
      <c r="KPI235" s="1"/>
      <c r="KPJ235" s="1"/>
      <c r="KPK235" s="1"/>
      <c r="KPL235" s="1"/>
      <c r="KPM235" s="1"/>
      <c r="KPN235" s="1"/>
      <c r="KPO235" s="1"/>
      <c r="KPP235" s="1"/>
      <c r="KPQ235" s="1"/>
      <c r="KPR235" s="1"/>
      <c r="KPS235" s="1"/>
      <c r="KPT235" s="1"/>
      <c r="KPU235" s="1"/>
      <c r="KPV235" s="1"/>
      <c r="KPW235" s="1"/>
      <c r="KPX235" s="1"/>
      <c r="KPY235" s="1"/>
      <c r="KPZ235" s="1"/>
      <c r="KQA235" s="1"/>
      <c r="KQB235" s="1"/>
      <c r="KQC235" s="1"/>
      <c r="KQD235" s="1"/>
      <c r="KQE235" s="1"/>
      <c r="KQF235" s="1"/>
      <c r="KQG235" s="1"/>
      <c r="KQH235" s="1"/>
      <c r="KQI235" s="1"/>
      <c r="KQJ235" s="1"/>
      <c r="KQK235" s="1"/>
      <c r="KQL235" s="1"/>
      <c r="KQM235" s="1"/>
      <c r="KQN235" s="1"/>
      <c r="KQO235" s="1"/>
      <c r="KQP235" s="1"/>
      <c r="KQQ235" s="1"/>
      <c r="KQR235" s="1"/>
      <c r="KQS235" s="1"/>
      <c r="KQT235" s="1"/>
      <c r="KQU235" s="1"/>
      <c r="KQV235" s="1"/>
      <c r="KQW235" s="1"/>
      <c r="KQX235" s="1"/>
      <c r="KQY235" s="1"/>
      <c r="KQZ235" s="1"/>
      <c r="KRA235" s="1"/>
      <c r="KRB235" s="1"/>
      <c r="KRC235" s="1"/>
      <c r="KRD235" s="1"/>
      <c r="KRE235" s="1"/>
      <c r="KRF235" s="1"/>
      <c r="KRG235" s="1"/>
      <c r="KRH235" s="1"/>
      <c r="KRI235" s="1"/>
      <c r="KRJ235" s="1"/>
      <c r="KRK235" s="1"/>
      <c r="KRL235" s="1"/>
      <c r="KRM235" s="1"/>
      <c r="KRN235" s="1"/>
      <c r="KRO235" s="1"/>
      <c r="KRP235" s="1"/>
      <c r="KRQ235" s="1"/>
      <c r="KRR235" s="1"/>
      <c r="KRS235" s="1"/>
      <c r="KRT235" s="1"/>
      <c r="KRU235" s="1"/>
      <c r="KRV235" s="1"/>
      <c r="KRW235" s="1"/>
      <c r="KRX235" s="1"/>
      <c r="KRY235" s="1"/>
      <c r="KRZ235" s="1"/>
      <c r="KSA235" s="1"/>
      <c r="KSB235" s="1"/>
      <c r="KSC235" s="1"/>
      <c r="KSD235" s="1"/>
      <c r="KSE235" s="1"/>
      <c r="KSF235" s="1"/>
      <c r="KSG235" s="1"/>
      <c r="KSH235" s="1"/>
      <c r="KSI235" s="1"/>
      <c r="KSJ235" s="1"/>
      <c r="KSK235" s="1"/>
      <c r="KSL235" s="1"/>
      <c r="KSM235" s="1"/>
      <c r="KSN235" s="1"/>
      <c r="KSO235" s="1"/>
      <c r="KSP235" s="1"/>
      <c r="KSQ235" s="1"/>
      <c r="KSR235" s="1"/>
      <c r="KSS235" s="1"/>
      <c r="KST235" s="1"/>
      <c r="KSU235" s="1"/>
      <c r="KSV235" s="1"/>
      <c r="KSW235" s="1"/>
      <c r="KSX235" s="1"/>
      <c r="KSY235" s="1"/>
      <c r="KSZ235" s="1"/>
      <c r="KTA235" s="1"/>
      <c r="KTB235" s="1"/>
      <c r="KTC235" s="1"/>
      <c r="KTD235" s="1"/>
      <c r="KTE235" s="1"/>
      <c r="KTF235" s="1"/>
      <c r="KTG235" s="1"/>
      <c r="KTH235" s="1"/>
      <c r="KTI235" s="1"/>
      <c r="KTJ235" s="1"/>
      <c r="KTK235" s="1"/>
      <c r="KTL235" s="1"/>
      <c r="KTM235" s="1"/>
      <c r="KTN235" s="1"/>
      <c r="KTO235" s="1"/>
      <c r="KTP235" s="1"/>
      <c r="KTQ235" s="1"/>
      <c r="KTR235" s="1"/>
      <c r="KTS235" s="1"/>
      <c r="KTT235" s="1"/>
      <c r="KTU235" s="1"/>
      <c r="KTV235" s="1"/>
      <c r="KTW235" s="1"/>
      <c r="KTX235" s="1"/>
      <c r="KTY235" s="1"/>
      <c r="KTZ235" s="1"/>
      <c r="KUA235" s="1"/>
      <c r="KUB235" s="1"/>
      <c r="KUC235" s="1"/>
      <c r="KUD235" s="1"/>
      <c r="KUE235" s="1"/>
      <c r="KUF235" s="1"/>
      <c r="KUG235" s="1"/>
      <c r="KUH235" s="1"/>
      <c r="KUI235" s="1"/>
      <c r="KUJ235" s="1"/>
      <c r="KUK235" s="1"/>
      <c r="KUL235" s="1"/>
      <c r="KUM235" s="1"/>
      <c r="KUN235" s="1"/>
      <c r="KUO235" s="1"/>
      <c r="KUP235" s="1"/>
      <c r="KUQ235" s="1"/>
      <c r="KUR235" s="1"/>
      <c r="KUS235" s="1"/>
      <c r="KUT235" s="1"/>
      <c r="KUU235" s="1"/>
      <c r="KUV235" s="1"/>
      <c r="KUW235" s="1"/>
      <c r="KUX235" s="1"/>
      <c r="KUY235" s="1"/>
      <c r="KUZ235" s="1"/>
      <c r="KVA235" s="1"/>
      <c r="KVB235" s="1"/>
      <c r="KVC235" s="1"/>
      <c r="KVD235" s="1"/>
      <c r="KVE235" s="1"/>
      <c r="KVF235" s="1"/>
      <c r="KVG235" s="1"/>
      <c r="KVH235" s="1"/>
      <c r="KVI235" s="1"/>
      <c r="KVJ235" s="1"/>
      <c r="KVK235" s="1"/>
      <c r="KVL235" s="1"/>
      <c r="KVM235" s="1"/>
      <c r="KVN235" s="1"/>
      <c r="KVO235" s="1"/>
      <c r="KVP235" s="1"/>
      <c r="KVQ235" s="1"/>
      <c r="KVR235" s="1"/>
      <c r="KVS235" s="1"/>
      <c r="KVT235" s="1"/>
      <c r="KVU235" s="1"/>
      <c r="KVV235" s="1"/>
      <c r="KVW235" s="1"/>
      <c r="KVX235" s="1"/>
      <c r="KVY235" s="1"/>
      <c r="KVZ235" s="1"/>
      <c r="KWA235" s="1"/>
      <c r="KWB235" s="1"/>
      <c r="KWC235" s="1"/>
      <c r="KWD235" s="1"/>
      <c r="KWE235" s="1"/>
      <c r="KWF235" s="1"/>
      <c r="KWG235" s="1"/>
      <c r="KWH235" s="1"/>
      <c r="KWI235" s="1"/>
      <c r="KWJ235" s="1"/>
      <c r="KWK235" s="1"/>
      <c r="KWL235" s="1"/>
      <c r="KWM235" s="1"/>
      <c r="KWN235" s="1"/>
      <c r="KWO235" s="1"/>
      <c r="KWP235" s="1"/>
      <c r="KWQ235" s="1"/>
      <c r="KWR235" s="1"/>
      <c r="KWS235" s="1"/>
      <c r="KWT235" s="1"/>
      <c r="KWU235" s="1"/>
      <c r="KWV235" s="1"/>
      <c r="KWW235" s="1"/>
      <c r="KWX235" s="1"/>
      <c r="KWY235" s="1"/>
      <c r="KWZ235" s="1"/>
      <c r="KXA235" s="1"/>
      <c r="KXB235" s="1"/>
      <c r="KXC235" s="1"/>
      <c r="KXD235" s="1"/>
      <c r="KXE235" s="1"/>
      <c r="KXF235" s="1"/>
      <c r="KXG235" s="1"/>
      <c r="KXH235" s="1"/>
      <c r="KXI235" s="1"/>
      <c r="KXJ235" s="1"/>
      <c r="KXK235" s="1"/>
      <c r="KXL235" s="1"/>
      <c r="KXM235" s="1"/>
      <c r="KXN235" s="1"/>
      <c r="KXO235" s="1"/>
      <c r="KXP235" s="1"/>
      <c r="KXQ235" s="1"/>
      <c r="KXR235" s="1"/>
      <c r="KXS235" s="1"/>
      <c r="KXT235" s="1"/>
      <c r="KXU235" s="1"/>
      <c r="KXV235" s="1"/>
      <c r="KXW235" s="1"/>
      <c r="KXX235" s="1"/>
      <c r="KXY235" s="1"/>
      <c r="KXZ235" s="1"/>
      <c r="KYA235" s="1"/>
      <c r="KYB235" s="1"/>
      <c r="KYC235" s="1"/>
      <c r="KYD235" s="1"/>
      <c r="KYE235" s="1"/>
      <c r="KYF235" s="1"/>
      <c r="KYG235" s="1"/>
      <c r="KYH235" s="1"/>
      <c r="KYI235" s="1"/>
      <c r="KYJ235" s="1"/>
      <c r="KYK235" s="1"/>
      <c r="KYL235" s="1"/>
      <c r="KYM235" s="1"/>
      <c r="KYN235" s="1"/>
      <c r="KYO235" s="1"/>
      <c r="KYP235" s="1"/>
      <c r="KYQ235" s="1"/>
      <c r="KYR235" s="1"/>
      <c r="KYS235" s="1"/>
      <c r="KYT235" s="1"/>
      <c r="KYU235" s="1"/>
      <c r="KYV235" s="1"/>
      <c r="KYW235" s="1"/>
      <c r="KYX235" s="1"/>
      <c r="KYY235" s="1"/>
      <c r="KYZ235" s="1"/>
      <c r="KZA235" s="1"/>
      <c r="KZB235" s="1"/>
      <c r="KZC235" s="1"/>
      <c r="KZD235" s="1"/>
      <c r="KZE235" s="1"/>
      <c r="KZF235" s="1"/>
      <c r="KZG235" s="1"/>
      <c r="KZH235" s="1"/>
      <c r="KZI235" s="1"/>
      <c r="KZJ235" s="1"/>
      <c r="KZK235" s="1"/>
      <c r="KZL235" s="1"/>
      <c r="KZM235" s="1"/>
      <c r="KZN235" s="1"/>
      <c r="KZO235" s="1"/>
      <c r="KZP235" s="1"/>
      <c r="KZQ235" s="1"/>
      <c r="KZR235" s="1"/>
      <c r="KZS235" s="1"/>
      <c r="KZT235" s="1"/>
      <c r="KZU235" s="1"/>
      <c r="KZV235" s="1"/>
      <c r="KZW235" s="1"/>
      <c r="KZX235" s="1"/>
      <c r="KZY235" s="1"/>
      <c r="KZZ235" s="1"/>
      <c r="LAA235" s="1"/>
      <c r="LAB235" s="1"/>
      <c r="LAC235" s="1"/>
      <c r="LAD235" s="1"/>
      <c r="LAE235" s="1"/>
      <c r="LAF235" s="1"/>
      <c r="LAG235" s="1"/>
      <c r="LAH235" s="1"/>
      <c r="LAI235" s="1"/>
      <c r="LAJ235" s="1"/>
      <c r="LAK235" s="1"/>
      <c r="LAL235" s="1"/>
      <c r="LAM235" s="1"/>
      <c r="LAN235" s="1"/>
      <c r="LAO235" s="1"/>
      <c r="LAP235" s="1"/>
      <c r="LAQ235" s="1"/>
      <c r="LAR235" s="1"/>
      <c r="LAS235" s="1"/>
      <c r="LAT235" s="1"/>
      <c r="LAU235" s="1"/>
      <c r="LAV235" s="1"/>
      <c r="LAW235" s="1"/>
      <c r="LAX235" s="1"/>
      <c r="LAY235" s="1"/>
      <c r="LAZ235" s="1"/>
      <c r="LBA235" s="1"/>
      <c r="LBB235" s="1"/>
      <c r="LBC235" s="1"/>
      <c r="LBD235" s="1"/>
      <c r="LBE235" s="1"/>
      <c r="LBF235" s="1"/>
      <c r="LBG235" s="1"/>
      <c r="LBH235" s="1"/>
      <c r="LBI235" s="1"/>
      <c r="LBJ235" s="1"/>
      <c r="LBK235" s="1"/>
      <c r="LBL235" s="1"/>
      <c r="LBM235" s="1"/>
      <c r="LBN235" s="1"/>
      <c r="LBO235" s="1"/>
      <c r="LBP235" s="1"/>
      <c r="LBQ235" s="1"/>
      <c r="LBR235" s="1"/>
      <c r="LBS235" s="1"/>
      <c r="LBT235" s="1"/>
      <c r="LBU235" s="1"/>
      <c r="LBV235" s="1"/>
      <c r="LBW235" s="1"/>
      <c r="LBX235" s="1"/>
      <c r="LBY235" s="1"/>
      <c r="LBZ235" s="1"/>
      <c r="LCA235" s="1"/>
      <c r="LCB235" s="1"/>
      <c r="LCC235" s="1"/>
      <c r="LCD235" s="1"/>
      <c r="LCE235" s="1"/>
      <c r="LCF235" s="1"/>
      <c r="LCG235" s="1"/>
      <c r="LCH235" s="1"/>
      <c r="LCI235" s="1"/>
      <c r="LCJ235" s="1"/>
      <c r="LCK235" s="1"/>
      <c r="LCL235" s="1"/>
      <c r="LCM235" s="1"/>
      <c r="LCN235" s="1"/>
      <c r="LCO235" s="1"/>
      <c r="LCP235" s="1"/>
      <c r="LCQ235" s="1"/>
      <c r="LCR235" s="1"/>
      <c r="LCS235" s="1"/>
      <c r="LCT235" s="1"/>
      <c r="LCU235" s="1"/>
      <c r="LCV235" s="1"/>
      <c r="LCW235" s="1"/>
      <c r="LCX235" s="1"/>
      <c r="LCY235" s="1"/>
      <c r="LCZ235" s="1"/>
      <c r="LDA235" s="1"/>
      <c r="LDB235" s="1"/>
      <c r="LDC235" s="1"/>
      <c r="LDD235" s="1"/>
      <c r="LDE235" s="1"/>
      <c r="LDF235" s="1"/>
      <c r="LDG235" s="1"/>
      <c r="LDH235" s="1"/>
      <c r="LDI235" s="1"/>
      <c r="LDJ235" s="1"/>
      <c r="LDK235" s="1"/>
      <c r="LDL235" s="1"/>
      <c r="LDM235" s="1"/>
      <c r="LDN235" s="1"/>
      <c r="LDO235" s="1"/>
      <c r="LDP235" s="1"/>
      <c r="LDQ235" s="1"/>
      <c r="LDR235" s="1"/>
      <c r="LDS235" s="1"/>
      <c r="LDT235" s="1"/>
      <c r="LDU235" s="1"/>
      <c r="LDV235" s="1"/>
      <c r="LDW235" s="1"/>
      <c r="LDX235" s="1"/>
      <c r="LDY235" s="1"/>
      <c r="LDZ235" s="1"/>
      <c r="LEA235" s="1"/>
      <c r="LEB235" s="1"/>
      <c r="LEC235" s="1"/>
      <c r="LED235" s="1"/>
      <c r="LEE235" s="1"/>
      <c r="LEF235" s="1"/>
      <c r="LEG235" s="1"/>
      <c r="LEH235" s="1"/>
      <c r="LEI235" s="1"/>
      <c r="LEJ235" s="1"/>
      <c r="LEK235" s="1"/>
      <c r="LEL235" s="1"/>
      <c r="LEM235" s="1"/>
      <c r="LEN235" s="1"/>
      <c r="LEO235" s="1"/>
      <c r="LEP235" s="1"/>
      <c r="LEQ235" s="1"/>
      <c r="LER235" s="1"/>
      <c r="LES235" s="1"/>
      <c r="LET235" s="1"/>
      <c r="LEU235" s="1"/>
      <c r="LEV235" s="1"/>
      <c r="LEW235" s="1"/>
      <c r="LEX235" s="1"/>
      <c r="LEY235" s="1"/>
      <c r="LEZ235" s="1"/>
      <c r="LFA235" s="1"/>
      <c r="LFB235" s="1"/>
      <c r="LFC235" s="1"/>
      <c r="LFD235" s="1"/>
      <c r="LFE235" s="1"/>
      <c r="LFF235" s="1"/>
      <c r="LFG235" s="1"/>
      <c r="LFH235" s="1"/>
      <c r="LFI235" s="1"/>
      <c r="LFJ235" s="1"/>
      <c r="LFK235" s="1"/>
      <c r="LFL235" s="1"/>
      <c r="LFM235" s="1"/>
      <c r="LFN235" s="1"/>
      <c r="LFO235" s="1"/>
      <c r="LFP235" s="1"/>
      <c r="LFQ235" s="1"/>
      <c r="LFR235" s="1"/>
      <c r="LFS235" s="1"/>
      <c r="LFT235" s="1"/>
      <c r="LFU235" s="1"/>
      <c r="LFV235" s="1"/>
      <c r="LFW235" s="1"/>
      <c r="LFX235" s="1"/>
      <c r="LFY235" s="1"/>
      <c r="LFZ235" s="1"/>
      <c r="LGA235" s="1"/>
      <c r="LGB235" s="1"/>
      <c r="LGC235" s="1"/>
      <c r="LGD235" s="1"/>
      <c r="LGE235" s="1"/>
      <c r="LGF235" s="1"/>
      <c r="LGG235" s="1"/>
      <c r="LGH235" s="1"/>
      <c r="LGI235" s="1"/>
      <c r="LGJ235" s="1"/>
      <c r="LGK235" s="1"/>
      <c r="LGL235" s="1"/>
      <c r="LGM235" s="1"/>
      <c r="LGN235" s="1"/>
      <c r="LGO235" s="1"/>
      <c r="LGP235" s="1"/>
      <c r="LGQ235" s="1"/>
      <c r="LGR235" s="1"/>
      <c r="LGS235" s="1"/>
      <c r="LGT235" s="1"/>
      <c r="LGU235" s="1"/>
      <c r="LGV235" s="1"/>
      <c r="LGW235" s="1"/>
      <c r="LGX235" s="1"/>
      <c r="LGY235" s="1"/>
      <c r="LGZ235" s="1"/>
      <c r="LHA235" s="1"/>
      <c r="LHB235" s="1"/>
      <c r="LHC235" s="1"/>
      <c r="LHD235" s="1"/>
      <c r="LHE235" s="1"/>
      <c r="LHF235" s="1"/>
      <c r="LHG235" s="1"/>
      <c r="LHH235" s="1"/>
      <c r="LHI235" s="1"/>
      <c r="LHJ235" s="1"/>
      <c r="LHK235" s="1"/>
      <c r="LHL235" s="1"/>
      <c r="LHM235" s="1"/>
      <c r="LHN235" s="1"/>
      <c r="LHO235" s="1"/>
      <c r="LHP235" s="1"/>
      <c r="LHQ235" s="1"/>
      <c r="LHR235" s="1"/>
      <c r="LHS235" s="1"/>
      <c r="LHT235" s="1"/>
      <c r="LHU235" s="1"/>
      <c r="LHV235" s="1"/>
      <c r="LHW235" s="1"/>
      <c r="LHX235" s="1"/>
      <c r="LHY235" s="1"/>
      <c r="LHZ235" s="1"/>
      <c r="LIA235" s="1"/>
      <c r="LIB235" s="1"/>
      <c r="LIC235" s="1"/>
      <c r="LID235" s="1"/>
      <c r="LIE235" s="1"/>
      <c r="LIF235" s="1"/>
      <c r="LIG235" s="1"/>
      <c r="LIH235" s="1"/>
      <c r="LII235" s="1"/>
      <c r="LIJ235" s="1"/>
      <c r="LIK235" s="1"/>
      <c r="LIL235" s="1"/>
      <c r="LIM235" s="1"/>
      <c r="LIN235" s="1"/>
      <c r="LIO235" s="1"/>
      <c r="LIP235" s="1"/>
      <c r="LIQ235" s="1"/>
      <c r="LIR235" s="1"/>
      <c r="LIS235" s="1"/>
      <c r="LIT235" s="1"/>
      <c r="LIU235" s="1"/>
      <c r="LIV235" s="1"/>
      <c r="LIW235" s="1"/>
      <c r="LIX235" s="1"/>
      <c r="LIY235" s="1"/>
      <c r="LIZ235" s="1"/>
      <c r="LJA235" s="1"/>
      <c r="LJB235" s="1"/>
      <c r="LJC235" s="1"/>
      <c r="LJD235" s="1"/>
      <c r="LJE235" s="1"/>
      <c r="LJF235" s="1"/>
      <c r="LJG235" s="1"/>
      <c r="LJH235" s="1"/>
      <c r="LJI235" s="1"/>
      <c r="LJJ235" s="1"/>
      <c r="LJK235" s="1"/>
      <c r="LJL235" s="1"/>
      <c r="LJM235" s="1"/>
      <c r="LJN235" s="1"/>
      <c r="LJO235" s="1"/>
      <c r="LJP235" s="1"/>
      <c r="LJQ235" s="1"/>
      <c r="LJR235" s="1"/>
      <c r="LJS235" s="1"/>
      <c r="LJT235" s="1"/>
      <c r="LJU235" s="1"/>
      <c r="LJV235" s="1"/>
      <c r="LJW235" s="1"/>
      <c r="LJX235" s="1"/>
      <c r="LJY235" s="1"/>
      <c r="LJZ235" s="1"/>
      <c r="LKA235" s="1"/>
      <c r="LKB235" s="1"/>
      <c r="LKC235" s="1"/>
      <c r="LKD235" s="1"/>
      <c r="LKE235" s="1"/>
      <c r="LKF235" s="1"/>
      <c r="LKG235" s="1"/>
      <c r="LKH235" s="1"/>
      <c r="LKI235" s="1"/>
      <c r="LKJ235" s="1"/>
      <c r="LKK235" s="1"/>
      <c r="LKL235" s="1"/>
      <c r="LKM235" s="1"/>
      <c r="LKN235" s="1"/>
      <c r="LKO235" s="1"/>
      <c r="LKP235" s="1"/>
      <c r="LKQ235" s="1"/>
      <c r="LKR235" s="1"/>
      <c r="LKS235" s="1"/>
      <c r="LKT235" s="1"/>
      <c r="LKU235" s="1"/>
      <c r="LKV235" s="1"/>
      <c r="LKW235" s="1"/>
      <c r="LKX235" s="1"/>
      <c r="LKY235" s="1"/>
      <c r="LKZ235" s="1"/>
      <c r="LLA235" s="1"/>
      <c r="LLB235" s="1"/>
      <c r="LLC235" s="1"/>
      <c r="LLD235" s="1"/>
      <c r="LLE235" s="1"/>
      <c r="LLF235" s="1"/>
      <c r="LLG235" s="1"/>
      <c r="LLH235" s="1"/>
      <c r="LLI235" s="1"/>
      <c r="LLJ235" s="1"/>
      <c r="LLK235" s="1"/>
      <c r="LLL235" s="1"/>
      <c r="LLM235" s="1"/>
      <c r="LLN235" s="1"/>
      <c r="LLO235" s="1"/>
      <c r="LLP235" s="1"/>
      <c r="LLQ235" s="1"/>
      <c r="LLR235" s="1"/>
      <c r="LLS235" s="1"/>
      <c r="LLT235" s="1"/>
      <c r="LLU235" s="1"/>
      <c r="LLV235" s="1"/>
      <c r="LLW235" s="1"/>
      <c r="LLX235" s="1"/>
      <c r="LLY235" s="1"/>
      <c r="LLZ235" s="1"/>
      <c r="LMA235" s="1"/>
      <c r="LMB235" s="1"/>
      <c r="LMC235" s="1"/>
      <c r="LMD235" s="1"/>
      <c r="LME235" s="1"/>
      <c r="LMF235" s="1"/>
      <c r="LMG235" s="1"/>
      <c r="LMH235" s="1"/>
      <c r="LMI235" s="1"/>
      <c r="LMJ235" s="1"/>
      <c r="LMK235" s="1"/>
      <c r="LML235" s="1"/>
      <c r="LMM235" s="1"/>
      <c r="LMN235" s="1"/>
      <c r="LMO235" s="1"/>
      <c r="LMP235" s="1"/>
      <c r="LMQ235" s="1"/>
      <c r="LMR235" s="1"/>
      <c r="LMS235" s="1"/>
      <c r="LMT235" s="1"/>
      <c r="LMU235" s="1"/>
      <c r="LMV235" s="1"/>
      <c r="LMW235" s="1"/>
      <c r="LMX235" s="1"/>
      <c r="LMY235" s="1"/>
      <c r="LMZ235" s="1"/>
      <c r="LNA235" s="1"/>
      <c r="LNB235" s="1"/>
      <c r="LNC235" s="1"/>
      <c r="LND235" s="1"/>
      <c r="LNE235" s="1"/>
      <c r="LNF235" s="1"/>
      <c r="LNG235" s="1"/>
      <c r="LNH235" s="1"/>
      <c r="LNI235" s="1"/>
      <c r="LNJ235" s="1"/>
      <c r="LNK235" s="1"/>
      <c r="LNL235" s="1"/>
      <c r="LNM235" s="1"/>
      <c r="LNN235" s="1"/>
      <c r="LNO235" s="1"/>
      <c r="LNP235" s="1"/>
      <c r="LNQ235" s="1"/>
      <c r="LNR235" s="1"/>
      <c r="LNS235" s="1"/>
      <c r="LNT235" s="1"/>
      <c r="LNU235" s="1"/>
      <c r="LNV235" s="1"/>
      <c r="LNW235" s="1"/>
      <c r="LNX235" s="1"/>
      <c r="LNY235" s="1"/>
      <c r="LNZ235" s="1"/>
      <c r="LOA235" s="1"/>
      <c r="LOB235" s="1"/>
      <c r="LOC235" s="1"/>
      <c r="LOD235" s="1"/>
      <c r="LOE235" s="1"/>
      <c r="LOF235" s="1"/>
      <c r="LOG235" s="1"/>
      <c r="LOH235" s="1"/>
      <c r="LOI235" s="1"/>
      <c r="LOJ235" s="1"/>
      <c r="LOK235" s="1"/>
      <c r="LOL235" s="1"/>
      <c r="LOM235" s="1"/>
      <c r="LON235" s="1"/>
      <c r="LOO235" s="1"/>
      <c r="LOP235" s="1"/>
      <c r="LOQ235" s="1"/>
      <c r="LOR235" s="1"/>
      <c r="LOS235" s="1"/>
      <c r="LOT235" s="1"/>
      <c r="LOU235" s="1"/>
      <c r="LOV235" s="1"/>
      <c r="LOW235" s="1"/>
      <c r="LOX235" s="1"/>
      <c r="LOY235" s="1"/>
      <c r="LOZ235" s="1"/>
      <c r="LPA235" s="1"/>
      <c r="LPB235" s="1"/>
      <c r="LPC235" s="1"/>
      <c r="LPD235" s="1"/>
      <c r="LPE235" s="1"/>
      <c r="LPF235" s="1"/>
      <c r="LPG235" s="1"/>
      <c r="LPH235" s="1"/>
      <c r="LPI235" s="1"/>
      <c r="LPJ235" s="1"/>
      <c r="LPK235" s="1"/>
      <c r="LPL235" s="1"/>
      <c r="LPM235" s="1"/>
      <c r="LPN235" s="1"/>
      <c r="LPO235" s="1"/>
      <c r="LPP235" s="1"/>
      <c r="LPQ235" s="1"/>
      <c r="LPR235" s="1"/>
      <c r="LPS235" s="1"/>
      <c r="LPT235" s="1"/>
      <c r="LPU235" s="1"/>
      <c r="LPV235" s="1"/>
      <c r="LPW235" s="1"/>
      <c r="LPX235" s="1"/>
      <c r="LPY235" s="1"/>
      <c r="LPZ235" s="1"/>
      <c r="LQA235" s="1"/>
      <c r="LQB235" s="1"/>
      <c r="LQC235" s="1"/>
      <c r="LQD235" s="1"/>
      <c r="LQE235" s="1"/>
      <c r="LQF235" s="1"/>
      <c r="LQG235" s="1"/>
      <c r="LQH235" s="1"/>
      <c r="LQI235" s="1"/>
      <c r="LQJ235" s="1"/>
      <c r="LQK235" s="1"/>
      <c r="LQL235" s="1"/>
      <c r="LQM235" s="1"/>
      <c r="LQN235" s="1"/>
      <c r="LQO235" s="1"/>
      <c r="LQP235" s="1"/>
      <c r="LQQ235" s="1"/>
      <c r="LQR235" s="1"/>
      <c r="LQS235" s="1"/>
      <c r="LQT235" s="1"/>
      <c r="LQU235" s="1"/>
      <c r="LQV235" s="1"/>
      <c r="LQW235" s="1"/>
      <c r="LQX235" s="1"/>
      <c r="LQY235" s="1"/>
      <c r="LQZ235" s="1"/>
      <c r="LRA235" s="1"/>
      <c r="LRB235" s="1"/>
      <c r="LRC235" s="1"/>
      <c r="LRD235" s="1"/>
      <c r="LRE235" s="1"/>
      <c r="LRF235" s="1"/>
      <c r="LRG235" s="1"/>
      <c r="LRH235" s="1"/>
      <c r="LRI235" s="1"/>
      <c r="LRJ235" s="1"/>
      <c r="LRK235" s="1"/>
      <c r="LRL235" s="1"/>
      <c r="LRM235" s="1"/>
      <c r="LRN235" s="1"/>
      <c r="LRO235" s="1"/>
      <c r="LRP235" s="1"/>
      <c r="LRQ235" s="1"/>
      <c r="LRR235" s="1"/>
      <c r="LRS235" s="1"/>
      <c r="LRT235" s="1"/>
      <c r="LRU235" s="1"/>
      <c r="LRV235" s="1"/>
      <c r="LRW235" s="1"/>
      <c r="LRX235" s="1"/>
      <c r="LRY235" s="1"/>
      <c r="LRZ235" s="1"/>
      <c r="LSA235" s="1"/>
      <c r="LSB235" s="1"/>
      <c r="LSC235" s="1"/>
      <c r="LSD235" s="1"/>
      <c r="LSE235" s="1"/>
      <c r="LSF235" s="1"/>
      <c r="LSG235" s="1"/>
      <c r="LSH235" s="1"/>
      <c r="LSI235" s="1"/>
      <c r="LSJ235" s="1"/>
      <c r="LSK235" s="1"/>
      <c r="LSL235" s="1"/>
      <c r="LSM235" s="1"/>
      <c r="LSN235" s="1"/>
      <c r="LSO235" s="1"/>
      <c r="LSP235" s="1"/>
      <c r="LSQ235" s="1"/>
      <c r="LSR235" s="1"/>
      <c r="LSS235" s="1"/>
      <c r="LST235" s="1"/>
      <c r="LSU235" s="1"/>
      <c r="LSV235" s="1"/>
      <c r="LSW235" s="1"/>
      <c r="LSX235" s="1"/>
      <c r="LSY235" s="1"/>
      <c r="LSZ235" s="1"/>
      <c r="LTA235" s="1"/>
      <c r="LTB235" s="1"/>
      <c r="LTC235" s="1"/>
      <c r="LTD235" s="1"/>
      <c r="LTE235" s="1"/>
      <c r="LTF235" s="1"/>
      <c r="LTG235" s="1"/>
      <c r="LTH235" s="1"/>
      <c r="LTI235" s="1"/>
      <c r="LTJ235" s="1"/>
      <c r="LTK235" s="1"/>
      <c r="LTL235" s="1"/>
      <c r="LTM235" s="1"/>
      <c r="LTN235" s="1"/>
      <c r="LTO235" s="1"/>
      <c r="LTP235" s="1"/>
      <c r="LTQ235" s="1"/>
      <c r="LTR235" s="1"/>
      <c r="LTS235" s="1"/>
      <c r="LTT235" s="1"/>
      <c r="LTU235" s="1"/>
      <c r="LTV235" s="1"/>
      <c r="LTW235" s="1"/>
      <c r="LTX235" s="1"/>
      <c r="LTY235" s="1"/>
      <c r="LTZ235" s="1"/>
      <c r="LUA235" s="1"/>
      <c r="LUB235" s="1"/>
      <c r="LUC235" s="1"/>
      <c r="LUD235" s="1"/>
      <c r="LUE235" s="1"/>
      <c r="LUF235" s="1"/>
      <c r="LUG235" s="1"/>
      <c r="LUH235" s="1"/>
      <c r="LUI235" s="1"/>
      <c r="LUJ235" s="1"/>
      <c r="LUK235" s="1"/>
      <c r="LUL235" s="1"/>
      <c r="LUM235" s="1"/>
      <c r="LUN235" s="1"/>
      <c r="LUO235" s="1"/>
      <c r="LUP235" s="1"/>
      <c r="LUQ235" s="1"/>
      <c r="LUR235" s="1"/>
      <c r="LUS235" s="1"/>
      <c r="LUT235" s="1"/>
      <c r="LUU235" s="1"/>
      <c r="LUV235" s="1"/>
      <c r="LUW235" s="1"/>
      <c r="LUX235" s="1"/>
      <c r="LUY235" s="1"/>
      <c r="LUZ235" s="1"/>
      <c r="LVA235" s="1"/>
      <c r="LVB235" s="1"/>
      <c r="LVC235" s="1"/>
      <c r="LVD235" s="1"/>
      <c r="LVE235" s="1"/>
      <c r="LVF235" s="1"/>
      <c r="LVG235" s="1"/>
      <c r="LVH235" s="1"/>
      <c r="LVI235" s="1"/>
      <c r="LVJ235" s="1"/>
      <c r="LVK235" s="1"/>
      <c r="LVL235" s="1"/>
      <c r="LVM235" s="1"/>
      <c r="LVN235" s="1"/>
      <c r="LVO235" s="1"/>
      <c r="LVP235" s="1"/>
      <c r="LVQ235" s="1"/>
      <c r="LVR235" s="1"/>
      <c r="LVS235" s="1"/>
      <c r="LVT235" s="1"/>
      <c r="LVU235" s="1"/>
      <c r="LVV235" s="1"/>
      <c r="LVW235" s="1"/>
      <c r="LVX235" s="1"/>
      <c r="LVY235" s="1"/>
      <c r="LVZ235" s="1"/>
      <c r="LWA235" s="1"/>
      <c r="LWB235" s="1"/>
      <c r="LWC235" s="1"/>
      <c r="LWD235" s="1"/>
      <c r="LWE235" s="1"/>
      <c r="LWF235" s="1"/>
      <c r="LWG235" s="1"/>
      <c r="LWH235" s="1"/>
      <c r="LWI235" s="1"/>
      <c r="LWJ235" s="1"/>
      <c r="LWK235" s="1"/>
      <c r="LWL235" s="1"/>
      <c r="LWM235" s="1"/>
      <c r="LWN235" s="1"/>
      <c r="LWO235" s="1"/>
      <c r="LWP235" s="1"/>
      <c r="LWQ235" s="1"/>
      <c r="LWR235" s="1"/>
      <c r="LWS235" s="1"/>
      <c r="LWT235" s="1"/>
      <c r="LWU235" s="1"/>
      <c r="LWV235" s="1"/>
      <c r="LWW235" s="1"/>
      <c r="LWX235" s="1"/>
      <c r="LWY235" s="1"/>
      <c r="LWZ235" s="1"/>
      <c r="LXA235" s="1"/>
      <c r="LXB235" s="1"/>
      <c r="LXC235" s="1"/>
      <c r="LXD235" s="1"/>
      <c r="LXE235" s="1"/>
      <c r="LXF235" s="1"/>
      <c r="LXG235" s="1"/>
      <c r="LXH235" s="1"/>
      <c r="LXI235" s="1"/>
      <c r="LXJ235" s="1"/>
      <c r="LXK235" s="1"/>
      <c r="LXL235" s="1"/>
      <c r="LXM235" s="1"/>
      <c r="LXN235" s="1"/>
      <c r="LXO235" s="1"/>
      <c r="LXP235" s="1"/>
      <c r="LXQ235" s="1"/>
      <c r="LXR235" s="1"/>
      <c r="LXS235" s="1"/>
      <c r="LXT235" s="1"/>
      <c r="LXU235" s="1"/>
      <c r="LXV235" s="1"/>
      <c r="LXW235" s="1"/>
      <c r="LXX235" s="1"/>
      <c r="LXY235" s="1"/>
      <c r="LXZ235" s="1"/>
      <c r="LYA235" s="1"/>
      <c r="LYB235" s="1"/>
      <c r="LYC235" s="1"/>
      <c r="LYD235" s="1"/>
      <c r="LYE235" s="1"/>
      <c r="LYF235" s="1"/>
      <c r="LYG235" s="1"/>
      <c r="LYH235" s="1"/>
      <c r="LYI235" s="1"/>
      <c r="LYJ235" s="1"/>
      <c r="LYK235" s="1"/>
      <c r="LYL235" s="1"/>
      <c r="LYM235" s="1"/>
      <c r="LYN235" s="1"/>
      <c r="LYO235" s="1"/>
      <c r="LYP235" s="1"/>
      <c r="LYQ235" s="1"/>
      <c r="LYR235" s="1"/>
      <c r="LYS235" s="1"/>
      <c r="LYT235" s="1"/>
      <c r="LYU235" s="1"/>
      <c r="LYV235" s="1"/>
      <c r="LYW235" s="1"/>
      <c r="LYX235" s="1"/>
      <c r="LYY235" s="1"/>
      <c r="LYZ235" s="1"/>
      <c r="LZA235" s="1"/>
      <c r="LZB235" s="1"/>
      <c r="LZC235" s="1"/>
      <c r="LZD235" s="1"/>
      <c r="LZE235" s="1"/>
      <c r="LZF235" s="1"/>
      <c r="LZG235" s="1"/>
      <c r="LZH235" s="1"/>
      <c r="LZI235" s="1"/>
      <c r="LZJ235" s="1"/>
      <c r="LZK235" s="1"/>
      <c r="LZL235" s="1"/>
      <c r="LZM235" s="1"/>
      <c r="LZN235" s="1"/>
      <c r="LZO235" s="1"/>
      <c r="LZP235" s="1"/>
      <c r="LZQ235" s="1"/>
      <c r="LZR235" s="1"/>
      <c r="LZS235" s="1"/>
      <c r="LZT235" s="1"/>
      <c r="LZU235" s="1"/>
      <c r="LZV235" s="1"/>
      <c r="LZW235" s="1"/>
      <c r="LZX235" s="1"/>
      <c r="LZY235" s="1"/>
      <c r="LZZ235" s="1"/>
      <c r="MAA235" s="1"/>
      <c r="MAB235" s="1"/>
      <c r="MAC235" s="1"/>
      <c r="MAD235" s="1"/>
      <c r="MAE235" s="1"/>
      <c r="MAF235" s="1"/>
      <c r="MAG235" s="1"/>
      <c r="MAH235" s="1"/>
      <c r="MAI235" s="1"/>
      <c r="MAJ235" s="1"/>
      <c r="MAK235" s="1"/>
      <c r="MAL235" s="1"/>
      <c r="MAM235" s="1"/>
      <c r="MAN235" s="1"/>
      <c r="MAO235" s="1"/>
      <c r="MAP235" s="1"/>
      <c r="MAQ235" s="1"/>
      <c r="MAR235" s="1"/>
      <c r="MAS235" s="1"/>
      <c r="MAT235" s="1"/>
      <c r="MAU235" s="1"/>
      <c r="MAV235" s="1"/>
      <c r="MAW235" s="1"/>
      <c r="MAX235" s="1"/>
      <c r="MAY235" s="1"/>
      <c r="MAZ235" s="1"/>
      <c r="MBA235" s="1"/>
      <c r="MBB235" s="1"/>
      <c r="MBC235" s="1"/>
      <c r="MBD235" s="1"/>
      <c r="MBE235" s="1"/>
      <c r="MBF235" s="1"/>
      <c r="MBG235" s="1"/>
      <c r="MBH235" s="1"/>
      <c r="MBI235" s="1"/>
      <c r="MBJ235" s="1"/>
      <c r="MBK235" s="1"/>
      <c r="MBL235" s="1"/>
      <c r="MBM235" s="1"/>
      <c r="MBN235" s="1"/>
      <c r="MBO235" s="1"/>
      <c r="MBP235" s="1"/>
      <c r="MBQ235" s="1"/>
      <c r="MBR235" s="1"/>
      <c r="MBS235" s="1"/>
      <c r="MBT235" s="1"/>
      <c r="MBU235" s="1"/>
      <c r="MBV235" s="1"/>
      <c r="MBW235" s="1"/>
      <c r="MBX235" s="1"/>
      <c r="MBY235" s="1"/>
      <c r="MBZ235" s="1"/>
      <c r="MCA235" s="1"/>
      <c r="MCB235" s="1"/>
      <c r="MCC235" s="1"/>
      <c r="MCD235" s="1"/>
      <c r="MCE235" s="1"/>
      <c r="MCF235" s="1"/>
      <c r="MCG235" s="1"/>
      <c r="MCH235" s="1"/>
      <c r="MCI235" s="1"/>
      <c r="MCJ235" s="1"/>
      <c r="MCK235" s="1"/>
      <c r="MCL235" s="1"/>
      <c r="MCM235" s="1"/>
      <c r="MCN235" s="1"/>
      <c r="MCO235" s="1"/>
      <c r="MCP235" s="1"/>
      <c r="MCQ235" s="1"/>
      <c r="MCR235" s="1"/>
      <c r="MCS235" s="1"/>
      <c r="MCT235" s="1"/>
      <c r="MCU235" s="1"/>
      <c r="MCV235" s="1"/>
      <c r="MCW235" s="1"/>
      <c r="MCX235" s="1"/>
      <c r="MCY235" s="1"/>
      <c r="MCZ235" s="1"/>
      <c r="MDA235" s="1"/>
      <c r="MDB235" s="1"/>
      <c r="MDC235" s="1"/>
      <c r="MDD235" s="1"/>
      <c r="MDE235" s="1"/>
      <c r="MDF235" s="1"/>
      <c r="MDG235" s="1"/>
      <c r="MDH235" s="1"/>
      <c r="MDI235" s="1"/>
      <c r="MDJ235" s="1"/>
      <c r="MDK235" s="1"/>
      <c r="MDL235" s="1"/>
      <c r="MDM235" s="1"/>
      <c r="MDN235" s="1"/>
      <c r="MDO235" s="1"/>
      <c r="MDP235" s="1"/>
      <c r="MDQ235" s="1"/>
      <c r="MDR235" s="1"/>
      <c r="MDS235" s="1"/>
      <c r="MDT235" s="1"/>
      <c r="MDU235" s="1"/>
      <c r="MDV235" s="1"/>
      <c r="MDW235" s="1"/>
      <c r="MDX235" s="1"/>
      <c r="MDY235" s="1"/>
      <c r="MDZ235" s="1"/>
      <c r="MEA235" s="1"/>
      <c r="MEB235" s="1"/>
      <c r="MEC235" s="1"/>
      <c r="MED235" s="1"/>
      <c r="MEE235" s="1"/>
      <c r="MEF235" s="1"/>
      <c r="MEG235" s="1"/>
      <c r="MEH235" s="1"/>
      <c r="MEI235" s="1"/>
      <c r="MEJ235" s="1"/>
      <c r="MEK235" s="1"/>
      <c r="MEL235" s="1"/>
      <c r="MEM235" s="1"/>
      <c r="MEN235" s="1"/>
      <c r="MEO235" s="1"/>
      <c r="MEP235" s="1"/>
      <c r="MEQ235" s="1"/>
      <c r="MER235" s="1"/>
      <c r="MES235" s="1"/>
      <c r="MET235" s="1"/>
      <c r="MEU235" s="1"/>
      <c r="MEV235" s="1"/>
      <c r="MEW235" s="1"/>
      <c r="MEX235" s="1"/>
      <c r="MEY235" s="1"/>
      <c r="MEZ235" s="1"/>
      <c r="MFA235" s="1"/>
      <c r="MFB235" s="1"/>
      <c r="MFC235" s="1"/>
      <c r="MFD235" s="1"/>
      <c r="MFE235" s="1"/>
      <c r="MFF235" s="1"/>
      <c r="MFG235" s="1"/>
      <c r="MFH235" s="1"/>
      <c r="MFI235" s="1"/>
      <c r="MFJ235" s="1"/>
      <c r="MFK235" s="1"/>
      <c r="MFL235" s="1"/>
      <c r="MFM235" s="1"/>
      <c r="MFN235" s="1"/>
      <c r="MFO235" s="1"/>
      <c r="MFP235" s="1"/>
      <c r="MFQ235" s="1"/>
      <c r="MFR235" s="1"/>
      <c r="MFS235" s="1"/>
      <c r="MFT235" s="1"/>
      <c r="MFU235" s="1"/>
      <c r="MFV235" s="1"/>
      <c r="MFW235" s="1"/>
      <c r="MFX235" s="1"/>
      <c r="MFY235" s="1"/>
      <c r="MFZ235" s="1"/>
      <c r="MGA235" s="1"/>
      <c r="MGB235" s="1"/>
      <c r="MGC235" s="1"/>
      <c r="MGD235" s="1"/>
      <c r="MGE235" s="1"/>
      <c r="MGF235" s="1"/>
      <c r="MGG235" s="1"/>
      <c r="MGH235" s="1"/>
      <c r="MGI235" s="1"/>
      <c r="MGJ235" s="1"/>
      <c r="MGK235" s="1"/>
      <c r="MGL235" s="1"/>
      <c r="MGM235" s="1"/>
      <c r="MGN235" s="1"/>
      <c r="MGO235" s="1"/>
      <c r="MGP235" s="1"/>
      <c r="MGQ235" s="1"/>
      <c r="MGR235" s="1"/>
      <c r="MGS235" s="1"/>
      <c r="MGT235" s="1"/>
      <c r="MGU235" s="1"/>
      <c r="MGV235" s="1"/>
      <c r="MGW235" s="1"/>
      <c r="MGX235" s="1"/>
      <c r="MGY235" s="1"/>
      <c r="MGZ235" s="1"/>
      <c r="MHA235" s="1"/>
      <c r="MHB235" s="1"/>
      <c r="MHC235" s="1"/>
      <c r="MHD235" s="1"/>
      <c r="MHE235" s="1"/>
      <c r="MHF235" s="1"/>
      <c r="MHG235" s="1"/>
      <c r="MHH235" s="1"/>
      <c r="MHI235" s="1"/>
      <c r="MHJ235" s="1"/>
      <c r="MHK235" s="1"/>
      <c r="MHL235" s="1"/>
      <c r="MHM235" s="1"/>
      <c r="MHN235" s="1"/>
      <c r="MHO235" s="1"/>
      <c r="MHP235" s="1"/>
      <c r="MHQ235" s="1"/>
      <c r="MHR235" s="1"/>
      <c r="MHS235" s="1"/>
      <c r="MHT235" s="1"/>
      <c r="MHU235" s="1"/>
      <c r="MHV235" s="1"/>
      <c r="MHW235" s="1"/>
      <c r="MHX235" s="1"/>
      <c r="MHY235" s="1"/>
      <c r="MHZ235" s="1"/>
      <c r="MIA235" s="1"/>
      <c r="MIB235" s="1"/>
      <c r="MIC235" s="1"/>
      <c r="MID235" s="1"/>
      <c r="MIE235" s="1"/>
      <c r="MIF235" s="1"/>
      <c r="MIG235" s="1"/>
      <c r="MIH235" s="1"/>
      <c r="MII235" s="1"/>
      <c r="MIJ235" s="1"/>
      <c r="MIK235" s="1"/>
      <c r="MIL235" s="1"/>
      <c r="MIM235" s="1"/>
      <c r="MIN235" s="1"/>
      <c r="MIO235" s="1"/>
      <c r="MIP235" s="1"/>
      <c r="MIQ235" s="1"/>
      <c r="MIR235" s="1"/>
      <c r="MIS235" s="1"/>
      <c r="MIT235" s="1"/>
      <c r="MIU235" s="1"/>
      <c r="MIV235" s="1"/>
      <c r="MIW235" s="1"/>
      <c r="MIX235" s="1"/>
      <c r="MIY235" s="1"/>
      <c r="MIZ235" s="1"/>
      <c r="MJA235" s="1"/>
      <c r="MJB235" s="1"/>
      <c r="MJC235" s="1"/>
      <c r="MJD235" s="1"/>
      <c r="MJE235" s="1"/>
      <c r="MJF235" s="1"/>
      <c r="MJG235" s="1"/>
      <c r="MJH235" s="1"/>
      <c r="MJI235" s="1"/>
      <c r="MJJ235" s="1"/>
      <c r="MJK235" s="1"/>
      <c r="MJL235" s="1"/>
      <c r="MJM235" s="1"/>
      <c r="MJN235" s="1"/>
      <c r="MJO235" s="1"/>
      <c r="MJP235" s="1"/>
      <c r="MJQ235" s="1"/>
      <c r="MJR235" s="1"/>
      <c r="MJS235" s="1"/>
      <c r="MJT235" s="1"/>
      <c r="MJU235" s="1"/>
      <c r="MJV235" s="1"/>
      <c r="MJW235" s="1"/>
      <c r="MJX235" s="1"/>
      <c r="MJY235" s="1"/>
      <c r="MJZ235" s="1"/>
      <c r="MKA235" s="1"/>
      <c r="MKB235" s="1"/>
      <c r="MKC235" s="1"/>
      <c r="MKD235" s="1"/>
      <c r="MKE235" s="1"/>
      <c r="MKF235" s="1"/>
      <c r="MKG235" s="1"/>
      <c r="MKH235" s="1"/>
      <c r="MKI235" s="1"/>
      <c r="MKJ235" s="1"/>
      <c r="MKK235" s="1"/>
      <c r="MKL235" s="1"/>
      <c r="MKM235" s="1"/>
      <c r="MKN235" s="1"/>
      <c r="MKO235" s="1"/>
      <c r="MKP235" s="1"/>
      <c r="MKQ235" s="1"/>
      <c r="MKR235" s="1"/>
      <c r="MKS235" s="1"/>
      <c r="MKT235" s="1"/>
      <c r="MKU235" s="1"/>
      <c r="MKV235" s="1"/>
      <c r="MKW235" s="1"/>
      <c r="MKX235" s="1"/>
      <c r="MKY235" s="1"/>
      <c r="MKZ235" s="1"/>
      <c r="MLA235" s="1"/>
      <c r="MLB235" s="1"/>
      <c r="MLC235" s="1"/>
      <c r="MLD235" s="1"/>
      <c r="MLE235" s="1"/>
      <c r="MLF235" s="1"/>
      <c r="MLG235" s="1"/>
      <c r="MLH235" s="1"/>
      <c r="MLI235" s="1"/>
      <c r="MLJ235" s="1"/>
      <c r="MLK235" s="1"/>
      <c r="MLL235" s="1"/>
      <c r="MLM235" s="1"/>
      <c r="MLN235" s="1"/>
      <c r="MLO235" s="1"/>
      <c r="MLP235" s="1"/>
      <c r="MLQ235" s="1"/>
      <c r="MLR235" s="1"/>
      <c r="MLS235" s="1"/>
      <c r="MLT235" s="1"/>
      <c r="MLU235" s="1"/>
      <c r="MLV235" s="1"/>
      <c r="MLW235" s="1"/>
      <c r="MLX235" s="1"/>
      <c r="MLY235" s="1"/>
      <c r="MLZ235" s="1"/>
      <c r="MMA235" s="1"/>
      <c r="MMB235" s="1"/>
      <c r="MMC235" s="1"/>
      <c r="MMD235" s="1"/>
      <c r="MME235" s="1"/>
      <c r="MMF235" s="1"/>
      <c r="MMG235" s="1"/>
      <c r="MMH235" s="1"/>
      <c r="MMI235" s="1"/>
      <c r="MMJ235" s="1"/>
      <c r="MMK235" s="1"/>
      <c r="MML235" s="1"/>
      <c r="MMM235" s="1"/>
      <c r="MMN235" s="1"/>
      <c r="MMO235" s="1"/>
      <c r="MMP235" s="1"/>
      <c r="MMQ235" s="1"/>
      <c r="MMR235" s="1"/>
      <c r="MMS235" s="1"/>
      <c r="MMT235" s="1"/>
      <c r="MMU235" s="1"/>
      <c r="MMV235" s="1"/>
      <c r="MMW235" s="1"/>
      <c r="MMX235" s="1"/>
      <c r="MMY235" s="1"/>
      <c r="MMZ235" s="1"/>
      <c r="MNA235" s="1"/>
      <c r="MNB235" s="1"/>
      <c r="MNC235" s="1"/>
      <c r="MND235" s="1"/>
      <c r="MNE235" s="1"/>
      <c r="MNF235" s="1"/>
      <c r="MNG235" s="1"/>
      <c r="MNH235" s="1"/>
      <c r="MNI235" s="1"/>
      <c r="MNJ235" s="1"/>
      <c r="MNK235" s="1"/>
      <c r="MNL235" s="1"/>
      <c r="MNM235" s="1"/>
      <c r="MNN235" s="1"/>
      <c r="MNO235" s="1"/>
      <c r="MNP235" s="1"/>
      <c r="MNQ235" s="1"/>
      <c r="MNR235" s="1"/>
      <c r="MNS235" s="1"/>
      <c r="MNT235" s="1"/>
      <c r="MNU235" s="1"/>
      <c r="MNV235" s="1"/>
      <c r="MNW235" s="1"/>
      <c r="MNX235" s="1"/>
      <c r="MNY235" s="1"/>
      <c r="MNZ235" s="1"/>
      <c r="MOA235" s="1"/>
      <c r="MOB235" s="1"/>
      <c r="MOC235" s="1"/>
      <c r="MOD235" s="1"/>
      <c r="MOE235" s="1"/>
      <c r="MOF235" s="1"/>
      <c r="MOG235" s="1"/>
      <c r="MOH235" s="1"/>
      <c r="MOI235" s="1"/>
      <c r="MOJ235" s="1"/>
      <c r="MOK235" s="1"/>
      <c r="MOL235" s="1"/>
      <c r="MOM235" s="1"/>
      <c r="MON235" s="1"/>
      <c r="MOO235" s="1"/>
      <c r="MOP235" s="1"/>
      <c r="MOQ235" s="1"/>
      <c r="MOR235" s="1"/>
      <c r="MOS235" s="1"/>
      <c r="MOT235" s="1"/>
      <c r="MOU235" s="1"/>
      <c r="MOV235" s="1"/>
      <c r="MOW235" s="1"/>
      <c r="MOX235" s="1"/>
      <c r="MOY235" s="1"/>
      <c r="MOZ235" s="1"/>
      <c r="MPA235" s="1"/>
      <c r="MPB235" s="1"/>
      <c r="MPC235" s="1"/>
      <c r="MPD235" s="1"/>
      <c r="MPE235" s="1"/>
      <c r="MPF235" s="1"/>
      <c r="MPG235" s="1"/>
      <c r="MPH235" s="1"/>
      <c r="MPI235" s="1"/>
      <c r="MPJ235" s="1"/>
      <c r="MPK235" s="1"/>
      <c r="MPL235" s="1"/>
      <c r="MPM235" s="1"/>
      <c r="MPN235" s="1"/>
      <c r="MPO235" s="1"/>
      <c r="MPP235" s="1"/>
      <c r="MPQ235" s="1"/>
      <c r="MPR235" s="1"/>
      <c r="MPS235" s="1"/>
      <c r="MPT235" s="1"/>
      <c r="MPU235" s="1"/>
      <c r="MPV235" s="1"/>
      <c r="MPW235" s="1"/>
      <c r="MPX235" s="1"/>
      <c r="MPY235" s="1"/>
      <c r="MPZ235" s="1"/>
      <c r="MQA235" s="1"/>
      <c r="MQB235" s="1"/>
      <c r="MQC235" s="1"/>
      <c r="MQD235" s="1"/>
      <c r="MQE235" s="1"/>
      <c r="MQF235" s="1"/>
      <c r="MQG235" s="1"/>
      <c r="MQH235" s="1"/>
      <c r="MQI235" s="1"/>
      <c r="MQJ235" s="1"/>
      <c r="MQK235" s="1"/>
      <c r="MQL235" s="1"/>
      <c r="MQM235" s="1"/>
      <c r="MQN235" s="1"/>
      <c r="MQO235" s="1"/>
      <c r="MQP235" s="1"/>
      <c r="MQQ235" s="1"/>
      <c r="MQR235" s="1"/>
      <c r="MQS235" s="1"/>
      <c r="MQT235" s="1"/>
      <c r="MQU235" s="1"/>
      <c r="MQV235" s="1"/>
      <c r="MQW235" s="1"/>
      <c r="MQX235" s="1"/>
      <c r="MQY235" s="1"/>
      <c r="MQZ235" s="1"/>
      <c r="MRA235" s="1"/>
      <c r="MRB235" s="1"/>
      <c r="MRC235" s="1"/>
      <c r="MRD235" s="1"/>
      <c r="MRE235" s="1"/>
      <c r="MRF235" s="1"/>
      <c r="MRG235" s="1"/>
      <c r="MRH235" s="1"/>
      <c r="MRI235" s="1"/>
      <c r="MRJ235" s="1"/>
      <c r="MRK235" s="1"/>
      <c r="MRL235" s="1"/>
      <c r="MRM235" s="1"/>
      <c r="MRN235" s="1"/>
      <c r="MRO235" s="1"/>
      <c r="MRP235" s="1"/>
      <c r="MRQ235" s="1"/>
      <c r="MRR235" s="1"/>
      <c r="MRS235" s="1"/>
      <c r="MRT235" s="1"/>
      <c r="MRU235" s="1"/>
      <c r="MRV235" s="1"/>
      <c r="MRW235" s="1"/>
      <c r="MRX235" s="1"/>
      <c r="MRY235" s="1"/>
      <c r="MRZ235" s="1"/>
      <c r="MSA235" s="1"/>
      <c r="MSB235" s="1"/>
      <c r="MSC235" s="1"/>
      <c r="MSD235" s="1"/>
      <c r="MSE235" s="1"/>
      <c r="MSF235" s="1"/>
      <c r="MSG235" s="1"/>
      <c r="MSH235" s="1"/>
      <c r="MSI235" s="1"/>
      <c r="MSJ235" s="1"/>
      <c r="MSK235" s="1"/>
      <c r="MSL235" s="1"/>
      <c r="MSM235" s="1"/>
      <c r="MSN235" s="1"/>
      <c r="MSO235" s="1"/>
      <c r="MSP235" s="1"/>
      <c r="MSQ235" s="1"/>
      <c r="MSR235" s="1"/>
      <c r="MSS235" s="1"/>
      <c r="MST235" s="1"/>
      <c r="MSU235" s="1"/>
      <c r="MSV235" s="1"/>
      <c r="MSW235" s="1"/>
      <c r="MSX235" s="1"/>
      <c r="MSY235" s="1"/>
      <c r="MSZ235" s="1"/>
      <c r="MTA235" s="1"/>
      <c r="MTB235" s="1"/>
      <c r="MTC235" s="1"/>
      <c r="MTD235" s="1"/>
      <c r="MTE235" s="1"/>
      <c r="MTF235" s="1"/>
      <c r="MTG235" s="1"/>
      <c r="MTH235" s="1"/>
      <c r="MTI235" s="1"/>
      <c r="MTJ235" s="1"/>
      <c r="MTK235" s="1"/>
      <c r="MTL235" s="1"/>
      <c r="MTM235" s="1"/>
      <c r="MTN235" s="1"/>
      <c r="MTO235" s="1"/>
      <c r="MTP235" s="1"/>
      <c r="MTQ235" s="1"/>
      <c r="MTR235" s="1"/>
      <c r="MTS235" s="1"/>
      <c r="MTT235" s="1"/>
      <c r="MTU235" s="1"/>
      <c r="MTV235" s="1"/>
      <c r="MTW235" s="1"/>
      <c r="MTX235" s="1"/>
      <c r="MTY235" s="1"/>
      <c r="MTZ235" s="1"/>
      <c r="MUA235" s="1"/>
      <c r="MUB235" s="1"/>
      <c r="MUC235" s="1"/>
      <c r="MUD235" s="1"/>
      <c r="MUE235" s="1"/>
      <c r="MUF235" s="1"/>
      <c r="MUG235" s="1"/>
      <c r="MUH235" s="1"/>
      <c r="MUI235" s="1"/>
      <c r="MUJ235" s="1"/>
      <c r="MUK235" s="1"/>
      <c r="MUL235" s="1"/>
      <c r="MUM235" s="1"/>
      <c r="MUN235" s="1"/>
      <c r="MUO235" s="1"/>
      <c r="MUP235" s="1"/>
      <c r="MUQ235" s="1"/>
      <c r="MUR235" s="1"/>
      <c r="MUS235" s="1"/>
      <c r="MUT235" s="1"/>
      <c r="MUU235" s="1"/>
      <c r="MUV235" s="1"/>
      <c r="MUW235" s="1"/>
      <c r="MUX235" s="1"/>
      <c r="MUY235" s="1"/>
      <c r="MUZ235" s="1"/>
      <c r="MVA235" s="1"/>
      <c r="MVB235" s="1"/>
      <c r="MVC235" s="1"/>
      <c r="MVD235" s="1"/>
      <c r="MVE235" s="1"/>
      <c r="MVF235" s="1"/>
      <c r="MVG235" s="1"/>
      <c r="MVH235" s="1"/>
      <c r="MVI235" s="1"/>
      <c r="MVJ235" s="1"/>
      <c r="MVK235" s="1"/>
      <c r="MVL235" s="1"/>
      <c r="MVM235" s="1"/>
      <c r="MVN235" s="1"/>
      <c r="MVO235" s="1"/>
      <c r="MVP235" s="1"/>
      <c r="MVQ235" s="1"/>
      <c r="MVR235" s="1"/>
      <c r="MVS235" s="1"/>
      <c r="MVT235" s="1"/>
      <c r="MVU235" s="1"/>
      <c r="MVV235" s="1"/>
      <c r="MVW235" s="1"/>
      <c r="MVX235" s="1"/>
      <c r="MVY235" s="1"/>
      <c r="MVZ235" s="1"/>
      <c r="MWA235" s="1"/>
      <c r="MWB235" s="1"/>
      <c r="MWC235" s="1"/>
      <c r="MWD235" s="1"/>
      <c r="MWE235" s="1"/>
      <c r="MWF235" s="1"/>
      <c r="MWG235" s="1"/>
      <c r="MWH235" s="1"/>
      <c r="MWI235" s="1"/>
      <c r="MWJ235" s="1"/>
      <c r="MWK235" s="1"/>
      <c r="MWL235" s="1"/>
      <c r="MWM235" s="1"/>
      <c r="MWN235" s="1"/>
      <c r="MWO235" s="1"/>
      <c r="MWP235" s="1"/>
      <c r="MWQ235" s="1"/>
      <c r="MWR235" s="1"/>
      <c r="MWS235" s="1"/>
      <c r="MWT235" s="1"/>
      <c r="MWU235" s="1"/>
      <c r="MWV235" s="1"/>
      <c r="MWW235" s="1"/>
      <c r="MWX235" s="1"/>
      <c r="MWY235" s="1"/>
      <c r="MWZ235" s="1"/>
      <c r="MXA235" s="1"/>
      <c r="MXB235" s="1"/>
      <c r="MXC235" s="1"/>
      <c r="MXD235" s="1"/>
      <c r="MXE235" s="1"/>
      <c r="MXF235" s="1"/>
      <c r="MXG235" s="1"/>
      <c r="MXH235" s="1"/>
      <c r="MXI235" s="1"/>
      <c r="MXJ235" s="1"/>
      <c r="MXK235" s="1"/>
      <c r="MXL235" s="1"/>
      <c r="MXM235" s="1"/>
      <c r="MXN235" s="1"/>
      <c r="MXO235" s="1"/>
      <c r="MXP235" s="1"/>
      <c r="MXQ235" s="1"/>
      <c r="MXR235" s="1"/>
      <c r="MXS235" s="1"/>
      <c r="MXT235" s="1"/>
      <c r="MXU235" s="1"/>
      <c r="MXV235" s="1"/>
      <c r="MXW235" s="1"/>
      <c r="MXX235" s="1"/>
      <c r="MXY235" s="1"/>
      <c r="MXZ235" s="1"/>
      <c r="MYA235" s="1"/>
      <c r="MYB235" s="1"/>
      <c r="MYC235" s="1"/>
      <c r="MYD235" s="1"/>
      <c r="MYE235" s="1"/>
      <c r="MYF235" s="1"/>
      <c r="MYG235" s="1"/>
      <c r="MYH235" s="1"/>
      <c r="MYI235" s="1"/>
      <c r="MYJ235" s="1"/>
      <c r="MYK235" s="1"/>
      <c r="MYL235" s="1"/>
      <c r="MYM235" s="1"/>
      <c r="MYN235" s="1"/>
      <c r="MYO235" s="1"/>
      <c r="MYP235" s="1"/>
      <c r="MYQ235" s="1"/>
      <c r="MYR235" s="1"/>
      <c r="MYS235" s="1"/>
      <c r="MYT235" s="1"/>
      <c r="MYU235" s="1"/>
      <c r="MYV235" s="1"/>
      <c r="MYW235" s="1"/>
      <c r="MYX235" s="1"/>
      <c r="MYY235" s="1"/>
      <c r="MYZ235" s="1"/>
      <c r="MZA235" s="1"/>
      <c r="MZB235" s="1"/>
      <c r="MZC235" s="1"/>
      <c r="MZD235" s="1"/>
      <c r="MZE235" s="1"/>
      <c r="MZF235" s="1"/>
      <c r="MZG235" s="1"/>
      <c r="MZH235" s="1"/>
      <c r="MZI235" s="1"/>
      <c r="MZJ235" s="1"/>
      <c r="MZK235" s="1"/>
      <c r="MZL235" s="1"/>
      <c r="MZM235" s="1"/>
      <c r="MZN235" s="1"/>
      <c r="MZO235" s="1"/>
      <c r="MZP235" s="1"/>
      <c r="MZQ235" s="1"/>
      <c r="MZR235" s="1"/>
      <c r="MZS235" s="1"/>
      <c r="MZT235" s="1"/>
      <c r="MZU235" s="1"/>
      <c r="MZV235" s="1"/>
      <c r="MZW235" s="1"/>
      <c r="MZX235" s="1"/>
      <c r="MZY235" s="1"/>
      <c r="MZZ235" s="1"/>
      <c r="NAA235" s="1"/>
      <c r="NAB235" s="1"/>
      <c r="NAC235" s="1"/>
      <c r="NAD235" s="1"/>
      <c r="NAE235" s="1"/>
      <c r="NAF235" s="1"/>
      <c r="NAG235" s="1"/>
      <c r="NAH235" s="1"/>
      <c r="NAI235" s="1"/>
      <c r="NAJ235" s="1"/>
      <c r="NAK235" s="1"/>
      <c r="NAL235" s="1"/>
      <c r="NAM235" s="1"/>
      <c r="NAN235" s="1"/>
      <c r="NAO235" s="1"/>
      <c r="NAP235" s="1"/>
      <c r="NAQ235" s="1"/>
      <c r="NAR235" s="1"/>
      <c r="NAS235" s="1"/>
      <c r="NAT235" s="1"/>
      <c r="NAU235" s="1"/>
      <c r="NAV235" s="1"/>
      <c r="NAW235" s="1"/>
      <c r="NAX235" s="1"/>
      <c r="NAY235" s="1"/>
      <c r="NAZ235" s="1"/>
      <c r="NBA235" s="1"/>
      <c r="NBB235" s="1"/>
      <c r="NBC235" s="1"/>
      <c r="NBD235" s="1"/>
      <c r="NBE235" s="1"/>
      <c r="NBF235" s="1"/>
      <c r="NBG235" s="1"/>
      <c r="NBH235" s="1"/>
      <c r="NBI235" s="1"/>
      <c r="NBJ235" s="1"/>
      <c r="NBK235" s="1"/>
      <c r="NBL235" s="1"/>
      <c r="NBM235" s="1"/>
      <c r="NBN235" s="1"/>
      <c r="NBO235" s="1"/>
      <c r="NBP235" s="1"/>
      <c r="NBQ235" s="1"/>
      <c r="NBR235" s="1"/>
      <c r="NBS235" s="1"/>
      <c r="NBT235" s="1"/>
      <c r="NBU235" s="1"/>
      <c r="NBV235" s="1"/>
      <c r="NBW235" s="1"/>
      <c r="NBX235" s="1"/>
      <c r="NBY235" s="1"/>
      <c r="NBZ235" s="1"/>
      <c r="NCA235" s="1"/>
      <c r="NCB235" s="1"/>
      <c r="NCC235" s="1"/>
      <c r="NCD235" s="1"/>
      <c r="NCE235" s="1"/>
      <c r="NCF235" s="1"/>
      <c r="NCG235" s="1"/>
      <c r="NCH235" s="1"/>
      <c r="NCI235" s="1"/>
      <c r="NCJ235" s="1"/>
      <c r="NCK235" s="1"/>
      <c r="NCL235" s="1"/>
      <c r="NCM235" s="1"/>
      <c r="NCN235" s="1"/>
      <c r="NCO235" s="1"/>
      <c r="NCP235" s="1"/>
      <c r="NCQ235" s="1"/>
      <c r="NCR235" s="1"/>
      <c r="NCS235" s="1"/>
      <c r="NCT235" s="1"/>
      <c r="NCU235" s="1"/>
      <c r="NCV235" s="1"/>
      <c r="NCW235" s="1"/>
      <c r="NCX235" s="1"/>
      <c r="NCY235" s="1"/>
      <c r="NCZ235" s="1"/>
      <c r="NDA235" s="1"/>
      <c r="NDB235" s="1"/>
      <c r="NDC235" s="1"/>
      <c r="NDD235" s="1"/>
      <c r="NDE235" s="1"/>
      <c r="NDF235" s="1"/>
      <c r="NDG235" s="1"/>
      <c r="NDH235" s="1"/>
      <c r="NDI235" s="1"/>
      <c r="NDJ235" s="1"/>
      <c r="NDK235" s="1"/>
      <c r="NDL235" s="1"/>
      <c r="NDM235" s="1"/>
      <c r="NDN235" s="1"/>
      <c r="NDO235" s="1"/>
      <c r="NDP235" s="1"/>
      <c r="NDQ235" s="1"/>
      <c r="NDR235" s="1"/>
      <c r="NDS235" s="1"/>
      <c r="NDT235" s="1"/>
      <c r="NDU235" s="1"/>
      <c r="NDV235" s="1"/>
      <c r="NDW235" s="1"/>
      <c r="NDX235" s="1"/>
      <c r="NDY235" s="1"/>
      <c r="NDZ235" s="1"/>
      <c r="NEA235" s="1"/>
      <c r="NEB235" s="1"/>
      <c r="NEC235" s="1"/>
      <c r="NED235" s="1"/>
      <c r="NEE235" s="1"/>
      <c r="NEF235" s="1"/>
      <c r="NEG235" s="1"/>
      <c r="NEH235" s="1"/>
      <c r="NEI235" s="1"/>
      <c r="NEJ235" s="1"/>
      <c r="NEK235" s="1"/>
      <c r="NEL235" s="1"/>
      <c r="NEM235" s="1"/>
      <c r="NEN235" s="1"/>
      <c r="NEO235" s="1"/>
      <c r="NEP235" s="1"/>
      <c r="NEQ235" s="1"/>
      <c r="NER235" s="1"/>
      <c r="NES235" s="1"/>
      <c r="NET235" s="1"/>
      <c r="NEU235" s="1"/>
      <c r="NEV235" s="1"/>
      <c r="NEW235" s="1"/>
      <c r="NEX235" s="1"/>
      <c r="NEY235" s="1"/>
      <c r="NEZ235" s="1"/>
      <c r="NFA235" s="1"/>
      <c r="NFB235" s="1"/>
      <c r="NFC235" s="1"/>
      <c r="NFD235" s="1"/>
      <c r="NFE235" s="1"/>
      <c r="NFF235" s="1"/>
      <c r="NFG235" s="1"/>
      <c r="NFH235" s="1"/>
      <c r="NFI235" s="1"/>
      <c r="NFJ235" s="1"/>
      <c r="NFK235" s="1"/>
      <c r="NFL235" s="1"/>
      <c r="NFM235" s="1"/>
      <c r="NFN235" s="1"/>
      <c r="NFO235" s="1"/>
      <c r="NFP235" s="1"/>
      <c r="NFQ235" s="1"/>
      <c r="NFR235" s="1"/>
      <c r="NFS235" s="1"/>
      <c r="NFT235" s="1"/>
      <c r="NFU235" s="1"/>
      <c r="NFV235" s="1"/>
      <c r="NFW235" s="1"/>
      <c r="NFX235" s="1"/>
      <c r="NFY235" s="1"/>
      <c r="NFZ235" s="1"/>
      <c r="NGA235" s="1"/>
      <c r="NGB235" s="1"/>
      <c r="NGC235" s="1"/>
      <c r="NGD235" s="1"/>
      <c r="NGE235" s="1"/>
      <c r="NGF235" s="1"/>
      <c r="NGG235" s="1"/>
      <c r="NGH235" s="1"/>
      <c r="NGI235" s="1"/>
      <c r="NGJ235" s="1"/>
      <c r="NGK235" s="1"/>
      <c r="NGL235" s="1"/>
      <c r="NGM235" s="1"/>
      <c r="NGN235" s="1"/>
      <c r="NGO235" s="1"/>
      <c r="NGP235" s="1"/>
      <c r="NGQ235" s="1"/>
      <c r="NGR235" s="1"/>
      <c r="NGS235" s="1"/>
      <c r="NGT235" s="1"/>
      <c r="NGU235" s="1"/>
      <c r="NGV235" s="1"/>
      <c r="NGW235" s="1"/>
      <c r="NGX235" s="1"/>
      <c r="NGY235" s="1"/>
      <c r="NGZ235" s="1"/>
      <c r="NHA235" s="1"/>
      <c r="NHB235" s="1"/>
      <c r="NHC235" s="1"/>
      <c r="NHD235" s="1"/>
      <c r="NHE235" s="1"/>
      <c r="NHF235" s="1"/>
      <c r="NHG235" s="1"/>
      <c r="NHH235" s="1"/>
      <c r="NHI235" s="1"/>
      <c r="NHJ235" s="1"/>
      <c r="NHK235" s="1"/>
      <c r="NHL235" s="1"/>
      <c r="NHM235" s="1"/>
      <c r="NHN235" s="1"/>
      <c r="NHO235" s="1"/>
      <c r="NHP235" s="1"/>
      <c r="NHQ235" s="1"/>
      <c r="NHR235" s="1"/>
      <c r="NHS235" s="1"/>
      <c r="NHT235" s="1"/>
      <c r="NHU235" s="1"/>
      <c r="NHV235" s="1"/>
      <c r="NHW235" s="1"/>
      <c r="NHX235" s="1"/>
      <c r="NHY235" s="1"/>
      <c r="NHZ235" s="1"/>
      <c r="NIA235" s="1"/>
      <c r="NIB235" s="1"/>
      <c r="NIC235" s="1"/>
      <c r="NID235" s="1"/>
      <c r="NIE235" s="1"/>
      <c r="NIF235" s="1"/>
      <c r="NIG235" s="1"/>
      <c r="NIH235" s="1"/>
      <c r="NII235" s="1"/>
      <c r="NIJ235" s="1"/>
      <c r="NIK235" s="1"/>
      <c r="NIL235" s="1"/>
      <c r="NIM235" s="1"/>
      <c r="NIN235" s="1"/>
      <c r="NIO235" s="1"/>
      <c r="NIP235" s="1"/>
      <c r="NIQ235" s="1"/>
      <c r="NIR235" s="1"/>
      <c r="NIS235" s="1"/>
      <c r="NIT235" s="1"/>
      <c r="NIU235" s="1"/>
      <c r="NIV235" s="1"/>
      <c r="NIW235" s="1"/>
      <c r="NIX235" s="1"/>
      <c r="NIY235" s="1"/>
      <c r="NIZ235" s="1"/>
      <c r="NJA235" s="1"/>
      <c r="NJB235" s="1"/>
      <c r="NJC235" s="1"/>
      <c r="NJD235" s="1"/>
      <c r="NJE235" s="1"/>
      <c r="NJF235" s="1"/>
      <c r="NJG235" s="1"/>
      <c r="NJH235" s="1"/>
      <c r="NJI235" s="1"/>
      <c r="NJJ235" s="1"/>
      <c r="NJK235" s="1"/>
      <c r="NJL235" s="1"/>
      <c r="NJM235" s="1"/>
      <c r="NJN235" s="1"/>
      <c r="NJO235" s="1"/>
      <c r="NJP235" s="1"/>
      <c r="NJQ235" s="1"/>
      <c r="NJR235" s="1"/>
      <c r="NJS235" s="1"/>
      <c r="NJT235" s="1"/>
      <c r="NJU235" s="1"/>
      <c r="NJV235" s="1"/>
      <c r="NJW235" s="1"/>
      <c r="NJX235" s="1"/>
      <c r="NJY235" s="1"/>
      <c r="NJZ235" s="1"/>
      <c r="NKA235" s="1"/>
      <c r="NKB235" s="1"/>
      <c r="NKC235" s="1"/>
      <c r="NKD235" s="1"/>
      <c r="NKE235" s="1"/>
      <c r="NKF235" s="1"/>
      <c r="NKG235" s="1"/>
      <c r="NKH235" s="1"/>
      <c r="NKI235" s="1"/>
      <c r="NKJ235" s="1"/>
      <c r="NKK235" s="1"/>
      <c r="NKL235" s="1"/>
      <c r="NKM235" s="1"/>
      <c r="NKN235" s="1"/>
      <c r="NKO235" s="1"/>
      <c r="NKP235" s="1"/>
      <c r="NKQ235" s="1"/>
      <c r="NKR235" s="1"/>
      <c r="NKS235" s="1"/>
      <c r="NKT235" s="1"/>
      <c r="NKU235" s="1"/>
      <c r="NKV235" s="1"/>
      <c r="NKW235" s="1"/>
      <c r="NKX235" s="1"/>
      <c r="NKY235" s="1"/>
      <c r="NKZ235" s="1"/>
      <c r="NLA235" s="1"/>
      <c r="NLB235" s="1"/>
      <c r="NLC235" s="1"/>
      <c r="NLD235" s="1"/>
      <c r="NLE235" s="1"/>
      <c r="NLF235" s="1"/>
      <c r="NLG235" s="1"/>
      <c r="NLH235" s="1"/>
      <c r="NLI235" s="1"/>
      <c r="NLJ235" s="1"/>
      <c r="NLK235" s="1"/>
      <c r="NLL235" s="1"/>
      <c r="NLM235" s="1"/>
      <c r="NLN235" s="1"/>
      <c r="NLO235" s="1"/>
      <c r="NLP235" s="1"/>
      <c r="NLQ235" s="1"/>
      <c r="NLR235" s="1"/>
      <c r="NLS235" s="1"/>
      <c r="NLT235" s="1"/>
      <c r="NLU235" s="1"/>
      <c r="NLV235" s="1"/>
      <c r="NLW235" s="1"/>
      <c r="NLX235" s="1"/>
      <c r="NLY235" s="1"/>
      <c r="NLZ235" s="1"/>
      <c r="NMA235" s="1"/>
      <c r="NMB235" s="1"/>
      <c r="NMC235" s="1"/>
      <c r="NMD235" s="1"/>
      <c r="NME235" s="1"/>
      <c r="NMF235" s="1"/>
      <c r="NMG235" s="1"/>
      <c r="NMH235" s="1"/>
      <c r="NMI235" s="1"/>
      <c r="NMJ235" s="1"/>
      <c r="NMK235" s="1"/>
      <c r="NML235" s="1"/>
      <c r="NMM235" s="1"/>
      <c r="NMN235" s="1"/>
      <c r="NMO235" s="1"/>
      <c r="NMP235" s="1"/>
      <c r="NMQ235" s="1"/>
      <c r="NMR235" s="1"/>
      <c r="NMS235" s="1"/>
      <c r="NMT235" s="1"/>
      <c r="NMU235" s="1"/>
      <c r="NMV235" s="1"/>
      <c r="NMW235" s="1"/>
      <c r="NMX235" s="1"/>
      <c r="NMY235" s="1"/>
      <c r="NMZ235" s="1"/>
      <c r="NNA235" s="1"/>
      <c r="NNB235" s="1"/>
      <c r="NNC235" s="1"/>
      <c r="NND235" s="1"/>
      <c r="NNE235" s="1"/>
      <c r="NNF235" s="1"/>
      <c r="NNG235" s="1"/>
      <c r="NNH235" s="1"/>
      <c r="NNI235" s="1"/>
      <c r="NNJ235" s="1"/>
      <c r="NNK235" s="1"/>
      <c r="NNL235" s="1"/>
      <c r="NNM235" s="1"/>
      <c r="NNN235" s="1"/>
      <c r="NNO235" s="1"/>
      <c r="NNP235" s="1"/>
      <c r="NNQ235" s="1"/>
      <c r="NNR235" s="1"/>
      <c r="NNS235" s="1"/>
      <c r="NNT235" s="1"/>
      <c r="NNU235" s="1"/>
      <c r="NNV235" s="1"/>
      <c r="NNW235" s="1"/>
      <c r="NNX235" s="1"/>
      <c r="NNY235" s="1"/>
      <c r="NNZ235" s="1"/>
      <c r="NOA235" s="1"/>
      <c r="NOB235" s="1"/>
      <c r="NOC235" s="1"/>
      <c r="NOD235" s="1"/>
      <c r="NOE235" s="1"/>
      <c r="NOF235" s="1"/>
      <c r="NOG235" s="1"/>
      <c r="NOH235" s="1"/>
      <c r="NOI235" s="1"/>
      <c r="NOJ235" s="1"/>
      <c r="NOK235" s="1"/>
      <c r="NOL235" s="1"/>
      <c r="NOM235" s="1"/>
      <c r="NON235" s="1"/>
      <c r="NOO235" s="1"/>
      <c r="NOP235" s="1"/>
      <c r="NOQ235" s="1"/>
      <c r="NOR235" s="1"/>
      <c r="NOS235" s="1"/>
      <c r="NOT235" s="1"/>
      <c r="NOU235" s="1"/>
      <c r="NOV235" s="1"/>
      <c r="NOW235" s="1"/>
      <c r="NOX235" s="1"/>
      <c r="NOY235" s="1"/>
      <c r="NOZ235" s="1"/>
      <c r="NPA235" s="1"/>
      <c r="NPB235" s="1"/>
      <c r="NPC235" s="1"/>
      <c r="NPD235" s="1"/>
      <c r="NPE235" s="1"/>
      <c r="NPF235" s="1"/>
      <c r="NPG235" s="1"/>
      <c r="NPH235" s="1"/>
      <c r="NPI235" s="1"/>
      <c r="NPJ235" s="1"/>
      <c r="NPK235" s="1"/>
      <c r="NPL235" s="1"/>
      <c r="NPM235" s="1"/>
      <c r="NPN235" s="1"/>
      <c r="NPO235" s="1"/>
      <c r="NPP235" s="1"/>
      <c r="NPQ235" s="1"/>
      <c r="NPR235" s="1"/>
      <c r="NPS235" s="1"/>
      <c r="NPT235" s="1"/>
      <c r="NPU235" s="1"/>
      <c r="NPV235" s="1"/>
      <c r="NPW235" s="1"/>
      <c r="NPX235" s="1"/>
      <c r="NPY235" s="1"/>
      <c r="NPZ235" s="1"/>
      <c r="NQA235" s="1"/>
      <c r="NQB235" s="1"/>
      <c r="NQC235" s="1"/>
      <c r="NQD235" s="1"/>
      <c r="NQE235" s="1"/>
      <c r="NQF235" s="1"/>
      <c r="NQG235" s="1"/>
      <c r="NQH235" s="1"/>
      <c r="NQI235" s="1"/>
      <c r="NQJ235" s="1"/>
      <c r="NQK235" s="1"/>
      <c r="NQL235" s="1"/>
      <c r="NQM235" s="1"/>
      <c r="NQN235" s="1"/>
      <c r="NQO235" s="1"/>
      <c r="NQP235" s="1"/>
      <c r="NQQ235" s="1"/>
      <c r="NQR235" s="1"/>
      <c r="NQS235" s="1"/>
      <c r="NQT235" s="1"/>
      <c r="NQU235" s="1"/>
      <c r="NQV235" s="1"/>
      <c r="NQW235" s="1"/>
      <c r="NQX235" s="1"/>
      <c r="NQY235" s="1"/>
      <c r="NQZ235" s="1"/>
      <c r="NRA235" s="1"/>
      <c r="NRB235" s="1"/>
      <c r="NRC235" s="1"/>
      <c r="NRD235" s="1"/>
      <c r="NRE235" s="1"/>
      <c r="NRF235" s="1"/>
      <c r="NRG235" s="1"/>
      <c r="NRH235" s="1"/>
      <c r="NRI235" s="1"/>
      <c r="NRJ235" s="1"/>
      <c r="NRK235" s="1"/>
      <c r="NRL235" s="1"/>
      <c r="NRM235" s="1"/>
      <c r="NRN235" s="1"/>
      <c r="NRO235" s="1"/>
      <c r="NRP235" s="1"/>
      <c r="NRQ235" s="1"/>
      <c r="NRR235" s="1"/>
      <c r="NRS235" s="1"/>
      <c r="NRT235" s="1"/>
      <c r="NRU235" s="1"/>
      <c r="NRV235" s="1"/>
      <c r="NRW235" s="1"/>
      <c r="NRX235" s="1"/>
      <c r="NRY235" s="1"/>
      <c r="NRZ235" s="1"/>
      <c r="NSA235" s="1"/>
      <c r="NSB235" s="1"/>
      <c r="NSC235" s="1"/>
      <c r="NSD235" s="1"/>
      <c r="NSE235" s="1"/>
      <c r="NSF235" s="1"/>
      <c r="NSG235" s="1"/>
      <c r="NSH235" s="1"/>
      <c r="NSI235" s="1"/>
      <c r="NSJ235" s="1"/>
      <c r="NSK235" s="1"/>
      <c r="NSL235" s="1"/>
      <c r="NSM235" s="1"/>
      <c r="NSN235" s="1"/>
      <c r="NSO235" s="1"/>
      <c r="NSP235" s="1"/>
      <c r="NSQ235" s="1"/>
      <c r="NSR235" s="1"/>
      <c r="NSS235" s="1"/>
      <c r="NST235" s="1"/>
      <c r="NSU235" s="1"/>
      <c r="NSV235" s="1"/>
      <c r="NSW235" s="1"/>
      <c r="NSX235" s="1"/>
      <c r="NSY235" s="1"/>
      <c r="NSZ235" s="1"/>
      <c r="NTA235" s="1"/>
      <c r="NTB235" s="1"/>
      <c r="NTC235" s="1"/>
      <c r="NTD235" s="1"/>
      <c r="NTE235" s="1"/>
      <c r="NTF235" s="1"/>
      <c r="NTG235" s="1"/>
      <c r="NTH235" s="1"/>
      <c r="NTI235" s="1"/>
      <c r="NTJ235" s="1"/>
      <c r="NTK235" s="1"/>
      <c r="NTL235" s="1"/>
      <c r="NTM235" s="1"/>
      <c r="NTN235" s="1"/>
      <c r="NTO235" s="1"/>
      <c r="NTP235" s="1"/>
      <c r="NTQ235" s="1"/>
      <c r="NTR235" s="1"/>
      <c r="NTS235" s="1"/>
      <c r="NTT235" s="1"/>
      <c r="NTU235" s="1"/>
      <c r="NTV235" s="1"/>
      <c r="NTW235" s="1"/>
      <c r="NTX235" s="1"/>
      <c r="NTY235" s="1"/>
      <c r="NTZ235" s="1"/>
      <c r="NUA235" s="1"/>
      <c r="NUB235" s="1"/>
      <c r="NUC235" s="1"/>
      <c r="NUD235" s="1"/>
      <c r="NUE235" s="1"/>
      <c r="NUF235" s="1"/>
      <c r="NUG235" s="1"/>
      <c r="NUH235" s="1"/>
      <c r="NUI235" s="1"/>
      <c r="NUJ235" s="1"/>
      <c r="NUK235" s="1"/>
      <c r="NUL235" s="1"/>
      <c r="NUM235" s="1"/>
      <c r="NUN235" s="1"/>
      <c r="NUO235" s="1"/>
      <c r="NUP235" s="1"/>
      <c r="NUQ235" s="1"/>
      <c r="NUR235" s="1"/>
      <c r="NUS235" s="1"/>
      <c r="NUT235" s="1"/>
      <c r="NUU235" s="1"/>
      <c r="NUV235" s="1"/>
      <c r="NUW235" s="1"/>
      <c r="NUX235" s="1"/>
      <c r="NUY235" s="1"/>
      <c r="NUZ235" s="1"/>
      <c r="NVA235" s="1"/>
      <c r="NVB235" s="1"/>
      <c r="NVC235" s="1"/>
      <c r="NVD235" s="1"/>
      <c r="NVE235" s="1"/>
      <c r="NVF235" s="1"/>
      <c r="NVG235" s="1"/>
      <c r="NVH235" s="1"/>
      <c r="NVI235" s="1"/>
      <c r="NVJ235" s="1"/>
      <c r="NVK235" s="1"/>
      <c r="NVL235" s="1"/>
      <c r="NVM235" s="1"/>
      <c r="NVN235" s="1"/>
      <c r="NVO235" s="1"/>
      <c r="NVP235" s="1"/>
      <c r="NVQ235" s="1"/>
      <c r="NVR235" s="1"/>
      <c r="NVS235" s="1"/>
      <c r="NVT235" s="1"/>
      <c r="NVU235" s="1"/>
      <c r="NVV235" s="1"/>
      <c r="NVW235" s="1"/>
      <c r="NVX235" s="1"/>
      <c r="NVY235" s="1"/>
      <c r="NVZ235" s="1"/>
      <c r="NWA235" s="1"/>
      <c r="NWB235" s="1"/>
      <c r="NWC235" s="1"/>
      <c r="NWD235" s="1"/>
      <c r="NWE235" s="1"/>
      <c r="NWF235" s="1"/>
      <c r="NWG235" s="1"/>
      <c r="NWH235" s="1"/>
      <c r="NWI235" s="1"/>
      <c r="NWJ235" s="1"/>
      <c r="NWK235" s="1"/>
      <c r="NWL235" s="1"/>
      <c r="NWM235" s="1"/>
      <c r="NWN235" s="1"/>
      <c r="NWO235" s="1"/>
      <c r="NWP235" s="1"/>
      <c r="NWQ235" s="1"/>
      <c r="NWR235" s="1"/>
      <c r="NWS235" s="1"/>
      <c r="NWT235" s="1"/>
      <c r="NWU235" s="1"/>
      <c r="NWV235" s="1"/>
      <c r="NWW235" s="1"/>
      <c r="NWX235" s="1"/>
      <c r="NWY235" s="1"/>
      <c r="NWZ235" s="1"/>
      <c r="NXA235" s="1"/>
      <c r="NXB235" s="1"/>
      <c r="NXC235" s="1"/>
      <c r="NXD235" s="1"/>
      <c r="NXE235" s="1"/>
      <c r="NXF235" s="1"/>
      <c r="NXG235" s="1"/>
      <c r="NXH235" s="1"/>
      <c r="NXI235" s="1"/>
      <c r="NXJ235" s="1"/>
      <c r="NXK235" s="1"/>
      <c r="NXL235" s="1"/>
      <c r="NXM235" s="1"/>
      <c r="NXN235" s="1"/>
      <c r="NXO235" s="1"/>
      <c r="NXP235" s="1"/>
      <c r="NXQ235" s="1"/>
      <c r="NXR235" s="1"/>
      <c r="NXS235" s="1"/>
      <c r="NXT235" s="1"/>
      <c r="NXU235" s="1"/>
      <c r="NXV235" s="1"/>
      <c r="NXW235" s="1"/>
      <c r="NXX235" s="1"/>
      <c r="NXY235" s="1"/>
      <c r="NXZ235" s="1"/>
      <c r="NYA235" s="1"/>
      <c r="NYB235" s="1"/>
      <c r="NYC235" s="1"/>
      <c r="NYD235" s="1"/>
      <c r="NYE235" s="1"/>
      <c r="NYF235" s="1"/>
      <c r="NYG235" s="1"/>
      <c r="NYH235" s="1"/>
      <c r="NYI235" s="1"/>
      <c r="NYJ235" s="1"/>
      <c r="NYK235" s="1"/>
      <c r="NYL235" s="1"/>
      <c r="NYM235" s="1"/>
      <c r="NYN235" s="1"/>
      <c r="NYO235" s="1"/>
      <c r="NYP235" s="1"/>
      <c r="NYQ235" s="1"/>
      <c r="NYR235" s="1"/>
      <c r="NYS235" s="1"/>
      <c r="NYT235" s="1"/>
      <c r="NYU235" s="1"/>
      <c r="NYV235" s="1"/>
      <c r="NYW235" s="1"/>
      <c r="NYX235" s="1"/>
      <c r="NYY235" s="1"/>
      <c r="NYZ235" s="1"/>
      <c r="NZA235" s="1"/>
      <c r="NZB235" s="1"/>
      <c r="NZC235" s="1"/>
      <c r="NZD235" s="1"/>
      <c r="NZE235" s="1"/>
      <c r="NZF235" s="1"/>
      <c r="NZG235" s="1"/>
      <c r="NZH235" s="1"/>
      <c r="NZI235" s="1"/>
      <c r="NZJ235" s="1"/>
      <c r="NZK235" s="1"/>
      <c r="NZL235" s="1"/>
      <c r="NZM235" s="1"/>
      <c r="NZN235" s="1"/>
      <c r="NZO235" s="1"/>
      <c r="NZP235" s="1"/>
      <c r="NZQ235" s="1"/>
      <c r="NZR235" s="1"/>
      <c r="NZS235" s="1"/>
      <c r="NZT235" s="1"/>
      <c r="NZU235" s="1"/>
      <c r="NZV235" s="1"/>
      <c r="NZW235" s="1"/>
      <c r="NZX235" s="1"/>
      <c r="NZY235" s="1"/>
      <c r="NZZ235" s="1"/>
      <c r="OAA235" s="1"/>
      <c r="OAB235" s="1"/>
      <c r="OAC235" s="1"/>
      <c r="OAD235" s="1"/>
      <c r="OAE235" s="1"/>
      <c r="OAF235" s="1"/>
      <c r="OAG235" s="1"/>
      <c r="OAH235" s="1"/>
      <c r="OAI235" s="1"/>
      <c r="OAJ235" s="1"/>
      <c r="OAK235" s="1"/>
      <c r="OAL235" s="1"/>
      <c r="OAM235" s="1"/>
      <c r="OAN235" s="1"/>
      <c r="OAO235" s="1"/>
      <c r="OAP235" s="1"/>
      <c r="OAQ235" s="1"/>
      <c r="OAR235" s="1"/>
      <c r="OAS235" s="1"/>
      <c r="OAT235" s="1"/>
      <c r="OAU235" s="1"/>
      <c r="OAV235" s="1"/>
      <c r="OAW235" s="1"/>
      <c r="OAX235" s="1"/>
      <c r="OAY235" s="1"/>
      <c r="OAZ235" s="1"/>
      <c r="OBA235" s="1"/>
      <c r="OBB235" s="1"/>
      <c r="OBC235" s="1"/>
      <c r="OBD235" s="1"/>
      <c r="OBE235" s="1"/>
      <c r="OBF235" s="1"/>
      <c r="OBG235" s="1"/>
      <c r="OBH235" s="1"/>
      <c r="OBI235" s="1"/>
      <c r="OBJ235" s="1"/>
      <c r="OBK235" s="1"/>
      <c r="OBL235" s="1"/>
      <c r="OBM235" s="1"/>
      <c r="OBN235" s="1"/>
      <c r="OBO235" s="1"/>
      <c r="OBP235" s="1"/>
      <c r="OBQ235" s="1"/>
      <c r="OBR235" s="1"/>
      <c r="OBS235" s="1"/>
      <c r="OBT235" s="1"/>
      <c r="OBU235" s="1"/>
      <c r="OBV235" s="1"/>
      <c r="OBW235" s="1"/>
      <c r="OBX235" s="1"/>
      <c r="OBY235" s="1"/>
      <c r="OBZ235" s="1"/>
      <c r="OCA235" s="1"/>
      <c r="OCB235" s="1"/>
      <c r="OCC235" s="1"/>
      <c r="OCD235" s="1"/>
      <c r="OCE235" s="1"/>
      <c r="OCF235" s="1"/>
      <c r="OCG235" s="1"/>
      <c r="OCH235" s="1"/>
      <c r="OCI235" s="1"/>
      <c r="OCJ235" s="1"/>
      <c r="OCK235" s="1"/>
      <c r="OCL235" s="1"/>
      <c r="OCM235" s="1"/>
      <c r="OCN235" s="1"/>
      <c r="OCO235" s="1"/>
      <c r="OCP235" s="1"/>
      <c r="OCQ235" s="1"/>
      <c r="OCR235" s="1"/>
      <c r="OCS235" s="1"/>
      <c r="OCT235" s="1"/>
      <c r="OCU235" s="1"/>
      <c r="OCV235" s="1"/>
      <c r="OCW235" s="1"/>
      <c r="OCX235" s="1"/>
      <c r="OCY235" s="1"/>
      <c r="OCZ235" s="1"/>
      <c r="ODA235" s="1"/>
      <c r="ODB235" s="1"/>
      <c r="ODC235" s="1"/>
      <c r="ODD235" s="1"/>
      <c r="ODE235" s="1"/>
      <c r="ODF235" s="1"/>
      <c r="ODG235" s="1"/>
      <c r="ODH235" s="1"/>
      <c r="ODI235" s="1"/>
      <c r="ODJ235" s="1"/>
      <c r="ODK235" s="1"/>
      <c r="ODL235" s="1"/>
      <c r="ODM235" s="1"/>
      <c r="ODN235" s="1"/>
      <c r="ODO235" s="1"/>
      <c r="ODP235" s="1"/>
      <c r="ODQ235" s="1"/>
      <c r="ODR235" s="1"/>
      <c r="ODS235" s="1"/>
      <c r="ODT235" s="1"/>
      <c r="ODU235" s="1"/>
      <c r="ODV235" s="1"/>
      <c r="ODW235" s="1"/>
      <c r="ODX235" s="1"/>
      <c r="ODY235" s="1"/>
      <c r="ODZ235" s="1"/>
      <c r="OEA235" s="1"/>
      <c r="OEB235" s="1"/>
      <c r="OEC235" s="1"/>
      <c r="OED235" s="1"/>
      <c r="OEE235" s="1"/>
      <c r="OEF235" s="1"/>
      <c r="OEG235" s="1"/>
      <c r="OEH235" s="1"/>
      <c r="OEI235" s="1"/>
      <c r="OEJ235" s="1"/>
      <c r="OEK235" s="1"/>
      <c r="OEL235" s="1"/>
      <c r="OEM235" s="1"/>
      <c r="OEN235" s="1"/>
      <c r="OEO235" s="1"/>
      <c r="OEP235" s="1"/>
      <c r="OEQ235" s="1"/>
      <c r="OER235" s="1"/>
      <c r="OES235" s="1"/>
      <c r="OET235" s="1"/>
      <c r="OEU235" s="1"/>
      <c r="OEV235" s="1"/>
      <c r="OEW235" s="1"/>
      <c r="OEX235" s="1"/>
      <c r="OEY235" s="1"/>
      <c r="OEZ235" s="1"/>
      <c r="OFA235" s="1"/>
      <c r="OFB235" s="1"/>
      <c r="OFC235" s="1"/>
      <c r="OFD235" s="1"/>
      <c r="OFE235" s="1"/>
      <c r="OFF235" s="1"/>
      <c r="OFG235" s="1"/>
      <c r="OFH235" s="1"/>
      <c r="OFI235" s="1"/>
      <c r="OFJ235" s="1"/>
      <c r="OFK235" s="1"/>
      <c r="OFL235" s="1"/>
      <c r="OFM235" s="1"/>
      <c r="OFN235" s="1"/>
      <c r="OFO235" s="1"/>
      <c r="OFP235" s="1"/>
      <c r="OFQ235" s="1"/>
      <c r="OFR235" s="1"/>
      <c r="OFS235" s="1"/>
      <c r="OFT235" s="1"/>
      <c r="OFU235" s="1"/>
      <c r="OFV235" s="1"/>
      <c r="OFW235" s="1"/>
      <c r="OFX235" s="1"/>
      <c r="OFY235" s="1"/>
      <c r="OFZ235" s="1"/>
      <c r="OGA235" s="1"/>
      <c r="OGB235" s="1"/>
      <c r="OGC235" s="1"/>
      <c r="OGD235" s="1"/>
      <c r="OGE235" s="1"/>
      <c r="OGF235" s="1"/>
      <c r="OGG235" s="1"/>
      <c r="OGH235" s="1"/>
      <c r="OGI235" s="1"/>
      <c r="OGJ235" s="1"/>
      <c r="OGK235" s="1"/>
      <c r="OGL235" s="1"/>
      <c r="OGM235" s="1"/>
      <c r="OGN235" s="1"/>
      <c r="OGO235" s="1"/>
      <c r="OGP235" s="1"/>
      <c r="OGQ235" s="1"/>
      <c r="OGR235" s="1"/>
      <c r="OGS235" s="1"/>
      <c r="OGT235" s="1"/>
      <c r="OGU235" s="1"/>
      <c r="OGV235" s="1"/>
      <c r="OGW235" s="1"/>
      <c r="OGX235" s="1"/>
      <c r="OGY235" s="1"/>
      <c r="OGZ235" s="1"/>
      <c r="OHA235" s="1"/>
      <c r="OHB235" s="1"/>
      <c r="OHC235" s="1"/>
      <c r="OHD235" s="1"/>
      <c r="OHE235" s="1"/>
      <c r="OHF235" s="1"/>
      <c r="OHG235" s="1"/>
      <c r="OHH235" s="1"/>
      <c r="OHI235" s="1"/>
      <c r="OHJ235" s="1"/>
      <c r="OHK235" s="1"/>
      <c r="OHL235" s="1"/>
      <c r="OHM235" s="1"/>
      <c r="OHN235" s="1"/>
      <c r="OHO235" s="1"/>
      <c r="OHP235" s="1"/>
      <c r="OHQ235" s="1"/>
      <c r="OHR235" s="1"/>
      <c r="OHS235" s="1"/>
      <c r="OHT235" s="1"/>
      <c r="OHU235" s="1"/>
      <c r="OHV235" s="1"/>
      <c r="OHW235" s="1"/>
      <c r="OHX235" s="1"/>
      <c r="OHY235" s="1"/>
      <c r="OHZ235" s="1"/>
      <c r="OIA235" s="1"/>
      <c r="OIB235" s="1"/>
      <c r="OIC235" s="1"/>
      <c r="OID235" s="1"/>
      <c r="OIE235" s="1"/>
      <c r="OIF235" s="1"/>
      <c r="OIG235" s="1"/>
      <c r="OIH235" s="1"/>
      <c r="OII235" s="1"/>
      <c r="OIJ235" s="1"/>
      <c r="OIK235" s="1"/>
      <c r="OIL235" s="1"/>
      <c r="OIM235" s="1"/>
      <c r="OIN235" s="1"/>
      <c r="OIO235" s="1"/>
      <c r="OIP235" s="1"/>
      <c r="OIQ235" s="1"/>
      <c r="OIR235" s="1"/>
      <c r="OIS235" s="1"/>
      <c r="OIT235" s="1"/>
      <c r="OIU235" s="1"/>
      <c r="OIV235" s="1"/>
      <c r="OIW235" s="1"/>
      <c r="OIX235" s="1"/>
      <c r="OIY235" s="1"/>
      <c r="OIZ235" s="1"/>
      <c r="OJA235" s="1"/>
      <c r="OJB235" s="1"/>
      <c r="OJC235" s="1"/>
      <c r="OJD235" s="1"/>
      <c r="OJE235" s="1"/>
      <c r="OJF235" s="1"/>
      <c r="OJG235" s="1"/>
      <c r="OJH235" s="1"/>
      <c r="OJI235" s="1"/>
      <c r="OJJ235" s="1"/>
      <c r="OJK235" s="1"/>
      <c r="OJL235" s="1"/>
      <c r="OJM235" s="1"/>
      <c r="OJN235" s="1"/>
      <c r="OJO235" s="1"/>
      <c r="OJP235" s="1"/>
      <c r="OJQ235" s="1"/>
      <c r="OJR235" s="1"/>
      <c r="OJS235" s="1"/>
      <c r="OJT235" s="1"/>
      <c r="OJU235" s="1"/>
      <c r="OJV235" s="1"/>
      <c r="OJW235" s="1"/>
      <c r="OJX235" s="1"/>
      <c r="OJY235" s="1"/>
      <c r="OJZ235" s="1"/>
      <c r="OKA235" s="1"/>
      <c r="OKB235" s="1"/>
      <c r="OKC235" s="1"/>
      <c r="OKD235" s="1"/>
      <c r="OKE235" s="1"/>
      <c r="OKF235" s="1"/>
      <c r="OKG235" s="1"/>
      <c r="OKH235" s="1"/>
      <c r="OKI235" s="1"/>
      <c r="OKJ235" s="1"/>
      <c r="OKK235" s="1"/>
      <c r="OKL235" s="1"/>
      <c r="OKM235" s="1"/>
      <c r="OKN235" s="1"/>
      <c r="OKO235" s="1"/>
      <c r="OKP235" s="1"/>
      <c r="OKQ235" s="1"/>
      <c r="OKR235" s="1"/>
      <c r="OKS235" s="1"/>
      <c r="OKT235" s="1"/>
      <c r="OKU235" s="1"/>
      <c r="OKV235" s="1"/>
      <c r="OKW235" s="1"/>
      <c r="OKX235" s="1"/>
      <c r="OKY235" s="1"/>
      <c r="OKZ235" s="1"/>
      <c r="OLA235" s="1"/>
      <c r="OLB235" s="1"/>
      <c r="OLC235" s="1"/>
      <c r="OLD235" s="1"/>
      <c r="OLE235" s="1"/>
      <c r="OLF235" s="1"/>
      <c r="OLG235" s="1"/>
      <c r="OLH235" s="1"/>
      <c r="OLI235" s="1"/>
      <c r="OLJ235" s="1"/>
      <c r="OLK235" s="1"/>
      <c r="OLL235" s="1"/>
      <c r="OLM235" s="1"/>
      <c r="OLN235" s="1"/>
      <c r="OLO235" s="1"/>
      <c r="OLP235" s="1"/>
      <c r="OLQ235" s="1"/>
      <c r="OLR235" s="1"/>
      <c r="OLS235" s="1"/>
      <c r="OLT235" s="1"/>
      <c r="OLU235" s="1"/>
      <c r="OLV235" s="1"/>
      <c r="OLW235" s="1"/>
      <c r="OLX235" s="1"/>
      <c r="OLY235" s="1"/>
      <c r="OLZ235" s="1"/>
      <c r="OMA235" s="1"/>
      <c r="OMB235" s="1"/>
      <c r="OMC235" s="1"/>
      <c r="OMD235" s="1"/>
      <c r="OME235" s="1"/>
      <c r="OMF235" s="1"/>
      <c r="OMG235" s="1"/>
      <c r="OMH235" s="1"/>
      <c r="OMI235" s="1"/>
      <c r="OMJ235" s="1"/>
      <c r="OMK235" s="1"/>
      <c r="OML235" s="1"/>
      <c r="OMM235" s="1"/>
      <c r="OMN235" s="1"/>
      <c r="OMO235" s="1"/>
      <c r="OMP235" s="1"/>
      <c r="OMQ235" s="1"/>
      <c r="OMR235" s="1"/>
      <c r="OMS235" s="1"/>
      <c r="OMT235" s="1"/>
      <c r="OMU235" s="1"/>
      <c r="OMV235" s="1"/>
      <c r="OMW235" s="1"/>
      <c r="OMX235" s="1"/>
      <c r="OMY235" s="1"/>
      <c r="OMZ235" s="1"/>
      <c r="ONA235" s="1"/>
      <c r="ONB235" s="1"/>
      <c r="ONC235" s="1"/>
      <c r="OND235" s="1"/>
      <c r="ONE235" s="1"/>
      <c r="ONF235" s="1"/>
      <c r="ONG235" s="1"/>
      <c r="ONH235" s="1"/>
      <c r="ONI235" s="1"/>
      <c r="ONJ235" s="1"/>
      <c r="ONK235" s="1"/>
      <c r="ONL235" s="1"/>
      <c r="ONM235" s="1"/>
      <c r="ONN235" s="1"/>
      <c r="ONO235" s="1"/>
      <c r="ONP235" s="1"/>
      <c r="ONQ235" s="1"/>
      <c r="ONR235" s="1"/>
      <c r="ONS235" s="1"/>
      <c r="ONT235" s="1"/>
      <c r="ONU235" s="1"/>
      <c r="ONV235" s="1"/>
      <c r="ONW235" s="1"/>
      <c r="ONX235" s="1"/>
      <c r="ONY235" s="1"/>
      <c r="ONZ235" s="1"/>
      <c r="OOA235" s="1"/>
      <c r="OOB235" s="1"/>
      <c r="OOC235" s="1"/>
      <c r="OOD235" s="1"/>
      <c r="OOE235" s="1"/>
      <c r="OOF235" s="1"/>
      <c r="OOG235" s="1"/>
      <c r="OOH235" s="1"/>
      <c r="OOI235" s="1"/>
      <c r="OOJ235" s="1"/>
      <c r="OOK235" s="1"/>
      <c r="OOL235" s="1"/>
      <c r="OOM235" s="1"/>
      <c r="OON235" s="1"/>
      <c r="OOO235" s="1"/>
      <c r="OOP235" s="1"/>
      <c r="OOQ235" s="1"/>
      <c r="OOR235" s="1"/>
      <c r="OOS235" s="1"/>
      <c r="OOT235" s="1"/>
      <c r="OOU235" s="1"/>
      <c r="OOV235" s="1"/>
      <c r="OOW235" s="1"/>
      <c r="OOX235" s="1"/>
      <c r="OOY235" s="1"/>
      <c r="OOZ235" s="1"/>
      <c r="OPA235" s="1"/>
      <c r="OPB235" s="1"/>
      <c r="OPC235" s="1"/>
      <c r="OPD235" s="1"/>
      <c r="OPE235" s="1"/>
      <c r="OPF235" s="1"/>
      <c r="OPG235" s="1"/>
      <c r="OPH235" s="1"/>
      <c r="OPI235" s="1"/>
      <c r="OPJ235" s="1"/>
      <c r="OPK235" s="1"/>
      <c r="OPL235" s="1"/>
      <c r="OPM235" s="1"/>
      <c r="OPN235" s="1"/>
      <c r="OPO235" s="1"/>
      <c r="OPP235" s="1"/>
      <c r="OPQ235" s="1"/>
      <c r="OPR235" s="1"/>
      <c r="OPS235" s="1"/>
      <c r="OPT235" s="1"/>
      <c r="OPU235" s="1"/>
      <c r="OPV235" s="1"/>
      <c r="OPW235" s="1"/>
      <c r="OPX235" s="1"/>
      <c r="OPY235" s="1"/>
      <c r="OPZ235" s="1"/>
      <c r="OQA235" s="1"/>
      <c r="OQB235" s="1"/>
      <c r="OQC235" s="1"/>
      <c r="OQD235" s="1"/>
      <c r="OQE235" s="1"/>
      <c r="OQF235" s="1"/>
      <c r="OQG235" s="1"/>
      <c r="OQH235" s="1"/>
      <c r="OQI235" s="1"/>
      <c r="OQJ235" s="1"/>
      <c r="OQK235" s="1"/>
      <c r="OQL235" s="1"/>
      <c r="OQM235" s="1"/>
      <c r="OQN235" s="1"/>
      <c r="OQO235" s="1"/>
      <c r="OQP235" s="1"/>
      <c r="OQQ235" s="1"/>
      <c r="OQR235" s="1"/>
      <c r="OQS235" s="1"/>
      <c r="OQT235" s="1"/>
      <c r="OQU235" s="1"/>
      <c r="OQV235" s="1"/>
      <c r="OQW235" s="1"/>
      <c r="OQX235" s="1"/>
      <c r="OQY235" s="1"/>
      <c r="OQZ235" s="1"/>
      <c r="ORA235" s="1"/>
      <c r="ORB235" s="1"/>
      <c r="ORC235" s="1"/>
      <c r="ORD235" s="1"/>
      <c r="ORE235" s="1"/>
      <c r="ORF235" s="1"/>
      <c r="ORG235" s="1"/>
      <c r="ORH235" s="1"/>
      <c r="ORI235" s="1"/>
      <c r="ORJ235" s="1"/>
      <c r="ORK235" s="1"/>
      <c r="ORL235" s="1"/>
      <c r="ORM235" s="1"/>
      <c r="ORN235" s="1"/>
      <c r="ORO235" s="1"/>
      <c r="ORP235" s="1"/>
      <c r="ORQ235" s="1"/>
      <c r="ORR235" s="1"/>
      <c r="ORS235" s="1"/>
      <c r="ORT235" s="1"/>
      <c r="ORU235" s="1"/>
      <c r="ORV235" s="1"/>
      <c r="ORW235" s="1"/>
      <c r="ORX235" s="1"/>
      <c r="ORY235" s="1"/>
      <c r="ORZ235" s="1"/>
      <c r="OSA235" s="1"/>
      <c r="OSB235" s="1"/>
      <c r="OSC235" s="1"/>
      <c r="OSD235" s="1"/>
      <c r="OSE235" s="1"/>
      <c r="OSF235" s="1"/>
      <c r="OSG235" s="1"/>
      <c r="OSH235" s="1"/>
      <c r="OSI235" s="1"/>
      <c r="OSJ235" s="1"/>
      <c r="OSK235" s="1"/>
      <c r="OSL235" s="1"/>
      <c r="OSM235" s="1"/>
      <c r="OSN235" s="1"/>
      <c r="OSO235" s="1"/>
      <c r="OSP235" s="1"/>
      <c r="OSQ235" s="1"/>
      <c r="OSR235" s="1"/>
      <c r="OSS235" s="1"/>
      <c r="OST235" s="1"/>
      <c r="OSU235" s="1"/>
      <c r="OSV235" s="1"/>
      <c r="OSW235" s="1"/>
      <c r="OSX235" s="1"/>
      <c r="OSY235" s="1"/>
      <c r="OSZ235" s="1"/>
      <c r="OTA235" s="1"/>
      <c r="OTB235" s="1"/>
      <c r="OTC235" s="1"/>
      <c r="OTD235" s="1"/>
      <c r="OTE235" s="1"/>
      <c r="OTF235" s="1"/>
      <c r="OTG235" s="1"/>
      <c r="OTH235" s="1"/>
      <c r="OTI235" s="1"/>
      <c r="OTJ235" s="1"/>
      <c r="OTK235" s="1"/>
      <c r="OTL235" s="1"/>
      <c r="OTM235" s="1"/>
      <c r="OTN235" s="1"/>
      <c r="OTO235" s="1"/>
      <c r="OTP235" s="1"/>
      <c r="OTQ235" s="1"/>
      <c r="OTR235" s="1"/>
      <c r="OTS235" s="1"/>
      <c r="OTT235" s="1"/>
      <c r="OTU235" s="1"/>
      <c r="OTV235" s="1"/>
      <c r="OTW235" s="1"/>
      <c r="OTX235" s="1"/>
      <c r="OTY235" s="1"/>
      <c r="OTZ235" s="1"/>
      <c r="OUA235" s="1"/>
      <c r="OUB235" s="1"/>
      <c r="OUC235" s="1"/>
      <c r="OUD235" s="1"/>
      <c r="OUE235" s="1"/>
      <c r="OUF235" s="1"/>
      <c r="OUG235" s="1"/>
      <c r="OUH235" s="1"/>
      <c r="OUI235" s="1"/>
      <c r="OUJ235" s="1"/>
      <c r="OUK235" s="1"/>
      <c r="OUL235" s="1"/>
      <c r="OUM235" s="1"/>
      <c r="OUN235" s="1"/>
      <c r="OUO235" s="1"/>
      <c r="OUP235" s="1"/>
      <c r="OUQ235" s="1"/>
      <c r="OUR235" s="1"/>
      <c r="OUS235" s="1"/>
      <c r="OUT235" s="1"/>
      <c r="OUU235" s="1"/>
      <c r="OUV235" s="1"/>
      <c r="OUW235" s="1"/>
      <c r="OUX235" s="1"/>
      <c r="OUY235" s="1"/>
      <c r="OUZ235" s="1"/>
      <c r="OVA235" s="1"/>
      <c r="OVB235" s="1"/>
      <c r="OVC235" s="1"/>
      <c r="OVD235" s="1"/>
      <c r="OVE235" s="1"/>
      <c r="OVF235" s="1"/>
      <c r="OVG235" s="1"/>
      <c r="OVH235" s="1"/>
      <c r="OVI235" s="1"/>
      <c r="OVJ235" s="1"/>
      <c r="OVK235" s="1"/>
      <c r="OVL235" s="1"/>
      <c r="OVM235" s="1"/>
      <c r="OVN235" s="1"/>
      <c r="OVO235" s="1"/>
      <c r="OVP235" s="1"/>
      <c r="OVQ235" s="1"/>
      <c r="OVR235" s="1"/>
      <c r="OVS235" s="1"/>
      <c r="OVT235" s="1"/>
      <c r="OVU235" s="1"/>
      <c r="OVV235" s="1"/>
      <c r="OVW235" s="1"/>
      <c r="OVX235" s="1"/>
      <c r="OVY235" s="1"/>
      <c r="OVZ235" s="1"/>
      <c r="OWA235" s="1"/>
      <c r="OWB235" s="1"/>
      <c r="OWC235" s="1"/>
      <c r="OWD235" s="1"/>
      <c r="OWE235" s="1"/>
      <c r="OWF235" s="1"/>
      <c r="OWG235" s="1"/>
      <c r="OWH235" s="1"/>
      <c r="OWI235" s="1"/>
      <c r="OWJ235" s="1"/>
      <c r="OWK235" s="1"/>
      <c r="OWL235" s="1"/>
      <c r="OWM235" s="1"/>
      <c r="OWN235" s="1"/>
      <c r="OWO235" s="1"/>
      <c r="OWP235" s="1"/>
      <c r="OWQ235" s="1"/>
      <c r="OWR235" s="1"/>
      <c r="OWS235" s="1"/>
      <c r="OWT235" s="1"/>
      <c r="OWU235" s="1"/>
      <c r="OWV235" s="1"/>
      <c r="OWW235" s="1"/>
      <c r="OWX235" s="1"/>
      <c r="OWY235" s="1"/>
      <c r="OWZ235" s="1"/>
      <c r="OXA235" s="1"/>
      <c r="OXB235" s="1"/>
      <c r="OXC235" s="1"/>
      <c r="OXD235" s="1"/>
      <c r="OXE235" s="1"/>
      <c r="OXF235" s="1"/>
      <c r="OXG235" s="1"/>
      <c r="OXH235" s="1"/>
      <c r="OXI235" s="1"/>
      <c r="OXJ235" s="1"/>
      <c r="OXK235" s="1"/>
      <c r="OXL235" s="1"/>
      <c r="OXM235" s="1"/>
      <c r="OXN235" s="1"/>
      <c r="OXO235" s="1"/>
      <c r="OXP235" s="1"/>
      <c r="OXQ235" s="1"/>
      <c r="OXR235" s="1"/>
      <c r="OXS235" s="1"/>
      <c r="OXT235" s="1"/>
      <c r="OXU235" s="1"/>
      <c r="OXV235" s="1"/>
      <c r="OXW235" s="1"/>
      <c r="OXX235" s="1"/>
      <c r="OXY235" s="1"/>
      <c r="OXZ235" s="1"/>
      <c r="OYA235" s="1"/>
      <c r="OYB235" s="1"/>
      <c r="OYC235" s="1"/>
      <c r="OYD235" s="1"/>
      <c r="OYE235" s="1"/>
      <c r="OYF235" s="1"/>
      <c r="OYG235" s="1"/>
      <c r="OYH235" s="1"/>
      <c r="OYI235" s="1"/>
      <c r="OYJ235" s="1"/>
      <c r="OYK235" s="1"/>
      <c r="OYL235" s="1"/>
      <c r="OYM235" s="1"/>
      <c r="OYN235" s="1"/>
      <c r="OYO235" s="1"/>
      <c r="OYP235" s="1"/>
      <c r="OYQ235" s="1"/>
      <c r="OYR235" s="1"/>
      <c r="OYS235" s="1"/>
      <c r="OYT235" s="1"/>
      <c r="OYU235" s="1"/>
      <c r="OYV235" s="1"/>
      <c r="OYW235" s="1"/>
      <c r="OYX235" s="1"/>
      <c r="OYY235" s="1"/>
      <c r="OYZ235" s="1"/>
      <c r="OZA235" s="1"/>
      <c r="OZB235" s="1"/>
      <c r="OZC235" s="1"/>
      <c r="OZD235" s="1"/>
      <c r="OZE235" s="1"/>
      <c r="OZF235" s="1"/>
      <c r="OZG235" s="1"/>
      <c r="OZH235" s="1"/>
      <c r="OZI235" s="1"/>
      <c r="OZJ235" s="1"/>
      <c r="OZK235" s="1"/>
      <c r="OZL235" s="1"/>
      <c r="OZM235" s="1"/>
      <c r="OZN235" s="1"/>
      <c r="OZO235" s="1"/>
      <c r="OZP235" s="1"/>
      <c r="OZQ235" s="1"/>
      <c r="OZR235" s="1"/>
      <c r="OZS235" s="1"/>
      <c r="OZT235" s="1"/>
      <c r="OZU235" s="1"/>
      <c r="OZV235" s="1"/>
      <c r="OZW235" s="1"/>
      <c r="OZX235" s="1"/>
      <c r="OZY235" s="1"/>
      <c r="OZZ235" s="1"/>
      <c r="PAA235" s="1"/>
      <c r="PAB235" s="1"/>
      <c r="PAC235" s="1"/>
      <c r="PAD235" s="1"/>
      <c r="PAE235" s="1"/>
      <c r="PAF235" s="1"/>
      <c r="PAG235" s="1"/>
      <c r="PAH235" s="1"/>
      <c r="PAI235" s="1"/>
      <c r="PAJ235" s="1"/>
      <c r="PAK235" s="1"/>
      <c r="PAL235" s="1"/>
      <c r="PAM235" s="1"/>
      <c r="PAN235" s="1"/>
      <c r="PAO235" s="1"/>
      <c r="PAP235" s="1"/>
      <c r="PAQ235" s="1"/>
      <c r="PAR235" s="1"/>
      <c r="PAS235" s="1"/>
      <c r="PAT235" s="1"/>
      <c r="PAU235" s="1"/>
      <c r="PAV235" s="1"/>
      <c r="PAW235" s="1"/>
      <c r="PAX235" s="1"/>
      <c r="PAY235" s="1"/>
      <c r="PAZ235" s="1"/>
      <c r="PBA235" s="1"/>
      <c r="PBB235" s="1"/>
      <c r="PBC235" s="1"/>
      <c r="PBD235" s="1"/>
      <c r="PBE235" s="1"/>
      <c r="PBF235" s="1"/>
      <c r="PBG235" s="1"/>
      <c r="PBH235" s="1"/>
      <c r="PBI235" s="1"/>
      <c r="PBJ235" s="1"/>
      <c r="PBK235" s="1"/>
      <c r="PBL235" s="1"/>
      <c r="PBM235" s="1"/>
      <c r="PBN235" s="1"/>
      <c r="PBO235" s="1"/>
      <c r="PBP235" s="1"/>
      <c r="PBQ235" s="1"/>
      <c r="PBR235" s="1"/>
      <c r="PBS235" s="1"/>
      <c r="PBT235" s="1"/>
      <c r="PBU235" s="1"/>
      <c r="PBV235" s="1"/>
      <c r="PBW235" s="1"/>
      <c r="PBX235" s="1"/>
      <c r="PBY235" s="1"/>
      <c r="PBZ235" s="1"/>
      <c r="PCA235" s="1"/>
      <c r="PCB235" s="1"/>
      <c r="PCC235" s="1"/>
      <c r="PCD235" s="1"/>
      <c r="PCE235" s="1"/>
      <c r="PCF235" s="1"/>
      <c r="PCG235" s="1"/>
      <c r="PCH235" s="1"/>
      <c r="PCI235" s="1"/>
      <c r="PCJ235" s="1"/>
      <c r="PCK235" s="1"/>
      <c r="PCL235" s="1"/>
      <c r="PCM235" s="1"/>
      <c r="PCN235" s="1"/>
      <c r="PCO235" s="1"/>
      <c r="PCP235" s="1"/>
      <c r="PCQ235" s="1"/>
      <c r="PCR235" s="1"/>
      <c r="PCS235" s="1"/>
      <c r="PCT235" s="1"/>
      <c r="PCU235" s="1"/>
      <c r="PCV235" s="1"/>
      <c r="PCW235" s="1"/>
      <c r="PCX235" s="1"/>
      <c r="PCY235" s="1"/>
      <c r="PCZ235" s="1"/>
      <c r="PDA235" s="1"/>
      <c r="PDB235" s="1"/>
      <c r="PDC235" s="1"/>
      <c r="PDD235" s="1"/>
      <c r="PDE235" s="1"/>
      <c r="PDF235" s="1"/>
      <c r="PDG235" s="1"/>
      <c r="PDH235" s="1"/>
      <c r="PDI235" s="1"/>
      <c r="PDJ235" s="1"/>
      <c r="PDK235" s="1"/>
      <c r="PDL235" s="1"/>
      <c r="PDM235" s="1"/>
      <c r="PDN235" s="1"/>
      <c r="PDO235" s="1"/>
      <c r="PDP235" s="1"/>
      <c r="PDQ235" s="1"/>
      <c r="PDR235" s="1"/>
      <c r="PDS235" s="1"/>
      <c r="PDT235" s="1"/>
      <c r="PDU235" s="1"/>
      <c r="PDV235" s="1"/>
      <c r="PDW235" s="1"/>
      <c r="PDX235" s="1"/>
      <c r="PDY235" s="1"/>
      <c r="PDZ235" s="1"/>
      <c r="PEA235" s="1"/>
      <c r="PEB235" s="1"/>
      <c r="PEC235" s="1"/>
      <c r="PED235" s="1"/>
      <c r="PEE235" s="1"/>
      <c r="PEF235" s="1"/>
      <c r="PEG235" s="1"/>
      <c r="PEH235" s="1"/>
      <c r="PEI235" s="1"/>
      <c r="PEJ235" s="1"/>
      <c r="PEK235" s="1"/>
      <c r="PEL235" s="1"/>
      <c r="PEM235" s="1"/>
      <c r="PEN235" s="1"/>
      <c r="PEO235" s="1"/>
      <c r="PEP235" s="1"/>
      <c r="PEQ235" s="1"/>
      <c r="PER235" s="1"/>
      <c r="PES235" s="1"/>
      <c r="PET235" s="1"/>
      <c r="PEU235" s="1"/>
      <c r="PEV235" s="1"/>
      <c r="PEW235" s="1"/>
      <c r="PEX235" s="1"/>
      <c r="PEY235" s="1"/>
      <c r="PEZ235" s="1"/>
      <c r="PFA235" s="1"/>
      <c r="PFB235" s="1"/>
      <c r="PFC235" s="1"/>
      <c r="PFD235" s="1"/>
      <c r="PFE235" s="1"/>
      <c r="PFF235" s="1"/>
      <c r="PFG235" s="1"/>
      <c r="PFH235" s="1"/>
      <c r="PFI235" s="1"/>
      <c r="PFJ235" s="1"/>
      <c r="PFK235" s="1"/>
      <c r="PFL235" s="1"/>
      <c r="PFM235" s="1"/>
      <c r="PFN235" s="1"/>
      <c r="PFO235" s="1"/>
      <c r="PFP235" s="1"/>
      <c r="PFQ235" s="1"/>
      <c r="PFR235" s="1"/>
      <c r="PFS235" s="1"/>
      <c r="PFT235" s="1"/>
      <c r="PFU235" s="1"/>
      <c r="PFV235" s="1"/>
      <c r="PFW235" s="1"/>
      <c r="PFX235" s="1"/>
      <c r="PFY235" s="1"/>
      <c r="PFZ235" s="1"/>
      <c r="PGA235" s="1"/>
      <c r="PGB235" s="1"/>
      <c r="PGC235" s="1"/>
      <c r="PGD235" s="1"/>
      <c r="PGE235" s="1"/>
      <c r="PGF235" s="1"/>
      <c r="PGG235" s="1"/>
      <c r="PGH235" s="1"/>
      <c r="PGI235" s="1"/>
      <c r="PGJ235" s="1"/>
      <c r="PGK235" s="1"/>
      <c r="PGL235" s="1"/>
      <c r="PGM235" s="1"/>
      <c r="PGN235" s="1"/>
      <c r="PGO235" s="1"/>
      <c r="PGP235" s="1"/>
      <c r="PGQ235" s="1"/>
      <c r="PGR235" s="1"/>
      <c r="PGS235" s="1"/>
      <c r="PGT235" s="1"/>
      <c r="PGU235" s="1"/>
      <c r="PGV235" s="1"/>
      <c r="PGW235" s="1"/>
      <c r="PGX235" s="1"/>
      <c r="PGY235" s="1"/>
      <c r="PGZ235" s="1"/>
      <c r="PHA235" s="1"/>
      <c r="PHB235" s="1"/>
      <c r="PHC235" s="1"/>
      <c r="PHD235" s="1"/>
      <c r="PHE235" s="1"/>
      <c r="PHF235" s="1"/>
      <c r="PHG235" s="1"/>
      <c r="PHH235" s="1"/>
      <c r="PHI235" s="1"/>
      <c r="PHJ235" s="1"/>
      <c r="PHK235" s="1"/>
      <c r="PHL235" s="1"/>
      <c r="PHM235" s="1"/>
      <c r="PHN235" s="1"/>
      <c r="PHO235" s="1"/>
      <c r="PHP235" s="1"/>
      <c r="PHQ235" s="1"/>
      <c r="PHR235" s="1"/>
      <c r="PHS235" s="1"/>
      <c r="PHT235" s="1"/>
      <c r="PHU235" s="1"/>
      <c r="PHV235" s="1"/>
      <c r="PHW235" s="1"/>
      <c r="PHX235" s="1"/>
      <c r="PHY235" s="1"/>
      <c r="PHZ235" s="1"/>
      <c r="PIA235" s="1"/>
      <c r="PIB235" s="1"/>
      <c r="PIC235" s="1"/>
      <c r="PID235" s="1"/>
      <c r="PIE235" s="1"/>
      <c r="PIF235" s="1"/>
      <c r="PIG235" s="1"/>
      <c r="PIH235" s="1"/>
      <c r="PII235" s="1"/>
      <c r="PIJ235" s="1"/>
      <c r="PIK235" s="1"/>
      <c r="PIL235" s="1"/>
      <c r="PIM235" s="1"/>
      <c r="PIN235" s="1"/>
      <c r="PIO235" s="1"/>
      <c r="PIP235" s="1"/>
      <c r="PIQ235" s="1"/>
      <c r="PIR235" s="1"/>
      <c r="PIS235" s="1"/>
      <c r="PIT235" s="1"/>
      <c r="PIU235" s="1"/>
      <c r="PIV235" s="1"/>
      <c r="PIW235" s="1"/>
      <c r="PIX235" s="1"/>
      <c r="PIY235" s="1"/>
      <c r="PIZ235" s="1"/>
      <c r="PJA235" s="1"/>
      <c r="PJB235" s="1"/>
      <c r="PJC235" s="1"/>
      <c r="PJD235" s="1"/>
      <c r="PJE235" s="1"/>
      <c r="PJF235" s="1"/>
      <c r="PJG235" s="1"/>
      <c r="PJH235" s="1"/>
      <c r="PJI235" s="1"/>
      <c r="PJJ235" s="1"/>
      <c r="PJK235" s="1"/>
      <c r="PJL235" s="1"/>
      <c r="PJM235" s="1"/>
      <c r="PJN235" s="1"/>
      <c r="PJO235" s="1"/>
      <c r="PJP235" s="1"/>
      <c r="PJQ235" s="1"/>
      <c r="PJR235" s="1"/>
      <c r="PJS235" s="1"/>
      <c r="PJT235" s="1"/>
      <c r="PJU235" s="1"/>
      <c r="PJV235" s="1"/>
      <c r="PJW235" s="1"/>
      <c r="PJX235" s="1"/>
      <c r="PJY235" s="1"/>
      <c r="PJZ235" s="1"/>
      <c r="PKA235" s="1"/>
      <c r="PKB235" s="1"/>
      <c r="PKC235" s="1"/>
      <c r="PKD235" s="1"/>
      <c r="PKE235" s="1"/>
      <c r="PKF235" s="1"/>
      <c r="PKG235" s="1"/>
      <c r="PKH235" s="1"/>
      <c r="PKI235" s="1"/>
      <c r="PKJ235" s="1"/>
      <c r="PKK235" s="1"/>
      <c r="PKL235" s="1"/>
      <c r="PKM235" s="1"/>
      <c r="PKN235" s="1"/>
      <c r="PKO235" s="1"/>
      <c r="PKP235" s="1"/>
      <c r="PKQ235" s="1"/>
      <c r="PKR235" s="1"/>
      <c r="PKS235" s="1"/>
      <c r="PKT235" s="1"/>
      <c r="PKU235" s="1"/>
      <c r="PKV235" s="1"/>
      <c r="PKW235" s="1"/>
      <c r="PKX235" s="1"/>
      <c r="PKY235" s="1"/>
      <c r="PKZ235" s="1"/>
      <c r="PLA235" s="1"/>
      <c r="PLB235" s="1"/>
      <c r="PLC235" s="1"/>
      <c r="PLD235" s="1"/>
      <c r="PLE235" s="1"/>
      <c r="PLF235" s="1"/>
      <c r="PLG235" s="1"/>
      <c r="PLH235" s="1"/>
      <c r="PLI235" s="1"/>
      <c r="PLJ235" s="1"/>
      <c r="PLK235" s="1"/>
      <c r="PLL235" s="1"/>
      <c r="PLM235" s="1"/>
      <c r="PLN235" s="1"/>
      <c r="PLO235" s="1"/>
      <c r="PLP235" s="1"/>
      <c r="PLQ235" s="1"/>
      <c r="PLR235" s="1"/>
      <c r="PLS235" s="1"/>
      <c r="PLT235" s="1"/>
      <c r="PLU235" s="1"/>
      <c r="PLV235" s="1"/>
      <c r="PLW235" s="1"/>
      <c r="PLX235" s="1"/>
      <c r="PLY235" s="1"/>
      <c r="PLZ235" s="1"/>
      <c r="PMA235" s="1"/>
      <c r="PMB235" s="1"/>
      <c r="PMC235" s="1"/>
      <c r="PMD235" s="1"/>
      <c r="PME235" s="1"/>
      <c r="PMF235" s="1"/>
      <c r="PMG235" s="1"/>
      <c r="PMH235" s="1"/>
      <c r="PMI235" s="1"/>
      <c r="PMJ235" s="1"/>
      <c r="PMK235" s="1"/>
      <c r="PML235" s="1"/>
      <c r="PMM235" s="1"/>
      <c r="PMN235" s="1"/>
      <c r="PMO235" s="1"/>
      <c r="PMP235" s="1"/>
      <c r="PMQ235" s="1"/>
      <c r="PMR235" s="1"/>
      <c r="PMS235" s="1"/>
      <c r="PMT235" s="1"/>
      <c r="PMU235" s="1"/>
      <c r="PMV235" s="1"/>
      <c r="PMW235" s="1"/>
      <c r="PMX235" s="1"/>
      <c r="PMY235" s="1"/>
      <c r="PMZ235" s="1"/>
      <c r="PNA235" s="1"/>
      <c r="PNB235" s="1"/>
      <c r="PNC235" s="1"/>
      <c r="PND235" s="1"/>
      <c r="PNE235" s="1"/>
      <c r="PNF235" s="1"/>
      <c r="PNG235" s="1"/>
      <c r="PNH235" s="1"/>
      <c r="PNI235" s="1"/>
      <c r="PNJ235" s="1"/>
      <c r="PNK235" s="1"/>
      <c r="PNL235" s="1"/>
      <c r="PNM235" s="1"/>
      <c r="PNN235" s="1"/>
      <c r="PNO235" s="1"/>
      <c r="PNP235" s="1"/>
      <c r="PNQ235" s="1"/>
      <c r="PNR235" s="1"/>
      <c r="PNS235" s="1"/>
      <c r="PNT235" s="1"/>
      <c r="PNU235" s="1"/>
      <c r="PNV235" s="1"/>
      <c r="PNW235" s="1"/>
      <c r="PNX235" s="1"/>
      <c r="PNY235" s="1"/>
      <c r="PNZ235" s="1"/>
      <c r="POA235" s="1"/>
      <c r="POB235" s="1"/>
      <c r="POC235" s="1"/>
      <c r="POD235" s="1"/>
      <c r="POE235" s="1"/>
      <c r="POF235" s="1"/>
      <c r="POG235" s="1"/>
      <c r="POH235" s="1"/>
      <c r="POI235" s="1"/>
      <c r="POJ235" s="1"/>
      <c r="POK235" s="1"/>
      <c r="POL235" s="1"/>
      <c r="POM235" s="1"/>
      <c r="PON235" s="1"/>
      <c r="POO235" s="1"/>
      <c r="POP235" s="1"/>
      <c r="POQ235" s="1"/>
      <c r="POR235" s="1"/>
      <c r="POS235" s="1"/>
      <c r="POT235" s="1"/>
      <c r="POU235" s="1"/>
      <c r="POV235" s="1"/>
      <c r="POW235" s="1"/>
      <c r="POX235" s="1"/>
      <c r="POY235" s="1"/>
      <c r="POZ235" s="1"/>
      <c r="PPA235" s="1"/>
      <c r="PPB235" s="1"/>
      <c r="PPC235" s="1"/>
      <c r="PPD235" s="1"/>
      <c r="PPE235" s="1"/>
      <c r="PPF235" s="1"/>
      <c r="PPG235" s="1"/>
      <c r="PPH235" s="1"/>
      <c r="PPI235" s="1"/>
      <c r="PPJ235" s="1"/>
      <c r="PPK235" s="1"/>
      <c r="PPL235" s="1"/>
      <c r="PPM235" s="1"/>
      <c r="PPN235" s="1"/>
      <c r="PPO235" s="1"/>
      <c r="PPP235" s="1"/>
      <c r="PPQ235" s="1"/>
      <c r="PPR235" s="1"/>
      <c r="PPS235" s="1"/>
      <c r="PPT235" s="1"/>
      <c r="PPU235" s="1"/>
      <c r="PPV235" s="1"/>
      <c r="PPW235" s="1"/>
      <c r="PPX235" s="1"/>
      <c r="PPY235" s="1"/>
      <c r="PPZ235" s="1"/>
      <c r="PQA235" s="1"/>
      <c r="PQB235" s="1"/>
      <c r="PQC235" s="1"/>
      <c r="PQD235" s="1"/>
      <c r="PQE235" s="1"/>
      <c r="PQF235" s="1"/>
      <c r="PQG235" s="1"/>
      <c r="PQH235" s="1"/>
      <c r="PQI235" s="1"/>
      <c r="PQJ235" s="1"/>
      <c r="PQK235" s="1"/>
      <c r="PQL235" s="1"/>
      <c r="PQM235" s="1"/>
      <c r="PQN235" s="1"/>
      <c r="PQO235" s="1"/>
      <c r="PQP235" s="1"/>
      <c r="PQQ235" s="1"/>
      <c r="PQR235" s="1"/>
      <c r="PQS235" s="1"/>
      <c r="PQT235" s="1"/>
      <c r="PQU235" s="1"/>
      <c r="PQV235" s="1"/>
      <c r="PQW235" s="1"/>
      <c r="PQX235" s="1"/>
      <c r="PQY235" s="1"/>
      <c r="PQZ235" s="1"/>
      <c r="PRA235" s="1"/>
      <c r="PRB235" s="1"/>
      <c r="PRC235" s="1"/>
      <c r="PRD235" s="1"/>
      <c r="PRE235" s="1"/>
      <c r="PRF235" s="1"/>
      <c r="PRG235" s="1"/>
      <c r="PRH235" s="1"/>
      <c r="PRI235" s="1"/>
      <c r="PRJ235" s="1"/>
      <c r="PRK235" s="1"/>
      <c r="PRL235" s="1"/>
      <c r="PRM235" s="1"/>
      <c r="PRN235" s="1"/>
      <c r="PRO235" s="1"/>
      <c r="PRP235" s="1"/>
      <c r="PRQ235" s="1"/>
      <c r="PRR235" s="1"/>
      <c r="PRS235" s="1"/>
      <c r="PRT235" s="1"/>
      <c r="PRU235" s="1"/>
      <c r="PRV235" s="1"/>
      <c r="PRW235" s="1"/>
      <c r="PRX235" s="1"/>
      <c r="PRY235" s="1"/>
      <c r="PRZ235" s="1"/>
      <c r="PSA235" s="1"/>
      <c r="PSB235" s="1"/>
      <c r="PSC235" s="1"/>
      <c r="PSD235" s="1"/>
      <c r="PSE235" s="1"/>
      <c r="PSF235" s="1"/>
      <c r="PSG235" s="1"/>
      <c r="PSH235" s="1"/>
      <c r="PSI235" s="1"/>
      <c r="PSJ235" s="1"/>
      <c r="PSK235" s="1"/>
      <c r="PSL235" s="1"/>
      <c r="PSM235" s="1"/>
      <c r="PSN235" s="1"/>
      <c r="PSO235" s="1"/>
      <c r="PSP235" s="1"/>
      <c r="PSQ235" s="1"/>
      <c r="PSR235" s="1"/>
      <c r="PSS235" s="1"/>
      <c r="PST235" s="1"/>
      <c r="PSU235" s="1"/>
      <c r="PSV235" s="1"/>
      <c r="PSW235" s="1"/>
      <c r="PSX235" s="1"/>
      <c r="PSY235" s="1"/>
      <c r="PSZ235" s="1"/>
      <c r="PTA235" s="1"/>
      <c r="PTB235" s="1"/>
      <c r="PTC235" s="1"/>
      <c r="PTD235" s="1"/>
      <c r="PTE235" s="1"/>
      <c r="PTF235" s="1"/>
      <c r="PTG235" s="1"/>
      <c r="PTH235" s="1"/>
      <c r="PTI235" s="1"/>
      <c r="PTJ235" s="1"/>
      <c r="PTK235" s="1"/>
      <c r="PTL235" s="1"/>
      <c r="PTM235" s="1"/>
      <c r="PTN235" s="1"/>
      <c r="PTO235" s="1"/>
      <c r="PTP235" s="1"/>
      <c r="PTQ235" s="1"/>
      <c r="PTR235" s="1"/>
      <c r="PTS235" s="1"/>
      <c r="PTT235" s="1"/>
      <c r="PTU235" s="1"/>
      <c r="PTV235" s="1"/>
      <c r="PTW235" s="1"/>
      <c r="PTX235" s="1"/>
      <c r="PTY235" s="1"/>
      <c r="PTZ235" s="1"/>
      <c r="PUA235" s="1"/>
      <c r="PUB235" s="1"/>
      <c r="PUC235" s="1"/>
      <c r="PUD235" s="1"/>
      <c r="PUE235" s="1"/>
      <c r="PUF235" s="1"/>
      <c r="PUG235" s="1"/>
      <c r="PUH235" s="1"/>
      <c r="PUI235" s="1"/>
      <c r="PUJ235" s="1"/>
      <c r="PUK235" s="1"/>
      <c r="PUL235" s="1"/>
      <c r="PUM235" s="1"/>
      <c r="PUN235" s="1"/>
      <c r="PUO235" s="1"/>
      <c r="PUP235" s="1"/>
      <c r="PUQ235" s="1"/>
      <c r="PUR235" s="1"/>
      <c r="PUS235" s="1"/>
      <c r="PUT235" s="1"/>
      <c r="PUU235" s="1"/>
      <c r="PUV235" s="1"/>
      <c r="PUW235" s="1"/>
      <c r="PUX235" s="1"/>
      <c r="PUY235" s="1"/>
      <c r="PUZ235" s="1"/>
      <c r="PVA235" s="1"/>
      <c r="PVB235" s="1"/>
      <c r="PVC235" s="1"/>
      <c r="PVD235" s="1"/>
      <c r="PVE235" s="1"/>
      <c r="PVF235" s="1"/>
      <c r="PVG235" s="1"/>
      <c r="PVH235" s="1"/>
      <c r="PVI235" s="1"/>
      <c r="PVJ235" s="1"/>
      <c r="PVK235" s="1"/>
      <c r="PVL235" s="1"/>
      <c r="PVM235" s="1"/>
      <c r="PVN235" s="1"/>
      <c r="PVO235" s="1"/>
      <c r="PVP235" s="1"/>
      <c r="PVQ235" s="1"/>
      <c r="PVR235" s="1"/>
      <c r="PVS235" s="1"/>
      <c r="PVT235" s="1"/>
      <c r="PVU235" s="1"/>
      <c r="PVV235" s="1"/>
      <c r="PVW235" s="1"/>
      <c r="PVX235" s="1"/>
      <c r="PVY235" s="1"/>
      <c r="PVZ235" s="1"/>
      <c r="PWA235" s="1"/>
      <c r="PWB235" s="1"/>
      <c r="PWC235" s="1"/>
      <c r="PWD235" s="1"/>
      <c r="PWE235" s="1"/>
      <c r="PWF235" s="1"/>
      <c r="PWG235" s="1"/>
      <c r="PWH235" s="1"/>
      <c r="PWI235" s="1"/>
      <c r="PWJ235" s="1"/>
      <c r="PWK235" s="1"/>
      <c r="PWL235" s="1"/>
      <c r="PWM235" s="1"/>
      <c r="PWN235" s="1"/>
      <c r="PWO235" s="1"/>
      <c r="PWP235" s="1"/>
      <c r="PWQ235" s="1"/>
      <c r="PWR235" s="1"/>
      <c r="PWS235" s="1"/>
      <c r="PWT235" s="1"/>
      <c r="PWU235" s="1"/>
      <c r="PWV235" s="1"/>
      <c r="PWW235" s="1"/>
      <c r="PWX235" s="1"/>
      <c r="PWY235" s="1"/>
      <c r="PWZ235" s="1"/>
      <c r="PXA235" s="1"/>
      <c r="PXB235" s="1"/>
      <c r="PXC235" s="1"/>
      <c r="PXD235" s="1"/>
      <c r="PXE235" s="1"/>
      <c r="PXF235" s="1"/>
      <c r="PXG235" s="1"/>
      <c r="PXH235" s="1"/>
      <c r="PXI235" s="1"/>
      <c r="PXJ235" s="1"/>
      <c r="PXK235" s="1"/>
      <c r="PXL235" s="1"/>
      <c r="PXM235" s="1"/>
      <c r="PXN235" s="1"/>
      <c r="PXO235" s="1"/>
      <c r="PXP235" s="1"/>
      <c r="PXQ235" s="1"/>
      <c r="PXR235" s="1"/>
      <c r="PXS235" s="1"/>
      <c r="PXT235" s="1"/>
      <c r="PXU235" s="1"/>
      <c r="PXV235" s="1"/>
      <c r="PXW235" s="1"/>
      <c r="PXX235" s="1"/>
      <c r="PXY235" s="1"/>
      <c r="PXZ235" s="1"/>
      <c r="PYA235" s="1"/>
      <c r="PYB235" s="1"/>
      <c r="PYC235" s="1"/>
      <c r="PYD235" s="1"/>
      <c r="PYE235" s="1"/>
      <c r="PYF235" s="1"/>
      <c r="PYG235" s="1"/>
      <c r="PYH235" s="1"/>
      <c r="PYI235" s="1"/>
      <c r="PYJ235" s="1"/>
      <c r="PYK235" s="1"/>
      <c r="PYL235" s="1"/>
      <c r="PYM235" s="1"/>
      <c r="PYN235" s="1"/>
      <c r="PYO235" s="1"/>
      <c r="PYP235" s="1"/>
      <c r="PYQ235" s="1"/>
      <c r="PYR235" s="1"/>
      <c r="PYS235" s="1"/>
      <c r="PYT235" s="1"/>
      <c r="PYU235" s="1"/>
      <c r="PYV235" s="1"/>
      <c r="PYW235" s="1"/>
      <c r="PYX235" s="1"/>
      <c r="PYY235" s="1"/>
      <c r="PYZ235" s="1"/>
      <c r="PZA235" s="1"/>
      <c r="PZB235" s="1"/>
      <c r="PZC235" s="1"/>
      <c r="PZD235" s="1"/>
      <c r="PZE235" s="1"/>
      <c r="PZF235" s="1"/>
      <c r="PZG235" s="1"/>
      <c r="PZH235" s="1"/>
      <c r="PZI235" s="1"/>
      <c r="PZJ235" s="1"/>
      <c r="PZK235" s="1"/>
      <c r="PZL235" s="1"/>
      <c r="PZM235" s="1"/>
      <c r="PZN235" s="1"/>
      <c r="PZO235" s="1"/>
      <c r="PZP235" s="1"/>
      <c r="PZQ235" s="1"/>
      <c r="PZR235" s="1"/>
      <c r="PZS235" s="1"/>
      <c r="PZT235" s="1"/>
      <c r="PZU235" s="1"/>
      <c r="PZV235" s="1"/>
      <c r="PZW235" s="1"/>
      <c r="PZX235" s="1"/>
      <c r="PZY235" s="1"/>
      <c r="PZZ235" s="1"/>
      <c r="QAA235" s="1"/>
      <c r="QAB235" s="1"/>
      <c r="QAC235" s="1"/>
      <c r="QAD235" s="1"/>
      <c r="QAE235" s="1"/>
      <c r="QAF235" s="1"/>
      <c r="QAG235" s="1"/>
      <c r="QAH235" s="1"/>
      <c r="QAI235" s="1"/>
      <c r="QAJ235" s="1"/>
      <c r="QAK235" s="1"/>
      <c r="QAL235" s="1"/>
      <c r="QAM235" s="1"/>
      <c r="QAN235" s="1"/>
      <c r="QAO235" s="1"/>
      <c r="QAP235" s="1"/>
      <c r="QAQ235" s="1"/>
      <c r="QAR235" s="1"/>
      <c r="QAS235" s="1"/>
      <c r="QAT235" s="1"/>
      <c r="QAU235" s="1"/>
      <c r="QAV235" s="1"/>
      <c r="QAW235" s="1"/>
      <c r="QAX235" s="1"/>
      <c r="QAY235" s="1"/>
      <c r="QAZ235" s="1"/>
      <c r="QBA235" s="1"/>
      <c r="QBB235" s="1"/>
      <c r="QBC235" s="1"/>
      <c r="QBD235" s="1"/>
      <c r="QBE235" s="1"/>
      <c r="QBF235" s="1"/>
      <c r="QBG235" s="1"/>
      <c r="QBH235" s="1"/>
      <c r="QBI235" s="1"/>
      <c r="QBJ235" s="1"/>
      <c r="QBK235" s="1"/>
      <c r="QBL235" s="1"/>
      <c r="QBM235" s="1"/>
      <c r="QBN235" s="1"/>
      <c r="QBO235" s="1"/>
      <c r="QBP235" s="1"/>
      <c r="QBQ235" s="1"/>
      <c r="QBR235" s="1"/>
      <c r="QBS235" s="1"/>
      <c r="QBT235" s="1"/>
      <c r="QBU235" s="1"/>
      <c r="QBV235" s="1"/>
      <c r="QBW235" s="1"/>
      <c r="QBX235" s="1"/>
      <c r="QBY235" s="1"/>
      <c r="QBZ235" s="1"/>
      <c r="QCA235" s="1"/>
      <c r="QCB235" s="1"/>
      <c r="QCC235" s="1"/>
      <c r="QCD235" s="1"/>
      <c r="QCE235" s="1"/>
      <c r="QCF235" s="1"/>
      <c r="QCG235" s="1"/>
      <c r="QCH235" s="1"/>
      <c r="QCI235" s="1"/>
      <c r="QCJ235" s="1"/>
      <c r="QCK235" s="1"/>
      <c r="QCL235" s="1"/>
      <c r="QCM235" s="1"/>
      <c r="QCN235" s="1"/>
      <c r="QCO235" s="1"/>
      <c r="QCP235" s="1"/>
      <c r="QCQ235" s="1"/>
      <c r="QCR235" s="1"/>
      <c r="QCS235" s="1"/>
      <c r="QCT235" s="1"/>
      <c r="QCU235" s="1"/>
      <c r="QCV235" s="1"/>
      <c r="QCW235" s="1"/>
      <c r="QCX235" s="1"/>
      <c r="QCY235" s="1"/>
      <c r="QCZ235" s="1"/>
      <c r="QDA235" s="1"/>
      <c r="QDB235" s="1"/>
      <c r="QDC235" s="1"/>
      <c r="QDD235" s="1"/>
      <c r="QDE235" s="1"/>
      <c r="QDF235" s="1"/>
      <c r="QDG235" s="1"/>
      <c r="QDH235" s="1"/>
      <c r="QDI235" s="1"/>
      <c r="QDJ235" s="1"/>
      <c r="QDK235" s="1"/>
      <c r="QDL235" s="1"/>
      <c r="QDM235" s="1"/>
      <c r="QDN235" s="1"/>
      <c r="QDO235" s="1"/>
      <c r="QDP235" s="1"/>
      <c r="QDQ235" s="1"/>
      <c r="QDR235" s="1"/>
      <c r="QDS235" s="1"/>
      <c r="QDT235" s="1"/>
      <c r="QDU235" s="1"/>
      <c r="QDV235" s="1"/>
      <c r="QDW235" s="1"/>
      <c r="QDX235" s="1"/>
      <c r="QDY235" s="1"/>
      <c r="QDZ235" s="1"/>
      <c r="QEA235" s="1"/>
      <c r="QEB235" s="1"/>
      <c r="QEC235" s="1"/>
      <c r="QED235" s="1"/>
      <c r="QEE235" s="1"/>
      <c r="QEF235" s="1"/>
      <c r="QEG235" s="1"/>
      <c r="QEH235" s="1"/>
      <c r="QEI235" s="1"/>
      <c r="QEJ235" s="1"/>
      <c r="QEK235" s="1"/>
      <c r="QEL235" s="1"/>
      <c r="QEM235" s="1"/>
      <c r="QEN235" s="1"/>
      <c r="QEO235" s="1"/>
      <c r="QEP235" s="1"/>
      <c r="QEQ235" s="1"/>
      <c r="QER235" s="1"/>
      <c r="QES235" s="1"/>
      <c r="QET235" s="1"/>
      <c r="QEU235" s="1"/>
      <c r="QEV235" s="1"/>
      <c r="QEW235" s="1"/>
      <c r="QEX235" s="1"/>
      <c r="QEY235" s="1"/>
      <c r="QEZ235" s="1"/>
      <c r="QFA235" s="1"/>
      <c r="QFB235" s="1"/>
      <c r="QFC235" s="1"/>
      <c r="QFD235" s="1"/>
      <c r="QFE235" s="1"/>
      <c r="QFF235" s="1"/>
      <c r="QFG235" s="1"/>
      <c r="QFH235" s="1"/>
      <c r="QFI235" s="1"/>
      <c r="QFJ235" s="1"/>
      <c r="QFK235" s="1"/>
      <c r="QFL235" s="1"/>
      <c r="QFM235" s="1"/>
      <c r="QFN235" s="1"/>
      <c r="QFO235" s="1"/>
      <c r="QFP235" s="1"/>
      <c r="QFQ235" s="1"/>
      <c r="QFR235" s="1"/>
      <c r="QFS235" s="1"/>
      <c r="QFT235" s="1"/>
      <c r="QFU235" s="1"/>
      <c r="QFV235" s="1"/>
      <c r="QFW235" s="1"/>
      <c r="QFX235" s="1"/>
      <c r="QFY235" s="1"/>
      <c r="QFZ235" s="1"/>
      <c r="QGA235" s="1"/>
      <c r="QGB235" s="1"/>
      <c r="QGC235" s="1"/>
      <c r="QGD235" s="1"/>
      <c r="QGE235" s="1"/>
      <c r="QGF235" s="1"/>
      <c r="QGG235" s="1"/>
      <c r="QGH235" s="1"/>
      <c r="QGI235" s="1"/>
      <c r="QGJ235" s="1"/>
      <c r="QGK235" s="1"/>
      <c r="QGL235" s="1"/>
      <c r="QGM235" s="1"/>
      <c r="QGN235" s="1"/>
      <c r="QGO235" s="1"/>
      <c r="QGP235" s="1"/>
      <c r="QGQ235" s="1"/>
      <c r="QGR235" s="1"/>
      <c r="QGS235" s="1"/>
      <c r="QGT235" s="1"/>
      <c r="QGU235" s="1"/>
      <c r="QGV235" s="1"/>
      <c r="QGW235" s="1"/>
      <c r="QGX235" s="1"/>
      <c r="QGY235" s="1"/>
      <c r="QGZ235" s="1"/>
      <c r="QHA235" s="1"/>
      <c r="QHB235" s="1"/>
      <c r="QHC235" s="1"/>
      <c r="QHD235" s="1"/>
      <c r="QHE235" s="1"/>
      <c r="QHF235" s="1"/>
      <c r="QHG235" s="1"/>
      <c r="QHH235" s="1"/>
      <c r="QHI235" s="1"/>
      <c r="QHJ235" s="1"/>
      <c r="QHK235" s="1"/>
      <c r="QHL235" s="1"/>
      <c r="QHM235" s="1"/>
      <c r="QHN235" s="1"/>
      <c r="QHO235" s="1"/>
      <c r="QHP235" s="1"/>
      <c r="QHQ235" s="1"/>
      <c r="QHR235" s="1"/>
      <c r="QHS235" s="1"/>
      <c r="QHT235" s="1"/>
      <c r="QHU235" s="1"/>
      <c r="QHV235" s="1"/>
      <c r="QHW235" s="1"/>
      <c r="QHX235" s="1"/>
      <c r="QHY235" s="1"/>
      <c r="QHZ235" s="1"/>
      <c r="QIA235" s="1"/>
      <c r="QIB235" s="1"/>
      <c r="QIC235" s="1"/>
      <c r="QID235" s="1"/>
      <c r="QIE235" s="1"/>
      <c r="QIF235" s="1"/>
      <c r="QIG235" s="1"/>
      <c r="QIH235" s="1"/>
      <c r="QII235" s="1"/>
      <c r="QIJ235" s="1"/>
      <c r="QIK235" s="1"/>
      <c r="QIL235" s="1"/>
      <c r="QIM235" s="1"/>
      <c r="QIN235" s="1"/>
      <c r="QIO235" s="1"/>
      <c r="QIP235" s="1"/>
      <c r="QIQ235" s="1"/>
      <c r="QIR235" s="1"/>
      <c r="QIS235" s="1"/>
      <c r="QIT235" s="1"/>
      <c r="QIU235" s="1"/>
      <c r="QIV235" s="1"/>
      <c r="QIW235" s="1"/>
      <c r="QIX235" s="1"/>
      <c r="QIY235" s="1"/>
      <c r="QIZ235" s="1"/>
      <c r="QJA235" s="1"/>
      <c r="QJB235" s="1"/>
      <c r="QJC235" s="1"/>
      <c r="QJD235" s="1"/>
      <c r="QJE235" s="1"/>
      <c r="QJF235" s="1"/>
      <c r="QJG235" s="1"/>
      <c r="QJH235" s="1"/>
      <c r="QJI235" s="1"/>
      <c r="QJJ235" s="1"/>
      <c r="QJK235" s="1"/>
      <c r="QJL235" s="1"/>
      <c r="QJM235" s="1"/>
      <c r="QJN235" s="1"/>
      <c r="QJO235" s="1"/>
      <c r="QJP235" s="1"/>
      <c r="QJQ235" s="1"/>
      <c r="QJR235" s="1"/>
      <c r="QJS235" s="1"/>
      <c r="QJT235" s="1"/>
      <c r="QJU235" s="1"/>
      <c r="QJV235" s="1"/>
      <c r="QJW235" s="1"/>
      <c r="QJX235" s="1"/>
      <c r="QJY235" s="1"/>
      <c r="QJZ235" s="1"/>
      <c r="QKA235" s="1"/>
      <c r="QKB235" s="1"/>
      <c r="QKC235" s="1"/>
      <c r="QKD235" s="1"/>
      <c r="QKE235" s="1"/>
      <c r="QKF235" s="1"/>
      <c r="QKG235" s="1"/>
      <c r="QKH235" s="1"/>
      <c r="QKI235" s="1"/>
      <c r="QKJ235" s="1"/>
      <c r="QKK235" s="1"/>
      <c r="QKL235" s="1"/>
      <c r="QKM235" s="1"/>
      <c r="QKN235" s="1"/>
      <c r="QKO235" s="1"/>
      <c r="QKP235" s="1"/>
      <c r="QKQ235" s="1"/>
      <c r="QKR235" s="1"/>
      <c r="QKS235" s="1"/>
      <c r="QKT235" s="1"/>
      <c r="QKU235" s="1"/>
      <c r="QKV235" s="1"/>
      <c r="QKW235" s="1"/>
      <c r="QKX235" s="1"/>
      <c r="QKY235" s="1"/>
      <c r="QKZ235" s="1"/>
      <c r="QLA235" s="1"/>
      <c r="QLB235" s="1"/>
      <c r="QLC235" s="1"/>
      <c r="QLD235" s="1"/>
      <c r="QLE235" s="1"/>
      <c r="QLF235" s="1"/>
      <c r="QLG235" s="1"/>
      <c r="QLH235" s="1"/>
      <c r="QLI235" s="1"/>
      <c r="QLJ235" s="1"/>
      <c r="QLK235" s="1"/>
      <c r="QLL235" s="1"/>
      <c r="QLM235" s="1"/>
      <c r="QLN235" s="1"/>
      <c r="QLO235" s="1"/>
      <c r="QLP235" s="1"/>
      <c r="QLQ235" s="1"/>
      <c r="QLR235" s="1"/>
      <c r="QLS235" s="1"/>
      <c r="QLT235" s="1"/>
      <c r="QLU235" s="1"/>
      <c r="QLV235" s="1"/>
      <c r="QLW235" s="1"/>
      <c r="QLX235" s="1"/>
      <c r="QLY235" s="1"/>
      <c r="QLZ235" s="1"/>
      <c r="QMA235" s="1"/>
      <c r="QMB235" s="1"/>
      <c r="QMC235" s="1"/>
      <c r="QMD235" s="1"/>
      <c r="QME235" s="1"/>
      <c r="QMF235" s="1"/>
      <c r="QMG235" s="1"/>
      <c r="QMH235" s="1"/>
      <c r="QMI235" s="1"/>
      <c r="QMJ235" s="1"/>
      <c r="QMK235" s="1"/>
      <c r="QML235" s="1"/>
      <c r="QMM235" s="1"/>
      <c r="QMN235" s="1"/>
      <c r="QMO235" s="1"/>
      <c r="QMP235" s="1"/>
      <c r="QMQ235" s="1"/>
      <c r="QMR235" s="1"/>
      <c r="QMS235" s="1"/>
      <c r="QMT235" s="1"/>
      <c r="QMU235" s="1"/>
      <c r="QMV235" s="1"/>
      <c r="QMW235" s="1"/>
      <c r="QMX235" s="1"/>
      <c r="QMY235" s="1"/>
      <c r="QMZ235" s="1"/>
      <c r="QNA235" s="1"/>
      <c r="QNB235" s="1"/>
      <c r="QNC235" s="1"/>
      <c r="QND235" s="1"/>
      <c r="QNE235" s="1"/>
      <c r="QNF235" s="1"/>
      <c r="QNG235" s="1"/>
      <c r="QNH235" s="1"/>
      <c r="QNI235" s="1"/>
      <c r="QNJ235" s="1"/>
      <c r="QNK235" s="1"/>
      <c r="QNL235" s="1"/>
      <c r="QNM235" s="1"/>
      <c r="QNN235" s="1"/>
      <c r="QNO235" s="1"/>
      <c r="QNP235" s="1"/>
      <c r="QNQ235" s="1"/>
      <c r="QNR235" s="1"/>
      <c r="QNS235" s="1"/>
      <c r="QNT235" s="1"/>
      <c r="QNU235" s="1"/>
      <c r="QNV235" s="1"/>
      <c r="QNW235" s="1"/>
      <c r="QNX235" s="1"/>
      <c r="QNY235" s="1"/>
      <c r="QNZ235" s="1"/>
      <c r="QOA235" s="1"/>
      <c r="QOB235" s="1"/>
      <c r="QOC235" s="1"/>
      <c r="QOD235" s="1"/>
      <c r="QOE235" s="1"/>
      <c r="QOF235" s="1"/>
      <c r="QOG235" s="1"/>
      <c r="QOH235" s="1"/>
      <c r="QOI235" s="1"/>
      <c r="QOJ235" s="1"/>
      <c r="QOK235" s="1"/>
      <c r="QOL235" s="1"/>
      <c r="QOM235" s="1"/>
      <c r="QON235" s="1"/>
      <c r="QOO235" s="1"/>
      <c r="QOP235" s="1"/>
      <c r="QOQ235" s="1"/>
      <c r="QOR235" s="1"/>
      <c r="QOS235" s="1"/>
      <c r="QOT235" s="1"/>
      <c r="QOU235" s="1"/>
      <c r="QOV235" s="1"/>
      <c r="QOW235" s="1"/>
      <c r="QOX235" s="1"/>
      <c r="QOY235" s="1"/>
      <c r="QOZ235" s="1"/>
      <c r="QPA235" s="1"/>
      <c r="QPB235" s="1"/>
      <c r="QPC235" s="1"/>
      <c r="QPD235" s="1"/>
      <c r="QPE235" s="1"/>
      <c r="QPF235" s="1"/>
      <c r="QPG235" s="1"/>
      <c r="QPH235" s="1"/>
      <c r="QPI235" s="1"/>
      <c r="QPJ235" s="1"/>
      <c r="QPK235" s="1"/>
      <c r="QPL235" s="1"/>
      <c r="QPM235" s="1"/>
      <c r="QPN235" s="1"/>
      <c r="QPO235" s="1"/>
      <c r="QPP235" s="1"/>
      <c r="QPQ235" s="1"/>
      <c r="QPR235" s="1"/>
      <c r="QPS235" s="1"/>
      <c r="QPT235" s="1"/>
      <c r="QPU235" s="1"/>
      <c r="QPV235" s="1"/>
      <c r="QPW235" s="1"/>
      <c r="QPX235" s="1"/>
      <c r="QPY235" s="1"/>
      <c r="QPZ235" s="1"/>
      <c r="QQA235" s="1"/>
      <c r="QQB235" s="1"/>
      <c r="QQC235" s="1"/>
      <c r="QQD235" s="1"/>
      <c r="QQE235" s="1"/>
      <c r="QQF235" s="1"/>
      <c r="QQG235" s="1"/>
      <c r="QQH235" s="1"/>
      <c r="QQI235" s="1"/>
      <c r="QQJ235" s="1"/>
      <c r="QQK235" s="1"/>
      <c r="QQL235" s="1"/>
      <c r="QQM235" s="1"/>
      <c r="QQN235" s="1"/>
      <c r="QQO235" s="1"/>
      <c r="QQP235" s="1"/>
      <c r="QQQ235" s="1"/>
      <c r="QQR235" s="1"/>
      <c r="QQS235" s="1"/>
      <c r="QQT235" s="1"/>
      <c r="QQU235" s="1"/>
      <c r="QQV235" s="1"/>
      <c r="QQW235" s="1"/>
      <c r="QQX235" s="1"/>
      <c r="QQY235" s="1"/>
      <c r="QQZ235" s="1"/>
      <c r="QRA235" s="1"/>
      <c r="QRB235" s="1"/>
      <c r="QRC235" s="1"/>
      <c r="QRD235" s="1"/>
      <c r="QRE235" s="1"/>
      <c r="QRF235" s="1"/>
      <c r="QRG235" s="1"/>
      <c r="QRH235" s="1"/>
      <c r="QRI235" s="1"/>
      <c r="QRJ235" s="1"/>
      <c r="QRK235" s="1"/>
      <c r="QRL235" s="1"/>
      <c r="QRM235" s="1"/>
      <c r="QRN235" s="1"/>
      <c r="QRO235" s="1"/>
      <c r="QRP235" s="1"/>
      <c r="QRQ235" s="1"/>
      <c r="QRR235" s="1"/>
      <c r="QRS235" s="1"/>
      <c r="QRT235" s="1"/>
      <c r="QRU235" s="1"/>
      <c r="QRV235" s="1"/>
      <c r="QRW235" s="1"/>
      <c r="QRX235" s="1"/>
      <c r="QRY235" s="1"/>
      <c r="QRZ235" s="1"/>
      <c r="QSA235" s="1"/>
      <c r="QSB235" s="1"/>
      <c r="QSC235" s="1"/>
      <c r="QSD235" s="1"/>
      <c r="QSE235" s="1"/>
      <c r="QSF235" s="1"/>
      <c r="QSG235" s="1"/>
      <c r="QSH235" s="1"/>
      <c r="QSI235" s="1"/>
      <c r="QSJ235" s="1"/>
      <c r="QSK235" s="1"/>
      <c r="QSL235" s="1"/>
      <c r="QSM235" s="1"/>
      <c r="QSN235" s="1"/>
      <c r="QSO235" s="1"/>
      <c r="QSP235" s="1"/>
      <c r="QSQ235" s="1"/>
      <c r="QSR235" s="1"/>
      <c r="QSS235" s="1"/>
      <c r="QST235" s="1"/>
      <c r="QSU235" s="1"/>
      <c r="QSV235" s="1"/>
      <c r="QSW235" s="1"/>
      <c r="QSX235" s="1"/>
      <c r="QSY235" s="1"/>
      <c r="QSZ235" s="1"/>
      <c r="QTA235" s="1"/>
      <c r="QTB235" s="1"/>
      <c r="QTC235" s="1"/>
      <c r="QTD235" s="1"/>
      <c r="QTE235" s="1"/>
      <c r="QTF235" s="1"/>
      <c r="QTG235" s="1"/>
      <c r="QTH235" s="1"/>
      <c r="QTI235" s="1"/>
      <c r="QTJ235" s="1"/>
      <c r="QTK235" s="1"/>
      <c r="QTL235" s="1"/>
      <c r="QTM235" s="1"/>
      <c r="QTN235" s="1"/>
      <c r="QTO235" s="1"/>
      <c r="QTP235" s="1"/>
      <c r="QTQ235" s="1"/>
      <c r="QTR235" s="1"/>
      <c r="QTS235" s="1"/>
      <c r="QTT235" s="1"/>
      <c r="QTU235" s="1"/>
      <c r="QTV235" s="1"/>
      <c r="QTW235" s="1"/>
      <c r="QTX235" s="1"/>
      <c r="QTY235" s="1"/>
      <c r="QTZ235" s="1"/>
      <c r="QUA235" s="1"/>
      <c r="QUB235" s="1"/>
      <c r="QUC235" s="1"/>
      <c r="QUD235" s="1"/>
      <c r="QUE235" s="1"/>
      <c r="QUF235" s="1"/>
      <c r="QUG235" s="1"/>
      <c r="QUH235" s="1"/>
      <c r="QUI235" s="1"/>
      <c r="QUJ235" s="1"/>
      <c r="QUK235" s="1"/>
      <c r="QUL235" s="1"/>
      <c r="QUM235" s="1"/>
      <c r="QUN235" s="1"/>
      <c r="QUO235" s="1"/>
      <c r="QUP235" s="1"/>
      <c r="QUQ235" s="1"/>
      <c r="QUR235" s="1"/>
      <c r="QUS235" s="1"/>
      <c r="QUT235" s="1"/>
      <c r="QUU235" s="1"/>
      <c r="QUV235" s="1"/>
      <c r="QUW235" s="1"/>
      <c r="QUX235" s="1"/>
      <c r="QUY235" s="1"/>
      <c r="QUZ235" s="1"/>
      <c r="QVA235" s="1"/>
      <c r="QVB235" s="1"/>
      <c r="QVC235" s="1"/>
      <c r="QVD235" s="1"/>
      <c r="QVE235" s="1"/>
      <c r="QVF235" s="1"/>
      <c r="QVG235" s="1"/>
      <c r="QVH235" s="1"/>
      <c r="QVI235" s="1"/>
      <c r="QVJ235" s="1"/>
      <c r="QVK235" s="1"/>
      <c r="QVL235" s="1"/>
      <c r="QVM235" s="1"/>
      <c r="QVN235" s="1"/>
      <c r="QVO235" s="1"/>
      <c r="QVP235" s="1"/>
      <c r="QVQ235" s="1"/>
      <c r="QVR235" s="1"/>
      <c r="QVS235" s="1"/>
      <c r="QVT235" s="1"/>
      <c r="QVU235" s="1"/>
      <c r="QVV235" s="1"/>
      <c r="QVW235" s="1"/>
      <c r="QVX235" s="1"/>
      <c r="QVY235" s="1"/>
      <c r="QVZ235" s="1"/>
      <c r="QWA235" s="1"/>
      <c r="QWB235" s="1"/>
      <c r="QWC235" s="1"/>
      <c r="QWD235" s="1"/>
      <c r="QWE235" s="1"/>
      <c r="QWF235" s="1"/>
      <c r="QWG235" s="1"/>
      <c r="QWH235" s="1"/>
      <c r="QWI235" s="1"/>
      <c r="QWJ235" s="1"/>
      <c r="QWK235" s="1"/>
      <c r="QWL235" s="1"/>
      <c r="QWM235" s="1"/>
      <c r="QWN235" s="1"/>
      <c r="QWO235" s="1"/>
      <c r="QWP235" s="1"/>
      <c r="QWQ235" s="1"/>
      <c r="QWR235" s="1"/>
      <c r="QWS235" s="1"/>
      <c r="QWT235" s="1"/>
      <c r="QWU235" s="1"/>
      <c r="QWV235" s="1"/>
      <c r="QWW235" s="1"/>
      <c r="QWX235" s="1"/>
      <c r="QWY235" s="1"/>
      <c r="QWZ235" s="1"/>
      <c r="QXA235" s="1"/>
      <c r="QXB235" s="1"/>
      <c r="QXC235" s="1"/>
      <c r="QXD235" s="1"/>
      <c r="QXE235" s="1"/>
      <c r="QXF235" s="1"/>
      <c r="QXG235" s="1"/>
      <c r="QXH235" s="1"/>
      <c r="QXI235" s="1"/>
      <c r="QXJ235" s="1"/>
      <c r="QXK235" s="1"/>
      <c r="QXL235" s="1"/>
      <c r="QXM235" s="1"/>
      <c r="QXN235" s="1"/>
      <c r="QXO235" s="1"/>
      <c r="QXP235" s="1"/>
      <c r="QXQ235" s="1"/>
      <c r="QXR235" s="1"/>
      <c r="QXS235" s="1"/>
      <c r="QXT235" s="1"/>
      <c r="QXU235" s="1"/>
      <c r="QXV235" s="1"/>
      <c r="QXW235" s="1"/>
      <c r="QXX235" s="1"/>
      <c r="QXY235" s="1"/>
      <c r="QXZ235" s="1"/>
      <c r="QYA235" s="1"/>
      <c r="QYB235" s="1"/>
      <c r="QYC235" s="1"/>
      <c r="QYD235" s="1"/>
      <c r="QYE235" s="1"/>
      <c r="QYF235" s="1"/>
      <c r="QYG235" s="1"/>
      <c r="QYH235" s="1"/>
      <c r="QYI235" s="1"/>
      <c r="QYJ235" s="1"/>
      <c r="QYK235" s="1"/>
      <c r="QYL235" s="1"/>
      <c r="QYM235" s="1"/>
      <c r="QYN235" s="1"/>
      <c r="QYO235" s="1"/>
      <c r="QYP235" s="1"/>
      <c r="QYQ235" s="1"/>
      <c r="QYR235" s="1"/>
      <c r="QYS235" s="1"/>
      <c r="QYT235" s="1"/>
      <c r="QYU235" s="1"/>
      <c r="QYV235" s="1"/>
      <c r="QYW235" s="1"/>
      <c r="QYX235" s="1"/>
      <c r="QYY235" s="1"/>
      <c r="QYZ235" s="1"/>
      <c r="QZA235" s="1"/>
      <c r="QZB235" s="1"/>
      <c r="QZC235" s="1"/>
      <c r="QZD235" s="1"/>
      <c r="QZE235" s="1"/>
      <c r="QZF235" s="1"/>
      <c r="QZG235" s="1"/>
      <c r="QZH235" s="1"/>
      <c r="QZI235" s="1"/>
      <c r="QZJ235" s="1"/>
      <c r="QZK235" s="1"/>
      <c r="QZL235" s="1"/>
      <c r="QZM235" s="1"/>
      <c r="QZN235" s="1"/>
      <c r="QZO235" s="1"/>
      <c r="QZP235" s="1"/>
      <c r="QZQ235" s="1"/>
      <c r="QZR235" s="1"/>
      <c r="QZS235" s="1"/>
      <c r="QZT235" s="1"/>
      <c r="QZU235" s="1"/>
      <c r="QZV235" s="1"/>
      <c r="QZW235" s="1"/>
      <c r="QZX235" s="1"/>
      <c r="QZY235" s="1"/>
      <c r="QZZ235" s="1"/>
      <c r="RAA235" s="1"/>
      <c r="RAB235" s="1"/>
      <c r="RAC235" s="1"/>
      <c r="RAD235" s="1"/>
      <c r="RAE235" s="1"/>
      <c r="RAF235" s="1"/>
      <c r="RAG235" s="1"/>
      <c r="RAH235" s="1"/>
      <c r="RAI235" s="1"/>
      <c r="RAJ235" s="1"/>
      <c r="RAK235" s="1"/>
      <c r="RAL235" s="1"/>
      <c r="RAM235" s="1"/>
      <c r="RAN235" s="1"/>
      <c r="RAO235" s="1"/>
      <c r="RAP235" s="1"/>
      <c r="RAQ235" s="1"/>
      <c r="RAR235" s="1"/>
      <c r="RAS235" s="1"/>
      <c r="RAT235" s="1"/>
      <c r="RAU235" s="1"/>
      <c r="RAV235" s="1"/>
      <c r="RAW235" s="1"/>
      <c r="RAX235" s="1"/>
      <c r="RAY235" s="1"/>
      <c r="RAZ235" s="1"/>
      <c r="RBA235" s="1"/>
      <c r="RBB235" s="1"/>
      <c r="RBC235" s="1"/>
      <c r="RBD235" s="1"/>
      <c r="RBE235" s="1"/>
      <c r="RBF235" s="1"/>
      <c r="RBG235" s="1"/>
      <c r="RBH235" s="1"/>
      <c r="RBI235" s="1"/>
      <c r="RBJ235" s="1"/>
      <c r="RBK235" s="1"/>
      <c r="RBL235" s="1"/>
      <c r="RBM235" s="1"/>
      <c r="RBN235" s="1"/>
      <c r="RBO235" s="1"/>
      <c r="RBP235" s="1"/>
      <c r="RBQ235" s="1"/>
      <c r="RBR235" s="1"/>
      <c r="RBS235" s="1"/>
      <c r="RBT235" s="1"/>
      <c r="RBU235" s="1"/>
      <c r="RBV235" s="1"/>
      <c r="RBW235" s="1"/>
      <c r="RBX235" s="1"/>
      <c r="RBY235" s="1"/>
      <c r="RBZ235" s="1"/>
      <c r="RCA235" s="1"/>
      <c r="RCB235" s="1"/>
      <c r="RCC235" s="1"/>
      <c r="RCD235" s="1"/>
      <c r="RCE235" s="1"/>
      <c r="RCF235" s="1"/>
      <c r="RCG235" s="1"/>
      <c r="RCH235" s="1"/>
      <c r="RCI235" s="1"/>
      <c r="RCJ235" s="1"/>
      <c r="RCK235" s="1"/>
      <c r="RCL235" s="1"/>
      <c r="RCM235" s="1"/>
      <c r="RCN235" s="1"/>
      <c r="RCO235" s="1"/>
      <c r="RCP235" s="1"/>
      <c r="RCQ235" s="1"/>
      <c r="RCR235" s="1"/>
      <c r="RCS235" s="1"/>
      <c r="RCT235" s="1"/>
      <c r="RCU235" s="1"/>
      <c r="RCV235" s="1"/>
      <c r="RCW235" s="1"/>
      <c r="RCX235" s="1"/>
      <c r="RCY235" s="1"/>
      <c r="RCZ235" s="1"/>
      <c r="RDA235" s="1"/>
      <c r="RDB235" s="1"/>
      <c r="RDC235" s="1"/>
      <c r="RDD235" s="1"/>
      <c r="RDE235" s="1"/>
      <c r="RDF235" s="1"/>
      <c r="RDG235" s="1"/>
      <c r="RDH235" s="1"/>
      <c r="RDI235" s="1"/>
      <c r="RDJ235" s="1"/>
      <c r="RDK235" s="1"/>
      <c r="RDL235" s="1"/>
      <c r="RDM235" s="1"/>
      <c r="RDN235" s="1"/>
      <c r="RDO235" s="1"/>
      <c r="RDP235" s="1"/>
      <c r="RDQ235" s="1"/>
      <c r="RDR235" s="1"/>
      <c r="RDS235" s="1"/>
      <c r="RDT235" s="1"/>
      <c r="RDU235" s="1"/>
      <c r="RDV235" s="1"/>
      <c r="RDW235" s="1"/>
      <c r="RDX235" s="1"/>
      <c r="RDY235" s="1"/>
      <c r="RDZ235" s="1"/>
      <c r="REA235" s="1"/>
      <c r="REB235" s="1"/>
      <c r="REC235" s="1"/>
      <c r="RED235" s="1"/>
      <c r="REE235" s="1"/>
      <c r="REF235" s="1"/>
      <c r="REG235" s="1"/>
      <c r="REH235" s="1"/>
      <c r="REI235" s="1"/>
      <c r="REJ235" s="1"/>
      <c r="REK235" s="1"/>
      <c r="REL235" s="1"/>
      <c r="REM235" s="1"/>
      <c r="REN235" s="1"/>
      <c r="REO235" s="1"/>
      <c r="REP235" s="1"/>
      <c r="REQ235" s="1"/>
      <c r="RER235" s="1"/>
      <c r="RES235" s="1"/>
      <c r="RET235" s="1"/>
      <c r="REU235" s="1"/>
      <c r="REV235" s="1"/>
      <c r="REW235" s="1"/>
      <c r="REX235" s="1"/>
      <c r="REY235" s="1"/>
      <c r="REZ235" s="1"/>
      <c r="RFA235" s="1"/>
      <c r="RFB235" s="1"/>
      <c r="RFC235" s="1"/>
      <c r="RFD235" s="1"/>
      <c r="RFE235" s="1"/>
      <c r="RFF235" s="1"/>
      <c r="RFG235" s="1"/>
      <c r="RFH235" s="1"/>
      <c r="RFI235" s="1"/>
      <c r="RFJ235" s="1"/>
      <c r="RFK235" s="1"/>
      <c r="RFL235" s="1"/>
      <c r="RFM235" s="1"/>
      <c r="RFN235" s="1"/>
      <c r="RFO235" s="1"/>
      <c r="RFP235" s="1"/>
      <c r="RFQ235" s="1"/>
      <c r="RFR235" s="1"/>
      <c r="RFS235" s="1"/>
      <c r="RFT235" s="1"/>
      <c r="RFU235" s="1"/>
      <c r="RFV235" s="1"/>
      <c r="RFW235" s="1"/>
      <c r="RFX235" s="1"/>
      <c r="RFY235" s="1"/>
      <c r="RFZ235" s="1"/>
      <c r="RGA235" s="1"/>
      <c r="RGB235" s="1"/>
      <c r="RGC235" s="1"/>
      <c r="RGD235" s="1"/>
      <c r="RGE235" s="1"/>
      <c r="RGF235" s="1"/>
      <c r="RGG235" s="1"/>
      <c r="RGH235" s="1"/>
      <c r="RGI235" s="1"/>
      <c r="RGJ235" s="1"/>
      <c r="RGK235" s="1"/>
      <c r="RGL235" s="1"/>
      <c r="RGM235" s="1"/>
      <c r="RGN235" s="1"/>
      <c r="RGO235" s="1"/>
      <c r="RGP235" s="1"/>
      <c r="RGQ235" s="1"/>
      <c r="RGR235" s="1"/>
      <c r="RGS235" s="1"/>
      <c r="RGT235" s="1"/>
      <c r="RGU235" s="1"/>
      <c r="RGV235" s="1"/>
      <c r="RGW235" s="1"/>
      <c r="RGX235" s="1"/>
      <c r="RGY235" s="1"/>
      <c r="RGZ235" s="1"/>
      <c r="RHA235" s="1"/>
      <c r="RHB235" s="1"/>
      <c r="RHC235" s="1"/>
      <c r="RHD235" s="1"/>
      <c r="RHE235" s="1"/>
      <c r="RHF235" s="1"/>
      <c r="RHG235" s="1"/>
      <c r="RHH235" s="1"/>
      <c r="RHI235" s="1"/>
      <c r="RHJ235" s="1"/>
      <c r="RHK235" s="1"/>
      <c r="RHL235" s="1"/>
      <c r="RHM235" s="1"/>
      <c r="RHN235" s="1"/>
      <c r="RHO235" s="1"/>
      <c r="RHP235" s="1"/>
      <c r="RHQ235" s="1"/>
      <c r="RHR235" s="1"/>
      <c r="RHS235" s="1"/>
      <c r="RHT235" s="1"/>
      <c r="RHU235" s="1"/>
      <c r="RHV235" s="1"/>
      <c r="RHW235" s="1"/>
      <c r="RHX235" s="1"/>
      <c r="RHY235" s="1"/>
      <c r="RHZ235" s="1"/>
      <c r="RIA235" s="1"/>
      <c r="RIB235" s="1"/>
      <c r="RIC235" s="1"/>
      <c r="RID235" s="1"/>
      <c r="RIE235" s="1"/>
      <c r="RIF235" s="1"/>
      <c r="RIG235" s="1"/>
      <c r="RIH235" s="1"/>
      <c r="RII235" s="1"/>
      <c r="RIJ235" s="1"/>
      <c r="RIK235" s="1"/>
      <c r="RIL235" s="1"/>
      <c r="RIM235" s="1"/>
      <c r="RIN235" s="1"/>
      <c r="RIO235" s="1"/>
      <c r="RIP235" s="1"/>
      <c r="RIQ235" s="1"/>
      <c r="RIR235" s="1"/>
      <c r="RIS235" s="1"/>
      <c r="RIT235" s="1"/>
      <c r="RIU235" s="1"/>
      <c r="RIV235" s="1"/>
      <c r="RIW235" s="1"/>
      <c r="RIX235" s="1"/>
      <c r="RIY235" s="1"/>
      <c r="RIZ235" s="1"/>
      <c r="RJA235" s="1"/>
      <c r="RJB235" s="1"/>
      <c r="RJC235" s="1"/>
      <c r="RJD235" s="1"/>
      <c r="RJE235" s="1"/>
      <c r="RJF235" s="1"/>
      <c r="RJG235" s="1"/>
      <c r="RJH235" s="1"/>
      <c r="RJI235" s="1"/>
      <c r="RJJ235" s="1"/>
      <c r="RJK235" s="1"/>
      <c r="RJL235" s="1"/>
      <c r="RJM235" s="1"/>
      <c r="RJN235" s="1"/>
      <c r="RJO235" s="1"/>
      <c r="RJP235" s="1"/>
      <c r="RJQ235" s="1"/>
      <c r="RJR235" s="1"/>
      <c r="RJS235" s="1"/>
      <c r="RJT235" s="1"/>
      <c r="RJU235" s="1"/>
      <c r="RJV235" s="1"/>
      <c r="RJW235" s="1"/>
      <c r="RJX235" s="1"/>
      <c r="RJY235" s="1"/>
      <c r="RJZ235" s="1"/>
      <c r="RKA235" s="1"/>
      <c r="RKB235" s="1"/>
      <c r="RKC235" s="1"/>
      <c r="RKD235" s="1"/>
      <c r="RKE235" s="1"/>
      <c r="RKF235" s="1"/>
      <c r="RKG235" s="1"/>
      <c r="RKH235" s="1"/>
      <c r="RKI235" s="1"/>
      <c r="RKJ235" s="1"/>
      <c r="RKK235" s="1"/>
      <c r="RKL235" s="1"/>
      <c r="RKM235" s="1"/>
      <c r="RKN235" s="1"/>
      <c r="RKO235" s="1"/>
      <c r="RKP235" s="1"/>
      <c r="RKQ235" s="1"/>
      <c r="RKR235" s="1"/>
      <c r="RKS235" s="1"/>
      <c r="RKT235" s="1"/>
      <c r="RKU235" s="1"/>
      <c r="RKV235" s="1"/>
      <c r="RKW235" s="1"/>
      <c r="RKX235" s="1"/>
      <c r="RKY235" s="1"/>
      <c r="RKZ235" s="1"/>
      <c r="RLA235" s="1"/>
      <c r="RLB235" s="1"/>
      <c r="RLC235" s="1"/>
      <c r="RLD235" s="1"/>
      <c r="RLE235" s="1"/>
      <c r="RLF235" s="1"/>
      <c r="RLG235" s="1"/>
      <c r="RLH235" s="1"/>
      <c r="RLI235" s="1"/>
      <c r="RLJ235" s="1"/>
      <c r="RLK235" s="1"/>
      <c r="RLL235" s="1"/>
      <c r="RLM235" s="1"/>
      <c r="RLN235" s="1"/>
      <c r="RLO235" s="1"/>
      <c r="RLP235" s="1"/>
      <c r="RLQ235" s="1"/>
      <c r="RLR235" s="1"/>
      <c r="RLS235" s="1"/>
      <c r="RLT235" s="1"/>
      <c r="RLU235" s="1"/>
      <c r="RLV235" s="1"/>
      <c r="RLW235" s="1"/>
      <c r="RLX235" s="1"/>
      <c r="RLY235" s="1"/>
      <c r="RLZ235" s="1"/>
      <c r="RMA235" s="1"/>
      <c r="RMB235" s="1"/>
      <c r="RMC235" s="1"/>
      <c r="RMD235" s="1"/>
      <c r="RME235" s="1"/>
      <c r="RMF235" s="1"/>
      <c r="RMG235" s="1"/>
      <c r="RMH235" s="1"/>
      <c r="RMI235" s="1"/>
      <c r="RMJ235" s="1"/>
      <c r="RMK235" s="1"/>
      <c r="RML235" s="1"/>
      <c r="RMM235" s="1"/>
      <c r="RMN235" s="1"/>
      <c r="RMO235" s="1"/>
      <c r="RMP235" s="1"/>
      <c r="RMQ235" s="1"/>
      <c r="RMR235" s="1"/>
      <c r="RMS235" s="1"/>
      <c r="RMT235" s="1"/>
      <c r="RMU235" s="1"/>
      <c r="RMV235" s="1"/>
      <c r="RMW235" s="1"/>
      <c r="RMX235" s="1"/>
      <c r="RMY235" s="1"/>
      <c r="RMZ235" s="1"/>
      <c r="RNA235" s="1"/>
      <c r="RNB235" s="1"/>
      <c r="RNC235" s="1"/>
      <c r="RND235" s="1"/>
      <c r="RNE235" s="1"/>
      <c r="RNF235" s="1"/>
      <c r="RNG235" s="1"/>
      <c r="RNH235" s="1"/>
      <c r="RNI235" s="1"/>
      <c r="RNJ235" s="1"/>
      <c r="RNK235" s="1"/>
      <c r="RNL235" s="1"/>
      <c r="RNM235" s="1"/>
      <c r="RNN235" s="1"/>
      <c r="RNO235" s="1"/>
      <c r="RNP235" s="1"/>
      <c r="RNQ235" s="1"/>
      <c r="RNR235" s="1"/>
      <c r="RNS235" s="1"/>
      <c r="RNT235" s="1"/>
      <c r="RNU235" s="1"/>
      <c r="RNV235" s="1"/>
      <c r="RNW235" s="1"/>
      <c r="RNX235" s="1"/>
      <c r="RNY235" s="1"/>
      <c r="RNZ235" s="1"/>
      <c r="ROA235" s="1"/>
      <c r="ROB235" s="1"/>
      <c r="ROC235" s="1"/>
      <c r="ROD235" s="1"/>
      <c r="ROE235" s="1"/>
      <c r="ROF235" s="1"/>
      <c r="ROG235" s="1"/>
      <c r="ROH235" s="1"/>
      <c r="ROI235" s="1"/>
      <c r="ROJ235" s="1"/>
      <c r="ROK235" s="1"/>
      <c r="ROL235" s="1"/>
      <c r="ROM235" s="1"/>
      <c r="RON235" s="1"/>
      <c r="ROO235" s="1"/>
      <c r="ROP235" s="1"/>
      <c r="ROQ235" s="1"/>
      <c r="ROR235" s="1"/>
      <c r="ROS235" s="1"/>
      <c r="ROT235" s="1"/>
      <c r="ROU235" s="1"/>
      <c r="ROV235" s="1"/>
      <c r="ROW235" s="1"/>
      <c r="ROX235" s="1"/>
      <c r="ROY235" s="1"/>
      <c r="ROZ235" s="1"/>
      <c r="RPA235" s="1"/>
      <c r="RPB235" s="1"/>
      <c r="RPC235" s="1"/>
      <c r="RPD235" s="1"/>
      <c r="RPE235" s="1"/>
      <c r="RPF235" s="1"/>
      <c r="RPG235" s="1"/>
      <c r="RPH235" s="1"/>
      <c r="RPI235" s="1"/>
      <c r="RPJ235" s="1"/>
      <c r="RPK235" s="1"/>
      <c r="RPL235" s="1"/>
      <c r="RPM235" s="1"/>
      <c r="RPN235" s="1"/>
      <c r="RPO235" s="1"/>
      <c r="RPP235" s="1"/>
      <c r="RPQ235" s="1"/>
      <c r="RPR235" s="1"/>
      <c r="RPS235" s="1"/>
      <c r="RPT235" s="1"/>
      <c r="RPU235" s="1"/>
      <c r="RPV235" s="1"/>
      <c r="RPW235" s="1"/>
      <c r="RPX235" s="1"/>
      <c r="RPY235" s="1"/>
      <c r="RPZ235" s="1"/>
      <c r="RQA235" s="1"/>
      <c r="RQB235" s="1"/>
      <c r="RQC235" s="1"/>
      <c r="RQD235" s="1"/>
      <c r="RQE235" s="1"/>
      <c r="RQF235" s="1"/>
      <c r="RQG235" s="1"/>
      <c r="RQH235" s="1"/>
      <c r="RQI235" s="1"/>
      <c r="RQJ235" s="1"/>
      <c r="RQK235" s="1"/>
      <c r="RQL235" s="1"/>
      <c r="RQM235" s="1"/>
      <c r="RQN235" s="1"/>
      <c r="RQO235" s="1"/>
      <c r="RQP235" s="1"/>
      <c r="RQQ235" s="1"/>
      <c r="RQR235" s="1"/>
      <c r="RQS235" s="1"/>
      <c r="RQT235" s="1"/>
      <c r="RQU235" s="1"/>
      <c r="RQV235" s="1"/>
      <c r="RQW235" s="1"/>
      <c r="RQX235" s="1"/>
      <c r="RQY235" s="1"/>
      <c r="RQZ235" s="1"/>
      <c r="RRA235" s="1"/>
      <c r="RRB235" s="1"/>
      <c r="RRC235" s="1"/>
      <c r="RRD235" s="1"/>
      <c r="RRE235" s="1"/>
      <c r="RRF235" s="1"/>
      <c r="RRG235" s="1"/>
      <c r="RRH235" s="1"/>
      <c r="RRI235" s="1"/>
      <c r="RRJ235" s="1"/>
      <c r="RRK235" s="1"/>
      <c r="RRL235" s="1"/>
      <c r="RRM235" s="1"/>
      <c r="RRN235" s="1"/>
      <c r="RRO235" s="1"/>
      <c r="RRP235" s="1"/>
      <c r="RRQ235" s="1"/>
      <c r="RRR235" s="1"/>
      <c r="RRS235" s="1"/>
      <c r="RRT235" s="1"/>
      <c r="RRU235" s="1"/>
      <c r="RRV235" s="1"/>
      <c r="RRW235" s="1"/>
      <c r="RRX235" s="1"/>
      <c r="RRY235" s="1"/>
      <c r="RRZ235" s="1"/>
      <c r="RSA235" s="1"/>
      <c r="RSB235" s="1"/>
      <c r="RSC235" s="1"/>
      <c r="RSD235" s="1"/>
      <c r="RSE235" s="1"/>
      <c r="RSF235" s="1"/>
      <c r="RSG235" s="1"/>
      <c r="RSH235" s="1"/>
      <c r="RSI235" s="1"/>
      <c r="RSJ235" s="1"/>
      <c r="RSK235" s="1"/>
      <c r="RSL235" s="1"/>
      <c r="RSM235" s="1"/>
      <c r="RSN235" s="1"/>
      <c r="RSO235" s="1"/>
      <c r="RSP235" s="1"/>
      <c r="RSQ235" s="1"/>
      <c r="RSR235" s="1"/>
      <c r="RSS235" s="1"/>
      <c r="RST235" s="1"/>
      <c r="RSU235" s="1"/>
      <c r="RSV235" s="1"/>
      <c r="RSW235" s="1"/>
      <c r="RSX235" s="1"/>
      <c r="RSY235" s="1"/>
      <c r="RSZ235" s="1"/>
      <c r="RTA235" s="1"/>
      <c r="RTB235" s="1"/>
      <c r="RTC235" s="1"/>
      <c r="RTD235" s="1"/>
      <c r="RTE235" s="1"/>
      <c r="RTF235" s="1"/>
      <c r="RTG235" s="1"/>
      <c r="RTH235" s="1"/>
      <c r="RTI235" s="1"/>
      <c r="RTJ235" s="1"/>
      <c r="RTK235" s="1"/>
      <c r="RTL235" s="1"/>
      <c r="RTM235" s="1"/>
      <c r="RTN235" s="1"/>
      <c r="RTO235" s="1"/>
      <c r="RTP235" s="1"/>
      <c r="RTQ235" s="1"/>
      <c r="RTR235" s="1"/>
      <c r="RTS235" s="1"/>
      <c r="RTT235" s="1"/>
      <c r="RTU235" s="1"/>
      <c r="RTV235" s="1"/>
      <c r="RTW235" s="1"/>
      <c r="RTX235" s="1"/>
      <c r="RTY235" s="1"/>
      <c r="RTZ235" s="1"/>
      <c r="RUA235" s="1"/>
      <c r="RUB235" s="1"/>
      <c r="RUC235" s="1"/>
      <c r="RUD235" s="1"/>
      <c r="RUE235" s="1"/>
      <c r="RUF235" s="1"/>
      <c r="RUG235" s="1"/>
      <c r="RUH235" s="1"/>
      <c r="RUI235" s="1"/>
      <c r="RUJ235" s="1"/>
      <c r="RUK235" s="1"/>
      <c r="RUL235" s="1"/>
      <c r="RUM235" s="1"/>
      <c r="RUN235" s="1"/>
      <c r="RUO235" s="1"/>
      <c r="RUP235" s="1"/>
      <c r="RUQ235" s="1"/>
      <c r="RUR235" s="1"/>
      <c r="RUS235" s="1"/>
      <c r="RUT235" s="1"/>
      <c r="RUU235" s="1"/>
      <c r="RUV235" s="1"/>
      <c r="RUW235" s="1"/>
      <c r="RUX235" s="1"/>
      <c r="RUY235" s="1"/>
      <c r="RUZ235" s="1"/>
      <c r="RVA235" s="1"/>
      <c r="RVB235" s="1"/>
      <c r="RVC235" s="1"/>
      <c r="RVD235" s="1"/>
      <c r="RVE235" s="1"/>
      <c r="RVF235" s="1"/>
      <c r="RVG235" s="1"/>
      <c r="RVH235" s="1"/>
      <c r="RVI235" s="1"/>
      <c r="RVJ235" s="1"/>
      <c r="RVK235" s="1"/>
      <c r="RVL235" s="1"/>
      <c r="RVM235" s="1"/>
      <c r="RVN235" s="1"/>
      <c r="RVO235" s="1"/>
      <c r="RVP235" s="1"/>
      <c r="RVQ235" s="1"/>
      <c r="RVR235" s="1"/>
      <c r="RVS235" s="1"/>
      <c r="RVT235" s="1"/>
      <c r="RVU235" s="1"/>
      <c r="RVV235" s="1"/>
      <c r="RVW235" s="1"/>
      <c r="RVX235" s="1"/>
      <c r="RVY235" s="1"/>
      <c r="RVZ235" s="1"/>
      <c r="RWA235" s="1"/>
      <c r="RWB235" s="1"/>
      <c r="RWC235" s="1"/>
      <c r="RWD235" s="1"/>
      <c r="RWE235" s="1"/>
      <c r="RWF235" s="1"/>
      <c r="RWG235" s="1"/>
      <c r="RWH235" s="1"/>
      <c r="RWI235" s="1"/>
      <c r="RWJ235" s="1"/>
      <c r="RWK235" s="1"/>
      <c r="RWL235" s="1"/>
      <c r="RWM235" s="1"/>
      <c r="RWN235" s="1"/>
      <c r="RWO235" s="1"/>
      <c r="RWP235" s="1"/>
      <c r="RWQ235" s="1"/>
      <c r="RWR235" s="1"/>
      <c r="RWS235" s="1"/>
      <c r="RWT235" s="1"/>
      <c r="RWU235" s="1"/>
      <c r="RWV235" s="1"/>
      <c r="RWW235" s="1"/>
      <c r="RWX235" s="1"/>
      <c r="RWY235" s="1"/>
      <c r="RWZ235" s="1"/>
      <c r="RXA235" s="1"/>
      <c r="RXB235" s="1"/>
      <c r="RXC235" s="1"/>
      <c r="RXD235" s="1"/>
      <c r="RXE235" s="1"/>
      <c r="RXF235" s="1"/>
      <c r="RXG235" s="1"/>
      <c r="RXH235" s="1"/>
      <c r="RXI235" s="1"/>
      <c r="RXJ235" s="1"/>
      <c r="RXK235" s="1"/>
      <c r="RXL235" s="1"/>
      <c r="RXM235" s="1"/>
      <c r="RXN235" s="1"/>
      <c r="RXO235" s="1"/>
      <c r="RXP235" s="1"/>
      <c r="RXQ235" s="1"/>
      <c r="RXR235" s="1"/>
      <c r="RXS235" s="1"/>
      <c r="RXT235" s="1"/>
      <c r="RXU235" s="1"/>
      <c r="RXV235" s="1"/>
      <c r="RXW235" s="1"/>
      <c r="RXX235" s="1"/>
      <c r="RXY235" s="1"/>
      <c r="RXZ235" s="1"/>
      <c r="RYA235" s="1"/>
      <c r="RYB235" s="1"/>
      <c r="RYC235" s="1"/>
      <c r="RYD235" s="1"/>
      <c r="RYE235" s="1"/>
      <c r="RYF235" s="1"/>
      <c r="RYG235" s="1"/>
      <c r="RYH235" s="1"/>
      <c r="RYI235" s="1"/>
      <c r="RYJ235" s="1"/>
      <c r="RYK235" s="1"/>
      <c r="RYL235" s="1"/>
      <c r="RYM235" s="1"/>
      <c r="RYN235" s="1"/>
      <c r="RYO235" s="1"/>
      <c r="RYP235" s="1"/>
      <c r="RYQ235" s="1"/>
      <c r="RYR235" s="1"/>
      <c r="RYS235" s="1"/>
      <c r="RYT235" s="1"/>
      <c r="RYU235" s="1"/>
      <c r="RYV235" s="1"/>
      <c r="RYW235" s="1"/>
      <c r="RYX235" s="1"/>
      <c r="RYY235" s="1"/>
      <c r="RYZ235" s="1"/>
      <c r="RZA235" s="1"/>
      <c r="RZB235" s="1"/>
      <c r="RZC235" s="1"/>
      <c r="RZD235" s="1"/>
      <c r="RZE235" s="1"/>
      <c r="RZF235" s="1"/>
      <c r="RZG235" s="1"/>
      <c r="RZH235" s="1"/>
      <c r="RZI235" s="1"/>
      <c r="RZJ235" s="1"/>
      <c r="RZK235" s="1"/>
      <c r="RZL235" s="1"/>
      <c r="RZM235" s="1"/>
      <c r="RZN235" s="1"/>
      <c r="RZO235" s="1"/>
      <c r="RZP235" s="1"/>
      <c r="RZQ235" s="1"/>
      <c r="RZR235" s="1"/>
      <c r="RZS235" s="1"/>
      <c r="RZT235" s="1"/>
      <c r="RZU235" s="1"/>
      <c r="RZV235" s="1"/>
      <c r="RZW235" s="1"/>
      <c r="RZX235" s="1"/>
      <c r="RZY235" s="1"/>
      <c r="RZZ235" s="1"/>
      <c r="SAA235" s="1"/>
      <c r="SAB235" s="1"/>
      <c r="SAC235" s="1"/>
      <c r="SAD235" s="1"/>
      <c r="SAE235" s="1"/>
      <c r="SAF235" s="1"/>
      <c r="SAG235" s="1"/>
      <c r="SAH235" s="1"/>
      <c r="SAI235" s="1"/>
      <c r="SAJ235" s="1"/>
      <c r="SAK235" s="1"/>
      <c r="SAL235" s="1"/>
      <c r="SAM235" s="1"/>
      <c r="SAN235" s="1"/>
      <c r="SAO235" s="1"/>
      <c r="SAP235" s="1"/>
      <c r="SAQ235" s="1"/>
      <c r="SAR235" s="1"/>
      <c r="SAS235" s="1"/>
      <c r="SAT235" s="1"/>
      <c r="SAU235" s="1"/>
      <c r="SAV235" s="1"/>
      <c r="SAW235" s="1"/>
      <c r="SAX235" s="1"/>
      <c r="SAY235" s="1"/>
      <c r="SAZ235" s="1"/>
      <c r="SBA235" s="1"/>
      <c r="SBB235" s="1"/>
      <c r="SBC235" s="1"/>
      <c r="SBD235" s="1"/>
      <c r="SBE235" s="1"/>
      <c r="SBF235" s="1"/>
      <c r="SBG235" s="1"/>
      <c r="SBH235" s="1"/>
      <c r="SBI235" s="1"/>
      <c r="SBJ235" s="1"/>
      <c r="SBK235" s="1"/>
      <c r="SBL235" s="1"/>
      <c r="SBM235" s="1"/>
      <c r="SBN235" s="1"/>
      <c r="SBO235" s="1"/>
      <c r="SBP235" s="1"/>
      <c r="SBQ235" s="1"/>
      <c r="SBR235" s="1"/>
      <c r="SBS235" s="1"/>
      <c r="SBT235" s="1"/>
      <c r="SBU235" s="1"/>
      <c r="SBV235" s="1"/>
      <c r="SBW235" s="1"/>
      <c r="SBX235" s="1"/>
      <c r="SBY235" s="1"/>
      <c r="SBZ235" s="1"/>
      <c r="SCA235" s="1"/>
      <c r="SCB235" s="1"/>
      <c r="SCC235" s="1"/>
      <c r="SCD235" s="1"/>
      <c r="SCE235" s="1"/>
      <c r="SCF235" s="1"/>
      <c r="SCG235" s="1"/>
      <c r="SCH235" s="1"/>
      <c r="SCI235" s="1"/>
      <c r="SCJ235" s="1"/>
      <c r="SCK235" s="1"/>
      <c r="SCL235" s="1"/>
      <c r="SCM235" s="1"/>
      <c r="SCN235" s="1"/>
      <c r="SCO235" s="1"/>
      <c r="SCP235" s="1"/>
      <c r="SCQ235" s="1"/>
      <c r="SCR235" s="1"/>
      <c r="SCS235" s="1"/>
      <c r="SCT235" s="1"/>
      <c r="SCU235" s="1"/>
      <c r="SCV235" s="1"/>
      <c r="SCW235" s="1"/>
      <c r="SCX235" s="1"/>
      <c r="SCY235" s="1"/>
      <c r="SCZ235" s="1"/>
      <c r="SDA235" s="1"/>
      <c r="SDB235" s="1"/>
      <c r="SDC235" s="1"/>
      <c r="SDD235" s="1"/>
      <c r="SDE235" s="1"/>
      <c r="SDF235" s="1"/>
      <c r="SDG235" s="1"/>
      <c r="SDH235" s="1"/>
      <c r="SDI235" s="1"/>
      <c r="SDJ235" s="1"/>
      <c r="SDK235" s="1"/>
      <c r="SDL235" s="1"/>
      <c r="SDM235" s="1"/>
      <c r="SDN235" s="1"/>
      <c r="SDO235" s="1"/>
      <c r="SDP235" s="1"/>
      <c r="SDQ235" s="1"/>
      <c r="SDR235" s="1"/>
      <c r="SDS235" s="1"/>
      <c r="SDT235" s="1"/>
      <c r="SDU235" s="1"/>
      <c r="SDV235" s="1"/>
      <c r="SDW235" s="1"/>
      <c r="SDX235" s="1"/>
      <c r="SDY235" s="1"/>
      <c r="SDZ235" s="1"/>
      <c r="SEA235" s="1"/>
      <c r="SEB235" s="1"/>
      <c r="SEC235" s="1"/>
      <c r="SED235" s="1"/>
      <c r="SEE235" s="1"/>
      <c r="SEF235" s="1"/>
      <c r="SEG235" s="1"/>
      <c r="SEH235" s="1"/>
      <c r="SEI235" s="1"/>
      <c r="SEJ235" s="1"/>
      <c r="SEK235" s="1"/>
      <c r="SEL235" s="1"/>
      <c r="SEM235" s="1"/>
      <c r="SEN235" s="1"/>
      <c r="SEO235" s="1"/>
      <c r="SEP235" s="1"/>
      <c r="SEQ235" s="1"/>
      <c r="SER235" s="1"/>
      <c r="SES235" s="1"/>
      <c r="SET235" s="1"/>
      <c r="SEU235" s="1"/>
      <c r="SEV235" s="1"/>
      <c r="SEW235" s="1"/>
      <c r="SEX235" s="1"/>
      <c r="SEY235" s="1"/>
      <c r="SEZ235" s="1"/>
      <c r="SFA235" s="1"/>
      <c r="SFB235" s="1"/>
      <c r="SFC235" s="1"/>
      <c r="SFD235" s="1"/>
      <c r="SFE235" s="1"/>
      <c r="SFF235" s="1"/>
      <c r="SFG235" s="1"/>
      <c r="SFH235" s="1"/>
      <c r="SFI235" s="1"/>
      <c r="SFJ235" s="1"/>
      <c r="SFK235" s="1"/>
      <c r="SFL235" s="1"/>
      <c r="SFM235" s="1"/>
      <c r="SFN235" s="1"/>
      <c r="SFO235" s="1"/>
      <c r="SFP235" s="1"/>
      <c r="SFQ235" s="1"/>
      <c r="SFR235" s="1"/>
      <c r="SFS235" s="1"/>
      <c r="SFT235" s="1"/>
      <c r="SFU235" s="1"/>
      <c r="SFV235" s="1"/>
      <c r="SFW235" s="1"/>
      <c r="SFX235" s="1"/>
      <c r="SFY235" s="1"/>
      <c r="SFZ235" s="1"/>
      <c r="SGA235" s="1"/>
      <c r="SGB235" s="1"/>
      <c r="SGC235" s="1"/>
      <c r="SGD235" s="1"/>
      <c r="SGE235" s="1"/>
      <c r="SGF235" s="1"/>
      <c r="SGG235" s="1"/>
      <c r="SGH235" s="1"/>
      <c r="SGI235" s="1"/>
      <c r="SGJ235" s="1"/>
      <c r="SGK235" s="1"/>
      <c r="SGL235" s="1"/>
      <c r="SGM235" s="1"/>
      <c r="SGN235" s="1"/>
      <c r="SGO235" s="1"/>
      <c r="SGP235" s="1"/>
      <c r="SGQ235" s="1"/>
      <c r="SGR235" s="1"/>
      <c r="SGS235" s="1"/>
      <c r="SGT235" s="1"/>
      <c r="SGU235" s="1"/>
      <c r="SGV235" s="1"/>
      <c r="SGW235" s="1"/>
      <c r="SGX235" s="1"/>
      <c r="SGY235" s="1"/>
      <c r="SGZ235" s="1"/>
      <c r="SHA235" s="1"/>
      <c r="SHB235" s="1"/>
      <c r="SHC235" s="1"/>
      <c r="SHD235" s="1"/>
      <c r="SHE235" s="1"/>
      <c r="SHF235" s="1"/>
      <c r="SHG235" s="1"/>
      <c r="SHH235" s="1"/>
      <c r="SHI235" s="1"/>
      <c r="SHJ235" s="1"/>
      <c r="SHK235" s="1"/>
      <c r="SHL235" s="1"/>
      <c r="SHM235" s="1"/>
      <c r="SHN235" s="1"/>
      <c r="SHO235" s="1"/>
      <c r="SHP235" s="1"/>
      <c r="SHQ235" s="1"/>
      <c r="SHR235" s="1"/>
      <c r="SHS235" s="1"/>
      <c r="SHT235" s="1"/>
      <c r="SHU235" s="1"/>
      <c r="SHV235" s="1"/>
      <c r="SHW235" s="1"/>
      <c r="SHX235" s="1"/>
      <c r="SHY235" s="1"/>
      <c r="SHZ235" s="1"/>
      <c r="SIA235" s="1"/>
      <c r="SIB235" s="1"/>
      <c r="SIC235" s="1"/>
      <c r="SID235" s="1"/>
      <c r="SIE235" s="1"/>
      <c r="SIF235" s="1"/>
      <c r="SIG235" s="1"/>
      <c r="SIH235" s="1"/>
      <c r="SII235" s="1"/>
      <c r="SIJ235" s="1"/>
      <c r="SIK235" s="1"/>
      <c r="SIL235" s="1"/>
      <c r="SIM235" s="1"/>
      <c r="SIN235" s="1"/>
      <c r="SIO235" s="1"/>
      <c r="SIP235" s="1"/>
      <c r="SIQ235" s="1"/>
      <c r="SIR235" s="1"/>
      <c r="SIS235" s="1"/>
      <c r="SIT235" s="1"/>
      <c r="SIU235" s="1"/>
      <c r="SIV235" s="1"/>
      <c r="SIW235" s="1"/>
      <c r="SIX235" s="1"/>
      <c r="SIY235" s="1"/>
      <c r="SIZ235" s="1"/>
      <c r="SJA235" s="1"/>
      <c r="SJB235" s="1"/>
      <c r="SJC235" s="1"/>
      <c r="SJD235" s="1"/>
      <c r="SJE235" s="1"/>
      <c r="SJF235" s="1"/>
      <c r="SJG235" s="1"/>
      <c r="SJH235" s="1"/>
      <c r="SJI235" s="1"/>
      <c r="SJJ235" s="1"/>
      <c r="SJK235" s="1"/>
      <c r="SJL235" s="1"/>
      <c r="SJM235" s="1"/>
      <c r="SJN235" s="1"/>
      <c r="SJO235" s="1"/>
      <c r="SJP235" s="1"/>
      <c r="SJQ235" s="1"/>
      <c r="SJR235" s="1"/>
      <c r="SJS235" s="1"/>
      <c r="SJT235" s="1"/>
      <c r="SJU235" s="1"/>
      <c r="SJV235" s="1"/>
      <c r="SJW235" s="1"/>
      <c r="SJX235" s="1"/>
      <c r="SJY235" s="1"/>
      <c r="SJZ235" s="1"/>
      <c r="SKA235" s="1"/>
      <c r="SKB235" s="1"/>
      <c r="SKC235" s="1"/>
      <c r="SKD235" s="1"/>
      <c r="SKE235" s="1"/>
      <c r="SKF235" s="1"/>
      <c r="SKG235" s="1"/>
      <c r="SKH235" s="1"/>
      <c r="SKI235" s="1"/>
      <c r="SKJ235" s="1"/>
      <c r="SKK235" s="1"/>
      <c r="SKL235" s="1"/>
      <c r="SKM235" s="1"/>
      <c r="SKN235" s="1"/>
      <c r="SKO235" s="1"/>
      <c r="SKP235" s="1"/>
      <c r="SKQ235" s="1"/>
      <c r="SKR235" s="1"/>
      <c r="SKS235" s="1"/>
      <c r="SKT235" s="1"/>
      <c r="SKU235" s="1"/>
      <c r="SKV235" s="1"/>
      <c r="SKW235" s="1"/>
      <c r="SKX235" s="1"/>
      <c r="SKY235" s="1"/>
      <c r="SKZ235" s="1"/>
      <c r="SLA235" s="1"/>
      <c r="SLB235" s="1"/>
      <c r="SLC235" s="1"/>
      <c r="SLD235" s="1"/>
      <c r="SLE235" s="1"/>
      <c r="SLF235" s="1"/>
      <c r="SLG235" s="1"/>
      <c r="SLH235" s="1"/>
      <c r="SLI235" s="1"/>
      <c r="SLJ235" s="1"/>
      <c r="SLK235" s="1"/>
      <c r="SLL235" s="1"/>
      <c r="SLM235" s="1"/>
      <c r="SLN235" s="1"/>
      <c r="SLO235" s="1"/>
      <c r="SLP235" s="1"/>
      <c r="SLQ235" s="1"/>
      <c r="SLR235" s="1"/>
      <c r="SLS235" s="1"/>
      <c r="SLT235" s="1"/>
      <c r="SLU235" s="1"/>
      <c r="SLV235" s="1"/>
      <c r="SLW235" s="1"/>
      <c r="SLX235" s="1"/>
      <c r="SLY235" s="1"/>
      <c r="SLZ235" s="1"/>
      <c r="SMA235" s="1"/>
      <c r="SMB235" s="1"/>
      <c r="SMC235" s="1"/>
      <c r="SMD235" s="1"/>
      <c r="SME235" s="1"/>
      <c r="SMF235" s="1"/>
      <c r="SMG235" s="1"/>
      <c r="SMH235" s="1"/>
      <c r="SMI235" s="1"/>
      <c r="SMJ235" s="1"/>
      <c r="SMK235" s="1"/>
      <c r="SML235" s="1"/>
      <c r="SMM235" s="1"/>
      <c r="SMN235" s="1"/>
      <c r="SMO235" s="1"/>
      <c r="SMP235" s="1"/>
      <c r="SMQ235" s="1"/>
      <c r="SMR235" s="1"/>
      <c r="SMS235" s="1"/>
      <c r="SMT235" s="1"/>
      <c r="SMU235" s="1"/>
      <c r="SMV235" s="1"/>
      <c r="SMW235" s="1"/>
      <c r="SMX235" s="1"/>
      <c r="SMY235" s="1"/>
      <c r="SMZ235" s="1"/>
      <c r="SNA235" s="1"/>
      <c r="SNB235" s="1"/>
      <c r="SNC235" s="1"/>
      <c r="SND235" s="1"/>
      <c r="SNE235" s="1"/>
      <c r="SNF235" s="1"/>
      <c r="SNG235" s="1"/>
      <c r="SNH235" s="1"/>
      <c r="SNI235" s="1"/>
      <c r="SNJ235" s="1"/>
      <c r="SNK235" s="1"/>
      <c r="SNL235" s="1"/>
      <c r="SNM235" s="1"/>
      <c r="SNN235" s="1"/>
      <c r="SNO235" s="1"/>
      <c r="SNP235" s="1"/>
      <c r="SNQ235" s="1"/>
      <c r="SNR235" s="1"/>
      <c r="SNS235" s="1"/>
      <c r="SNT235" s="1"/>
      <c r="SNU235" s="1"/>
      <c r="SNV235" s="1"/>
      <c r="SNW235" s="1"/>
      <c r="SNX235" s="1"/>
      <c r="SNY235" s="1"/>
      <c r="SNZ235" s="1"/>
      <c r="SOA235" s="1"/>
      <c r="SOB235" s="1"/>
      <c r="SOC235" s="1"/>
      <c r="SOD235" s="1"/>
      <c r="SOE235" s="1"/>
      <c r="SOF235" s="1"/>
      <c r="SOG235" s="1"/>
      <c r="SOH235" s="1"/>
      <c r="SOI235" s="1"/>
      <c r="SOJ235" s="1"/>
      <c r="SOK235" s="1"/>
      <c r="SOL235" s="1"/>
      <c r="SOM235" s="1"/>
      <c r="SON235" s="1"/>
      <c r="SOO235" s="1"/>
      <c r="SOP235" s="1"/>
      <c r="SOQ235" s="1"/>
      <c r="SOR235" s="1"/>
      <c r="SOS235" s="1"/>
      <c r="SOT235" s="1"/>
      <c r="SOU235" s="1"/>
      <c r="SOV235" s="1"/>
      <c r="SOW235" s="1"/>
      <c r="SOX235" s="1"/>
      <c r="SOY235" s="1"/>
      <c r="SOZ235" s="1"/>
      <c r="SPA235" s="1"/>
      <c r="SPB235" s="1"/>
      <c r="SPC235" s="1"/>
      <c r="SPD235" s="1"/>
      <c r="SPE235" s="1"/>
      <c r="SPF235" s="1"/>
      <c r="SPG235" s="1"/>
      <c r="SPH235" s="1"/>
      <c r="SPI235" s="1"/>
      <c r="SPJ235" s="1"/>
      <c r="SPK235" s="1"/>
      <c r="SPL235" s="1"/>
      <c r="SPM235" s="1"/>
      <c r="SPN235" s="1"/>
      <c r="SPO235" s="1"/>
      <c r="SPP235" s="1"/>
      <c r="SPQ235" s="1"/>
      <c r="SPR235" s="1"/>
      <c r="SPS235" s="1"/>
      <c r="SPT235" s="1"/>
      <c r="SPU235" s="1"/>
      <c r="SPV235" s="1"/>
      <c r="SPW235" s="1"/>
      <c r="SPX235" s="1"/>
      <c r="SPY235" s="1"/>
      <c r="SPZ235" s="1"/>
      <c r="SQA235" s="1"/>
      <c r="SQB235" s="1"/>
      <c r="SQC235" s="1"/>
      <c r="SQD235" s="1"/>
      <c r="SQE235" s="1"/>
      <c r="SQF235" s="1"/>
      <c r="SQG235" s="1"/>
      <c r="SQH235" s="1"/>
      <c r="SQI235" s="1"/>
      <c r="SQJ235" s="1"/>
      <c r="SQK235" s="1"/>
      <c r="SQL235" s="1"/>
      <c r="SQM235" s="1"/>
      <c r="SQN235" s="1"/>
      <c r="SQO235" s="1"/>
      <c r="SQP235" s="1"/>
      <c r="SQQ235" s="1"/>
      <c r="SQR235" s="1"/>
      <c r="SQS235" s="1"/>
      <c r="SQT235" s="1"/>
      <c r="SQU235" s="1"/>
      <c r="SQV235" s="1"/>
      <c r="SQW235" s="1"/>
      <c r="SQX235" s="1"/>
      <c r="SQY235" s="1"/>
      <c r="SQZ235" s="1"/>
      <c r="SRA235" s="1"/>
      <c r="SRB235" s="1"/>
      <c r="SRC235" s="1"/>
      <c r="SRD235" s="1"/>
      <c r="SRE235" s="1"/>
      <c r="SRF235" s="1"/>
      <c r="SRG235" s="1"/>
      <c r="SRH235" s="1"/>
      <c r="SRI235" s="1"/>
      <c r="SRJ235" s="1"/>
      <c r="SRK235" s="1"/>
      <c r="SRL235" s="1"/>
      <c r="SRM235" s="1"/>
      <c r="SRN235" s="1"/>
      <c r="SRO235" s="1"/>
      <c r="SRP235" s="1"/>
      <c r="SRQ235" s="1"/>
      <c r="SRR235" s="1"/>
      <c r="SRS235" s="1"/>
      <c r="SRT235" s="1"/>
      <c r="SRU235" s="1"/>
      <c r="SRV235" s="1"/>
      <c r="SRW235" s="1"/>
      <c r="SRX235" s="1"/>
      <c r="SRY235" s="1"/>
      <c r="SRZ235" s="1"/>
      <c r="SSA235" s="1"/>
      <c r="SSB235" s="1"/>
      <c r="SSC235" s="1"/>
      <c r="SSD235" s="1"/>
      <c r="SSE235" s="1"/>
      <c r="SSF235" s="1"/>
      <c r="SSG235" s="1"/>
      <c r="SSH235" s="1"/>
      <c r="SSI235" s="1"/>
      <c r="SSJ235" s="1"/>
      <c r="SSK235" s="1"/>
      <c r="SSL235" s="1"/>
      <c r="SSM235" s="1"/>
      <c r="SSN235" s="1"/>
      <c r="SSO235" s="1"/>
      <c r="SSP235" s="1"/>
      <c r="SSQ235" s="1"/>
      <c r="SSR235" s="1"/>
      <c r="SSS235" s="1"/>
      <c r="SST235" s="1"/>
      <c r="SSU235" s="1"/>
      <c r="SSV235" s="1"/>
      <c r="SSW235" s="1"/>
      <c r="SSX235" s="1"/>
      <c r="SSY235" s="1"/>
      <c r="SSZ235" s="1"/>
      <c r="STA235" s="1"/>
      <c r="STB235" s="1"/>
      <c r="STC235" s="1"/>
      <c r="STD235" s="1"/>
      <c r="STE235" s="1"/>
      <c r="STF235" s="1"/>
      <c r="STG235" s="1"/>
      <c r="STH235" s="1"/>
      <c r="STI235" s="1"/>
      <c r="STJ235" s="1"/>
      <c r="STK235" s="1"/>
      <c r="STL235" s="1"/>
      <c r="STM235" s="1"/>
      <c r="STN235" s="1"/>
      <c r="STO235" s="1"/>
      <c r="STP235" s="1"/>
      <c r="STQ235" s="1"/>
      <c r="STR235" s="1"/>
      <c r="STS235" s="1"/>
      <c r="STT235" s="1"/>
      <c r="STU235" s="1"/>
      <c r="STV235" s="1"/>
      <c r="STW235" s="1"/>
      <c r="STX235" s="1"/>
      <c r="STY235" s="1"/>
      <c r="STZ235" s="1"/>
      <c r="SUA235" s="1"/>
      <c r="SUB235" s="1"/>
      <c r="SUC235" s="1"/>
      <c r="SUD235" s="1"/>
      <c r="SUE235" s="1"/>
      <c r="SUF235" s="1"/>
      <c r="SUG235" s="1"/>
      <c r="SUH235" s="1"/>
      <c r="SUI235" s="1"/>
      <c r="SUJ235" s="1"/>
      <c r="SUK235" s="1"/>
      <c r="SUL235" s="1"/>
      <c r="SUM235" s="1"/>
      <c r="SUN235" s="1"/>
      <c r="SUO235" s="1"/>
      <c r="SUP235" s="1"/>
      <c r="SUQ235" s="1"/>
      <c r="SUR235" s="1"/>
      <c r="SUS235" s="1"/>
      <c r="SUT235" s="1"/>
      <c r="SUU235" s="1"/>
      <c r="SUV235" s="1"/>
      <c r="SUW235" s="1"/>
      <c r="SUX235" s="1"/>
      <c r="SUY235" s="1"/>
      <c r="SUZ235" s="1"/>
      <c r="SVA235" s="1"/>
      <c r="SVB235" s="1"/>
      <c r="SVC235" s="1"/>
      <c r="SVD235" s="1"/>
      <c r="SVE235" s="1"/>
      <c r="SVF235" s="1"/>
      <c r="SVG235" s="1"/>
      <c r="SVH235" s="1"/>
      <c r="SVI235" s="1"/>
      <c r="SVJ235" s="1"/>
      <c r="SVK235" s="1"/>
      <c r="SVL235" s="1"/>
      <c r="SVM235" s="1"/>
      <c r="SVN235" s="1"/>
      <c r="SVO235" s="1"/>
      <c r="SVP235" s="1"/>
      <c r="SVQ235" s="1"/>
      <c r="SVR235" s="1"/>
      <c r="SVS235" s="1"/>
      <c r="SVT235" s="1"/>
      <c r="SVU235" s="1"/>
      <c r="SVV235" s="1"/>
      <c r="SVW235" s="1"/>
      <c r="SVX235" s="1"/>
      <c r="SVY235" s="1"/>
      <c r="SVZ235" s="1"/>
      <c r="SWA235" s="1"/>
      <c r="SWB235" s="1"/>
      <c r="SWC235" s="1"/>
      <c r="SWD235" s="1"/>
      <c r="SWE235" s="1"/>
      <c r="SWF235" s="1"/>
      <c r="SWG235" s="1"/>
      <c r="SWH235" s="1"/>
      <c r="SWI235" s="1"/>
      <c r="SWJ235" s="1"/>
      <c r="SWK235" s="1"/>
      <c r="SWL235" s="1"/>
      <c r="SWM235" s="1"/>
      <c r="SWN235" s="1"/>
      <c r="SWO235" s="1"/>
      <c r="SWP235" s="1"/>
      <c r="SWQ235" s="1"/>
      <c r="SWR235" s="1"/>
      <c r="SWS235" s="1"/>
      <c r="SWT235" s="1"/>
      <c r="SWU235" s="1"/>
      <c r="SWV235" s="1"/>
      <c r="SWW235" s="1"/>
      <c r="SWX235" s="1"/>
      <c r="SWY235" s="1"/>
      <c r="SWZ235" s="1"/>
      <c r="SXA235" s="1"/>
      <c r="SXB235" s="1"/>
      <c r="SXC235" s="1"/>
      <c r="SXD235" s="1"/>
      <c r="SXE235" s="1"/>
      <c r="SXF235" s="1"/>
      <c r="SXG235" s="1"/>
      <c r="SXH235" s="1"/>
      <c r="SXI235" s="1"/>
      <c r="SXJ235" s="1"/>
      <c r="SXK235" s="1"/>
      <c r="SXL235" s="1"/>
      <c r="SXM235" s="1"/>
      <c r="SXN235" s="1"/>
      <c r="SXO235" s="1"/>
      <c r="SXP235" s="1"/>
      <c r="SXQ235" s="1"/>
      <c r="SXR235" s="1"/>
      <c r="SXS235" s="1"/>
      <c r="SXT235" s="1"/>
      <c r="SXU235" s="1"/>
      <c r="SXV235" s="1"/>
      <c r="SXW235" s="1"/>
      <c r="SXX235" s="1"/>
      <c r="SXY235" s="1"/>
      <c r="SXZ235" s="1"/>
      <c r="SYA235" s="1"/>
      <c r="SYB235" s="1"/>
      <c r="SYC235" s="1"/>
      <c r="SYD235" s="1"/>
      <c r="SYE235" s="1"/>
      <c r="SYF235" s="1"/>
      <c r="SYG235" s="1"/>
      <c r="SYH235" s="1"/>
      <c r="SYI235" s="1"/>
      <c r="SYJ235" s="1"/>
      <c r="SYK235" s="1"/>
      <c r="SYL235" s="1"/>
      <c r="SYM235" s="1"/>
      <c r="SYN235" s="1"/>
      <c r="SYO235" s="1"/>
      <c r="SYP235" s="1"/>
      <c r="SYQ235" s="1"/>
      <c r="SYR235" s="1"/>
      <c r="SYS235" s="1"/>
      <c r="SYT235" s="1"/>
      <c r="SYU235" s="1"/>
      <c r="SYV235" s="1"/>
      <c r="SYW235" s="1"/>
      <c r="SYX235" s="1"/>
      <c r="SYY235" s="1"/>
      <c r="SYZ235" s="1"/>
      <c r="SZA235" s="1"/>
      <c r="SZB235" s="1"/>
      <c r="SZC235" s="1"/>
      <c r="SZD235" s="1"/>
      <c r="SZE235" s="1"/>
      <c r="SZF235" s="1"/>
      <c r="SZG235" s="1"/>
      <c r="SZH235" s="1"/>
      <c r="SZI235" s="1"/>
      <c r="SZJ235" s="1"/>
      <c r="SZK235" s="1"/>
      <c r="SZL235" s="1"/>
      <c r="SZM235" s="1"/>
      <c r="SZN235" s="1"/>
      <c r="SZO235" s="1"/>
      <c r="SZP235" s="1"/>
      <c r="SZQ235" s="1"/>
      <c r="SZR235" s="1"/>
      <c r="SZS235" s="1"/>
      <c r="SZT235" s="1"/>
      <c r="SZU235" s="1"/>
      <c r="SZV235" s="1"/>
      <c r="SZW235" s="1"/>
      <c r="SZX235" s="1"/>
      <c r="SZY235" s="1"/>
      <c r="SZZ235" s="1"/>
      <c r="TAA235" s="1"/>
      <c r="TAB235" s="1"/>
      <c r="TAC235" s="1"/>
      <c r="TAD235" s="1"/>
      <c r="TAE235" s="1"/>
      <c r="TAF235" s="1"/>
      <c r="TAG235" s="1"/>
      <c r="TAH235" s="1"/>
      <c r="TAI235" s="1"/>
      <c r="TAJ235" s="1"/>
      <c r="TAK235" s="1"/>
      <c r="TAL235" s="1"/>
      <c r="TAM235" s="1"/>
      <c r="TAN235" s="1"/>
      <c r="TAO235" s="1"/>
      <c r="TAP235" s="1"/>
      <c r="TAQ235" s="1"/>
      <c r="TAR235" s="1"/>
      <c r="TAS235" s="1"/>
      <c r="TAT235" s="1"/>
      <c r="TAU235" s="1"/>
      <c r="TAV235" s="1"/>
      <c r="TAW235" s="1"/>
      <c r="TAX235" s="1"/>
      <c r="TAY235" s="1"/>
      <c r="TAZ235" s="1"/>
      <c r="TBA235" s="1"/>
      <c r="TBB235" s="1"/>
      <c r="TBC235" s="1"/>
      <c r="TBD235" s="1"/>
      <c r="TBE235" s="1"/>
      <c r="TBF235" s="1"/>
      <c r="TBG235" s="1"/>
      <c r="TBH235" s="1"/>
      <c r="TBI235" s="1"/>
      <c r="TBJ235" s="1"/>
      <c r="TBK235" s="1"/>
      <c r="TBL235" s="1"/>
      <c r="TBM235" s="1"/>
      <c r="TBN235" s="1"/>
      <c r="TBO235" s="1"/>
      <c r="TBP235" s="1"/>
      <c r="TBQ235" s="1"/>
      <c r="TBR235" s="1"/>
      <c r="TBS235" s="1"/>
      <c r="TBT235" s="1"/>
      <c r="TBU235" s="1"/>
      <c r="TBV235" s="1"/>
      <c r="TBW235" s="1"/>
      <c r="TBX235" s="1"/>
      <c r="TBY235" s="1"/>
      <c r="TBZ235" s="1"/>
      <c r="TCA235" s="1"/>
      <c r="TCB235" s="1"/>
      <c r="TCC235" s="1"/>
      <c r="TCD235" s="1"/>
      <c r="TCE235" s="1"/>
      <c r="TCF235" s="1"/>
      <c r="TCG235" s="1"/>
      <c r="TCH235" s="1"/>
      <c r="TCI235" s="1"/>
      <c r="TCJ235" s="1"/>
      <c r="TCK235" s="1"/>
      <c r="TCL235" s="1"/>
      <c r="TCM235" s="1"/>
      <c r="TCN235" s="1"/>
      <c r="TCO235" s="1"/>
      <c r="TCP235" s="1"/>
      <c r="TCQ235" s="1"/>
      <c r="TCR235" s="1"/>
      <c r="TCS235" s="1"/>
      <c r="TCT235" s="1"/>
      <c r="TCU235" s="1"/>
      <c r="TCV235" s="1"/>
      <c r="TCW235" s="1"/>
      <c r="TCX235" s="1"/>
      <c r="TCY235" s="1"/>
      <c r="TCZ235" s="1"/>
      <c r="TDA235" s="1"/>
      <c r="TDB235" s="1"/>
      <c r="TDC235" s="1"/>
      <c r="TDD235" s="1"/>
      <c r="TDE235" s="1"/>
      <c r="TDF235" s="1"/>
      <c r="TDG235" s="1"/>
      <c r="TDH235" s="1"/>
      <c r="TDI235" s="1"/>
      <c r="TDJ235" s="1"/>
      <c r="TDK235" s="1"/>
      <c r="TDL235" s="1"/>
      <c r="TDM235" s="1"/>
      <c r="TDN235" s="1"/>
      <c r="TDO235" s="1"/>
      <c r="TDP235" s="1"/>
      <c r="TDQ235" s="1"/>
      <c r="TDR235" s="1"/>
      <c r="TDS235" s="1"/>
      <c r="TDT235" s="1"/>
      <c r="TDU235" s="1"/>
      <c r="TDV235" s="1"/>
      <c r="TDW235" s="1"/>
      <c r="TDX235" s="1"/>
      <c r="TDY235" s="1"/>
      <c r="TDZ235" s="1"/>
      <c r="TEA235" s="1"/>
      <c r="TEB235" s="1"/>
      <c r="TEC235" s="1"/>
      <c r="TED235" s="1"/>
      <c r="TEE235" s="1"/>
      <c r="TEF235" s="1"/>
      <c r="TEG235" s="1"/>
      <c r="TEH235" s="1"/>
      <c r="TEI235" s="1"/>
      <c r="TEJ235" s="1"/>
      <c r="TEK235" s="1"/>
      <c r="TEL235" s="1"/>
      <c r="TEM235" s="1"/>
      <c r="TEN235" s="1"/>
      <c r="TEO235" s="1"/>
      <c r="TEP235" s="1"/>
      <c r="TEQ235" s="1"/>
      <c r="TER235" s="1"/>
      <c r="TES235" s="1"/>
      <c r="TET235" s="1"/>
      <c r="TEU235" s="1"/>
      <c r="TEV235" s="1"/>
      <c r="TEW235" s="1"/>
      <c r="TEX235" s="1"/>
      <c r="TEY235" s="1"/>
      <c r="TEZ235" s="1"/>
      <c r="TFA235" s="1"/>
      <c r="TFB235" s="1"/>
      <c r="TFC235" s="1"/>
      <c r="TFD235" s="1"/>
      <c r="TFE235" s="1"/>
      <c r="TFF235" s="1"/>
      <c r="TFG235" s="1"/>
      <c r="TFH235" s="1"/>
      <c r="TFI235" s="1"/>
      <c r="TFJ235" s="1"/>
      <c r="TFK235" s="1"/>
      <c r="TFL235" s="1"/>
      <c r="TFM235" s="1"/>
      <c r="TFN235" s="1"/>
      <c r="TFO235" s="1"/>
      <c r="TFP235" s="1"/>
      <c r="TFQ235" s="1"/>
      <c r="TFR235" s="1"/>
      <c r="TFS235" s="1"/>
      <c r="TFT235" s="1"/>
      <c r="TFU235" s="1"/>
      <c r="TFV235" s="1"/>
      <c r="TFW235" s="1"/>
      <c r="TFX235" s="1"/>
      <c r="TFY235" s="1"/>
      <c r="TFZ235" s="1"/>
      <c r="TGA235" s="1"/>
      <c r="TGB235" s="1"/>
      <c r="TGC235" s="1"/>
      <c r="TGD235" s="1"/>
      <c r="TGE235" s="1"/>
      <c r="TGF235" s="1"/>
      <c r="TGG235" s="1"/>
      <c r="TGH235" s="1"/>
      <c r="TGI235" s="1"/>
      <c r="TGJ235" s="1"/>
      <c r="TGK235" s="1"/>
      <c r="TGL235" s="1"/>
      <c r="TGM235" s="1"/>
      <c r="TGN235" s="1"/>
      <c r="TGO235" s="1"/>
      <c r="TGP235" s="1"/>
      <c r="TGQ235" s="1"/>
      <c r="TGR235" s="1"/>
      <c r="TGS235" s="1"/>
      <c r="TGT235" s="1"/>
      <c r="TGU235" s="1"/>
      <c r="TGV235" s="1"/>
      <c r="TGW235" s="1"/>
      <c r="TGX235" s="1"/>
      <c r="TGY235" s="1"/>
      <c r="TGZ235" s="1"/>
      <c r="THA235" s="1"/>
      <c r="THB235" s="1"/>
      <c r="THC235" s="1"/>
      <c r="THD235" s="1"/>
      <c r="THE235" s="1"/>
      <c r="THF235" s="1"/>
      <c r="THG235" s="1"/>
      <c r="THH235" s="1"/>
      <c r="THI235" s="1"/>
      <c r="THJ235" s="1"/>
      <c r="THK235" s="1"/>
      <c r="THL235" s="1"/>
      <c r="THM235" s="1"/>
      <c r="THN235" s="1"/>
      <c r="THO235" s="1"/>
      <c r="THP235" s="1"/>
      <c r="THQ235" s="1"/>
      <c r="THR235" s="1"/>
      <c r="THS235" s="1"/>
      <c r="THT235" s="1"/>
      <c r="THU235" s="1"/>
      <c r="THV235" s="1"/>
      <c r="THW235" s="1"/>
      <c r="THX235" s="1"/>
      <c r="THY235" s="1"/>
      <c r="THZ235" s="1"/>
      <c r="TIA235" s="1"/>
      <c r="TIB235" s="1"/>
      <c r="TIC235" s="1"/>
      <c r="TID235" s="1"/>
      <c r="TIE235" s="1"/>
      <c r="TIF235" s="1"/>
      <c r="TIG235" s="1"/>
      <c r="TIH235" s="1"/>
      <c r="TII235" s="1"/>
      <c r="TIJ235" s="1"/>
      <c r="TIK235" s="1"/>
      <c r="TIL235" s="1"/>
      <c r="TIM235" s="1"/>
      <c r="TIN235" s="1"/>
      <c r="TIO235" s="1"/>
      <c r="TIP235" s="1"/>
      <c r="TIQ235" s="1"/>
      <c r="TIR235" s="1"/>
      <c r="TIS235" s="1"/>
      <c r="TIT235" s="1"/>
      <c r="TIU235" s="1"/>
      <c r="TIV235" s="1"/>
      <c r="TIW235" s="1"/>
      <c r="TIX235" s="1"/>
      <c r="TIY235" s="1"/>
      <c r="TIZ235" s="1"/>
      <c r="TJA235" s="1"/>
      <c r="TJB235" s="1"/>
      <c r="TJC235" s="1"/>
      <c r="TJD235" s="1"/>
      <c r="TJE235" s="1"/>
      <c r="TJF235" s="1"/>
      <c r="TJG235" s="1"/>
      <c r="TJH235" s="1"/>
      <c r="TJI235" s="1"/>
      <c r="TJJ235" s="1"/>
      <c r="TJK235" s="1"/>
      <c r="TJL235" s="1"/>
      <c r="TJM235" s="1"/>
      <c r="TJN235" s="1"/>
      <c r="TJO235" s="1"/>
      <c r="TJP235" s="1"/>
      <c r="TJQ235" s="1"/>
      <c r="TJR235" s="1"/>
      <c r="TJS235" s="1"/>
      <c r="TJT235" s="1"/>
      <c r="TJU235" s="1"/>
      <c r="TJV235" s="1"/>
      <c r="TJW235" s="1"/>
      <c r="TJX235" s="1"/>
      <c r="TJY235" s="1"/>
      <c r="TJZ235" s="1"/>
      <c r="TKA235" s="1"/>
      <c r="TKB235" s="1"/>
      <c r="TKC235" s="1"/>
      <c r="TKD235" s="1"/>
      <c r="TKE235" s="1"/>
      <c r="TKF235" s="1"/>
      <c r="TKG235" s="1"/>
      <c r="TKH235" s="1"/>
      <c r="TKI235" s="1"/>
      <c r="TKJ235" s="1"/>
      <c r="TKK235" s="1"/>
      <c r="TKL235" s="1"/>
      <c r="TKM235" s="1"/>
      <c r="TKN235" s="1"/>
      <c r="TKO235" s="1"/>
      <c r="TKP235" s="1"/>
      <c r="TKQ235" s="1"/>
      <c r="TKR235" s="1"/>
      <c r="TKS235" s="1"/>
      <c r="TKT235" s="1"/>
      <c r="TKU235" s="1"/>
      <c r="TKV235" s="1"/>
      <c r="TKW235" s="1"/>
      <c r="TKX235" s="1"/>
      <c r="TKY235" s="1"/>
      <c r="TKZ235" s="1"/>
      <c r="TLA235" s="1"/>
      <c r="TLB235" s="1"/>
      <c r="TLC235" s="1"/>
      <c r="TLD235" s="1"/>
      <c r="TLE235" s="1"/>
      <c r="TLF235" s="1"/>
      <c r="TLG235" s="1"/>
      <c r="TLH235" s="1"/>
      <c r="TLI235" s="1"/>
      <c r="TLJ235" s="1"/>
      <c r="TLK235" s="1"/>
      <c r="TLL235" s="1"/>
      <c r="TLM235" s="1"/>
      <c r="TLN235" s="1"/>
      <c r="TLO235" s="1"/>
      <c r="TLP235" s="1"/>
      <c r="TLQ235" s="1"/>
      <c r="TLR235" s="1"/>
      <c r="TLS235" s="1"/>
      <c r="TLT235" s="1"/>
      <c r="TLU235" s="1"/>
      <c r="TLV235" s="1"/>
      <c r="TLW235" s="1"/>
      <c r="TLX235" s="1"/>
      <c r="TLY235" s="1"/>
      <c r="TLZ235" s="1"/>
      <c r="TMA235" s="1"/>
      <c r="TMB235" s="1"/>
      <c r="TMC235" s="1"/>
      <c r="TMD235" s="1"/>
      <c r="TME235" s="1"/>
      <c r="TMF235" s="1"/>
      <c r="TMG235" s="1"/>
      <c r="TMH235" s="1"/>
      <c r="TMI235" s="1"/>
      <c r="TMJ235" s="1"/>
      <c r="TMK235" s="1"/>
      <c r="TML235" s="1"/>
      <c r="TMM235" s="1"/>
      <c r="TMN235" s="1"/>
      <c r="TMO235" s="1"/>
      <c r="TMP235" s="1"/>
      <c r="TMQ235" s="1"/>
      <c r="TMR235" s="1"/>
      <c r="TMS235" s="1"/>
      <c r="TMT235" s="1"/>
      <c r="TMU235" s="1"/>
      <c r="TMV235" s="1"/>
      <c r="TMW235" s="1"/>
      <c r="TMX235" s="1"/>
      <c r="TMY235" s="1"/>
      <c r="TMZ235" s="1"/>
      <c r="TNA235" s="1"/>
      <c r="TNB235" s="1"/>
      <c r="TNC235" s="1"/>
      <c r="TND235" s="1"/>
      <c r="TNE235" s="1"/>
      <c r="TNF235" s="1"/>
      <c r="TNG235" s="1"/>
      <c r="TNH235" s="1"/>
      <c r="TNI235" s="1"/>
      <c r="TNJ235" s="1"/>
      <c r="TNK235" s="1"/>
      <c r="TNL235" s="1"/>
      <c r="TNM235" s="1"/>
      <c r="TNN235" s="1"/>
      <c r="TNO235" s="1"/>
      <c r="TNP235" s="1"/>
      <c r="TNQ235" s="1"/>
      <c r="TNR235" s="1"/>
      <c r="TNS235" s="1"/>
      <c r="TNT235" s="1"/>
      <c r="TNU235" s="1"/>
      <c r="TNV235" s="1"/>
      <c r="TNW235" s="1"/>
      <c r="TNX235" s="1"/>
      <c r="TNY235" s="1"/>
      <c r="TNZ235" s="1"/>
      <c r="TOA235" s="1"/>
      <c r="TOB235" s="1"/>
      <c r="TOC235" s="1"/>
      <c r="TOD235" s="1"/>
      <c r="TOE235" s="1"/>
      <c r="TOF235" s="1"/>
      <c r="TOG235" s="1"/>
      <c r="TOH235" s="1"/>
      <c r="TOI235" s="1"/>
      <c r="TOJ235" s="1"/>
      <c r="TOK235" s="1"/>
      <c r="TOL235" s="1"/>
      <c r="TOM235" s="1"/>
      <c r="TON235" s="1"/>
      <c r="TOO235" s="1"/>
      <c r="TOP235" s="1"/>
      <c r="TOQ235" s="1"/>
      <c r="TOR235" s="1"/>
      <c r="TOS235" s="1"/>
      <c r="TOT235" s="1"/>
      <c r="TOU235" s="1"/>
      <c r="TOV235" s="1"/>
      <c r="TOW235" s="1"/>
      <c r="TOX235" s="1"/>
      <c r="TOY235" s="1"/>
      <c r="TOZ235" s="1"/>
      <c r="TPA235" s="1"/>
      <c r="TPB235" s="1"/>
      <c r="TPC235" s="1"/>
      <c r="TPD235" s="1"/>
      <c r="TPE235" s="1"/>
      <c r="TPF235" s="1"/>
      <c r="TPG235" s="1"/>
      <c r="TPH235" s="1"/>
      <c r="TPI235" s="1"/>
      <c r="TPJ235" s="1"/>
      <c r="TPK235" s="1"/>
      <c r="TPL235" s="1"/>
      <c r="TPM235" s="1"/>
      <c r="TPN235" s="1"/>
      <c r="TPO235" s="1"/>
      <c r="TPP235" s="1"/>
      <c r="TPQ235" s="1"/>
      <c r="TPR235" s="1"/>
      <c r="TPS235" s="1"/>
      <c r="TPT235" s="1"/>
      <c r="TPU235" s="1"/>
      <c r="TPV235" s="1"/>
      <c r="TPW235" s="1"/>
      <c r="TPX235" s="1"/>
      <c r="TPY235" s="1"/>
      <c r="TPZ235" s="1"/>
      <c r="TQA235" s="1"/>
      <c r="TQB235" s="1"/>
      <c r="TQC235" s="1"/>
      <c r="TQD235" s="1"/>
      <c r="TQE235" s="1"/>
      <c r="TQF235" s="1"/>
      <c r="TQG235" s="1"/>
      <c r="TQH235" s="1"/>
      <c r="TQI235" s="1"/>
      <c r="TQJ235" s="1"/>
      <c r="TQK235" s="1"/>
      <c r="TQL235" s="1"/>
      <c r="TQM235" s="1"/>
      <c r="TQN235" s="1"/>
      <c r="TQO235" s="1"/>
      <c r="TQP235" s="1"/>
      <c r="TQQ235" s="1"/>
      <c r="TQR235" s="1"/>
      <c r="TQS235" s="1"/>
      <c r="TQT235" s="1"/>
      <c r="TQU235" s="1"/>
      <c r="TQV235" s="1"/>
      <c r="TQW235" s="1"/>
      <c r="TQX235" s="1"/>
      <c r="TQY235" s="1"/>
      <c r="TQZ235" s="1"/>
      <c r="TRA235" s="1"/>
      <c r="TRB235" s="1"/>
      <c r="TRC235" s="1"/>
      <c r="TRD235" s="1"/>
      <c r="TRE235" s="1"/>
      <c r="TRF235" s="1"/>
      <c r="TRG235" s="1"/>
      <c r="TRH235" s="1"/>
      <c r="TRI235" s="1"/>
      <c r="TRJ235" s="1"/>
      <c r="TRK235" s="1"/>
      <c r="TRL235" s="1"/>
      <c r="TRM235" s="1"/>
      <c r="TRN235" s="1"/>
      <c r="TRO235" s="1"/>
      <c r="TRP235" s="1"/>
      <c r="TRQ235" s="1"/>
      <c r="TRR235" s="1"/>
      <c r="TRS235" s="1"/>
      <c r="TRT235" s="1"/>
      <c r="TRU235" s="1"/>
      <c r="TRV235" s="1"/>
      <c r="TRW235" s="1"/>
      <c r="TRX235" s="1"/>
      <c r="TRY235" s="1"/>
      <c r="TRZ235" s="1"/>
      <c r="TSA235" s="1"/>
      <c r="TSB235" s="1"/>
      <c r="TSC235" s="1"/>
      <c r="TSD235" s="1"/>
      <c r="TSE235" s="1"/>
      <c r="TSF235" s="1"/>
      <c r="TSG235" s="1"/>
      <c r="TSH235" s="1"/>
      <c r="TSI235" s="1"/>
      <c r="TSJ235" s="1"/>
      <c r="TSK235" s="1"/>
      <c r="TSL235" s="1"/>
      <c r="TSM235" s="1"/>
      <c r="TSN235" s="1"/>
      <c r="TSO235" s="1"/>
      <c r="TSP235" s="1"/>
      <c r="TSQ235" s="1"/>
      <c r="TSR235" s="1"/>
      <c r="TSS235" s="1"/>
      <c r="TST235" s="1"/>
      <c r="TSU235" s="1"/>
      <c r="TSV235" s="1"/>
      <c r="TSW235" s="1"/>
      <c r="TSX235" s="1"/>
      <c r="TSY235" s="1"/>
      <c r="TSZ235" s="1"/>
      <c r="TTA235" s="1"/>
      <c r="TTB235" s="1"/>
      <c r="TTC235" s="1"/>
      <c r="TTD235" s="1"/>
      <c r="TTE235" s="1"/>
      <c r="TTF235" s="1"/>
      <c r="TTG235" s="1"/>
      <c r="TTH235" s="1"/>
      <c r="TTI235" s="1"/>
      <c r="TTJ235" s="1"/>
      <c r="TTK235" s="1"/>
      <c r="TTL235" s="1"/>
      <c r="TTM235" s="1"/>
      <c r="TTN235" s="1"/>
      <c r="TTO235" s="1"/>
      <c r="TTP235" s="1"/>
      <c r="TTQ235" s="1"/>
      <c r="TTR235" s="1"/>
      <c r="TTS235" s="1"/>
      <c r="TTT235" s="1"/>
      <c r="TTU235" s="1"/>
      <c r="TTV235" s="1"/>
      <c r="TTW235" s="1"/>
      <c r="TTX235" s="1"/>
      <c r="TTY235" s="1"/>
      <c r="TTZ235" s="1"/>
      <c r="TUA235" s="1"/>
      <c r="TUB235" s="1"/>
      <c r="TUC235" s="1"/>
      <c r="TUD235" s="1"/>
      <c r="TUE235" s="1"/>
      <c r="TUF235" s="1"/>
      <c r="TUG235" s="1"/>
      <c r="TUH235" s="1"/>
      <c r="TUI235" s="1"/>
      <c r="TUJ235" s="1"/>
      <c r="TUK235" s="1"/>
      <c r="TUL235" s="1"/>
      <c r="TUM235" s="1"/>
      <c r="TUN235" s="1"/>
      <c r="TUO235" s="1"/>
      <c r="TUP235" s="1"/>
      <c r="TUQ235" s="1"/>
      <c r="TUR235" s="1"/>
      <c r="TUS235" s="1"/>
      <c r="TUT235" s="1"/>
      <c r="TUU235" s="1"/>
      <c r="TUV235" s="1"/>
      <c r="TUW235" s="1"/>
      <c r="TUX235" s="1"/>
      <c r="TUY235" s="1"/>
      <c r="TUZ235" s="1"/>
      <c r="TVA235" s="1"/>
      <c r="TVB235" s="1"/>
      <c r="TVC235" s="1"/>
      <c r="TVD235" s="1"/>
      <c r="TVE235" s="1"/>
      <c r="TVF235" s="1"/>
      <c r="TVG235" s="1"/>
      <c r="TVH235" s="1"/>
      <c r="TVI235" s="1"/>
      <c r="TVJ235" s="1"/>
      <c r="TVK235" s="1"/>
      <c r="TVL235" s="1"/>
      <c r="TVM235" s="1"/>
      <c r="TVN235" s="1"/>
      <c r="TVO235" s="1"/>
      <c r="TVP235" s="1"/>
      <c r="TVQ235" s="1"/>
      <c r="TVR235" s="1"/>
      <c r="TVS235" s="1"/>
      <c r="TVT235" s="1"/>
      <c r="TVU235" s="1"/>
      <c r="TVV235" s="1"/>
      <c r="TVW235" s="1"/>
      <c r="TVX235" s="1"/>
      <c r="TVY235" s="1"/>
      <c r="TVZ235" s="1"/>
      <c r="TWA235" s="1"/>
      <c r="TWB235" s="1"/>
      <c r="TWC235" s="1"/>
      <c r="TWD235" s="1"/>
      <c r="TWE235" s="1"/>
      <c r="TWF235" s="1"/>
      <c r="TWG235" s="1"/>
      <c r="TWH235" s="1"/>
      <c r="TWI235" s="1"/>
      <c r="TWJ235" s="1"/>
      <c r="TWK235" s="1"/>
      <c r="TWL235" s="1"/>
      <c r="TWM235" s="1"/>
      <c r="TWN235" s="1"/>
      <c r="TWO235" s="1"/>
      <c r="TWP235" s="1"/>
      <c r="TWQ235" s="1"/>
      <c r="TWR235" s="1"/>
      <c r="TWS235" s="1"/>
      <c r="TWT235" s="1"/>
      <c r="TWU235" s="1"/>
      <c r="TWV235" s="1"/>
      <c r="TWW235" s="1"/>
      <c r="TWX235" s="1"/>
      <c r="TWY235" s="1"/>
      <c r="TWZ235" s="1"/>
      <c r="TXA235" s="1"/>
      <c r="TXB235" s="1"/>
      <c r="TXC235" s="1"/>
      <c r="TXD235" s="1"/>
      <c r="TXE235" s="1"/>
      <c r="TXF235" s="1"/>
      <c r="TXG235" s="1"/>
      <c r="TXH235" s="1"/>
      <c r="TXI235" s="1"/>
      <c r="TXJ235" s="1"/>
      <c r="TXK235" s="1"/>
      <c r="TXL235" s="1"/>
      <c r="TXM235" s="1"/>
      <c r="TXN235" s="1"/>
      <c r="TXO235" s="1"/>
      <c r="TXP235" s="1"/>
      <c r="TXQ235" s="1"/>
      <c r="TXR235" s="1"/>
      <c r="TXS235" s="1"/>
      <c r="TXT235" s="1"/>
      <c r="TXU235" s="1"/>
      <c r="TXV235" s="1"/>
      <c r="TXW235" s="1"/>
      <c r="TXX235" s="1"/>
      <c r="TXY235" s="1"/>
      <c r="TXZ235" s="1"/>
      <c r="TYA235" s="1"/>
      <c r="TYB235" s="1"/>
      <c r="TYC235" s="1"/>
      <c r="TYD235" s="1"/>
      <c r="TYE235" s="1"/>
      <c r="TYF235" s="1"/>
      <c r="TYG235" s="1"/>
      <c r="TYH235" s="1"/>
      <c r="TYI235" s="1"/>
      <c r="TYJ235" s="1"/>
      <c r="TYK235" s="1"/>
      <c r="TYL235" s="1"/>
      <c r="TYM235" s="1"/>
      <c r="TYN235" s="1"/>
      <c r="TYO235" s="1"/>
      <c r="TYP235" s="1"/>
      <c r="TYQ235" s="1"/>
      <c r="TYR235" s="1"/>
      <c r="TYS235" s="1"/>
      <c r="TYT235" s="1"/>
      <c r="TYU235" s="1"/>
      <c r="TYV235" s="1"/>
      <c r="TYW235" s="1"/>
      <c r="TYX235" s="1"/>
      <c r="TYY235" s="1"/>
      <c r="TYZ235" s="1"/>
      <c r="TZA235" s="1"/>
      <c r="TZB235" s="1"/>
      <c r="TZC235" s="1"/>
      <c r="TZD235" s="1"/>
      <c r="TZE235" s="1"/>
      <c r="TZF235" s="1"/>
      <c r="TZG235" s="1"/>
      <c r="TZH235" s="1"/>
      <c r="TZI235" s="1"/>
      <c r="TZJ235" s="1"/>
      <c r="TZK235" s="1"/>
      <c r="TZL235" s="1"/>
      <c r="TZM235" s="1"/>
      <c r="TZN235" s="1"/>
      <c r="TZO235" s="1"/>
      <c r="TZP235" s="1"/>
      <c r="TZQ235" s="1"/>
      <c r="TZR235" s="1"/>
      <c r="TZS235" s="1"/>
      <c r="TZT235" s="1"/>
      <c r="TZU235" s="1"/>
      <c r="TZV235" s="1"/>
      <c r="TZW235" s="1"/>
      <c r="TZX235" s="1"/>
      <c r="TZY235" s="1"/>
      <c r="TZZ235" s="1"/>
      <c r="UAA235" s="1"/>
      <c r="UAB235" s="1"/>
      <c r="UAC235" s="1"/>
      <c r="UAD235" s="1"/>
      <c r="UAE235" s="1"/>
      <c r="UAF235" s="1"/>
      <c r="UAG235" s="1"/>
      <c r="UAH235" s="1"/>
      <c r="UAI235" s="1"/>
      <c r="UAJ235" s="1"/>
      <c r="UAK235" s="1"/>
      <c r="UAL235" s="1"/>
      <c r="UAM235" s="1"/>
      <c r="UAN235" s="1"/>
      <c r="UAO235" s="1"/>
      <c r="UAP235" s="1"/>
      <c r="UAQ235" s="1"/>
      <c r="UAR235" s="1"/>
      <c r="UAS235" s="1"/>
      <c r="UAT235" s="1"/>
      <c r="UAU235" s="1"/>
      <c r="UAV235" s="1"/>
      <c r="UAW235" s="1"/>
      <c r="UAX235" s="1"/>
      <c r="UAY235" s="1"/>
      <c r="UAZ235" s="1"/>
      <c r="UBA235" s="1"/>
      <c r="UBB235" s="1"/>
      <c r="UBC235" s="1"/>
      <c r="UBD235" s="1"/>
      <c r="UBE235" s="1"/>
      <c r="UBF235" s="1"/>
      <c r="UBG235" s="1"/>
      <c r="UBH235" s="1"/>
      <c r="UBI235" s="1"/>
      <c r="UBJ235" s="1"/>
      <c r="UBK235" s="1"/>
      <c r="UBL235" s="1"/>
      <c r="UBM235" s="1"/>
      <c r="UBN235" s="1"/>
      <c r="UBO235" s="1"/>
      <c r="UBP235" s="1"/>
      <c r="UBQ235" s="1"/>
      <c r="UBR235" s="1"/>
      <c r="UBS235" s="1"/>
      <c r="UBT235" s="1"/>
      <c r="UBU235" s="1"/>
      <c r="UBV235" s="1"/>
      <c r="UBW235" s="1"/>
      <c r="UBX235" s="1"/>
      <c r="UBY235" s="1"/>
      <c r="UBZ235" s="1"/>
      <c r="UCA235" s="1"/>
      <c r="UCB235" s="1"/>
      <c r="UCC235" s="1"/>
      <c r="UCD235" s="1"/>
      <c r="UCE235" s="1"/>
      <c r="UCF235" s="1"/>
      <c r="UCG235" s="1"/>
      <c r="UCH235" s="1"/>
      <c r="UCI235" s="1"/>
      <c r="UCJ235" s="1"/>
      <c r="UCK235" s="1"/>
      <c r="UCL235" s="1"/>
      <c r="UCM235" s="1"/>
      <c r="UCN235" s="1"/>
      <c r="UCO235" s="1"/>
      <c r="UCP235" s="1"/>
      <c r="UCQ235" s="1"/>
      <c r="UCR235" s="1"/>
      <c r="UCS235" s="1"/>
      <c r="UCT235" s="1"/>
      <c r="UCU235" s="1"/>
      <c r="UCV235" s="1"/>
      <c r="UCW235" s="1"/>
      <c r="UCX235" s="1"/>
      <c r="UCY235" s="1"/>
      <c r="UCZ235" s="1"/>
      <c r="UDA235" s="1"/>
      <c r="UDB235" s="1"/>
      <c r="UDC235" s="1"/>
      <c r="UDD235" s="1"/>
      <c r="UDE235" s="1"/>
      <c r="UDF235" s="1"/>
      <c r="UDG235" s="1"/>
      <c r="UDH235" s="1"/>
      <c r="UDI235" s="1"/>
      <c r="UDJ235" s="1"/>
      <c r="UDK235" s="1"/>
      <c r="UDL235" s="1"/>
      <c r="UDM235" s="1"/>
      <c r="UDN235" s="1"/>
      <c r="UDO235" s="1"/>
      <c r="UDP235" s="1"/>
      <c r="UDQ235" s="1"/>
      <c r="UDR235" s="1"/>
      <c r="UDS235" s="1"/>
      <c r="UDT235" s="1"/>
      <c r="UDU235" s="1"/>
      <c r="UDV235" s="1"/>
      <c r="UDW235" s="1"/>
      <c r="UDX235" s="1"/>
      <c r="UDY235" s="1"/>
      <c r="UDZ235" s="1"/>
      <c r="UEA235" s="1"/>
      <c r="UEB235" s="1"/>
      <c r="UEC235" s="1"/>
      <c r="UED235" s="1"/>
      <c r="UEE235" s="1"/>
      <c r="UEF235" s="1"/>
      <c r="UEG235" s="1"/>
      <c r="UEH235" s="1"/>
      <c r="UEI235" s="1"/>
      <c r="UEJ235" s="1"/>
      <c r="UEK235" s="1"/>
      <c r="UEL235" s="1"/>
      <c r="UEM235" s="1"/>
      <c r="UEN235" s="1"/>
      <c r="UEO235" s="1"/>
      <c r="UEP235" s="1"/>
      <c r="UEQ235" s="1"/>
      <c r="UER235" s="1"/>
      <c r="UES235" s="1"/>
      <c r="UET235" s="1"/>
      <c r="UEU235" s="1"/>
      <c r="UEV235" s="1"/>
      <c r="UEW235" s="1"/>
      <c r="UEX235" s="1"/>
      <c r="UEY235" s="1"/>
      <c r="UEZ235" s="1"/>
      <c r="UFA235" s="1"/>
      <c r="UFB235" s="1"/>
      <c r="UFC235" s="1"/>
      <c r="UFD235" s="1"/>
      <c r="UFE235" s="1"/>
      <c r="UFF235" s="1"/>
      <c r="UFG235" s="1"/>
      <c r="UFH235" s="1"/>
      <c r="UFI235" s="1"/>
      <c r="UFJ235" s="1"/>
      <c r="UFK235" s="1"/>
      <c r="UFL235" s="1"/>
      <c r="UFM235" s="1"/>
      <c r="UFN235" s="1"/>
      <c r="UFO235" s="1"/>
      <c r="UFP235" s="1"/>
      <c r="UFQ235" s="1"/>
      <c r="UFR235" s="1"/>
      <c r="UFS235" s="1"/>
      <c r="UFT235" s="1"/>
      <c r="UFU235" s="1"/>
      <c r="UFV235" s="1"/>
      <c r="UFW235" s="1"/>
      <c r="UFX235" s="1"/>
      <c r="UFY235" s="1"/>
      <c r="UFZ235" s="1"/>
      <c r="UGA235" s="1"/>
      <c r="UGB235" s="1"/>
      <c r="UGC235" s="1"/>
      <c r="UGD235" s="1"/>
      <c r="UGE235" s="1"/>
      <c r="UGF235" s="1"/>
      <c r="UGG235" s="1"/>
      <c r="UGH235" s="1"/>
      <c r="UGI235" s="1"/>
      <c r="UGJ235" s="1"/>
      <c r="UGK235" s="1"/>
      <c r="UGL235" s="1"/>
      <c r="UGM235" s="1"/>
      <c r="UGN235" s="1"/>
      <c r="UGO235" s="1"/>
      <c r="UGP235" s="1"/>
      <c r="UGQ235" s="1"/>
      <c r="UGR235" s="1"/>
      <c r="UGS235" s="1"/>
      <c r="UGT235" s="1"/>
      <c r="UGU235" s="1"/>
      <c r="UGV235" s="1"/>
      <c r="UGW235" s="1"/>
      <c r="UGX235" s="1"/>
      <c r="UGY235" s="1"/>
      <c r="UGZ235" s="1"/>
      <c r="UHA235" s="1"/>
      <c r="UHB235" s="1"/>
      <c r="UHC235" s="1"/>
      <c r="UHD235" s="1"/>
      <c r="UHE235" s="1"/>
      <c r="UHF235" s="1"/>
      <c r="UHG235" s="1"/>
      <c r="UHH235" s="1"/>
      <c r="UHI235" s="1"/>
      <c r="UHJ235" s="1"/>
      <c r="UHK235" s="1"/>
      <c r="UHL235" s="1"/>
      <c r="UHM235" s="1"/>
      <c r="UHN235" s="1"/>
      <c r="UHO235" s="1"/>
      <c r="UHP235" s="1"/>
      <c r="UHQ235" s="1"/>
      <c r="UHR235" s="1"/>
      <c r="UHS235" s="1"/>
      <c r="UHT235" s="1"/>
      <c r="UHU235" s="1"/>
      <c r="UHV235" s="1"/>
      <c r="UHW235" s="1"/>
      <c r="UHX235" s="1"/>
      <c r="UHY235" s="1"/>
      <c r="UHZ235" s="1"/>
      <c r="UIA235" s="1"/>
      <c r="UIB235" s="1"/>
      <c r="UIC235" s="1"/>
      <c r="UID235" s="1"/>
      <c r="UIE235" s="1"/>
      <c r="UIF235" s="1"/>
      <c r="UIG235" s="1"/>
      <c r="UIH235" s="1"/>
      <c r="UII235" s="1"/>
      <c r="UIJ235" s="1"/>
      <c r="UIK235" s="1"/>
      <c r="UIL235" s="1"/>
      <c r="UIM235" s="1"/>
      <c r="UIN235" s="1"/>
      <c r="UIO235" s="1"/>
      <c r="UIP235" s="1"/>
      <c r="UIQ235" s="1"/>
      <c r="UIR235" s="1"/>
      <c r="UIS235" s="1"/>
      <c r="UIT235" s="1"/>
      <c r="UIU235" s="1"/>
      <c r="UIV235" s="1"/>
      <c r="UIW235" s="1"/>
      <c r="UIX235" s="1"/>
      <c r="UIY235" s="1"/>
      <c r="UIZ235" s="1"/>
      <c r="UJA235" s="1"/>
      <c r="UJB235" s="1"/>
      <c r="UJC235" s="1"/>
      <c r="UJD235" s="1"/>
      <c r="UJE235" s="1"/>
      <c r="UJF235" s="1"/>
      <c r="UJG235" s="1"/>
      <c r="UJH235" s="1"/>
      <c r="UJI235" s="1"/>
      <c r="UJJ235" s="1"/>
      <c r="UJK235" s="1"/>
      <c r="UJL235" s="1"/>
      <c r="UJM235" s="1"/>
      <c r="UJN235" s="1"/>
      <c r="UJO235" s="1"/>
      <c r="UJP235" s="1"/>
      <c r="UJQ235" s="1"/>
      <c r="UJR235" s="1"/>
      <c r="UJS235" s="1"/>
      <c r="UJT235" s="1"/>
      <c r="UJU235" s="1"/>
      <c r="UJV235" s="1"/>
      <c r="UJW235" s="1"/>
      <c r="UJX235" s="1"/>
      <c r="UJY235" s="1"/>
      <c r="UJZ235" s="1"/>
      <c r="UKA235" s="1"/>
      <c r="UKB235" s="1"/>
      <c r="UKC235" s="1"/>
      <c r="UKD235" s="1"/>
      <c r="UKE235" s="1"/>
      <c r="UKF235" s="1"/>
      <c r="UKG235" s="1"/>
      <c r="UKH235" s="1"/>
      <c r="UKI235" s="1"/>
      <c r="UKJ235" s="1"/>
      <c r="UKK235" s="1"/>
      <c r="UKL235" s="1"/>
      <c r="UKM235" s="1"/>
      <c r="UKN235" s="1"/>
      <c r="UKO235" s="1"/>
      <c r="UKP235" s="1"/>
      <c r="UKQ235" s="1"/>
      <c r="UKR235" s="1"/>
      <c r="UKS235" s="1"/>
      <c r="UKT235" s="1"/>
      <c r="UKU235" s="1"/>
      <c r="UKV235" s="1"/>
      <c r="UKW235" s="1"/>
      <c r="UKX235" s="1"/>
      <c r="UKY235" s="1"/>
      <c r="UKZ235" s="1"/>
      <c r="ULA235" s="1"/>
      <c r="ULB235" s="1"/>
      <c r="ULC235" s="1"/>
      <c r="ULD235" s="1"/>
      <c r="ULE235" s="1"/>
      <c r="ULF235" s="1"/>
      <c r="ULG235" s="1"/>
      <c r="ULH235" s="1"/>
      <c r="ULI235" s="1"/>
      <c r="ULJ235" s="1"/>
      <c r="ULK235" s="1"/>
      <c r="ULL235" s="1"/>
      <c r="ULM235" s="1"/>
      <c r="ULN235" s="1"/>
      <c r="ULO235" s="1"/>
      <c r="ULP235" s="1"/>
      <c r="ULQ235" s="1"/>
      <c r="ULR235" s="1"/>
      <c r="ULS235" s="1"/>
      <c r="ULT235" s="1"/>
      <c r="ULU235" s="1"/>
      <c r="ULV235" s="1"/>
      <c r="ULW235" s="1"/>
      <c r="ULX235" s="1"/>
      <c r="ULY235" s="1"/>
      <c r="ULZ235" s="1"/>
      <c r="UMA235" s="1"/>
      <c r="UMB235" s="1"/>
      <c r="UMC235" s="1"/>
      <c r="UMD235" s="1"/>
      <c r="UME235" s="1"/>
      <c r="UMF235" s="1"/>
      <c r="UMG235" s="1"/>
      <c r="UMH235" s="1"/>
      <c r="UMI235" s="1"/>
      <c r="UMJ235" s="1"/>
      <c r="UMK235" s="1"/>
      <c r="UML235" s="1"/>
      <c r="UMM235" s="1"/>
      <c r="UMN235" s="1"/>
      <c r="UMO235" s="1"/>
      <c r="UMP235" s="1"/>
      <c r="UMQ235" s="1"/>
      <c r="UMR235" s="1"/>
      <c r="UMS235" s="1"/>
      <c r="UMT235" s="1"/>
      <c r="UMU235" s="1"/>
      <c r="UMV235" s="1"/>
      <c r="UMW235" s="1"/>
      <c r="UMX235" s="1"/>
      <c r="UMY235" s="1"/>
      <c r="UMZ235" s="1"/>
      <c r="UNA235" s="1"/>
      <c r="UNB235" s="1"/>
      <c r="UNC235" s="1"/>
      <c r="UND235" s="1"/>
      <c r="UNE235" s="1"/>
      <c r="UNF235" s="1"/>
      <c r="UNG235" s="1"/>
      <c r="UNH235" s="1"/>
      <c r="UNI235" s="1"/>
      <c r="UNJ235" s="1"/>
      <c r="UNK235" s="1"/>
      <c r="UNL235" s="1"/>
      <c r="UNM235" s="1"/>
      <c r="UNN235" s="1"/>
      <c r="UNO235" s="1"/>
      <c r="UNP235" s="1"/>
      <c r="UNQ235" s="1"/>
      <c r="UNR235" s="1"/>
      <c r="UNS235" s="1"/>
      <c r="UNT235" s="1"/>
      <c r="UNU235" s="1"/>
      <c r="UNV235" s="1"/>
      <c r="UNW235" s="1"/>
      <c r="UNX235" s="1"/>
      <c r="UNY235" s="1"/>
      <c r="UNZ235" s="1"/>
      <c r="UOA235" s="1"/>
      <c r="UOB235" s="1"/>
      <c r="UOC235" s="1"/>
      <c r="UOD235" s="1"/>
      <c r="UOE235" s="1"/>
      <c r="UOF235" s="1"/>
      <c r="UOG235" s="1"/>
      <c r="UOH235" s="1"/>
      <c r="UOI235" s="1"/>
      <c r="UOJ235" s="1"/>
      <c r="UOK235" s="1"/>
      <c r="UOL235" s="1"/>
      <c r="UOM235" s="1"/>
      <c r="UON235" s="1"/>
      <c r="UOO235" s="1"/>
      <c r="UOP235" s="1"/>
      <c r="UOQ235" s="1"/>
      <c r="UOR235" s="1"/>
      <c r="UOS235" s="1"/>
      <c r="UOT235" s="1"/>
      <c r="UOU235" s="1"/>
      <c r="UOV235" s="1"/>
      <c r="UOW235" s="1"/>
      <c r="UOX235" s="1"/>
      <c r="UOY235" s="1"/>
      <c r="UOZ235" s="1"/>
      <c r="UPA235" s="1"/>
      <c r="UPB235" s="1"/>
      <c r="UPC235" s="1"/>
      <c r="UPD235" s="1"/>
      <c r="UPE235" s="1"/>
      <c r="UPF235" s="1"/>
      <c r="UPG235" s="1"/>
      <c r="UPH235" s="1"/>
      <c r="UPI235" s="1"/>
      <c r="UPJ235" s="1"/>
      <c r="UPK235" s="1"/>
      <c r="UPL235" s="1"/>
      <c r="UPM235" s="1"/>
      <c r="UPN235" s="1"/>
      <c r="UPO235" s="1"/>
      <c r="UPP235" s="1"/>
      <c r="UPQ235" s="1"/>
      <c r="UPR235" s="1"/>
      <c r="UPS235" s="1"/>
      <c r="UPT235" s="1"/>
      <c r="UPU235" s="1"/>
      <c r="UPV235" s="1"/>
      <c r="UPW235" s="1"/>
      <c r="UPX235" s="1"/>
      <c r="UPY235" s="1"/>
      <c r="UPZ235" s="1"/>
      <c r="UQA235" s="1"/>
      <c r="UQB235" s="1"/>
      <c r="UQC235" s="1"/>
      <c r="UQD235" s="1"/>
      <c r="UQE235" s="1"/>
      <c r="UQF235" s="1"/>
      <c r="UQG235" s="1"/>
      <c r="UQH235" s="1"/>
      <c r="UQI235" s="1"/>
      <c r="UQJ235" s="1"/>
      <c r="UQK235" s="1"/>
      <c r="UQL235" s="1"/>
      <c r="UQM235" s="1"/>
      <c r="UQN235" s="1"/>
      <c r="UQO235" s="1"/>
      <c r="UQP235" s="1"/>
      <c r="UQQ235" s="1"/>
      <c r="UQR235" s="1"/>
      <c r="UQS235" s="1"/>
      <c r="UQT235" s="1"/>
      <c r="UQU235" s="1"/>
      <c r="UQV235" s="1"/>
      <c r="UQW235" s="1"/>
      <c r="UQX235" s="1"/>
      <c r="UQY235" s="1"/>
      <c r="UQZ235" s="1"/>
      <c r="URA235" s="1"/>
      <c r="URB235" s="1"/>
      <c r="URC235" s="1"/>
      <c r="URD235" s="1"/>
      <c r="URE235" s="1"/>
      <c r="URF235" s="1"/>
      <c r="URG235" s="1"/>
      <c r="URH235" s="1"/>
      <c r="URI235" s="1"/>
      <c r="URJ235" s="1"/>
      <c r="URK235" s="1"/>
      <c r="URL235" s="1"/>
      <c r="URM235" s="1"/>
      <c r="URN235" s="1"/>
      <c r="URO235" s="1"/>
      <c r="URP235" s="1"/>
      <c r="URQ235" s="1"/>
      <c r="URR235" s="1"/>
      <c r="URS235" s="1"/>
      <c r="URT235" s="1"/>
      <c r="URU235" s="1"/>
      <c r="URV235" s="1"/>
      <c r="URW235" s="1"/>
      <c r="URX235" s="1"/>
      <c r="URY235" s="1"/>
      <c r="URZ235" s="1"/>
      <c r="USA235" s="1"/>
      <c r="USB235" s="1"/>
      <c r="USC235" s="1"/>
      <c r="USD235" s="1"/>
      <c r="USE235" s="1"/>
      <c r="USF235" s="1"/>
      <c r="USG235" s="1"/>
      <c r="USH235" s="1"/>
      <c r="USI235" s="1"/>
      <c r="USJ235" s="1"/>
      <c r="USK235" s="1"/>
      <c r="USL235" s="1"/>
      <c r="USM235" s="1"/>
      <c r="USN235" s="1"/>
      <c r="USO235" s="1"/>
      <c r="USP235" s="1"/>
      <c r="USQ235" s="1"/>
      <c r="USR235" s="1"/>
      <c r="USS235" s="1"/>
      <c r="UST235" s="1"/>
      <c r="USU235" s="1"/>
      <c r="USV235" s="1"/>
      <c r="USW235" s="1"/>
      <c r="USX235" s="1"/>
      <c r="USY235" s="1"/>
      <c r="USZ235" s="1"/>
      <c r="UTA235" s="1"/>
      <c r="UTB235" s="1"/>
      <c r="UTC235" s="1"/>
      <c r="UTD235" s="1"/>
      <c r="UTE235" s="1"/>
      <c r="UTF235" s="1"/>
      <c r="UTG235" s="1"/>
      <c r="UTH235" s="1"/>
      <c r="UTI235" s="1"/>
      <c r="UTJ235" s="1"/>
      <c r="UTK235" s="1"/>
      <c r="UTL235" s="1"/>
      <c r="UTM235" s="1"/>
      <c r="UTN235" s="1"/>
      <c r="UTO235" s="1"/>
      <c r="UTP235" s="1"/>
      <c r="UTQ235" s="1"/>
      <c r="UTR235" s="1"/>
      <c r="UTS235" s="1"/>
      <c r="UTT235" s="1"/>
      <c r="UTU235" s="1"/>
      <c r="UTV235" s="1"/>
      <c r="UTW235" s="1"/>
      <c r="UTX235" s="1"/>
      <c r="UTY235" s="1"/>
      <c r="UTZ235" s="1"/>
      <c r="UUA235" s="1"/>
      <c r="UUB235" s="1"/>
      <c r="UUC235" s="1"/>
      <c r="UUD235" s="1"/>
      <c r="UUE235" s="1"/>
      <c r="UUF235" s="1"/>
      <c r="UUG235" s="1"/>
      <c r="UUH235" s="1"/>
      <c r="UUI235" s="1"/>
      <c r="UUJ235" s="1"/>
      <c r="UUK235" s="1"/>
      <c r="UUL235" s="1"/>
      <c r="UUM235" s="1"/>
      <c r="UUN235" s="1"/>
      <c r="UUO235" s="1"/>
      <c r="UUP235" s="1"/>
      <c r="UUQ235" s="1"/>
      <c r="UUR235" s="1"/>
      <c r="UUS235" s="1"/>
      <c r="UUT235" s="1"/>
      <c r="UUU235" s="1"/>
      <c r="UUV235" s="1"/>
      <c r="UUW235" s="1"/>
      <c r="UUX235" s="1"/>
      <c r="UUY235" s="1"/>
      <c r="UUZ235" s="1"/>
      <c r="UVA235" s="1"/>
      <c r="UVB235" s="1"/>
      <c r="UVC235" s="1"/>
      <c r="UVD235" s="1"/>
      <c r="UVE235" s="1"/>
      <c r="UVF235" s="1"/>
      <c r="UVG235" s="1"/>
      <c r="UVH235" s="1"/>
      <c r="UVI235" s="1"/>
      <c r="UVJ235" s="1"/>
      <c r="UVK235" s="1"/>
      <c r="UVL235" s="1"/>
      <c r="UVM235" s="1"/>
      <c r="UVN235" s="1"/>
      <c r="UVO235" s="1"/>
      <c r="UVP235" s="1"/>
      <c r="UVQ235" s="1"/>
      <c r="UVR235" s="1"/>
      <c r="UVS235" s="1"/>
      <c r="UVT235" s="1"/>
      <c r="UVU235" s="1"/>
      <c r="UVV235" s="1"/>
      <c r="UVW235" s="1"/>
      <c r="UVX235" s="1"/>
      <c r="UVY235" s="1"/>
      <c r="UVZ235" s="1"/>
      <c r="UWA235" s="1"/>
      <c r="UWB235" s="1"/>
      <c r="UWC235" s="1"/>
      <c r="UWD235" s="1"/>
      <c r="UWE235" s="1"/>
      <c r="UWF235" s="1"/>
      <c r="UWG235" s="1"/>
      <c r="UWH235" s="1"/>
      <c r="UWI235" s="1"/>
      <c r="UWJ235" s="1"/>
      <c r="UWK235" s="1"/>
      <c r="UWL235" s="1"/>
      <c r="UWM235" s="1"/>
      <c r="UWN235" s="1"/>
      <c r="UWO235" s="1"/>
      <c r="UWP235" s="1"/>
      <c r="UWQ235" s="1"/>
      <c r="UWR235" s="1"/>
      <c r="UWS235" s="1"/>
      <c r="UWT235" s="1"/>
      <c r="UWU235" s="1"/>
      <c r="UWV235" s="1"/>
      <c r="UWW235" s="1"/>
      <c r="UWX235" s="1"/>
      <c r="UWY235" s="1"/>
      <c r="UWZ235" s="1"/>
      <c r="UXA235" s="1"/>
      <c r="UXB235" s="1"/>
      <c r="UXC235" s="1"/>
      <c r="UXD235" s="1"/>
      <c r="UXE235" s="1"/>
      <c r="UXF235" s="1"/>
      <c r="UXG235" s="1"/>
      <c r="UXH235" s="1"/>
      <c r="UXI235" s="1"/>
      <c r="UXJ235" s="1"/>
      <c r="UXK235" s="1"/>
      <c r="UXL235" s="1"/>
      <c r="UXM235" s="1"/>
      <c r="UXN235" s="1"/>
      <c r="UXO235" s="1"/>
      <c r="UXP235" s="1"/>
      <c r="UXQ235" s="1"/>
      <c r="UXR235" s="1"/>
      <c r="UXS235" s="1"/>
      <c r="UXT235" s="1"/>
      <c r="UXU235" s="1"/>
      <c r="UXV235" s="1"/>
      <c r="UXW235" s="1"/>
      <c r="UXX235" s="1"/>
      <c r="UXY235" s="1"/>
      <c r="UXZ235" s="1"/>
      <c r="UYA235" s="1"/>
      <c r="UYB235" s="1"/>
      <c r="UYC235" s="1"/>
      <c r="UYD235" s="1"/>
      <c r="UYE235" s="1"/>
      <c r="UYF235" s="1"/>
      <c r="UYG235" s="1"/>
      <c r="UYH235" s="1"/>
      <c r="UYI235" s="1"/>
      <c r="UYJ235" s="1"/>
      <c r="UYK235" s="1"/>
      <c r="UYL235" s="1"/>
      <c r="UYM235" s="1"/>
      <c r="UYN235" s="1"/>
      <c r="UYO235" s="1"/>
      <c r="UYP235" s="1"/>
      <c r="UYQ235" s="1"/>
      <c r="UYR235" s="1"/>
      <c r="UYS235" s="1"/>
      <c r="UYT235" s="1"/>
      <c r="UYU235" s="1"/>
      <c r="UYV235" s="1"/>
      <c r="UYW235" s="1"/>
      <c r="UYX235" s="1"/>
      <c r="UYY235" s="1"/>
      <c r="UYZ235" s="1"/>
      <c r="UZA235" s="1"/>
      <c r="UZB235" s="1"/>
      <c r="UZC235" s="1"/>
      <c r="UZD235" s="1"/>
      <c r="UZE235" s="1"/>
      <c r="UZF235" s="1"/>
      <c r="UZG235" s="1"/>
      <c r="UZH235" s="1"/>
      <c r="UZI235" s="1"/>
      <c r="UZJ235" s="1"/>
      <c r="UZK235" s="1"/>
      <c r="UZL235" s="1"/>
      <c r="UZM235" s="1"/>
      <c r="UZN235" s="1"/>
      <c r="UZO235" s="1"/>
      <c r="UZP235" s="1"/>
      <c r="UZQ235" s="1"/>
      <c r="UZR235" s="1"/>
      <c r="UZS235" s="1"/>
      <c r="UZT235" s="1"/>
      <c r="UZU235" s="1"/>
      <c r="UZV235" s="1"/>
      <c r="UZW235" s="1"/>
      <c r="UZX235" s="1"/>
      <c r="UZY235" s="1"/>
      <c r="UZZ235" s="1"/>
      <c r="VAA235" s="1"/>
      <c r="VAB235" s="1"/>
      <c r="VAC235" s="1"/>
      <c r="VAD235" s="1"/>
      <c r="VAE235" s="1"/>
      <c r="VAF235" s="1"/>
      <c r="VAG235" s="1"/>
      <c r="VAH235" s="1"/>
      <c r="VAI235" s="1"/>
      <c r="VAJ235" s="1"/>
      <c r="VAK235" s="1"/>
      <c r="VAL235" s="1"/>
      <c r="VAM235" s="1"/>
      <c r="VAN235" s="1"/>
      <c r="VAO235" s="1"/>
      <c r="VAP235" s="1"/>
      <c r="VAQ235" s="1"/>
      <c r="VAR235" s="1"/>
      <c r="VAS235" s="1"/>
      <c r="VAT235" s="1"/>
      <c r="VAU235" s="1"/>
      <c r="VAV235" s="1"/>
      <c r="VAW235" s="1"/>
      <c r="VAX235" s="1"/>
      <c r="VAY235" s="1"/>
      <c r="VAZ235" s="1"/>
      <c r="VBA235" s="1"/>
      <c r="VBB235" s="1"/>
      <c r="VBC235" s="1"/>
      <c r="VBD235" s="1"/>
      <c r="VBE235" s="1"/>
      <c r="VBF235" s="1"/>
      <c r="VBG235" s="1"/>
      <c r="VBH235" s="1"/>
      <c r="VBI235" s="1"/>
      <c r="VBJ235" s="1"/>
      <c r="VBK235" s="1"/>
      <c r="VBL235" s="1"/>
      <c r="VBM235" s="1"/>
      <c r="VBN235" s="1"/>
      <c r="VBO235" s="1"/>
      <c r="VBP235" s="1"/>
      <c r="VBQ235" s="1"/>
      <c r="VBR235" s="1"/>
      <c r="VBS235" s="1"/>
      <c r="VBT235" s="1"/>
      <c r="VBU235" s="1"/>
      <c r="VBV235" s="1"/>
      <c r="VBW235" s="1"/>
      <c r="VBX235" s="1"/>
      <c r="VBY235" s="1"/>
      <c r="VBZ235" s="1"/>
      <c r="VCA235" s="1"/>
      <c r="VCB235" s="1"/>
      <c r="VCC235" s="1"/>
      <c r="VCD235" s="1"/>
      <c r="VCE235" s="1"/>
      <c r="VCF235" s="1"/>
      <c r="VCG235" s="1"/>
      <c r="VCH235" s="1"/>
      <c r="VCI235" s="1"/>
      <c r="VCJ235" s="1"/>
      <c r="VCK235" s="1"/>
      <c r="VCL235" s="1"/>
      <c r="VCM235" s="1"/>
      <c r="VCN235" s="1"/>
      <c r="VCO235" s="1"/>
      <c r="VCP235" s="1"/>
      <c r="VCQ235" s="1"/>
      <c r="VCR235" s="1"/>
      <c r="VCS235" s="1"/>
      <c r="VCT235" s="1"/>
      <c r="VCU235" s="1"/>
      <c r="VCV235" s="1"/>
      <c r="VCW235" s="1"/>
      <c r="VCX235" s="1"/>
      <c r="VCY235" s="1"/>
      <c r="VCZ235" s="1"/>
      <c r="VDA235" s="1"/>
      <c r="VDB235" s="1"/>
      <c r="VDC235" s="1"/>
      <c r="VDD235" s="1"/>
      <c r="VDE235" s="1"/>
      <c r="VDF235" s="1"/>
      <c r="VDG235" s="1"/>
      <c r="VDH235" s="1"/>
      <c r="VDI235" s="1"/>
      <c r="VDJ235" s="1"/>
      <c r="VDK235" s="1"/>
      <c r="VDL235" s="1"/>
      <c r="VDM235" s="1"/>
      <c r="VDN235" s="1"/>
      <c r="VDO235" s="1"/>
      <c r="VDP235" s="1"/>
      <c r="VDQ235" s="1"/>
      <c r="VDR235" s="1"/>
      <c r="VDS235" s="1"/>
      <c r="VDT235" s="1"/>
      <c r="VDU235" s="1"/>
      <c r="VDV235" s="1"/>
      <c r="VDW235" s="1"/>
      <c r="VDX235" s="1"/>
      <c r="VDY235" s="1"/>
      <c r="VDZ235" s="1"/>
      <c r="VEA235" s="1"/>
      <c r="VEB235" s="1"/>
      <c r="VEC235" s="1"/>
      <c r="VED235" s="1"/>
      <c r="VEE235" s="1"/>
      <c r="VEF235" s="1"/>
      <c r="VEG235" s="1"/>
      <c r="VEH235" s="1"/>
      <c r="VEI235" s="1"/>
      <c r="VEJ235" s="1"/>
      <c r="VEK235" s="1"/>
      <c r="VEL235" s="1"/>
      <c r="VEM235" s="1"/>
      <c r="VEN235" s="1"/>
      <c r="VEO235" s="1"/>
      <c r="VEP235" s="1"/>
      <c r="VEQ235" s="1"/>
      <c r="VER235" s="1"/>
      <c r="VES235" s="1"/>
      <c r="VET235" s="1"/>
      <c r="VEU235" s="1"/>
      <c r="VEV235" s="1"/>
      <c r="VEW235" s="1"/>
      <c r="VEX235" s="1"/>
      <c r="VEY235" s="1"/>
      <c r="VEZ235" s="1"/>
      <c r="VFA235" s="1"/>
      <c r="VFB235" s="1"/>
      <c r="VFC235" s="1"/>
      <c r="VFD235" s="1"/>
      <c r="VFE235" s="1"/>
      <c r="VFF235" s="1"/>
      <c r="VFG235" s="1"/>
      <c r="VFH235" s="1"/>
      <c r="VFI235" s="1"/>
      <c r="VFJ235" s="1"/>
      <c r="VFK235" s="1"/>
      <c r="VFL235" s="1"/>
      <c r="VFM235" s="1"/>
      <c r="VFN235" s="1"/>
      <c r="VFO235" s="1"/>
      <c r="VFP235" s="1"/>
      <c r="VFQ235" s="1"/>
      <c r="VFR235" s="1"/>
      <c r="VFS235" s="1"/>
      <c r="VFT235" s="1"/>
      <c r="VFU235" s="1"/>
      <c r="VFV235" s="1"/>
      <c r="VFW235" s="1"/>
      <c r="VFX235" s="1"/>
      <c r="VFY235" s="1"/>
      <c r="VFZ235" s="1"/>
      <c r="VGA235" s="1"/>
      <c r="VGB235" s="1"/>
      <c r="VGC235" s="1"/>
      <c r="VGD235" s="1"/>
      <c r="VGE235" s="1"/>
      <c r="VGF235" s="1"/>
      <c r="VGG235" s="1"/>
      <c r="VGH235" s="1"/>
      <c r="VGI235" s="1"/>
      <c r="VGJ235" s="1"/>
      <c r="VGK235" s="1"/>
      <c r="VGL235" s="1"/>
      <c r="VGM235" s="1"/>
      <c r="VGN235" s="1"/>
      <c r="VGO235" s="1"/>
      <c r="VGP235" s="1"/>
      <c r="VGQ235" s="1"/>
      <c r="VGR235" s="1"/>
      <c r="VGS235" s="1"/>
      <c r="VGT235" s="1"/>
      <c r="VGU235" s="1"/>
      <c r="VGV235" s="1"/>
      <c r="VGW235" s="1"/>
      <c r="VGX235" s="1"/>
      <c r="VGY235" s="1"/>
      <c r="VGZ235" s="1"/>
      <c r="VHA235" s="1"/>
      <c r="VHB235" s="1"/>
      <c r="VHC235" s="1"/>
      <c r="VHD235" s="1"/>
      <c r="VHE235" s="1"/>
      <c r="VHF235" s="1"/>
      <c r="VHG235" s="1"/>
      <c r="VHH235" s="1"/>
      <c r="VHI235" s="1"/>
      <c r="VHJ235" s="1"/>
      <c r="VHK235" s="1"/>
      <c r="VHL235" s="1"/>
      <c r="VHM235" s="1"/>
      <c r="VHN235" s="1"/>
      <c r="VHO235" s="1"/>
      <c r="VHP235" s="1"/>
      <c r="VHQ235" s="1"/>
      <c r="VHR235" s="1"/>
      <c r="VHS235" s="1"/>
      <c r="VHT235" s="1"/>
      <c r="VHU235" s="1"/>
      <c r="VHV235" s="1"/>
      <c r="VHW235" s="1"/>
      <c r="VHX235" s="1"/>
      <c r="VHY235" s="1"/>
      <c r="VHZ235" s="1"/>
      <c r="VIA235" s="1"/>
      <c r="VIB235" s="1"/>
      <c r="VIC235" s="1"/>
      <c r="VID235" s="1"/>
      <c r="VIE235" s="1"/>
      <c r="VIF235" s="1"/>
      <c r="VIG235" s="1"/>
      <c r="VIH235" s="1"/>
      <c r="VII235" s="1"/>
      <c r="VIJ235" s="1"/>
      <c r="VIK235" s="1"/>
      <c r="VIL235" s="1"/>
      <c r="VIM235" s="1"/>
      <c r="VIN235" s="1"/>
      <c r="VIO235" s="1"/>
      <c r="VIP235" s="1"/>
      <c r="VIQ235" s="1"/>
      <c r="VIR235" s="1"/>
      <c r="VIS235" s="1"/>
      <c r="VIT235" s="1"/>
      <c r="VIU235" s="1"/>
      <c r="VIV235" s="1"/>
      <c r="VIW235" s="1"/>
      <c r="VIX235" s="1"/>
      <c r="VIY235" s="1"/>
      <c r="VIZ235" s="1"/>
      <c r="VJA235" s="1"/>
      <c r="VJB235" s="1"/>
      <c r="VJC235" s="1"/>
      <c r="VJD235" s="1"/>
      <c r="VJE235" s="1"/>
      <c r="VJF235" s="1"/>
      <c r="VJG235" s="1"/>
      <c r="VJH235" s="1"/>
      <c r="VJI235" s="1"/>
      <c r="VJJ235" s="1"/>
      <c r="VJK235" s="1"/>
      <c r="VJL235" s="1"/>
      <c r="VJM235" s="1"/>
      <c r="VJN235" s="1"/>
      <c r="VJO235" s="1"/>
      <c r="VJP235" s="1"/>
      <c r="VJQ235" s="1"/>
      <c r="VJR235" s="1"/>
      <c r="VJS235" s="1"/>
      <c r="VJT235" s="1"/>
      <c r="VJU235" s="1"/>
      <c r="VJV235" s="1"/>
      <c r="VJW235" s="1"/>
      <c r="VJX235" s="1"/>
      <c r="VJY235" s="1"/>
      <c r="VJZ235" s="1"/>
      <c r="VKA235" s="1"/>
      <c r="VKB235" s="1"/>
      <c r="VKC235" s="1"/>
      <c r="VKD235" s="1"/>
      <c r="VKE235" s="1"/>
      <c r="VKF235" s="1"/>
      <c r="VKG235" s="1"/>
      <c r="VKH235" s="1"/>
      <c r="VKI235" s="1"/>
      <c r="VKJ235" s="1"/>
      <c r="VKK235" s="1"/>
      <c r="VKL235" s="1"/>
      <c r="VKM235" s="1"/>
      <c r="VKN235" s="1"/>
      <c r="VKO235" s="1"/>
      <c r="VKP235" s="1"/>
      <c r="VKQ235" s="1"/>
      <c r="VKR235" s="1"/>
      <c r="VKS235" s="1"/>
      <c r="VKT235" s="1"/>
      <c r="VKU235" s="1"/>
      <c r="VKV235" s="1"/>
      <c r="VKW235" s="1"/>
      <c r="VKX235" s="1"/>
      <c r="VKY235" s="1"/>
      <c r="VKZ235" s="1"/>
      <c r="VLA235" s="1"/>
      <c r="VLB235" s="1"/>
      <c r="VLC235" s="1"/>
      <c r="VLD235" s="1"/>
      <c r="VLE235" s="1"/>
      <c r="VLF235" s="1"/>
      <c r="VLG235" s="1"/>
      <c r="VLH235" s="1"/>
      <c r="VLI235" s="1"/>
      <c r="VLJ235" s="1"/>
      <c r="VLK235" s="1"/>
      <c r="VLL235" s="1"/>
      <c r="VLM235" s="1"/>
      <c r="VLN235" s="1"/>
      <c r="VLO235" s="1"/>
      <c r="VLP235" s="1"/>
      <c r="VLQ235" s="1"/>
      <c r="VLR235" s="1"/>
      <c r="VLS235" s="1"/>
      <c r="VLT235" s="1"/>
      <c r="VLU235" s="1"/>
      <c r="VLV235" s="1"/>
      <c r="VLW235" s="1"/>
      <c r="VLX235" s="1"/>
      <c r="VLY235" s="1"/>
      <c r="VLZ235" s="1"/>
      <c r="VMA235" s="1"/>
      <c r="VMB235" s="1"/>
      <c r="VMC235" s="1"/>
      <c r="VMD235" s="1"/>
      <c r="VME235" s="1"/>
      <c r="VMF235" s="1"/>
      <c r="VMG235" s="1"/>
      <c r="VMH235" s="1"/>
      <c r="VMI235" s="1"/>
      <c r="VMJ235" s="1"/>
      <c r="VMK235" s="1"/>
      <c r="VML235" s="1"/>
      <c r="VMM235" s="1"/>
      <c r="VMN235" s="1"/>
      <c r="VMO235" s="1"/>
      <c r="VMP235" s="1"/>
      <c r="VMQ235" s="1"/>
      <c r="VMR235" s="1"/>
      <c r="VMS235" s="1"/>
      <c r="VMT235" s="1"/>
      <c r="VMU235" s="1"/>
      <c r="VMV235" s="1"/>
      <c r="VMW235" s="1"/>
      <c r="VMX235" s="1"/>
      <c r="VMY235" s="1"/>
      <c r="VMZ235" s="1"/>
      <c r="VNA235" s="1"/>
      <c r="VNB235" s="1"/>
      <c r="VNC235" s="1"/>
      <c r="VND235" s="1"/>
      <c r="VNE235" s="1"/>
      <c r="VNF235" s="1"/>
      <c r="VNG235" s="1"/>
      <c r="VNH235" s="1"/>
      <c r="VNI235" s="1"/>
      <c r="VNJ235" s="1"/>
      <c r="VNK235" s="1"/>
      <c r="VNL235" s="1"/>
      <c r="VNM235" s="1"/>
      <c r="VNN235" s="1"/>
      <c r="VNO235" s="1"/>
      <c r="VNP235" s="1"/>
      <c r="VNQ235" s="1"/>
      <c r="VNR235" s="1"/>
      <c r="VNS235" s="1"/>
      <c r="VNT235" s="1"/>
      <c r="VNU235" s="1"/>
      <c r="VNV235" s="1"/>
      <c r="VNW235" s="1"/>
      <c r="VNX235" s="1"/>
      <c r="VNY235" s="1"/>
      <c r="VNZ235" s="1"/>
      <c r="VOA235" s="1"/>
      <c r="VOB235" s="1"/>
      <c r="VOC235" s="1"/>
      <c r="VOD235" s="1"/>
      <c r="VOE235" s="1"/>
      <c r="VOF235" s="1"/>
      <c r="VOG235" s="1"/>
      <c r="VOH235" s="1"/>
      <c r="VOI235" s="1"/>
      <c r="VOJ235" s="1"/>
      <c r="VOK235" s="1"/>
      <c r="VOL235" s="1"/>
      <c r="VOM235" s="1"/>
      <c r="VON235" s="1"/>
      <c r="VOO235" s="1"/>
      <c r="VOP235" s="1"/>
      <c r="VOQ235" s="1"/>
      <c r="VOR235" s="1"/>
      <c r="VOS235" s="1"/>
      <c r="VOT235" s="1"/>
      <c r="VOU235" s="1"/>
      <c r="VOV235" s="1"/>
      <c r="VOW235" s="1"/>
      <c r="VOX235" s="1"/>
      <c r="VOY235" s="1"/>
      <c r="VOZ235" s="1"/>
      <c r="VPA235" s="1"/>
      <c r="VPB235" s="1"/>
      <c r="VPC235" s="1"/>
      <c r="VPD235" s="1"/>
      <c r="VPE235" s="1"/>
      <c r="VPF235" s="1"/>
      <c r="VPG235" s="1"/>
      <c r="VPH235" s="1"/>
      <c r="VPI235" s="1"/>
      <c r="VPJ235" s="1"/>
      <c r="VPK235" s="1"/>
      <c r="VPL235" s="1"/>
      <c r="VPM235" s="1"/>
      <c r="VPN235" s="1"/>
      <c r="VPO235" s="1"/>
      <c r="VPP235" s="1"/>
      <c r="VPQ235" s="1"/>
      <c r="VPR235" s="1"/>
      <c r="VPS235" s="1"/>
      <c r="VPT235" s="1"/>
      <c r="VPU235" s="1"/>
      <c r="VPV235" s="1"/>
      <c r="VPW235" s="1"/>
      <c r="VPX235" s="1"/>
      <c r="VPY235" s="1"/>
      <c r="VPZ235" s="1"/>
      <c r="VQA235" s="1"/>
      <c r="VQB235" s="1"/>
      <c r="VQC235" s="1"/>
      <c r="VQD235" s="1"/>
      <c r="VQE235" s="1"/>
      <c r="VQF235" s="1"/>
      <c r="VQG235" s="1"/>
      <c r="VQH235" s="1"/>
      <c r="VQI235" s="1"/>
      <c r="VQJ235" s="1"/>
      <c r="VQK235" s="1"/>
      <c r="VQL235" s="1"/>
      <c r="VQM235" s="1"/>
      <c r="VQN235" s="1"/>
      <c r="VQO235" s="1"/>
      <c r="VQP235" s="1"/>
      <c r="VQQ235" s="1"/>
      <c r="VQR235" s="1"/>
      <c r="VQS235" s="1"/>
      <c r="VQT235" s="1"/>
      <c r="VQU235" s="1"/>
      <c r="VQV235" s="1"/>
      <c r="VQW235" s="1"/>
      <c r="VQX235" s="1"/>
      <c r="VQY235" s="1"/>
      <c r="VQZ235" s="1"/>
      <c r="VRA235" s="1"/>
      <c r="VRB235" s="1"/>
      <c r="VRC235" s="1"/>
      <c r="VRD235" s="1"/>
      <c r="VRE235" s="1"/>
      <c r="VRF235" s="1"/>
      <c r="VRG235" s="1"/>
      <c r="VRH235" s="1"/>
      <c r="VRI235" s="1"/>
      <c r="VRJ235" s="1"/>
      <c r="VRK235" s="1"/>
      <c r="VRL235" s="1"/>
      <c r="VRM235" s="1"/>
      <c r="VRN235" s="1"/>
      <c r="VRO235" s="1"/>
      <c r="VRP235" s="1"/>
      <c r="VRQ235" s="1"/>
      <c r="VRR235" s="1"/>
      <c r="VRS235" s="1"/>
      <c r="VRT235" s="1"/>
      <c r="VRU235" s="1"/>
      <c r="VRV235" s="1"/>
      <c r="VRW235" s="1"/>
      <c r="VRX235" s="1"/>
      <c r="VRY235" s="1"/>
      <c r="VRZ235" s="1"/>
      <c r="VSA235" s="1"/>
      <c r="VSB235" s="1"/>
      <c r="VSC235" s="1"/>
      <c r="VSD235" s="1"/>
      <c r="VSE235" s="1"/>
      <c r="VSF235" s="1"/>
      <c r="VSG235" s="1"/>
      <c r="VSH235" s="1"/>
      <c r="VSI235" s="1"/>
      <c r="VSJ235" s="1"/>
      <c r="VSK235" s="1"/>
      <c r="VSL235" s="1"/>
      <c r="VSM235" s="1"/>
      <c r="VSN235" s="1"/>
      <c r="VSO235" s="1"/>
      <c r="VSP235" s="1"/>
      <c r="VSQ235" s="1"/>
      <c r="VSR235" s="1"/>
      <c r="VSS235" s="1"/>
      <c r="VST235" s="1"/>
      <c r="VSU235" s="1"/>
      <c r="VSV235" s="1"/>
      <c r="VSW235" s="1"/>
      <c r="VSX235" s="1"/>
      <c r="VSY235" s="1"/>
      <c r="VSZ235" s="1"/>
      <c r="VTA235" s="1"/>
      <c r="VTB235" s="1"/>
      <c r="VTC235" s="1"/>
      <c r="VTD235" s="1"/>
      <c r="VTE235" s="1"/>
      <c r="VTF235" s="1"/>
      <c r="VTG235" s="1"/>
      <c r="VTH235" s="1"/>
      <c r="VTI235" s="1"/>
      <c r="VTJ235" s="1"/>
      <c r="VTK235" s="1"/>
      <c r="VTL235" s="1"/>
      <c r="VTM235" s="1"/>
      <c r="VTN235" s="1"/>
      <c r="VTO235" s="1"/>
      <c r="VTP235" s="1"/>
      <c r="VTQ235" s="1"/>
      <c r="VTR235" s="1"/>
      <c r="VTS235" s="1"/>
      <c r="VTT235" s="1"/>
      <c r="VTU235" s="1"/>
      <c r="VTV235" s="1"/>
      <c r="VTW235" s="1"/>
      <c r="VTX235" s="1"/>
      <c r="VTY235" s="1"/>
      <c r="VTZ235" s="1"/>
      <c r="VUA235" s="1"/>
      <c r="VUB235" s="1"/>
      <c r="VUC235" s="1"/>
      <c r="VUD235" s="1"/>
      <c r="VUE235" s="1"/>
      <c r="VUF235" s="1"/>
      <c r="VUG235" s="1"/>
      <c r="VUH235" s="1"/>
      <c r="VUI235" s="1"/>
      <c r="VUJ235" s="1"/>
      <c r="VUK235" s="1"/>
      <c r="VUL235" s="1"/>
      <c r="VUM235" s="1"/>
      <c r="VUN235" s="1"/>
      <c r="VUO235" s="1"/>
      <c r="VUP235" s="1"/>
      <c r="VUQ235" s="1"/>
      <c r="VUR235" s="1"/>
      <c r="VUS235" s="1"/>
      <c r="VUT235" s="1"/>
      <c r="VUU235" s="1"/>
      <c r="VUV235" s="1"/>
      <c r="VUW235" s="1"/>
      <c r="VUX235" s="1"/>
      <c r="VUY235" s="1"/>
      <c r="VUZ235" s="1"/>
      <c r="VVA235" s="1"/>
      <c r="VVB235" s="1"/>
      <c r="VVC235" s="1"/>
      <c r="VVD235" s="1"/>
      <c r="VVE235" s="1"/>
      <c r="VVF235" s="1"/>
      <c r="VVG235" s="1"/>
      <c r="VVH235" s="1"/>
      <c r="VVI235" s="1"/>
      <c r="VVJ235" s="1"/>
      <c r="VVK235" s="1"/>
      <c r="VVL235" s="1"/>
      <c r="VVM235" s="1"/>
      <c r="VVN235" s="1"/>
      <c r="VVO235" s="1"/>
      <c r="VVP235" s="1"/>
      <c r="VVQ235" s="1"/>
      <c r="VVR235" s="1"/>
      <c r="VVS235" s="1"/>
      <c r="VVT235" s="1"/>
      <c r="VVU235" s="1"/>
      <c r="VVV235" s="1"/>
      <c r="VVW235" s="1"/>
      <c r="VVX235" s="1"/>
      <c r="VVY235" s="1"/>
      <c r="VVZ235" s="1"/>
      <c r="VWA235" s="1"/>
      <c r="VWB235" s="1"/>
      <c r="VWC235" s="1"/>
      <c r="VWD235" s="1"/>
      <c r="VWE235" s="1"/>
      <c r="VWF235" s="1"/>
      <c r="VWG235" s="1"/>
      <c r="VWH235" s="1"/>
      <c r="VWI235" s="1"/>
      <c r="VWJ235" s="1"/>
      <c r="VWK235" s="1"/>
      <c r="VWL235" s="1"/>
      <c r="VWM235" s="1"/>
      <c r="VWN235" s="1"/>
      <c r="VWO235" s="1"/>
      <c r="VWP235" s="1"/>
      <c r="VWQ235" s="1"/>
      <c r="VWR235" s="1"/>
      <c r="VWS235" s="1"/>
      <c r="VWT235" s="1"/>
      <c r="VWU235" s="1"/>
      <c r="VWV235" s="1"/>
      <c r="VWW235" s="1"/>
      <c r="VWX235" s="1"/>
      <c r="VWY235" s="1"/>
      <c r="VWZ235" s="1"/>
      <c r="VXA235" s="1"/>
      <c r="VXB235" s="1"/>
      <c r="VXC235" s="1"/>
      <c r="VXD235" s="1"/>
      <c r="VXE235" s="1"/>
      <c r="VXF235" s="1"/>
      <c r="VXG235" s="1"/>
      <c r="VXH235" s="1"/>
      <c r="VXI235" s="1"/>
      <c r="VXJ235" s="1"/>
      <c r="VXK235" s="1"/>
      <c r="VXL235" s="1"/>
      <c r="VXM235" s="1"/>
      <c r="VXN235" s="1"/>
      <c r="VXO235" s="1"/>
      <c r="VXP235" s="1"/>
      <c r="VXQ235" s="1"/>
      <c r="VXR235" s="1"/>
      <c r="VXS235" s="1"/>
      <c r="VXT235" s="1"/>
      <c r="VXU235" s="1"/>
      <c r="VXV235" s="1"/>
      <c r="VXW235" s="1"/>
      <c r="VXX235" s="1"/>
      <c r="VXY235" s="1"/>
      <c r="VXZ235" s="1"/>
      <c r="VYA235" s="1"/>
      <c r="VYB235" s="1"/>
      <c r="VYC235" s="1"/>
      <c r="VYD235" s="1"/>
      <c r="VYE235" s="1"/>
      <c r="VYF235" s="1"/>
      <c r="VYG235" s="1"/>
      <c r="VYH235" s="1"/>
      <c r="VYI235" s="1"/>
      <c r="VYJ235" s="1"/>
      <c r="VYK235" s="1"/>
      <c r="VYL235" s="1"/>
      <c r="VYM235" s="1"/>
      <c r="VYN235" s="1"/>
      <c r="VYO235" s="1"/>
      <c r="VYP235" s="1"/>
      <c r="VYQ235" s="1"/>
      <c r="VYR235" s="1"/>
      <c r="VYS235" s="1"/>
      <c r="VYT235" s="1"/>
      <c r="VYU235" s="1"/>
      <c r="VYV235" s="1"/>
      <c r="VYW235" s="1"/>
      <c r="VYX235" s="1"/>
      <c r="VYY235" s="1"/>
      <c r="VYZ235" s="1"/>
      <c r="VZA235" s="1"/>
      <c r="VZB235" s="1"/>
      <c r="VZC235" s="1"/>
      <c r="VZD235" s="1"/>
      <c r="VZE235" s="1"/>
      <c r="VZF235" s="1"/>
      <c r="VZG235" s="1"/>
      <c r="VZH235" s="1"/>
      <c r="VZI235" s="1"/>
      <c r="VZJ235" s="1"/>
      <c r="VZK235" s="1"/>
      <c r="VZL235" s="1"/>
      <c r="VZM235" s="1"/>
      <c r="VZN235" s="1"/>
      <c r="VZO235" s="1"/>
      <c r="VZP235" s="1"/>
      <c r="VZQ235" s="1"/>
      <c r="VZR235" s="1"/>
      <c r="VZS235" s="1"/>
      <c r="VZT235" s="1"/>
      <c r="VZU235" s="1"/>
      <c r="VZV235" s="1"/>
      <c r="VZW235" s="1"/>
      <c r="VZX235" s="1"/>
      <c r="VZY235" s="1"/>
      <c r="VZZ235" s="1"/>
      <c r="WAA235" s="1"/>
      <c r="WAB235" s="1"/>
      <c r="WAC235" s="1"/>
      <c r="WAD235" s="1"/>
      <c r="WAE235" s="1"/>
      <c r="WAF235" s="1"/>
      <c r="WAG235" s="1"/>
      <c r="WAH235" s="1"/>
      <c r="WAI235" s="1"/>
      <c r="WAJ235" s="1"/>
      <c r="WAK235" s="1"/>
      <c r="WAL235" s="1"/>
      <c r="WAM235" s="1"/>
      <c r="WAN235" s="1"/>
      <c r="WAO235" s="1"/>
      <c r="WAP235" s="1"/>
      <c r="WAQ235" s="1"/>
      <c r="WAR235" s="1"/>
      <c r="WAS235" s="1"/>
      <c r="WAT235" s="1"/>
      <c r="WAU235" s="1"/>
      <c r="WAV235" s="1"/>
      <c r="WAW235" s="1"/>
      <c r="WAX235" s="1"/>
      <c r="WAY235" s="1"/>
      <c r="WAZ235" s="1"/>
      <c r="WBA235" s="1"/>
      <c r="WBB235" s="1"/>
      <c r="WBC235" s="1"/>
      <c r="WBD235" s="1"/>
      <c r="WBE235" s="1"/>
      <c r="WBF235" s="1"/>
      <c r="WBG235" s="1"/>
      <c r="WBH235" s="1"/>
      <c r="WBI235" s="1"/>
      <c r="WBJ235" s="1"/>
      <c r="WBK235" s="1"/>
      <c r="WBL235" s="1"/>
      <c r="WBM235" s="1"/>
      <c r="WBN235" s="1"/>
      <c r="WBO235" s="1"/>
      <c r="WBP235" s="1"/>
      <c r="WBQ235" s="1"/>
      <c r="WBR235" s="1"/>
      <c r="WBS235" s="1"/>
      <c r="WBT235" s="1"/>
      <c r="WBU235" s="1"/>
      <c r="WBV235" s="1"/>
      <c r="WBW235" s="1"/>
      <c r="WBX235" s="1"/>
      <c r="WBY235" s="1"/>
      <c r="WBZ235" s="1"/>
      <c r="WCA235" s="1"/>
      <c r="WCB235" s="1"/>
      <c r="WCC235" s="1"/>
      <c r="WCD235" s="1"/>
      <c r="WCE235" s="1"/>
      <c r="WCF235" s="1"/>
      <c r="WCG235" s="1"/>
      <c r="WCH235" s="1"/>
      <c r="WCI235" s="1"/>
      <c r="WCJ235" s="1"/>
      <c r="WCK235" s="1"/>
      <c r="WCL235" s="1"/>
      <c r="WCM235" s="1"/>
      <c r="WCN235" s="1"/>
      <c r="WCO235" s="1"/>
      <c r="WCP235" s="1"/>
      <c r="WCQ235" s="1"/>
      <c r="WCR235" s="1"/>
      <c r="WCS235" s="1"/>
      <c r="WCT235" s="1"/>
      <c r="WCU235" s="1"/>
      <c r="WCV235" s="1"/>
      <c r="WCW235" s="1"/>
      <c r="WCX235" s="1"/>
      <c r="WCY235" s="1"/>
      <c r="WCZ235" s="1"/>
      <c r="WDA235" s="1"/>
      <c r="WDB235" s="1"/>
      <c r="WDC235" s="1"/>
      <c r="WDD235" s="1"/>
      <c r="WDE235" s="1"/>
      <c r="WDF235" s="1"/>
      <c r="WDG235" s="1"/>
      <c r="WDH235" s="1"/>
      <c r="WDI235" s="1"/>
      <c r="WDJ235" s="1"/>
      <c r="WDK235" s="1"/>
      <c r="WDL235" s="1"/>
      <c r="WDM235" s="1"/>
      <c r="WDN235" s="1"/>
      <c r="WDO235" s="1"/>
      <c r="WDP235" s="1"/>
      <c r="WDQ235" s="1"/>
      <c r="WDR235" s="1"/>
      <c r="WDS235" s="1"/>
      <c r="WDT235" s="1"/>
      <c r="WDU235" s="1"/>
      <c r="WDV235" s="1"/>
      <c r="WDW235" s="1"/>
      <c r="WDX235" s="1"/>
      <c r="WDY235" s="1"/>
      <c r="WDZ235" s="1"/>
      <c r="WEA235" s="1"/>
      <c r="WEB235" s="1"/>
      <c r="WEC235" s="1"/>
      <c r="WED235" s="1"/>
      <c r="WEE235" s="1"/>
      <c r="WEF235" s="1"/>
      <c r="WEG235" s="1"/>
      <c r="WEH235" s="1"/>
      <c r="WEI235" s="1"/>
      <c r="WEJ235" s="1"/>
      <c r="WEK235" s="1"/>
      <c r="WEL235" s="1"/>
      <c r="WEM235" s="1"/>
      <c r="WEN235" s="1"/>
      <c r="WEO235" s="1"/>
      <c r="WEP235" s="1"/>
      <c r="WEQ235" s="1"/>
      <c r="WER235" s="1"/>
      <c r="WES235" s="1"/>
      <c r="WET235" s="1"/>
      <c r="WEU235" s="1"/>
      <c r="WEV235" s="1"/>
      <c r="WEW235" s="1"/>
      <c r="WEX235" s="1"/>
      <c r="WEY235" s="1"/>
      <c r="WEZ235" s="1"/>
      <c r="WFA235" s="1"/>
      <c r="WFB235" s="1"/>
      <c r="WFC235" s="1"/>
      <c r="WFD235" s="1"/>
      <c r="WFE235" s="1"/>
      <c r="WFF235" s="1"/>
      <c r="WFG235" s="1"/>
      <c r="WFH235" s="1"/>
      <c r="WFI235" s="1"/>
      <c r="WFJ235" s="1"/>
      <c r="WFK235" s="1"/>
      <c r="WFL235" s="1"/>
      <c r="WFM235" s="1"/>
      <c r="WFN235" s="1"/>
      <c r="WFO235" s="1"/>
      <c r="WFP235" s="1"/>
      <c r="WFQ235" s="1"/>
      <c r="WFR235" s="1"/>
      <c r="WFS235" s="1"/>
      <c r="WFT235" s="1"/>
      <c r="WFU235" s="1"/>
      <c r="WFV235" s="1"/>
      <c r="WFW235" s="1"/>
      <c r="WFX235" s="1"/>
      <c r="WFY235" s="1"/>
      <c r="WFZ235" s="1"/>
      <c r="WGA235" s="1"/>
      <c r="WGB235" s="1"/>
      <c r="WGC235" s="1"/>
      <c r="WGD235" s="1"/>
      <c r="WGE235" s="1"/>
      <c r="WGF235" s="1"/>
      <c r="WGG235" s="1"/>
      <c r="WGH235" s="1"/>
      <c r="WGI235" s="1"/>
      <c r="WGJ235" s="1"/>
      <c r="WGK235" s="1"/>
      <c r="WGL235" s="1"/>
      <c r="WGM235" s="1"/>
      <c r="WGN235" s="1"/>
      <c r="WGO235" s="1"/>
      <c r="WGP235" s="1"/>
      <c r="WGQ235" s="1"/>
      <c r="WGR235" s="1"/>
      <c r="WGS235" s="1"/>
      <c r="WGT235" s="1"/>
      <c r="WGU235" s="1"/>
      <c r="WGV235" s="1"/>
      <c r="WGW235" s="1"/>
      <c r="WGX235" s="1"/>
      <c r="WGY235" s="1"/>
      <c r="WGZ235" s="1"/>
      <c r="WHA235" s="1"/>
      <c r="WHB235" s="1"/>
      <c r="WHC235" s="1"/>
      <c r="WHD235" s="1"/>
      <c r="WHE235" s="1"/>
      <c r="WHF235" s="1"/>
      <c r="WHG235" s="1"/>
      <c r="WHH235" s="1"/>
      <c r="WHI235" s="1"/>
      <c r="WHJ235" s="1"/>
      <c r="WHK235" s="1"/>
      <c r="WHL235" s="1"/>
      <c r="WHM235" s="1"/>
      <c r="WHN235" s="1"/>
      <c r="WHO235" s="1"/>
      <c r="WHP235" s="1"/>
      <c r="WHQ235" s="1"/>
      <c r="WHR235" s="1"/>
      <c r="WHS235" s="1"/>
      <c r="WHT235" s="1"/>
      <c r="WHU235" s="1"/>
      <c r="WHV235" s="1"/>
      <c r="WHW235" s="1"/>
      <c r="WHX235" s="1"/>
      <c r="WHY235" s="1"/>
      <c r="WHZ235" s="1"/>
      <c r="WIA235" s="1"/>
      <c r="WIB235" s="1"/>
      <c r="WIC235" s="1"/>
      <c r="WID235" s="1"/>
      <c r="WIE235" s="1"/>
      <c r="WIF235" s="1"/>
      <c r="WIG235" s="1"/>
      <c r="WIH235" s="1"/>
      <c r="WII235" s="1"/>
      <c r="WIJ235" s="1"/>
      <c r="WIK235" s="1"/>
      <c r="WIL235" s="1"/>
      <c r="WIM235" s="1"/>
      <c r="WIN235" s="1"/>
      <c r="WIO235" s="1"/>
      <c r="WIP235" s="1"/>
      <c r="WIQ235" s="1"/>
      <c r="WIR235" s="1"/>
      <c r="WIS235" s="1"/>
      <c r="WIT235" s="1"/>
      <c r="WIU235" s="1"/>
      <c r="WIV235" s="1"/>
      <c r="WIW235" s="1"/>
      <c r="WIX235" s="1"/>
      <c r="WIY235" s="1"/>
      <c r="WIZ235" s="1"/>
      <c r="WJA235" s="1"/>
      <c r="WJB235" s="1"/>
      <c r="WJC235" s="1"/>
      <c r="WJD235" s="1"/>
      <c r="WJE235" s="1"/>
      <c r="WJF235" s="1"/>
      <c r="WJG235" s="1"/>
      <c r="WJH235" s="1"/>
      <c r="WJI235" s="1"/>
      <c r="WJJ235" s="1"/>
      <c r="WJK235" s="1"/>
      <c r="WJL235" s="1"/>
      <c r="WJM235" s="1"/>
      <c r="WJN235" s="1"/>
      <c r="WJO235" s="1"/>
      <c r="WJP235" s="1"/>
      <c r="WJQ235" s="1"/>
      <c r="WJR235" s="1"/>
      <c r="WJS235" s="1"/>
      <c r="WJT235" s="1"/>
      <c r="WJU235" s="1"/>
      <c r="WJV235" s="1"/>
      <c r="WJW235" s="1"/>
      <c r="WJX235" s="1"/>
      <c r="WJY235" s="1"/>
      <c r="WJZ235" s="1"/>
      <c r="WKA235" s="1"/>
      <c r="WKB235" s="1"/>
      <c r="WKC235" s="1"/>
      <c r="WKD235" s="1"/>
      <c r="WKE235" s="1"/>
      <c r="WKF235" s="1"/>
      <c r="WKG235" s="1"/>
      <c r="WKH235" s="1"/>
      <c r="WKI235" s="1"/>
      <c r="WKJ235" s="1"/>
      <c r="WKK235" s="1"/>
      <c r="WKL235" s="1"/>
      <c r="WKM235" s="1"/>
      <c r="WKN235" s="1"/>
      <c r="WKO235" s="1"/>
      <c r="WKP235" s="1"/>
      <c r="WKQ235" s="1"/>
      <c r="WKR235" s="1"/>
      <c r="WKS235" s="1"/>
      <c r="WKT235" s="1"/>
      <c r="WKU235" s="1"/>
      <c r="WKV235" s="1"/>
      <c r="WKW235" s="1"/>
      <c r="WKX235" s="1"/>
      <c r="WKY235" s="1"/>
      <c r="WKZ235" s="1"/>
      <c r="WLA235" s="1"/>
      <c r="WLB235" s="1"/>
      <c r="WLC235" s="1"/>
      <c r="WLD235" s="1"/>
      <c r="WLE235" s="1"/>
      <c r="WLF235" s="1"/>
      <c r="WLG235" s="1"/>
      <c r="WLH235" s="1"/>
      <c r="WLI235" s="1"/>
      <c r="WLJ235" s="1"/>
      <c r="WLK235" s="1"/>
      <c r="WLL235" s="1"/>
      <c r="WLM235" s="1"/>
      <c r="WLN235" s="1"/>
      <c r="WLO235" s="1"/>
      <c r="WLP235" s="1"/>
      <c r="WLQ235" s="1"/>
      <c r="WLR235" s="1"/>
      <c r="WLS235" s="1"/>
      <c r="WLT235" s="1"/>
      <c r="WLU235" s="1"/>
      <c r="WLV235" s="1"/>
      <c r="WLW235" s="1"/>
      <c r="WLX235" s="1"/>
      <c r="WLY235" s="1"/>
      <c r="WLZ235" s="1"/>
      <c r="WMA235" s="1"/>
      <c r="WMB235" s="1"/>
      <c r="WMC235" s="1"/>
      <c r="WMD235" s="1"/>
      <c r="WME235" s="1"/>
      <c r="WMF235" s="1"/>
      <c r="WMG235" s="1"/>
      <c r="WMH235" s="1"/>
      <c r="WMI235" s="1"/>
      <c r="WMJ235" s="1"/>
      <c r="WMK235" s="1"/>
      <c r="WML235" s="1"/>
      <c r="WMM235" s="1"/>
      <c r="WMN235" s="1"/>
      <c r="WMO235" s="1"/>
      <c r="WMP235" s="1"/>
      <c r="WMQ235" s="1"/>
      <c r="WMR235" s="1"/>
      <c r="WMS235" s="1"/>
      <c r="WMT235" s="1"/>
      <c r="WMU235" s="1"/>
      <c r="WMV235" s="1"/>
      <c r="WMW235" s="1"/>
      <c r="WMX235" s="1"/>
      <c r="WMY235" s="1"/>
      <c r="WMZ235" s="1"/>
      <c r="WNA235" s="1"/>
      <c r="WNB235" s="1"/>
      <c r="WNC235" s="1"/>
      <c r="WND235" s="1"/>
      <c r="WNE235" s="1"/>
      <c r="WNF235" s="1"/>
      <c r="WNG235" s="1"/>
      <c r="WNH235" s="1"/>
      <c r="WNI235" s="1"/>
      <c r="WNJ235" s="1"/>
      <c r="WNK235" s="1"/>
      <c r="WNL235" s="1"/>
      <c r="WNM235" s="1"/>
      <c r="WNN235" s="1"/>
      <c r="WNO235" s="1"/>
      <c r="WNP235" s="1"/>
      <c r="WNQ235" s="1"/>
      <c r="WNR235" s="1"/>
      <c r="WNS235" s="1"/>
      <c r="WNT235" s="1"/>
      <c r="WNU235" s="1"/>
      <c r="WNV235" s="1"/>
      <c r="WNW235" s="1"/>
      <c r="WNX235" s="1"/>
      <c r="WNY235" s="1"/>
      <c r="WNZ235" s="1"/>
      <c r="WOA235" s="1"/>
      <c r="WOB235" s="1"/>
      <c r="WOC235" s="1"/>
      <c r="WOD235" s="1"/>
      <c r="WOE235" s="1"/>
      <c r="WOF235" s="1"/>
      <c r="WOG235" s="1"/>
      <c r="WOH235" s="1"/>
      <c r="WOI235" s="1"/>
      <c r="WOJ235" s="1"/>
      <c r="WOK235" s="1"/>
      <c r="WOL235" s="1"/>
      <c r="WOM235" s="1"/>
      <c r="WON235" s="1"/>
      <c r="WOO235" s="1"/>
      <c r="WOP235" s="1"/>
      <c r="WOQ235" s="1"/>
      <c r="WOR235" s="1"/>
      <c r="WOS235" s="1"/>
      <c r="WOT235" s="1"/>
      <c r="WOU235" s="1"/>
      <c r="WOV235" s="1"/>
      <c r="WOW235" s="1"/>
      <c r="WOX235" s="1"/>
      <c r="WOY235" s="1"/>
      <c r="WOZ235" s="1"/>
      <c r="WPA235" s="1"/>
      <c r="WPB235" s="1"/>
      <c r="WPC235" s="1"/>
      <c r="WPD235" s="1"/>
      <c r="WPE235" s="1"/>
      <c r="WPF235" s="1"/>
      <c r="WPG235" s="1"/>
      <c r="WPH235" s="1"/>
      <c r="WPI235" s="1"/>
      <c r="WPJ235" s="1"/>
      <c r="WPK235" s="1"/>
      <c r="WPL235" s="1"/>
      <c r="WPM235" s="1"/>
      <c r="WPN235" s="1"/>
      <c r="WPO235" s="1"/>
      <c r="WPP235" s="1"/>
      <c r="WPQ235" s="1"/>
      <c r="WPR235" s="1"/>
      <c r="WPS235" s="1"/>
      <c r="WPT235" s="1"/>
      <c r="WPU235" s="1"/>
      <c r="WPV235" s="1"/>
      <c r="WPW235" s="1"/>
      <c r="WPX235" s="1"/>
      <c r="WPY235" s="1"/>
      <c r="WPZ235" s="1"/>
      <c r="WQA235" s="1"/>
      <c r="WQB235" s="1"/>
      <c r="WQC235" s="1"/>
      <c r="WQD235" s="1"/>
      <c r="WQE235" s="1"/>
      <c r="WQF235" s="1"/>
      <c r="WQG235" s="1"/>
      <c r="WQH235" s="1"/>
      <c r="WQI235" s="1"/>
      <c r="WQJ235" s="1"/>
      <c r="WQK235" s="1"/>
      <c r="WQL235" s="1"/>
      <c r="WQM235" s="1"/>
      <c r="WQN235" s="1"/>
      <c r="WQO235" s="1"/>
      <c r="WQP235" s="1"/>
      <c r="WQQ235" s="1"/>
      <c r="WQR235" s="1"/>
      <c r="WQS235" s="1"/>
      <c r="WQT235" s="1"/>
      <c r="WQU235" s="1"/>
      <c r="WQV235" s="1"/>
      <c r="WQW235" s="1"/>
      <c r="WQX235" s="1"/>
      <c r="WQY235" s="1"/>
      <c r="WQZ235" s="1"/>
      <c r="WRA235" s="1"/>
      <c r="WRB235" s="1"/>
      <c r="WRC235" s="1"/>
      <c r="WRD235" s="1"/>
      <c r="WRE235" s="1"/>
      <c r="WRF235" s="1"/>
      <c r="WRG235" s="1"/>
      <c r="WRH235" s="1"/>
      <c r="WRI235" s="1"/>
      <c r="WRJ235" s="1"/>
      <c r="WRK235" s="1"/>
      <c r="WRL235" s="1"/>
      <c r="WRM235" s="1"/>
      <c r="WRN235" s="1"/>
      <c r="WRO235" s="1"/>
      <c r="WRP235" s="1"/>
      <c r="WRQ235" s="1"/>
      <c r="WRR235" s="1"/>
      <c r="WRS235" s="1"/>
      <c r="WRT235" s="1"/>
      <c r="WRU235" s="1"/>
      <c r="WRV235" s="1"/>
      <c r="WRW235" s="1"/>
      <c r="WRX235" s="1"/>
      <c r="WRY235" s="1"/>
      <c r="WRZ235" s="1"/>
      <c r="WSA235" s="1"/>
      <c r="WSB235" s="1"/>
      <c r="WSC235" s="1"/>
      <c r="WSD235" s="1"/>
      <c r="WSE235" s="1"/>
      <c r="WSF235" s="1"/>
      <c r="WSG235" s="1"/>
      <c r="WSH235" s="1"/>
      <c r="WSI235" s="1"/>
      <c r="WSJ235" s="1"/>
      <c r="WSK235" s="1"/>
      <c r="WSL235" s="1"/>
      <c r="WSM235" s="1"/>
      <c r="WSN235" s="1"/>
      <c r="WSO235" s="1"/>
      <c r="WSP235" s="1"/>
      <c r="WSQ235" s="1"/>
      <c r="WSR235" s="1"/>
      <c r="WSS235" s="1"/>
      <c r="WST235" s="1"/>
      <c r="WSU235" s="1"/>
      <c r="WSV235" s="1"/>
      <c r="WSW235" s="1"/>
      <c r="WSX235" s="1"/>
      <c r="WSY235" s="1"/>
      <c r="WSZ235" s="1"/>
      <c r="WTA235" s="1"/>
      <c r="WTB235" s="1"/>
      <c r="WTC235" s="1"/>
      <c r="WTD235" s="1"/>
      <c r="WTE235" s="1"/>
      <c r="WTF235" s="1"/>
      <c r="WTG235" s="1"/>
      <c r="WTH235" s="1"/>
      <c r="WTI235" s="1"/>
      <c r="WTJ235" s="1"/>
      <c r="WTK235" s="1"/>
      <c r="WTL235" s="1"/>
      <c r="WTM235" s="1"/>
      <c r="WTN235" s="1"/>
      <c r="WTO235" s="1"/>
      <c r="WTP235" s="1"/>
      <c r="WTQ235" s="1"/>
      <c r="WTR235" s="1"/>
      <c r="WTS235" s="1"/>
      <c r="WTT235" s="1"/>
      <c r="WTU235" s="1"/>
      <c r="WTV235" s="1"/>
      <c r="WTW235" s="1"/>
      <c r="WTX235" s="1"/>
      <c r="WTY235" s="1"/>
      <c r="WTZ235" s="1"/>
      <c r="WUA235" s="1"/>
      <c r="WUB235" s="1"/>
      <c r="WUC235" s="1"/>
      <c r="WUD235" s="1"/>
      <c r="WUE235" s="1"/>
      <c r="WUF235" s="1"/>
      <c r="WUG235" s="1"/>
      <c r="WUH235" s="1"/>
      <c r="WUI235" s="1"/>
      <c r="WUJ235" s="1"/>
      <c r="WUK235" s="1"/>
      <c r="WUL235" s="1"/>
      <c r="WUM235" s="1"/>
      <c r="WUN235" s="1"/>
      <c r="WUO235" s="1"/>
      <c r="WUP235" s="1"/>
      <c r="WUQ235" s="1"/>
      <c r="WUR235" s="1"/>
      <c r="WUS235" s="1"/>
      <c r="WUT235" s="1"/>
      <c r="WUU235" s="1"/>
      <c r="WUV235" s="1"/>
      <c r="WUW235" s="1"/>
      <c r="WUX235" s="1"/>
      <c r="WUY235" s="1"/>
      <c r="WUZ235" s="1"/>
      <c r="WVA235" s="1"/>
      <c r="WVB235" s="1"/>
      <c r="WVC235" s="1"/>
      <c r="WVD235" s="1"/>
      <c r="WVE235" s="1"/>
      <c r="WVF235" s="1"/>
      <c r="WVG235" s="1"/>
      <c r="WVH235" s="1"/>
      <c r="WVI235" s="1"/>
      <c r="WVJ235" s="1"/>
      <c r="WVK235" s="1"/>
      <c r="WVL235" s="1"/>
      <c r="WVM235" s="1"/>
      <c r="WVN235" s="1"/>
      <c r="WVO235" s="1"/>
      <c r="WVP235" s="1"/>
      <c r="WVQ235" s="1"/>
      <c r="WVR235" s="1"/>
      <c r="WVS235" s="1"/>
      <c r="WVT235" s="1"/>
      <c r="WVU235" s="1"/>
      <c r="WVV235" s="1"/>
      <c r="WVW235" s="1"/>
      <c r="WVX235" s="1"/>
      <c r="WVY235" s="1"/>
      <c r="WVZ235" s="1"/>
      <c r="WWA235" s="1"/>
      <c r="WWB235" s="1"/>
      <c r="WWC235" s="1"/>
      <c r="WWD235" s="1"/>
      <c r="WWE235" s="1"/>
      <c r="WWF235" s="1"/>
      <c r="WWG235" s="1"/>
      <c r="WWH235" s="1"/>
      <c r="WWI235" s="1"/>
      <c r="WWJ235" s="1"/>
      <c r="WWK235" s="1"/>
      <c r="WWL235" s="1"/>
      <c r="WWM235" s="1"/>
      <c r="WWN235" s="1"/>
      <c r="WWO235" s="1"/>
      <c r="WWP235" s="1"/>
      <c r="WWQ235" s="1"/>
      <c r="WWR235" s="1"/>
      <c r="WWS235" s="1"/>
      <c r="WWT235" s="1"/>
      <c r="WWU235" s="1"/>
      <c r="WWV235" s="1"/>
      <c r="WWW235" s="1"/>
      <c r="WWX235" s="1"/>
      <c r="WWY235" s="1"/>
      <c r="WWZ235" s="1"/>
      <c r="WXA235" s="1"/>
      <c r="WXB235" s="1"/>
      <c r="WXC235" s="1"/>
      <c r="WXD235" s="1"/>
      <c r="WXE235" s="1"/>
      <c r="WXF235" s="1"/>
      <c r="WXG235" s="1"/>
      <c r="WXH235" s="1"/>
      <c r="WXI235" s="1"/>
      <c r="WXJ235" s="1"/>
      <c r="WXK235" s="1"/>
      <c r="WXL235" s="1"/>
      <c r="WXM235" s="1"/>
      <c r="WXN235" s="1"/>
      <c r="WXO235" s="1"/>
      <c r="WXP235" s="1"/>
      <c r="WXQ235" s="1"/>
      <c r="WXR235" s="1"/>
      <c r="WXS235" s="1"/>
      <c r="WXT235" s="1"/>
      <c r="WXU235" s="1"/>
      <c r="WXV235" s="1"/>
      <c r="WXW235" s="1"/>
      <c r="WXX235" s="1"/>
      <c r="WXY235" s="1"/>
      <c r="WXZ235" s="1"/>
      <c r="WYA235" s="1"/>
      <c r="WYB235" s="1"/>
      <c r="WYC235" s="1"/>
      <c r="WYD235" s="1"/>
      <c r="WYE235" s="1"/>
      <c r="WYF235" s="1"/>
      <c r="WYG235" s="1"/>
      <c r="WYH235" s="1"/>
      <c r="WYI235" s="1"/>
      <c r="WYJ235" s="1"/>
      <c r="WYK235" s="1"/>
      <c r="WYL235" s="1"/>
      <c r="WYM235" s="1"/>
      <c r="WYN235" s="1"/>
      <c r="WYO235" s="1"/>
      <c r="WYP235" s="1"/>
      <c r="WYQ235" s="1"/>
      <c r="WYR235" s="1"/>
      <c r="WYS235" s="1"/>
      <c r="WYT235" s="1"/>
      <c r="WYU235" s="1"/>
      <c r="WYV235" s="1"/>
      <c r="WYW235" s="1"/>
      <c r="WYX235" s="1"/>
      <c r="WYY235" s="1"/>
      <c r="WYZ235" s="1"/>
      <c r="WZA235" s="1"/>
      <c r="WZB235" s="1"/>
      <c r="WZC235" s="1"/>
      <c r="WZD235" s="1"/>
      <c r="WZE235" s="1"/>
      <c r="WZF235" s="1"/>
      <c r="WZG235" s="1"/>
      <c r="WZH235" s="1"/>
      <c r="WZI235" s="1"/>
      <c r="WZJ235" s="1"/>
      <c r="WZK235" s="1"/>
      <c r="WZL235" s="1"/>
      <c r="WZM235" s="1"/>
      <c r="WZN235" s="1"/>
      <c r="WZO235" s="1"/>
      <c r="WZP235" s="1"/>
      <c r="WZQ235" s="1"/>
      <c r="WZR235" s="1"/>
      <c r="WZS235" s="1"/>
      <c r="WZT235" s="1"/>
      <c r="WZU235" s="1"/>
      <c r="WZV235" s="1"/>
      <c r="WZW235" s="1"/>
      <c r="WZX235" s="1"/>
      <c r="WZY235" s="1"/>
      <c r="WZZ235" s="1"/>
      <c r="XAA235" s="1"/>
      <c r="XAB235" s="1"/>
      <c r="XAC235" s="1"/>
      <c r="XAD235" s="1"/>
      <c r="XAE235" s="1"/>
      <c r="XAF235" s="1"/>
      <c r="XAG235" s="1"/>
      <c r="XAH235" s="1"/>
      <c r="XAI235" s="1"/>
      <c r="XAJ235" s="1"/>
      <c r="XAK235" s="1"/>
      <c r="XAL235" s="1"/>
      <c r="XAM235" s="1"/>
      <c r="XAN235" s="1"/>
      <c r="XAO235" s="1"/>
      <c r="XAP235" s="1"/>
      <c r="XAQ235" s="1"/>
      <c r="XAR235" s="1"/>
      <c r="XAS235" s="1"/>
      <c r="XAT235" s="1"/>
      <c r="XAU235" s="1"/>
      <c r="XAV235" s="1"/>
      <c r="XAW235" s="1"/>
      <c r="XAX235" s="1"/>
      <c r="XAY235" s="1"/>
      <c r="XAZ235" s="1"/>
      <c r="XBA235" s="1"/>
      <c r="XBB235" s="1"/>
      <c r="XBC235" s="1"/>
      <c r="XBD235" s="1"/>
      <c r="XBE235" s="1"/>
      <c r="XBF235" s="1"/>
      <c r="XBG235" s="1"/>
      <c r="XBH235" s="1"/>
      <c r="XBI235" s="1"/>
      <c r="XBJ235" s="1"/>
      <c r="XBK235" s="1"/>
      <c r="XBL235" s="1"/>
      <c r="XBM235" s="1"/>
      <c r="XBN235" s="1"/>
      <c r="XBO235" s="1"/>
      <c r="XBP235" s="1"/>
      <c r="XBQ235" s="1"/>
      <c r="XBR235" s="1"/>
      <c r="XBS235" s="1"/>
      <c r="XBT235" s="1"/>
      <c r="XBU235" s="1"/>
      <c r="XBV235" s="1"/>
      <c r="XBW235" s="1"/>
      <c r="XBX235" s="1"/>
      <c r="XBY235" s="1"/>
      <c r="XBZ235" s="1"/>
      <c r="XCA235" s="1"/>
      <c r="XCB235" s="1"/>
      <c r="XCC235" s="1"/>
      <c r="XCD235" s="1"/>
      <c r="XCE235" s="1"/>
      <c r="XCF235" s="1"/>
      <c r="XCG235" s="1"/>
      <c r="XCH235" s="1"/>
      <c r="XCI235" s="1"/>
      <c r="XCJ235" s="1"/>
      <c r="XCK235" s="1"/>
      <c r="XCL235" s="1"/>
      <c r="XCM235" s="1"/>
      <c r="XCN235" s="1"/>
      <c r="XCO235" s="1"/>
      <c r="XCP235" s="1"/>
      <c r="XCQ235" s="1"/>
      <c r="XCR235" s="1"/>
      <c r="XCS235" s="1"/>
      <c r="XCT235" s="1"/>
      <c r="XCU235" s="1"/>
      <c r="XCV235" s="1"/>
      <c r="XCW235" s="1"/>
      <c r="XCX235" s="1"/>
      <c r="XCY235" s="1"/>
      <c r="XCZ235" s="1"/>
      <c r="XDA235" s="1"/>
      <c r="XDB235" s="1"/>
      <c r="XDC235" s="1"/>
      <c r="XDD235" s="1"/>
      <c r="XDE235" s="1"/>
      <c r="XDF235" s="1"/>
      <c r="XDG235" s="1"/>
      <c r="XDH235" s="1"/>
      <c r="XDI235" s="1"/>
      <c r="XDJ235" s="1"/>
      <c r="XDK235" s="1"/>
      <c r="XDL235" s="1"/>
      <c r="XDM235" s="1"/>
      <c r="XDN235" s="1"/>
      <c r="XDO235" s="1"/>
      <c r="XDP235" s="1"/>
      <c r="XDQ235" s="1"/>
      <c r="XDR235" s="1"/>
      <c r="XDS235" s="1"/>
      <c r="XDT235" s="1"/>
      <c r="XDU235" s="1"/>
      <c r="XDV235" s="1"/>
      <c r="XDW235" s="1"/>
      <c r="XDX235" s="1"/>
      <c r="XDY235" s="1"/>
      <c r="XDZ235" s="1"/>
      <c r="XEA235" s="1"/>
      <c r="XEB235" s="1"/>
      <c r="XEC235" s="1"/>
      <c r="XED235" s="1"/>
      <c r="XEE235" s="1"/>
      <c r="XEF235" s="1"/>
      <c r="XEG235" s="1"/>
      <c r="XEH235" s="1"/>
      <c r="XEI235" s="1"/>
      <c r="XEJ235" s="1"/>
      <c r="XEK235" s="1"/>
      <c r="XEL235" s="1"/>
      <c r="XEM235" s="1"/>
      <c r="XEN235" s="1"/>
      <c r="XEO235" s="1"/>
      <c r="XEP235" s="1"/>
      <c r="XEQ235" s="1"/>
      <c r="XER235" s="1"/>
      <c r="XES235" s="1"/>
      <c r="XET235" s="1"/>
      <c r="XEU235" s="1"/>
      <c r="XEV235" s="1"/>
      <c r="XEW235" s="1"/>
      <c r="XEX235" s="1"/>
      <c r="XEY235" s="1"/>
      <c r="XEZ235" s="1"/>
      <c r="XFA235" s="1"/>
      <c r="XFB235" s="1"/>
      <c r="XFC235" s="1"/>
    </row>
    <row r="236" spans="1:16383" x14ac:dyDescent="0.2">
      <c r="B236" s="272" t="s">
        <v>63</v>
      </c>
      <c r="C236" s="24">
        <v>0</v>
      </c>
      <c r="D236" s="228">
        <v>0</v>
      </c>
      <c r="E236" s="38">
        <v>0</v>
      </c>
      <c r="F236" s="109">
        <v>0</v>
      </c>
      <c r="G236" s="38">
        <v>0</v>
      </c>
      <c r="H236" s="38">
        <v>0</v>
      </c>
      <c r="I236" s="24">
        <v>1</v>
      </c>
      <c r="J236" s="38">
        <v>150.399</v>
      </c>
      <c r="K236" s="38">
        <v>0</v>
      </c>
      <c r="L236" s="33">
        <v>1</v>
      </c>
      <c r="M236" s="110">
        <f t="shared" si="36"/>
        <v>2.4875621890547263E-3</v>
      </c>
      <c r="N236" s="228">
        <v>150.399</v>
      </c>
      <c r="O236" s="252">
        <v>0</v>
      </c>
      <c r="P236" s="102">
        <f t="shared" si="37"/>
        <v>0</v>
      </c>
      <c r="Q236" s="23">
        <v>891.26859452054794</v>
      </c>
      <c r="R236" s="24">
        <v>1</v>
      </c>
      <c r="S236" s="22">
        <v>263.16399999999999</v>
      </c>
      <c r="T236" s="22">
        <v>0</v>
      </c>
      <c r="U236" s="22">
        <v>0</v>
      </c>
      <c r="V236" s="23">
        <v>0</v>
      </c>
      <c r="W236" s="23">
        <v>3</v>
      </c>
      <c r="AB236" s="211"/>
      <c r="AC236" s="21"/>
      <c r="AF236"/>
      <c r="AG236" s="366"/>
      <c r="AH236" s="294"/>
      <c r="AI236" s="294"/>
      <c r="AJ236" s="26"/>
      <c r="AK236" s="374"/>
      <c r="AL236" s="374"/>
      <c r="AO236" s="294"/>
      <c r="AR236" s="374"/>
      <c r="AY236"/>
      <c r="AZ236" s="297"/>
      <c r="BF236" s="26"/>
      <c r="BG236" s="26"/>
      <c r="BH236" s="26"/>
      <c r="BI236" s="26"/>
      <c r="BJ236" s="26"/>
      <c r="BK236" s="26"/>
      <c r="BL236" s="26"/>
      <c r="BS236" s="20"/>
      <c r="BT236" s="26"/>
      <c r="BV236" s="381"/>
      <c r="BW236" s="26"/>
      <c r="BX236" s="218"/>
      <c r="BY236" s="219"/>
      <c r="BZ236"/>
      <c r="CA236" s="218"/>
      <c r="CB236" s="229"/>
      <c r="CM236"/>
    </row>
    <row r="237" spans="1:16383" x14ac:dyDescent="0.2">
      <c r="B237" s="278" t="s">
        <v>1357</v>
      </c>
      <c r="C237" s="24">
        <v>1</v>
      </c>
      <c r="D237" s="228">
        <v>34.149000000000001</v>
      </c>
      <c r="E237" s="38">
        <v>0</v>
      </c>
      <c r="F237" s="109">
        <v>0</v>
      </c>
      <c r="G237" s="38">
        <v>0</v>
      </c>
      <c r="H237" s="38">
        <v>0</v>
      </c>
      <c r="I237" s="24">
        <v>2</v>
      </c>
      <c r="J237" s="38">
        <v>59.664000000000001</v>
      </c>
      <c r="K237" s="38">
        <v>0</v>
      </c>
      <c r="L237" s="33">
        <v>3</v>
      </c>
      <c r="M237" s="110">
        <f t="shared" si="36"/>
        <v>7.462686567164179E-3</v>
      </c>
      <c r="N237" s="228">
        <v>93.813000000000002</v>
      </c>
      <c r="O237" s="252">
        <v>0</v>
      </c>
      <c r="P237" s="102">
        <f t="shared" si="37"/>
        <v>0</v>
      </c>
      <c r="Q237" s="23">
        <v>680.74945479452049</v>
      </c>
      <c r="R237" s="24">
        <v>0</v>
      </c>
      <c r="S237" s="22">
        <v>0</v>
      </c>
      <c r="T237" s="22">
        <v>0</v>
      </c>
      <c r="U237" s="22">
        <v>0</v>
      </c>
      <c r="V237" s="23">
        <v>0</v>
      </c>
      <c r="W237" s="23">
        <v>3</v>
      </c>
      <c r="AB237" s="211"/>
      <c r="AC237" s="21"/>
      <c r="AF237"/>
      <c r="AG237" s="366"/>
      <c r="AH237" s="294"/>
      <c r="AI237" s="294"/>
      <c r="AJ237" s="26"/>
      <c r="AK237" s="374"/>
      <c r="AL237" s="374"/>
      <c r="AO237" s="294"/>
      <c r="AR237" s="374"/>
      <c r="AY237"/>
      <c r="AZ237" s="297"/>
      <c r="BF237" s="26"/>
      <c r="BG237" s="26"/>
      <c r="BH237" s="26"/>
      <c r="BI237" s="26"/>
      <c r="BJ237" s="26"/>
      <c r="BK237" s="26"/>
      <c r="BL237" s="26"/>
      <c r="BS237" s="20"/>
      <c r="BT237" s="26"/>
      <c r="BV237" s="381"/>
      <c r="BW237" s="26"/>
      <c r="BX237" s="218"/>
      <c r="BY237" s="219"/>
      <c r="BZ237"/>
      <c r="CA237" s="218"/>
      <c r="CB237" s="229"/>
      <c r="CM237"/>
      <c r="DY237" s="1"/>
      <c r="DZ237" s="1"/>
      <c r="EA237" s="1"/>
      <c r="EB237" s="1"/>
      <c r="EC237" s="1"/>
      <c r="ED237" s="1"/>
      <c r="EE237" s="1"/>
      <c r="EF237" s="1"/>
      <c r="EG237" s="1"/>
      <c r="EH237" s="1"/>
      <c r="EI237" s="1"/>
      <c r="EJ237" s="1"/>
    </row>
    <row r="238" spans="1:16383" x14ac:dyDescent="0.2">
      <c r="B238" s="274" t="s">
        <v>228</v>
      </c>
      <c r="C238" s="24">
        <v>0</v>
      </c>
      <c r="D238" s="228">
        <v>0</v>
      </c>
      <c r="E238" s="38">
        <v>0</v>
      </c>
      <c r="F238" s="24">
        <v>0</v>
      </c>
      <c r="G238" s="38">
        <v>0</v>
      </c>
      <c r="H238" s="38">
        <v>0</v>
      </c>
      <c r="I238" s="24">
        <v>4</v>
      </c>
      <c r="J238" s="38">
        <v>1169.0469999999996</v>
      </c>
      <c r="K238" s="38">
        <v>1543.9777149999998</v>
      </c>
      <c r="L238" s="24">
        <v>4</v>
      </c>
      <c r="M238" s="56">
        <f t="shared" si="36"/>
        <v>9.9502487562189053E-3</v>
      </c>
      <c r="N238" s="228">
        <v>1169.0469999999996</v>
      </c>
      <c r="O238" s="252">
        <v>1543.9777149999998</v>
      </c>
      <c r="P238" s="102">
        <f t="shared" si="37"/>
        <v>0.16532957045285054</v>
      </c>
      <c r="Q238" s="23">
        <v>6163.5862027397261</v>
      </c>
      <c r="R238" s="24">
        <v>2</v>
      </c>
      <c r="S238" s="22">
        <v>995.88099999999986</v>
      </c>
      <c r="T238" s="22">
        <v>2</v>
      </c>
      <c r="U238" s="22">
        <v>0</v>
      </c>
      <c r="V238" s="23">
        <v>0</v>
      </c>
      <c r="W238" s="23">
        <v>28</v>
      </c>
      <c r="AB238" s="211"/>
      <c r="AC238" s="21"/>
      <c r="AF238"/>
      <c r="AG238" s="366"/>
      <c r="AH238" s="294"/>
      <c r="AI238" s="294"/>
      <c r="AJ238" s="26"/>
      <c r="AK238" s="374"/>
      <c r="AL238" s="374"/>
      <c r="AO238" s="294"/>
      <c r="AR238" s="374"/>
      <c r="AY238"/>
      <c r="AZ238" s="297"/>
      <c r="BF238" s="26"/>
      <c r="BG238" s="26"/>
      <c r="BH238" s="26"/>
      <c r="BI238" s="26"/>
      <c r="BJ238" s="26"/>
      <c r="BK238" s="26"/>
      <c r="BL238" s="26"/>
      <c r="BS238" s="20"/>
      <c r="BT238" s="26"/>
      <c r="BV238" s="381"/>
      <c r="BW238" s="26"/>
      <c r="BX238" s="218"/>
      <c r="BY238" s="219"/>
      <c r="BZ238"/>
      <c r="CA238" s="218"/>
      <c r="CB238" s="229"/>
      <c r="CM238"/>
    </row>
    <row r="239" spans="1:16383" x14ac:dyDescent="0.2">
      <c r="B239" s="279" t="s">
        <v>131</v>
      </c>
      <c r="C239" s="24">
        <v>0</v>
      </c>
      <c r="D239" s="228">
        <v>0</v>
      </c>
      <c r="E239" s="38">
        <v>0</v>
      </c>
      <c r="F239" s="109">
        <v>0</v>
      </c>
      <c r="G239" s="38">
        <v>0</v>
      </c>
      <c r="H239" s="38">
        <v>0</v>
      </c>
      <c r="I239" s="24">
        <v>2</v>
      </c>
      <c r="J239" s="38">
        <v>160.042</v>
      </c>
      <c r="K239" s="38">
        <v>0</v>
      </c>
      <c r="L239" s="33">
        <v>2</v>
      </c>
      <c r="M239" s="56">
        <f t="shared" si="36"/>
        <v>4.9751243781094526E-3</v>
      </c>
      <c r="N239" s="228">
        <v>160.042</v>
      </c>
      <c r="O239" s="252">
        <v>0</v>
      </c>
      <c r="P239" s="102">
        <f t="shared" si="37"/>
        <v>0</v>
      </c>
      <c r="Q239" s="23">
        <v>1132.3910191780824</v>
      </c>
      <c r="R239" s="24">
        <v>0</v>
      </c>
      <c r="S239" s="22">
        <v>0</v>
      </c>
      <c r="T239" s="22">
        <v>2</v>
      </c>
      <c r="U239" s="22">
        <v>0</v>
      </c>
      <c r="V239" s="23">
        <v>0</v>
      </c>
      <c r="W239" s="23">
        <v>2</v>
      </c>
      <c r="AB239" s="21"/>
      <c r="AG239" s="294"/>
      <c r="AH239" s="294"/>
      <c r="AI239" s="294"/>
      <c r="AJ239" s="26"/>
      <c r="AK239" s="374"/>
      <c r="AL239" s="374"/>
      <c r="AO239" s="294"/>
      <c r="AQ239" s="20"/>
      <c r="AR239" s="374"/>
      <c r="AZ239" s="374"/>
      <c r="BE239" s="26"/>
      <c r="BF239" s="26"/>
      <c r="BG239" s="26"/>
      <c r="BH239" s="26"/>
      <c r="BI239" s="26"/>
      <c r="BJ239" s="26"/>
      <c r="BK239" s="26"/>
      <c r="BL239" s="26"/>
      <c r="BS239" s="20"/>
      <c r="BT239" s="26"/>
      <c r="BV239" s="381"/>
      <c r="BW239" s="229"/>
    </row>
    <row r="240" spans="1:16383" x14ac:dyDescent="0.2">
      <c r="B240" s="272" t="s">
        <v>239</v>
      </c>
      <c r="C240" s="24">
        <v>1</v>
      </c>
      <c r="D240" s="228">
        <v>6.6660000000000004</v>
      </c>
      <c r="E240" s="38">
        <v>0</v>
      </c>
      <c r="F240" s="24">
        <v>0</v>
      </c>
      <c r="G240" s="38">
        <v>0</v>
      </c>
      <c r="H240" s="38">
        <v>0</v>
      </c>
      <c r="I240" s="24">
        <v>4</v>
      </c>
      <c r="J240" s="38">
        <v>671.64300000000014</v>
      </c>
      <c r="K240" s="38">
        <v>2.6539999999999999</v>
      </c>
      <c r="L240" s="24">
        <v>5</v>
      </c>
      <c r="M240" s="56">
        <f t="shared" si="36"/>
        <v>1.2437810945273632E-2</v>
      </c>
      <c r="N240" s="228">
        <v>678.3090000000002</v>
      </c>
      <c r="O240" s="252">
        <v>2.6539999999999999</v>
      </c>
      <c r="P240" s="102">
        <f t="shared" si="37"/>
        <v>2.8419107071235507E-4</v>
      </c>
      <c r="Q240" s="23">
        <v>6650.8941890410979</v>
      </c>
      <c r="R240" s="24">
        <v>0</v>
      </c>
      <c r="S240" s="22">
        <v>0</v>
      </c>
      <c r="T240" s="22">
        <v>1</v>
      </c>
      <c r="U240" s="22">
        <v>0</v>
      </c>
      <c r="V240" s="23">
        <v>0</v>
      </c>
      <c r="W240" s="23">
        <v>57</v>
      </c>
      <c r="AB240" s="21"/>
      <c r="AG240" s="294"/>
      <c r="AH240" s="294"/>
      <c r="AI240" s="294"/>
      <c r="AJ240" s="26"/>
      <c r="AK240" s="374"/>
      <c r="AL240" s="374"/>
      <c r="AO240" s="294"/>
      <c r="AQ240" s="20"/>
      <c r="AR240" s="374"/>
      <c r="AZ240" s="374"/>
      <c r="BE240" s="26"/>
      <c r="BF240" s="26"/>
      <c r="BG240" s="26"/>
      <c r="BH240" s="26"/>
      <c r="BI240" s="26"/>
      <c r="BJ240" s="26"/>
      <c r="BK240" s="26"/>
      <c r="BL240" s="26"/>
      <c r="BS240" s="20"/>
      <c r="BT240" s="26"/>
      <c r="BV240" s="381"/>
      <c r="BW240" s="229"/>
    </row>
    <row r="241" spans="2:128" x14ac:dyDescent="0.2">
      <c r="B241" s="280" t="s">
        <v>766</v>
      </c>
      <c r="C241" s="24">
        <v>0</v>
      </c>
      <c r="D241" s="228">
        <v>0</v>
      </c>
      <c r="E241" s="38">
        <v>0</v>
      </c>
      <c r="F241" s="24">
        <v>0</v>
      </c>
      <c r="G241" s="38">
        <v>0</v>
      </c>
      <c r="H241" s="38">
        <v>0</v>
      </c>
      <c r="I241" s="24">
        <v>1</v>
      </c>
      <c r="J241" s="38">
        <v>34.763999999999996</v>
      </c>
      <c r="K241" s="38">
        <v>0</v>
      </c>
      <c r="L241" s="24">
        <v>1</v>
      </c>
      <c r="M241" s="56">
        <f t="shared" si="36"/>
        <v>2.4875621890547263E-3</v>
      </c>
      <c r="N241" s="228">
        <v>34.763999999999996</v>
      </c>
      <c r="O241" s="252">
        <v>0</v>
      </c>
      <c r="P241" s="102">
        <f t="shared" si="37"/>
        <v>0</v>
      </c>
      <c r="Q241" s="23">
        <v>178.34065753424656</v>
      </c>
      <c r="R241" s="24">
        <v>0</v>
      </c>
      <c r="S241" s="22">
        <v>0</v>
      </c>
      <c r="T241" s="22">
        <v>0</v>
      </c>
      <c r="U241" s="22">
        <v>0</v>
      </c>
      <c r="V241" s="23">
        <v>0</v>
      </c>
      <c r="W241" s="23">
        <v>2</v>
      </c>
      <c r="AB241" s="21"/>
      <c r="AG241" s="294"/>
      <c r="AH241" s="294"/>
      <c r="AI241" s="294"/>
      <c r="AJ241" s="26"/>
      <c r="AK241" s="374"/>
      <c r="AL241" s="374"/>
      <c r="AO241" s="294"/>
      <c r="AQ241" s="20"/>
      <c r="AR241" s="374"/>
      <c r="AZ241" s="374"/>
      <c r="BE241" s="26"/>
      <c r="BF241" s="26"/>
      <c r="BG241" s="26"/>
      <c r="BH241" s="26"/>
      <c r="BI241" s="26"/>
      <c r="BJ241" s="26"/>
      <c r="BK241" s="26"/>
      <c r="BL241" s="26"/>
      <c r="BS241" s="20"/>
      <c r="BT241" s="26"/>
      <c r="BV241" s="381"/>
      <c r="BW241" s="229"/>
    </row>
    <row r="242" spans="2:128" x14ac:dyDescent="0.2">
      <c r="B242" s="280" t="s">
        <v>632</v>
      </c>
      <c r="C242" s="24">
        <v>4</v>
      </c>
      <c r="D242" s="228">
        <v>54.608000000000004</v>
      </c>
      <c r="E242" s="38">
        <v>53.598999999999997</v>
      </c>
      <c r="F242" s="24">
        <v>0</v>
      </c>
      <c r="G242" s="38">
        <v>0</v>
      </c>
      <c r="H242" s="38">
        <v>0</v>
      </c>
      <c r="I242" s="24">
        <v>4</v>
      </c>
      <c r="J242" s="38">
        <v>1157.7339999999999</v>
      </c>
      <c r="K242" s="38">
        <v>40.369999999999997</v>
      </c>
      <c r="L242" s="24">
        <v>8</v>
      </c>
      <c r="M242" s="56">
        <f t="shared" si="36"/>
        <v>1.9900497512437811E-2</v>
      </c>
      <c r="N242" s="228">
        <v>1212.3419999999999</v>
      </c>
      <c r="O242" s="252">
        <v>93.968999999999994</v>
      </c>
      <c r="P242" s="102">
        <f t="shared" si="37"/>
        <v>1.0062227100139147E-2</v>
      </c>
      <c r="Q242" s="23">
        <v>10035.131942465754</v>
      </c>
      <c r="R242" s="24">
        <v>1</v>
      </c>
      <c r="S242" s="22">
        <v>27.487000000000002</v>
      </c>
      <c r="T242" s="22">
        <v>3</v>
      </c>
      <c r="U242" s="22">
        <v>0</v>
      </c>
      <c r="V242" s="23">
        <v>0</v>
      </c>
      <c r="W242" s="23">
        <v>37</v>
      </c>
      <c r="AB242" s="21"/>
      <c r="AG242" s="294"/>
      <c r="AH242" s="294"/>
      <c r="AI242" s="294"/>
      <c r="AJ242" s="26"/>
      <c r="AK242" s="374"/>
      <c r="AL242" s="374"/>
      <c r="AO242" s="294"/>
      <c r="AQ242" s="20"/>
      <c r="AR242" s="374"/>
      <c r="AZ242" s="374"/>
      <c r="BE242" s="26"/>
      <c r="BF242" s="26"/>
      <c r="BG242" s="26"/>
      <c r="BH242" s="26"/>
      <c r="BI242" s="26"/>
      <c r="BJ242" s="26"/>
      <c r="BK242" s="26"/>
      <c r="BL242" s="26"/>
      <c r="BS242" s="20"/>
      <c r="BT242" s="26"/>
      <c r="BV242" s="381"/>
      <c r="BW242" s="229"/>
    </row>
    <row r="243" spans="2:128" x14ac:dyDescent="0.2">
      <c r="B243" s="280" t="s">
        <v>261</v>
      </c>
      <c r="C243" s="24">
        <v>2</v>
      </c>
      <c r="D243" s="228">
        <v>4.8559999999999999</v>
      </c>
      <c r="E243" s="38">
        <v>0.96</v>
      </c>
      <c r="F243" s="24">
        <v>0</v>
      </c>
      <c r="G243" s="38">
        <v>0</v>
      </c>
      <c r="H243" s="38">
        <v>0</v>
      </c>
      <c r="I243" s="24">
        <v>1</v>
      </c>
      <c r="J243" s="38">
        <v>6.2910000000000004</v>
      </c>
      <c r="K243" s="38">
        <v>0</v>
      </c>
      <c r="L243" s="24">
        <v>3</v>
      </c>
      <c r="M243" s="56">
        <f t="shared" si="36"/>
        <v>7.462686567164179E-3</v>
      </c>
      <c r="N243" s="228">
        <v>11.147</v>
      </c>
      <c r="O243" s="252">
        <v>0.96</v>
      </c>
      <c r="P243" s="102">
        <f t="shared" si="37"/>
        <v>1.0279707154629272E-4</v>
      </c>
      <c r="Q243" s="23">
        <v>111.47</v>
      </c>
      <c r="R243" s="24">
        <v>0</v>
      </c>
      <c r="S243" s="22">
        <v>0</v>
      </c>
      <c r="T243" s="22">
        <v>0</v>
      </c>
      <c r="U243" s="22">
        <v>0</v>
      </c>
      <c r="V243" s="23">
        <v>1</v>
      </c>
      <c r="W243" s="23">
        <v>3</v>
      </c>
      <c r="AB243" s="21"/>
      <c r="AG243" s="294"/>
      <c r="AH243" s="294"/>
      <c r="AI243" s="294"/>
      <c r="AJ243" s="26"/>
      <c r="AK243" s="374"/>
      <c r="AL243" s="374"/>
      <c r="AO243" s="294"/>
      <c r="AQ243" s="20"/>
      <c r="AR243" s="374"/>
      <c r="AZ243" s="374"/>
      <c r="BE243" s="26"/>
      <c r="BF243" s="26"/>
      <c r="BG243" s="26"/>
      <c r="BH243" s="26"/>
      <c r="BI243" s="26"/>
      <c r="BJ243" s="26"/>
      <c r="BK243" s="26"/>
      <c r="BL243" s="26"/>
      <c r="BS243" s="20"/>
      <c r="BT243" s="26"/>
      <c r="BV243" s="381"/>
      <c r="BW243" s="229"/>
    </row>
    <row r="244" spans="2:128" x14ac:dyDescent="0.2">
      <c r="B244" s="280" t="s">
        <v>107</v>
      </c>
      <c r="C244" s="24">
        <v>2</v>
      </c>
      <c r="D244" s="228">
        <v>14.22339</v>
      </c>
      <c r="E244" s="38">
        <v>32.574974999999995</v>
      </c>
      <c r="F244" s="24">
        <v>0</v>
      </c>
      <c r="G244" s="38">
        <v>0</v>
      </c>
      <c r="H244" s="38">
        <v>0</v>
      </c>
      <c r="I244" s="24">
        <v>7</v>
      </c>
      <c r="J244" s="38">
        <v>23.616999999999997</v>
      </c>
      <c r="K244" s="38">
        <v>0.26003999999999999</v>
      </c>
      <c r="L244" s="24">
        <v>9</v>
      </c>
      <c r="M244" s="56">
        <f t="shared" si="36"/>
        <v>2.2388059701492536E-2</v>
      </c>
      <c r="N244" s="228">
        <v>37.840389999999999</v>
      </c>
      <c r="O244" s="252">
        <v>32.835014999999991</v>
      </c>
      <c r="P244" s="102">
        <f t="shared" si="37"/>
        <v>3.5159826939360353E-3</v>
      </c>
      <c r="Q244" s="23">
        <v>332.68789726027393</v>
      </c>
      <c r="R244" s="24">
        <v>0</v>
      </c>
      <c r="S244" s="22">
        <v>0</v>
      </c>
      <c r="T244" s="22">
        <v>2</v>
      </c>
      <c r="U244" s="22">
        <v>0</v>
      </c>
      <c r="V244" s="23">
        <v>0</v>
      </c>
      <c r="W244" s="23">
        <v>36</v>
      </c>
      <c r="AB244" s="21"/>
      <c r="AG244" s="294"/>
      <c r="AH244" s="294"/>
      <c r="AI244" s="294"/>
      <c r="AJ244" s="26"/>
      <c r="AK244" s="374"/>
      <c r="AL244" s="374"/>
      <c r="AO244" s="294"/>
      <c r="AQ244" s="20"/>
      <c r="AR244" s="374"/>
      <c r="AZ244" s="374"/>
      <c r="BE244" s="26"/>
      <c r="BF244" s="26"/>
      <c r="BG244" s="26"/>
      <c r="BH244" s="26"/>
      <c r="BI244" s="26"/>
      <c r="BJ244" s="26"/>
      <c r="BK244" s="26"/>
      <c r="BL244" s="26"/>
      <c r="BS244" s="20"/>
      <c r="BT244" s="26"/>
      <c r="BV244" s="381"/>
      <c r="BW244" s="229"/>
    </row>
    <row r="245" spans="2:128" x14ac:dyDescent="0.2">
      <c r="B245" s="272" t="s">
        <v>313</v>
      </c>
      <c r="C245" s="24">
        <v>3</v>
      </c>
      <c r="D245" s="228">
        <v>92.537000000000006</v>
      </c>
      <c r="E245" s="38">
        <v>0</v>
      </c>
      <c r="F245" s="24">
        <v>0</v>
      </c>
      <c r="G245" s="38">
        <v>0</v>
      </c>
      <c r="H245" s="38">
        <v>0</v>
      </c>
      <c r="I245" s="24">
        <v>2</v>
      </c>
      <c r="J245" s="38">
        <v>53.636000000000003</v>
      </c>
      <c r="K245" s="38">
        <v>0.90500000000000003</v>
      </c>
      <c r="L245" s="24">
        <v>5</v>
      </c>
      <c r="M245" s="56">
        <f t="shared" si="36"/>
        <v>1.2437810945273632E-2</v>
      </c>
      <c r="N245" s="228">
        <v>146.173</v>
      </c>
      <c r="O245" s="252">
        <v>0.90500000000000003</v>
      </c>
      <c r="P245" s="102">
        <f t="shared" si="37"/>
        <v>9.6907655988953044E-5</v>
      </c>
      <c r="Q245" s="23">
        <v>593.22715890410961</v>
      </c>
      <c r="R245" s="24">
        <v>1</v>
      </c>
      <c r="S245" s="22">
        <v>6.76</v>
      </c>
      <c r="T245" s="22">
        <v>1</v>
      </c>
      <c r="U245" s="22">
        <v>0</v>
      </c>
      <c r="V245" s="23">
        <v>0</v>
      </c>
      <c r="W245" s="23">
        <v>16</v>
      </c>
      <c r="AB245" s="21"/>
      <c r="AG245" s="294"/>
      <c r="AH245" s="294"/>
      <c r="AI245" s="294"/>
      <c r="AJ245" s="26"/>
      <c r="AK245" s="374"/>
      <c r="AL245" s="374"/>
      <c r="AO245" s="294"/>
      <c r="AQ245" s="20"/>
      <c r="AR245" s="374"/>
      <c r="AZ245" s="374"/>
      <c r="BE245" s="26"/>
      <c r="BF245" s="26"/>
      <c r="BG245" s="26"/>
      <c r="BH245" s="26"/>
      <c r="BI245" s="26"/>
      <c r="BJ245" s="26"/>
      <c r="BK245" s="26"/>
      <c r="BL245" s="26"/>
      <c r="BS245" s="20"/>
      <c r="BT245" s="26"/>
      <c r="BV245" s="381"/>
      <c r="BW245" s="229"/>
    </row>
    <row r="246" spans="2:128" x14ac:dyDescent="0.2">
      <c r="B246" s="272" t="s">
        <v>301</v>
      </c>
      <c r="C246" s="24">
        <v>0</v>
      </c>
      <c r="D246" s="228">
        <v>0</v>
      </c>
      <c r="E246" s="38">
        <v>0</v>
      </c>
      <c r="F246" s="24">
        <v>0</v>
      </c>
      <c r="G246" s="38">
        <v>0</v>
      </c>
      <c r="H246" s="38">
        <v>0</v>
      </c>
      <c r="I246" s="24">
        <v>7</v>
      </c>
      <c r="J246" s="38">
        <v>247.178</v>
      </c>
      <c r="K246" s="38">
        <v>3.9590000000000001</v>
      </c>
      <c r="L246" s="24">
        <v>7</v>
      </c>
      <c r="M246" s="56">
        <f t="shared" si="36"/>
        <v>1.7412935323383085E-2</v>
      </c>
      <c r="N246" s="228">
        <v>247.178</v>
      </c>
      <c r="O246" s="252">
        <v>3.9590000000000001</v>
      </c>
      <c r="P246" s="102">
        <f t="shared" si="37"/>
        <v>4.2393083984559676E-4</v>
      </c>
      <c r="Q246" s="23">
        <v>2221.8797041095891</v>
      </c>
      <c r="R246" s="24">
        <v>2</v>
      </c>
      <c r="S246" s="22">
        <v>171.74900000000002</v>
      </c>
      <c r="T246" s="22">
        <v>2</v>
      </c>
      <c r="U246" s="22">
        <v>0</v>
      </c>
      <c r="V246" s="23">
        <v>0</v>
      </c>
      <c r="W246" s="23">
        <v>15</v>
      </c>
      <c r="AB246" s="21"/>
      <c r="AG246" s="294"/>
      <c r="AH246" s="294"/>
      <c r="AI246" s="294"/>
      <c r="AJ246" s="26"/>
      <c r="AK246" s="374"/>
      <c r="AL246" s="374"/>
      <c r="AO246" s="294"/>
      <c r="AQ246" s="20"/>
      <c r="AR246" s="374"/>
      <c r="AZ246" s="374"/>
      <c r="BE246" s="26"/>
      <c r="BF246" s="26"/>
      <c r="BG246" s="26"/>
      <c r="BH246" s="26"/>
      <c r="BI246" s="26"/>
      <c r="BJ246" s="26"/>
      <c r="BK246" s="26"/>
      <c r="BL246" s="26"/>
      <c r="BS246" s="20"/>
      <c r="BT246" s="26"/>
      <c r="BV246" s="381"/>
      <c r="BW246" s="229"/>
      <c r="DM246" s="1"/>
    </row>
    <row r="247" spans="2:128" x14ac:dyDescent="0.2">
      <c r="B247" s="272" t="s">
        <v>1706</v>
      </c>
      <c r="C247" s="24">
        <v>0</v>
      </c>
      <c r="D247" s="228">
        <v>0</v>
      </c>
      <c r="E247" s="38">
        <v>0</v>
      </c>
      <c r="F247" s="24">
        <v>0</v>
      </c>
      <c r="G247" s="38">
        <v>0</v>
      </c>
      <c r="H247" s="38">
        <v>0</v>
      </c>
      <c r="I247" s="24">
        <v>1</v>
      </c>
      <c r="J247" s="38">
        <v>137.92599999999999</v>
      </c>
      <c r="K247" s="38">
        <v>0</v>
      </c>
      <c r="L247" s="24">
        <v>1</v>
      </c>
      <c r="M247" s="56">
        <f t="shared" si="36"/>
        <v>2.4875621890547263E-3</v>
      </c>
      <c r="N247" s="228">
        <v>137.92599999999999</v>
      </c>
      <c r="O247" s="252">
        <v>0</v>
      </c>
      <c r="P247" s="102">
        <f t="shared" si="37"/>
        <v>0</v>
      </c>
      <c r="Q247" s="23">
        <v>663.93419726027389</v>
      </c>
      <c r="R247" s="24">
        <v>0</v>
      </c>
      <c r="S247" s="22">
        <v>0</v>
      </c>
      <c r="T247" s="22">
        <v>0</v>
      </c>
      <c r="U247" s="22">
        <v>0</v>
      </c>
      <c r="V247" s="23">
        <v>0</v>
      </c>
      <c r="W247" s="23">
        <v>1</v>
      </c>
      <c r="AB247" s="21"/>
      <c r="AG247" s="294"/>
      <c r="AH247" s="294"/>
      <c r="AI247" s="294"/>
      <c r="AJ247" s="26"/>
      <c r="AK247" s="374"/>
      <c r="AL247" s="374"/>
      <c r="AO247" s="294"/>
      <c r="AQ247" s="20"/>
      <c r="AR247" s="374"/>
      <c r="AZ247" s="374"/>
      <c r="BE247" s="26"/>
      <c r="BF247" s="26"/>
      <c r="BG247" s="26"/>
      <c r="BH247" s="26"/>
      <c r="BI247" s="26"/>
      <c r="BJ247" s="26"/>
      <c r="BK247" s="26"/>
      <c r="BL247" s="26"/>
      <c r="BS247" s="20"/>
      <c r="BT247" s="26"/>
      <c r="BV247" s="381"/>
      <c r="BW247" s="229"/>
      <c r="DA247" s="1"/>
      <c r="DB247" s="1"/>
      <c r="DC247" s="1"/>
      <c r="DD247" s="1"/>
      <c r="DE247" s="1"/>
      <c r="DF247" s="1"/>
      <c r="DG247" s="1"/>
      <c r="DH247" s="1"/>
      <c r="DI247" s="1"/>
      <c r="DJ247" s="1"/>
      <c r="DK247" s="1"/>
      <c r="DL247" s="1"/>
      <c r="DN247" s="1"/>
      <c r="DO247" s="1"/>
      <c r="DP247" s="1"/>
      <c r="DQ247" s="1"/>
      <c r="DR247" s="1"/>
      <c r="DS247" s="1"/>
      <c r="DT247" s="1"/>
      <c r="DU247" s="1"/>
      <c r="DV247" s="1"/>
      <c r="DW247" s="1"/>
      <c r="DX247" s="1"/>
    </row>
    <row r="248" spans="2:128" x14ac:dyDescent="0.2">
      <c r="B248" s="272" t="s">
        <v>5673</v>
      </c>
      <c r="C248" s="24">
        <v>0</v>
      </c>
      <c r="D248" s="228">
        <v>0</v>
      </c>
      <c r="E248" s="38">
        <v>0</v>
      </c>
      <c r="F248" s="24">
        <v>0</v>
      </c>
      <c r="G248" s="38">
        <v>0</v>
      </c>
      <c r="H248" s="38">
        <v>0</v>
      </c>
      <c r="I248" s="24">
        <v>1</v>
      </c>
      <c r="J248" s="38">
        <v>11.198</v>
      </c>
      <c r="K248" s="38">
        <v>0</v>
      </c>
      <c r="L248" s="24">
        <v>1</v>
      </c>
      <c r="M248" s="56">
        <f t="shared" si="36"/>
        <v>2.4875621890547263E-3</v>
      </c>
      <c r="N248" s="228">
        <v>11.198</v>
      </c>
      <c r="O248" s="252">
        <v>0</v>
      </c>
      <c r="P248" s="102">
        <f t="shared" si="37"/>
        <v>0</v>
      </c>
      <c r="Q248" s="23">
        <v>80.25744657534247</v>
      </c>
      <c r="R248" s="24">
        <v>0</v>
      </c>
      <c r="S248" s="22">
        <v>0</v>
      </c>
      <c r="T248" s="22">
        <v>0</v>
      </c>
      <c r="U248" s="22">
        <v>0</v>
      </c>
      <c r="V248" s="23">
        <v>0</v>
      </c>
      <c r="W248" s="23">
        <v>1</v>
      </c>
      <c r="AB248" s="21"/>
      <c r="AG248" s="294"/>
      <c r="AH248" s="294"/>
      <c r="AI248" s="294"/>
      <c r="AJ248" s="26"/>
      <c r="AK248" s="374"/>
      <c r="AL248" s="374"/>
      <c r="AO248" s="294"/>
      <c r="AQ248" s="20"/>
      <c r="AR248" s="374"/>
      <c r="AZ248" s="374"/>
      <c r="BE248" s="26"/>
      <c r="BF248" s="26"/>
      <c r="BG248" s="26"/>
      <c r="BH248" s="26"/>
      <c r="BI248" s="26"/>
      <c r="BJ248" s="26"/>
      <c r="BK248" s="26"/>
      <c r="BL248" s="26"/>
      <c r="BS248" s="20"/>
      <c r="BT248" s="26"/>
      <c r="BV248" s="381"/>
      <c r="BW248" s="229"/>
    </row>
    <row r="249" spans="2:128" x14ac:dyDescent="0.2">
      <c r="B249" s="275" t="s">
        <v>89</v>
      </c>
      <c r="C249" s="24">
        <v>2</v>
      </c>
      <c r="D249" s="228">
        <v>30.652999999999999</v>
      </c>
      <c r="E249" s="38">
        <v>0</v>
      </c>
      <c r="F249" s="24">
        <v>0</v>
      </c>
      <c r="G249" s="38">
        <v>0</v>
      </c>
      <c r="H249" s="38">
        <v>0</v>
      </c>
      <c r="I249" s="24">
        <v>9</v>
      </c>
      <c r="J249" s="38">
        <v>1004.7639999999998</v>
      </c>
      <c r="K249" s="38">
        <v>151.00534500000001</v>
      </c>
      <c r="L249" s="41">
        <v>11</v>
      </c>
      <c r="M249" s="67">
        <f t="shared" si="36"/>
        <v>2.736318407960199E-2</v>
      </c>
      <c r="N249" s="240">
        <v>1035.4169999999997</v>
      </c>
      <c r="O249" s="253">
        <v>151.00534500000001</v>
      </c>
      <c r="P249" s="106">
        <f t="shared" si="37"/>
        <v>1.616969505608085E-2</v>
      </c>
      <c r="Q249" s="28">
        <v>6775.5665890410964</v>
      </c>
      <c r="R249" s="41">
        <v>1</v>
      </c>
      <c r="S249" s="63">
        <v>427.23900000000003</v>
      </c>
      <c r="T249" s="63">
        <v>0</v>
      </c>
      <c r="U249" s="63">
        <v>0</v>
      </c>
      <c r="V249" s="28">
        <v>0</v>
      </c>
      <c r="W249" s="28">
        <v>46</v>
      </c>
      <c r="AB249" s="21"/>
      <c r="AC249" s="211"/>
      <c r="AD249" s="21"/>
      <c r="AF249"/>
      <c r="AG249" s="294"/>
      <c r="AH249" s="366"/>
      <c r="AI249" s="294"/>
      <c r="AJ249" s="26"/>
      <c r="AK249" s="374"/>
      <c r="AL249" s="374"/>
      <c r="AO249" s="294"/>
      <c r="AR249" s="374"/>
      <c r="AS249" s="20"/>
      <c r="AY249"/>
      <c r="AZ249" s="374"/>
      <c r="BA249" s="4"/>
      <c r="BF249" s="26"/>
      <c r="BG249" s="26"/>
      <c r="BH249" s="26"/>
      <c r="BI249" s="26"/>
      <c r="BJ249" s="26"/>
      <c r="BK249" s="26"/>
      <c r="BL249" s="26"/>
      <c r="BM249" s="26"/>
      <c r="BS249" s="20"/>
      <c r="BT249" s="26"/>
      <c r="BV249" s="381"/>
      <c r="BW249" s="26"/>
      <c r="BX249" s="218"/>
      <c r="BZ249" s="4"/>
      <c r="CA249" s="218"/>
      <c r="CC249" s="26"/>
      <c r="CM249"/>
    </row>
    <row r="250" spans="2:128" x14ac:dyDescent="0.2">
      <c r="B250" s="273" t="s">
        <v>1358</v>
      </c>
      <c r="C250" s="95">
        <f t="shared" ref="C250:K250" si="38">SUM(C251:C265)</f>
        <v>1</v>
      </c>
      <c r="D250" s="239">
        <f>SUM(D251:D265)</f>
        <v>1.593</v>
      </c>
      <c r="E250" s="96">
        <f t="shared" si="38"/>
        <v>0</v>
      </c>
      <c r="F250" s="95">
        <f t="shared" si="38"/>
        <v>0</v>
      </c>
      <c r="G250" s="96">
        <f t="shared" si="38"/>
        <v>0</v>
      </c>
      <c r="H250" s="96">
        <f t="shared" si="38"/>
        <v>0</v>
      </c>
      <c r="I250" s="95">
        <f t="shared" si="38"/>
        <v>2</v>
      </c>
      <c r="J250" s="96">
        <f t="shared" si="38"/>
        <v>19.72</v>
      </c>
      <c r="K250" s="96">
        <f t="shared" si="38"/>
        <v>0</v>
      </c>
      <c r="L250" s="95">
        <f t="shared" ref="L250:W250" si="39">SUM(L251:L265)</f>
        <v>3</v>
      </c>
      <c r="M250" s="100">
        <f t="shared" si="36"/>
        <v>7.462686567164179E-3</v>
      </c>
      <c r="N250" s="239">
        <f t="shared" si="39"/>
        <v>21.313000000000002</v>
      </c>
      <c r="O250" s="731">
        <f t="shared" si="39"/>
        <v>0</v>
      </c>
      <c r="P250" s="732">
        <f t="shared" si="39"/>
        <v>0</v>
      </c>
      <c r="Q250" s="31">
        <f t="shared" si="39"/>
        <v>171.8603780821918</v>
      </c>
      <c r="R250" s="95">
        <f t="shared" si="39"/>
        <v>0</v>
      </c>
      <c r="S250" s="101">
        <f t="shared" si="39"/>
        <v>0</v>
      </c>
      <c r="T250" s="101">
        <f t="shared" si="39"/>
        <v>1</v>
      </c>
      <c r="U250" s="101">
        <f t="shared" si="39"/>
        <v>0</v>
      </c>
      <c r="V250" s="31">
        <f t="shared" si="39"/>
        <v>0</v>
      </c>
      <c r="W250" s="31">
        <f t="shared" si="39"/>
        <v>3</v>
      </c>
      <c r="AB250" s="21"/>
      <c r="AG250" s="294"/>
      <c r="AH250" s="294"/>
      <c r="AI250" s="294"/>
      <c r="AJ250" s="26"/>
      <c r="AK250" s="374"/>
      <c r="AL250" s="374"/>
      <c r="AO250" s="294"/>
      <c r="AQ250" s="20"/>
      <c r="AR250" s="374"/>
      <c r="AZ250" s="374"/>
      <c r="BE250" s="26"/>
      <c r="BF250" s="26"/>
      <c r="BG250" s="26"/>
      <c r="BH250" s="26"/>
      <c r="BI250" s="26"/>
      <c r="BJ250" s="26"/>
      <c r="BK250" s="26"/>
      <c r="BL250" s="26"/>
      <c r="BS250" s="20"/>
      <c r="BT250" s="26"/>
      <c r="BV250" s="381"/>
      <c r="BW250" s="229"/>
    </row>
    <row r="251" spans="2:128" x14ac:dyDescent="0.2">
      <c r="B251" s="272" t="s">
        <v>1360</v>
      </c>
      <c r="C251" s="107">
        <v>0</v>
      </c>
      <c r="D251" s="243">
        <v>0</v>
      </c>
      <c r="E251" s="111">
        <v>0</v>
      </c>
      <c r="F251" s="107">
        <v>0</v>
      </c>
      <c r="G251" s="111">
        <v>0</v>
      </c>
      <c r="H251" s="111">
        <v>0</v>
      </c>
      <c r="I251" s="107">
        <v>1</v>
      </c>
      <c r="J251" s="111">
        <v>9.1300000000000008</v>
      </c>
      <c r="K251" s="111">
        <v>0</v>
      </c>
      <c r="L251" s="24">
        <v>1</v>
      </c>
      <c r="M251" s="56">
        <f t="shared" si="36"/>
        <v>2.4875621890547263E-3</v>
      </c>
      <c r="N251" s="228">
        <v>9.1300000000000008</v>
      </c>
      <c r="O251" s="252">
        <v>0</v>
      </c>
      <c r="P251" s="102">
        <f t="shared" si="37"/>
        <v>0</v>
      </c>
      <c r="Q251" s="23">
        <v>54.805013698630141</v>
      </c>
      <c r="R251" s="24">
        <v>0</v>
      </c>
      <c r="S251" s="22">
        <v>0</v>
      </c>
      <c r="T251" s="22">
        <v>0</v>
      </c>
      <c r="U251" s="22">
        <v>0</v>
      </c>
      <c r="V251" s="23">
        <v>0</v>
      </c>
      <c r="W251" s="23">
        <v>1</v>
      </c>
      <c r="AB251" s="21"/>
      <c r="AG251" s="294"/>
      <c r="AH251" s="294"/>
      <c r="AI251" s="294"/>
      <c r="AJ251" s="26"/>
      <c r="AK251" s="374"/>
      <c r="AL251" s="374"/>
      <c r="AO251" s="294"/>
      <c r="AQ251" s="20"/>
      <c r="AR251" s="374"/>
      <c r="AZ251" s="374"/>
      <c r="BE251" s="26"/>
      <c r="BF251" s="26"/>
      <c r="BG251" s="26"/>
      <c r="BH251" s="26"/>
      <c r="BI251" s="26"/>
      <c r="BJ251" s="26"/>
      <c r="BK251" s="26"/>
      <c r="BL251" s="26"/>
      <c r="BS251" s="20"/>
      <c r="BT251" s="26"/>
      <c r="BV251" s="381"/>
      <c r="BW251" s="229"/>
    </row>
    <row r="252" spans="2:128" x14ac:dyDescent="0.2">
      <c r="B252" s="272" t="s">
        <v>1362</v>
      </c>
      <c r="C252" s="107">
        <v>1</v>
      </c>
      <c r="D252" s="243">
        <v>1.593</v>
      </c>
      <c r="E252" s="111">
        <v>0</v>
      </c>
      <c r="F252" s="107">
        <v>0</v>
      </c>
      <c r="G252" s="111">
        <v>0</v>
      </c>
      <c r="H252" s="111">
        <v>0</v>
      </c>
      <c r="I252" s="107">
        <v>0</v>
      </c>
      <c r="J252" s="111">
        <v>0</v>
      </c>
      <c r="K252" s="111">
        <v>0</v>
      </c>
      <c r="L252" s="24">
        <v>1</v>
      </c>
      <c r="M252" s="56">
        <f t="shared" si="36"/>
        <v>2.4875621890547263E-3</v>
      </c>
      <c r="N252" s="228">
        <v>1.593</v>
      </c>
      <c r="O252" s="252">
        <v>0</v>
      </c>
      <c r="P252" s="102">
        <f t="shared" si="37"/>
        <v>0</v>
      </c>
      <c r="Q252" s="23">
        <v>11.155364383561643</v>
      </c>
      <c r="R252" s="24">
        <v>0</v>
      </c>
      <c r="S252" s="22">
        <v>0</v>
      </c>
      <c r="T252" s="22">
        <v>0</v>
      </c>
      <c r="U252" s="22">
        <v>0</v>
      </c>
      <c r="V252" s="23">
        <v>0</v>
      </c>
      <c r="W252" s="23">
        <v>1</v>
      </c>
      <c r="AB252" s="21"/>
      <c r="AG252" s="294"/>
      <c r="AH252" s="294"/>
      <c r="AI252" s="294"/>
      <c r="AJ252" s="26"/>
      <c r="AK252" s="374"/>
      <c r="AL252" s="374"/>
      <c r="AO252" s="294"/>
      <c r="AQ252" s="20"/>
      <c r="AR252" s="374"/>
      <c r="AZ252" s="374"/>
      <c r="BE252" s="26"/>
      <c r="BF252" s="26"/>
      <c r="BG252" s="26"/>
      <c r="BH252" s="26"/>
      <c r="BI252" s="26"/>
      <c r="BJ252" s="26"/>
      <c r="BK252" s="26"/>
      <c r="BL252" s="26"/>
      <c r="BS252" s="20"/>
      <c r="BT252" s="26"/>
      <c r="BV252" s="381"/>
      <c r="BW252" s="229"/>
    </row>
    <row r="253" spans="2:128" x14ac:dyDescent="0.2">
      <c r="B253" s="272" t="s">
        <v>1363</v>
      </c>
      <c r="C253" s="107"/>
      <c r="D253" s="243"/>
      <c r="E253" s="111"/>
      <c r="F253" s="107"/>
      <c r="G253" s="111"/>
      <c r="H253" s="111"/>
      <c r="I253" s="107"/>
      <c r="J253" s="111"/>
      <c r="K253" s="111"/>
      <c r="L253" s="24"/>
      <c r="M253" s="56">
        <f t="shared" si="36"/>
        <v>0</v>
      </c>
      <c r="N253" s="228"/>
      <c r="O253" s="252">
        <v>0</v>
      </c>
      <c r="P253" s="102">
        <f t="shared" si="37"/>
        <v>0</v>
      </c>
      <c r="Q253" s="23"/>
      <c r="R253" s="24"/>
      <c r="S253" s="22"/>
      <c r="T253" s="22"/>
      <c r="U253" s="22"/>
      <c r="V253" s="23"/>
      <c r="W253" s="23"/>
      <c r="AB253" s="21"/>
      <c r="AG253" s="294"/>
      <c r="AH253" s="294"/>
      <c r="AI253" s="294"/>
      <c r="AJ253" s="26"/>
      <c r="AK253" s="374"/>
      <c r="AL253" s="374"/>
      <c r="AO253" s="294"/>
      <c r="AQ253" s="20"/>
      <c r="AR253" s="374"/>
      <c r="AZ253" s="374"/>
      <c r="BE253" s="26"/>
      <c r="BF253" s="26"/>
      <c r="BG253" s="26"/>
      <c r="BH253" s="26"/>
      <c r="BI253" s="26"/>
      <c r="BJ253" s="26"/>
      <c r="BK253" s="26"/>
      <c r="BL253" s="26"/>
      <c r="BS253" s="20"/>
      <c r="BT253" s="26"/>
      <c r="BV253" s="381"/>
      <c r="BW253" s="229"/>
    </row>
    <row r="254" spans="2:128" x14ac:dyDescent="0.2">
      <c r="B254" s="281" t="s">
        <v>1364</v>
      </c>
      <c r="C254" s="107"/>
      <c r="D254" s="243"/>
      <c r="E254" s="111"/>
      <c r="F254" s="107"/>
      <c r="G254" s="111"/>
      <c r="H254" s="111"/>
      <c r="I254" s="107"/>
      <c r="J254" s="111"/>
      <c r="K254" s="111"/>
      <c r="L254" s="24"/>
      <c r="M254" s="56">
        <f t="shared" si="36"/>
        <v>0</v>
      </c>
      <c r="N254" s="228"/>
      <c r="O254" s="252"/>
      <c r="P254" s="102">
        <f t="shared" si="37"/>
        <v>0</v>
      </c>
      <c r="Q254" s="23"/>
      <c r="R254" s="24"/>
      <c r="S254" s="22"/>
      <c r="T254" s="22"/>
      <c r="U254" s="22"/>
      <c r="V254" s="23"/>
      <c r="W254" s="23"/>
      <c r="AB254" s="21"/>
      <c r="AG254" s="294"/>
      <c r="AH254" s="294"/>
      <c r="AI254" s="294"/>
      <c r="AJ254" s="26"/>
      <c r="AK254" s="374"/>
      <c r="AL254" s="374"/>
      <c r="AO254" s="294"/>
      <c r="AQ254" s="20"/>
      <c r="AR254" s="374"/>
      <c r="AZ254" s="374"/>
      <c r="BE254" s="26"/>
      <c r="BF254" s="26"/>
      <c r="BG254" s="26"/>
      <c r="BH254" s="26"/>
      <c r="BI254" s="26"/>
      <c r="BJ254" s="26"/>
      <c r="BK254" s="26"/>
      <c r="BL254" s="26"/>
      <c r="BS254" s="20"/>
      <c r="BT254" s="26"/>
      <c r="BV254" s="381"/>
      <c r="BW254" s="229"/>
    </row>
    <row r="255" spans="2:128" x14ac:dyDescent="0.2">
      <c r="B255" s="272" t="s">
        <v>1365</v>
      </c>
      <c r="C255" s="107"/>
      <c r="D255" s="243"/>
      <c r="E255" s="111"/>
      <c r="F255" s="107"/>
      <c r="G255" s="111"/>
      <c r="H255" s="111"/>
      <c r="I255" s="107"/>
      <c r="J255" s="111"/>
      <c r="K255" s="111"/>
      <c r="L255" s="24"/>
      <c r="M255" s="56">
        <f t="shared" si="36"/>
        <v>0</v>
      </c>
      <c r="N255" s="228"/>
      <c r="O255" s="252">
        <f>+E255+H255+K255</f>
        <v>0</v>
      </c>
      <c r="P255" s="102">
        <f t="shared" si="37"/>
        <v>0</v>
      </c>
      <c r="Q255" s="23"/>
      <c r="R255" s="24"/>
      <c r="S255" s="22"/>
      <c r="T255" s="22"/>
      <c r="U255" s="22"/>
      <c r="V255" s="23"/>
      <c r="W255" s="23"/>
      <c r="AB255" s="21"/>
      <c r="AG255" s="294"/>
      <c r="AH255" s="294"/>
      <c r="AI255" s="294"/>
      <c r="AJ255" s="26"/>
      <c r="AK255" s="374"/>
      <c r="AL255" s="374"/>
      <c r="AO255" s="294"/>
      <c r="AQ255" s="20"/>
      <c r="AR255" s="374"/>
      <c r="AZ255" s="374"/>
      <c r="BE255" s="26"/>
      <c r="BF255" s="26"/>
      <c r="BG255" s="26"/>
      <c r="BH255" s="26"/>
      <c r="BI255" s="26"/>
      <c r="BJ255" s="26"/>
      <c r="BK255" s="26"/>
      <c r="BL255" s="26"/>
      <c r="BS255" s="20"/>
      <c r="BT255" s="26"/>
      <c r="BV255" s="381"/>
      <c r="BW255" s="229"/>
    </row>
    <row r="256" spans="2:128" x14ac:dyDescent="0.2">
      <c r="B256" s="272" t="s">
        <v>1366</v>
      </c>
      <c r="C256" s="107"/>
      <c r="D256" s="243"/>
      <c r="E256" s="111"/>
      <c r="F256" s="107"/>
      <c r="G256" s="111"/>
      <c r="H256" s="111"/>
      <c r="I256" s="107"/>
      <c r="J256" s="111"/>
      <c r="K256" s="111"/>
      <c r="L256" s="24"/>
      <c r="M256" s="56">
        <f t="shared" si="36"/>
        <v>0</v>
      </c>
      <c r="N256" s="228"/>
      <c r="O256" s="252">
        <f>+E256+H256+K256</f>
        <v>0</v>
      </c>
      <c r="P256" s="102">
        <f t="shared" si="37"/>
        <v>0</v>
      </c>
      <c r="Q256" s="23"/>
      <c r="R256" s="24"/>
      <c r="S256" s="22"/>
      <c r="T256" s="22"/>
      <c r="U256" s="22"/>
      <c r="V256" s="23"/>
      <c r="W256" s="23"/>
      <c r="AB256" s="21"/>
      <c r="AG256" s="294"/>
      <c r="AH256" s="294"/>
      <c r="AI256" s="294"/>
      <c r="AJ256" s="26"/>
      <c r="AK256" s="374"/>
      <c r="AL256" s="374"/>
      <c r="AO256" s="294"/>
      <c r="AQ256" s="20"/>
      <c r="AR256" s="374"/>
      <c r="AZ256" s="374"/>
      <c r="BE256" s="26"/>
      <c r="BF256" s="26"/>
      <c r="BG256" s="26"/>
      <c r="BH256" s="26"/>
      <c r="BI256" s="26"/>
      <c r="BJ256" s="26"/>
      <c r="BK256" s="26"/>
      <c r="BL256" s="26"/>
      <c r="BS256" s="20"/>
      <c r="BT256" s="26"/>
      <c r="BV256" s="381"/>
      <c r="BW256" s="229"/>
    </row>
    <row r="257" spans="2:104" x14ac:dyDescent="0.2">
      <c r="B257" s="272" t="s">
        <v>1367</v>
      </c>
      <c r="C257" s="107"/>
      <c r="D257" s="243"/>
      <c r="E257" s="111"/>
      <c r="F257" s="107"/>
      <c r="G257" s="111"/>
      <c r="H257" s="111"/>
      <c r="I257" s="107"/>
      <c r="J257" s="111"/>
      <c r="K257" s="111"/>
      <c r="L257" s="24"/>
      <c r="M257" s="56">
        <f t="shared" si="36"/>
        <v>0</v>
      </c>
      <c r="N257" s="228"/>
      <c r="O257" s="252">
        <v>0</v>
      </c>
      <c r="P257" s="102">
        <f t="shared" si="37"/>
        <v>0</v>
      </c>
      <c r="Q257" s="23"/>
      <c r="R257" s="24"/>
      <c r="S257" s="22"/>
      <c r="T257" s="22"/>
      <c r="U257" s="22"/>
      <c r="V257" s="23"/>
      <c r="W257" s="23"/>
      <c r="AB257" s="21"/>
      <c r="AG257" s="294"/>
      <c r="AH257" s="294"/>
      <c r="AI257" s="294"/>
      <c r="AJ257" s="26"/>
      <c r="AK257" s="374"/>
      <c r="AL257" s="374"/>
      <c r="AO257" s="294"/>
      <c r="AQ257" s="20"/>
      <c r="AR257" s="374"/>
      <c r="AZ257" s="374"/>
      <c r="BE257" s="26"/>
      <c r="BF257" s="26"/>
      <c r="BG257" s="26"/>
      <c r="BH257" s="26"/>
      <c r="BI257" s="26"/>
      <c r="BJ257" s="26"/>
      <c r="BK257" s="26"/>
      <c r="BL257" s="26"/>
      <c r="BS257" s="20"/>
      <c r="BT257" s="26"/>
      <c r="BV257" s="381"/>
      <c r="BW257" s="229"/>
    </row>
    <row r="258" spans="2:104" x14ac:dyDescent="0.2">
      <c r="B258" s="272" t="s">
        <v>1368</v>
      </c>
      <c r="C258" s="107">
        <v>0</v>
      </c>
      <c r="D258" s="243">
        <v>0</v>
      </c>
      <c r="E258" s="111">
        <v>0</v>
      </c>
      <c r="F258" s="107">
        <v>0</v>
      </c>
      <c r="G258" s="111">
        <v>0</v>
      </c>
      <c r="H258" s="111">
        <v>0</v>
      </c>
      <c r="I258" s="107">
        <v>1</v>
      </c>
      <c r="J258" s="111">
        <v>10.59</v>
      </c>
      <c r="K258" s="111">
        <v>0</v>
      </c>
      <c r="L258" s="24">
        <v>1</v>
      </c>
      <c r="M258" s="56">
        <f t="shared" si="36"/>
        <v>2.4875621890547263E-3</v>
      </c>
      <c r="N258" s="228">
        <v>10.59</v>
      </c>
      <c r="O258" s="252">
        <v>0</v>
      </c>
      <c r="P258" s="102">
        <f t="shared" si="37"/>
        <v>0</v>
      </c>
      <c r="Q258" s="23">
        <v>105.9</v>
      </c>
      <c r="R258" s="24">
        <v>0</v>
      </c>
      <c r="S258" s="22">
        <v>0</v>
      </c>
      <c r="T258" s="22">
        <v>1</v>
      </c>
      <c r="U258" s="22">
        <v>0</v>
      </c>
      <c r="V258" s="23">
        <v>0</v>
      </c>
      <c r="W258" s="23">
        <v>1</v>
      </c>
      <c r="AB258" s="21"/>
      <c r="AG258" s="294"/>
      <c r="AH258" s="294"/>
      <c r="AI258" s="294"/>
      <c r="AJ258" s="26"/>
      <c r="AK258" s="374"/>
      <c r="AL258" s="374"/>
      <c r="AO258" s="294"/>
      <c r="AQ258" s="20"/>
      <c r="AR258" s="374"/>
      <c r="AZ258" s="374"/>
      <c r="BE258" s="26"/>
      <c r="BF258" s="26"/>
      <c r="BG258" s="26"/>
      <c r="BH258" s="26"/>
      <c r="BI258" s="26"/>
      <c r="BJ258" s="26"/>
      <c r="BK258" s="26"/>
      <c r="BL258" s="26"/>
      <c r="BS258" s="20"/>
      <c r="BT258" s="26"/>
      <c r="BV258" s="381"/>
      <c r="BW258" s="229"/>
    </row>
    <row r="259" spans="2:104" x14ac:dyDescent="0.2">
      <c r="B259" s="272" t="s">
        <v>1369</v>
      </c>
      <c r="C259" s="107"/>
      <c r="D259" s="243"/>
      <c r="E259" s="111"/>
      <c r="F259" s="107"/>
      <c r="G259" s="111"/>
      <c r="H259" s="111"/>
      <c r="I259" s="107"/>
      <c r="J259" s="111"/>
      <c r="K259" s="111"/>
      <c r="L259" s="24"/>
      <c r="M259" s="56">
        <f t="shared" si="36"/>
        <v>0</v>
      </c>
      <c r="N259" s="228"/>
      <c r="O259" s="252">
        <v>0</v>
      </c>
      <c r="P259" s="102">
        <f t="shared" si="37"/>
        <v>0</v>
      </c>
      <c r="Q259" s="23"/>
      <c r="R259" s="24"/>
      <c r="S259" s="22"/>
      <c r="T259" s="22"/>
      <c r="U259" s="22"/>
      <c r="V259" s="23"/>
      <c r="W259" s="23"/>
      <c r="AB259" s="21"/>
      <c r="AG259" s="294"/>
      <c r="AH259" s="294"/>
      <c r="AI259" s="294"/>
      <c r="AJ259" s="26"/>
      <c r="AK259" s="374"/>
      <c r="AL259" s="374"/>
      <c r="AO259" s="294"/>
      <c r="AQ259" s="20"/>
      <c r="AR259" s="374"/>
      <c r="AZ259" s="374"/>
      <c r="BE259" s="26"/>
      <c r="BF259" s="26"/>
      <c r="BG259" s="26"/>
      <c r="BH259" s="26"/>
      <c r="BI259" s="26"/>
      <c r="BJ259" s="26"/>
      <c r="BK259" s="26"/>
      <c r="BL259" s="26"/>
      <c r="BS259" s="20"/>
      <c r="BT259" s="26"/>
      <c r="BV259" s="381"/>
      <c r="BW259" s="229"/>
    </row>
    <row r="260" spans="2:104" x14ac:dyDescent="0.2">
      <c r="B260" s="272" t="s">
        <v>1370</v>
      </c>
      <c r="C260" s="107"/>
      <c r="D260" s="243"/>
      <c r="E260" s="111"/>
      <c r="F260" s="107"/>
      <c r="G260" s="111"/>
      <c r="H260" s="111"/>
      <c r="I260" s="107"/>
      <c r="J260" s="111"/>
      <c r="K260" s="111"/>
      <c r="L260" s="24"/>
      <c r="M260" s="56">
        <f t="shared" si="36"/>
        <v>0</v>
      </c>
      <c r="N260" s="228"/>
      <c r="O260" s="252">
        <f>+E260+H260+K260</f>
        <v>0</v>
      </c>
      <c r="P260" s="102">
        <f t="shared" si="37"/>
        <v>0</v>
      </c>
      <c r="Q260" s="23"/>
      <c r="R260" s="24"/>
      <c r="S260" s="22"/>
      <c r="T260" s="22"/>
      <c r="U260" s="22"/>
      <c r="V260" s="23"/>
      <c r="W260" s="23"/>
      <c r="AB260" s="21"/>
      <c r="AG260" s="294"/>
      <c r="AH260" s="294"/>
      <c r="AI260" s="294"/>
      <c r="AJ260" s="26"/>
      <c r="AK260" s="374"/>
      <c r="AL260" s="374"/>
      <c r="AO260" s="294"/>
      <c r="AQ260" s="20"/>
      <c r="AR260" s="374"/>
      <c r="AZ260" s="374"/>
      <c r="BE260" s="26"/>
      <c r="BF260" s="26"/>
      <c r="BG260" s="26"/>
      <c r="BH260" s="26"/>
      <c r="BI260" s="26"/>
      <c r="BJ260" s="26"/>
      <c r="BK260" s="26"/>
      <c r="BL260" s="26"/>
      <c r="BS260" s="20"/>
      <c r="BT260" s="26"/>
      <c r="BV260" s="381"/>
      <c r="BW260" s="229"/>
    </row>
    <row r="261" spans="2:104" x14ac:dyDescent="0.2">
      <c r="B261" s="272" t="s">
        <v>1371</v>
      </c>
      <c r="C261" s="107"/>
      <c r="D261" s="243"/>
      <c r="E261" s="111"/>
      <c r="F261" s="107"/>
      <c r="G261" s="111"/>
      <c r="H261" s="111"/>
      <c r="I261" s="107"/>
      <c r="J261" s="111"/>
      <c r="K261" s="111"/>
      <c r="L261" s="24"/>
      <c r="M261" s="56">
        <f t="shared" si="36"/>
        <v>0</v>
      </c>
      <c r="N261" s="228"/>
      <c r="O261" s="252"/>
      <c r="P261" s="102">
        <f t="shared" si="37"/>
        <v>0</v>
      </c>
      <c r="Q261" s="23"/>
      <c r="R261" s="24"/>
      <c r="S261" s="22"/>
      <c r="T261" s="22"/>
      <c r="U261" s="22"/>
      <c r="V261" s="23"/>
      <c r="W261" s="23"/>
      <c r="AB261" s="21"/>
      <c r="AG261" s="294"/>
      <c r="AH261" s="294"/>
      <c r="AI261" s="294"/>
      <c r="AJ261" s="26"/>
      <c r="AK261" s="374"/>
      <c r="AL261" s="374"/>
      <c r="AO261" s="294"/>
      <c r="AQ261" s="20"/>
      <c r="AR261" s="374"/>
      <c r="AZ261" s="374"/>
      <c r="BE261" s="26"/>
      <c r="BF261" s="26"/>
      <c r="BG261" s="26"/>
      <c r="BH261" s="26"/>
      <c r="BI261" s="26"/>
      <c r="BJ261" s="26"/>
      <c r="BK261" s="26"/>
      <c r="BL261" s="26"/>
      <c r="BS261" s="20"/>
      <c r="BT261" s="26"/>
      <c r="BV261" s="381"/>
      <c r="BW261" s="229"/>
    </row>
    <row r="262" spans="2:104" x14ac:dyDescent="0.2">
      <c r="B262" s="272" t="s">
        <v>1372</v>
      </c>
      <c r="C262" s="107"/>
      <c r="D262" s="243"/>
      <c r="E262" s="111"/>
      <c r="F262" s="107"/>
      <c r="G262" s="111"/>
      <c r="H262" s="111"/>
      <c r="I262" s="107"/>
      <c r="J262" s="111"/>
      <c r="K262" s="111"/>
      <c r="L262" s="24">
        <f>+C262+F262+I262</f>
        <v>0</v>
      </c>
      <c r="M262" s="56">
        <f t="shared" si="36"/>
        <v>0</v>
      </c>
      <c r="N262" s="228"/>
      <c r="O262" s="252">
        <f>+E262+H262+K262</f>
        <v>0</v>
      </c>
      <c r="P262" s="102">
        <f t="shared" si="37"/>
        <v>0</v>
      </c>
      <c r="Q262" s="23"/>
      <c r="R262" s="24"/>
      <c r="S262" s="22"/>
      <c r="T262" s="22"/>
      <c r="U262" s="22"/>
      <c r="V262" s="23"/>
      <c r="W262" s="23"/>
      <c r="AB262" s="21"/>
      <c r="AG262" s="294"/>
      <c r="AH262" s="294"/>
      <c r="AI262" s="294"/>
      <c r="AJ262" s="26"/>
      <c r="AK262" s="374"/>
      <c r="AL262" s="374"/>
      <c r="AO262" s="294"/>
      <c r="AQ262" s="20"/>
      <c r="AR262" s="374"/>
      <c r="AZ262" s="374"/>
      <c r="BE262" s="26"/>
      <c r="BF262" s="26"/>
      <c r="BG262" s="26"/>
      <c r="BH262" s="26"/>
      <c r="BI262" s="26"/>
      <c r="BJ262" s="26"/>
      <c r="BK262" s="26"/>
      <c r="BL262" s="26"/>
      <c r="BS262" s="20"/>
      <c r="BT262" s="26"/>
      <c r="BV262" s="381"/>
      <c r="BW262" s="229"/>
    </row>
    <row r="263" spans="2:104" x14ac:dyDescent="0.2">
      <c r="B263" s="272" t="s">
        <v>1373</v>
      </c>
      <c r="C263" s="107"/>
      <c r="D263" s="243"/>
      <c r="E263" s="111"/>
      <c r="F263" s="107"/>
      <c r="G263" s="111"/>
      <c r="H263" s="111"/>
      <c r="I263" s="107"/>
      <c r="J263" s="111"/>
      <c r="K263" s="111"/>
      <c r="L263" s="24">
        <f>+C263+F263+I263</f>
        <v>0</v>
      </c>
      <c r="M263" s="56">
        <f t="shared" si="36"/>
        <v>0</v>
      </c>
      <c r="N263" s="228"/>
      <c r="O263" s="252">
        <f>+E263+H263+K263</f>
        <v>0</v>
      </c>
      <c r="P263" s="102">
        <f t="shared" si="37"/>
        <v>0</v>
      </c>
      <c r="Q263" s="23"/>
      <c r="R263" s="24"/>
      <c r="S263" s="22"/>
      <c r="T263" s="22"/>
      <c r="U263" s="22"/>
      <c r="V263" s="23"/>
      <c r="W263" s="23"/>
      <c r="AB263" s="21"/>
      <c r="AG263" s="294"/>
      <c r="AH263" s="294"/>
      <c r="AI263" s="294"/>
      <c r="AJ263" s="26"/>
      <c r="AK263" s="374"/>
      <c r="AL263" s="374"/>
      <c r="AO263" s="294"/>
      <c r="AQ263" s="20"/>
      <c r="AR263" s="374"/>
      <c r="AZ263" s="374"/>
      <c r="BE263" s="26"/>
      <c r="BF263" s="26"/>
      <c r="BG263" s="26"/>
      <c r="BH263" s="26"/>
      <c r="BI263" s="26"/>
      <c r="BJ263" s="26"/>
      <c r="BK263" s="26"/>
      <c r="BL263" s="26"/>
      <c r="BS263" s="20"/>
      <c r="BT263" s="26"/>
      <c r="BV263" s="381"/>
      <c r="BW263" s="229"/>
      <c r="CO263" s="3"/>
      <c r="CP263" s="1"/>
      <c r="CQ263" s="1"/>
      <c r="CR263" s="1"/>
      <c r="CS263" s="1"/>
      <c r="CT263" s="1"/>
      <c r="CU263" s="1"/>
      <c r="CV263" s="1"/>
      <c r="CW263" s="1"/>
      <c r="CX263" s="1"/>
      <c r="CY263" s="1"/>
      <c r="CZ263" s="1"/>
    </row>
    <row r="264" spans="2:104" x14ac:dyDescent="0.2">
      <c r="B264" s="272" t="s">
        <v>2254</v>
      </c>
      <c r="C264" s="107"/>
      <c r="D264" s="243"/>
      <c r="E264" s="111"/>
      <c r="F264" s="107"/>
      <c r="G264" s="111"/>
      <c r="H264" s="111"/>
      <c r="I264" s="107"/>
      <c r="J264" s="111"/>
      <c r="K264" s="111"/>
      <c r="L264" s="24"/>
      <c r="M264" s="56">
        <f t="shared" ref="M264:M295" si="40">+L264/L$322</f>
        <v>0</v>
      </c>
      <c r="N264" s="228"/>
      <c r="O264" s="252"/>
      <c r="P264" s="102">
        <f t="shared" ref="P264:P295" si="41">+O264/O$322</f>
        <v>0</v>
      </c>
      <c r="Q264" s="23"/>
      <c r="R264" s="24"/>
      <c r="S264" s="22"/>
      <c r="T264" s="22"/>
      <c r="U264" s="22"/>
      <c r="V264" s="23"/>
      <c r="W264" s="23"/>
      <c r="AB264" s="21"/>
      <c r="AG264" s="294"/>
      <c r="AH264" s="294"/>
      <c r="AI264" s="294"/>
      <c r="AJ264" s="26"/>
      <c r="AK264" s="374"/>
      <c r="AL264" s="374"/>
      <c r="AO264" s="294"/>
      <c r="AQ264" s="20"/>
      <c r="AR264" s="374"/>
      <c r="AZ264" s="374"/>
      <c r="BE264" s="26"/>
      <c r="BF264" s="26"/>
      <c r="BG264" s="26"/>
      <c r="BH264" s="26"/>
      <c r="BI264" s="26"/>
      <c r="BJ264" s="26"/>
      <c r="BK264" s="26"/>
      <c r="BL264" s="26"/>
      <c r="BS264" s="20"/>
      <c r="BT264" s="26"/>
      <c r="BV264" s="381"/>
      <c r="BW264" s="229"/>
    </row>
    <row r="265" spans="2:104" x14ac:dyDescent="0.2">
      <c r="B265" s="272" t="s">
        <v>1374</v>
      </c>
      <c r="C265" s="107"/>
      <c r="D265" s="243"/>
      <c r="E265" s="111"/>
      <c r="F265" s="107"/>
      <c r="G265" s="111"/>
      <c r="H265" s="111"/>
      <c r="I265" s="107"/>
      <c r="J265" s="111"/>
      <c r="K265" s="111"/>
      <c r="L265" s="112">
        <f>+C265+F265+I265</f>
        <v>0</v>
      </c>
      <c r="M265" s="113">
        <f t="shared" si="40"/>
        <v>0</v>
      </c>
      <c r="N265" s="240">
        <f>+D265+G265+J265</f>
        <v>0</v>
      </c>
      <c r="O265" s="253">
        <f>+E265+H265+K265</f>
        <v>0</v>
      </c>
      <c r="P265" s="106">
        <f t="shared" si="41"/>
        <v>0</v>
      </c>
      <c r="Q265" s="28"/>
      <c r="R265" s="41"/>
      <c r="S265" s="63"/>
      <c r="T265" s="114"/>
      <c r="U265" s="114"/>
      <c r="V265" s="61"/>
      <c r="W265" s="61"/>
      <c r="AB265" s="21"/>
      <c r="AG265" s="294"/>
      <c r="AH265" s="294"/>
      <c r="AI265" s="294"/>
      <c r="AJ265" s="26"/>
      <c r="AK265" s="374"/>
      <c r="AL265" s="374"/>
      <c r="AO265" s="294"/>
      <c r="AQ265" s="20"/>
      <c r="AR265" s="374"/>
      <c r="AZ265" s="374"/>
      <c r="BE265" s="26"/>
      <c r="BF265" s="26"/>
      <c r="BG265" s="26"/>
      <c r="BH265" s="26"/>
      <c r="BI265" s="26"/>
      <c r="BJ265" s="26"/>
      <c r="BK265" s="26"/>
      <c r="BL265" s="26"/>
      <c r="BS265" s="20"/>
      <c r="BT265" s="26"/>
      <c r="BV265" s="381"/>
      <c r="BW265" s="229"/>
    </row>
    <row r="266" spans="2:104" x14ac:dyDescent="0.2">
      <c r="B266" s="273" t="s">
        <v>1375</v>
      </c>
      <c r="C266" s="95">
        <f t="shared" ref="C266:W266" si="42">SUM(C267:C308)</f>
        <v>23</v>
      </c>
      <c r="D266" s="239">
        <f t="shared" si="42"/>
        <v>1455.9917999999998</v>
      </c>
      <c r="E266" s="96">
        <f t="shared" si="42"/>
        <v>207.27049957142859</v>
      </c>
      <c r="F266" s="95">
        <f t="shared" si="42"/>
        <v>0</v>
      </c>
      <c r="G266" s="96">
        <f t="shared" si="42"/>
        <v>0</v>
      </c>
      <c r="H266" s="101">
        <f t="shared" si="42"/>
        <v>0</v>
      </c>
      <c r="I266" s="96">
        <f t="shared" si="42"/>
        <v>112</v>
      </c>
      <c r="J266" s="96">
        <f t="shared" si="42"/>
        <v>22787.343999999997</v>
      </c>
      <c r="K266" s="96">
        <f t="shared" si="42"/>
        <v>984.55061484571434</v>
      </c>
      <c r="L266" s="95">
        <f t="shared" si="42"/>
        <v>135</v>
      </c>
      <c r="M266" s="100">
        <f t="shared" si="40"/>
        <v>0.33582089552238809</v>
      </c>
      <c r="N266" s="239">
        <f t="shared" si="42"/>
        <v>24243.335800000001</v>
      </c>
      <c r="O266" s="731">
        <f t="shared" si="42"/>
        <v>1191.821114417143</v>
      </c>
      <c r="P266" s="732">
        <f t="shared" si="42"/>
        <v>0.1276205420511681</v>
      </c>
      <c r="Q266" s="31">
        <f t="shared" si="42"/>
        <v>174125.27485479449</v>
      </c>
      <c r="R266" s="95">
        <f t="shared" si="42"/>
        <v>30</v>
      </c>
      <c r="S266" s="101">
        <f t="shared" si="42"/>
        <v>4382.8960400000005</v>
      </c>
      <c r="T266" s="101">
        <f t="shared" si="42"/>
        <v>27</v>
      </c>
      <c r="U266" s="101">
        <f t="shared" si="42"/>
        <v>1</v>
      </c>
      <c r="V266" s="31">
        <f t="shared" si="42"/>
        <v>2</v>
      </c>
      <c r="W266" s="31">
        <f t="shared" si="42"/>
        <v>440</v>
      </c>
      <c r="AB266" s="21"/>
      <c r="AG266" s="294"/>
      <c r="AH266" s="294"/>
      <c r="AI266" s="294"/>
      <c r="AJ266" s="26"/>
      <c r="AK266" s="374"/>
      <c r="AL266" s="374"/>
      <c r="AO266" s="294"/>
      <c r="AQ266" s="20"/>
      <c r="AR266" s="374"/>
      <c r="AZ266" s="374"/>
      <c r="BE266" s="26"/>
      <c r="BF266" s="26"/>
      <c r="BG266" s="26"/>
      <c r="BH266" s="26"/>
      <c r="BI266" s="26"/>
      <c r="BJ266" s="26"/>
      <c r="BK266" s="26"/>
      <c r="BL266" s="26"/>
      <c r="BS266" s="20"/>
      <c r="BT266" s="26"/>
      <c r="BV266" s="381"/>
      <c r="BW266" s="229"/>
    </row>
    <row r="267" spans="2:104" x14ac:dyDescent="0.2">
      <c r="B267" s="279" t="s">
        <v>1376</v>
      </c>
      <c r="C267" s="97"/>
      <c r="D267" s="241"/>
      <c r="E267" s="98"/>
      <c r="F267" s="97"/>
      <c r="G267" s="98"/>
      <c r="H267" s="115"/>
      <c r="I267" s="98"/>
      <c r="J267" s="98"/>
      <c r="K267" s="98"/>
      <c r="L267" s="97"/>
      <c r="M267" s="116">
        <f t="shared" si="40"/>
        <v>0</v>
      </c>
      <c r="N267" s="241"/>
      <c r="O267" s="735"/>
      <c r="P267" s="736">
        <f t="shared" si="41"/>
        <v>0</v>
      </c>
      <c r="Q267" s="25"/>
      <c r="R267" s="97"/>
      <c r="S267" s="115"/>
      <c r="T267" s="115"/>
      <c r="U267" s="115"/>
      <c r="V267" s="25"/>
      <c r="W267" s="25"/>
      <c r="AB267" s="21"/>
      <c r="AG267" s="294"/>
      <c r="AH267" s="294"/>
      <c r="AI267" s="294"/>
      <c r="AJ267" s="26" t="s">
        <v>1408</v>
      </c>
      <c r="AK267" s="374"/>
      <c r="AL267" s="374"/>
      <c r="AO267" s="294"/>
      <c r="AQ267" s="20"/>
      <c r="AR267" s="374"/>
      <c r="AZ267" s="374"/>
      <c r="BE267" s="26"/>
      <c r="BF267" s="26"/>
      <c r="BG267" s="26"/>
      <c r="BH267" s="26"/>
      <c r="BI267" s="26"/>
      <c r="BJ267" s="26"/>
      <c r="BK267" s="26"/>
      <c r="BL267" s="26"/>
      <c r="BS267" s="20"/>
      <c r="BT267" s="26"/>
      <c r="BV267" s="381"/>
      <c r="BW267" s="229"/>
    </row>
    <row r="268" spans="2:104" x14ac:dyDescent="0.2">
      <c r="B268" s="282" t="s">
        <v>1377</v>
      </c>
      <c r="C268" s="97"/>
      <c r="D268" s="241"/>
      <c r="E268" s="98"/>
      <c r="F268" s="97"/>
      <c r="G268" s="98"/>
      <c r="H268" s="115"/>
      <c r="I268" s="98"/>
      <c r="J268" s="98"/>
      <c r="K268" s="98"/>
      <c r="L268" s="97"/>
      <c r="M268" s="116">
        <f t="shared" si="40"/>
        <v>0</v>
      </c>
      <c r="N268" s="241"/>
      <c r="O268" s="735"/>
      <c r="P268" s="736">
        <f t="shared" si="41"/>
        <v>0</v>
      </c>
      <c r="Q268" s="25"/>
      <c r="R268" s="97"/>
      <c r="S268" s="115"/>
      <c r="T268" s="115"/>
      <c r="U268" s="115"/>
      <c r="V268" s="25"/>
      <c r="W268" s="25"/>
      <c r="AB268" s="21"/>
      <c r="AG268" s="294"/>
      <c r="AH268" s="294"/>
      <c r="AI268" s="294"/>
      <c r="AJ268" s="26"/>
      <c r="AK268" s="374"/>
      <c r="AL268" s="374"/>
      <c r="AO268" s="294"/>
      <c r="AQ268" s="20"/>
      <c r="AR268" s="374"/>
      <c r="AZ268" s="374"/>
      <c r="BE268" s="26"/>
      <c r="BF268" s="26"/>
      <c r="BG268" s="26"/>
      <c r="BH268" s="26"/>
      <c r="BI268" s="26"/>
      <c r="BJ268" s="26"/>
      <c r="BK268" s="26"/>
      <c r="BL268" s="26"/>
      <c r="BS268" s="20"/>
      <c r="BT268" s="26"/>
      <c r="BV268" s="381"/>
      <c r="BW268" s="229"/>
    </row>
    <row r="269" spans="2:104" x14ac:dyDescent="0.2">
      <c r="B269" s="278" t="s">
        <v>1702</v>
      </c>
      <c r="C269" s="140">
        <v>0</v>
      </c>
      <c r="D269" s="242">
        <v>0</v>
      </c>
      <c r="E269" s="98">
        <v>0</v>
      </c>
      <c r="F269" s="97">
        <v>0</v>
      </c>
      <c r="G269" s="98">
        <v>0</v>
      </c>
      <c r="H269" s="115">
        <v>0</v>
      </c>
      <c r="I269" s="98">
        <v>1</v>
      </c>
      <c r="J269" s="98">
        <v>50.281999999999996</v>
      </c>
      <c r="K269" s="98">
        <v>0</v>
      </c>
      <c r="L269" s="140">
        <v>1</v>
      </c>
      <c r="M269" s="143">
        <f t="shared" si="40"/>
        <v>2.4875621890547263E-3</v>
      </c>
      <c r="N269" s="242">
        <v>50.281999999999996</v>
      </c>
      <c r="O269" s="737">
        <v>0</v>
      </c>
      <c r="P269" s="738">
        <f t="shared" si="41"/>
        <v>0</v>
      </c>
      <c r="Q269" s="144">
        <v>442.92518082191782</v>
      </c>
      <c r="R269" s="97">
        <v>1</v>
      </c>
      <c r="S269" s="115">
        <v>24.472000000000001</v>
      </c>
      <c r="T269" s="115">
        <v>0</v>
      </c>
      <c r="U269" s="115">
        <v>0</v>
      </c>
      <c r="V269" s="25">
        <v>0</v>
      </c>
      <c r="W269" s="144">
        <v>2</v>
      </c>
      <c r="AB269" s="21"/>
      <c r="AG269" s="294"/>
      <c r="AH269" s="294"/>
      <c r="AI269" s="294"/>
      <c r="AJ269" s="26"/>
      <c r="AK269" s="374"/>
      <c r="AL269" s="374"/>
      <c r="AO269" s="294"/>
      <c r="AQ269" s="20"/>
      <c r="AR269" s="374"/>
      <c r="AZ269" s="374"/>
      <c r="BE269" s="26"/>
      <c r="BF269" s="26"/>
      <c r="BG269" s="26"/>
      <c r="BH269" s="26"/>
      <c r="BI269" s="26"/>
      <c r="BJ269" s="26"/>
      <c r="BK269" s="26"/>
      <c r="BL269" s="26"/>
      <c r="BS269" s="20"/>
      <c r="BT269" s="26"/>
      <c r="BV269" s="381"/>
      <c r="BW269" s="229"/>
    </row>
    <row r="270" spans="2:104" x14ac:dyDescent="0.2">
      <c r="B270" s="278" t="s">
        <v>1703</v>
      </c>
      <c r="C270" s="140">
        <v>0</v>
      </c>
      <c r="D270" s="242">
        <v>0</v>
      </c>
      <c r="E270" s="141">
        <v>0</v>
      </c>
      <c r="F270" s="140">
        <v>0</v>
      </c>
      <c r="G270" s="141">
        <v>0</v>
      </c>
      <c r="H270" s="142">
        <v>0</v>
      </c>
      <c r="I270" s="141">
        <v>1</v>
      </c>
      <c r="J270" s="141">
        <v>168.27099999999999</v>
      </c>
      <c r="K270" s="141">
        <v>41.137</v>
      </c>
      <c r="L270" s="140">
        <v>1</v>
      </c>
      <c r="M270" s="143">
        <f t="shared" si="40"/>
        <v>2.4875621890547263E-3</v>
      </c>
      <c r="N270" s="242">
        <v>168.27099999999999</v>
      </c>
      <c r="O270" s="737">
        <v>41.137</v>
      </c>
      <c r="P270" s="738">
        <f t="shared" si="41"/>
        <v>4.4049615960415041E-3</v>
      </c>
      <c r="Q270" s="144">
        <v>1374.7510191780821</v>
      </c>
      <c r="R270" s="140">
        <v>0</v>
      </c>
      <c r="S270" s="142">
        <v>0</v>
      </c>
      <c r="T270" s="142">
        <v>0</v>
      </c>
      <c r="U270" s="142">
        <v>0</v>
      </c>
      <c r="V270" s="144">
        <v>0</v>
      </c>
      <c r="W270" s="144">
        <v>1</v>
      </c>
      <c r="AB270" s="21"/>
      <c r="AG270" s="294"/>
      <c r="AH270" s="294"/>
      <c r="AI270" s="294"/>
      <c r="AJ270" s="26"/>
      <c r="AK270" s="374"/>
      <c r="AL270" s="374"/>
      <c r="AO270" s="294"/>
      <c r="AQ270" s="20"/>
      <c r="AR270" s="374"/>
      <c r="AZ270" s="374"/>
      <c r="BE270" s="26"/>
      <c r="BF270" s="26"/>
      <c r="BG270" s="26"/>
      <c r="BH270" s="26"/>
      <c r="BI270" s="26"/>
      <c r="BJ270" s="26"/>
      <c r="BK270" s="26"/>
      <c r="BL270" s="26"/>
      <c r="BS270" s="20"/>
      <c r="BT270" s="26"/>
      <c r="BV270" s="381"/>
      <c r="BW270" s="229"/>
    </row>
    <row r="271" spans="2:104" x14ac:dyDescent="0.2">
      <c r="B271" s="283" t="s">
        <v>1378</v>
      </c>
      <c r="C271" s="107">
        <v>0</v>
      </c>
      <c r="D271" s="243">
        <v>0</v>
      </c>
      <c r="E271" s="111">
        <v>0</v>
      </c>
      <c r="F271" s="107">
        <v>0</v>
      </c>
      <c r="G271" s="111">
        <v>0</v>
      </c>
      <c r="H271" s="117">
        <v>0</v>
      </c>
      <c r="I271" s="111">
        <v>1</v>
      </c>
      <c r="J271" s="111">
        <v>71.812999999999988</v>
      </c>
      <c r="K271" s="111">
        <v>0</v>
      </c>
      <c r="L271" s="107">
        <v>1</v>
      </c>
      <c r="M271" s="116">
        <f t="shared" si="40"/>
        <v>2.4875621890547263E-3</v>
      </c>
      <c r="N271" s="243">
        <v>71.812999999999988</v>
      </c>
      <c r="O271" s="739">
        <v>0</v>
      </c>
      <c r="P271" s="736">
        <f t="shared" si="41"/>
        <v>0</v>
      </c>
      <c r="Q271" s="60">
        <v>629.27002739726026</v>
      </c>
      <c r="R271" s="107">
        <v>1</v>
      </c>
      <c r="S271" s="117">
        <v>5.42</v>
      </c>
      <c r="T271" s="117">
        <v>0</v>
      </c>
      <c r="U271" s="117">
        <v>0</v>
      </c>
      <c r="V271" s="60">
        <v>0</v>
      </c>
      <c r="W271" s="60">
        <v>4</v>
      </c>
      <c r="AB271" s="21"/>
      <c r="AG271" s="294"/>
      <c r="AH271" s="294"/>
      <c r="AI271" s="294"/>
      <c r="AJ271" s="26"/>
      <c r="AK271" s="374"/>
      <c r="AL271" s="374"/>
      <c r="AO271" s="294"/>
      <c r="AQ271" s="20"/>
      <c r="AR271" s="374"/>
      <c r="AZ271" s="374"/>
      <c r="BE271" s="26"/>
      <c r="BF271" s="26"/>
      <c r="BG271" s="26"/>
      <c r="BH271" s="26"/>
      <c r="BI271" s="26"/>
      <c r="BJ271" s="26"/>
      <c r="BK271" s="26"/>
      <c r="BL271" s="26"/>
      <c r="BS271" s="20"/>
      <c r="BT271" s="26"/>
      <c r="BV271" s="381"/>
      <c r="BW271" s="229"/>
    </row>
    <row r="272" spans="2:104" x14ac:dyDescent="0.2">
      <c r="B272" s="283" t="s">
        <v>1379</v>
      </c>
      <c r="C272" s="107"/>
      <c r="D272" s="243"/>
      <c r="E272" s="111"/>
      <c r="F272" s="107"/>
      <c r="G272" s="111"/>
      <c r="H272" s="117"/>
      <c r="I272" s="111"/>
      <c r="J272" s="111"/>
      <c r="K272" s="111"/>
      <c r="L272" s="107"/>
      <c r="M272" s="116">
        <f t="shared" si="40"/>
        <v>0</v>
      </c>
      <c r="N272" s="243"/>
      <c r="O272" s="739"/>
      <c r="P272" s="736">
        <f t="shared" si="41"/>
        <v>0</v>
      </c>
      <c r="Q272" s="60"/>
      <c r="R272" s="107"/>
      <c r="S272" s="117"/>
      <c r="T272" s="117"/>
      <c r="U272" s="117"/>
      <c r="V272" s="60"/>
      <c r="W272" s="60"/>
      <c r="AB272" s="21"/>
      <c r="AG272" s="294"/>
      <c r="AH272" s="294"/>
      <c r="AI272" s="294"/>
      <c r="AJ272" s="26"/>
      <c r="AK272" s="374"/>
      <c r="AL272" s="374"/>
      <c r="AO272" s="294"/>
      <c r="AQ272" s="20"/>
      <c r="AR272" s="374"/>
      <c r="AZ272" s="374"/>
      <c r="BE272" s="26"/>
      <c r="BF272" s="26"/>
      <c r="BG272" s="26"/>
      <c r="BH272" s="26"/>
      <c r="BI272" s="26"/>
      <c r="BJ272" s="26"/>
      <c r="BK272" s="26"/>
      <c r="BL272" s="26"/>
      <c r="BS272" s="20"/>
      <c r="BT272" s="26"/>
      <c r="BV272" s="381"/>
      <c r="BW272" s="229"/>
    </row>
    <row r="273" spans="2:92" x14ac:dyDescent="0.2">
      <c r="B273" s="274" t="s">
        <v>1700</v>
      </c>
      <c r="C273" s="107">
        <v>0</v>
      </c>
      <c r="D273" s="243">
        <v>0</v>
      </c>
      <c r="E273" s="111">
        <v>0</v>
      </c>
      <c r="F273" s="107">
        <v>0</v>
      </c>
      <c r="G273" s="111">
        <v>0</v>
      </c>
      <c r="H273" s="117">
        <v>0</v>
      </c>
      <c r="I273" s="111">
        <v>0</v>
      </c>
      <c r="J273" s="111">
        <v>82.956000000000003</v>
      </c>
      <c r="K273" s="111">
        <v>0</v>
      </c>
      <c r="L273" s="107">
        <v>0</v>
      </c>
      <c r="M273" s="116">
        <f t="shared" si="40"/>
        <v>0</v>
      </c>
      <c r="N273" s="243">
        <v>82.956000000000003</v>
      </c>
      <c r="O273" s="739">
        <v>0</v>
      </c>
      <c r="P273" s="736">
        <f t="shared" si="41"/>
        <v>0</v>
      </c>
      <c r="Q273" s="60">
        <v>553.64607123287681</v>
      </c>
      <c r="R273" s="107">
        <v>0</v>
      </c>
      <c r="S273" s="117">
        <v>0</v>
      </c>
      <c r="T273" s="117">
        <v>2</v>
      </c>
      <c r="U273" s="117">
        <v>0</v>
      </c>
      <c r="V273" s="60">
        <v>0</v>
      </c>
      <c r="W273" s="60">
        <v>1</v>
      </c>
      <c r="AB273" s="329"/>
      <c r="AC273" s="1"/>
      <c r="AD273" s="1"/>
      <c r="AE273" s="1"/>
      <c r="AF273" s="3"/>
      <c r="AG273" s="331"/>
      <c r="AH273" s="331"/>
      <c r="AI273" s="331"/>
      <c r="AJ273" s="296"/>
      <c r="AK273" s="377"/>
      <c r="AL273" s="377"/>
      <c r="AM273" s="1"/>
      <c r="AN273" s="1"/>
      <c r="AO273" s="331"/>
      <c r="AP273" s="1"/>
      <c r="AQ273" s="330"/>
      <c r="AR273" s="377"/>
      <c r="AS273" s="1"/>
      <c r="AT273" s="1"/>
      <c r="AU273" s="1"/>
      <c r="AV273" s="1"/>
      <c r="AW273" s="1"/>
      <c r="AX273" s="1"/>
      <c r="AY273" s="222"/>
      <c r="AZ273" s="377"/>
      <c r="BA273" s="1"/>
      <c r="BB273" s="1"/>
      <c r="BC273" s="1"/>
      <c r="BD273" s="1"/>
      <c r="BE273" s="296"/>
      <c r="BF273" s="296"/>
      <c r="BG273" s="296"/>
      <c r="BH273" s="296"/>
      <c r="BI273" s="296"/>
      <c r="BJ273" s="296"/>
      <c r="BK273" s="296"/>
      <c r="BL273" s="296"/>
      <c r="BM273" s="1"/>
      <c r="BN273" s="1"/>
      <c r="BO273" s="1"/>
      <c r="BP273" s="1"/>
      <c r="BQ273" s="1"/>
      <c r="BR273" s="1"/>
      <c r="BS273" s="330"/>
      <c r="BT273" s="296"/>
      <c r="BU273" s="296"/>
      <c r="BV273" s="382"/>
      <c r="BW273" s="332"/>
      <c r="BX273" s="167"/>
      <c r="BY273" s="3"/>
      <c r="BZ273" s="3"/>
      <c r="CA273" s="332"/>
      <c r="CB273" s="3"/>
      <c r="CC273" s="1"/>
      <c r="CD273" s="1"/>
      <c r="CE273" s="1"/>
      <c r="CF273" s="1"/>
      <c r="CG273" s="1"/>
      <c r="CH273" s="1"/>
      <c r="CI273" s="1"/>
      <c r="CJ273" s="1"/>
      <c r="CK273" s="1"/>
      <c r="CL273" s="1"/>
      <c r="CM273" s="3"/>
      <c r="CN273" s="3"/>
    </row>
    <row r="274" spans="2:92" x14ac:dyDescent="0.2">
      <c r="B274" s="277" t="s">
        <v>983</v>
      </c>
      <c r="C274" s="107">
        <v>0</v>
      </c>
      <c r="D274" s="243">
        <v>0</v>
      </c>
      <c r="E274" s="111">
        <v>0</v>
      </c>
      <c r="F274" s="107">
        <v>0</v>
      </c>
      <c r="G274" s="111">
        <v>0</v>
      </c>
      <c r="H274" s="117">
        <v>0</v>
      </c>
      <c r="I274" s="111">
        <v>2</v>
      </c>
      <c r="J274" s="111">
        <v>122.85799999999999</v>
      </c>
      <c r="K274" s="111">
        <v>22.512267999999999</v>
      </c>
      <c r="L274" s="107">
        <v>2</v>
      </c>
      <c r="M274" s="116">
        <f t="shared" si="40"/>
        <v>4.9751243781094526E-3</v>
      </c>
      <c r="N274" s="243">
        <v>122.85799999999999</v>
      </c>
      <c r="O274" s="739">
        <v>22.512267999999999</v>
      </c>
      <c r="P274" s="736">
        <f t="shared" si="41"/>
        <v>2.4106200252763709E-3</v>
      </c>
      <c r="Q274" s="60">
        <v>783.44769315068493</v>
      </c>
      <c r="R274" s="107">
        <v>0</v>
      </c>
      <c r="S274" s="117">
        <v>0</v>
      </c>
      <c r="T274" s="117">
        <v>1</v>
      </c>
      <c r="U274" s="117">
        <v>0</v>
      </c>
      <c r="V274" s="60">
        <v>0</v>
      </c>
      <c r="W274" s="60">
        <v>3</v>
      </c>
      <c r="AB274" s="21"/>
      <c r="AG274" s="294"/>
      <c r="AH274" s="294"/>
      <c r="AI274" s="294"/>
      <c r="AJ274" s="26"/>
      <c r="AK274" s="374"/>
      <c r="AL274" s="374"/>
      <c r="AO274" s="294"/>
      <c r="AQ274" s="20"/>
      <c r="AR274" s="374"/>
      <c r="AZ274" s="374"/>
      <c r="BE274" s="26"/>
      <c r="BF274" s="26"/>
      <c r="BG274" s="26"/>
      <c r="BH274" s="26"/>
      <c r="BI274" s="26"/>
      <c r="BJ274" s="26"/>
      <c r="BK274" s="26"/>
      <c r="BL274" s="26"/>
      <c r="BS274" s="20"/>
      <c r="BT274" s="26"/>
      <c r="BV274" s="381"/>
      <c r="BW274" s="229"/>
    </row>
    <row r="275" spans="2:92" x14ac:dyDescent="0.2">
      <c r="B275" s="272" t="s">
        <v>991</v>
      </c>
      <c r="C275" s="118">
        <v>1</v>
      </c>
      <c r="D275" s="228">
        <v>59.8</v>
      </c>
      <c r="E275" s="38">
        <v>0</v>
      </c>
      <c r="F275" s="24">
        <v>0</v>
      </c>
      <c r="G275" s="38">
        <v>0</v>
      </c>
      <c r="H275" s="22">
        <v>0</v>
      </c>
      <c r="I275" s="38">
        <v>1</v>
      </c>
      <c r="J275" s="38">
        <v>183.78400000000002</v>
      </c>
      <c r="K275" s="38">
        <v>0</v>
      </c>
      <c r="L275" s="24">
        <v>2</v>
      </c>
      <c r="M275" s="56">
        <f t="shared" si="40"/>
        <v>4.9751243781094526E-3</v>
      </c>
      <c r="N275" s="228">
        <v>243.584</v>
      </c>
      <c r="O275" s="252">
        <v>0</v>
      </c>
      <c r="P275" s="102">
        <f t="shared" si="41"/>
        <v>0</v>
      </c>
      <c r="Q275" s="23">
        <v>1873.16661369863</v>
      </c>
      <c r="R275" s="24">
        <v>0</v>
      </c>
      <c r="S275" s="22">
        <v>0</v>
      </c>
      <c r="T275" s="117">
        <v>1</v>
      </c>
      <c r="U275" s="117">
        <v>0</v>
      </c>
      <c r="V275" s="60">
        <v>0</v>
      </c>
      <c r="W275" s="60">
        <v>4</v>
      </c>
      <c r="AB275" s="21"/>
      <c r="AG275" s="294"/>
      <c r="AH275" s="294"/>
      <c r="AI275" s="294"/>
      <c r="AJ275" s="26"/>
      <c r="AK275" s="374"/>
      <c r="AL275" s="374"/>
      <c r="AO275" s="294"/>
      <c r="AQ275" s="20"/>
      <c r="AR275" s="374"/>
      <c r="AZ275" s="374"/>
      <c r="BE275" s="26"/>
      <c r="BF275" s="26"/>
      <c r="BG275" s="26"/>
      <c r="BH275" s="26"/>
      <c r="BI275" s="26"/>
      <c r="BJ275" s="26"/>
      <c r="BK275" s="26"/>
      <c r="BL275" s="26"/>
      <c r="BS275" s="20"/>
      <c r="BT275" s="26"/>
      <c r="BV275" s="381"/>
      <c r="BW275" s="229"/>
    </row>
    <row r="276" spans="2:92" x14ac:dyDescent="0.2">
      <c r="B276" s="272" t="s">
        <v>1704</v>
      </c>
      <c r="C276" s="118">
        <v>0</v>
      </c>
      <c r="D276" s="228">
        <v>0</v>
      </c>
      <c r="E276" s="38">
        <v>0</v>
      </c>
      <c r="F276" s="24">
        <v>0</v>
      </c>
      <c r="G276" s="38">
        <v>0</v>
      </c>
      <c r="H276" s="38">
        <v>0</v>
      </c>
      <c r="I276" s="24">
        <v>0</v>
      </c>
      <c r="J276" s="38">
        <v>73.180999999999997</v>
      </c>
      <c r="K276" s="38">
        <v>0</v>
      </c>
      <c r="L276" s="24">
        <v>0</v>
      </c>
      <c r="M276" s="56">
        <f t="shared" si="40"/>
        <v>0</v>
      </c>
      <c r="N276" s="228">
        <v>73.180999999999997</v>
      </c>
      <c r="O276" s="252">
        <v>0</v>
      </c>
      <c r="P276" s="102">
        <f t="shared" si="41"/>
        <v>0</v>
      </c>
      <c r="Q276" s="23">
        <v>294.9294547945205</v>
      </c>
      <c r="R276" s="24">
        <v>0</v>
      </c>
      <c r="S276" s="22">
        <v>0</v>
      </c>
      <c r="T276" s="117">
        <v>0</v>
      </c>
      <c r="U276" s="117">
        <v>0</v>
      </c>
      <c r="V276" s="60">
        <v>0</v>
      </c>
      <c r="W276" s="60">
        <v>1</v>
      </c>
      <c r="AB276" s="21"/>
      <c r="AG276" s="294"/>
      <c r="AH276" s="294"/>
      <c r="AI276" s="294"/>
      <c r="AJ276" s="26"/>
      <c r="AK276" s="374"/>
      <c r="AL276" s="374"/>
      <c r="AO276" s="294"/>
      <c r="AQ276" s="20"/>
      <c r="AR276" s="374"/>
      <c r="AZ276" s="374"/>
      <c r="BE276" s="26"/>
      <c r="BF276" s="26"/>
      <c r="BG276" s="26"/>
      <c r="BH276" s="26"/>
      <c r="BI276" s="26"/>
      <c r="BJ276" s="26"/>
      <c r="BK276" s="26"/>
      <c r="BL276" s="26"/>
      <c r="BS276" s="20"/>
      <c r="BT276" s="26"/>
      <c r="BV276" s="381"/>
      <c r="BW276" s="229"/>
    </row>
    <row r="277" spans="2:92" x14ac:dyDescent="0.2">
      <c r="B277" s="281" t="s">
        <v>818</v>
      </c>
      <c r="C277" s="107">
        <v>0</v>
      </c>
      <c r="D277" s="243">
        <v>0</v>
      </c>
      <c r="E277" s="111">
        <v>0</v>
      </c>
      <c r="F277" s="107">
        <v>0</v>
      </c>
      <c r="G277" s="111">
        <v>0</v>
      </c>
      <c r="H277" s="111">
        <v>0</v>
      </c>
      <c r="I277" s="107">
        <v>2</v>
      </c>
      <c r="J277" s="111">
        <v>21.401000000000003</v>
      </c>
      <c r="K277" s="111">
        <v>0.03</v>
      </c>
      <c r="L277" s="107">
        <v>2</v>
      </c>
      <c r="M277" s="56">
        <f t="shared" si="40"/>
        <v>4.9751243781094526E-3</v>
      </c>
      <c r="N277" s="243">
        <v>21.401000000000003</v>
      </c>
      <c r="O277" s="739">
        <v>0.03</v>
      </c>
      <c r="P277" s="102">
        <f t="shared" si="41"/>
        <v>3.2124084858216475E-6</v>
      </c>
      <c r="Q277" s="60">
        <v>214.01</v>
      </c>
      <c r="R277" s="24">
        <v>1</v>
      </c>
      <c r="S277" s="22">
        <v>311.84100000000001</v>
      </c>
      <c r="T277" s="22">
        <v>2</v>
      </c>
      <c r="U277" s="22">
        <v>0</v>
      </c>
      <c r="V277" s="23">
        <v>0</v>
      </c>
      <c r="W277" s="23">
        <v>4</v>
      </c>
      <c r="AB277" s="21"/>
      <c r="AG277" s="294"/>
      <c r="AH277" s="294"/>
      <c r="AI277" s="294"/>
      <c r="AJ277" s="26"/>
      <c r="AK277" s="374"/>
      <c r="AL277" s="374"/>
      <c r="AO277" s="294"/>
      <c r="AQ277" s="20"/>
      <c r="AR277" s="374"/>
      <c r="AZ277" s="374"/>
      <c r="BE277" s="26"/>
      <c r="BF277" s="26"/>
      <c r="BG277" s="26"/>
      <c r="BH277" s="26"/>
      <c r="BI277" s="26"/>
      <c r="BJ277" s="26"/>
      <c r="BK277" s="26"/>
      <c r="BL277" s="26"/>
      <c r="BS277" s="20"/>
      <c r="BT277" s="26"/>
      <c r="BV277" s="381"/>
      <c r="BW277" s="229"/>
    </row>
    <row r="278" spans="2:92" x14ac:dyDescent="0.2">
      <c r="B278" s="277" t="s">
        <v>1380</v>
      </c>
      <c r="C278" s="107"/>
      <c r="D278" s="243"/>
      <c r="E278" s="111"/>
      <c r="F278" s="107"/>
      <c r="G278" s="111"/>
      <c r="H278" s="117"/>
      <c r="I278" s="111"/>
      <c r="J278" s="111"/>
      <c r="K278" s="111"/>
      <c r="L278" s="107"/>
      <c r="M278" s="56">
        <f t="shared" si="40"/>
        <v>0</v>
      </c>
      <c r="N278" s="243"/>
      <c r="O278" s="739"/>
      <c r="P278" s="102">
        <f t="shared" si="41"/>
        <v>0</v>
      </c>
      <c r="Q278" s="60"/>
      <c r="R278" s="24"/>
      <c r="S278" s="22"/>
      <c r="T278" s="117"/>
      <c r="U278" s="117"/>
      <c r="V278" s="60"/>
      <c r="W278" s="60"/>
      <c r="AB278" s="21"/>
      <c r="AC278" s="26"/>
      <c r="AG278" s="294"/>
      <c r="AH278" s="294"/>
      <c r="AI278" s="294"/>
      <c r="AJ278" s="26"/>
      <c r="AK278" s="374"/>
      <c r="AL278" s="374"/>
      <c r="AO278" s="294"/>
      <c r="AQ278" s="20"/>
      <c r="AR278" s="374"/>
      <c r="AZ278" s="374"/>
      <c r="BE278" s="26"/>
      <c r="BF278" s="26"/>
      <c r="BG278" s="26"/>
      <c r="BH278" s="26"/>
      <c r="BI278" s="26"/>
      <c r="BJ278" s="26"/>
      <c r="BK278" s="26"/>
      <c r="BL278" s="26"/>
      <c r="BS278" s="20"/>
      <c r="BT278" s="26"/>
      <c r="BV278" s="381"/>
      <c r="BW278" s="229"/>
    </row>
    <row r="279" spans="2:92" x14ac:dyDescent="0.2">
      <c r="B279" s="277" t="s">
        <v>1381</v>
      </c>
      <c r="C279" s="107">
        <v>1</v>
      </c>
      <c r="D279" s="243">
        <v>183.03</v>
      </c>
      <c r="E279" s="111">
        <v>0</v>
      </c>
      <c r="F279" s="107">
        <v>0</v>
      </c>
      <c r="G279" s="111">
        <v>0</v>
      </c>
      <c r="H279" s="117">
        <v>0</v>
      </c>
      <c r="I279" s="111">
        <v>6</v>
      </c>
      <c r="J279" s="111">
        <v>668.96399999999994</v>
      </c>
      <c r="K279" s="111">
        <v>10.499000000000001</v>
      </c>
      <c r="L279" s="107">
        <v>7</v>
      </c>
      <c r="M279" s="56">
        <f t="shared" si="40"/>
        <v>1.7412935323383085E-2</v>
      </c>
      <c r="N279" s="243">
        <v>851.99399999999991</v>
      </c>
      <c r="O279" s="739">
        <v>10.499000000000001</v>
      </c>
      <c r="P279" s="102">
        <f t="shared" si="41"/>
        <v>1.124235889754716E-3</v>
      </c>
      <c r="Q279" s="60">
        <v>9805.4378383561634</v>
      </c>
      <c r="R279" s="24">
        <v>1</v>
      </c>
      <c r="S279" s="22">
        <v>337.44399999999996</v>
      </c>
      <c r="T279" s="117">
        <v>0</v>
      </c>
      <c r="U279" s="117">
        <v>0</v>
      </c>
      <c r="V279" s="60">
        <v>0</v>
      </c>
      <c r="W279" s="60">
        <v>17</v>
      </c>
      <c r="AB279" s="21"/>
      <c r="AG279" s="294"/>
      <c r="AH279" s="294"/>
      <c r="AI279" s="294"/>
      <c r="AJ279" s="26"/>
      <c r="AK279" s="374"/>
      <c r="AL279" s="374"/>
      <c r="AO279" s="294"/>
      <c r="AQ279" s="20"/>
      <c r="AR279" s="374"/>
      <c r="AZ279" s="374"/>
      <c r="BE279" s="26"/>
      <c r="BF279" s="26"/>
      <c r="BG279" s="26"/>
      <c r="BH279" s="26"/>
      <c r="BI279" s="26"/>
      <c r="BJ279" s="26"/>
      <c r="BK279" s="26"/>
      <c r="BL279" s="26"/>
      <c r="BS279" s="20"/>
      <c r="BT279" s="26"/>
      <c r="BV279" s="381"/>
      <c r="BW279" s="229"/>
    </row>
    <row r="280" spans="2:92" x14ac:dyDescent="0.2">
      <c r="B280" s="279" t="s">
        <v>841</v>
      </c>
      <c r="C280" s="107"/>
      <c r="D280" s="243"/>
      <c r="E280" s="111"/>
      <c r="F280" s="107"/>
      <c r="G280" s="111"/>
      <c r="H280" s="117"/>
      <c r="I280" s="111"/>
      <c r="J280" s="111"/>
      <c r="K280" s="111"/>
      <c r="L280" s="109"/>
      <c r="M280" s="56">
        <f t="shared" si="40"/>
        <v>0</v>
      </c>
      <c r="N280" s="244"/>
      <c r="O280" s="740"/>
      <c r="P280" s="102">
        <f t="shared" si="41"/>
        <v>0</v>
      </c>
      <c r="Q280" s="60"/>
      <c r="R280" s="24"/>
      <c r="S280" s="22"/>
      <c r="T280" s="117"/>
      <c r="U280" s="117"/>
      <c r="V280" s="60"/>
      <c r="W280" s="60"/>
      <c r="AB280" s="21"/>
      <c r="AG280" s="294"/>
      <c r="AH280" s="294"/>
      <c r="AI280" s="294"/>
      <c r="AJ280" s="26"/>
      <c r="AK280" s="374"/>
      <c r="AL280" s="374"/>
      <c r="AO280" s="294"/>
      <c r="AQ280" s="20"/>
      <c r="AR280" s="374"/>
      <c r="AZ280" s="374"/>
      <c r="BE280" s="26"/>
      <c r="BF280" s="26"/>
      <c r="BG280" s="26"/>
      <c r="BH280" s="26"/>
      <c r="BI280" s="26"/>
      <c r="BJ280" s="26"/>
      <c r="BK280" s="26"/>
      <c r="BL280" s="26"/>
      <c r="BS280" s="20"/>
      <c r="BT280" s="26"/>
      <c r="BV280" s="381"/>
      <c r="BW280" s="229"/>
    </row>
    <row r="281" spans="2:92" ht="13.5" customHeight="1" x14ac:dyDescent="0.2">
      <c r="B281" s="284" t="s">
        <v>1705</v>
      </c>
      <c r="C281" s="107"/>
      <c r="D281" s="243"/>
      <c r="E281" s="111"/>
      <c r="F281" s="107"/>
      <c r="G281" s="111"/>
      <c r="H281" s="117"/>
      <c r="I281" s="111"/>
      <c r="J281" s="111"/>
      <c r="K281" s="111"/>
      <c r="L281" s="109"/>
      <c r="M281" s="56">
        <f t="shared" si="40"/>
        <v>0</v>
      </c>
      <c r="N281" s="244"/>
      <c r="O281" s="740"/>
      <c r="P281" s="102">
        <f t="shared" si="41"/>
        <v>0</v>
      </c>
      <c r="Q281" s="60"/>
      <c r="R281" s="24"/>
      <c r="S281" s="22"/>
      <c r="T281" s="117"/>
      <c r="U281" s="117"/>
      <c r="V281" s="60"/>
      <c r="W281" s="60"/>
      <c r="AB281" s="21"/>
      <c r="AG281" s="294"/>
      <c r="AH281" s="294"/>
      <c r="AI281" s="294"/>
      <c r="AJ281" s="26"/>
      <c r="AK281" s="374"/>
      <c r="AL281" s="374"/>
      <c r="AO281" s="294"/>
      <c r="AQ281" s="20"/>
      <c r="AR281" s="374"/>
      <c r="AZ281" s="374"/>
      <c r="BE281" s="26"/>
      <c r="BF281" s="26"/>
      <c r="BG281" s="26"/>
      <c r="BH281" s="26"/>
      <c r="BI281" s="26"/>
      <c r="BJ281" s="26"/>
      <c r="BK281" s="26"/>
      <c r="BL281" s="26"/>
      <c r="BS281" s="20"/>
      <c r="BT281" s="26"/>
      <c r="BV281" s="381"/>
      <c r="BW281" s="229"/>
    </row>
    <row r="282" spans="2:92" ht="13.5" customHeight="1" x14ac:dyDescent="0.2">
      <c r="B282" s="283" t="s">
        <v>1008</v>
      </c>
      <c r="C282" s="109">
        <v>0</v>
      </c>
      <c r="D282" s="244">
        <v>0</v>
      </c>
      <c r="E282" s="119">
        <v>0</v>
      </c>
      <c r="F282" s="109">
        <v>0</v>
      </c>
      <c r="G282" s="119">
        <v>0</v>
      </c>
      <c r="H282" s="120">
        <v>0</v>
      </c>
      <c r="I282" s="119">
        <v>6</v>
      </c>
      <c r="J282" s="119">
        <v>676.99100000000021</v>
      </c>
      <c r="K282" s="119">
        <v>7.0877552000000001</v>
      </c>
      <c r="L282" s="109">
        <v>6</v>
      </c>
      <c r="M282" s="56">
        <f t="shared" si="40"/>
        <v>1.4925373134328358E-2</v>
      </c>
      <c r="N282" s="244">
        <v>676.99100000000021</v>
      </c>
      <c r="O282" s="740">
        <v>7.0877552000000001</v>
      </c>
      <c r="P282" s="102">
        <f t="shared" si="41"/>
        <v>7.5895883166355032E-4</v>
      </c>
      <c r="Q282" s="121">
        <v>5110.0517424657537</v>
      </c>
      <c r="R282" s="33">
        <v>0</v>
      </c>
      <c r="S282" s="122">
        <v>382.851</v>
      </c>
      <c r="T282" s="120">
        <v>1</v>
      </c>
      <c r="U282" s="120">
        <v>0</v>
      </c>
      <c r="V282" s="121">
        <v>0</v>
      </c>
      <c r="W282" s="121">
        <v>11</v>
      </c>
      <c r="AB282" s="21"/>
      <c r="AG282" s="294"/>
      <c r="AH282" s="294"/>
      <c r="AI282" s="294"/>
      <c r="AJ282" s="26"/>
      <c r="AK282" s="374"/>
      <c r="AL282" s="374"/>
      <c r="AO282" s="294"/>
      <c r="AQ282" s="20"/>
      <c r="AR282" s="374"/>
      <c r="AZ282" s="374"/>
      <c r="BE282" s="26"/>
      <c r="BF282" s="26"/>
      <c r="BG282" s="26"/>
      <c r="BH282" s="26"/>
      <c r="BI282" s="26"/>
      <c r="BJ282" s="26"/>
      <c r="BK282" s="26"/>
      <c r="BL282" s="26"/>
      <c r="BS282" s="20"/>
      <c r="BT282" s="26"/>
      <c r="BV282" s="381"/>
      <c r="BW282" s="229"/>
    </row>
    <row r="283" spans="2:92" x14ac:dyDescent="0.2">
      <c r="B283" s="272" t="s">
        <v>218</v>
      </c>
      <c r="C283" s="118">
        <v>2</v>
      </c>
      <c r="D283" s="228">
        <v>119.53099999999999</v>
      </c>
      <c r="E283" s="38">
        <v>0</v>
      </c>
      <c r="F283" s="24">
        <v>0</v>
      </c>
      <c r="G283" s="38">
        <v>0</v>
      </c>
      <c r="H283" s="22">
        <v>0</v>
      </c>
      <c r="I283" s="38">
        <v>16</v>
      </c>
      <c r="J283" s="38">
        <v>2736.6369999999997</v>
      </c>
      <c r="K283" s="38">
        <v>64.561549999999997</v>
      </c>
      <c r="L283" s="24">
        <v>18</v>
      </c>
      <c r="M283" s="56">
        <f t="shared" si="40"/>
        <v>4.4776119402985072E-2</v>
      </c>
      <c r="N283" s="228">
        <v>2856.1679999999997</v>
      </c>
      <c r="O283" s="252">
        <v>64.561549999999997</v>
      </c>
      <c r="P283" s="102">
        <f t="shared" si="41"/>
        <v>6.9132690359266199E-3</v>
      </c>
      <c r="Q283" s="23">
        <v>16890.237405479449</v>
      </c>
      <c r="R283" s="24">
        <v>5</v>
      </c>
      <c r="S283" s="22">
        <v>345.76300000000003</v>
      </c>
      <c r="T283" s="117">
        <v>1</v>
      </c>
      <c r="U283" s="117">
        <v>0</v>
      </c>
      <c r="V283" s="60">
        <v>0</v>
      </c>
      <c r="W283" s="60">
        <v>61</v>
      </c>
      <c r="AB283" s="21"/>
      <c r="AG283" s="294"/>
      <c r="AH283" s="294"/>
      <c r="AI283" s="294"/>
      <c r="AJ283" s="26"/>
      <c r="AK283" s="374"/>
      <c r="AL283" s="374"/>
      <c r="AO283" s="294"/>
      <c r="AQ283" s="20"/>
      <c r="AR283" s="374"/>
      <c r="AZ283" s="374"/>
      <c r="BE283" s="26"/>
      <c r="BF283" s="26"/>
      <c r="BG283" s="26"/>
      <c r="BH283" s="26"/>
      <c r="BI283" s="26"/>
      <c r="BJ283" s="26"/>
      <c r="BK283" s="26"/>
      <c r="BL283" s="26"/>
      <c r="BS283" s="20"/>
      <c r="BT283" s="26"/>
      <c r="BV283" s="381"/>
      <c r="BW283" s="229"/>
    </row>
    <row r="284" spans="2:92" x14ac:dyDescent="0.2">
      <c r="B284" s="285" t="s">
        <v>1382</v>
      </c>
      <c r="C284" s="118"/>
      <c r="D284" s="228"/>
      <c r="E284" s="38"/>
      <c r="F284" s="24"/>
      <c r="G284" s="38"/>
      <c r="H284" s="22"/>
      <c r="I284" s="38"/>
      <c r="J284" s="38"/>
      <c r="K284" s="38"/>
      <c r="L284" s="24"/>
      <c r="M284" s="56">
        <f t="shared" si="40"/>
        <v>0</v>
      </c>
      <c r="N284" s="228"/>
      <c r="O284" s="252"/>
      <c r="P284" s="102">
        <f t="shared" si="41"/>
        <v>0</v>
      </c>
      <c r="Q284" s="23"/>
      <c r="R284" s="24"/>
      <c r="S284" s="22"/>
      <c r="T284" s="117"/>
      <c r="U284" s="117"/>
      <c r="V284" s="60"/>
      <c r="W284" s="60"/>
      <c r="AB284" s="21"/>
      <c r="AG284" s="294"/>
      <c r="AH284" s="294"/>
      <c r="AI284" s="294"/>
      <c r="AJ284" s="26"/>
      <c r="AK284" s="374"/>
      <c r="AL284" s="374"/>
      <c r="AO284" s="294"/>
      <c r="AQ284" s="20"/>
      <c r="AR284" s="374"/>
      <c r="AZ284" s="374"/>
      <c r="BE284" s="26"/>
      <c r="BF284" s="26"/>
      <c r="BG284" s="26"/>
      <c r="BH284" s="26"/>
      <c r="BI284" s="26"/>
      <c r="BJ284" s="26"/>
      <c r="BK284" s="26"/>
      <c r="BL284" s="26"/>
      <c r="BS284" s="20"/>
      <c r="BT284" s="26"/>
      <c r="BV284" s="381"/>
      <c r="BW284" s="229"/>
    </row>
    <row r="285" spans="2:92" x14ac:dyDescent="0.2">
      <c r="B285" s="274" t="s">
        <v>1383</v>
      </c>
      <c r="C285" s="118">
        <v>0</v>
      </c>
      <c r="D285" s="228">
        <v>0</v>
      </c>
      <c r="E285" s="38">
        <v>0</v>
      </c>
      <c r="F285" s="24">
        <v>0</v>
      </c>
      <c r="G285" s="38">
        <v>0</v>
      </c>
      <c r="H285" s="22">
        <v>0</v>
      </c>
      <c r="I285" s="38">
        <v>0</v>
      </c>
      <c r="J285" s="38">
        <v>144.90700000000001</v>
      </c>
      <c r="K285" s="38">
        <v>0</v>
      </c>
      <c r="L285" s="24">
        <v>0</v>
      </c>
      <c r="M285" s="56">
        <f t="shared" si="40"/>
        <v>0</v>
      </c>
      <c r="N285" s="228">
        <v>144.90700000000001</v>
      </c>
      <c r="O285" s="252">
        <v>0</v>
      </c>
      <c r="P285" s="102">
        <f t="shared" si="41"/>
        <v>0</v>
      </c>
      <c r="Q285" s="23">
        <v>1107.6233534246576</v>
      </c>
      <c r="R285" s="24">
        <v>1</v>
      </c>
      <c r="S285" s="22">
        <v>0</v>
      </c>
      <c r="T285" s="117">
        <v>0</v>
      </c>
      <c r="U285" s="117">
        <v>0</v>
      </c>
      <c r="V285" s="60">
        <v>0</v>
      </c>
      <c r="W285" s="60">
        <v>2</v>
      </c>
      <c r="AB285" s="21"/>
      <c r="AG285" s="294"/>
      <c r="AH285" s="294"/>
      <c r="AI285" s="294"/>
      <c r="AJ285" s="26"/>
      <c r="AK285" s="374"/>
      <c r="AL285" s="374"/>
      <c r="AO285" s="294"/>
      <c r="AQ285" s="20"/>
      <c r="AR285" s="374"/>
      <c r="AZ285" s="374"/>
      <c r="BE285" s="26"/>
      <c r="BF285" s="26"/>
      <c r="BG285" s="26"/>
      <c r="BH285" s="26"/>
      <c r="BI285" s="26"/>
      <c r="BJ285" s="26"/>
      <c r="BK285" s="26"/>
      <c r="BL285" s="26"/>
      <c r="BS285" s="20"/>
      <c r="BT285" s="26"/>
      <c r="BV285" s="381"/>
      <c r="BW285" s="229"/>
    </row>
    <row r="286" spans="2:92" x14ac:dyDescent="0.2">
      <c r="B286" s="281" t="s">
        <v>1384</v>
      </c>
      <c r="C286" s="107"/>
      <c r="D286" s="228"/>
      <c r="E286" s="38"/>
      <c r="F286" s="24"/>
      <c r="G286" s="38"/>
      <c r="H286" s="38"/>
      <c r="I286" s="24"/>
      <c r="J286" s="38"/>
      <c r="K286" s="38"/>
      <c r="L286" s="24"/>
      <c r="M286" s="56">
        <f t="shared" si="40"/>
        <v>0</v>
      </c>
      <c r="N286" s="228"/>
      <c r="O286" s="252"/>
      <c r="P286" s="102">
        <f t="shared" si="41"/>
        <v>0</v>
      </c>
      <c r="Q286" s="23"/>
      <c r="R286" s="24"/>
      <c r="S286" s="22"/>
      <c r="T286" s="22"/>
      <c r="U286" s="22"/>
      <c r="V286" s="23"/>
      <c r="W286" s="23"/>
      <c r="AB286" s="21"/>
      <c r="AG286" s="294"/>
      <c r="AH286" s="294"/>
      <c r="AI286" s="294"/>
      <c r="AJ286" s="26"/>
      <c r="AK286" s="374"/>
      <c r="AL286" s="374"/>
      <c r="AO286" s="294"/>
      <c r="AQ286" s="20"/>
      <c r="AR286" s="374"/>
      <c r="AZ286" s="374"/>
      <c r="BE286" s="26"/>
      <c r="BF286" s="26"/>
      <c r="BG286" s="26"/>
      <c r="BH286" s="26"/>
      <c r="BI286" s="26"/>
      <c r="BJ286" s="26"/>
      <c r="BK286" s="26"/>
      <c r="BL286" s="26"/>
      <c r="BS286" s="20"/>
      <c r="BT286" s="26"/>
      <c r="BV286" s="381"/>
      <c r="BW286" s="229"/>
    </row>
    <row r="287" spans="2:92" x14ac:dyDescent="0.2">
      <c r="B287" s="274" t="s">
        <v>1038</v>
      </c>
      <c r="C287" s="118">
        <v>1</v>
      </c>
      <c r="D287" s="228">
        <v>36.9</v>
      </c>
      <c r="E287" s="38">
        <v>0</v>
      </c>
      <c r="F287" s="24">
        <v>0</v>
      </c>
      <c r="G287" s="38">
        <v>0</v>
      </c>
      <c r="H287" s="22">
        <v>0</v>
      </c>
      <c r="I287" s="38">
        <v>2</v>
      </c>
      <c r="J287" s="38">
        <v>3348.9090000000001</v>
      </c>
      <c r="K287" s="38">
        <v>0</v>
      </c>
      <c r="L287" s="24">
        <v>3</v>
      </c>
      <c r="M287" s="56">
        <f t="shared" si="40"/>
        <v>7.462686567164179E-3</v>
      </c>
      <c r="N287" s="228">
        <v>3385.8090000000002</v>
      </c>
      <c r="O287" s="252">
        <v>0</v>
      </c>
      <c r="P287" s="102">
        <f t="shared" si="41"/>
        <v>0</v>
      </c>
      <c r="Q287" s="23">
        <v>18897.531802739726</v>
      </c>
      <c r="R287" s="24">
        <v>0</v>
      </c>
      <c r="S287" s="22">
        <v>29.273</v>
      </c>
      <c r="T287" s="117">
        <v>0</v>
      </c>
      <c r="U287" s="117">
        <v>0</v>
      </c>
      <c r="V287" s="60">
        <v>0</v>
      </c>
      <c r="W287" s="60">
        <v>32</v>
      </c>
      <c r="AB287" s="21"/>
      <c r="AG287" s="294"/>
      <c r="AH287" s="294"/>
      <c r="AI287" s="294"/>
      <c r="AJ287" s="26"/>
      <c r="AK287" s="374"/>
      <c r="AL287" s="374"/>
      <c r="AO287" s="294"/>
      <c r="AQ287" s="20"/>
      <c r="AR287" s="374"/>
      <c r="AZ287" s="374"/>
      <c r="BE287" s="26"/>
      <c r="BF287" s="26"/>
      <c r="BG287" s="26"/>
      <c r="BH287" s="26"/>
      <c r="BI287" s="26"/>
      <c r="BJ287" s="26"/>
      <c r="BK287" s="26"/>
      <c r="BL287" s="26"/>
      <c r="BS287" s="20"/>
      <c r="BT287" s="26"/>
      <c r="BV287" s="381"/>
      <c r="BW287" s="229"/>
    </row>
    <row r="288" spans="2:92" x14ac:dyDescent="0.2">
      <c r="B288" s="274" t="s">
        <v>504</v>
      </c>
      <c r="C288" s="118">
        <v>2</v>
      </c>
      <c r="D288" s="228">
        <v>93.122</v>
      </c>
      <c r="E288" s="38">
        <v>0</v>
      </c>
      <c r="F288" s="24">
        <v>0</v>
      </c>
      <c r="G288" s="38">
        <v>0</v>
      </c>
      <c r="H288" s="22">
        <v>0</v>
      </c>
      <c r="I288" s="38">
        <v>6</v>
      </c>
      <c r="J288" s="38">
        <v>1654.145</v>
      </c>
      <c r="K288" s="38">
        <v>63.034523999999998</v>
      </c>
      <c r="L288" s="24">
        <v>8</v>
      </c>
      <c r="M288" s="56">
        <f t="shared" si="40"/>
        <v>1.9900497512437811E-2</v>
      </c>
      <c r="N288" s="228">
        <v>1747.2670000000001</v>
      </c>
      <c r="O288" s="252">
        <v>63.034523999999998</v>
      </c>
      <c r="P288" s="102">
        <f t="shared" si="41"/>
        <v>6.7497546599109438E-3</v>
      </c>
      <c r="Q288" s="23">
        <v>8107.7463863013754</v>
      </c>
      <c r="R288" s="24">
        <v>2</v>
      </c>
      <c r="S288" s="22">
        <v>488.71400000000006</v>
      </c>
      <c r="T288" s="117">
        <v>0</v>
      </c>
      <c r="U288" s="117">
        <v>0</v>
      </c>
      <c r="V288" s="60">
        <v>0</v>
      </c>
      <c r="W288" s="60">
        <v>42</v>
      </c>
      <c r="AB288" s="21"/>
      <c r="AG288" s="294"/>
      <c r="AH288" s="294"/>
      <c r="AI288" s="294"/>
      <c r="AJ288" s="26"/>
      <c r="AK288" s="374"/>
      <c r="AL288" s="374"/>
      <c r="AO288" s="294"/>
      <c r="AQ288" s="20"/>
      <c r="AR288" s="374"/>
      <c r="AZ288" s="374"/>
      <c r="BE288" s="26"/>
      <c r="BF288" s="26"/>
      <c r="BG288" s="26"/>
      <c r="BH288" s="26"/>
      <c r="BI288" s="26"/>
      <c r="BJ288" s="26"/>
      <c r="BK288" s="26"/>
      <c r="BL288" s="26"/>
      <c r="BS288" s="20"/>
      <c r="BT288" s="26"/>
      <c r="BV288" s="381"/>
      <c r="BW288" s="229"/>
    </row>
    <row r="289" spans="2:75" x14ac:dyDescent="0.2">
      <c r="B289" s="274" t="s">
        <v>1385</v>
      </c>
      <c r="C289" s="118">
        <v>0</v>
      </c>
      <c r="D289" s="228">
        <v>0</v>
      </c>
      <c r="E289" s="38">
        <v>0</v>
      </c>
      <c r="F289" s="24">
        <v>0</v>
      </c>
      <c r="G289" s="38">
        <v>0</v>
      </c>
      <c r="H289" s="22">
        <v>0</v>
      </c>
      <c r="I289" s="38">
        <v>3</v>
      </c>
      <c r="J289" s="38">
        <v>143.53399999999999</v>
      </c>
      <c r="K289" s="38">
        <v>0</v>
      </c>
      <c r="L289" s="24">
        <v>3</v>
      </c>
      <c r="M289" s="56">
        <f t="shared" si="40"/>
        <v>7.462686567164179E-3</v>
      </c>
      <c r="N289" s="228">
        <v>143.53399999999999</v>
      </c>
      <c r="O289" s="252">
        <v>0</v>
      </c>
      <c r="P289" s="102">
        <f t="shared" si="41"/>
        <v>0</v>
      </c>
      <c r="Q289" s="23">
        <v>1339.6698027397263</v>
      </c>
      <c r="R289" s="24">
        <v>1</v>
      </c>
      <c r="S289" s="22">
        <v>2.7469999999999999</v>
      </c>
      <c r="T289" s="117">
        <v>0</v>
      </c>
      <c r="U289" s="117">
        <v>0</v>
      </c>
      <c r="V289" s="60">
        <v>0</v>
      </c>
      <c r="W289" s="60">
        <v>4</v>
      </c>
      <c r="AB289" s="21"/>
      <c r="AG289" s="294"/>
      <c r="AH289" s="294"/>
      <c r="AI289" s="294"/>
      <c r="AJ289" s="26"/>
      <c r="AK289" s="374"/>
      <c r="AL289" s="374"/>
      <c r="AO289" s="294"/>
      <c r="AQ289" s="20"/>
      <c r="AR289" s="374"/>
      <c r="AZ289" s="374"/>
      <c r="BE289" s="26"/>
      <c r="BF289" s="26"/>
      <c r="BG289" s="26"/>
      <c r="BH289" s="26"/>
      <c r="BI289" s="26"/>
      <c r="BJ289" s="26"/>
      <c r="BK289" s="26"/>
      <c r="BL289" s="26"/>
      <c r="BS289" s="20"/>
      <c r="BT289" s="26"/>
      <c r="BV289" s="381"/>
      <c r="BW289" s="229"/>
    </row>
    <row r="290" spans="2:75" x14ac:dyDescent="0.2">
      <c r="B290" s="272" t="s">
        <v>1386</v>
      </c>
      <c r="C290" s="118"/>
      <c r="D290" s="228"/>
      <c r="E290" s="38"/>
      <c r="F290" s="24"/>
      <c r="G290" s="38"/>
      <c r="H290" s="22"/>
      <c r="I290" s="38"/>
      <c r="J290" s="38"/>
      <c r="K290" s="38"/>
      <c r="L290" s="24"/>
      <c r="M290" s="56">
        <f t="shared" si="40"/>
        <v>0</v>
      </c>
      <c r="N290" s="228"/>
      <c r="O290" s="252"/>
      <c r="P290" s="102">
        <f t="shared" si="41"/>
        <v>0</v>
      </c>
      <c r="Q290" s="23"/>
      <c r="R290" s="24"/>
      <c r="S290" s="22"/>
      <c r="T290" s="117"/>
      <c r="U290" s="117"/>
      <c r="V290" s="60"/>
      <c r="W290" s="60"/>
      <c r="AB290" s="21"/>
      <c r="AG290" s="294"/>
      <c r="AH290" s="294"/>
      <c r="AI290" s="294"/>
      <c r="AJ290" s="26"/>
      <c r="AK290" s="374"/>
      <c r="AL290" s="374"/>
      <c r="AO290" s="294"/>
      <c r="AQ290" s="20"/>
      <c r="AR290" s="374"/>
      <c r="AZ290" s="374"/>
      <c r="BE290" s="26"/>
      <c r="BF290" s="26"/>
      <c r="BG290" s="26"/>
      <c r="BH290" s="26"/>
      <c r="BI290" s="26"/>
      <c r="BJ290" s="26"/>
      <c r="BK290" s="26"/>
      <c r="BL290" s="26"/>
      <c r="BS290" s="20"/>
      <c r="BT290" s="26"/>
      <c r="BV290" s="381"/>
      <c r="BW290" s="229"/>
    </row>
    <row r="291" spans="2:75" x14ac:dyDescent="0.2">
      <c r="B291" s="281" t="s">
        <v>412</v>
      </c>
      <c r="C291" s="107">
        <v>0</v>
      </c>
      <c r="D291" s="228">
        <v>0</v>
      </c>
      <c r="E291" s="38">
        <v>0</v>
      </c>
      <c r="F291" s="24">
        <v>0</v>
      </c>
      <c r="G291" s="38">
        <v>0</v>
      </c>
      <c r="H291" s="38">
        <v>0</v>
      </c>
      <c r="I291" s="24">
        <v>3</v>
      </c>
      <c r="J291" s="38">
        <v>812.86799999999994</v>
      </c>
      <c r="K291" s="38">
        <v>0</v>
      </c>
      <c r="L291" s="24">
        <v>3</v>
      </c>
      <c r="M291" s="56">
        <f t="shared" si="40"/>
        <v>7.462686567164179E-3</v>
      </c>
      <c r="N291" s="228">
        <v>812.86799999999994</v>
      </c>
      <c r="O291" s="252">
        <v>0</v>
      </c>
      <c r="P291" s="102">
        <f t="shared" si="41"/>
        <v>0</v>
      </c>
      <c r="Q291" s="23">
        <v>5822.3296027397264</v>
      </c>
      <c r="R291" s="24">
        <v>1</v>
      </c>
      <c r="S291" s="22">
        <v>11.169</v>
      </c>
      <c r="T291" s="22">
        <v>0</v>
      </c>
      <c r="U291" s="22">
        <v>0</v>
      </c>
      <c r="V291" s="23">
        <v>0</v>
      </c>
      <c r="W291" s="23">
        <v>3</v>
      </c>
      <c r="AB291" s="21"/>
      <c r="AG291" s="294"/>
      <c r="AH291" s="294"/>
      <c r="AI291" s="294"/>
      <c r="AJ291" s="26"/>
      <c r="AK291" s="374"/>
      <c r="AL291" s="374"/>
      <c r="AO291" s="294"/>
      <c r="AQ291" s="20"/>
      <c r="AR291" s="374"/>
      <c r="AZ291" s="374"/>
      <c r="BE291" s="26"/>
      <c r="BF291" s="26"/>
      <c r="BG291" s="26"/>
      <c r="BH291" s="26"/>
      <c r="BI291" s="26"/>
      <c r="BJ291" s="26"/>
      <c r="BK291" s="26"/>
      <c r="BL291" s="26"/>
      <c r="BS291" s="20"/>
      <c r="BT291" s="26"/>
      <c r="BV291" s="381"/>
      <c r="BW291" s="229"/>
    </row>
    <row r="292" spans="2:75" x14ac:dyDescent="0.2">
      <c r="B292" s="274" t="s">
        <v>1387</v>
      </c>
      <c r="C292" s="118">
        <v>1</v>
      </c>
      <c r="D292" s="228">
        <v>231.523</v>
      </c>
      <c r="E292" s="38">
        <v>0</v>
      </c>
      <c r="F292" s="24">
        <v>0</v>
      </c>
      <c r="G292" s="38">
        <v>0</v>
      </c>
      <c r="H292" s="22">
        <v>0</v>
      </c>
      <c r="I292" s="38">
        <v>2</v>
      </c>
      <c r="J292" s="38">
        <v>272.58699999999999</v>
      </c>
      <c r="K292" s="38">
        <v>0</v>
      </c>
      <c r="L292" s="24">
        <v>3</v>
      </c>
      <c r="M292" s="56">
        <f t="shared" si="40"/>
        <v>7.462686567164179E-3</v>
      </c>
      <c r="N292" s="228">
        <v>504.11</v>
      </c>
      <c r="O292" s="252">
        <v>0</v>
      </c>
      <c r="P292" s="102">
        <f t="shared" si="41"/>
        <v>0</v>
      </c>
      <c r="Q292" s="23">
        <v>4214.713926027398</v>
      </c>
      <c r="R292" s="24">
        <v>0</v>
      </c>
      <c r="S292" s="22">
        <v>0</v>
      </c>
      <c r="T292" s="117">
        <v>0</v>
      </c>
      <c r="U292" s="117">
        <v>0</v>
      </c>
      <c r="V292" s="60">
        <v>0</v>
      </c>
      <c r="W292" s="60">
        <v>8</v>
      </c>
      <c r="AB292" s="21"/>
      <c r="AG292" s="294"/>
      <c r="AH292" s="294"/>
      <c r="AI292" s="294"/>
      <c r="AJ292" s="26"/>
      <c r="AK292" s="374"/>
      <c r="AL292" s="374"/>
      <c r="AO292" s="294"/>
      <c r="AQ292" s="20"/>
      <c r="AR292" s="374"/>
      <c r="AZ292" s="374"/>
      <c r="BE292" s="26"/>
      <c r="BF292" s="26"/>
      <c r="BG292" s="26"/>
      <c r="BH292" s="26"/>
      <c r="BI292" s="26"/>
      <c r="BJ292" s="26"/>
      <c r="BK292" s="26"/>
      <c r="BL292" s="26"/>
      <c r="BS292" s="20"/>
      <c r="BT292" s="26"/>
      <c r="BV292" s="381"/>
      <c r="BW292" s="229"/>
    </row>
    <row r="293" spans="2:75" x14ac:dyDescent="0.2">
      <c r="B293" s="286" t="s">
        <v>1596</v>
      </c>
      <c r="C293" s="118">
        <v>0</v>
      </c>
      <c r="D293" s="228">
        <v>0</v>
      </c>
      <c r="E293" s="38">
        <v>0</v>
      </c>
      <c r="F293" s="24">
        <v>0</v>
      </c>
      <c r="G293" s="38">
        <v>0</v>
      </c>
      <c r="H293" s="22">
        <v>0</v>
      </c>
      <c r="I293" s="38">
        <v>0</v>
      </c>
      <c r="J293" s="38">
        <v>60.390999999999998</v>
      </c>
      <c r="K293" s="38">
        <v>0</v>
      </c>
      <c r="L293" s="24">
        <v>0</v>
      </c>
      <c r="M293" s="56">
        <f t="shared" si="40"/>
        <v>0</v>
      </c>
      <c r="N293" s="228">
        <v>60.390999999999998</v>
      </c>
      <c r="O293" s="252">
        <v>0</v>
      </c>
      <c r="P293" s="102">
        <f t="shared" si="41"/>
        <v>0</v>
      </c>
      <c r="Q293" s="23">
        <v>403.04787945205476</v>
      </c>
      <c r="R293" s="24">
        <v>0</v>
      </c>
      <c r="S293" s="22">
        <v>0</v>
      </c>
      <c r="T293" s="117">
        <v>0</v>
      </c>
      <c r="U293" s="117">
        <v>0</v>
      </c>
      <c r="V293" s="60">
        <v>0</v>
      </c>
      <c r="W293" s="60">
        <v>1</v>
      </c>
      <c r="AB293" s="21"/>
      <c r="AG293" s="294"/>
      <c r="AH293" s="294"/>
      <c r="AI293" s="294"/>
      <c r="AJ293" s="26"/>
      <c r="AK293" s="374"/>
      <c r="AL293" s="374"/>
      <c r="AO293" s="294"/>
      <c r="AQ293" s="20"/>
      <c r="AR293" s="374"/>
      <c r="AZ293" s="374"/>
      <c r="BE293" s="26"/>
      <c r="BF293" s="26"/>
      <c r="BG293" s="26"/>
      <c r="BH293" s="26"/>
      <c r="BI293" s="26"/>
      <c r="BJ293" s="26"/>
      <c r="BK293" s="26"/>
      <c r="BL293" s="26"/>
      <c r="BS293" s="20"/>
      <c r="BT293" s="26"/>
      <c r="BV293" s="381"/>
      <c r="BW293" s="229"/>
    </row>
    <row r="294" spans="2:75" x14ac:dyDescent="0.2">
      <c r="B294" s="274" t="s">
        <v>1388</v>
      </c>
      <c r="C294" s="118"/>
      <c r="D294" s="228"/>
      <c r="E294" s="38"/>
      <c r="F294" s="24"/>
      <c r="G294" s="38"/>
      <c r="H294" s="22"/>
      <c r="I294" s="38"/>
      <c r="J294" s="38"/>
      <c r="K294" s="38"/>
      <c r="L294" s="107"/>
      <c r="M294" s="116">
        <f t="shared" si="40"/>
        <v>0</v>
      </c>
      <c r="N294" s="228"/>
      <c r="O294" s="252"/>
      <c r="P294" s="102">
        <f t="shared" si="41"/>
        <v>0</v>
      </c>
      <c r="Q294" s="23"/>
      <c r="R294" s="24"/>
      <c r="S294" s="22"/>
      <c r="T294" s="117"/>
      <c r="U294" s="117"/>
      <c r="V294" s="60"/>
      <c r="W294" s="60"/>
      <c r="AB294" s="21"/>
      <c r="AG294" s="294"/>
      <c r="AH294" s="294"/>
      <c r="AI294" s="294"/>
      <c r="AJ294" s="26"/>
      <c r="AK294" s="374"/>
      <c r="AL294" s="374"/>
      <c r="AO294" s="294"/>
      <c r="AQ294" s="20"/>
      <c r="AR294" s="374"/>
      <c r="AZ294" s="374"/>
      <c r="BE294" s="26"/>
      <c r="BF294" s="26"/>
      <c r="BG294" s="26"/>
      <c r="BH294" s="26"/>
      <c r="BI294" s="26"/>
      <c r="BJ294" s="26"/>
      <c r="BK294" s="26"/>
      <c r="BL294" s="26"/>
      <c r="BS294" s="20"/>
      <c r="BT294" s="26"/>
      <c r="BV294" s="381"/>
      <c r="BW294" s="229"/>
    </row>
    <row r="295" spans="2:75" x14ac:dyDescent="0.2">
      <c r="B295" s="281" t="s">
        <v>1048</v>
      </c>
      <c r="C295" s="107">
        <v>1</v>
      </c>
      <c r="D295" s="228">
        <v>63.741</v>
      </c>
      <c r="E295" s="38">
        <v>43.470999999999997</v>
      </c>
      <c r="F295" s="24">
        <v>0</v>
      </c>
      <c r="G295" s="38">
        <v>0</v>
      </c>
      <c r="H295" s="22">
        <v>0</v>
      </c>
      <c r="I295" s="111">
        <v>4</v>
      </c>
      <c r="J295" s="111">
        <v>1115.2280000000001</v>
      </c>
      <c r="K295" s="111">
        <v>22.86</v>
      </c>
      <c r="L295" s="107">
        <v>5</v>
      </c>
      <c r="M295" s="116">
        <f t="shared" si="40"/>
        <v>1.2437810945273632E-2</v>
      </c>
      <c r="N295" s="228">
        <v>1178.9690000000001</v>
      </c>
      <c r="O295" s="252">
        <v>66.330999999999989</v>
      </c>
      <c r="P295" s="102">
        <f t="shared" si="41"/>
        <v>7.1027422424345225E-3</v>
      </c>
      <c r="Q295" s="23">
        <v>7099.1521397260276</v>
      </c>
      <c r="R295" s="24">
        <v>2</v>
      </c>
      <c r="S295" s="22">
        <v>331.14299999999997</v>
      </c>
      <c r="T295" s="117">
        <v>0</v>
      </c>
      <c r="U295" s="117">
        <v>0</v>
      </c>
      <c r="V295" s="60">
        <v>0</v>
      </c>
      <c r="W295" s="60">
        <v>29</v>
      </c>
      <c r="AB295" s="21"/>
      <c r="AG295" s="294"/>
      <c r="AH295" s="294"/>
      <c r="AI295" s="294"/>
      <c r="AJ295" s="26"/>
      <c r="AK295" s="374"/>
      <c r="AL295" s="374"/>
      <c r="AO295" s="294"/>
      <c r="AQ295" s="20"/>
      <c r="AR295" s="374"/>
      <c r="AZ295" s="374"/>
      <c r="BE295" s="26"/>
      <c r="BF295" s="26"/>
      <c r="BG295" s="26"/>
      <c r="BH295" s="26"/>
      <c r="BI295" s="26"/>
      <c r="BJ295" s="26"/>
      <c r="BK295" s="26"/>
      <c r="BL295" s="26"/>
      <c r="BS295" s="20"/>
      <c r="BT295" s="26"/>
      <c r="BV295" s="381"/>
      <c r="BW295" s="229"/>
    </row>
    <row r="296" spans="2:75" x14ac:dyDescent="0.2">
      <c r="B296" s="277" t="s">
        <v>1059</v>
      </c>
      <c r="C296" s="107">
        <v>1</v>
      </c>
      <c r="D296" s="228">
        <v>88.073999999999998</v>
      </c>
      <c r="E296" s="38">
        <v>0</v>
      </c>
      <c r="F296" s="24">
        <v>0</v>
      </c>
      <c r="G296" s="38">
        <v>0</v>
      </c>
      <c r="H296" s="22">
        <v>0</v>
      </c>
      <c r="I296" s="111">
        <v>7</v>
      </c>
      <c r="J296" s="111">
        <v>1097.3319999999997</v>
      </c>
      <c r="K296" s="111">
        <v>57.586770000000001</v>
      </c>
      <c r="L296" s="107">
        <v>8</v>
      </c>
      <c r="M296" s="116">
        <f t="shared" ref="M296:M308" si="43">+L296/L$322</f>
        <v>1.9900497512437811E-2</v>
      </c>
      <c r="N296" s="228">
        <v>1185.4059999999997</v>
      </c>
      <c r="O296" s="252">
        <v>57.586770000000001</v>
      </c>
      <c r="P296" s="102">
        <f t="shared" ref="P296:P308" si="44">+O296/O$322</f>
        <v>6.1664076206353162E-3</v>
      </c>
      <c r="Q296" s="23">
        <v>8494.5077780821903</v>
      </c>
      <c r="R296" s="24">
        <v>4</v>
      </c>
      <c r="S296" s="22">
        <v>361.55600000000004</v>
      </c>
      <c r="T296" s="117">
        <v>1</v>
      </c>
      <c r="U296" s="117">
        <v>0</v>
      </c>
      <c r="V296" s="60">
        <v>0</v>
      </c>
      <c r="W296" s="60">
        <v>37</v>
      </c>
      <c r="AB296" s="21"/>
      <c r="AG296" s="294"/>
      <c r="AH296" s="294"/>
      <c r="AI296" s="294"/>
      <c r="AJ296" s="26"/>
      <c r="AK296" s="374"/>
      <c r="AL296" s="374"/>
      <c r="AO296" s="294"/>
      <c r="AQ296" s="20"/>
      <c r="AR296" s="374"/>
      <c r="AZ296" s="374"/>
      <c r="BE296" s="26"/>
      <c r="BF296" s="26"/>
      <c r="BG296" s="26"/>
      <c r="BH296" s="26"/>
      <c r="BI296" s="26"/>
      <c r="BJ296" s="26"/>
      <c r="BK296" s="26"/>
      <c r="BL296" s="26"/>
      <c r="BS296" s="20"/>
      <c r="BT296" s="26"/>
      <c r="BV296" s="381"/>
      <c r="BW296" s="229"/>
    </row>
    <row r="297" spans="2:75" x14ac:dyDescent="0.2">
      <c r="B297" s="277" t="s">
        <v>523</v>
      </c>
      <c r="C297" s="107">
        <v>1</v>
      </c>
      <c r="D297" s="228">
        <v>233.16</v>
      </c>
      <c r="E297" s="38">
        <v>0</v>
      </c>
      <c r="F297" s="24">
        <v>0</v>
      </c>
      <c r="G297" s="38">
        <v>0</v>
      </c>
      <c r="H297" s="22">
        <v>0</v>
      </c>
      <c r="I297" s="111">
        <v>4</v>
      </c>
      <c r="J297" s="111">
        <v>183.19</v>
      </c>
      <c r="K297" s="111">
        <v>19.045152359999999</v>
      </c>
      <c r="L297" s="107">
        <v>5</v>
      </c>
      <c r="M297" s="116">
        <f t="shared" si="43"/>
        <v>1.2437810945273632E-2</v>
      </c>
      <c r="N297" s="228">
        <v>416.35</v>
      </c>
      <c r="O297" s="252">
        <v>19.045152359999999</v>
      </c>
      <c r="P297" s="102">
        <f t="shared" si="44"/>
        <v>2.0393603018343393E-3</v>
      </c>
      <c r="Q297" s="23">
        <v>3283.037915068493</v>
      </c>
      <c r="R297" s="24">
        <v>1</v>
      </c>
      <c r="S297" s="22">
        <v>19.992000000000001</v>
      </c>
      <c r="T297" s="117">
        <v>1</v>
      </c>
      <c r="U297" s="117">
        <v>0</v>
      </c>
      <c r="V297" s="60">
        <v>0</v>
      </c>
      <c r="W297" s="60">
        <v>8</v>
      </c>
      <c r="AB297" s="21"/>
      <c r="AG297" s="294"/>
      <c r="AH297" s="294"/>
      <c r="AI297" s="294"/>
      <c r="AJ297" s="26"/>
      <c r="AK297" s="374"/>
      <c r="AL297" s="374"/>
      <c r="AO297" s="294"/>
      <c r="AQ297" s="20"/>
      <c r="AR297" s="374"/>
      <c r="AZ297" s="374"/>
      <c r="BE297" s="26"/>
      <c r="BF297" s="26"/>
      <c r="BG297" s="26"/>
      <c r="BH297" s="26"/>
      <c r="BI297" s="26"/>
      <c r="BJ297" s="26"/>
      <c r="BK297" s="26"/>
      <c r="BL297" s="26"/>
      <c r="BS297" s="20"/>
      <c r="BT297" s="26"/>
      <c r="BV297" s="381"/>
      <c r="BW297" s="229"/>
    </row>
    <row r="298" spans="2:75" x14ac:dyDescent="0.2">
      <c r="B298" s="363" t="s">
        <v>1389</v>
      </c>
      <c r="C298" s="107">
        <v>0</v>
      </c>
      <c r="D298" s="228">
        <v>0</v>
      </c>
      <c r="E298" s="38">
        <v>0</v>
      </c>
      <c r="F298" s="24">
        <v>0</v>
      </c>
      <c r="G298" s="38">
        <v>0</v>
      </c>
      <c r="H298" s="22">
        <v>0</v>
      </c>
      <c r="I298" s="111">
        <v>0</v>
      </c>
      <c r="J298" s="111">
        <v>111.884</v>
      </c>
      <c r="K298" s="111">
        <v>0</v>
      </c>
      <c r="L298" s="107">
        <v>0</v>
      </c>
      <c r="M298" s="116">
        <f t="shared" si="43"/>
        <v>0</v>
      </c>
      <c r="N298" s="228">
        <v>111.884</v>
      </c>
      <c r="O298" s="252">
        <v>0</v>
      </c>
      <c r="P298" s="102">
        <f t="shared" si="44"/>
        <v>0</v>
      </c>
      <c r="Q298" s="23">
        <v>746.71075068493155</v>
      </c>
      <c r="R298" s="24">
        <v>0</v>
      </c>
      <c r="S298" s="22">
        <v>0</v>
      </c>
      <c r="T298" s="117">
        <v>0</v>
      </c>
      <c r="U298" s="117">
        <v>0</v>
      </c>
      <c r="V298" s="60">
        <v>0</v>
      </c>
      <c r="W298" s="60">
        <v>1</v>
      </c>
      <c r="AB298" s="21"/>
      <c r="AG298" s="294"/>
      <c r="AH298" s="294"/>
      <c r="AI298" s="294"/>
      <c r="AJ298" s="26"/>
      <c r="AK298" s="374"/>
      <c r="AL298" s="374"/>
      <c r="AO298" s="294"/>
      <c r="AQ298" s="20"/>
      <c r="AR298" s="374"/>
      <c r="AZ298" s="374"/>
      <c r="BE298" s="26"/>
      <c r="BF298" s="26"/>
      <c r="BG298" s="26"/>
      <c r="BH298" s="26"/>
      <c r="BI298" s="26"/>
      <c r="BJ298" s="26"/>
      <c r="BK298" s="26"/>
      <c r="BL298" s="26"/>
      <c r="BS298" s="20"/>
      <c r="BT298" s="26"/>
      <c r="BV298" s="381"/>
      <c r="BW298" s="229"/>
    </row>
    <row r="299" spans="2:75" x14ac:dyDescent="0.2">
      <c r="B299" s="363" t="s">
        <v>6736</v>
      </c>
      <c r="C299" s="107">
        <v>0</v>
      </c>
      <c r="D299" s="228">
        <v>0</v>
      </c>
      <c r="E299" s="38">
        <v>0</v>
      </c>
      <c r="F299" s="24">
        <v>0</v>
      </c>
      <c r="G299" s="38">
        <v>0</v>
      </c>
      <c r="H299" s="22">
        <v>0</v>
      </c>
      <c r="I299" s="111">
        <v>0</v>
      </c>
      <c r="J299" s="111">
        <v>91.528000000000006</v>
      </c>
      <c r="K299" s="111">
        <v>0</v>
      </c>
      <c r="L299" s="107">
        <v>0</v>
      </c>
      <c r="M299" s="116">
        <f t="shared" si="43"/>
        <v>0</v>
      </c>
      <c r="N299" s="228">
        <v>91.528000000000006</v>
      </c>
      <c r="O299" s="252">
        <v>0</v>
      </c>
      <c r="P299" s="102">
        <f t="shared" si="44"/>
        <v>0</v>
      </c>
      <c r="Q299" s="23">
        <v>595.55890410958909</v>
      </c>
      <c r="R299" s="24">
        <v>0</v>
      </c>
      <c r="S299" s="22">
        <v>0</v>
      </c>
      <c r="T299" s="117">
        <v>0</v>
      </c>
      <c r="U299" s="117">
        <v>0</v>
      </c>
      <c r="V299" s="60">
        <v>0</v>
      </c>
      <c r="W299" s="60">
        <v>1</v>
      </c>
      <c r="AB299" s="21"/>
      <c r="AG299" s="294"/>
      <c r="AH299" s="294"/>
      <c r="AI299" s="294"/>
      <c r="AJ299" s="26"/>
      <c r="AK299" s="374"/>
      <c r="AL299" s="374"/>
      <c r="AO299" s="294"/>
      <c r="AQ299" s="20"/>
      <c r="AR299" s="374"/>
      <c r="AZ299" s="374"/>
      <c r="BE299" s="26"/>
      <c r="BF299" s="26"/>
      <c r="BG299" s="26"/>
      <c r="BH299" s="26"/>
      <c r="BI299" s="26"/>
      <c r="BJ299" s="26"/>
      <c r="BK299" s="26"/>
      <c r="BL299" s="26"/>
      <c r="BS299" s="20"/>
      <c r="BT299" s="26"/>
      <c r="BV299" s="381"/>
      <c r="BW299" s="229"/>
    </row>
    <row r="300" spans="2:75" x14ac:dyDescent="0.2">
      <c r="B300" s="272" t="s">
        <v>137</v>
      </c>
      <c r="C300" s="24">
        <v>6</v>
      </c>
      <c r="D300" s="228">
        <v>139.48480000000001</v>
      </c>
      <c r="E300" s="38">
        <v>70.0546095714286</v>
      </c>
      <c r="F300" s="24">
        <v>0</v>
      </c>
      <c r="G300" s="38">
        <v>0</v>
      </c>
      <c r="H300" s="22">
        <v>0</v>
      </c>
      <c r="I300" s="111">
        <v>31</v>
      </c>
      <c r="J300" s="111">
        <v>5405.277</v>
      </c>
      <c r="K300" s="111">
        <v>503.4245952857143</v>
      </c>
      <c r="L300" s="107">
        <v>37</v>
      </c>
      <c r="M300" s="116">
        <f t="shared" si="43"/>
        <v>9.2039800995024873E-2</v>
      </c>
      <c r="N300" s="228">
        <v>5544.7618000000002</v>
      </c>
      <c r="O300" s="252">
        <v>573.47920485714292</v>
      </c>
      <c r="P300" s="102">
        <f t="shared" si="44"/>
        <v>6.1408315470844563E-2</v>
      </c>
      <c r="Q300" s="23">
        <v>53495.895339726027</v>
      </c>
      <c r="R300" s="24">
        <v>2</v>
      </c>
      <c r="S300" s="22">
        <v>697.50099999999998</v>
      </c>
      <c r="T300" s="117">
        <v>13</v>
      </c>
      <c r="U300" s="117">
        <v>1</v>
      </c>
      <c r="V300" s="60">
        <v>1</v>
      </c>
      <c r="W300" s="60">
        <v>67</v>
      </c>
      <c r="AB300" s="21"/>
      <c r="AG300" s="294"/>
      <c r="AH300" s="294"/>
      <c r="AI300" s="294"/>
      <c r="AJ300" s="26"/>
      <c r="AK300" s="374"/>
      <c r="AL300" s="374"/>
      <c r="AO300" s="294"/>
      <c r="AQ300" s="20"/>
      <c r="AR300" s="374"/>
      <c r="AZ300" s="374"/>
      <c r="BE300" s="26"/>
      <c r="BF300" s="26"/>
      <c r="BG300" s="26"/>
      <c r="BH300" s="26"/>
      <c r="BI300" s="26"/>
      <c r="BJ300" s="26"/>
      <c r="BK300" s="26"/>
      <c r="BL300" s="26"/>
      <c r="BS300" s="20"/>
      <c r="BT300" s="26"/>
      <c r="BV300" s="381"/>
      <c r="BW300" s="229"/>
    </row>
    <row r="301" spans="2:75" x14ac:dyDescent="0.2">
      <c r="B301" s="287" t="s">
        <v>1390</v>
      </c>
      <c r="C301" s="24">
        <v>0</v>
      </c>
      <c r="D301" s="228">
        <v>0</v>
      </c>
      <c r="E301" s="38">
        <v>0</v>
      </c>
      <c r="F301" s="24">
        <v>0</v>
      </c>
      <c r="G301" s="38">
        <v>0</v>
      </c>
      <c r="H301" s="22">
        <v>0</v>
      </c>
      <c r="I301" s="111">
        <v>1</v>
      </c>
      <c r="J301" s="111">
        <v>55.89</v>
      </c>
      <c r="K301" s="111">
        <v>0</v>
      </c>
      <c r="L301" s="107">
        <v>1</v>
      </c>
      <c r="M301" s="116">
        <f t="shared" si="43"/>
        <v>2.4875621890547263E-3</v>
      </c>
      <c r="N301" s="228">
        <v>55.89</v>
      </c>
      <c r="O301" s="252">
        <v>0</v>
      </c>
      <c r="P301" s="102">
        <f t="shared" si="44"/>
        <v>0</v>
      </c>
      <c r="Q301" s="23">
        <v>391.3831232876712</v>
      </c>
      <c r="R301" s="24">
        <v>0</v>
      </c>
      <c r="S301" s="22">
        <v>0</v>
      </c>
      <c r="T301" s="117">
        <v>0</v>
      </c>
      <c r="U301" s="117">
        <v>0</v>
      </c>
      <c r="V301" s="60">
        <v>0</v>
      </c>
      <c r="W301" s="60">
        <v>1</v>
      </c>
      <c r="AB301" s="21"/>
      <c r="AG301" s="294"/>
      <c r="AH301" s="294"/>
      <c r="AI301" s="294"/>
      <c r="AJ301" s="26"/>
      <c r="AK301" s="374"/>
      <c r="AL301" s="374"/>
      <c r="AO301" s="294"/>
      <c r="AQ301" s="20"/>
      <c r="AR301" s="374"/>
      <c r="AZ301" s="374"/>
      <c r="BE301" s="26"/>
      <c r="BF301" s="26"/>
      <c r="BG301" s="26"/>
      <c r="BH301" s="26"/>
      <c r="BI301" s="26"/>
      <c r="BJ301" s="26"/>
      <c r="BK301" s="26"/>
      <c r="BL301" s="26"/>
      <c r="BS301" s="20"/>
      <c r="BT301" s="26"/>
      <c r="BV301" s="381"/>
      <c r="BW301" s="229"/>
    </row>
    <row r="302" spans="2:75" x14ac:dyDescent="0.2">
      <c r="B302" s="280" t="s">
        <v>1391</v>
      </c>
      <c r="C302" s="24"/>
      <c r="D302" s="228"/>
      <c r="E302" s="38"/>
      <c r="F302" s="24"/>
      <c r="G302" s="38"/>
      <c r="H302" s="22"/>
      <c r="I302" s="111"/>
      <c r="J302" s="111"/>
      <c r="K302" s="111"/>
      <c r="L302" s="107"/>
      <c r="M302" s="116">
        <f t="shared" si="43"/>
        <v>0</v>
      </c>
      <c r="N302" s="228"/>
      <c r="O302" s="252"/>
      <c r="P302" s="102">
        <f t="shared" si="44"/>
        <v>0</v>
      </c>
      <c r="Q302" s="23"/>
      <c r="R302" s="24"/>
      <c r="S302" s="22"/>
      <c r="T302" s="117"/>
      <c r="U302" s="117"/>
      <c r="V302" s="60"/>
      <c r="W302" s="60"/>
      <c r="AB302" s="21"/>
      <c r="AG302" s="294"/>
      <c r="AH302" s="294"/>
      <c r="AI302" s="294"/>
      <c r="AJ302" s="26"/>
      <c r="AK302" s="374"/>
      <c r="AL302" s="374"/>
      <c r="AO302" s="294"/>
      <c r="AQ302" s="20"/>
      <c r="AR302" s="374"/>
      <c r="AZ302" s="374"/>
      <c r="BE302" s="26"/>
      <c r="BF302" s="26"/>
      <c r="BG302" s="26"/>
      <c r="BH302" s="26"/>
      <c r="BI302" s="26"/>
      <c r="BJ302" s="26"/>
      <c r="BK302" s="26"/>
      <c r="BL302" s="26"/>
      <c r="BS302" s="20"/>
      <c r="BT302" s="26"/>
      <c r="BV302" s="381"/>
      <c r="BW302" s="229"/>
    </row>
    <row r="303" spans="2:75" x14ac:dyDescent="0.2">
      <c r="B303" s="274" t="s">
        <v>350</v>
      </c>
      <c r="C303" s="24">
        <v>1</v>
      </c>
      <c r="D303" s="228">
        <v>49.587000000000003</v>
      </c>
      <c r="E303" s="38">
        <v>34.914999999999999</v>
      </c>
      <c r="F303" s="24">
        <v>0</v>
      </c>
      <c r="G303" s="38">
        <v>0</v>
      </c>
      <c r="H303" s="22">
        <v>0</v>
      </c>
      <c r="I303" s="111">
        <v>2</v>
      </c>
      <c r="J303" s="111">
        <v>107.593</v>
      </c>
      <c r="K303" s="111">
        <v>3.0249999999999999</v>
      </c>
      <c r="L303" s="107">
        <v>3</v>
      </c>
      <c r="M303" s="116">
        <f t="shared" si="43"/>
        <v>7.462686567164179E-3</v>
      </c>
      <c r="N303" s="228">
        <v>157.18</v>
      </c>
      <c r="O303" s="252">
        <v>37.94</v>
      </c>
      <c r="P303" s="102">
        <f t="shared" si="44"/>
        <v>4.0626259317357765E-3</v>
      </c>
      <c r="Q303" s="23">
        <v>1122.1807726027398</v>
      </c>
      <c r="R303" s="24">
        <v>0</v>
      </c>
      <c r="S303" s="22">
        <v>0</v>
      </c>
      <c r="T303" s="117">
        <v>1</v>
      </c>
      <c r="U303" s="117">
        <v>0</v>
      </c>
      <c r="V303" s="60">
        <v>0</v>
      </c>
      <c r="W303" s="60">
        <v>11</v>
      </c>
      <c r="AB303" s="21"/>
      <c r="AG303" s="294"/>
      <c r="AH303" s="294"/>
      <c r="AI303" s="294"/>
      <c r="AJ303" s="26"/>
      <c r="AK303" s="374"/>
      <c r="AL303" s="374"/>
      <c r="AO303" s="294"/>
      <c r="AQ303" s="20"/>
      <c r="AR303" s="374"/>
      <c r="AZ303" s="374"/>
      <c r="BE303" s="26"/>
      <c r="BF303" s="26"/>
      <c r="BG303" s="26"/>
      <c r="BH303" s="26"/>
      <c r="BI303" s="26"/>
      <c r="BJ303" s="26"/>
      <c r="BK303" s="26"/>
      <c r="BL303" s="26"/>
      <c r="BS303" s="20"/>
      <c r="BT303" s="26"/>
      <c r="BV303" s="381"/>
      <c r="BW303" s="229"/>
    </row>
    <row r="304" spans="2:75" x14ac:dyDescent="0.2">
      <c r="B304" s="274" t="s">
        <v>1069</v>
      </c>
      <c r="C304" s="24">
        <v>0</v>
      </c>
      <c r="D304" s="228">
        <v>0</v>
      </c>
      <c r="E304" s="38">
        <v>0</v>
      </c>
      <c r="F304" s="24">
        <v>0</v>
      </c>
      <c r="G304" s="38">
        <v>0</v>
      </c>
      <c r="H304" s="38">
        <v>0</v>
      </c>
      <c r="I304" s="107">
        <v>2</v>
      </c>
      <c r="J304" s="111">
        <v>189.05600000000001</v>
      </c>
      <c r="K304" s="111">
        <v>0</v>
      </c>
      <c r="L304" s="107">
        <v>2</v>
      </c>
      <c r="M304" s="116">
        <f t="shared" si="43"/>
        <v>4.9751243781094526E-3</v>
      </c>
      <c r="N304" s="228">
        <v>189.05600000000001</v>
      </c>
      <c r="O304" s="252">
        <v>0</v>
      </c>
      <c r="P304" s="102">
        <f t="shared" si="44"/>
        <v>0</v>
      </c>
      <c r="Q304" s="23">
        <v>1192.2706136986303</v>
      </c>
      <c r="R304" s="24">
        <v>1</v>
      </c>
      <c r="S304" s="22">
        <v>179.85704000000001</v>
      </c>
      <c r="T304" s="117">
        <v>0</v>
      </c>
      <c r="U304" s="117">
        <v>0</v>
      </c>
      <c r="V304" s="60">
        <v>0</v>
      </c>
      <c r="W304" s="60">
        <v>4</v>
      </c>
      <c r="AB304" s="21"/>
      <c r="AG304" s="294"/>
      <c r="AH304" s="294"/>
      <c r="AI304" s="294"/>
      <c r="AJ304" s="26"/>
      <c r="AK304" s="374"/>
      <c r="AL304" s="374"/>
      <c r="AO304" s="294"/>
      <c r="AQ304" s="20"/>
      <c r="AR304" s="374"/>
      <c r="AZ304" s="374"/>
      <c r="BE304" s="26"/>
      <c r="BF304" s="26"/>
      <c r="BG304" s="26"/>
      <c r="BH304" s="26"/>
      <c r="BI304" s="26"/>
      <c r="BJ304" s="26"/>
      <c r="BK304" s="26"/>
      <c r="BL304" s="26"/>
      <c r="BS304" s="20"/>
      <c r="BT304" s="26"/>
      <c r="BV304" s="381"/>
      <c r="BW304" s="229"/>
    </row>
    <row r="305" spans="2:75" x14ac:dyDescent="0.2">
      <c r="B305" s="281" t="s">
        <v>959</v>
      </c>
      <c r="C305" s="107">
        <v>0</v>
      </c>
      <c r="D305" s="228">
        <v>0</v>
      </c>
      <c r="E305" s="38">
        <v>0</v>
      </c>
      <c r="F305" s="24">
        <v>0</v>
      </c>
      <c r="G305" s="38">
        <v>0</v>
      </c>
      <c r="H305" s="38">
        <v>0</v>
      </c>
      <c r="I305" s="24">
        <v>1</v>
      </c>
      <c r="J305" s="38">
        <v>41.763000000000005</v>
      </c>
      <c r="K305" s="38">
        <v>15.719000000000001</v>
      </c>
      <c r="L305" s="24">
        <v>1</v>
      </c>
      <c r="M305" s="56">
        <f t="shared" si="43"/>
        <v>2.4875621890547263E-3</v>
      </c>
      <c r="N305" s="228">
        <v>41.763000000000005</v>
      </c>
      <c r="O305" s="252">
        <v>15.719000000000001</v>
      </c>
      <c r="P305" s="102">
        <f t="shared" si="44"/>
        <v>1.6831949662876827E-3</v>
      </c>
      <c r="Q305" s="23">
        <v>417.63</v>
      </c>
      <c r="R305" s="24">
        <v>1</v>
      </c>
      <c r="S305" s="22">
        <v>90.147999999999996</v>
      </c>
      <c r="T305" s="22">
        <v>2</v>
      </c>
      <c r="U305" s="22">
        <v>0</v>
      </c>
      <c r="V305" s="23">
        <v>0</v>
      </c>
      <c r="W305" s="23">
        <v>8</v>
      </c>
      <c r="AB305" s="21"/>
      <c r="AG305" s="294"/>
      <c r="AH305" s="294"/>
      <c r="AI305" s="294"/>
      <c r="AJ305" s="26"/>
      <c r="AK305" s="374"/>
      <c r="AL305" s="374"/>
      <c r="AO305" s="294"/>
      <c r="AQ305" s="20"/>
      <c r="AR305" s="374"/>
      <c r="AZ305" s="374"/>
      <c r="BE305" s="26"/>
      <c r="BF305" s="26"/>
      <c r="BG305" s="26"/>
      <c r="BH305" s="26"/>
      <c r="BI305" s="26"/>
      <c r="BJ305" s="26"/>
      <c r="BK305" s="26"/>
      <c r="BL305" s="26"/>
      <c r="BS305" s="20"/>
      <c r="BT305" s="26"/>
      <c r="BV305" s="381"/>
      <c r="BW305" s="229"/>
    </row>
    <row r="306" spans="2:75" x14ac:dyDescent="0.2">
      <c r="B306" s="277" t="s">
        <v>245</v>
      </c>
      <c r="C306" s="107">
        <v>2</v>
      </c>
      <c r="D306" s="228">
        <v>67.867999999999995</v>
      </c>
      <c r="E306" s="38">
        <v>58.829889999999999</v>
      </c>
      <c r="F306" s="24">
        <v>0</v>
      </c>
      <c r="G306" s="38">
        <v>0</v>
      </c>
      <c r="H306" s="38">
        <v>0</v>
      </c>
      <c r="I306" s="24">
        <v>6</v>
      </c>
      <c r="J306" s="38">
        <v>2555.569</v>
      </c>
      <c r="K306" s="38">
        <v>154.02800000000002</v>
      </c>
      <c r="L306" s="24">
        <v>8</v>
      </c>
      <c r="M306" s="56">
        <f t="shared" si="43"/>
        <v>1.9900497512437811E-2</v>
      </c>
      <c r="N306" s="228">
        <v>2623.4369999999999</v>
      </c>
      <c r="O306" s="252">
        <v>212.85789000000003</v>
      </c>
      <c r="P306" s="102">
        <f t="shared" si="44"/>
        <v>2.2792883070336365E-2</v>
      </c>
      <c r="Q306" s="23">
        <v>14973.640046575341</v>
      </c>
      <c r="R306" s="24">
        <v>3</v>
      </c>
      <c r="S306" s="22">
        <v>186.32300000000001</v>
      </c>
      <c r="T306" s="22">
        <v>0</v>
      </c>
      <c r="U306" s="22">
        <v>0</v>
      </c>
      <c r="V306" s="23">
        <v>0</v>
      </c>
      <c r="W306" s="23">
        <v>60</v>
      </c>
      <c r="AB306" s="21"/>
      <c r="AG306" s="294"/>
      <c r="AH306" s="294"/>
      <c r="AI306" s="294"/>
      <c r="AJ306" s="26"/>
      <c r="AK306" s="374"/>
      <c r="AL306" s="374"/>
      <c r="AO306" s="294"/>
      <c r="AQ306" s="20"/>
      <c r="AR306" s="374"/>
      <c r="AZ306" s="374"/>
      <c r="BE306" s="26"/>
      <c r="BF306" s="26"/>
      <c r="BG306" s="26"/>
      <c r="BH306" s="26"/>
      <c r="BI306" s="26"/>
      <c r="BJ306" s="26"/>
      <c r="BK306" s="26"/>
      <c r="BL306" s="26"/>
      <c r="BS306" s="20"/>
      <c r="BT306" s="26"/>
      <c r="BV306" s="381"/>
      <c r="BW306" s="229"/>
    </row>
    <row r="307" spans="2:75" x14ac:dyDescent="0.2">
      <c r="B307" s="282" t="s">
        <v>1085</v>
      </c>
      <c r="C307" s="107">
        <v>2</v>
      </c>
      <c r="D307" s="228">
        <v>12.247999999999999</v>
      </c>
      <c r="E307" s="38">
        <v>0</v>
      </c>
      <c r="F307" s="24">
        <v>0</v>
      </c>
      <c r="G307" s="38">
        <v>0</v>
      </c>
      <c r="H307" s="38">
        <v>0</v>
      </c>
      <c r="I307" s="24">
        <v>2</v>
      </c>
      <c r="J307" s="38">
        <v>416.50499999999988</v>
      </c>
      <c r="K307" s="38">
        <v>0</v>
      </c>
      <c r="L307" s="24">
        <v>4</v>
      </c>
      <c r="M307" s="56">
        <f t="shared" si="43"/>
        <v>9.9502487562189053E-3</v>
      </c>
      <c r="N307" s="228">
        <v>428.75299999999987</v>
      </c>
      <c r="O307" s="252">
        <v>0</v>
      </c>
      <c r="P307" s="102">
        <f t="shared" si="44"/>
        <v>0</v>
      </c>
      <c r="Q307" s="23">
        <v>3162.4268410958898</v>
      </c>
      <c r="R307" s="24">
        <v>2</v>
      </c>
      <c r="S307" s="22">
        <v>576.68200000000002</v>
      </c>
      <c r="T307" s="22">
        <v>0</v>
      </c>
      <c r="U307" s="22">
        <v>0</v>
      </c>
      <c r="V307" s="23">
        <v>1</v>
      </c>
      <c r="W307" s="23">
        <v>10</v>
      </c>
      <c r="AB307" s="21"/>
      <c r="AG307" s="294"/>
      <c r="AH307" s="294"/>
      <c r="AI307" s="294"/>
      <c r="AJ307" s="26"/>
      <c r="AK307" s="374"/>
      <c r="AL307" s="374"/>
      <c r="AO307" s="294"/>
      <c r="AQ307" s="20"/>
      <c r="AR307" s="374"/>
      <c r="AZ307" s="374"/>
      <c r="BE307" s="26"/>
      <c r="BF307" s="26"/>
      <c r="BG307" s="26"/>
      <c r="BH307" s="26"/>
      <c r="BI307" s="26"/>
      <c r="BJ307" s="26"/>
      <c r="BK307" s="26"/>
      <c r="BL307" s="26"/>
      <c r="BS307" s="20"/>
      <c r="BT307" s="26"/>
      <c r="BV307" s="381"/>
      <c r="BW307" s="229"/>
    </row>
    <row r="308" spans="2:75" x14ac:dyDescent="0.2">
      <c r="B308" s="288" t="s">
        <v>1392</v>
      </c>
      <c r="C308" s="123">
        <v>1</v>
      </c>
      <c r="D308" s="240">
        <v>77.923000000000002</v>
      </c>
      <c r="E308" s="62">
        <v>0</v>
      </c>
      <c r="F308" s="41">
        <v>0</v>
      </c>
      <c r="G308" s="62">
        <v>0</v>
      </c>
      <c r="H308" s="63">
        <v>0</v>
      </c>
      <c r="I308" s="124">
        <v>0</v>
      </c>
      <c r="J308" s="124">
        <v>122.05</v>
      </c>
      <c r="K308" s="124">
        <v>0</v>
      </c>
      <c r="L308" s="112">
        <v>1</v>
      </c>
      <c r="M308" s="113">
        <f t="shared" si="43"/>
        <v>2.4875621890547263E-3</v>
      </c>
      <c r="N308" s="240">
        <v>199.97300000000001</v>
      </c>
      <c r="O308" s="253">
        <v>0</v>
      </c>
      <c r="P308" s="106">
        <f t="shared" si="44"/>
        <v>0</v>
      </c>
      <c r="Q308" s="28">
        <v>1286.3448301369863</v>
      </c>
      <c r="R308" s="41">
        <v>0</v>
      </c>
      <c r="S308" s="63">
        <v>0</v>
      </c>
      <c r="T308" s="114">
        <v>1</v>
      </c>
      <c r="U308" s="114">
        <v>0</v>
      </c>
      <c r="V308" s="61">
        <v>0</v>
      </c>
      <c r="W308" s="61">
        <v>2</v>
      </c>
      <c r="AB308" s="21"/>
      <c r="AG308" s="294"/>
      <c r="AH308" s="294"/>
      <c r="AI308" s="294"/>
      <c r="AJ308" s="26"/>
      <c r="AK308" s="374"/>
      <c r="AL308" s="374"/>
      <c r="AO308" s="294"/>
      <c r="AQ308" s="20"/>
      <c r="AR308" s="374"/>
      <c r="AZ308" s="374"/>
      <c r="BE308" s="26"/>
      <c r="BF308" s="26"/>
      <c r="BG308" s="26"/>
      <c r="BH308" s="26"/>
      <c r="BI308" s="26"/>
      <c r="BJ308" s="26"/>
      <c r="BK308" s="26"/>
      <c r="BL308" s="26"/>
      <c r="BS308" s="20"/>
      <c r="BT308" s="26"/>
      <c r="BV308" s="381"/>
      <c r="BW308" s="229"/>
    </row>
    <row r="309" spans="2:75" x14ac:dyDescent="0.2">
      <c r="B309" s="276" t="s">
        <v>1830</v>
      </c>
      <c r="C309" s="97">
        <f t="shared" ref="C309:W309" si="45">SUM(C310:C321)</f>
        <v>2</v>
      </c>
      <c r="D309" s="241">
        <f t="shared" si="45"/>
        <v>2.6080000000000001</v>
      </c>
      <c r="E309" s="98">
        <f t="shared" si="45"/>
        <v>0</v>
      </c>
      <c r="F309" s="97">
        <f t="shared" si="45"/>
        <v>0</v>
      </c>
      <c r="G309" s="98">
        <f t="shared" si="45"/>
        <v>0</v>
      </c>
      <c r="H309" s="98">
        <f t="shared" si="45"/>
        <v>0</v>
      </c>
      <c r="I309" s="97">
        <f t="shared" si="45"/>
        <v>6</v>
      </c>
      <c r="J309" s="98">
        <f t="shared" si="45"/>
        <v>169.69000000000003</v>
      </c>
      <c r="K309" s="98">
        <f t="shared" si="45"/>
        <v>21.447499999999998</v>
      </c>
      <c r="L309" s="97">
        <f>SUM(L310:L321)</f>
        <v>8</v>
      </c>
      <c r="M309" s="100">
        <f t="shared" si="45"/>
        <v>1.9900497512437807E-2</v>
      </c>
      <c r="N309" s="239">
        <f t="shared" si="45"/>
        <v>172.29800000000003</v>
      </c>
      <c r="O309" s="731">
        <f t="shared" si="45"/>
        <v>21.447499999999998</v>
      </c>
      <c r="P309" s="732">
        <f t="shared" si="45"/>
        <v>2.2966043666553262E-3</v>
      </c>
      <c r="Q309" s="31">
        <f t="shared" si="45"/>
        <v>872.52341369863018</v>
      </c>
      <c r="R309" s="97">
        <f t="shared" si="45"/>
        <v>0</v>
      </c>
      <c r="S309" s="101">
        <f t="shared" si="45"/>
        <v>0</v>
      </c>
      <c r="T309" s="101">
        <f t="shared" si="45"/>
        <v>2</v>
      </c>
      <c r="U309" s="101">
        <f t="shared" si="45"/>
        <v>1</v>
      </c>
      <c r="V309" s="31">
        <f t="shared" si="45"/>
        <v>0</v>
      </c>
      <c r="W309" s="31">
        <f t="shared" si="45"/>
        <v>17</v>
      </c>
      <c r="AB309" s="21"/>
      <c r="AG309" s="294"/>
      <c r="AH309" s="294"/>
      <c r="AI309" s="294"/>
      <c r="AJ309" s="26"/>
      <c r="AK309" s="374"/>
      <c r="AL309" s="374"/>
      <c r="AO309" s="294"/>
      <c r="AQ309" s="20"/>
      <c r="AR309" s="374"/>
      <c r="AZ309" s="374"/>
      <c r="BE309" s="26"/>
      <c r="BF309" s="26"/>
      <c r="BG309" s="26"/>
      <c r="BH309" s="26"/>
      <c r="BI309" s="26"/>
      <c r="BJ309" s="26"/>
      <c r="BK309" s="26"/>
      <c r="BL309" s="26"/>
      <c r="BS309" s="20"/>
      <c r="BT309" s="26"/>
      <c r="BV309" s="381"/>
      <c r="BW309" s="229"/>
    </row>
    <row r="310" spans="2:75" x14ac:dyDescent="0.2">
      <c r="B310" s="281" t="s">
        <v>1394</v>
      </c>
      <c r="C310" s="107">
        <v>0</v>
      </c>
      <c r="D310" s="228">
        <v>0</v>
      </c>
      <c r="E310" s="38">
        <v>0</v>
      </c>
      <c r="F310" s="24">
        <v>0</v>
      </c>
      <c r="G310" s="38">
        <v>0</v>
      </c>
      <c r="H310" s="38">
        <v>0</v>
      </c>
      <c r="I310" s="24">
        <v>1</v>
      </c>
      <c r="J310" s="38">
        <v>83.52600000000001</v>
      </c>
      <c r="K310" s="38">
        <v>0</v>
      </c>
      <c r="L310" s="24">
        <v>1</v>
      </c>
      <c r="M310" s="56">
        <f t="shared" ref="M310:M322" si="46">+L310/L$322</f>
        <v>2.4875621890547263E-3</v>
      </c>
      <c r="N310" s="228">
        <v>83.52600000000001</v>
      </c>
      <c r="O310" s="252">
        <v>0</v>
      </c>
      <c r="P310" s="102">
        <f t="shared" ref="P310:P322" si="47">+O310/O$322</f>
        <v>0</v>
      </c>
      <c r="Q310" s="23">
        <v>313.50854794520546</v>
      </c>
      <c r="R310" s="24">
        <v>0</v>
      </c>
      <c r="S310" s="22">
        <v>0</v>
      </c>
      <c r="T310" s="22">
        <v>0</v>
      </c>
      <c r="U310" s="22">
        <v>0</v>
      </c>
      <c r="V310" s="23">
        <v>0</v>
      </c>
      <c r="W310" s="23">
        <v>4</v>
      </c>
      <c r="AB310" s="21"/>
      <c r="AG310" s="294"/>
      <c r="AH310" s="294"/>
      <c r="AI310" s="294"/>
      <c r="AJ310" s="26"/>
      <c r="AK310" s="374"/>
      <c r="AL310" s="374"/>
      <c r="AO310" s="294"/>
      <c r="AQ310" s="20"/>
      <c r="AR310" s="374"/>
      <c r="AZ310" s="374"/>
      <c r="BE310" s="26"/>
      <c r="BF310" s="26"/>
      <c r="BG310" s="26"/>
      <c r="BH310" s="26"/>
      <c r="BI310" s="26"/>
      <c r="BJ310" s="26"/>
      <c r="BK310" s="26"/>
      <c r="BL310" s="26"/>
      <c r="BS310" s="20"/>
      <c r="BT310" s="26"/>
      <c r="BV310" s="381"/>
      <c r="BW310" s="229"/>
    </row>
    <row r="311" spans="2:75" x14ac:dyDescent="0.2">
      <c r="B311" s="272" t="s">
        <v>2253</v>
      </c>
      <c r="C311" s="107"/>
      <c r="D311" s="228"/>
      <c r="E311" s="38"/>
      <c r="F311" s="24"/>
      <c r="G311" s="38"/>
      <c r="H311" s="38"/>
      <c r="I311" s="24"/>
      <c r="J311" s="38"/>
      <c r="K311" s="38"/>
      <c r="L311" s="24"/>
      <c r="M311" s="56">
        <f t="shared" si="46"/>
        <v>0</v>
      </c>
      <c r="N311" s="228"/>
      <c r="O311" s="252"/>
      <c r="P311" s="102">
        <f t="shared" si="47"/>
        <v>0</v>
      </c>
      <c r="Q311" s="23"/>
      <c r="R311" s="24"/>
      <c r="S311" s="22"/>
      <c r="T311" s="22"/>
      <c r="U311" s="22"/>
      <c r="V311" s="23"/>
      <c r="W311" s="23"/>
      <c r="AB311" s="21"/>
      <c r="AG311" s="294"/>
      <c r="AH311" s="294"/>
      <c r="AI311" s="294"/>
      <c r="AJ311" s="26"/>
      <c r="AK311" s="374"/>
      <c r="AL311" s="374"/>
      <c r="AO311" s="294"/>
      <c r="AQ311" s="20"/>
      <c r="AR311" s="374"/>
      <c r="AZ311" s="374"/>
      <c r="BE311" s="26"/>
      <c r="BF311" s="26"/>
      <c r="BG311" s="26"/>
      <c r="BH311" s="26"/>
      <c r="BI311" s="26"/>
      <c r="BJ311" s="26"/>
      <c r="BK311" s="26"/>
      <c r="BL311" s="26"/>
      <c r="BS311" s="20"/>
      <c r="BT311" s="26"/>
      <c r="BV311" s="381"/>
      <c r="BW311" s="229"/>
    </row>
    <row r="312" spans="2:75" x14ac:dyDescent="0.2">
      <c r="B312" s="281" t="s">
        <v>1395</v>
      </c>
      <c r="C312" s="107">
        <v>0</v>
      </c>
      <c r="D312" s="228">
        <v>0</v>
      </c>
      <c r="E312" s="38">
        <v>0</v>
      </c>
      <c r="F312" s="24">
        <v>0</v>
      </c>
      <c r="G312" s="38">
        <v>0</v>
      </c>
      <c r="H312" s="38">
        <v>0</v>
      </c>
      <c r="I312" s="24">
        <v>1</v>
      </c>
      <c r="J312" s="38">
        <v>47.720999999999997</v>
      </c>
      <c r="K312" s="38">
        <v>0</v>
      </c>
      <c r="L312" s="24">
        <v>1</v>
      </c>
      <c r="M312" s="56">
        <f t="shared" si="46"/>
        <v>2.4875621890547263E-3</v>
      </c>
      <c r="N312" s="228">
        <v>47.720999999999997</v>
      </c>
      <c r="O312" s="252">
        <v>0</v>
      </c>
      <c r="P312" s="102">
        <f t="shared" si="47"/>
        <v>0</v>
      </c>
      <c r="Q312" s="23">
        <v>341.40257808219178</v>
      </c>
      <c r="R312" s="24">
        <v>0</v>
      </c>
      <c r="S312" s="22">
        <v>0</v>
      </c>
      <c r="T312" s="22">
        <v>0</v>
      </c>
      <c r="U312" s="22">
        <v>0</v>
      </c>
      <c r="V312" s="23">
        <v>0</v>
      </c>
      <c r="W312" s="23">
        <v>4</v>
      </c>
      <c r="AB312" s="21"/>
      <c r="AG312" s="294"/>
      <c r="AH312" s="294"/>
      <c r="AI312" s="294"/>
      <c r="AJ312" s="26"/>
      <c r="AK312" s="374"/>
      <c r="AL312" s="374"/>
      <c r="AO312" s="294"/>
      <c r="AQ312" s="20"/>
      <c r="AR312" s="374"/>
      <c r="AZ312" s="374"/>
      <c r="BE312" s="26"/>
      <c r="BF312" s="26"/>
      <c r="BG312" s="26"/>
      <c r="BH312" s="26"/>
      <c r="BI312" s="26"/>
      <c r="BJ312" s="26"/>
      <c r="BK312" s="26"/>
      <c r="BL312" s="26"/>
      <c r="BS312" s="20"/>
      <c r="BT312" s="26"/>
      <c r="BV312" s="381"/>
      <c r="BW312" s="229"/>
    </row>
    <row r="313" spans="2:75" x14ac:dyDescent="0.2">
      <c r="B313" s="281" t="s">
        <v>1396</v>
      </c>
      <c r="C313" s="107"/>
      <c r="D313" s="228"/>
      <c r="E313" s="38"/>
      <c r="F313" s="24"/>
      <c r="G313" s="38"/>
      <c r="H313" s="38"/>
      <c r="I313" s="24"/>
      <c r="J313" s="38"/>
      <c r="K313" s="38"/>
      <c r="L313" s="24"/>
      <c r="M313" s="56">
        <f t="shared" si="46"/>
        <v>0</v>
      </c>
      <c r="N313" s="228"/>
      <c r="O313" s="252"/>
      <c r="P313" s="102">
        <f t="shared" si="47"/>
        <v>0</v>
      </c>
      <c r="Q313" s="23"/>
      <c r="R313" s="24"/>
      <c r="S313" s="22"/>
      <c r="T313" s="22"/>
      <c r="U313" s="22"/>
      <c r="V313" s="23"/>
      <c r="W313" s="23"/>
      <c r="AB313" s="21"/>
      <c r="AG313" s="294"/>
      <c r="AH313" s="294"/>
      <c r="AI313" s="294"/>
      <c r="AJ313" s="26"/>
      <c r="AK313" s="374"/>
      <c r="AL313" s="374"/>
      <c r="AO313" s="294"/>
      <c r="AQ313" s="20"/>
      <c r="AR313" s="374"/>
      <c r="AZ313" s="374"/>
      <c r="BE313" s="26"/>
      <c r="BF313" s="26"/>
      <c r="BG313" s="26"/>
      <c r="BH313" s="26"/>
      <c r="BI313" s="26"/>
      <c r="BJ313" s="26"/>
      <c r="BK313" s="26"/>
      <c r="BL313" s="26"/>
      <c r="BS313" s="20"/>
      <c r="BT313" s="26"/>
      <c r="BV313" s="381"/>
      <c r="BW313" s="229"/>
    </row>
    <row r="314" spans="2:75" x14ac:dyDescent="0.2">
      <c r="B314" s="272" t="s">
        <v>3769</v>
      </c>
      <c r="C314" s="107"/>
      <c r="D314" s="228"/>
      <c r="E314" s="38"/>
      <c r="F314" s="24"/>
      <c r="G314" s="38"/>
      <c r="H314" s="38"/>
      <c r="I314" s="24"/>
      <c r="J314" s="38"/>
      <c r="K314" s="38"/>
      <c r="L314" s="24"/>
      <c r="M314" s="56">
        <f t="shared" si="46"/>
        <v>0</v>
      </c>
      <c r="N314" s="228"/>
      <c r="O314" s="252"/>
      <c r="P314" s="102">
        <f t="shared" si="47"/>
        <v>0</v>
      </c>
      <c r="Q314" s="23"/>
      <c r="R314" s="24"/>
      <c r="S314" s="22"/>
      <c r="T314" s="22"/>
      <c r="U314" s="22"/>
      <c r="V314" s="23"/>
      <c r="W314" s="23"/>
      <c r="AB314" s="21"/>
      <c r="AG314" s="294"/>
      <c r="AH314" s="294"/>
      <c r="AI314" s="294"/>
      <c r="AJ314" s="26"/>
      <c r="AK314" s="374"/>
      <c r="AL314" s="374"/>
      <c r="AO314" s="294"/>
      <c r="AQ314" s="20"/>
      <c r="AR314" s="374"/>
      <c r="AZ314" s="374"/>
      <c r="BE314" s="26"/>
      <c r="BF314" s="26"/>
      <c r="BG314" s="26"/>
      <c r="BH314" s="26"/>
      <c r="BI314" s="26"/>
      <c r="BJ314" s="26"/>
      <c r="BK314" s="26"/>
      <c r="BL314" s="26"/>
      <c r="BS314" s="20"/>
      <c r="BT314" s="26"/>
      <c r="BV314" s="381"/>
      <c r="BW314" s="229"/>
    </row>
    <row r="315" spans="2:75" x14ac:dyDescent="0.2">
      <c r="B315" s="281" t="s">
        <v>1397</v>
      </c>
      <c r="C315" s="107">
        <v>1</v>
      </c>
      <c r="D315" s="228">
        <v>2.6080000000000001</v>
      </c>
      <c r="E315" s="38">
        <v>0</v>
      </c>
      <c r="F315" s="24">
        <v>0</v>
      </c>
      <c r="G315" s="38">
        <v>0</v>
      </c>
      <c r="H315" s="38">
        <v>0</v>
      </c>
      <c r="I315" s="24">
        <v>0</v>
      </c>
      <c r="J315" s="38">
        <v>0</v>
      </c>
      <c r="K315" s="38">
        <v>0</v>
      </c>
      <c r="L315" s="24">
        <v>1</v>
      </c>
      <c r="M315" s="56">
        <f t="shared" si="46"/>
        <v>2.4875621890547263E-3</v>
      </c>
      <c r="N315" s="228">
        <v>2.6080000000000001</v>
      </c>
      <c r="O315" s="252">
        <v>0</v>
      </c>
      <c r="P315" s="102">
        <f t="shared" si="47"/>
        <v>0</v>
      </c>
      <c r="Q315" s="23">
        <v>26.080000000000002</v>
      </c>
      <c r="R315" s="24">
        <v>0</v>
      </c>
      <c r="S315" s="22">
        <v>0</v>
      </c>
      <c r="T315" s="22">
        <v>0</v>
      </c>
      <c r="U315" s="22">
        <v>0</v>
      </c>
      <c r="V315" s="23">
        <v>0</v>
      </c>
      <c r="W315" s="23">
        <v>1</v>
      </c>
      <c r="AB315" s="21"/>
      <c r="AG315" s="294"/>
      <c r="AH315" s="294"/>
      <c r="AI315" s="294"/>
      <c r="AJ315" s="26"/>
      <c r="AK315" s="374"/>
      <c r="AL315" s="374"/>
      <c r="AO315" s="294"/>
      <c r="AQ315" s="20"/>
      <c r="AR315" s="374"/>
      <c r="AZ315" s="374"/>
      <c r="BE315" s="26"/>
      <c r="BF315" s="26"/>
      <c r="BG315" s="26"/>
      <c r="BH315" s="26"/>
      <c r="BI315" s="26"/>
      <c r="BJ315" s="26"/>
      <c r="BK315" s="26"/>
      <c r="BL315" s="26"/>
      <c r="BS315" s="20"/>
      <c r="BT315" s="26"/>
      <c r="BV315" s="381"/>
      <c r="BW315" s="229"/>
    </row>
    <row r="316" spans="2:75" x14ac:dyDescent="0.2">
      <c r="B316" s="281" t="s">
        <v>1398</v>
      </c>
      <c r="C316" s="107"/>
      <c r="D316" s="228"/>
      <c r="E316" s="38"/>
      <c r="F316" s="24"/>
      <c r="G316" s="38"/>
      <c r="H316" s="38"/>
      <c r="I316" s="24"/>
      <c r="J316" s="38"/>
      <c r="K316" s="38"/>
      <c r="L316" s="24"/>
      <c r="M316" s="56">
        <f t="shared" si="46"/>
        <v>0</v>
      </c>
      <c r="N316" s="228"/>
      <c r="O316" s="252"/>
      <c r="P316" s="102">
        <f t="shared" si="47"/>
        <v>0</v>
      </c>
      <c r="Q316" s="23"/>
      <c r="R316" s="24"/>
      <c r="S316" s="22"/>
      <c r="T316" s="22"/>
      <c r="U316" s="22"/>
      <c r="V316" s="23"/>
      <c r="W316" s="23"/>
      <c r="AB316" s="21"/>
      <c r="AG316" s="294"/>
      <c r="AH316" s="294"/>
      <c r="AI316" s="294"/>
      <c r="AJ316" s="26"/>
      <c r="AK316" s="374"/>
      <c r="AL316" s="374"/>
      <c r="AO316" s="294"/>
      <c r="AQ316" s="20"/>
      <c r="AR316" s="374"/>
      <c r="AZ316" s="374"/>
      <c r="BE316" s="26"/>
      <c r="BF316" s="26"/>
      <c r="BG316" s="26"/>
      <c r="BH316" s="26"/>
      <c r="BI316" s="26"/>
      <c r="BJ316" s="26"/>
      <c r="BK316" s="26"/>
      <c r="BL316" s="26"/>
      <c r="BS316" s="20"/>
      <c r="BT316" s="26"/>
      <c r="BV316" s="381"/>
      <c r="BW316" s="229"/>
    </row>
    <row r="317" spans="2:75" x14ac:dyDescent="0.2">
      <c r="B317" s="281" t="s">
        <v>1399</v>
      </c>
      <c r="C317" s="107"/>
      <c r="D317" s="228"/>
      <c r="E317" s="38"/>
      <c r="F317" s="24"/>
      <c r="G317" s="38"/>
      <c r="H317" s="38"/>
      <c r="I317" s="24"/>
      <c r="J317" s="38"/>
      <c r="K317" s="38"/>
      <c r="L317" s="24"/>
      <c r="M317" s="56">
        <f t="shared" si="46"/>
        <v>0</v>
      </c>
      <c r="N317" s="228"/>
      <c r="O317" s="252"/>
      <c r="P317" s="102">
        <f t="shared" si="47"/>
        <v>0</v>
      </c>
      <c r="Q317" s="23"/>
      <c r="R317" s="24"/>
      <c r="S317" s="22"/>
      <c r="T317" s="22"/>
      <c r="U317" s="22"/>
      <c r="V317" s="23"/>
      <c r="W317" s="23"/>
      <c r="AB317" s="21"/>
      <c r="AG317" s="294"/>
      <c r="AH317" s="294"/>
      <c r="AI317" s="294"/>
      <c r="AJ317" s="26"/>
      <c r="AK317" s="374"/>
      <c r="AL317" s="374"/>
      <c r="AO317" s="294"/>
      <c r="AQ317" s="20"/>
      <c r="AR317" s="374"/>
      <c r="AZ317" s="374"/>
      <c r="BE317" s="26"/>
      <c r="BF317" s="26"/>
      <c r="BG317" s="26"/>
      <c r="BH317" s="26"/>
      <c r="BI317" s="26"/>
      <c r="BJ317" s="26"/>
      <c r="BK317" s="26"/>
      <c r="BL317" s="26"/>
      <c r="BS317" s="20"/>
      <c r="BT317" s="26"/>
      <c r="BV317" s="381"/>
      <c r="BW317" s="229"/>
    </row>
    <row r="318" spans="2:75" x14ac:dyDescent="0.2">
      <c r="B318" s="272" t="s">
        <v>1412</v>
      </c>
      <c r="C318" s="107">
        <v>0</v>
      </c>
      <c r="D318" s="228">
        <v>0</v>
      </c>
      <c r="E318" s="38">
        <v>0</v>
      </c>
      <c r="F318" s="24">
        <v>0</v>
      </c>
      <c r="G318" s="38">
        <v>0</v>
      </c>
      <c r="H318" s="38">
        <v>0</v>
      </c>
      <c r="I318" s="24">
        <v>2</v>
      </c>
      <c r="J318" s="38">
        <v>7.2729999999999997</v>
      </c>
      <c r="K318" s="38">
        <v>1.4E-2</v>
      </c>
      <c r="L318" s="24">
        <v>2</v>
      </c>
      <c r="M318" s="56">
        <f t="shared" si="46"/>
        <v>4.9751243781094526E-3</v>
      </c>
      <c r="N318" s="228">
        <v>7.2729999999999997</v>
      </c>
      <c r="O318" s="252">
        <v>1.4E-2</v>
      </c>
      <c r="P318" s="102">
        <f t="shared" si="47"/>
        <v>1.4991239600501023E-6</v>
      </c>
      <c r="Q318" s="23">
        <v>60.507986301369861</v>
      </c>
      <c r="R318" s="24">
        <v>0</v>
      </c>
      <c r="S318" s="22">
        <v>0</v>
      </c>
      <c r="T318" s="22">
        <v>2</v>
      </c>
      <c r="U318" s="22">
        <v>0</v>
      </c>
      <c r="V318" s="23">
        <v>0</v>
      </c>
      <c r="W318" s="23">
        <v>2</v>
      </c>
      <c r="AB318" s="21"/>
      <c r="AG318" s="294"/>
      <c r="AH318" s="294"/>
      <c r="AI318" s="294"/>
      <c r="AJ318" s="26"/>
      <c r="AK318" s="374"/>
      <c r="AL318" s="374"/>
      <c r="AO318" s="294"/>
      <c r="AQ318" s="20"/>
      <c r="AR318" s="374"/>
      <c r="AZ318" s="374"/>
      <c r="BE318" s="26"/>
      <c r="BF318" s="26"/>
      <c r="BG318" s="26"/>
      <c r="BH318" s="26"/>
      <c r="BI318" s="26"/>
      <c r="BJ318" s="26"/>
      <c r="BK318" s="26"/>
      <c r="BL318" s="26"/>
      <c r="BS318" s="20"/>
      <c r="BT318" s="26"/>
      <c r="BV318" s="381"/>
      <c r="BW318" s="229"/>
    </row>
    <row r="319" spans="2:75" x14ac:dyDescent="0.2">
      <c r="B319" s="281" t="s">
        <v>1400</v>
      </c>
      <c r="C319" s="107"/>
      <c r="D319" s="228"/>
      <c r="E319" s="38"/>
      <c r="F319" s="24"/>
      <c r="G319" s="38"/>
      <c r="H319" s="38"/>
      <c r="I319" s="24"/>
      <c r="J319" s="38"/>
      <c r="K319" s="38"/>
      <c r="L319" s="24"/>
      <c r="M319" s="56">
        <f t="shared" si="46"/>
        <v>0</v>
      </c>
      <c r="N319" s="228"/>
      <c r="O319" s="252"/>
      <c r="P319" s="102">
        <f t="shared" si="47"/>
        <v>0</v>
      </c>
      <c r="Q319" s="23"/>
      <c r="R319" s="24"/>
      <c r="S319" s="22"/>
      <c r="T319" s="22"/>
      <c r="U319" s="22"/>
      <c r="V319" s="23"/>
      <c r="W319" s="23"/>
      <c r="AB319" s="21"/>
      <c r="AG319" s="294"/>
      <c r="AH319" s="294"/>
      <c r="AI319" s="294"/>
      <c r="AJ319" s="26"/>
      <c r="AK319" s="374"/>
      <c r="AL319" s="374"/>
      <c r="AO319" s="294"/>
      <c r="AQ319" s="20"/>
      <c r="AR319" s="374"/>
      <c r="AZ319" s="374"/>
      <c r="BE319" s="26"/>
      <c r="BF319" s="26"/>
      <c r="BG319" s="26"/>
      <c r="BH319" s="26"/>
      <c r="BI319" s="26"/>
      <c r="BJ319" s="26"/>
      <c r="BK319" s="26"/>
      <c r="BL319" s="26"/>
      <c r="BS319" s="20"/>
      <c r="BT319" s="26"/>
      <c r="BV319" s="381"/>
      <c r="BW319" s="229"/>
    </row>
    <row r="320" spans="2:75" x14ac:dyDescent="0.2">
      <c r="B320" s="281" t="s">
        <v>918</v>
      </c>
      <c r="C320" s="107">
        <v>1</v>
      </c>
      <c r="D320" s="228">
        <v>0</v>
      </c>
      <c r="E320" s="38">
        <v>0</v>
      </c>
      <c r="F320" s="24">
        <v>0</v>
      </c>
      <c r="G320" s="38">
        <v>0</v>
      </c>
      <c r="H320" s="38">
        <v>0</v>
      </c>
      <c r="I320" s="24">
        <v>1</v>
      </c>
      <c r="J320" s="38">
        <v>24.46</v>
      </c>
      <c r="K320" s="38">
        <v>0</v>
      </c>
      <c r="L320" s="24">
        <v>2</v>
      </c>
      <c r="M320" s="56">
        <f t="shared" si="46"/>
        <v>4.9751243781094526E-3</v>
      </c>
      <c r="N320" s="228">
        <v>24.46</v>
      </c>
      <c r="O320" s="252">
        <v>0</v>
      </c>
      <c r="P320" s="102">
        <f t="shared" si="47"/>
        <v>0</v>
      </c>
      <c r="Q320" s="23">
        <v>63.924301369863009</v>
      </c>
      <c r="R320" s="24">
        <v>0</v>
      </c>
      <c r="S320" s="22">
        <v>0</v>
      </c>
      <c r="T320" s="22">
        <v>0</v>
      </c>
      <c r="U320" s="22">
        <v>1</v>
      </c>
      <c r="V320" s="23">
        <v>0</v>
      </c>
      <c r="W320" s="23">
        <v>5</v>
      </c>
      <c r="AB320" s="21"/>
      <c r="AG320" s="294"/>
      <c r="AH320" s="294"/>
      <c r="AI320" s="294"/>
      <c r="AJ320" s="26"/>
      <c r="AK320" s="374"/>
      <c r="AL320" s="374"/>
      <c r="AO320" s="294"/>
      <c r="AQ320" s="20"/>
      <c r="AR320" s="374"/>
      <c r="AZ320" s="374"/>
      <c r="BE320" s="26"/>
      <c r="BF320" s="26"/>
      <c r="BG320" s="26"/>
      <c r="BH320" s="26"/>
      <c r="BI320" s="26"/>
      <c r="BJ320" s="26"/>
      <c r="BK320" s="26"/>
      <c r="BL320" s="26"/>
      <c r="BS320" s="20"/>
      <c r="BT320" s="26"/>
      <c r="BV320" s="381"/>
      <c r="BW320" s="229"/>
    </row>
    <row r="321" spans="2:75" x14ac:dyDescent="0.2">
      <c r="B321" s="289" t="s">
        <v>284</v>
      </c>
      <c r="C321" s="112">
        <v>0</v>
      </c>
      <c r="D321" s="240">
        <v>0</v>
      </c>
      <c r="E321" s="62">
        <v>0</v>
      </c>
      <c r="F321" s="41">
        <v>0</v>
      </c>
      <c r="G321" s="62">
        <v>0</v>
      </c>
      <c r="H321" s="62">
        <v>0</v>
      </c>
      <c r="I321" s="41">
        <v>1</v>
      </c>
      <c r="J321" s="62">
        <v>6.71</v>
      </c>
      <c r="K321" s="62">
        <v>21.433499999999999</v>
      </c>
      <c r="L321" s="24">
        <v>1</v>
      </c>
      <c r="M321" s="56">
        <f t="shared" si="46"/>
        <v>2.4875621890547263E-3</v>
      </c>
      <c r="N321" s="228">
        <v>6.71</v>
      </c>
      <c r="O321" s="252">
        <v>21.433499999999999</v>
      </c>
      <c r="P321" s="102">
        <f t="shared" si="47"/>
        <v>2.2951052426952762E-3</v>
      </c>
      <c r="Q321" s="23">
        <v>67.099999999999994</v>
      </c>
      <c r="R321" s="41">
        <v>0</v>
      </c>
      <c r="S321" s="63">
        <v>0</v>
      </c>
      <c r="T321" s="63">
        <v>0</v>
      </c>
      <c r="U321" s="63">
        <v>0</v>
      </c>
      <c r="V321" s="28">
        <v>0</v>
      </c>
      <c r="W321" s="28">
        <v>1</v>
      </c>
      <c r="AB321" s="21"/>
      <c r="AG321" s="294"/>
      <c r="AH321" s="294"/>
      <c r="AI321" s="294"/>
      <c r="AJ321" s="26"/>
      <c r="AK321" s="374"/>
      <c r="AL321" s="374"/>
      <c r="AO321" s="294"/>
      <c r="AQ321" s="20"/>
      <c r="AR321" s="374"/>
      <c r="AZ321" s="374"/>
      <c r="BE321" s="26"/>
      <c r="BF321" s="26"/>
      <c r="BG321" s="26"/>
      <c r="BH321" s="26"/>
      <c r="BI321" s="26"/>
      <c r="BJ321" s="26"/>
      <c r="BK321" s="26"/>
      <c r="BL321" s="26"/>
      <c r="BS321" s="20"/>
      <c r="BT321" s="26"/>
      <c r="BV321" s="381"/>
      <c r="BW321" s="229"/>
    </row>
    <row r="322" spans="2:75" x14ac:dyDescent="0.2">
      <c r="B322" s="290" t="s">
        <v>1202</v>
      </c>
      <c r="C322" s="97">
        <f>+C200+C226+C250+C266+C309</f>
        <v>86</v>
      </c>
      <c r="D322" s="241">
        <f t="shared" ref="D322:L322" si="48">+D200+D226+D250+D266+D309</f>
        <v>3940.9372800000001</v>
      </c>
      <c r="E322" s="98">
        <f t="shared" si="48"/>
        <v>1431.2162580714287</v>
      </c>
      <c r="F322" s="97">
        <f t="shared" si="48"/>
        <v>0</v>
      </c>
      <c r="G322" s="98">
        <f t="shared" si="48"/>
        <v>0</v>
      </c>
      <c r="H322" s="98">
        <f t="shared" si="48"/>
        <v>0</v>
      </c>
      <c r="I322" s="97">
        <f t="shared" si="48"/>
        <v>316</v>
      </c>
      <c r="J322" s="98">
        <f t="shared" si="48"/>
        <v>57483.055399999997</v>
      </c>
      <c r="K322" s="98">
        <f t="shared" si="48"/>
        <v>7907.5711758457137</v>
      </c>
      <c r="L322" s="179">
        <f t="shared" si="48"/>
        <v>402</v>
      </c>
      <c r="M322" s="100">
        <f t="shared" si="46"/>
        <v>1</v>
      </c>
      <c r="N322" s="239">
        <f>+N200+N226+N250+N266+N309</f>
        <v>61423.99268000001</v>
      </c>
      <c r="O322" s="731">
        <f>+O200+O226+O250+O266+O309</f>
        <v>9338.7874339171431</v>
      </c>
      <c r="P322" s="741">
        <f t="shared" si="47"/>
        <v>1</v>
      </c>
      <c r="Q322" s="31">
        <f t="shared" ref="Q322:V322" si="49">+Q200+Q226+Q250+Q266+Q309</f>
        <v>377745.71724438359</v>
      </c>
      <c r="R322" s="95">
        <f>+R200+R226+R250+R266+R309</f>
        <v>54</v>
      </c>
      <c r="S322" s="101">
        <f t="shared" si="49"/>
        <v>14997.922040000001</v>
      </c>
      <c r="T322" s="101">
        <f>+T200+T226+T250+T266+T309</f>
        <v>70</v>
      </c>
      <c r="U322" s="101">
        <f>+U200+U226+U250+U266+U309</f>
        <v>5</v>
      </c>
      <c r="V322" s="31">
        <f t="shared" si="49"/>
        <v>3</v>
      </c>
      <c r="W322" s="31">
        <f>+W200+W226+W250+W266+W309</f>
        <v>2313</v>
      </c>
      <c r="AB322" s="21"/>
      <c r="AG322" s="294"/>
      <c r="AH322" s="294"/>
      <c r="AI322" s="294"/>
      <c r="AJ322" s="26"/>
      <c r="AK322" s="374"/>
      <c r="AL322" s="374"/>
      <c r="AO322" s="294"/>
      <c r="AQ322" s="20"/>
      <c r="AR322" s="374"/>
      <c r="AZ322" s="374"/>
      <c r="BE322" s="26"/>
      <c r="BF322" s="26"/>
      <c r="BG322" s="26"/>
      <c r="BH322" s="26"/>
      <c r="BI322" s="26"/>
      <c r="BJ322" s="26"/>
      <c r="BK322" s="26"/>
      <c r="BL322" s="26"/>
      <c r="BS322" s="20"/>
      <c r="BT322" s="26"/>
      <c r="BV322" s="381"/>
      <c r="BW322" s="229"/>
    </row>
    <row r="323" spans="2:75" x14ac:dyDescent="0.2">
      <c r="B323" s="291" t="s">
        <v>1401</v>
      </c>
      <c r="C323" s="125">
        <f t="shared" ref="C323:V323" si="50">C216+C227+C228+C229+C234+C237+C238+C268+C269+C270+C273+C274+C278+C279+C284+C285+C287+C288+C289+C292+C294+C296+C297+C298+C301+C303+C304+C306+C307+C321</f>
        <v>16</v>
      </c>
      <c r="D323" s="245">
        <f t="shared" si="50"/>
        <v>1099.5309999999999</v>
      </c>
      <c r="E323" s="126">
        <f t="shared" si="50"/>
        <v>95.502890000000008</v>
      </c>
      <c r="F323" s="125">
        <f t="shared" si="50"/>
        <v>0</v>
      </c>
      <c r="G323" s="82">
        <f t="shared" si="50"/>
        <v>0</v>
      </c>
      <c r="H323" s="126">
        <f t="shared" si="50"/>
        <v>0</v>
      </c>
      <c r="I323" s="125">
        <f>I216+I227+I228+I229+I234+I237+I238+I268+I269+I270+I273+I274+I278+I279+I284+I285+I287+I288+I289+I292+I294+I296+I297+I298+I301+I303+I304+I306+I307+I321</f>
        <v>66</v>
      </c>
      <c r="J323" s="82">
        <f t="shared" si="50"/>
        <v>22337.003999999994</v>
      </c>
      <c r="K323" s="126">
        <f t="shared" si="50"/>
        <v>2018.9329603599997</v>
      </c>
      <c r="L323" s="125">
        <f>L216+L227+L228+L229+L234+L237+L238+L268+L269+L270+L273+L274+L278+L279+L284+L285+L287+L288+L289+L292+L294+L296+L297+L298+L301+L303+L304+L306+L307+L321</f>
        <v>82</v>
      </c>
      <c r="M323" s="168">
        <f t="shared" si="50"/>
        <v>0.20398009950248752</v>
      </c>
      <c r="N323" s="245">
        <f t="shared" si="50"/>
        <v>23436.535</v>
      </c>
      <c r="O323" s="742">
        <f t="shared" si="50"/>
        <v>2114.4358503600001</v>
      </c>
      <c r="P323" s="743">
        <f t="shared" si="50"/>
        <v>0.22641438894739915</v>
      </c>
      <c r="Q323" s="82">
        <f t="shared" si="50"/>
        <v>99814.84926301369</v>
      </c>
      <c r="R323" s="125">
        <f t="shared" si="50"/>
        <v>21</v>
      </c>
      <c r="S323" s="126">
        <f>S216+S227+S228+S229+S234+S237+S238+S268+S269+S270+S273+S274+S278+S279+S284+S285+S287+S288+S289+S292+S294+S296+S297+S298+S301+S303+S304+S306+S307+S321</f>
        <v>4427.7220399999997</v>
      </c>
      <c r="T323" s="83">
        <f t="shared" si="50"/>
        <v>8</v>
      </c>
      <c r="U323" s="83">
        <f t="shared" si="50"/>
        <v>1</v>
      </c>
      <c r="V323" s="83">
        <f t="shared" si="50"/>
        <v>1</v>
      </c>
      <c r="W323" s="83">
        <f>W216+W227+W228+W229+W234+W237+W238+W268+W269+W270+W273+W274+W278+W279+W284+W285+W287+W288+W289+W292+W294+W296+W297+W298+W301+W303+W304+W306+W307+W321</f>
        <v>333</v>
      </c>
      <c r="Z323" s="21"/>
      <c r="AB323" s="21"/>
      <c r="AG323" s="294"/>
      <c r="AH323" s="294"/>
      <c r="AI323" s="294"/>
      <c r="AJ323" s="26"/>
      <c r="AK323" s="374"/>
      <c r="AL323" s="374"/>
      <c r="AO323" s="294"/>
      <c r="AQ323" s="20"/>
      <c r="AR323" s="374"/>
      <c r="AZ323" s="374"/>
      <c r="BE323" s="26"/>
      <c r="BF323" s="26"/>
      <c r="BG323" s="26"/>
      <c r="BH323" s="26"/>
      <c r="BI323" s="26"/>
      <c r="BJ323" s="26"/>
      <c r="BK323" s="26"/>
      <c r="BL323" s="26"/>
      <c r="BS323" s="20"/>
      <c r="BT323" s="26"/>
      <c r="BV323" s="381"/>
      <c r="BW323" s="229"/>
    </row>
    <row r="324" spans="2:75" x14ac:dyDescent="0.2">
      <c r="M324" s="20"/>
      <c r="R324" s="26"/>
      <c r="W324" s="26">
        <f>+COUNTA(W201:W321)-4</f>
        <v>75</v>
      </c>
      <c r="Z324" s="21"/>
      <c r="AB324" s="21"/>
      <c r="AG324" s="294"/>
      <c r="AH324" s="294"/>
      <c r="AI324" s="294"/>
      <c r="AJ324" s="26"/>
      <c r="AK324" s="374"/>
      <c r="AL324" s="374"/>
      <c r="AO324" s="294"/>
      <c r="AQ324" s="20"/>
      <c r="AR324" s="374"/>
      <c r="AZ324" s="374"/>
      <c r="BE324" s="26"/>
      <c r="BF324" s="26"/>
      <c r="BG324" s="26"/>
      <c r="BH324" s="26"/>
      <c r="BI324" s="26"/>
      <c r="BJ324" s="26"/>
      <c r="BK324" s="26"/>
      <c r="BL324" s="26"/>
      <c r="BS324" s="20"/>
      <c r="BT324" s="26"/>
      <c r="BV324" s="381"/>
      <c r="BW324" s="229"/>
    </row>
    <row r="325" spans="2:75" x14ac:dyDescent="0.2">
      <c r="M325" s="20"/>
      <c r="R325" s="26"/>
      <c r="Z325" s="21"/>
      <c r="AB325" s="21"/>
      <c r="AG325" s="294"/>
      <c r="AH325" s="294"/>
      <c r="AI325" s="294"/>
      <c r="AJ325" s="26"/>
      <c r="AK325" s="374"/>
      <c r="AL325" s="374"/>
      <c r="AO325" s="294"/>
      <c r="AQ325" s="20"/>
      <c r="AR325" s="374"/>
      <c r="AZ325" s="374"/>
      <c r="BE325" s="26"/>
      <c r="BF325" s="26"/>
      <c r="BG325" s="26"/>
      <c r="BH325" s="26"/>
      <c r="BI325" s="26"/>
      <c r="BJ325" s="26"/>
      <c r="BK325" s="26"/>
      <c r="BL325" s="26"/>
      <c r="BS325" s="20"/>
      <c r="BT325" s="26"/>
      <c r="BV325" s="381"/>
      <c r="BW325" s="229"/>
    </row>
    <row r="326" spans="2:75" x14ac:dyDescent="0.2">
      <c r="H326" t="s">
        <v>5566</v>
      </c>
      <c r="M326" s="20"/>
      <c r="R326" s="26"/>
      <c r="X326" t="s">
        <v>8177</v>
      </c>
      <c r="Z326" s="21"/>
      <c r="AB326" s="21"/>
      <c r="AG326" s="294"/>
      <c r="AH326" s="294"/>
      <c r="AI326" s="294"/>
      <c r="AJ326" s="26"/>
      <c r="AK326" s="374"/>
      <c r="AL326" s="374"/>
      <c r="AO326" s="294"/>
      <c r="AQ326" s="20"/>
      <c r="AR326" s="374"/>
      <c r="AZ326" s="374"/>
      <c r="BE326" s="26"/>
      <c r="BF326" s="26"/>
      <c r="BG326" s="26"/>
      <c r="BH326" s="26"/>
      <c r="BI326" s="26"/>
      <c r="BJ326" s="26"/>
      <c r="BK326" s="26"/>
      <c r="BL326" s="26"/>
      <c r="BS326" s="20"/>
      <c r="BT326" s="26"/>
      <c r="BV326" s="381"/>
      <c r="BW326" s="229"/>
    </row>
    <row r="327" spans="2:75" x14ac:dyDescent="0.2">
      <c r="H327" t="s">
        <v>2969</v>
      </c>
      <c r="M327" s="20"/>
      <c r="R327" s="26"/>
      <c r="Z327" s="21"/>
      <c r="AB327" s="21"/>
      <c r="AG327" s="294"/>
      <c r="AH327" s="294"/>
      <c r="AI327" s="294"/>
      <c r="AJ327" s="26"/>
      <c r="AK327" s="374"/>
      <c r="AL327" s="374"/>
      <c r="AO327" s="294"/>
      <c r="AQ327" s="20"/>
      <c r="AR327" s="374"/>
      <c r="AZ327" s="374"/>
      <c r="BE327" s="26"/>
      <c r="BF327" s="26"/>
      <c r="BG327" s="26"/>
      <c r="BH327" s="26"/>
      <c r="BI327" s="26"/>
      <c r="BJ327" s="26"/>
      <c r="BK327" s="26"/>
      <c r="BL327" s="26"/>
      <c r="BS327" s="20"/>
      <c r="BT327" s="26"/>
      <c r="BV327" s="381"/>
      <c r="BW327" s="229"/>
    </row>
    <row r="328" spans="2:75" x14ac:dyDescent="0.2">
      <c r="B328" t="s">
        <v>5568</v>
      </c>
      <c r="M328" s="20"/>
      <c r="R328" s="26"/>
      <c r="Z328" s="21"/>
      <c r="AB328" s="21"/>
      <c r="AG328" s="294"/>
      <c r="AH328" s="294"/>
      <c r="AI328" s="294"/>
      <c r="AJ328" s="26"/>
      <c r="AK328" s="374"/>
      <c r="AL328" s="374"/>
      <c r="AO328" s="294"/>
      <c r="AQ328" s="20"/>
      <c r="AR328" s="374"/>
      <c r="AZ328" s="374"/>
      <c r="BE328" s="26"/>
      <c r="BF328" s="26"/>
      <c r="BG328" s="26"/>
      <c r="BH328" s="26"/>
      <c r="BI328" s="26"/>
      <c r="BJ328" s="26"/>
      <c r="BK328" s="26"/>
      <c r="BL328" s="26"/>
      <c r="BS328" s="20"/>
      <c r="BT328" s="26"/>
      <c r="BV328" s="381"/>
      <c r="BW328" s="229"/>
    </row>
    <row r="329" spans="2:75" x14ac:dyDescent="0.2">
      <c r="B329" s="127" t="s">
        <v>1402</v>
      </c>
      <c r="C329" s="128"/>
      <c r="D329" s="257"/>
      <c r="E329" s="128"/>
      <c r="F329" s="129"/>
      <c r="M329" s="20"/>
      <c r="R329" s="26"/>
      <c r="Z329" s="21"/>
      <c r="AB329" s="21"/>
      <c r="AG329" s="294"/>
      <c r="AH329" s="294"/>
      <c r="AI329" s="294"/>
      <c r="AJ329" s="26"/>
      <c r="AK329" s="374"/>
      <c r="AL329" s="374"/>
      <c r="AO329" s="294"/>
      <c r="AQ329" s="20"/>
      <c r="AR329" s="374"/>
      <c r="AZ329" s="374"/>
      <c r="BE329" s="26"/>
      <c r="BF329" s="26"/>
      <c r="BG329" s="26"/>
      <c r="BH329" s="26"/>
      <c r="BI329" s="26"/>
      <c r="BJ329" s="26"/>
      <c r="BK329" s="26"/>
      <c r="BL329" s="26"/>
      <c r="BS329" s="20"/>
      <c r="BT329" s="26"/>
      <c r="BV329" s="381"/>
      <c r="BW329" s="229"/>
    </row>
    <row r="330" spans="2:75" x14ac:dyDescent="0.2">
      <c r="B330" s="94" t="s">
        <v>1403</v>
      </c>
      <c r="C330" s="87" t="s">
        <v>1404</v>
      </c>
      <c r="D330" s="258" t="s">
        <v>1405</v>
      </c>
      <c r="E330" s="87" t="s">
        <v>1404</v>
      </c>
      <c r="F330" s="87" t="s">
        <v>1405</v>
      </c>
      <c r="M330" s="20"/>
      <c r="R330" s="26"/>
      <c r="Z330" s="21"/>
      <c r="AB330" s="21"/>
      <c r="AG330" s="294"/>
      <c r="AH330" s="294"/>
      <c r="AI330" s="294"/>
      <c r="AJ330" s="26"/>
      <c r="AK330" s="374"/>
      <c r="AL330" s="374"/>
      <c r="AO330" s="294"/>
      <c r="AQ330" s="20"/>
      <c r="AR330" s="374"/>
      <c r="AZ330" s="374"/>
      <c r="BE330" s="26"/>
      <c r="BF330" s="26"/>
      <c r="BG330" s="26"/>
      <c r="BH330" s="26"/>
      <c r="BI330" s="26"/>
      <c r="BJ330" s="26"/>
      <c r="BK330" s="26"/>
      <c r="BL330" s="26"/>
      <c r="BS330" s="20"/>
      <c r="BT330" s="26"/>
      <c r="BV330" s="381"/>
      <c r="BW330" s="229"/>
    </row>
    <row r="331" spans="2:75" x14ac:dyDescent="0.2">
      <c r="B331" s="94" t="s">
        <v>1340</v>
      </c>
      <c r="C331" s="130">
        <f>E331/$E$337</f>
        <v>0.16169154228855723</v>
      </c>
      <c r="D331" s="259">
        <f t="shared" ref="D331:D336" si="51">F331/$F$337</f>
        <v>0.13097514340344169</v>
      </c>
      <c r="E331" s="58">
        <f>L200</f>
        <v>65</v>
      </c>
      <c r="F331" s="29">
        <f>[1]Analysis!K94</f>
        <v>1096</v>
      </c>
      <c r="M331" s="20"/>
      <c r="R331" s="26"/>
      <c r="Z331" s="21"/>
      <c r="AB331" s="21"/>
      <c r="AG331" s="294"/>
      <c r="AH331" s="294"/>
      <c r="AI331" s="294"/>
      <c r="AJ331" s="26"/>
      <c r="AK331" s="374"/>
      <c r="AL331" s="374"/>
      <c r="AO331" s="294"/>
      <c r="AQ331" s="20"/>
      <c r="AR331" s="374"/>
      <c r="AZ331" s="374"/>
      <c r="BE331" s="26"/>
      <c r="BF331" s="26"/>
      <c r="BG331" s="26"/>
      <c r="BH331" s="26"/>
      <c r="BI331" s="26"/>
      <c r="BJ331" s="26"/>
      <c r="BK331" s="26"/>
      <c r="BL331" s="26"/>
      <c r="BS331" s="20"/>
      <c r="BT331" s="26"/>
      <c r="BV331" s="381"/>
      <c r="BW331" s="229"/>
    </row>
    <row r="332" spans="2:75" x14ac:dyDescent="0.2">
      <c r="B332" s="165" t="s">
        <v>1352</v>
      </c>
      <c r="C332" s="131">
        <f t="shared" ref="C332:C336" si="52">E332/$E$337</f>
        <v>0.47512437810945274</v>
      </c>
      <c r="D332" s="260">
        <f t="shared" si="51"/>
        <v>0.81620458891013381</v>
      </c>
      <c r="E332" s="38">
        <f>L226</f>
        <v>191</v>
      </c>
      <c r="F332" s="23">
        <f>[1]Analysis!K120</f>
        <v>6830</v>
      </c>
      <c r="M332" s="20"/>
      <c r="R332" s="26"/>
      <c r="Z332" s="21"/>
      <c r="AB332" s="21"/>
      <c r="AG332" s="294"/>
      <c r="AH332" s="294"/>
      <c r="AI332" s="294"/>
      <c r="AJ332" s="26"/>
      <c r="AK332" s="374"/>
      <c r="AL332" s="374"/>
      <c r="AO332" s="294"/>
      <c r="AQ332" s="20"/>
      <c r="AR332" s="374"/>
      <c r="AZ332" s="374"/>
      <c r="BE332" s="26"/>
      <c r="BF332" s="26"/>
      <c r="BG332" s="26"/>
      <c r="BH332" s="26"/>
      <c r="BI332" s="26"/>
      <c r="BJ332" s="26"/>
      <c r="BK332" s="26"/>
      <c r="BL332" s="26"/>
      <c r="BS332" s="20"/>
      <c r="BT332" s="26"/>
      <c r="BV332" s="381"/>
      <c r="BW332" s="229"/>
    </row>
    <row r="333" spans="2:75" x14ac:dyDescent="0.2">
      <c r="B333" s="165" t="s">
        <v>1358</v>
      </c>
      <c r="C333" s="166">
        <f t="shared" si="52"/>
        <v>7.462686567164179E-3</v>
      </c>
      <c r="D333" s="261">
        <f t="shared" si="51"/>
        <v>1.0038240917782026E-2</v>
      </c>
      <c r="E333" s="38">
        <f>+L250</f>
        <v>3</v>
      </c>
      <c r="F333" s="23">
        <f>[1]Analysis!K144</f>
        <v>84</v>
      </c>
      <c r="M333" s="20"/>
      <c r="R333" s="26"/>
      <c r="Z333" s="21"/>
      <c r="AB333" s="21"/>
      <c r="AG333" s="294"/>
      <c r="AH333" s="294"/>
      <c r="AI333" s="294"/>
      <c r="AJ333" s="26"/>
      <c r="AK333" s="374"/>
      <c r="AL333" s="374"/>
      <c r="AO333" s="294"/>
      <c r="AQ333" s="20"/>
      <c r="AR333" s="374"/>
      <c r="AZ333" s="374"/>
      <c r="BE333" s="26"/>
      <c r="BF333" s="26"/>
      <c r="BG333" s="26"/>
      <c r="BH333" s="26"/>
      <c r="BI333" s="26"/>
      <c r="BJ333" s="26"/>
      <c r="BK333" s="26"/>
      <c r="BL333" s="26"/>
      <c r="BS333" s="20"/>
      <c r="BT333" s="26"/>
      <c r="BV333" s="381"/>
      <c r="BW333" s="229"/>
    </row>
    <row r="334" spans="2:75" x14ac:dyDescent="0.2">
      <c r="B334" s="165" t="s">
        <v>1375</v>
      </c>
      <c r="C334" s="131">
        <f t="shared" si="52"/>
        <v>0.33582089552238809</v>
      </c>
      <c r="D334" s="261">
        <f t="shared" si="51"/>
        <v>2.9517208413001914E-2</v>
      </c>
      <c r="E334" s="38">
        <f>L266</f>
        <v>135</v>
      </c>
      <c r="F334" s="23">
        <f>[1]Analysis!K160</f>
        <v>247</v>
      </c>
      <c r="M334" s="20"/>
      <c r="R334" s="26"/>
      <c r="Z334" s="21"/>
      <c r="AB334" s="21"/>
      <c r="AG334" s="294"/>
      <c r="AH334" s="294"/>
      <c r="AI334" s="294"/>
      <c r="AJ334" s="26"/>
      <c r="AK334" s="374"/>
      <c r="AL334" s="374"/>
      <c r="AO334" s="294"/>
      <c r="AQ334" s="20"/>
      <c r="AR334" s="374"/>
      <c r="AZ334" s="374"/>
      <c r="BE334" s="26"/>
      <c r="BF334" s="26"/>
      <c r="BG334" s="26"/>
      <c r="BH334" s="26"/>
      <c r="BI334" s="26"/>
      <c r="BJ334" s="26"/>
      <c r="BK334" s="26"/>
      <c r="BL334" s="26"/>
      <c r="BS334" s="20"/>
      <c r="BT334" s="26"/>
      <c r="BV334" s="381"/>
      <c r="BW334" s="229"/>
    </row>
    <row r="335" spans="2:75" x14ac:dyDescent="0.2">
      <c r="B335" s="165" t="s">
        <v>1393</v>
      </c>
      <c r="C335" s="131">
        <f t="shared" si="52"/>
        <v>1.9900497512437811E-2</v>
      </c>
      <c r="D335" s="261">
        <f t="shared" si="51"/>
        <v>1.3264818355640536E-2</v>
      </c>
      <c r="E335" s="38">
        <f>L309</f>
        <v>8</v>
      </c>
      <c r="F335" s="23">
        <f>[1]Analysis!K203</f>
        <v>111</v>
      </c>
      <c r="M335" s="20"/>
      <c r="R335" s="26"/>
      <c r="Z335" s="21"/>
      <c r="AB335" s="21"/>
      <c r="AG335" s="294"/>
      <c r="AH335" s="294"/>
      <c r="AI335" s="294"/>
      <c r="AJ335" s="26"/>
      <c r="AK335" s="374"/>
      <c r="AL335" s="374"/>
      <c r="AO335" s="294"/>
      <c r="AQ335" s="20"/>
      <c r="AR335" s="374"/>
      <c r="AZ335" s="374"/>
      <c r="BE335" s="26"/>
      <c r="BF335" s="26"/>
      <c r="BG335" s="26"/>
      <c r="BH335" s="26"/>
      <c r="BI335" s="26"/>
      <c r="BJ335" s="26"/>
      <c r="BK335" s="26"/>
      <c r="BL335" s="26"/>
      <c r="BS335" s="20"/>
      <c r="BT335" s="26"/>
      <c r="BV335" s="381"/>
      <c r="BW335" s="229"/>
    </row>
    <row r="336" spans="2:75" x14ac:dyDescent="0.2">
      <c r="B336" s="91" t="s">
        <v>2410</v>
      </c>
      <c r="C336" s="180">
        <f t="shared" si="52"/>
        <v>0.20398009950248755</v>
      </c>
      <c r="D336" s="262">
        <f t="shared" si="51"/>
        <v>1.5654875717017208E-2</v>
      </c>
      <c r="E336" s="82">
        <f>+L323</f>
        <v>82</v>
      </c>
      <c r="F336" s="83">
        <f>+[1]Analysis!$K$218</f>
        <v>131</v>
      </c>
      <c r="M336" s="20"/>
      <c r="R336" s="26"/>
      <c r="Z336" s="21"/>
      <c r="AB336" s="21"/>
      <c r="AG336" s="294"/>
      <c r="AH336" s="294"/>
      <c r="AI336" s="294"/>
      <c r="AJ336" s="26"/>
      <c r="AK336" s="374"/>
      <c r="AL336" s="374"/>
      <c r="AO336" s="294"/>
      <c r="AQ336" s="20"/>
      <c r="AR336" s="374"/>
      <c r="AZ336" s="374"/>
      <c r="BE336" s="26"/>
      <c r="BF336" s="26"/>
      <c r="BG336" s="26"/>
      <c r="BH336" s="26"/>
      <c r="BI336" s="26"/>
      <c r="BJ336" s="26"/>
      <c r="BK336" s="26"/>
      <c r="BL336" s="26"/>
      <c r="BS336" s="20"/>
      <c r="BT336" s="26"/>
      <c r="BV336" s="381"/>
      <c r="BW336" s="229"/>
    </row>
    <row r="337" spans="2:75" x14ac:dyDescent="0.2">
      <c r="B337" s="132" t="s">
        <v>1202</v>
      </c>
      <c r="C337" s="178">
        <f>SUM(C331:C335)</f>
        <v>1</v>
      </c>
      <c r="D337" s="262">
        <f>SUM(D331:D335)</f>
        <v>1</v>
      </c>
      <c r="E337" s="83">
        <f>SUM(E331:E335)</f>
        <v>402</v>
      </c>
      <c r="F337" s="83">
        <f>SUM(F331:F335)</f>
        <v>8368</v>
      </c>
      <c r="M337" s="20"/>
      <c r="R337" s="26"/>
      <c r="Z337" s="21"/>
      <c r="AB337" s="21"/>
      <c r="AG337" s="294"/>
      <c r="AH337" s="294"/>
      <c r="AI337" s="294"/>
      <c r="AJ337" s="26"/>
      <c r="AK337" s="374"/>
      <c r="AL337" s="374"/>
      <c r="AO337" s="294"/>
      <c r="AQ337" s="20"/>
      <c r="AR337" s="374"/>
      <c r="AZ337" s="374"/>
      <c r="BE337" s="26"/>
      <c r="BF337" s="26"/>
      <c r="BG337" s="26"/>
      <c r="BH337" s="26"/>
      <c r="BI337" s="26"/>
      <c r="BJ337" s="26"/>
      <c r="BK337" s="26"/>
      <c r="BL337" s="26"/>
      <c r="BS337" s="20"/>
      <c r="BT337" s="26"/>
      <c r="BV337" s="381"/>
      <c r="BW337" s="229"/>
    </row>
    <row r="338" spans="2:75" x14ac:dyDescent="0.2">
      <c r="M338" s="20"/>
      <c r="R338" s="26"/>
      <c r="Z338" s="21"/>
      <c r="AB338" s="21"/>
      <c r="AG338" s="294"/>
      <c r="AH338" s="294"/>
      <c r="AI338" s="294"/>
      <c r="AJ338" s="26"/>
      <c r="AK338" s="374"/>
      <c r="AL338" s="374"/>
      <c r="AO338" s="294"/>
      <c r="AQ338" s="20"/>
      <c r="AR338" s="374"/>
      <c r="AZ338" s="374"/>
      <c r="BE338" s="26"/>
      <c r="BF338" s="26"/>
      <c r="BG338" s="26"/>
      <c r="BH338" s="26"/>
      <c r="BI338" s="26"/>
      <c r="BJ338" s="26"/>
      <c r="BK338" s="26"/>
      <c r="BL338" s="26"/>
      <c r="BS338" s="20"/>
      <c r="BT338" s="26"/>
      <c r="BV338" s="381"/>
      <c r="BW338" s="229"/>
    </row>
    <row r="339" spans="2:75" x14ac:dyDescent="0.2">
      <c r="M339" s="20"/>
      <c r="R339" s="26"/>
      <c r="Z339" s="21"/>
      <c r="AB339" s="21"/>
      <c r="AG339" s="294"/>
      <c r="AH339" s="294"/>
      <c r="AI339" s="294"/>
      <c r="AJ339" s="26"/>
      <c r="AK339" s="374"/>
      <c r="AL339" s="374"/>
      <c r="AO339" s="294"/>
      <c r="AQ339" s="20"/>
      <c r="AR339" s="374"/>
      <c r="AZ339" s="374"/>
      <c r="BE339" s="26"/>
      <c r="BF339" s="26"/>
      <c r="BG339" s="26"/>
      <c r="BH339" s="26"/>
      <c r="BI339" s="26"/>
      <c r="BJ339" s="26"/>
      <c r="BK339" s="26"/>
      <c r="BL339" s="26"/>
      <c r="BS339" s="20"/>
      <c r="BT339" s="26"/>
      <c r="BV339" s="381"/>
      <c r="BW339" s="229"/>
    </row>
    <row r="340" spans="2:75" x14ac:dyDescent="0.2">
      <c r="M340" s="20"/>
      <c r="R340" s="26"/>
      <c r="Z340" s="21"/>
      <c r="AB340" s="21"/>
      <c r="AG340" s="294"/>
      <c r="AH340" s="294"/>
      <c r="AI340" s="294"/>
      <c r="AJ340" s="26"/>
      <c r="AK340" s="374"/>
      <c r="AL340" s="374"/>
      <c r="AO340" s="294"/>
      <c r="AQ340" s="20"/>
      <c r="AR340" s="374"/>
      <c r="AZ340" s="374"/>
      <c r="BE340" s="26"/>
      <c r="BF340" s="26"/>
      <c r="BG340" s="26"/>
      <c r="BH340" s="26"/>
      <c r="BI340" s="26"/>
      <c r="BJ340" s="26"/>
      <c r="BK340" s="26"/>
      <c r="BL340" s="26"/>
      <c r="BS340" s="20"/>
      <c r="BT340" s="26"/>
      <c r="BV340" s="381"/>
      <c r="BW340" s="229"/>
    </row>
    <row r="341" spans="2:75" x14ac:dyDescent="0.2">
      <c r="M341" s="20"/>
      <c r="R341" s="26"/>
      <c r="Z341" s="21"/>
      <c r="AB341" s="21"/>
      <c r="AG341" s="294"/>
      <c r="AH341" s="294"/>
      <c r="AI341" s="294"/>
      <c r="AJ341" s="26"/>
      <c r="AK341" s="374"/>
      <c r="AL341" s="374"/>
      <c r="AO341" s="294"/>
      <c r="AQ341" s="20"/>
      <c r="AR341" s="374"/>
      <c r="AZ341" s="374"/>
      <c r="BE341" s="26"/>
      <c r="BF341" s="26"/>
      <c r="BG341" s="26"/>
      <c r="BH341" s="26"/>
      <c r="BI341" s="26"/>
      <c r="BJ341" s="26"/>
      <c r="BK341" s="26"/>
      <c r="BL341" s="26"/>
      <c r="BS341" s="20"/>
      <c r="BT341" s="26"/>
      <c r="BV341" s="381"/>
      <c r="BW341" s="229"/>
    </row>
    <row r="342" spans="2:75" x14ac:dyDescent="0.2">
      <c r="B342" t="s">
        <v>5569</v>
      </c>
      <c r="M342" s="20"/>
      <c r="R342" s="26"/>
      <c r="Z342" s="21"/>
      <c r="AB342" s="21"/>
      <c r="AG342" s="294"/>
      <c r="AH342" s="294"/>
      <c r="AI342" s="294"/>
      <c r="AJ342" s="26"/>
      <c r="AK342" s="374"/>
      <c r="AL342" s="374"/>
      <c r="AO342" s="294"/>
      <c r="AQ342" s="20"/>
      <c r="AR342" s="374"/>
      <c r="AZ342" s="374"/>
      <c r="BE342" s="26"/>
      <c r="BF342" s="26"/>
      <c r="BG342" s="26"/>
      <c r="BH342" s="26"/>
      <c r="BI342" s="26"/>
      <c r="BJ342" s="26"/>
      <c r="BK342" s="26"/>
      <c r="BL342" s="26"/>
      <c r="BS342" s="20"/>
      <c r="BT342" s="26"/>
      <c r="BV342" s="381"/>
      <c r="BW342" s="229"/>
    </row>
    <row r="343" spans="2:75" x14ac:dyDescent="0.2">
      <c r="B343" s="91" t="s">
        <v>5487</v>
      </c>
      <c r="C343" s="216" t="s">
        <v>1334</v>
      </c>
      <c r="M343" s="20"/>
      <c r="R343" s="26"/>
      <c r="Z343" s="21"/>
      <c r="AB343" s="21"/>
      <c r="AG343" s="294"/>
      <c r="AH343" s="294"/>
      <c r="AI343" s="294"/>
      <c r="AJ343" s="26"/>
      <c r="AK343" s="374"/>
      <c r="AL343" s="374"/>
      <c r="AO343" s="294"/>
      <c r="AQ343" s="20"/>
      <c r="AR343" s="374"/>
      <c r="AZ343" s="374"/>
      <c r="BE343" s="26"/>
      <c r="BF343" s="26"/>
      <c r="BG343" s="26"/>
      <c r="BH343" s="26"/>
      <c r="BI343" s="26"/>
      <c r="BJ343" s="26"/>
      <c r="BK343" s="26"/>
      <c r="BL343" s="26"/>
      <c r="BS343" s="20"/>
      <c r="BT343" s="26"/>
      <c r="BV343" s="381"/>
      <c r="BW343" s="229"/>
    </row>
    <row r="344" spans="2:75" x14ac:dyDescent="0.2">
      <c r="B344" s="8" t="s">
        <v>5474</v>
      </c>
      <c r="C344" s="22">
        <v>2</v>
      </c>
      <c r="M344" s="20"/>
      <c r="R344" s="26"/>
      <c r="Z344" s="21"/>
      <c r="AB344" s="21"/>
      <c r="AG344" s="294"/>
      <c r="AH344" s="294"/>
      <c r="AI344" s="294"/>
      <c r="AJ344" s="26"/>
      <c r="AK344" s="374"/>
      <c r="AL344" s="374"/>
      <c r="AO344" s="294"/>
      <c r="AQ344" s="20"/>
      <c r="AR344" s="374"/>
      <c r="AZ344" s="374"/>
      <c r="BE344" s="26"/>
      <c r="BF344" s="26"/>
      <c r="BG344" s="26"/>
      <c r="BH344" s="26"/>
      <c r="BI344" s="26"/>
      <c r="BJ344" s="26"/>
      <c r="BK344" s="26"/>
      <c r="BL344" s="26"/>
      <c r="BS344" s="20"/>
      <c r="BT344" s="26"/>
      <c r="BV344" s="381"/>
      <c r="BW344" s="229"/>
    </row>
    <row r="345" spans="2:75" x14ac:dyDescent="0.2">
      <c r="B345" s="8" t="s">
        <v>5478</v>
      </c>
      <c r="C345" s="22">
        <v>1</v>
      </c>
      <c r="M345" s="20"/>
      <c r="R345" s="26"/>
      <c r="Z345" s="21"/>
      <c r="AB345" s="21"/>
      <c r="AG345" s="294"/>
      <c r="AH345" s="294"/>
      <c r="AI345" s="294"/>
      <c r="AJ345" s="26"/>
      <c r="AK345" s="374"/>
      <c r="AL345" s="374"/>
      <c r="AO345" s="294"/>
      <c r="AQ345" s="20"/>
      <c r="AR345" s="374"/>
      <c r="AZ345" s="374"/>
      <c r="BE345" s="26"/>
      <c r="BF345" s="26"/>
      <c r="BG345" s="26"/>
      <c r="BH345" s="26"/>
      <c r="BI345" s="26"/>
      <c r="BJ345" s="26"/>
      <c r="BK345" s="26"/>
      <c r="BL345" s="26"/>
      <c r="BS345" s="20"/>
      <c r="BT345" s="26"/>
      <c r="BV345" s="381"/>
      <c r="BW345" s="229"/>
    </row>
    <row r="346" spans="2:75" x14ac:dyDescent="0.2">
      <c r="B346" s="16" t="s">
        <v>5489</v>
      </c>
      <c r="C346" s="59">
        <v>1</v>
      </c>
      <c r="M346" s="20"/>
      <c r="R346" s="26"/>
      <c r="Z346" s="21"/>
      <c r="AB346" s="21"/>
      <c r="AG346" s="294"/>
      <c r="AH346" s="294"/>
      <c r="AI346" s="294"/>
      <c r="AJ346" s="26"/>
      <c r="AK346" s="374"/>
      <c r="AL346" s="374"/>
      <c r="AO346" s="294"/>
      <c r="AQ346" s="20"/>
      <c r="AR346" s="374"/>
      <c r="AZ346" s="374"/>
      <c r="BE346" s="26"/>
      <c r="BF346" s="26"/>
      <c r="BG346" s="26"/>
      <c r="BH346" s="26"/>
      <c r="BI346" s="26"/>
      <c r="BJ346" s="26"/>
      <c r="BK346" s="26"/>
      <c r="BL346" s="26"/>
      <c r="BS346" s="20"/>
      <c r="BT346" s="26"/>
      <c r="BV346" s="381"/>
      <c r="BW346" s="229"/>
    </row>
    <row r="347" spans="2:75" x14ac:dyDescent="0.2">
      <c r="B347" s="14" t="s">
        <v>5479</v>
      </c>
      <c r="C347" s="63">
        <v>4</v>
      </c>
      <c r="M347" s="20"/>
      <c r="R347" s="26"/>
      <c r="Z347" s="21"/>
      <c r="AB347" s="21"/>
      <c r="AG347" s="294"/>
      <c r="AH347" s="294"/>
      <c r="AI347" s="294"/>
      <c r="AJ347" s="26"/>
      <c r="AK347" s="374"/>
      <c r="AL347" s="374"/>
      <c r="AO347" s="294"/>
      <c r="AQ347" s="20"/>
      <c r="AR347" s="374"/>
      <c r="AZ347" s="374"/>
      <c r="BE347" s="26"/>
      <c r="BF347" s="26"/>
      <c r="BG347" s="26"/>
      <c r="BH347" s="26"/>
      <c r="BI347" s="26"/>
      <c r="BJ347" s="26"/>
      <c r="BK347" s="26"/>
      <c r="BL347" s="26"/>
      <c r="BS347" s="20"/>
      <c r="BT347" s="26"/>
      <c r="BV347" s="381"/>
      <c r="BW347" s="229"/>
    </row>
    <row r="348" spans="2:75" x14ac:dyDescent="0.2">
      <c r="B348" s="16" t="s">
        <v>5485</v>
      </c>
      <c r="C348" s="59">
        <v>1</v>
      </c>
      <c r="M348" s="20"/>
      <c r="R348" s="26"/>
      <c r="Z348" s="21"/>
      <c r="AB348" s="21"/>
      <c r="AG348" s="294"/>
      <c r="AH348" s="294"/>
      <c r="AI348" s="294"/>
      <c r="AJ348" s="26"/>
      <c r="AK348" s="374"/>
      <c r="AL348" s="374"/>
      <c r="AO348" s="294"/>
      <c r="AQ348" s="20"/>
      <c r="AR348" s="374"/>
      <c r="AZ348" s="374"/>
      <c r="BE348" s="26"/>
      <c r="BF348" s="26"/>
      <c r="BG348" s="26"/>
      <c r="BH348" s="26"/>
      <c r="BI348" s="26"/>
      <c r="BJ348" s="26"/>
      <c r="BK348" s="26"/>
      <c r="BL348" s="26"/>
      <c r="BS348" s="20"/>
      <c r="BT348" s="26"/>
      <c r="BV348" s="381"/>
      <c r="BW348" s="229"/>
    </row>
    <row r="349" spans="2:75" x14ac:dyDescent="0.2">
      <c r="B349" s="14" t="s">
        <v>5484</v>
      </c>
      <c r="C349" s="63">
        <v>3</v>
      </c>
      <c r="M349" s="20"/>
      <c r="R349" s="26"/>
      <c r="Z349" s="21"/>
      <c r="AB349" s="21"/>
      <c r="AG349" s="294"/>
      <c r="AH349" s="294"/>
      <c r="AI349" s="294"/>
      <c r="AJ349" s="26"/>
      <c r="AK349" s="374"/>
      <c r="AL349" s="374"/>
      <c r="AO349" s="294"/>
      <c r="AQ349" s="20"/>
      <c r="AR349" s="374"/>
      <c r="AZ349" s="374"/>
      <c r="BE349" s="26"/>
      <c r="BF349" s="26"/>
      <c r="BG349" s="26"/>
      <c r="BH349" s="26"/>
      <c r="BI349" s="26"/>
      <c r="BJ349" s="26"/>
      <c r="BK349" s="26"/>
      <c r="BL349" s="26"/>
      <c r="BS349" s="20"/>
      <c r="BT349" s="26"/>
      <c r="BV349" s="381"/>
      <c r="BW349" s="229"/>
    </row>
    <row r="350" spans="2:75" x14ac:dyDescent="0.2">
      <c r="B350" s="8" t="s">
        <v>5477</v>
      </c>
      <c r="C350" s="22">
        <v>1</v>
      </c>
      <c r="M350" s="20"/>
      <c r="R350" s="26"/>
      <c r="Z350" s="21"/>
      <c r="AB350" s="21"/>
      <c r="AG350" s="294"/>
      <c r="AH350" s="294"/>
      <c r="AI350" s="294"/>
      <c r="AJ350" s="26"/>
      <c r="AK350" s="374"/>
      <c r="AL350" s="374"/>
      <c r="AO350" s="294"/>
      <c r="AQ350" s="20"/>
      <c r="AR350" s="374"/>
      <c r="AZ350" s="374"/>
      <c r="BE350" s="26"/>
      <c r="BF350" s="26"/>
      <c r="BG350" s="26"/>
      <c r="BH350" s="26"/>
      <c r="BI350" s="26"/>
      <c r="BJ350" s="26"/>
      <c r="BK350" s="26"/>
      <c r="BL350" s="26"/>
      <c r="BS350" s="20"/>
      <c r="BT350" s="26"/>
      <c r="BV350" s="381"/>
      <c r="BW350" s="229"/>
    </row>
    <row r="351" spans="2:75" x14ac:dyDescent="0.2">
      <c r="B351" s="15" t="s">
        <v>5483</v>
      </c>
      <c r="C351" s="126">
        <v>6</v>
      </c>
      <c r="M351" s="20"/>
      <c r="R351" s="26"/>
      <c r="Z351" s="21"/>
      <c r="AB351" s="21"/>
      <c r="AG351" s="294"/>
      <c r="AH351" s="294"/>
      <c r="AI351" s="294"/>
      <c r="AJ351" s="26"/>
      <c r="AK351" s="374"/>
      <c r="AL351" s="374"/>
      <c r="AO351" s="294"/>
      <c r="AQ351" s="20"/>
      <c r="AR351" s="374"/>
      <c r="AZ351" s="374"/>
      <c r="BE351" s="26"/>
      <c r="BF351" s="26"/>
      <c r="BG351" s="26"/>
      <c r="BH351" s="26"/>
      <c r="BI351" s="26"/>
      <c r="BJ351" s="26"/>
      <c r="BK351" s="26"/>
      <c r="BL351" s="26"/>
      <c r="BS351" s="20"/>
      <c r="BT351" s="26"/>
      <c r="BV351" s="381"/>
      <c r="BW351" s="229"/>
    </row>
    <row r="352" spans="2:75" x14ac:dyDescent="0.2">
      <c r="B352" s="8" t="s">
        <v>5490</v>
      </c>
      <c r="C352" s="22">
        <v>2</v>
      </c>
      <c r="M352" s="20"/>
      <c r="Z352" s="21"/>
      <c r="AB352" s="21"/>
      <c r="AG352" s="294"/>
      <c r="AH352" s="294"/>
      <c r="AI352" s="294"/>
      <c r="AJ352" s="26"/>
      <c r="AK352" s="374"/>
      <c r="AL352" s="374"/>
      <c r="AO352" s="294"/>
      <c r="AQ352" s="20"/>
      <c r="AR352" s="374"/>
      <c r="AZ352" s="374"/>
      <c r="BE352" s="26"/>
      <c r="BF352" s="26"/>
      <c r="BG352" s="26"/>
      <c r="BH352" s="26"/>
      <c r="BI352" s="26"/>
      <c r="BJ352" s="26"/>
      <c r="BK352" s="26"/>
      <c r="BL352" s="26"/>
      <c r="BS352" s="20"/>
      <c r="BT352" s="26"/>
      <c r="BV352" s="381"/>
      <c r="BW352" s="229"/>
    </row>
    <row r="353" spans="2:75" x14ac:dyDescent="0.2">
      <c r="B353" s="16" t="s">
        <v>5476</v>
      </c>
      <c r="C353" s="59">
        <v>1</v>
      </c>
      <c r="Z353" s="21"/>
      <c r="AB353" s="21"/>
      <c r="AG353" s="294"/>
      <c r="AH353" s="294"/>
      <c r="AI353" s="294"/>
      <c r="AJ353" s="26"/>
      <c r="AK353" s="374"/>
      <c r="AL353" s="374"/>
      <c r="AO353" s="294"/>
      <c r="AQ353" s="20"/>
      <c r="AR353" s="374"/>
      <c r="AZ353" s="374"/>
      <c r="BE353" s="26"/>
      <c r="BF353" s="26"/>
      <c r="BG353" s="26"/>
      <c r="BH353" s="26"/>
      <c r="BI353" s="26"/>
      <c r="BJ353" s="26"/>
      <c r="BK353" s="26"/>
      <c r="BL353" s="26"/>
      <c r="BS353" s="20"/>
      <c r="BT353" s="26"/>
      <c r="BV353" s="381"/>
      <c r="BW353" s="229"/>
    </row>
    <row r="354" spans="2:75" x14ac:dyDescent="0.2">
      <c r="B354" s="8" t="s">
        <v>5486</v>
      </c>
      <c r="C354" s="22">
        <v>3</v>
      </c>
      <c r="Z354" s="21"/>
      <c r="AB354" s="21"/>
      <c r="AG354" s="294"/>
      <c r="AH354" s="294"/>
      <c r="AI354" s="294"/>
      <c r="AJ354" s="26"/>
      <c r="AK354" s="374"/>
      <c r="AL354" s="374"/>
      <c r="AO354" s="294"/>
      <c r="AQ354" s="20"/>
      <c r="AR354" s="374"/>
      <c r="AZ354" s="374"/>
      <c r="BE354" s="26"/>
      <c r="BF354" s="26"/>
      <c r="BG354" s="26"/>
      <c r="BH354" s="26"/>
      <c r="BI354" s="26"/>
      <c r="BJ354" s="26"/>
      <c r="BK354" s="26"/>
      <c r="BL354" s="26"/>
      <c r="BS354" s="20"/>
      <c r="BT354" s="26"/>
      <c r="BV354" s="381"/>
      <c r="BW354" s="229"/>
    </row>
    <row r="355" spans="2:75" x14ac:dyDescent="0.2">
      <c r="B355" s="8" t="s">
        <v>5480</v>
      </c>
      <c r="C355" s="22">
        <v>18</v>
      </c>
      <c r="Z355" s="21"/>
      <c r="AB355" s="21"/>
      <c r="AG355" s="294"/>
      <c r="AH355" s="294"/>
      <c r="AI355" s="294"/>
      <c r="AJ355" s="26"/>
      <c r="AK355" s="374"/>
      <c r="AL355" s="374"/>
      <c r="AO355" s="294"/>
      <c r="AQ355" s="20"/>
      <c r="AR355" s="374"/>
      <c r="AZ355" s="374"/>
      <c r="BE355" s="26"/>
      <c r="BF355" s="26"/>
      <c r="BG355" s="26"/>
      <c r="BH355" s="26"/>
      <c r="BI355" s="26"/>
      <c r="BJ355" s="26"/>
      <c r="BK355" s="26"/>
      <c r="BL355" s="26"/>
      <c r="BS355" s="20"/>
      <c r="BT355" s="26"/>
      <c r="BV355" s="381"/>
      <c r="BW355" s="229"/>
    </row>
    <row r="356" spans="2:75" x14ac:dyDescent="0.2">
      <c r="B356" s="8" t="s">
        <v>5481</v>
      </c>
      <c r="C356" s="22">
        <v>15</v>
      </c>
      <c r="Z356" s="21"/>
      <c r="AB356" s="21"/>
      <c r="AG356" s="294"/>
      <c r="AH356" s="294"/>
      <c r="AI356" s="294"/>
      <c r="AJ356" s="26"/>
      <c r="AK356" s="374"/>
      <c r="AL356" s="374"/>
      <c r="AO356" s="294"/>
      <c r="AQ356" s="20"/>
      <c r="AR356" s="374"/>
      <c r="AZ356" s="374"/>
      <c r="BE356" s="26"/>
      <c r="BF356" s="26"/>
      <c r="BG356" s="26"/>
      <c r="BH356" s="26"/>
      <c r="BI356" s="26"/>
      <c r="BJ356" s="26"/>
      <c r="BK356" s="26"/>
      <c r="BL356" s="26"/>
      <c r="BS356" s="20"/>
      <c r="BT356" s="26"/>
      <c r="BV356" s="381"/>
      <c r="BW356" s="229"/>
    </row>
    <row r="357" spans="2:75" x14ac:dyDescent="0.2">
      <c r="B357" s="14" t="s">
        <v>5482</v>
      </c>
      <c r="C357" s="63">
        <v>8</v>
      </c>
      <c r="Z357" s="21"/>
      <c r="AB357" s="21"/>
      <c r="AG357" s="294"/>
      <c r="AH357" s="294"/>
      <c r="AI357" s="294"/>
      <c r="AJ357" s="26"/>
      <c r="AK357" s="374"/>
      <c r="AL357" s="374"/>
      <c r="AO357" s="294"/>
      <c r="AQ357" s="20"/>
      <c r="AR357" s="374"/>
      <c r="AZ357" s="374"/>
      <c r="BE357" s="26"/>
      <c r="BF357" s="26"/>
      <c r="BG357" s="26"/>
      <c r="BH357" s="26"/>
      <c r="BI357" s="26"/>
      <c r="BJ357" s="26"/>
      <c r="BK357" s="26"/>
      <c r="BL357" s="26"/>
      <c r="BS357" s="20"/>
      <c r="BT357" s="26"/>
      <c r="BV357" s="381"/>
      <c r="BW357" s="229"/>
    </row>
    <row r="358" spans="2:75" x14ac:dyDescent="0.2">
      <c r="B358" s="217" t="s">
        <v>5488</v>
      </c>
      <c r="C358" s="85">
        <f>SUM(C344:C357)</f>
        <v>66</v>
      </c>
      <c r="Z358" s="21"/>
      <c r="AB358" s="21"/>
      <c r="AG358" s="294"/>
      <c r="AH358" s="294"/>
      <c r="AI358" s="294"/>
      <c r="AJ358" s="26"/>
      <c r="AK358" s="374"/>
      <c r="AL358" s="374"/>
      <c r="AO358" s="294"/>
      <c r="AQ358" s="20"/>
      <c r="AR358" s="374"/>
      <c r="AZ358" s="374"/>
      <c r="BE358" s="26"/>
      <c r="BF358" s="26"/>
      <c r="BG358" s="26"/>
      <c r="BH358" s="26"/>
      <c r="BI358" s="26"/>
      <c r="BJ358" s="26"/>
      <c r="BK358" s="26"/>
      <c r="BL358" s="26"/>
      <c r="BS358" s="20"/>
      <c r="BT358" s="26"/>
      <c r="BV358" s="381"/>
      <c r="BW358" s="229"/>
    </row>
    <row r="359" spans="2:75" x14ac:dyDescent="0.2">
      <c r="Z359" s="21"/>
      <c r="AB359" s="21"/>
      <c r="AG359" s="294"/>
      <c r="AH359" s="294"/>
      <c r="AI359" s="294"/>
      <c r="AJ359" s="26"/>
      <c r="AK359" s="374"/>
      <c r="AL359" s="374"/>
      <c r="AO359" s="294"/>
      <c r="AQ359" s="20"/>
      <c r="AR359" s="374"/>
      <c r="AZ359" s="374"/>
      <c r="BE359" s="26"/>
      <c r="BF359" s="26"/>
      <c r="BG359" s="26"/>
      <c r="BH359" s="26"/>
      <c r="BI359" s="26"/>
      <c r="BJ359" s="26"/>
      <c r="BK359" s="26"/>
      <c r="BL359" s="26"/>
      <c r="BS359" s="20"/>
      <c r="BT359" s="26"/>
      <c r="BV359" s="381"/>
      <c r="BW359" s="229"/>
    </row>
    <row r="360" spans="2:75" x14ac:dyDescent="0.2">
      <c r="Z360" s="21"/>
      <c r="AB360" s="21"/>
      <c r="AG360" s="294"/>
      <c r="AH360" s="294"/>
      <c r="AI360" s="294"/>
      <c r="AJ360" s="26"/>
      <c r="AK360" s="374"/>
      <c r="AL360" s="374"/>
      <c r="AO360" s="294"/>
      <c r="AQ360" s="20"/>
      <c r="AR360" s="374"/>
      <c r="AZ360" s="374"/>
      <c r="BE360" s="26"/>
      <c r="BF360" s="26"/>
      <c r="BG360" s="26"/>
      <c r="BH360" s="26"/>
      <c r="BI360" s="26"/>
      <c r="BJ360" s="26"/>
      <c r="BK360" s="26"/>
      <c r="BL360" s="26"/>
      <c r="BS360" s="20"/>
      <c r="BT360" s="26"/>
      <c r="BV360" s="381"/>
      <c r="BW360" s="229"/>
    </row>
    <row r="361" spans="2:75" x14ac:dyDescent="0.2">
      <c r="Z361" s="21"/>
      <c r="AB361" s="21"/>
      <c r="AG361" s="294"/>
      <c r="AH361" s="294"/>
      <c r="AI361" s="294"/>
      <c r="AJ361" s="26"/>
      <c r="AK361" s="374"/>
      <c r="AL361" s="374"/>
      <c r="AO361" s="294"/>
      <c r="AQ361" s="20"/>
      <c r="AR361" s="374"/>
      <c r="AZ361" s="374"/>
      <c r="BE361" s="26"/>
      <c r="BF361" s="26"/>
      <c r="BG361" s="26"/>
      <c r="BH361" s="26"/>
      <c r="BI361" s="26"/>
      <c r="BJ361" s="26"/>
      <c r="BK361" s="26"/>
      <c r="BL361" s="26"/>
      <c r="BS361" s="20"/>
      <c r="BT361" s="26"/>
      <c r="BV361" s="381"/>
      <c r="BW361" s="229"/>
    </row>
    <row r="362" spans="2:75" x14ac:dyDescent="0.2">
      <c r="Z362" s="21"/>
      <c r="AB362" s="21"/>
      <c r="AG362" s="294"/>
      <c r="AH362" s="294"/>
      <c r="AI362" s="294"/>
      <c r="AJ362" s="26"/>
      <c r="AK362" s="374"/>
      <c r="AL362" s="374"/>
      <c r="AO362" s="294"/>
      <c r="AQ362" s="20"/>
      <c r="AR362" s="374"/>
      <c r="AZ362" s="374"/>
      <c r="BE362" s="26"/>
      <c r="BF362" s="26"/>
      <c r="BG362" s="26"/>
      <c r="BH362" s="26"/>
      <c r="BI362" s="26"/>
      <c r="BJ362" s="26"/>
      <c r="BK362" s="26"/>
      <c r="BL362" s="26"/>
      <c r="BS362" s="20"/>
      <c r="BT362" s="26"/>
      <c r="BV362" s="381"/>
      <c r="BW362" s="229"/>
    </row>
    <row r="363" spans="2:75" x14ac:dyDescent="0.2">
      <c r="Z363" s="21"/>
      <c r="AB363" s="21"/>
      <c r="AG363" s="294"/>
      <c r="AH363" s="294"/>
      <c r="AI363" s="294"/>
      <c r="AJ363" s="26"/>
      <c r="AK363" s="374"/>
      <c r="AL363" s="374"/>
      <c r="AO363" s="294"/>
      <c r="AQ363" s="20"/>
      <c r="AR363" s="374"/>
      <c r="AZ363" s="374"/>
      <c r="BE363" s="26"/>
      <c r="BF363" s="26"/>
      <c r="BG363" s="26"/>
      <c r="BH363" s="26"/>
      <c r="BI363" s="26"/>
      <c r="BJ363" s="26"/>
      <c r="BK363" s="26"/>
      <c r="BL363" s="26"/>
      <c r="BS363" s="20"/>
      <c r="BT363" s="26"/>
      <c r="BV363" s="381"/>
      <c r="BW363" s="229"/>
    </row>
    <row r="364" spans="2:75" x14ac:dyDescent="0.2">
      <c r="Z364" s="21"/>
      <c r="AB364" s="21"/>
      <c r="AG364" s="294"/>
      <c r="AH364" s="294"/>
      <c r="AI364" s="294"/>
      <c r="AJ364" s="26"/>
      <c r="AK364" s="374"/>
      <c r="AL364" s="374"/>
      <c r="AO364" s="294"/>
      <c r="AQ364" s="20"/>
      <c r="AR364" s="374"/>
      <c r="AZ364" s="374"/>
      <c r="BE364" s="26"/>
      <c r="BF364" s="26"/>
      <c r="BG364" s="26"/>
      <c r="BH364" s="26"/>
      <c r="BI364" s="26"/>
      <c r="BJ364" s="26"/>
      <c r="BK364" s="26"/>
      <c r="BL364" s="26"/>
      <c r="BS364" s="20"/>
      <c r="BT364" s="26"/>
      <c r="BV364" s="381"/>
      <c r="BW364" s="229"/>
    </row>
    <row r="365" spans="2:75" x14ac:dyDescent="0.2">
      <c r="Z365" s="21"/>
      <c r="AB365" s="21"/>
      <c r="AG365" s="294"/>
      <c r="AH365" s="294"/>
      <c r="AI365" s="294"/>
      <c r="AJ365" s="26"/>
      <c r="AK365" s="374"/>
      <c r="AL365" s="374"/>
      <c r="AO365" s="294"/>
      <c r="AQ365" s="20"/>
      <c r="AR365" s="374"/>
      <c r="AZ365" s="374"/>
      <c r="BE365" s="26"/>
      <c r="BF365" s="26"/>
      <c r="BG365" s="26"/>
      <c r="BH365" s="26"/>
      <c r="BI365" s="26"/>
      <c r="BJ365" s="26"/>
      <c r="BK365" s="26"/>
      <c r="BL365" s="26"/>
      <c r="BS365" s="20"/>
      <c r="BT365" s="26"/>
      <c r="BV365" s="381"/>
      <c r="BW365" s="229"/>
    </row>
    <row r="366" spans="2:75" x14ac:dyDescent="0.2">
      <c r="Z366" s="21"/>
      <c r="AB366" s="21"/>
      <c r="AG366" s="294"/>
      <c r="AH366" s="294"/>
      <c r="AI366" s="294"/>
      <c r="AJ366" s="26"/>
      <c r="AK366" s="374"/>
      <c r="AL366" s="374"/>
      <c r="AO366" s="294"/>
      <c r="AQ366" s="20"/>
      <c r="AR366" s="374"/>
      <c r="AZ366" s="374"/>
      <c r="BE366" s="26"/>
      <c r="BF366" s="26"/>
      <c r="BG366" s="26"/>
      <c r="BH366" s="26"/>
      <c r="BI366" s="26"/>
      <c r="BJ366" s="26"/>
      <c r="BK366" s="26"/>
      <c r="BL366" s="26"/>
      <c r="BS366" s="20"/>
      <c r="BT366" s="26"/>
      <c r="BV366" s="381"/>
      <c r="BW366" s="229"/>
    </row>
    <row r="367" spans="2:75" x14ac:dyDescent="0.2">
      <c r="Z367" s="21"/>
      <c r="AB367" s="21"/>
      <c r="AG367" s="294"/>
      <c r="AH367" s="294"/>
      <c r="AI367" s="294"/>
      <c r="AJ367" s="26"/>
      <c r="AK367" s="374"/>
      <c r="AL367" s="374"/>
      <c r="AO367" s="294"/>
      <c r="AQ367" s="20"/>
      <c r="AR367" s="374"/>
      <c r="AZ367" s="374"/>
      <c r="BE367" s="26"/>
      <c r="BF367" s="26"/>
      <c r="BG367" s="26"/>
      <c r="BH367" s="26"/>
      <c r="BI367" s="26"/>
      <c r="BJ367" s="26"/>
      <c r="BK367" s="26"/>
      <c r="BL367" s="26"/>
      <c r="BS367" s="20"/>
      <c r="BT367" s="26"/>
      <c r="BV367" s="381"/>
      <c r="BW367" s="229"/>
    </row>
    <row r="368" spans="2:75" x14ac:dyDescent="0.2">
      <c r="Z368" s="21"/>
      <c r="AB368" s="21"/>
      <c r="AG368" s="294"/>
      <c r="AH368" s="294"/>
      <c r="AI368" s="294"/>
      <c r="AJ368" s="26"/>
      <c r="AK368" s="374"/>
      <c r="AL368" s="374"/>
      <c r="AO368" s="294"/>
      <c r="AQ368" s="20"/>
      <c r="AR368" s="374"/>
      <c r="AZ368" s="374"/>
      <c r="BE368" s="26"/>
      <c r="BF368" s="26"/>
      <c r="BG368" s="26"/>
      <c r="BH368" s="26"/>
      <c r="BI368" s="26"/>
      <c r="BJ368" s="26"/>
      <c r="BK368" s="26"/>
      <c r="BL368" s="26"/>
      <c r="BS368" s="20"/>
      <c r="BT368" s="26"/>
      <c r="BV368" s="381"/>
      <c r="BW368" s="229"/>
    </row>
    <row r="369" spans="26:75" x14ac:dyDescent="0.2">
      <c r="Z369" s="21"/>
      <c r="AB369" s="21"/>
      <c r="AG369" s="294"/>
      <c r="AH369" s="294"/>
      <c r="AI369" s="294"/>
      <c r="AJ369" s="26"/>
      <c r="AK369" s="374"/>
      <c r="AL369" s="374"/>
      <c r="AO369" s="294"/>
      <c r="AQ369" s="20"/>
      <c r="AR369" s="374"/>
      <c r="AZ369" s="374"/>
      <c r="BE369" s="26"/>
      <c r="BF369" s="26"/>
      <c r="BG369" s="26"/>
      <c r="BH369" s="26"/>
      <c r="BI369" s="26"/>
      <c r="BJ369" s="26"/>
      <c r="BK369" s="26"/>
      <c r="BL369" s="26"/>
      <c r="BS369" s="20"/>
      <c r="BT369" s="26"/>
      <c r="BV369" s="381"/>
      <c r="BW369" s="229"/>
    </row>
    <row r="370" spans="26:75" x14ac:dyDescent="0.2">
      <c r="Z370" s="21"/>
      <c r="AB370" s="21"/>
      <c r="AG370" s="294"/>
      <c r="AH370" s="294"/>
      <c r="AI370" s="294"/>
      <c r="AJ370" s="26"/>
      <c r="AK370" s="374"/>
      <c r="AL370" s="374"/>
      <c r="AO370" s="294"/>
      <c r="AQ370" s="20"/>
      <c r="AR370" s="374"/>
      <c r="AZ370" s="374"/>
      <c r="BE370" s="26"/>
      <c r="BF370" s="26"/>
      <c r="BG370" s="26"/>
      <c r="BH370" s="26"/>
      <c r="BI370" s="26"/>
      <c r="BJ370" s="26"/>
      <c r="BK370" s="26"/>
      <c r="BL370" s="26"/>
      <c r="BS370" s="20"/>
      <c r="BT370" s="26"/>
      <c r="BV370" s="381"/>
      <c r="BW370" s="229"/>
    </row>
    <row r="371" spans="26:75" x14ac:dyDescent="0.2">
      <c r="Z371" s="21"/>
      <c r="AB371" s="21"/>
      <c r="AG371" s="294"/>
      <c r="AH371" s="294"/>
      <c r="AI371" s="294"/>
      <c r="AJ371" s="26"/>
      <c r="AK371" s="374"/>
      <c r="AL371" s="374"/>
      <c r="AO371" s="294"/>
      <c r="AQ371" s="20"/>
      <c r="AR371" s="374"/>
      <c r="AZ371" s="374"/>
      <c r="BE371" s="26"/>
      <c r="BF371" s="26"/>
      <c r="BG371" s="26"/>
      <c r="BH371" s="26"/>
      <c r="BI371" s="26"/>
      <c r="BJ371" s="26"/>
      <c r="BK371" s="26"/>
      <c r="BL371" s="26"/>
      <c r="BS371" s="20"/>
      <c r="BT371" s="26"/>
      <c r="BV371" s="381"/>
      <c r="BW371" s="229"/>
    </row>
    <row r="372" spans="26:75" x14ac:dyDescent="0.2">
      <c r="Z372" s="21"/>
      <c r="AB372" s="21"/>
      <c r="AG372" s="294"/>
      <c r="AH372" s="294"/>
      <c r="AI372" s="294"/>
      <c r="AJ372" s="26"/>
      <c r="AK372" s="374"/>
      <c r="AL372" s="374"/>
      <c r="AO372" s="294"/>
      <c r="AQ372" s="20"/>
      <c r="AR372" s="374"/>
      <c r="AZ372" s="374"/>
      <c r="BE372" s="26"/>
      <c r="BF372" s="26"/>
      <c r="BG372" s="26"/>
      <c r="BH372" s="26"/>
      <c r="BI372" s="26"/>
      <c r="BJ372" s="26"/>
      <c r="BK372" s="26"/>
      <c r="BL372" s="26"/>
      <c r="BS372" s="20"/>
      <c r="BT372" s="26"/>
      <c r="BV372" s="381"/>
      <c r="BW372" s="229"/>
    </row>
    <row r="373" spans="26:75" x14ac:dyDescent="0.2">
      <c r="Z373" s="21"/>
      <c r="AB373" s="21"/>
      <c r="AG373" s="294"/>
      <c r="AH373" s="294"/>
      <c r="AI373" s="294"/>
      <c r="AJ373" s="26"/>
      <c r="AK373" s="374"/>
      <c r="AL373" s="374"/>
      <c r="AO373" s="294"/>
      <c r="AQ373" s="20"/>
      <c r="AR373" s="374"/>
      <c r="AZ373" s="374"/>
      <c r="BE373" s="26"/>
      <c r="BF373" s="26"/>
      <c r="BG373" s="26"/>
      <c r="BH373" s="26"/>
      <c r="BI373" s="26"/>
      <c r="BJ373" s="26"/>
      <c r="BK373" s="26"/>
      <c r="BL373" s="26"/>
      <c r="BS373" s="20"/>
      <c r="BT373" s="26"/>
      <c r="BV373" s="381"/>
      <c r="BW373" s="229"/>
    </row>
    <row r="374" spans="26:75" x14ac:dyDescent="0.2">
      <c r="Z374" s="21"/>
      <c r="AB374" s="21"/>
      <c r="AG374" s="294"/>
      <c r="AH374" s="294"/>
      <c r="AI374" s="294"/>
      <c r="AJ374" s="26"/>
      <c r="AK374" s="374"/>
      <c r="AL374" s="374"/>
      <c r="AO374" s="294"/>
      <c r="AQ374" s="20"/>
      <c r="AR374" s="374"/>
      <c r="AZ374" s="374"/>
      <c r="BE374" s="26"/>
      <c r="BF374" s="26"/>
      <c r="BG374" s="26"/>
      <c r="BH374" s="26"/>
      <c r="BI374" s="26"/>
      <c r="BJ374" s="26"/>
      <c r="BK374" s="26"/>
      <c r="BL374" s="26"/>
      <c r="BS374" s="20"/>
      <c r="BT374" s="26"/>
      <c r="BV374" s="381"/>
      <c r="BW374" s="229"/>
    </row>
    <row r="375" spans="26:75" x14ac:dyDescent="0.2">
      <c r="Z375" s="21"/>
      <c r="AB375" s="21"/>
      <c r="AG375" s="294"/>
      <c r="AH375" s="294"/>
      <c r="AI375" s="294"/>
      <c r="AJ375" s="26"/>
      <c r="AK375" s="374"/>
      <c r="AL375" s="374"/>
      <c r="AO375" s="294"/>
      <c r="AQ375" s="20"/>
      <c r="AR375" s="374"/>
      <c r="AZ375" s="374"/>
      <c r="BE375" s="26"/>
      <c r="BF375" s="26"/>
      <c r="BG375" s="26"/>
      <c r="BH375" s="26"/>
      <c r="BI375" s="26"/>
      <c r="BJ375" s="26"/>
      <c r="BK375" s="26"/>
      <c r="BL375" s="26"/>
      <c r="BS375" s="20"/>
      <c r="BT375" s="26"/>
      <c r="BV375" s="381"/>
      <c r="BW375" s="229"/>
    </row>
    <row r="376" spans="26:75" x14ac:dyDescent="0.2">
      <c r="Z376" s="21"/>
      <c r="AB376" s="21"/>
      <c r="AG376" s="294"/>
      <c r="AH376" s="294"/>
      <c r="AI376" s="294"/>
      <c r="AJ376" s="26"/>
      <c r="AK376" s="374"/>
      <c r="AL376" s="374"/>
      <c r="AO376" s="294"/>
      <c r="AQ376" s="20"/>
      <c r="AR376" s="374"/>
      <c r="AZ376" s="374"/>
      <c r="BE376" s="26"/>
      <c r="BF376" s="26"/>
      <c r="BG376" s="26"/>
      <c r="BH376" s="26"/>
      <c r="BI376" s="26"/>
      <c r="BJ376" s="26"/>
      <c r="BK376" s="26"/>
      <c r="BL376" s="26"/>
      <c r="BS376" s="20"/>
      <c r="BT376" s="26"/>
      <c r="BV376" s="381"/>
      <c r="BW376" s="229"/>
    </row>
    <row r="377" spans="26:75" x14ac:dyDescent="0.2">
      <c r="Z377" s="21"/>
      <c r="AB377" s="21"/>
      <c r="AG377" s="294"/>
      <c r="AH377" s="294"/>
      <c r="AI377" s="294"/>
      <c r="AJ377" s="26"/>
      <c r="AK377" s="374"/>
      <c r="AL377" s="374"/>
      <c r="AO377" s="294"/>
      <c r="AQ377" s="20"/>
      <c r="AR377" s="374"/>
      <c r="AZ377" s="374"/>
      <c r="BE377" s="26"/>
      <c r="BF377" s="26"/>
      <c r="BG377" s="26"/>
      <c r="BH377" s="26"/>
      <c r="BI377" s="26"/>
      <c r="BJ377" s="26"/>
      <c r="BK377" s="26"/>
      <c r="BL377" s="26"/>
      <c r="BS377" s="20"/>
      <c r="BT377" s="26"/>
      <c r="BV377" s="381"/>
      <c r="BW377" s="229"/>
    </row>
    <row r="378" spans="26:75" x14ac:dyDescent="0.2">
      <c r="Z378" s="21"/>
      <c r="AB378" s="21"/>
      <c r="AG378" s="294"/>
      <c r="AH378" s="294"/>
      <c r="AI378" s="294"/>
      <c r="AJ378" s="26"/>
      <c r="AK378" s="374"/>
      <c r="AL378" s="374"/>
      <c r="AO378" s="294"/>
      <c r="AQ378" s="20"/>
      <c r="AR378" s="374"/>
      <c r="AZ378" s="374"/>
      <c r="BE378" s="26"/>
      <c r="BF378" s="26"/>
      <c r="BG378" s="26"/>
      <c r="BH378" s="26"/>
      <c r="BI378" s="26"/>
      <c r="BJ378" s="26"/>
      <c r="BK378" s="26"/>
      <c r="BL378" s="26"/>
      <c r="BS378" s="20"/>
      <c r="BT378" s="26"/>
      <c r="BV378" s="381"/>
      <c r="BW378" s="229"/>
    </row>
    <row r="379" spans="26:75" x14ac:dyDescent="0.2">
      <c r="Z379" s="21"/>
      <c r="AB379" s="21"/>
      <c r="AG379" s="294"/>
      <c r="AH379" s="294"/>
      <c r="AI379" s="294"/>
      <c r="AJ379" s="26"/>
      <c r="AK379" s="374"/>
      <c r="AL379" s="374"/>
      <c r="AO379" s="294"/>
      <c r="AQ379" s="20"/>
      <c r="AR379" s="374"/>
      <c r="AZ379" s="374"/>
      <c r="BE379" s="26"/>
      <c r="BF379" s="26"/>
      <c r="BG379" s="26"/>
      <c r="BH379" s="26"/>
      <c r="BI379" s="26"/>
      <c r="BJ379" s="26"/>
      <c r="BK379" s="26"/>
      <c r="BL379" s="26"/>
      <c r="BS379" s="20"/>
      <c r="BT379" s="26"/>
      <c r="BV379" s="381"/>
      <c r="BW379" s="229"/>
    </row>
    <row r="380" spans="26:75" x14ac:dyDescent="0.2">
      <c r="Z380" s="21"/>
      <c r="AB380" s="21"/>
      <c r="AG380" s="294"/>
      <c r="AH380" s="294"/>
      <c r="AI380" s="294"/>
      <c r="AJ380" s="26"/>
      <c r="AK380" s="374"/>
      <c r="AL380" s="374"/>
      <c r="AO380" s="294"/>
      <c r="AQ380" s="20"/>
      <c r="AR380" s="374"/>
      <c r="AZ380" s="374"/>
      <c r="BE380" s="26"/>
      <c r="BF380" s="26"/>
      <c r="BG380" s="26"/>
      <c r="BH380" s="26"/>
      <c r="BI380" s="26"/>
      <c r="BJ380" s="26"/>
      <c r="BK380" s="26"/>
      <c r="BL380" s="26"/>
      <c r="BS380" s="20"/>
      <c r="BT380" s="26"/>
      <c r="BV380" s="381"/>
      <c r="BW380" s="229"/>
    </row>
    <row r="381" spans="26:75" x14ac:dyDescent="0.2">
      <c r="AB381" s="21"/>
      <c r="AG381" s="294"/>
      <c r="AH381" s="294"/>
      <c r="AI381" s="294"/>
      <c r="AJ381" s="26"/>
      <c r="AK381" s="374"/>
      <c r="AL381" s="374"/>
      <c r="AO381" s="294"/>
      <c r="AQ381" s="20"/>
      <c r="AR381" s="374"/>
      <c r="AZ381" s="374"/>
      <c r="BE381" s="26"/>
      <c r="BF381" s="26"/>
      <c r="BG381" s="26"/>
      <c r="BH381" s="26"/>
      <c r="BI381" s="26"/>
      <c r="BJ381" s="26"/>
      <c r="BK381" s="26"/>
      <c r="BL381" s="26"/>
      <c r="BS381" s="20"/>
      <c r="BT381" s="26"/>
      <c r="BV381" s="381"/>
      <c r="BW381" s="229"/>
    </row>
    <row r="382" spans="26:75" x14ac:dyDescent="0.2">
      <c r="AB382" s="21"/>
      <c r="AG382" s="294"/>
      <c r="AH382" s="294"/>
      <c r="AI382" s="294"/>
      <c r="AJ382" s="26"/>
      <c r="AK382" s="374"/>
      <c r="AL382" s="374"/>
      <c r="AO382" s="294"/>
      <c r="AQ382" s="20"/>
      <c r="AR382" s="374"/>
      <c r="AZ382" s="374"/>
      <c r="BE382" s="26"/>
      <c r="BF382" s="26"/>
      <c r="BG382" s="26"/>
      <c r="BH382" s="26"/>
      <c r="BI382" s="26"/>
      <c r="BJ382" s="26"/>
      <c r="BK382" s="26"/>
      <c r="BL382" s="26"/>
      <c r="BS382" s="20"/>
      <c r="BT382" s="26"/>
      <c r="BV382" s="381"/>
      <c r="BW382" s="229"/>
    </row>
    <row r="383" spans="26:75" x14ac:dyDescent="0.2">
      <c r="AB383" s="21"/>
      <c r="AG383" s="294"/>
      <c r="AH383" s="294"/>
      <c r="AI383" s="294"/>
      <c r="AJ383" s="26"/>
      <c r="AK383" s="374"/>
      <c r="AL383" s="374"/>
      <c r="AO383" s="294"/>
      <c r="AQ383" s="20"/>
      <c r="AR383" s="374"/>
      <c r="AZ383" s="374"/>
      <c r="BE383" s="26"/>
      <c r="BF383" s="26"/>
      <c r="BG383" s="26"/>
      <c r="BH383" s="26"/>
      <c r="BI383" s="26"/>
      <c r="BJ383" s="26"/>
      <c r="BK383" s="26"/>
      <c r="BL383" s="26"/>
      <c r="BS383" s="20"/>
      <c r="BT383" s="26"/>
      <c r="BV383" s="381"/>
      <c r="BW383" s="229"/>
    </row>
    <row r="384" spans="26:75" x14ac:dyDescent="0.2">
      <c r="AB384" s="21"/>
      <c r="AG384" s="294"/>
      <c r="AH384" s="294"/>
      <c r="AI384" s="294"/>
      <c r="AJ384" s="26"/>
      <c r="AK384" s="374"/>
      <c r="AL384" s="374"/>
      <c r="AO384" s="294"/>
      <c r="AQ384" s="20"/>
      <c r="AR384" s="374"/>
      <c r="AZ384" s="374"/>
      <c r="BE384" s="26"/>
      <c r="BF384" s="26"/>
      <c r="BG384" s="26"/>
      <c r="BH384" s="26"/>
      <c r="BI384" s="26"/>
      <c r="BJ384" s="26"/>
      <c r="BK384" s="26"/>
      <c r="BL384" s="26"/>
      <c r="BS384" s="20"/>
      <c r="BT384" s="26"/>
      <c r="BV384" s="381"/>
      <c r="BW384" s="229"/>
    </row>
    <row r="385" spans="3:75" x14ac:dyDescent="0.2">
      <c r="C385" s="26"/>
      <c r="AB385" s="21"/>
      <c r="AG385" s="294"/>
      <c r="AH385" s="294"/>
      <c r="AI385" s="294"/>
      <c r="AJ385" s="26"/>
      <c r="AK385" s="374"/>
      <c r="AL385" s="374"/>
      <c r="AO385" s="294"/>
      <c r="AQ385" s="20"/>
      <c r="AR385" s="374"/>
      <c r="AZ385" s="374"/>
      <c r="BE385" s="26"/>
      <c r="BF385" s="26"/>
      <c r="BG385" s="26"/>
      <c r="BH385" s="26"/>
      <c r="BI385" s="26"/>
      <c r="BJ385" s="26"/>
      <c r="BK385" s="26"/>
      <c r="BL385" s="26"/>
      <c r="BS385" s="20"/>
      <c r="BT385" s="26"/>
      <c r="BV385" s="381"/>
      <c r="BW385" s="229"/>
    </row>
    <row r="386" spans="3:75" x14ac:dyDescent="0.2">
      <c r="C386" s="26"/>
      <c r="AB386" s="21"/>
      <c r="AG386" s="294"/>
      <c r="AH386" s="294"/>
      <c r="AI386" s="294"/>
      <c r="AJ386" s="26"/>
      <c r="AK386" s="374"/>
      <c r="AL386" s="374"/>
      <c r="AO386" s="294"/>
      <c r="AQ386" s="20"/>
      <c r="AR386" s="374"/>
      <c r="AZ386" s="374"/>
      <c r="BE386" s="26"/>
      <c r="BF386" s="26"/>
      <c r="BG386" s="26"/>
      <c r="BH386" s="26"/>
      <c r="BI386" s="26"/>
      <c r="BJ386" s="26"/>
      <c r="BK386" s="26"/>
      <c r="BL386" s="26"/>
      <c r="BS386" s="20"/>
      <c r="BT386" s="26"/>
      <c r="BV386" s="381"/>
      <c r="BW386" s="229"/>
    </row>
    <row r="387" spans="3:75" x14ac:dyDescent="0.2">
      <c r="AB387" s="21"/>
      <c r="AG387" s="294"/>
      <c r="AH387" s="294"/>
      <c r="AI387" s="294"/>
      <c r="AJ387" s="26"/>
      <c r="AK387" s="374"/>
      <c r="AL387" s="374"/>
      <c r="AO387" s="294"/>
      <c r="AQ387" s="20"/>
      <c r="AR387" s="374"/>
      <c r="AZ387" s="374"/>
      <c r="BE387" s="26"/>
      <c r="BF387" s="26"/>
      <c r="BG387" s="26"/>
      <c r="BH387" s="26"/>
      <c r="BI387" s="26"/>
      <c r="BJ387" s="26"/>
      <c r="BK387" s="26"/>
      <c r="BL387" s="26"/>
      <c r="BS387" s="20"/>
      <c r="BT387" s="26"/>
      <c r="BV387" s="381"/>
      <c r="BW387" s="229"/>
    </row>
    <row r="388" spans="3:75" x14ac:dyDescent="0.2">
      <c r="AB388" s="21"/>
      <c r="AG388" s="294"/>
      <c r="AH388" s="294"/>
      <c r="AI388" s="294"/>
      <c r="AJ388" s="26"/>
      <c r="AK388" s="374"/>
      <c r="AL388" s="374"/>
      <c r="AO388" s="294"/>
      <c r="AQ388" s="20"/>
      <c r="AR388" s="374"/>
      <c r="AZ388" s="374"/>
      <c r="BE388" s="26"/>
      <c r="BF388" s="26"/>
      <c r="BG388" s="26"/>
      <c r="BH388" s="26"/>
      <c r="BI388" s="26"/>
      <c r="BJ388" s="26"/>
      <c r="BK388" s="26"/>
      <c r="BL388" s="26"/>
      <c r="BS388" s="20"/>
      <c r="BT388" s="26"/>
      <c r="BV388" s="381"/>
      <c r="BW388" s="229"/>
    </row>
    <row r="389" spans="3:75" x14ac:dyDescent="0.2">
      <c r="AB389" s="21"/>
      <c r="AG389" s="294"/>
      <c r="AH389" s="294"/>
      <c r="AI389" s="294"/>
      <c r="AJ389" s="26"/>
      <c r="AK389" s="374"/>
      <c r="AL389" s="374"/>
      <c r="AO389" s="294"/>
      <c r="AQ389" s="20"/>
      <c r="AR389" s="374"/>
      <c r="AZ389" s="374"/>
      <c r="BE389" s="26"/>
      <c r="BF389" s="26"/>
      <c r="BG389" s="26"/>
      <c r="BH389" s="26"/>
      <c r="BI389" s="26"/>
      <c r="BJ389" s="26"/>
      <c r="BK389" s="26"/>
      <c r="BL389" s="26"/>
      <c r="BS389" s="20"/>
      <c r="BT389" s="26"/>
      <c r="BV389" s="381"/>
      <c r="BW389" s="229"/>
    </row>
    <row r="390" spans="3:75" x14ac:dyDescent="0.2">
      <c r="AB390" s="21"/>
      <c r="AG390" s="294"/>
      <c r="AH390" s="294"/>
      <c r="AI390" s="294"/>
      <c r="AJ390" s="26"/>
      <c r="AK390" s="374"/>
      <c r="AL390" s="374"/>
      <c r="AO390" s="294"/>
      <c r="AQ390" s="20"/>
      <c r="AR390" s="374"/>
      <c r="AZ390" s="374"/>
      <c r="BE390" s="26"/>
      <c r="BF390" s="26"/>
      <c r="BG390" s="26"/>
      <c r="BH390" s="26"/>
      <c r="BI390" s="26"/>
      <c r="BJ390" s="26"/>
      <c r="BK390" s="26"/>
      <c r="BL390" s="26"/>
      <c r="BS390" s="20"/>
      <c r="BT390" s="26"/>
      <c r="BV390" s="381"/>
      <c r="BW390" s="229"/>
    </row>
    <row r="391" spans="3:75" x14ac:dyDescent="0.2">
      <c r="AB391" s="21"/>
      <c r="AG391" s="294"/>
      <c r="AH391" s="294"/>
      <c r="AI391" s="294"/>
      <c r="AJ391" s="26"/>
      <c r="AK391" s="374"/>
      <c r="AL391" s="374"/>
      <c r="AO391" s="294"/>
      <c r="AQ391" s="20"/>
      <c r="AR391" s="374"/>
      <c r="AZ391" s="374"/>
      <c r="BE391" s="26"/>
      <c r="BF391" s="26"/>
      <c r="BG391" s="26"/>
      <c r="BH391" s="26"/>
      <c r="BI391" s="26"/>
      <c r="BJ391" s="26"/>
      <c r="BK391" s="26"/>
      <c r="BL391" s="26"/>
      <c r="BS391" s="20"/>
      <c r="BT391" s="26"/>
      <c r="BV391" s="381"/>
      <c r="BW391" s="229"/>
    </row>
    <row r="392" spans="3:75" x14ac:dyDescent="0.2">
      <c r="AB392" s="21"/>
      <c r="AG392" s="294"/>
      <c r="AH392" s="294"/>
      <c r="AI392" s="294"/>
      <c r="AJ392" s="26"/>
      <c r="AK392" s="374"/>
      <c r="AL392" s="374"/>
      <c r="AO392" s="294"/>
      <c r="AQ392" s="20"/>
      <c r="AR392" s="374"/>
      <c r="AZ392" s="374"/>
      <c r="BE392" s="26"/>
      <c r="BF392" s="26"/>
      <c r="BG392" s="26"/>
      <c r="BH392" s="26"/>
      <c r="BI392" s="26"/>
      <c r="BJ392" s="26"/>
      <c r="BK392" s="26"/>
      <c r="BL392" s="26"/>
      <c r="BS392" s="20"/>
      <c r="BT392" s="26"/>
      <c r="BV392" s="381"/>
      <c r="BW392" s="229"/>
    </row>
    <row r="393" spans="3:75" x14ac:dyDescent="0.2">
      <c r="AB393" s="21"/>
      <c r="AG393" s="294"/>
      <c r="AH393" s="294"/>
      <c r="AI393" s="294"/>
      <c r="AJ393" s="26"/>
      <c r="AK393" s="374"/>
      <c r="AL393" s="374"/>
      <c r="AO393" s="294"/>
      <c r="AQ393" s="20"/>
      <c r="AR393" s="374"/>
      <c r="AZ393" s="374"/>
      <c r="BE393" s="26"/>
      <c r="BF393" s="26"/>
      <c r="BG393" s="26"/>
      <c r="BH393" s="26"/>
      <c r="BI393" s="26"/>
      <c r="BJ393" s="26"/>
      <c r="BK393" s="26"/>
      <c r="BL393" s="26"/>
      <c r="BS393" s="20"/>
      <c r="BT393" s="26"/>
      <c r="BV393" s="381"/>
      <c r="BW393" s="229"/>
    </row>
    <row r="394" spans="3:75" x14ac:dyDescent="0.2">
      <c r="AB394" s="21"/>
      <c r="AG394" s="294"/>
      <c r="AH394" s="294"/>
      <c r="AI394" s="294"/>
      <c r="AJ394" s="26"/>
      <c r="AK394" s="374"/>
      <c r="AL394" s="374"/>
      <c r="AO394" s="294"/>
      <c r="AQ394" s="20"/>
      <c r="AR394" s="374"/>
      <c r="AZ394" s="374"/>
      <c r="BE394" s="26"/>
      <c r="BF394" s="26"/>
      <c r="BG394" s="26"/>
      <c r="BH394" s="26"/>
      <c r="BI394" s="26"/>
      <c r="BJ394" s="26"/>
      <c r="BK394" s="26"/>
      <c r="BL394" s="26"/>
      <c r="BS394" s="20"/>
      <c r="BT394" s="26"/>
      <c r="BV394" s="381"/>
      <c r="BW394" s="229"/>
    </row>
    <row r="395" spans="3:75" x14ac:dyDescent="0.2">
      <c r="AB395" s="21"/>
      <c r="AG395" s="294"/>
      <c r="AH395" s="294"/>
      <c r="AI395" s="294"/>
      <c r="AJ395" s="26"/>
      <c r="AK395" s="374"/>
      <c r="AL395" s="374"/>
      <c r="AO395" s="294"/>
      <c r="AQ395" s="20"/>
      <c r="AR395" s="374"/>
      <c r="AZ395" s="374"/>
      <c r="BE395" s="26"/>
      <c r="BF395" s="26"/>
      <c r="BG395" s="26"/>
      <c r="BH395" s="26"/>
      <c r="BI395" s="26"/>
      <c r="BJ395" s="26"/>
      <c r="BK395" s="26"/>
      <c r="BL395" s="26"/>
      <c r="BS395" s="20"/>
      <c r="BT395" s="26"/>
      <c r="BV395" s="381"/>
      <c r="BW395" s="229"/>
    </row>
    <row r="396" spans="3:75" x14ac:dyDescent="0.2">
      <c r="AB396" s="21"/>
      <c r="AG396" s="294"/>
      <c r="AH396" s="294"/>
      <c r="AI396" s="294"/>
      <c r="AJ396" s="26"/>
      <c r="AK396" s="374"/>
      <c r="AL396" s="374"/>
      <c r="AO396" s="294"/>
      <c r="AQ396" s="20"/>
      <c r="AR396" s="374"/>
      <c r="AZ396" s="374"/>
      <c r="BE396" s="26"/>
      <c r="BF396" s="26"/>
      <c r="BG396" s="26"/>
      <c r="BH396" s="26"/>
      <c r="BI396" s="26"/>
      <c r="BJ396" s="26"/>
      <c r="BK396" s="26"/>
      <c r="BL396" s="26"/>
      <c r="BS396" s="20"/>
      <c r="BT396" s="26"/>
      <c r="BV396" s="381"/>
      <c r="BW396" s="229"/>
    </row>
    <row r="397" spans="3:75" x14ac:dyDescent="0.2">
      <c r="AB397" s="21"/>
      <c r="AG397" s="294"/>
      <c r="AH397" s="294"/>
      <c r="AI397" s="294"/>
      <c r="AJ397" s="26"/>
      <c r="AK397" s="374"/>
      <c r="AL397" s="374"/>
      <c r="AO397" s="294"/>
      <c r="AQ397" s="20"/>
      <c r="AR397" s="374"/>
      <c r="AZ397" s="374"/>
      <c r="BE397" s="26"/>
      <c r="BF397" s="26"/>
      <c r="BG397" s="26"/>
      <c r="BH397" s="26"/>
      <c r="BI397" s="26"/>
      <c r="BJ397" s="26"/>
      <c r="BK397" s="26"/>
      <c r="BL397" s="26"/>
      <c r="BS397" s="20"/>
      <c r="BT397" s="26"/>
      <c r="BV397" s="381"/>
      <c r="BW397" s="229"/>
    </row>
    <row r="398" spans="3:75" x14ac:dyDescent="0.2">
      <c r="AB398" s="21"/>
      <c r="AG398" s="294"/>
      <c r="AH398" s="294"/>
      <c r="AI398" s="294"/>
      <c r="AJ398" s="26"/>
      <c r="AK398" s="374"/>
      <c r="AL398" s="374"/>
      <c r="AO398" s="294"/>
      <c r="AQ398" s="20"/>
      <c r="AR398" s="374"/>
      <c r="AZ398" s="374"/>
      <c r="BE398" s="26"/>
      <c r="BF398" s="26"/>
      <c r="BG398" s="26"/>
      <c r="BH398" s="26"/>
      <c r="BI398" s="26"/>
      <c r="BJ398" s="26"/>
      <c r="BK398" s="26"/>
      <c r="BL398" s="26"/>
      <c r="BS398" s="20"/>
      <c r="BT398" s="26"/>
      <c r="BV398" s="381"/>
      <c r="BW398" s="229"/>
    </row>
    <row r="399" spans="3:75" x14ac:dyDescent="0.2">
      <c r="AB399" s="21"/>
      <c r="AG399" s="294"/>
      <c r="AH399" s="294"/>
      <c r="AI399" s="294"/>
      <c r="AJ399" s="26"/>
      <c r="AK399" s="374"/>
      <c r="AL399" s="374"/>
      <c r="AO399" s="294"/>
      <c r="AQ399" s="20"/>
      <c r="AR399" s="374"/>
      <c r="AZ399" s="374"/>
      <c r="BE399" s="26"/>
      <c r="BF399" s="26"/>
      <c r="BG399" s="26"/>
      <c r="BH399" s="26"/>
      <c r="BI399" s="26"/>
      <c r="BJ399" s="26"/>
      <c r="BK399" s="26"/>
      <c r="BL399" s="26"/>
      <c r="BS399" s="20"/>
      <c r="BT399" s="26"/>
      <c r="BV399" s="381"/>
      <c r="BW399" s="229"/>
    </row>
    <row r="400" spans="3:75" x14ac:dyDescent="0.2">
      <c r="AB400" s="21"/>
      <c r="AG400" s="294"/>
      <c r="AH400" s="294"/>
      <c r="AI400" s="294"/>
      <c r="AJ400" s="26"/>
      <c r="AK400" s="374"/>
      <c r="AL400" s="374"/>
      <c r="AO400" s="294"/>
      <c r="AQ400" s="20"/>
      <c r="AR400" s="374"/>
      <c r="AZ400" s="374"/>
      <c r="BE400" s="26"/>
      <c r="BF400" s="26"/>
      <c r="BG400" s="26"/>
      <c r="BH400" s="26"/>
      <c r="BI400" s="26"/>
      <c r="BJ400" s="26"/>
      <c r="BK400" s="26"/>
      <c r="BL400" s="26"/>
      <c r="BS400" s="20"/>
      <c r="BT400" s="26"/>
      <c r="BV400" s="381"/>
      <c r="BW400" s="229"/>
    </row>
    <row r="401" spans="28:75" x14ac:dyDescent="0.2">
      <c r="AB401" s="21"/>
      <c r="AG401" s="294"/>
      <c r="AH401" s="294"/>
      <c r="AI401" s="294"/>
      <c r="AJ401" s="26"/>
      <c r="AK401" s="374"/>
      <c r="AL401" s="374"/>
      <c r="AO401" s="294"/>
      <c r="AQ401" s="20"/>
      <c r="AR401" s="374"/>
      <c r="AZ401" s="374"/>
      <c r="BE401" s="26"/>
      <c r="BF401" s="26"/>
      <c r="BG401" s="26"/>
      <c r="BH401" s="26"/>
      <c r="BI401" s="26"/>
      <c r="BJ401" s="26"/>
      <c r="BK401" s="26"/>
      <c r="BL401" s="26"/>
      <c r="BS401" s="20"/>
      <c r="BT401" s="26"/>
      <c r="BV401" s="381"/>
      <c r="BW401" s="229"/>
    </row>
    <row r="402" spans="28:75" x14ac:dyDescent="0.2">
      <c r="AB402" s="21"/>
      <c r="AG402" s="294"/>
      <c r="AH402" s="294"/>
      <c r="AI402" s="294"/>
      <c r="AJ402" s="26"/>
      <c r="AK402" s="374"/>
      <c r="AL402" s="374"/>
      <c r="AO402" s="294"/>
      <c r="AQ402" s="20"/>
      <c r="AR402" s="374"/>
      <c r="AZ402" s="374"/>
      <c r="BE402" s="26"/>
      <c r="BF402" s="26"/>
      <c r="BG402" s="26"/>
      <c r="BH402" s="26"/>
      <c r="BI402" s="26"/>
      <c r="BJ402" s="26"/>
      <c r="BK402" s="26"/>
      <c r="BL402" s="26"/>
      <c r="BS402" s="20"/>
      <c r="BT402" s="26"/>
      <c r="BV402" s="381"/>
      <c r="BW402" s="229"/>
    </row>
    <row r="403" spans="28:75" x14ac:dyDescent="0.2">
      <c r="AB403" s="21"/>
      <c r="AG403" s="294"/>
      <c r="AH403" s="294"/>
      <c r="AI403" s="294"/>
      <c r="AJ403" s="26"/>
      <c r="AK403" s="374"/>
      <c r="AL403" s="374"/>
      <c r="AO403" s="294"/>
      <c r="AQ403" s="20"/>
      <c r="AR403" s="374"/>
      <c r="AZ403" s="374"/>
      <c r="BE403" s="26"/>
      <c r="BF403" s="26"/>
      <c r="BG403" s="26"/>
      <c r="BH403" s="26"/>
      <c r="BI403" s="26"/>
      <c r="BJ403" s="26"/>
      <c r="BK403" s="26"/>
      <c r="BL403" s="26"/>
      <c r="BS403" s="20"/>
      <c r="BT403" s="26"/>
      <c r="BV403" s="381"/>
      <c r="BW403" s="229"/>
    </row>
    <row r="404" spans="28:75" x14ac:dyDescent="0.2">
      <c r="AB404" s="21"/>
      <c r="AG404" s="294"/>
      <c r="AH404" s="294"/>
      <c r="AI404" s="294"/>
      <c r="AJ404" s="26"/>
      <c r="AK404" s="374"/>
      <c r="AL404" s="374"/>
      <c r="AO404" s="294"/>
      <c r="AQ404" s="20"/>
      <c r="AR404" s="374"/>
      <c r="AZ404" s="374"/>
      <c r="BE404" s="26"/>
      <c r="BF404" s="26"/>
      <c r="BG404" s="26"/>
      <c r="BH404" s="26"/>
      <c r="BI404" s="26"/>
      <c r="BJ404" s="26"/>
      <c r="BK404" s="26"/>
      <c r="BL404" s="26"/>
      <c r="BS404" s="20"/>
      <c r="BT404" s="26"/>
      <c r="BV404" s="381"/>
      <c r="BW404" s="229"/>
    </row>
    <row r="405" spans="28:75" x14ac:dyDescent="0.2">
      <c r="AB405" s="21"/>
      <c r="AG405" s="294"/>
      <c r="AH405" s="294"/>
      <c r="AI405" s="294"/>
      <c r="AJ405" s="26"/>
      <c r="AK405" s="374"/>
      <c r="AL405" s="374"/>
      <c r="AO405" s="294"/>
      <c r="AQ405" s="20"/>
      <c r="AR405" s="374"/>
      <c r="AZ405" s="374"/>
      <c r="BE405" s="26"/>
      <c r="BF405" s="26"/>
      <c r="BG405" s="26"/>
      <c r="BH405" s="26"/>
      <c r="BI405" s="26"/>
      <c r="BJ405" s="26"/>
      <c r="BK405" s="26"/>
      <c r="BL405" s="26"/>
      <c r="BS405" s="20"/>
      <c r="BT405" s="26"/>
      <c r="BV405" s="381"/>
      <c r="BW405" s="229"/>
    </row>
    <row r="406" spans="28:75" x14ac:dyDescent="0.2">
      <c r="AB406" s="21"/>
      <c r="AG406" s="294"/>
      <c r="AH406" s="294"/>
      <c r="AI406" s="294"/>
      <c r="AJ406" s="26"/>
      <c r="AK406" s="374"/>
      <c r="AL406" s="374"/>
      <c r="AO406" s="294"/>
      <c r="AQ406" s="20"/>
      <c r="AR406" s="374"/>
      <c r="AZ406" s="374"/>
      <c r="BE406" s="26"/>
      <c r="BF406" s="26"/>
      <c r="BG406" s="26"/>
      <c r="BH406" s="26"/>
      <c r="BI406" s="26"/>
      <c r="BJ406" s="26"/>
      <c r="BK406" s="26"/>
      <c r="BL406" s="26"/>
      <c r="BS406" s="20"/>
      <c r="BT406" s="26"/>
      <c r="BV406" s="381"/>
      <c r="BW406" s="229"/>
    </row>
    <row r="407" spans="28:75" x14ac:dyDescent="0.2">
      <c r="AB407" s="21"/>
      <c r="AG407" s="294"/>
      <c r="AH407" s="294"/>
      <c r="AI407" s="294"/>
      <c r="AJ407" s="26"/>
      <c r="AK407" s="374"/>
      <c r="AL407" s="374"/>
      <c r="AO407" s="294"/>
      <c r="AQ407" s="20"/>
      <c r="AR407" s="374"/>
      <c r="AZ407" s="374"/>
      <c r="BE407" s="26"/>
      <c r="BF407" s="26"/>
      <c r="BG407" s="26"/>
      <c r="BH407" s="26"/>
      <c r="BI407" s="26"/>
      <c r="BJ407" s="26"/>
      <c r="BK407" s="26"/>
      <c r="BL407" s="26"/>
      <c r="BS407" s="20"/>
      <c r="BT407" s="26"/>
      <c r="BV407" s="381"/>
      <c r="BW407" s="229"/>
    </row>
    <row r="408" spans="28:75" x14ac:dyDescent="0.2">
      <c r="AB408" s="21"/>
      <c r="AG408" s="294"/>
      <c r="AH408" s="294"/>
      <c r="AI408" s="294"/>
      <c r="AJ408" s="26"/>
      <c r="AK408" s="374"/>
      <c r="AL408" s="374"/>
      <c r="AO408" s="294"/>
      <c r="AQ408" s="20"/>
      <c r="AR408" s="374"/>
      <c r="AZ408" s="374"/>
      <c r="BE408" s="26"/>
      <c r="BF408" s="26"/>
      <c r="BG408" s="26"/>
      <c r="BH408" s="26"/>
      <c r="BI408" s="26"/>
      <c r="BJ408" s="26"/>
      <c r="BK408" s="26"/>
      <c r="BL408" s="26"/>
      <c r="BS408" s="20"/>
      <c r="BT408" s="26"/>
      <c r="BV408" s="381"/>
      <c r="BW408" s="229"/>
    </row>
    <row r="409" spans="28:75" x14ac:dyDescent="0.2">
      <c r="AB409" s="21"/>
      <c r="AG409" s="294"/>
      <c r="AH409" s="294"/>
      <c r="AI409" s="294"/>
      <c r="AJ409" s="26"/>
      <c r="AK409" s="374"/>
      <c r="AL409" s="374"/>
      <c r="AO409" s="294"/>
      <c r="AQ409" s="20"/>
      <c r="AR409" s="374"/>
      <c r="AZ409" s="374"/>
      <c r="BE409" s="26"/>
      <c r="BF409" s="26"/>
      <c r="BG409" s="26"/>
      <c r="BH409" s="26"/>
      <c r="BI409" s="26"/>
      <c r="BJ409" s="26"/>
      <c r="BK409" s="26"/>
      <c r="BL409" s="26"/>
      <c r="BS409" s="20"/>
      <c r="BT409" s="26"/>
      <c r="BV409" s="381"/>
      <c r="BW409" s="229"/>
    </row>
    <row r="410" spans="28:75" x14ac:dyDescent="0.2">
      <c r="AB410" s="21"/>
      <c r="AG410" s="294"/>
      <c r="AH410" s="294"/>
      <c r="AI410" s="294"/>
      <c r="AJ410" s="26"/>
      <c r="AK410" s="374"/>
      <c r="AL410" s="374"/>
      <c r="AO410" s="294"/>
      <c r="AQ410" s="20"/>
      <c r="AR410" s="374"/>
      <c r="AZ410" s="374"/>
      <c r="BE410" s="26"/>
      <c r="BF410" s="26"/>
      <c r="BG410" s="26"/>
      <c r="BH410" s="26"/>
      <c r="BI410" s="26"/>
      <c r="BJ410" s="26"/>
      <c r="BK410" s="26"/>
      <c r="BL410" s="26"/>
      <c r="BS410" s="20"/>
      <c r="BT410" s="26"/>
      <c r="BV410" s="381"/>
      <c r="BW410" s="229"/>
    </row>
    <row r="411" spans="28:75" x14ac:dyDescent="0.2">
      <c r="AB411" s="21"/>
      <c r="AG411" s="294"/>
      <c r="AH411" s="294"/>
      <c r="AI411" s="294"/>
      <c r="AJ411" s="26"/>
      <c r="AK411" s="374"/>
      <c r="AL411" s="374"/>
      <c r="AO411" s="294"/>
      <c r="AQ411" s="20"/>
      <c r="AR411" s="374"/>
      <c r="AZ411" s="374"/>
      <c r="BE411" s="26"/>
      <c r="BF411" s="26"/>
      <c r="BG411" s="26"/>
      <c r="BH411" s="26"/>
      <c r="BI411" s="26"/>
      <c r="BJ411" s="26"/>
      <c r="BK411" s="26"/>
      <c r="BL411" s="26"/>
      <c r="BS411" s="20"/>
      <c r="BT411" s="26"/>
      <c r="BV411" s="381"/>
      <c r="BW411" s="229"/>
    </row>
    <row r="412" spans="28:75" x14ac:dyDescent="0.2">
      <c r="AB412" s="21"/>
      <c r="AG412" s="294"/>
      <c r="AH412" s="294"/>
      <c r="AI412" s="294"/>
      <c r="AJ412" s="26"/>
      <c r="AK412" s="374"/>
      <c r="AL412" s="374"/>
      <c r="AO412" s="294"/>
      <c r="AQ412" s="20"/>
      <c r="AR412" s="374"/>
      <c r="AZ412" s="374"/>
      <c r="BE412" s="26"/>
      <c r="BF412" s="26"/>
      <c r="BG412" s="26"/>
      <c r="BH412" s="26"/>
      <c r="BI412" s="26"/>
      <c r="BJ412" s="26"/>
      <c r="BK412" s="26"/>
      <c r="BL412" s="26"/>
      <c r="BS412" s="20"/>
      <c r="BT412" s="26"/>
      <c r="BV412" s="381"/>
      <c r="BW412" s="229"/>
    </row>
    <row r="413" spans="28:75" x14ac:dyDescent="0.2">
      <c r="AB413" s="21"/>
      <c r="AG413" s="294"/>
      <c r="AH413" s="294"/>
      <c r="AI413" s="294"/>
      <c r="AJ413" s="26"/>
      <c r="AK413" s="374"/>
      <c r="AL413" s="374"/>
      <c r="AO413" s="294"/>
      <c r="AQ413" s="20"/>
      <c r="AR413" s="374"/>
      <c r="AZ413" s="374"/>
      <c r="BE413" s="26"/>
      <c r="BF413" s="26"/>
      <c r="BG413" s="26"/>
      <c r="BH413" s="26"/>
      <c r="BI413" s="26"/>
      <c r="BJ413" s="26"/>
      <c r="BK413" s="26"/>
      <c r="BL413" s="26"/>
      <c r="BS413" s="20"/>
      <c r="BT413" s="26"/>
      <c r="BV413" s="381"/>
      <c r="BW413" s="229"/>
    </row>
    <row r="414" spans="28:75" x14ac:dyDescent="0.2">
      <c r="AB414" s="21"/>
      <c r="AG414" s="294"/>
      <c r="AH414" s="294"/>
      <c r="AI414" s="294"/>
      <c r="AJ414" s="26"/>
      <c r="AK414" s="374"/>
      <c r="AL414" s="374"/>
      <c r="AO414" s="294"/>
      <c r="AQ414" s="20"/>
      <c r="AR414" s="374"/>
      <c r="AZ414" s="374"/>
      <c r="BE414" s="26"/>
      <c r="BF414" s="26"/>
      <c r="BG414" s="26"/>
      <c r="BH414" s="26"/>
      <c r="BI414" s="26"/>
      <c r="BJ414" s="26"/>
      <c r="BK414" s="26"/>
      <c r="BL414" s="26"/>
      <c r="BS414" s="20"/>
      <c r="BT414" s="26"/>
      <c r="BV414" s="381"/>
      <c r="BW414" s="229"/>
    </row>
    <row r="415" spans="28:75" x14ac:dyDescent="0.2">
      <c r="AB415" s="21"/>
      <c r="AG415" s="294"/>
      <c r="AH415" s="294"/>
      <c r="AI415" s="294"/>
      <c r="AJ415" s="26"/>
      <c r="AK415" s="374"/>
      <c r="AL415" s="374"/>
      <c r="AO415" s="294"/>
      <c r="AQ415" s="20"/>
      <c r="AR415" s="374"/>
      <c r="AZ415" s="374"/>
      <c r="BE415" s="26"/>
      <c r="BF415" s="26"/>
      <c r="BG415" s="26"/>
      <c r="BH415" s="26"/>
      <c r="BI415" s="26"/>
      <c r="BJ415" s="26"/>
      <c r="BK415" s="26"/>
      <c r="BL415" s="26"/>
      <c r="BS415" s="20"/>
      <c r="BT415" s="26"/>
      <c r="BV415" s="381"/>
      <c r="BW415" s="229"/>
    </row>
    <row r="416" spans="28:75" x14ac:dyDescent="0.2">
      <c r="AB416" s="21"/>
      <c r="AG416" s="294"/>
      <c r="AH416" s="294"/>
      <c r="AI416" s="294"/>
      <c r="AJ416" s="26"/>
      <c r="AK416" s="374"/>
      <c r="AL416" s="374"/>
      <c r="AO416" s="294"/>
      <c r="AQ416" s="20"/>
      <c r="AR416" s="374"/>
      <c r="AZ416" s="374"/>
      <c r="BE416" s="26"/>
      <c r="BF416" s="26"/>
      <c r="BG416" s="26"/>
      <c r="BH416" s="26"/>
      <c r="BI416" s="26"/>
      <c r="BJ416" s="26"/>
      <c r="BK416" s="26"/>
      <c r="BL416" s="26"/>
      <c r="BS416" s="20"/>
      <c r="BT416" s="26"/>
      <c r="BV416" s="381"/>
      <c r="BW416" s="229"/>
    </row>
    <row r="417" spans="28:75" x14ac:dyDescent="0.2">
      <c r="AB417" s="21"/>
      <c r="AG417" s="294"/>
      <c r="AH417" s="294"/>
      <c r="AI417" s="294"/>
      <c r="AJ417" s="26"/>
      <c r="AK417" s="374"/>
      <c r="AL417" s="374"/>
      <c r="AO417" s="294"/>
      <c r="AQ417" s="20"/>
      <c r="AR417" s="374"/>
      <c r="AZ417" s="374"/>
      <c r="BE417" s="26"/>
      <c r="BF417" s="26"/>
      <c r="BG417" s="26"/>
      <c r="BH417" s="26"/>
      <c r="BI417" s="26"/>
      <c r="BJ417" s="26"/>
      <c r="BK417" s="26"/>
      <c r="BL417" s="26"/>
      <c r="BS417" s="20"/>
      <c r="BT417" s="26"/>
      <c r="BV417" s="381"/>
      <c r="BW417" s="229"/>
    </row>
    <row r="418" spans="28:75" x14ac:dyDescent="0.2">
      <c r="AB418" s="21"/>
      <c r="AG418" s="294"/>
      <c r="AH418" s="294"/>
      <c r="AI418" s="294"/>
      <c r="AJ418" s="26"/>
      <c r="AK418" s="374"/>
      <c r="AL418" s="374"/>
      <c r="AO418" s="294"/>
      <c r="AQ418" s="20"/>
      <c r="AR418" s="374"/>
      <c r="AZ418" s="374"/>
      <c r="BE418" s="26"/>
      <c r="BF418" s="26"/>
      <c r="BG418" s="26"/>
      <c r="BH418" s="26"/>
      <c r="BI418" s="26"/>
      <c r="BJ418" s="26"/>
      <c r="BK418" s="26"/>
      <c r="BL418" s="26"/>
      <c r="BS418" s="20"/>
      <c r="BT418" s="26"/>
      <c r="BV418" s="381"/>
      <c r="BW418" s="229"/>
    </row>
    <row r="419" spans="28:75" x14ac:dyDescent="0.2">
      <c r="AB419" s="21"/>
      <c r="AG419" s="294"/>
      <c r="AH419" s="294"/>
      <c r="AI419" s="294"/>
      <c r="AJ419" s="26"/>
      <c r="AK419" s="374"/>
      <c r="AL419" s="374"/>
      <c r="AO419" s="294"/>
      <c r="AQ419" s="20"/>
      <c r="AR419" s="374"/>
      <c r="AZ419" s="374"/>
      <c r="BE419" s="26"/>
      <c r="BF419" s="26"/>
      <c r="BG419" s="26"/>
      <c r="BH419" s="26"/>
      <c r="BI419" s="26"/>
      <c r="BJ419" s="26"/>
      <c r="BK419" s="26"/>
      <c r="BL419" s="26"/>
      <c r="BS419" s="20"/>
      <c r="BT419" s="26"/>
      <c r="BV419" s="381"/>
      <c r="BW419" s="229"/>
    </row>
    <row r="420" spans="28:75" x14ac:dyDescent="0.2">
      <c r="AB420" s="21"/>
      <c r="AG420" s="294"/>
      <c r="AH420" s="294"/>
      <c r="AI420" s="294"/>
      <c r="AJ420" s="26"/>
      <c r="AK420" s="374"/>
      <c r="AL420" s="374"/>
      <c r="AO420" s="294"/>
      <c r="AQ420" s="20"/>
      <c r="AR420" s="374"/>
      <c r="AZ420" s="374"/>
      <c r="BE420" s="26"/>
      <c r="BF420" s="26"/>
      <c r="BG420" s="26"/>
      <c r="BH420" s="26"/>
      <c r="BI420" s="26"/>
      <c r="BJ420" s="26"/>
      <c r="BK420" s="26"/>
      <c r="BL420" s="26"/>
      <c r="BS420" s="20"/>
      <c r="BT420" s="26"/>
      <c r="BV420" s="381"/>
      <c r="BW420" s="229"/>
    </row>
    <row r="421" spans="28:75" x14ac:dyDescent="0.2">
      <c r="AB421" s="21"/>
      <c r="AG421" s="294"/>
      <c r="AH421" s="294"/>
      <c r="AI421" s="294"/>
      <c r="AJ421" s="26"/>
      <c r="AK421" s="374"/>
      <c r="AL421" s="374"/>
      <c r="AO421" s="294"/>
      <c r="AQ421" s="20"/>
      <c r="AR421" s="374"/>
      <c r="AZ421" s="374"/>
      <c r="BE421" s="26"/>
      <c r="BF421" s="26"/>
      <c r="BG421" s="26"/>
      <c r="BH421" s="26"/>
      <c r="BI421" s="26"/>
      <c r="BJ421" s="26"/>
      <c r="BK421" s="26"/>
      <c r="BL421" s="26"/>
      <c r="BS421" s="20"/>
      <c r="BT421" s="26"/>
      <c r="BV421" s="381"/>
      <c r="BW421" s="229"/>
    </row>
    <row r="422" spans="28:75" x14ac:dyDescent="0.2">
      <c r="AB422" s="21"/>
      <c r="AG422" s="294"/>
      <c r="AH422" s="294"/>
      <c r="AI422" s="294"/>
      <c r="AJ422" s="26"/>
      <c r="AK422" s="374"/>
      <c r="AL422" s="374"/>
      <c r="AO422" s="294"/>
      <c r="AQ422" s="20"/>
      <c r="AR422" s="374"/>
      <c r="AZ422" s="374"/>
      <c r="BE422" s="26"/>
      <c r="BF422" s="26"/>
      <c r="BG422" s="26"/>
      <c r="BH422" s="26"/>
      <c r="BI422" s="26"/>
      <c r="BJ422" s="26"/>
      <c r="BK422" s="26"/>
      <c r="BL422" s="26"/>
      <c r="BS422" s="20"/>
      <c r="BT422" s="26"/>
      <c r="BV422" s="381"/>
      <c r="BW422" s="229"/>
    </row>
    <row r="423" spans="28:75" x14ac:dyDescent="0.2">
      <c r="AB423" s="21"/>
      <c r="AG423" s="294"/>
      <c r="AH423" s="294"/>
      <c r="AI423" s="294"/>
      <c r="AJ423" s="26"/>
      <c r="AK423" s="374"/>
      <c r="AL423" s="374"/>
      <c r="AO423" s="294"/>
      <c r="AQ423" s="20"/>
      <c r="AR423" s="374"/>
      <c r="AZ423" s="374"/>
      <c r="BE423" s="26"/>
      <c r="BF423" s="26"/>
      <c r="BG423" s="26"/>
      <c r="BH423" s="26"/>
      <c r="BI423" s="26"/>
      <c r="BJ423" s="26"/>
      <c r="BK423" s="26"/>
      <c r="BL423" s="26"/>
      <c r="BS423" s="20"/>
      <c r="BT423" s="26"/>
      <c r="BV423" s="381"/>
      <c r="BW423" s="229"/>
    </row>
    <row r="424" spans="28:75" x14ac:dyDescent="0.2">
      <c r="AB424" s="21"/>
      <c r="AG424" s="294"/>
      <c r="AH424" s="294"/>
      <c r="AI424" s="294"/>
      <c r="AJ424" s="26"/>
      <c r="AK424" s="374"/>
      <c r="AL424" s="374"/>
      <c r="AO424" s="294"/>
      <c r="AQ424" s="20"/>
      <c r="AR424" s="374"/>
      <c r="AZ424" s="374"/>
      <c r="BE424" s="26"/>
      <c r="BF424" s="26"/>
      <c r="BG424" s="26"/>
      <c r="BH424" s="26"/>
      <c r="BI424" s="26"/>
      <c r="BJ424" s="26"/>
      <c r="BK424" s="26"/>
      <c r="BL424" s="26"/>
      <c r="BS424" s="20"/>
      <c r="BT424" s="26"/>
      <c r="BV424" s="381"/>
      <c r="BW424" s="229"/>
    </row>
    <row r="425" spans="28:75" x14ac:dyDescent="0.2">
      <c r="AB425" s="21"/>
      <c r="AG425" s="294"/>
      <c r="AH425" s="294"/>
      <c r="AI425" s="294"/>
      <c r="AJ425" s="26"/>
      <c r="AK425" s="374"/>
      <c r="AL425" s="374"/>
      <c r="AO425" s="294"/>
      <c r="AQ425" s="20"/>
      <c r="AR425" s="374"/>
      <c r="AZ425" s="374"/>
      <c r="BE425" s="26"/>
      <c r="BF425" s="26"/>
      <c r="BG425" s="26"/>
      <c r="BH425" s="26"/>
      <c r="BI425" s="26"/>
      <c r="BJ425" s="26"/>
      <c r="BK425" s="26"/>
      <c r="BL425" s="26"/>
      <c r="BS425" s="20"/>
      <c r="BT425" s="26"/>
      <c r="BV425" s="381"/>
      <c r="BW425" s="229"/>
    </row>
    <row r="426" spans="28:75" x14ac:dyDescent="0.2">
      <c r="AB426" s="21"/>
      <c r="AG426" s="294"/>
      <c r="AH426" s="294"/>
      <c r="AI426" s="294"/>
      <c r="AJ426" s="26"/>
      <c r="AK426" s="374"/>
      <c r="AL426" s="374"/>
      <c r="AO426" s="294"/>
      <c r="AQ426" s="20"/>
      <c r="AR426" s="374"/>
      <c r="AZ426" s="374"/>
      <c r="BE426" s="26"/>
      <c r="BF426" s="26"/>
      <c r="BG426" s="26"/>
      <c r="BH426" s="26"/>
      <c r="BI426" s="26"/>
      <c r="BJ426" s="26"/>
      <c r="BK426" s="26"/>
      <c r="BL426" s="26"/>
      <c r="BS426" s="20"/>
      <c r="BT426" s="26"/>
      <c r="BV426" s="381"/>
      <c r="BW426" s="229"/>
    </row>
    <row r="427" spans="28:75" x14ac:dyDescent="0.2">
      <c r="AB427" s="21"/>
      <c r="AG427" s="294"/>
      <c r="AH427" s="294"/>
      <c r="AI427" s="294"/>
      <c r="AJ427" s="26"/>
      <c r="AK427" s="374"/>
      <c r="AL427" s="374"/>
      <c r="AO427" s="294"/>
      <c r="AQ427" s="20"/>
      <c r="AR427" s="374"/>
      <c r="AZ427" s="374"/>
      <c r="BE427" s="26"/>
      <c r="BF427" s="26"/>
      <c r="BG427" s="26"/>
      <c r="BH427" s="26"/>
      <c r="BI427" s="26"/>
      <c r="BJ427" s="26"/>
      <c r="BK427" s="26"/>
      <c r="BL427" s="26"/>
      <c r="BS427" s="20"/>
      <c r="BT427" s="26"/>
      <c r="BV427" s="381"/>
      <c r="BW427" s="229"/>
    </row>
    <row r="428" spans="28:75" x14ac:dyDescent="0.2">
      <c r="AB428" s="21"/>
      <c r="AG428" s="294"/>
      <c r="AH428" s="294"/>
      <c r="AI428" s="294"/>
      <c r="AJ428" s="26"/>
      <c r="AK428" s="374"/>
      <c r="AL428" s="374"/>
      <c r="AO428" s="294"/>
      <c r="AQ428" s="20"/>
      <c r="AR428" s="374"/>
      <c r="AZ428" s="374"/>
      <c r="BE428" s="26"/>
      <c r="BF428" s="26"/>
      <c r="BG428" s="26"/>
      <c r="BH428" s="26"/>
      <c r="BI428" s="26"/>
      <c r="BJ428" s="26"/>
      <c r="BK428" s="26"/>
      <c r="BL428" s="26"/>
      <c r="BS428" s="20"/>
      <c r="BT428" s="26"/>
      <c r="BV428" s="381"/>
      <c r="BW428" s="229"/>
    </row>
    <row r="429" spans="28:75" x14ac:dyDescent="0.2">
      <c r="AB429" s="21"/>
      <c r="AG429" s="294"/>
      <c r="AH429" s="294"/>
      <c r="AI429" s="294"/>
      <c r="AJ429" s="26"/>
      <c r="AK429" s="374"/>
      <c r="AL429" s="374"/>
      <c r="AO429" s="294"/>
      <c r="AQ429" s="20"/>
      <c r="AR429" s="374"/>
      <c r="AZ429" s="374"/>
      <c r="BE429" s="26"/>
      <c r="BF429" s="26"/>
      <c r="BG429" s="26"/>
      <c r="BH429" s="26"/>
      <c r="BI429" s="26"/>
      <c r="BJ429" s="26"/>
      <c r="BK429" s="26"/>
      <c r="BL429" s="26"/>
      <c r="BS429" s="20"/>
      <c r="BT429" s="26"/>
      <c r="BV429" s="381"/>
      <c r="BW429" s="229"/>
    </row>
    <row r="430" spans="28:75" x14ac:dyDescent="0.2">
      <c r="AB430" s="21"/>
      <c r="AG430" s="294"/>
      <c r="AH430" s="294"/>
      <c r="AI430" s="294"/>
      <c r="AJ430" s="26"/>
      <c r="AK430" s="374"/>
      <c r="AL430" s="374"/>
      <c r="AO430" s="294"/>
      <c r="AQ430" s="20"/>
      <c r="AR430" s="374"/>
      <c r="AZ430" s="374"/>
      <c r="BE430" s="26"/>
      <c r="BF430" s="26"/>
      <c r="BG430" s="26"/>
      <c r="BH430" s="26"/>
      <c r="BI430" s="26"/>
      <c r="BJ430" s="26"/>
      <c r="BK430" s="26"/>
      <c r="BL430" s="26"/>
      <c r="BS430" s="20"/>
      <c r="BT430" s="26"/>
      <c r="BV430" s="381"/>
      <c r="BW430" s="229"/>
    </row>
    <row r="431" spans="28:75" x14ac:dyDescent="0.2">
      <c r="AB431" s="21"/>
      <c r="AG431" s="294"/>
      <c r="AH431" s="294"/>
      <c r="AI431" s="294"/>
      <c r="AJ431" s="26"/>
      <c r="AK431" s="374"/>
      <c r="AL431" s="374"/>
      <c r="AO431" s="294"/>
      <c r="AQ431" s="20"/>
      <c r="AR431" s="374"/>
      <c r="AZ431" s="374"/>
      <c r="BE431" s="26"/>
      <c r="BF431" s="26"/>
      <c r="BG431" s="26"/>
      <c r="BH431" s="26"/>
      <c r="BI431" s="26"/>
      <c r="BJ431" s="26"/>
      <c r="BK431" s="26"/>
      <c r="BL431" s="26"/>
      <c r="BS431" s="20"/>
      <c r="BT431" s="26"/>
      <c r="BV431" s="381"/>
      <c r="BW431" s="229"/>
    </row>
    <row r="432" spans="28:75" x14ac:dyDescent="0.2">
      <c r="AB432" s="21"/>
      <c r="AG432" s="294"/>
      <c r="AH432" s="294"/>
      <c r="AI432" s="294"/>
      <c r="AJ432" s="26"/>
      <c r="AK432" s="374"/>
      <c r="AL432" s="374"/>
      <c r="AO432" s="294"/>
      <c r="AR432" s="374"/>
      <c r="AZ432" s="374"/>
      <c r="BE432" s="26"/>
      <c r="BF432" s="26"/>
      <c r="BG432" s="26"/>
      <c r="BH432" s="26"/>
      <c r="BI432" s="26"/>
      <c r="BJ432" s="26"/>
      <c r="BK432" s="26"/>
      <c r="BL432" s="26"/>
      <c r="BS432" s="20"/>
      <c r="BT432" s="26"/>
      <c r="BV432" s="381"/>
      <c r="BW432" s="229"/>
    </row>
    <row r="433" spans="33:75" x14ac:dyDescent="0.2">
      <c r="AG433" s="294"/>
      <c r="AH433" s="294"/>
      <c r="AI433" s="294"/>
      <c r="AJ433" s="26"/>
      <c r="AK433" s="374"/>
      <c r="AL433" s="374"/>
      <c r="AO433" s="294"/>
      <c r="AR433" s="374"/>
      <c r="AZ433" s="374"/>
      <c r="BE433" s="26"/>
      <c r="BF433" s="26"/>
      <c r="BG433" s="26"/>
      <c r="BH433" s="26"/>
      <c r="BI433" s="26"/>
      <c r="BJ433" s="26"/>
      <c r="BK433" s="26"/>
      <c r="BL433" s="26"/>
      <c r="BS433" s="20"/>
      <c r="BT433" s="26"/>
      <c r="BV433" s="381"/>
      <c r="BW433" s="229"/>
    </row>
    <row r="434" spans="33:75" x14ac:dyDescent="0.2">
      <c r="AG434" s="294"/>
      <c r="AH434" s="294"/>
      <c r="AI434" s="294"/>
      <c r="AJ434" s="26"/>
      <c r="AK434" s="374"/>
      <c r="AL434" s="374"/>
      <c r="AO434" s="294"/>
      <c r="AR434" s="374"/>
      <c r="AZ434" s="374"/>
      <c r="BE434" s="26"/>
      <c r="BF434" s="26"/>
      <c r="BG434" s="26"/>
      <c r="BH434" s="26"/>
      <c r="BI434" s="26"/>
      <c r="BJ434" s="26"/>
      <c r="BK434" s="26"/>
      <c r="BL434" s="26"/>
      <c r="BS434" s="20"/>
      <c r="BT434" s="26"/>
      <c r="BV434" s="381"/>
      <c r="BW434" s="229"/>
    </row>
    <row r="435" spans="33:75" x14ac:dyDescent="0.2">
      <c r="AG435" s="294"/>
      <c r="AH435" s="294"/>
      <c r="AI435" s="294"/>
      <c r="AJ435" s="26"/>
      <c r="AK435" s="374"/>
      <c r="AL435" s="374"/>
      <c r="AO435" s="294"/>
      <c r="AR435" s="374"/>
      <c r="AZ435" s="374"/>
      <c r="BE435" s="26"/>
      <c r="BF435" s="26"/>
      <c r="BG435" s="26"/>
      <c r="BH435" s="26"/>
      <c r="BI435" s="26"/>
      <c r="BJ435" s="26"/>
      <c r="BK435" s="26"/>
      <c r="BL435" s="26"/>
      <c r="BS435" s="20"/>
      <c r="BT435" s="26"/>
      <c r="BV435" s="381"/>
      <c r="BW435" s="229"/>
    </row>
    <row r="436" spans="33:75" x14ac:dyDescent="0.2">
      <c r="AG436" s="294"/>
      <c r="AH436" s="294"/>
      <c r="AI436" s="294"/>
      <c r="AJ436" s="26"/>
      <c r="AK436" s="374"/>
      <c r="AL436" s="374"/>
      <c r="AO436" s="294"/>
      <c r="AR436" s="374"/>
      <c r="AZ436" s="374"/>
      <c r="BE436" s="26"/>
      <c r="BF436" s="26"/>
      <c r="BG436" s="26"/>
      <c r="BH436" s="26"/>
      <c r="BI436" s="26"/>
      <c r="BJ436" s="26"/>
      <c r="BK436" s="26"/>
      <c r="BL436" s="26"/>
      <c r="BS436" s="20"/>
      <c r="BT436" s="26"/>
      <c r="BV436" s="381"/>
      <c r="BW436" s="229"/>
    </row>
    <row r="437" spans="33:75" x14ac:dyDescent="0.2">
      <c r="AG437" s="294"/>
      <c r="AH437" s="294"/>
      <c r="AI437" s="294"/>
      <c r="AJ437" s="26"/>
      <c r="AK437" s="374"/>
      <c r="AL437" s="374"/>
      <c r="AO437" s="294"/>
      <c r="AR437" s="374"/>
      <c r="AZ437" s="374"/>
      <c r="BE437" s="26"/>
      <c r="BF437" s="26"/>
      <c r="BG437" s="26"/>
      <c r="BH437" s="26"/>
      <c r="BI437" s="26"/>
      <c r="BJ437" s="26"/>
      <c r="BK437" s="26"/>
      <c r="BL437" s="26"/>
      <c r="BS437" s="20"/>
      <c r="BT437" s="26"/>
      <c r="BV437" s="381"/>
      <c r="BW437" s="229"/>
    </row>
    <row r="438" spans="33:75" x14ac:dyDescent="0.2">
      <c r="AG438" s="294"/>
      <c r="AH438" s="294"/>
      <c r="AI438" s="294"/>
      <c r="AJ438" s="26"/>
      <c r="AK438" s="374"/>
      <c r="AL438" s="374"/>
      <c r="AO438" s="294"/>
      <c r="AR438" s="374"/>
      <c r="AZ438" s="374"/>
      <c r="BE438" s="26"/>
      <c r="BF438" s="26"/>
      <c r="BG438" s="26"/>
      <c r="BH438" s="26"/>
      <c r="BI438" s="26"/>
      <c r="BJ438" s="26"/>
      <c r="BK438" s="26"/>
      <c r="BL438" s="26"/>
      <c r="BS438" s="20"/>
      <c r="BT438" s="26"/>
      <c r="BV438" s="381"/>
      <c r="BW438" s="229"/>
    </row>
    <row r="439" spans="33:75" x14ac:dyDescent="0.2">
      <c r="AG439" s="294"/>
      <c r="AH439" s="294"/>
      <c r="AI439" s="294"/>
      <c r="AJ439" s="26"/>
      <c r="AK439" s="374"/>
      <c r="AL439" s="374"/>
      <c r="AO439" s="294"/>
      <c r="AR439" s="374"/>
      <c r="AZ439" s="374"/>
      <c r="BE439" s="26"/>
      <c r="BF439" s="26"/>
      <c r="BG439" s="26"/>
      <c r="BH439" s="26"/>
      <c r="BI439" s="26"/>
      <c r="BJ439" s="26"/>
      <c r="BK439" s="26"/>
      <c r="BL439" s="26"/>
      <c r="BS439" s="20"/>
      <c r="BT439" s="26"/>
      <c r="BV439" s="381"/>
      <c r="BW439" s="229"/>
    </row>
    <row r="440" spans="33:75" x14ac:dyDescent="0.2">
      <c r="AG440" s="294"/>
      <c r="AH440" s="294"/>
      <c r="AI440" s="294"/>
      <c r="AJ440" s="26"/>
      <c r="AK440" s="374"/>
      <c r="AL440" s="374"/>
      <c r="AO440" s="294"/>
      <c r="AR440" s="374"/>
      <c r="AZ440" s="374"/>
      <c r="BE440" s="26"/>
      <c r="BF440" s="26"/>
      <c r="BG440" s="26"/>
      <c r="BH440" s="26"/>
      <c r="BI440" s="26"/>
      <c r="BJ440" s="26"/>
      <c r="BK440" s="26"/>
      <c r="BL440" s="26"/>
      <c r="BS440" s="20"/>
      <c r="BT440" s="26"/>
      <c r="BV440" s="381"/>
      <c r="BW440" s="229"/>
    </row>
    <row r="441" spans="33:75" x14ac:dyDescent="0.2">
      <c r="AG441" s="294"/>
      <c r="AH441" s="294"/>
      <c r="AI441" s="294"/>
      <c r="AJ441" s="26"/>
      <c r="AK441" s="374"/>
      <c r="AL441" s="374"/>
      <c r="AO441" s="294"/>
      <c r="AR441" s="374"/>
      <c r="AZ441" s="374"/>
      <c r="BE441" s="26"/>
      <c r="BF441" s="26"/>
      <c r="BG441" s="26"/>
      <c r="BH441" s="26"/>
      <c r="BI441" s="26"/>
      <c r="BJ441" s="26"/>
      <c r="BK441" s="26"/>
      <c r="BL441" s="26"/>
      <c r="BS441" s="20"/>
      <c r="BT441" s="26"/>
      <c r="BV441" s="381"/>
      <c r="BW441" s="229"/>
    </row>
    <row r="442" spans="33:75" x14ac:dyDescent="0.2">
      <c r="AG442" s="294"/>
      <c r="AH442" s="294"/>
      <c r="AI442" s="294"/>
      <c r="AJ442" s="26"/>
      <c r="AK442" s="374"/>
      <c r="AL442" s="374"/>
      <c r="AO442" s="294"/>
      <c r="AR442" s="374"/>
      <c r="AZ442" s="374"/>
      <c r="BE442" s="26"/>
      <c r="BF442" s="26"/>
      <c r="BG442" s="26"/>
      <c r="BH442" s="26"/>
      <c r="BI442" s="26"/>
      <c r="BJ442" s="26"/>
      <c r="BK442" s="26"/>
      <c r="BL442" s="26"/>
      <c r="BS442" s="20"/>
      <c r="BT442" s="26"/>
      <c r="BV442" s="381"/>
      <c r="BW442" s="229"/>
    </row>
    <row r="443" spans="33:75" x14ac:dyDescent="0.2">
      <c r="AG443" s="294"/>
      <c r="AH443" s="294"/>
      <c r="AI443" s="294"/>
      <c r="AJ443" s="26"/>
      <c r="AK443" s="374"/>
      <c r="AL443" s="374"/>
      <c r="AO443" s="294"/>
      <c r="AR443" s="374"/>
      <c r="AZ443" s="374"/>
      <c r="BE443" s="26"/>
      <c r="BF443" s="26"/>
      <c r="BG443" s="26"/>
      <c r="BH443" s="26"/>
      <c r="BI443" s="26"/>
      <c r="BJ443" s="26"/>
      <c r="BK443" s="26"/>
      <c r="BL443" s="26"/>
      <c r="BS443" s="20"/>
      <c r="BT443" s="26"/>
      <c r="BV443" s="381"/>
      <c r="BW443" s="229"/>
    </row>
    <row r="444" spans="33:75" x14ac:dyDescent="0.2">
      <c r="AG444" s="294"/>
      <c r="AH444" s="294"/>
      <c r="AI444" s="294"/>
      <c r="AJ444" s="26"/>
      <c r="AK444" s="374"/>
      <c r="AL444" s="374"/>
      <c r="AO444" s="294"/>
      <c r="AR444" s="374"/>
      <c r="AZ444" s="374"/>
      <c r="BE444" s="26"/>
      <c r="BF444" s="26"/>
      <c r="BG444" s="26"/>
      <c r="BH444" s="26"/>
      <c r="BI444" s="26"/>
      <c r="BJ444" s="26"/>
      <c r="BK444" s="26"/>
      <c r="BL444" s="26"/>
      <c r="BS444" s="20"/>
      <c r="BT444" s="26"/>
      <c r="BV444" s="381"/>
      <c r="BW444" s="229"/>
    </row>
    <row r="445" spans="33:75" x14ac:dyDescent="0.2">
      <c r="AG445" s="294"/>
      <c r="AH445" s="294"/>
      <c r="AI445" s="294"/>
      <c r="AJ445" s="26"/>
      <c r="AK445" s="374"/>
      <c r="AL445" s="374"/>
      <c r="AO445" s="294"/>
      <c r="AR445" s="374"/>
      <c r="AZ445" s="374"/>
      <c r="BE445" s="26"/>
      <c r="BF445" s="26"/>
      <c r="BG445" s="26"/>
      <c r="BH445" s="26"/>
      <c r="BI445" s="26"/>
      <c r="BJ445" s="26"/>
      <c r="BK445" s="26"/>
      <c r="BL445" s="26"/>
      <c r="BS445" s="20"/>
      <c r="BT445" s="26"/>
      <c r="BV445" s="381"/>
      <c r="BW445" s="229"/>
    </row>
    <row r="446" spans="33:75" x14ac:dyDescent="0.2">
      <c r="AG446" s="294"/>
      <c r="AH446" s="294"/>
      <c r="AI446" s="294"/>
      <c r="AJ446" s="26"/>
      <c r="AK446" s="374"/>
      <c r="AL446" s="374"/>
      <c r="AO446" s="294"/>
      <c r="AR446" s="374"/>
      <c r="AZ446" s="374"/>
      <c r="BE446" s="26"/>
      <c r="BF446" s="26"/>
      <c r="BG446" s="26"/>
      <c r="BH446" s="26"/>
      <c r="BI446" s="26"/>
      <c r="BJ446" s="26"/>
      <c r="BK446" s="26"/>
      <c r="BL446" s="26"/>
      <c r="BS446" s="20"/>
      <c r="BT446" s="26"/>
      <c r="BV446" s="381"/>
      <c r="BW446" s="229"/>
    </row>
    <row r="447" spans="33:75" x14ac:dyDescent="0.2">
      <c r="AG447" s="294"/>
      <c r="AH447" s="294"/>
      <c r="AI447" s="294"/>
      <c r="AJ447" s="26"/>
      <c r="AK447" s="374"/>
      <c r="AL447" s="374"/>
      <c r="AO447" s="294"/>
      <c r="AR447" s="374"/>
      <c r="AZ447" s="374"/>
      <c r="BE447" s="26"/>
      <c r="BF447" s="26"/>
      <c r="BG447" s="26"/>
      <c r="BH447" s="26"/>
      <c r="BI447" s="26"/>
      <c r="BJ447" s="26"/>
      <c r="BK447" s="26"/>
      <c r="BL447" s="26"/>
      <c r="BS447" s="20"/>
      <c r="BT447" s="26"/>
      <c r="BV447" s="381"/>
      <c r="BW447" s="229"/>
    </row>
    <row r="448" spans="33:75" x14ac:dyDescent="0.2">
      <c r="AG448" s="294"/>
      <c r="AH448" s="294"/>
      <c r="AI448" s="294"/>
      <c r="AJ448" s="26"/>
      <c r="AK448" s="374"/>
      <c r="AL448" s="374"/>
      <c r="AO448" s="294"/>
      <c r="AR448" s="374"/>
      <c r="AZ448" s="374"/>
      <c r="BE448" s="26"/>
      <c r="BF448" s="26"/>
      <c r="BG448" s="26"/>
      <c r="BH448" s="26"/>
      <c r="BI448" s="26"/>
      <c r="BJ448" s="26"/>
      <c r="BK448" s="26"/>
      <c r="BL448" s="26"/>
      <c r="BS448" s="20"/>
      <c r="BT448" s="26"/>
      <c r="BV448" s="381"/>
      <c r="BW448" s="229"/>
    </row>
    <row r="449" spans="33:75" x14ac:dyDescent="0.2">
      <c r="AG449" s="294"/>
      <c r="AH449" s="294"/>
      <c r="AI449" s="294"/>
      <c r="AJ449" s="26"/>
      <c r="AK449" s="374"/>
      <c r="AL449" s="374"/>
      <c r="AO449" s="294"/>
      <c r="AR449" s="374"/>
      <c r="AZ449" s="374"/>
      <c r="BE449" s="26"/>
      <c r="BF449" s="26"/>
      <c r="BG449" s="26"/>
      <c r="BH449" s="26"/>
      <c r="BI449" s="26"/>
      <c r="BJ449" s="26"/>
      <c r="BK449" s="26"/>
      <c r="BL449" s="26"/>
      <c r="BS449" s="20"/>
      <c r="BT449" s="26"/>
      <c r="BV449" s="381"/>
      <c r="BW449" s="229"/>
    </row>
    <row r="450" spans="33:75" x14ac:dyDescent="0.2">
      <c r="AG450" s="294"/>
      <c r="AH450" s="294"/>
      <c r="AI450" s="294"/>
      <c r="AJ450" s="26"/>
      <c r="AK450" s="374"/>
      <c r="AL450" s="374"/>
      <c r="AO450" s="294"/>
      <c r="AR450" s="374"/>
      <c r="AZ450" s="374"/>
      <c r="BE450" s="26"/>
      <c r="BF450" s="26"/>
      <c r="BG450" s="26"/>
      <c r="BH450" s="26"/>
      <c r="BI450" s="26"/>
      <c r="BJ450" s="26"/>
      <c r="BK450" s="26"/>
      <c r="BL450" s="26"/>
      <c r="BS450" s="20"/>
      <c r="BT450" s="26"/>
      <c r="BV450" s="381"/>
      <c r="BW450" s="229"/>
    </row>
    <row r="451" spans="33:75" x14ac:dyDescent="0.2">
      <c r="AG451" s="294"/>
      <c r="AH451" s="294"/>
      <c r="AI451" s="294"/>
      <c r="AJ451" s="26"/>
      <c r="AK451" s="374"/>
      <c r="AL451" s="374"/>
      <c r="AO451" s="294"/>
      <c r="AR451" s="374"/>
      <c r="AZ451" s="374"/>
      <c r="BE451" s="26"/>
      <c r="BF451" s="26"/>
      <c r="BG451" s="26"/>
      <c r="BH451" s="26"/>
      <c r="BI451" s="26"/>
      <c r="BJ451" s="26"/>
      <c r="BK451" s="26"/>
      <c r="BL451" s="26"/>
      <c r="BS451" s="20"/>
      <c r="BT451" s="26"/>
      <c r="BV451" s="381"/>
      <c r="BW451" s="229"/>
    </row>
    <row r="452" spans="33:75" x14ac:dyDescent="0.2">
      <c r="AG452" s="294"/>
      <c r="AH452" s="294"/>
      <c r="AI452" s="294"/>
      <c r="AJ452" s="26"/>
      <c r="AK452" s="374"/>
      <c r="AL452" s="374"/>
      <c r="AO452" s="294"/>
      <c r="AR452" s="374"/>
      <c r="AZ452" s="374"/>
      <c r="BE452" s="26"/>
      <c r="BF452" s="26"/>
      <c r="BG452" s="26"/>
      <c r="BH452" s="26"/>
      <c r="BI452" s="26"/>
      <c r="BJ452" s="26"/>
      <c r="BK452" s="26"/>
      <c r="BL452" s="26"/>
      <c r="BS452" s="20"/>
      <c r="BT452" s="26"/>
      <c r="BV452" s="381"/>
      <c r="BW452" s="229"/>
    </row>
    <row r="453" spans="33:75" x14ac:dyDescent="0.2">
      <c r="AG453" s="294"/>
      <c r="AH453" s="294"/>
      <c r="AI453" s="294"/>
      <c r="AJ453" s="26"/>
      <c r="AK453" s="374"/>
      <c r="AL453" s="374"/>
      <c r="AO453" s="294"/>
      <c r="AR453" s="374"/>
      <c r="AZ453" s="374"/>
      <c r="BE453" s="26"/>
      <c r="BF453" s="26"/>
      <c r="BG453" s="26"/>
      <c r="BH453" s="26"/>
      <c r="BI453" s="26"/>
      <c r="BJ453" s="26"/>
      <c r="BK453" s="26"/>
      <c r="BL453" s="26"/>
      <c r="BS453" s="20"/>
      <c r="BT453" s="26"/>
      <c r="BV453" s="381"/>
      <c r="BW453" s="229"/>
    </row>
    <row r="454" spans="33:75" x14ac:dyDescent="0.2">
      <c r="AG454" s="294"/>
      <c r="AH454" s="294"/>
      <c r="AI454" s="294"/>
      <c r="AJ454" s="26"/>
      <c r="AK454" s="374"/>
      <c r="AL454" s="374"/>
      <c r="AO454" s="294"/>
      <c r="AR454" s="374"/>
      <c r="AZ454" s="374"/>
      <c r="BE454" s="26"/>
      <c r="BF454" s="26"/>
      <c r="BG454" s="26"/>
      <c r="BH454" s="26"/>
      <c r="BI454" s="26"/>
      <c r="BJ454" s="26"/>
      <c r="BK454" s="26"/>
      <c r="BL454" s="26"/>
      <c r="BS454" s="20"/>
      <c r="BT454" s="26"/>
      <c r="BV454" s="381"/>
      <c r="BW454" s="229"/>
    </row>
    <row r="455" spans="33:75" x14ac:dyDescent="0.2">
      <c r="AG455" s="294"/>
      <c r="AH455" s="294"/>
      <c r="AI455" s="294"/>
      <c r="AJ455" s="26"/>
      <c r="AK455" s="374"/>
      <c r="AL455" s="374"/>
      <c r="AO455" s="294"/>
      <c r="AR455" s="374"/>
      <c r="AZ455" s="374"/>
      <c r="BE455" s="26"/>
      <c r="BF455" s="26"/>
      <c r="BG455" s="26"/>
      <c r="BH455" s="26"/>
      <c r="BI455" s="26"/>
      <c r="BJ455" s="26"/>
      <c r="BK455" s="26"/>
      <c r="BL455" s="26"/>
      <c r="BS455" s="20"/>
      <c r="BT455" s="26"/>
      <c r="BV455" s="381"/>
      <c r="BW455" s="229"/>
    </row>
    <row r="456" spans="33:75" x14ac:dyDescent="0.2">
      <c r="AG456" s="294"/>
      <c r="AH456" s="294"/>
      <c r="AI456" s="294"/>
      <c r="AJ456" s="26"/>
      <c r="AK456" s="374"/>
      <c r="AL456" s="374"/>
      <c r="AO456" s="294"/>
      <c r="AR456" s="374"/>
      <c r="AZ456" s="374"/>
      <c r="BE456" s="26"/>
      <c r="BF456" s="26"/>
      <c r="BG456" s="26"/>
      <c r="BH456" s="26"/>
      <c r="BI456" s="26"/>
      <c r="BJ456" s="26"/>
      <c r="BK456" s="26"/>
      <c r="BL456" s="26"/>
      <c r="BS456" s="20"/>
      <c r="BT456" s="26"/>
      <c r="BV456" s="381"/>
      <c r="BW456" s="229"/>
    </row>
    <row r="457" spans="33:75" x14ac:dyDescent="0.2">
      <c r="AG457" s="294"/>
      <c r="AH457" s="294"/>
      <c r="AI457" s="294"/>
      <c r="AJ457" s="26"/>
      <c r="AK457" s="374"/>
      <c r="AL457" s="374"/>
      <c r="AO457" s="294"/>
      <c r="AR457" s="374"/>
      <c r="AZ457" s="374"/>
      <c r="BE457" s="26"/>
      <c r="BF457" s="26"/>
      <c r="BG457" s="26"/>
      <c r="BH457" s="26"/>
      <c r="BI457" s="26"/>
      <c r="BJ457" s="26"/>
      <c r="BK457" s="26"/>
      <c r="BL457" s="26"/>
      <c r="BS457" s="20"/>
      <c r="BT457" s="26"/>
      <c r="BV457" s="381"/>
      <c r="BW457" s="229"/>
    </row>
    <row r="458" spans="33:75" x14ac:dyDescent="0.2">
      <c r="AG458" s="294"/>
      <c r="AH458" s="294"/>
      <c r="AI458" s="294"/>
      <c r="AJ458" s="26"/>
      <c r="AK458" s="374"/>
      <c r="AL458" s="374"/>
      <c r="AO458" s="294"/>
      <c r="AR458" s="374"/>
      <c r="AZ458" s="374"/>
      <c r="BE458" s="26"/>
      <c r="BF458" s="26"/>
      <c r="BG458" s="26"/>
      <c r="BH458" s="26"/>
      <c r="BI458" s="26"/>
      <c r="BJ458" s="26"/>
      <c r="BK458" s="26"/>
      <c r="BL458" s="26"/>
      <c r="BS458" s="20"/>
      <c r="BT458" s="26"/>
      <c r="BV458" s="381"/>
      <c r="BW458" s="229"/>
    </row>
    <row r="459" spans="33:75" x14ac:dyDescent="0.2">
      <c r="AG459" s="294"/>
      <c r="AH459" s="294"/>
      <c r="AI459" s="294"/>
      <c r="AJ459" s="26"/>
      <c r="AK459" s="374"/>
      <c r="AL459" s="374"/>
      <c r="AO459" s="294"/>
      <c r="AR459" s="374"/>
      <c r="AZ459" s="374"/>
      <c r="BE459" s="26"/>
      <c r="BF459" s="26"/>
      <c r="BG459" s="26"/>
      <c r="BH459" s="26"/>
      <c r="BI459" s="26"/>
      <c r="BJ459" s="26"/>
      <c r="BK459" s="26"/>
      <c r="BL459" s="26"/>
      <c r="BS459" s="20"/>
      <c r="BT459" s="26"/>
      <c r="BV459" s="381"/>
      <c r="BW459" s="229"/>
    </row>
    <row r="460" spans="33:75" x14ac:dyDescent="0.2">
      <c r="AG460" s="294"/>
      <c r="AH460" s="294"/>
      <c r="AI460" s="294"/>
      <c r="AJ460" s="26"/>
      <c r="AK460" s="374"/>
      <c r="AL460" s="374"/>
      <c r="AO460" s="294"/>
      <c r="AR460" s="374"/>
      <c r="AZ460" s="374"/>
      <c r="BE460" s="26"/>
      <c r="BF460" s="26"/>
      <c r="BG460" s="26"/>
      <c r="BH460" s="26"/>
      <c r="BI460" s="26"/>
      <c r="BJ460" s="26"/>
      <c r="BK460" s="26"/>
      <c r="BL460" s="26"/>
      <c r="BS460" s="20"/>
      <c r="BT460" s="26"/>
      <c r="BV460" s="381"/>
      <c r="BW460" s="229"/>
    </row>
    <row r="461" spans="33:75" x14ac:dyDescent="0.2">
      <c r="AG461" s="294"/>
      <c r="AH461" s="294"/>
      <c r="AI461" s="294"/>
      <c r="AJ461" s="26"/>
      <c r="AK461" s="374"/>
      <c r="AL461" s="374"/>
      <c r="AO461" s="294"/>
      <c r="AR461" s="374"/>
      <c r="AZ461" s="374"/>
      <c r="BE461" s="26"/>
      <c r="BF461" s="26"/>
      <c r="BG461" s="26"/>
      <c r="BH461" s="26"/>
      <c r="BI461" s="26"/>
      <c r="BJ461" s="26"/>
      <c r="BK461" s="26"/>
      <c r="BL461" s="26"/>
      <c r="BS461" s="20"/>
      <c r="BT461" s="26"/>
      <c r="BV461" s="381"/>
      <c r="BW461" s="229"/>
    </row>
    <row r="462" spans="33:75" x14ac:dyDescent="0.2">
      <c r="AG462" s="294"/>
      <c r="AH462" s="294"/>
      <c r="AI462" s="294"/>
      <c r="AJ462" s="26"/>
      <c r="AK462" s="374"/>
      <c r="AL462" s="374"/>
      <c r="AO462" s="294"/>
      <c r="AR462" s="374"/>
      <c r="AZ462" s="374"/>
      <c r="BE462" s="26"/>
      <c r="BF462" s="26"/>
      <c r="BG462" s="26"/>
      <c r="BH462" s="26"/>
      <c r="BI462" s="26"/>
      <c r="BJ462" s="26"/>
      <c r="BK462" s="26"/>
      <c r="BL462" s="26"/>
      <c r="BS462" s="20"/>
      <c r="BT462" s="26"/>
      <c r="BV462" s="381"/>
      <c r="BW462" s="229"/>
    </row>
    <row r="463" spans="33:75" x14ac:dyDescent="0.2">
      <c r="AG463" s="294"/>
      <c r="AH463" s="294"/>
      <c r="AI463" s="294"/>
      <c r="AJ463" s="26"/>
      <c r="AK463" s="374"/>
      <c r="AL463" s="374"/>
      <c r="AO463" s="294"/>
      <c r="AR463" s="374"/>
      <c r="AZ463" s="374"/>
      <c r="BE463" s="26"/>
      <c r="BF463" s="26"/>
      <c r="BG463" s="26"/>
      <c r="BH463" s="26"/>
      <c r="BI463" s="26"/>
      <c r="BJ463" s="26"/>
      <c r="BK463" s="26"/>
      <c r="BL463" s="26"/>
      <c r="BS463" s="20"/>
      <c r="BT463" s="26"/>
      <c r="BV463" s="381"/>
      <c r="BW463" s="229"/>
    </row>
    <row r="464" spans="33:75" x14ac:dyDescent="0.2">
      <c r="AG464" s="294"/>
      <c r="AH464" s="294"/>
      <c r="AI464" s="294"/>
      <c r="AJ464" s="26"/>
      <c r="AK464" s="374"/>
      <c r="AL464" s="374"/>
      <c r="AO464" s="294"/>
      <c r="AR464" s="374"/>
      <c r="AZ464" s="374"/>
      <c r="BE464" s="26"/>
      <c r="BF464" s="26"/>
      <c r="BG464" s="26"/>
      <c r="BH464" s="26"/>
      <c r="BI464" s="26"/>
      <c r="BJ464" s="26"/>
      <c r="BK464" s="26"/>
      <c r="BL464" s="26"/>
      <c r="BS464" s="20"/>
      <c r="BT464" s="26"/>
      <c r="BV464" s="381"/>
      <c r="BW464" s="229"/>
    </row>
    <row r="465" spans="33:75" x14ac:dyDescent="0.2">
      <c r="AG465" s="294"/>
      <c r="AH465" s="294"/>
      <c r="AI465" s="294"/>
      <c r="AJ465" s="26"/>
      <c r="AK465" s="374"/>
      <c r="AL465" s="374"/>
      <c r="AO465" s="294"/>
      <c r="AR465" s="374"/>
      <c r="AZ465" s="374"/>
      <c r="BE465" s="26"/>
      <c r="BF465" s="26"/>
      <c r="BG465" s="26"/>
      <c r="BH465" s="26"/>
      <c r="BI465" s="26"/>
      <c r="BJ465" s="26"/>
      <c r="BK465" s="26"/>
      <c r="BL465" s="26"/>
      <c r="BS465" s="20"/>
      <c r="BT465" s="26"/>
      <c r="BV465" s="381"/>
      <c r="BW465" s="229"/>
    </row>
    <row r="466" spans="33:75" x14ac:dyDescent="0.2">
      <c r="AG466" s="294"/>
      <c r="AH466" s="294"/>
      <c r="AI466" s="294"/>
      <c r="AJ466" s="26"/>
      <c r="AK466" s="374"/>
      <c r="AL466" s="374"/>
      <c r="AO466" s="294"/>
      <c r="AR466" s="374"/>
      <c r="AZ466" s="374"/>
      <c r="BE466" s="26"/>
      <c r="BF466" s="26"/>
      <c r="BG466" s="26"/>
      <c r="BH466" s="26"/>
      <c r="BI466" s="26"/>
      <c r="BJ466" s="26"/>
      <c r="BK466" s="26"/>
      <c r="BL466" s="26"/>
      <c r="BS466" s="20"/>
      <c r="BT466" s="26"/>
      <c r="BV466" s="381"/>
      <c r="BW466" s="229"/>
    </row>
    <row r="467" spans="33:75" x14ac:dyDescent="0.2">
      <c r="AG467" s="294"/>
      <c r="AH467" s="294"/>
      <c r="AI467" s="294"/>
      <c r="AJ467" s="26"/>
      <c r="AK467" s="374"/>
      <c r="AL467" s="374"/>
      <c r="AO467" s="294"/>
      <c r="AR467" s="374"/>
      <c r="AZ467" s="374"/>
      <c r="BE467" s="26"/>
      <c r="BF467" s="26"/>
      <c r="BG467" s="26"/>
      <c r="BH467" s="26"/>
      <c r="BI467" s="26"/>
      <c r="BJ467" s="26"/>
      <c r="BK467" s="26"/>
      <c r="BL467" s="26"/>
      <c r="BS467" s="20"/>
      <c r="BT467" s="26"/>
      <c r="BV467" s="381"/>
      <c r="BW467" s="229"/>
    </row>
    <row r="468" spans="33:75" x14ac:dyDescent="0.2">
      <c r="AG468" s="294"/>
      <c r="AH468" s="294"/>
      <c r="AI468" s="294"/>
      <c r="AJ468" s="26"/>
      <c r="AK468" s="374"/>
      <c r="AL468" s="374"/>
      <c r="AO468" s="294"/>
      <c r="AR468" s="374"/>
      <c r="AZ468" s="374"/>
      <c r="BE468" s="26"/>
      <c r="BF468" s="26"/>
      <c r="BG468" s="26"/>
      <c r="BH468" s="26"/>
      <c r="BI468" s="26"/>
      <c r="BJ468" s="26"/>
      <c r="BK468" s="26"/>
      <c r="BL468" s="26"/>
      <c r="BS468" s="20"/>
      <c r="BT468" s="26"/>
      <c r="BV468" s="381"/>
      <c r="BW468" s="229"/>
    </row>
    <row r="469" spans="33:75" x14ac:dyDescent="0.2">
      <c r="AG469" s="294"/>
      <c r="AH469" s="294"/>
      <c r="AI469" s="294"/>
      <c r="AJ469" s="26"/>
      <c r="AK469" s="374"/>
      <c r="AL469" s="374"/>
      <c r="AO469" s="294"/>
      <c r="AR469" s="374"/>
      <c r="AZ469" s="374"/>
      <c r="BE469" s="26"/>
      <c r="BF469" s="26"/>
      <c r="BG469" s="26"/>
      <c r="BH469" s="26"/>
      <c r="BI469" s="26"/>
      <c r="BJ469" s="26"/>
      <c r="BK469" s="26"/>
      <c r="BL469" s="26"/>
      <c r="BS469" s="20"/>
      <c r="BT469" s="26"/>
      <c r="BV469" s="381"/>
      <c r="BW469" s="229"/>
    </row>
    <row r="470" spans="33:75" x14ac:dyDescent="0.2">
      <c r="AG470" s="294"/>
      <c r="AH470" s="294"/>
      <c r="AI470" s="294"/>
      <c r="AJ470" s="26"/>
      <c r="AK470" s="374"/>
      <c r="AL470" s="374"/>
      <c r="AO470" s="294"/>
      <c r="AR470" s="374"/>
      <c r="AZ470" s="374"/>
      <c r="BE470" s="26"/>
      <c r="BF470" s="26"/>
      <c r="BG470" s="26"/>
      <c r="BH470" s="26"/>
      <c r="BI470" s="26"/>
      <c r="BJ470" s="26"/>
      <c r="BK470" s="26"/>
      <c r="BL470" s="26"/>
      <c r="BS470" s="20"/>
      <c r="BT470" s="26"/>
      <c r="BV470" s="381"/>
      <c r="BW470" s="229"/>
    </row>
    <row r="471" spans="33:75" x14ac:dyDescent="0.2">
      <c r="AG471" s="294"/>
      <c r="AH471" s="294"/>
      <c r="AI471" s="294"/>
      <c r="AJ471" s="26"/>
      <c r="AK471" s="374"/>
      <c r="AL471" s="374"/>
      <c r="AO471" s="294"/>
      <c r="AR471" s="374"/>
      <c r="AZ471" s="374"/>
      <c r="BE471" s="26"/>
      <c r="BF471" s="26"/>
      <c r="BG471" s="26"/>
      <c r="BH471" s="26"/>
      <c r="BI471" s="26"/>
      <c r="BJ471" s="26"/>
      <c r="BK471" s="26"/>
      <c r="BL471" s="26"/>
      <c r="BS471" s="20"/>
      <c r="BT471" s="26"/>
      <c r="BV471" s="381"/>
      <c r="BW471" s="229"/>
    </row>
    <row r="472" spans="33:75" x14ac:dyDescent="0.2">
      <c r="AG472" s="294"/>
      <c r="AH472" s="294"/>
      <c r="AI472" s="294"/>
      <c r="AJ472" s="26"/>
      <c r="AK472" s="374"/>
      <c r="AL472" s="374"/>
      <c r="AO472" s="294"/>
      <c r="AR472" s="374"/>
      <c r="AZ472" s="374"/>
      <c r="BE472" s="26"/>
      <c r="BF472" s="26"/>
      <c r="BG472" s="26"/>
      <c r="BH472" s="26"/>
      <c r="BI472" s="26"/>
      <c r="BJ472" s="26"/>
      <c r="BK472" s="26"/>
      <c r="BL472" s="26"/>
      <c r="BS472" s="20"/>
      <c r="BT472" s="26"/>
      <c r="BV472" s="381"/>
      <c r="BW472" s="229"/>
    </row>
    <row r="473" spans="33:75" x14ac:dyDescent="0.2">
      <c r="AG473" s="294"/>
      <c r="AH473" s="294"/>
      <c r="AI473" s="294"/>
      <c r="AJ473" s="26"/>
      <c r="AK473" s="374"/>
      <c r="AL473" s="374"/>
      <c r="AO473" s="294"/>
      <c r="AR473" s="374"/>
      <c r="AZ473" s="374"/>
      <c r="BE473" s="26"/>
      <c r="BF473" s="26"/>
      <c r="BG473" s="26"/>
      <c r="BH473" s="26"/>
      <c r="BI473" s="26"/>
      <c r="BJ473" s="26"/>
      <c r="BK473" s="26"/>
      <c r="BL473" s="26"/>
      <c r="BS473" s="20"/>
      <c r="BT473" s="26"/>
      <c r="BV473" s="381"/>
      <c r="BW473" s="229"/>
    </row>
    <row r="474" spans="33:75" x14ac:dyDescent="0.2">
      <c r="AG474" s="294"/>
      <c r="AH474" s="294"/>
      <c r="AI474" s="294"/>
      <c r="AJ474" s="26"/>
      <c r="AK474" s="374"/>
      <c r="AL474" s="374"/>
      <c r="AO474" s="294"/>
      <c r="AR474" s="374"/>
      <c r="AZ474" s="374"/>
      <c r="BE474" s="26"/>
      <c r="BF474" s="26"/>
      <c r="BG474" s="26"/>
      <c r="BH474" s="26"/>
      <c r="BI474" s="26"/>
      <c r="BJ474" s="26"/>
      <c r="BK474" s="26"/>
      <c r="BL474" s="26"/>
      <c r="BS474" s="20"/>
      <c r="BT474" s="26"/>
      <c r="BV474" s="381"/>
      <c r="BW474" s="229"/>
    </row>
    <row r="475" spans="33:75" x14ac:dyDescent="0.2">
      <c r="AG475" s="294"/>
      <c r="AH475" s="294"/>
      <c r="AI475" s="294"/>
      <c r="AJ475" s="26"/>
      <c r="AK475" s="374"/>
      <c r="AL475" s="374"/>
      <c r="AO475" s="294"/>
      <c r="AR475" s="374"/>
      <c r="AZ475" s="374"/>
      <c r="BE475" s="26"/>
      <c r="BF475" s="26"/>
      <c r="BG475" s="26"/>
      <c r="BH475" s="26"/>
      <c r="BI475" s="26"/>
      <c r="BJ475" s="26"/>
      <c r="BK475" s="26"/>
      <c r="BL475" s="26"/>
      <c r="BS475" s="20"/>
      <c r="BT475" s="26"/>
      <c r="BV475" s="381"/>
      <c r="BW475" s="229"/>
    </row>
    <row r="476" spans="33:75" x14ac:dyDescent="0.2">
      <c r="AG476" s="294"/>
      <c r="AH476" s="294"/>
      <c r="AI476" s="294"/>
      <c r="AJ476" s="26"/>
      <c r="AK476" s="374"/>
      <c r="AL476" s="374"/>
      <c r="AO476" s="294"/>
      <c r="AR476" s="374"/>
      <c r="AZ476" s="374"/>
      <c r="BE476" s="26"/>
      <c r="BF476" s="26"/>
      <c r="BG476" s="26"/>
      <c r="BH476" s="26"/>
      <c r="BI476" s="26"/>
      <c r="BJ476" s="26"/>
      <c r="BK476" s="26"/>
      <c r="BL476" s="26"/>
      <c r="BS476" s="20"/>
      <c r="BT476" s="26"/>
      <c r="BV476" s="381"/>
      <c r="BW476" s="229"/>
    </row>
    <row r="477" spans="33:75" x14ac:dyDescent="0.2">
      <c r="AG477" s="294"/>
      <c r="AH477" s="294"/>
      <c r="AI477" s="294"/>
      <c r="AJ477" s="26"/>
      <c r="AK477" s="374"/>
      <c r="AL477" s="374"/>
      <c r="AO477" s="294"/>
      <c r="AR477" s="374"/>
      <c r="AZ477" s="374"/>
      <c r="BE477" s="26"/>
      <c r="BF477" s="26"/>
      <c r="BG477" s="26"/>
      <c r="BH477" s="26"/>
      <c r="BI477" s="26"/>
      <c r="BJ477" s="26"/>
      <c r="BK477" s="26"/>
      <c r="BL477" s="26"/>
      <c r="BS477" s="20"/>
      <c r="BT477" s="26"/>
      <c r="BV477" s="381"/>
      <c r="BW477" s="229"/>
    </row>
    <row r="478" spans="33:75" x14ac:dyDescent="0.2">
      <c r="AG478" s="294"/>
      <c r="AH478" s="294"/>
      <c r="AI478" s="294"/>
      <c r="AJ478" s="26"/>
      <c r="AK478" s="374"/>
      <c r="AL478" s="374"/>
      <c r="AO478" s="294"/>
      <c r="AR478" s="374"/>
      <c r="AZ478" s="374"/>
      <c r="BE478" s="26"/>
      <c r="BF478" s="26"/>
      <c r="BG478" s="26"/>
      <c r="BH478" s="26"/>
      <c r="BI478" s="26"/>
      <c r="BJ478" s="26"/>
      <c r="BK478" s="26"/>
      <c r="BL478" s="26"/>
      <c r="BS478" s="20"/>
      <c r="BT478" s="26"/>
      <c r="BV478" s="381"/>
      <c r="BW478" s="229"/>
    </row>
    <row r="479" spans="33:75" x14ac:dyDescent="0.2">
      <c r="AG479" s="294"/>
      <c r="AH479" s="294"/>
      <c r="AI479" s="294"/>
      <c r="AJ479" s="26"/>
      <c r="AK479" s="374"/>
      <c r="AL479" s="374"/>
      <c r="AO479" s="294"/>
      <c r="AR479" s="374"/>
      <c r="AZ479" s="374"/>
      <c r="BE479" s="26"/>
      <c r="BF479" s="26"/>
      <c r="BG479" s="26"/>
      <c r="BH479" s="26"/>
      <c r="BI479" s="26"/>
      <c r="BJ479" s="26"/>
      <c r="BK479" s="26"/>
      <c r="BL479" s="26"/>
      <c r="BS479" s="20"/>
      <c r="BT479" s="26"/>
      <c r="BV479" s="381"/>
      <c r="BW479" s="229"/>
    </row>
    <row r="480" spans="33:75" x14ac:dyDescent="0.2">
      <c r="AG480" s="294"/>
      <c r="AH480" s="294"/>
      <c r="AI480" s="294"/>
      <c r="AJ480" s="26"/>
      <c r="AK480" s="374"/>
      <c r="AL480" s="374"/>
      <c r="AO480" s="294"/>
      <c r="AR480" s="374"/>
      <c r="AZ480" s="374"/>
      <c r="BE480" s="26"/>
      <c r="BF480" s="26"/>
      <c r="BG480" s="26"/>
      <c r="BH480" s="26"/>
      <c r="BI480" s="26"/>
      <c r="BJ480" s="26"/>
      <c r="BK480" s="26"/>
      <c r="BL480" s="26"/>
      <c r="BS480" s="20"/>
      <c r="BT480" s="26"/>
      <c r="BV480" s="381"/>
      <c r="BW480" s="229"/>
    </row>
    <row r="481" spans="33:75" x14ac:dyDescent="0.2">
      <c r="AG481" s="294"/>
      <c r="AH481" s="294"/>
      <c r="AI481" s="294"/>
      <c r="AJ481" s="26"/>
      <c r="AK481" s="374"/>
      <c r="AL481" s="374"/>
      <c r="AO481" s="294"/>
      <c r="AR481" s="374"/>
      <c r="AZ481" s="374"/>
      <c r="BE481" s="26"/>
      <c r="BF481" s="26"/>
      <c r="BG481" s="26"/>
      <c r="BH481" s="26"/>
      <c r="BI481" s="26"/>
      <c r="BJ481" s="26"/>
      <c r="BK481" s="26"/>
      <c r="BL481" s="26"/>
      <c r="BS481" s="20"/>
      <c r="BT481" s="26"/>
      <c r="BV481" s="381"/>
      <c r="BW481" s="229"/>
    </row>
    <row r="482" spans="33:75" x14ac:dyDescent="0.2">
      <c r="AG482" s="294"/>
      <c r="AH482" s="294"/>
      <c r="AI482" s="294"/>
      <c r="AJ482" s="26"/>
      <c r="AK482" s="374"/>
      <c r="AL482" s="374"/>
      <c r="AO482" s="294"/>
      <c r="AR482" s="374"/>
      <c r="AZ482" s="374"/>
      <c r="BE482" s="26"/>
      <c r="BF482" s="26"/>
      <c r="BG482" s="26"/>
      <c r="BH482" s="26"/>
      <c r="BI482" s="26"/>
      <c r="BJ482" s="26"/>
      <c r="BK482" s="26"/>
      <c r="BL482" s="26"/>
      <c r="BS482" s="20"/>
      <c r="BT482" s="26"/>
      <c r="BV482" s="381"/>
      <c r="BW482" s="229"/>
    </row>
    <row r="483" spans="33:75" x14ac:dyDescent="0.2">
      <c r="AG483" s="294"/>
      <c r="AH483" s="294"/>
      <c r="AI483" s="294"/>
      <c r="AJ483" s="26"/>
      <c r="AK483" s="374"/>
      <c r="AL483" s="374"/>
      <c r="AO483" s="294"/>
      <c r="AR483" s="374"/>
      <c r="AZ483" s="374"/>
      <c r="BE483" s="26"/>
      <c r="BF483" s="26"/>
      <c r="BG483" s="26"/>
      <c r="BH483" s="26"/>
      <c r="BI483" s="26"/>
      <c r="BJ483" s="26"/>
      <c r="BK483" s="26"/>
      <c r="BL483" s="26"/>
      <c r="BS483" s="20"/>
      <c r="BT483" s="26"/>
      <c r="BV483" s="381"/>
      <c r="BW483" s="229"/>
    </row>
    <row r="484" spans="33:75" x14ac:dyDescent="0.2">
      <c r="AG484" s="294"/>
      <c r="AH484" s="294"/>
      <c r="AI484" s="294"/>
      <c r="AJ484" s="26"/>
      <c r="AK484" s="374"/>
      <c r="AL484" s="374"/>
      <c r="AO484" s="294"/>
      <c r="AR484" s="374"/>
      <c r="AZ484" s="374"/>
      <c r="BE484" s="26"/>
      <c r="BF484" s="26"/>
      <c r="BG484" s="26"/>
      <c r="BH484" s="26"/>
      <c r="BI484" s="26"/>
      <c r="BJ484" s="26"/>
      <c r="BK484" s="26"/>
      <c r="BL484" s="26"/>
      <c r="BS484" s="20"/>
      <c r="BT484" s="26"/>
      <c r="BV484" s="381"/>
      <c r="BW484" s="229"/>
    </row>
    <row r="485" spans="33:75" x14ac:dyDescent="0.2">
      <c r="AG485" s="294"/>
      <c r="AH485" s="294"/>
      <c r="AI485" s="294"/>
      <c r="AJ485" s="26"/>
      <c r="AK485" s="374"/>
      <c r="AL485" s="374"/>
      <c r="AO485" s="294"/>
      <c r="AR485" s="374"/>
      <c r="AZ485" s="374"/>
      <c r="BE485" s="26"/>
      <c r="BF485" s="26"/>
      <c r="BG485" s="26"/>
      <c r="BH485" s="26"/>
      <c r="BI485" s="26"/>
      <c r="BJ485" s="26"/>
      <c r="BK485" s="26"/>
      <c r="BL485" s="26"/>
      <c r="BS485" s="20"/>
      <c r="BT485" s="26"/>
      <c r="BV485" s="381"/>
      <c r="BW485" s="229"/>
    </row>
    <row r="486" spans="33:75" x14ac:dyDescent="0.2">
      <c r="AG486" s="294"/>
      <c r="AH486" s="294"/>
      <c r="AI486" s="294"/>
      <c r="AJ486" s="26"/>
      <c r="AK486" s="374"/>
      <c r="AL486" s="374"/>
      <c r="AO486" s="294"/>
      <c r="AR486" s="374"/>
      <c r="AZ486" s="374"/>
      <c r="BE486" s="26"/>
      <c r="BF486" s="26"/>
      <c r="BG486" s="26"/>
      <c r="BH486" s="26"/>
      <c r="BI486" s="26"/>
      <c r="BJ486" s="26"/>
      <c r="BK486" s="26"/>
      <c r="BL486" s="26"/>
      <c r="BS486" s="20"/>
      <c r="BT486" s="26"/>
      <c r="BV486" s="381"/>
      <c r="BW486" s="229"/>
    </row>
    <row r="487" spans="33:75" x14ac:dyDescent="0.2">
      <c r="AG487" s="294"/>
      <c r="AH487" s="294"/>
      <c r="AI487" s="294"/>
      <c r="AJ487" s="26"/>
      <c r="AK487" s="374"/>
      <c r="AL487" s="374"/>
      <c r="AO487" s="294"/>
      <c r="AR487" s="374"/>
      <c r="AZ487" s="374"/>
      <c r="BE487" s="26"/>
      <c r="BF487" s="26"/>
      <c r="BG487" s="26"/>
      <c r="BH487" s="26"/>
      <c r="BI487" s="26"/>
      <c r="BJ487" s="26"/>
      <c r="BK487" s="26"/>
      <c r="BL487" s="26"/>
      <c r="BS487" s="20"/>
      <c r="BT487" s="26"/>
      <c r="BV487" s="381"/>
      <c r="BW487" s="229"/>
    </row>
    <row r="488" spans="33:75" x14ac:dyDescent="0.2">
      <c r="AG488" s="294"/>
      <c r="AH488" s="294"/>
      <c r="AI488" s="294"/>
      <c r="AJ488" s="26"/>
      <c r="AK488" s="374"/>
      <c r="AL488" s="374"/>
      <c r="AO488" s="294"/>
      <c r="AR488" s="374"/>
      <c r="AZ488" s="374"/>
      <c r="BE488" s="26"/>
      <c r="BF488" s="26"/>
      <c r="BG488" s="26"/>
      <c r="BH488" s="26"/>
      <c r="BI488" s="26"/>
      <c r="BJ488" s="26"/>
      <c r="BK488" s="26"/>
      <c r="BL488" s="26"/>
      <c r="BS488" s="20"/>
      <c r="BT488" s="26"/>
      <c r="BV488" s="381"/>
      <c r="BW488" s="229"/>
    </row>
    <row r="489" spans="33:75" x14ac:dyDescent="0.2">
      <c r="AG489" s="294"/>
      <c r="AH489" s="294"/>
      <c r="AI489" s="294"/>
      <c r="AJ489" s="26"/>
      <c r="AK489" s="374"/>
      <c r="AL489" s="374"/>
      <c r="AO489" s="294"/>
      <c r="AR489" s="374"/>
      <c r="AZ489" s="374"/>
      <c r="BE489" s="26"/>
      <c r="BF489" s="26"/>
      <c r="BG489" s="26"/>
      <c r="BH489" s="26"/>
      <c r="BI489" s="26"/>
      <c r="BJ489" s="26"/>
      <c r="BK489" s="26"/>
      <c r="BL489" s="26"/>
      <c r="BS489" s="20"/>
      <c r="BT489" s="26"/>
      <c r="BV489" s="381"/>
      <c r="BW489" s="229"/>
    </row>
    <row r="490" spans="33:75" x14ac:dyDescent="0.2">
      <c r="AG490" s="294"/>
      <c r="AH490" s="294"/>
      <c r="AI490" s="294"/>
      <c r="AJ490" s="26"/>
      <c r="AK490" s="374"/>
      <c r="AL490" s="374"/>
      <c r="AO490" s="294"/>
      <c r="AR490" s="374"/>
      <c r="AZ490" s="374"/>
      <c r="BE490" s="26"/>
      <c r="BF490" s="26"/>
      <c r="BG490" s="26"/>
      <c r="BH490" s="26"/>
      <c r="BI490" s="26"/>
      <c r="BJ490" s="26"/>
      <c r="BK490" s="26"/>
      <c r="BL490" s="26"/>
      <c r="BS490" s="20"/>
      <c r="BT490" s="26"/>
      <c r="BV490" s="381"/>
      <c r="BW490" s="229"/>
    </row>
    <row r="491" spans="33:75" x14ac:dyDescent="0.2">
      <c r="AG491" s="294"/>
      <c r="AH491" s="294"/>
      <c r="AI491" s="294"/>
      <c r="AJ491" s="26"/>
      <c r="AK491" s="374"/>
      <c r="AL491" s="374"/>
      <c r="AO491" s="294"/>
      <c r="AR491" s="374"/>
      <c r="AZ491" s="374"/>
      <c r="BE491" s="26"/>
      <c r="BF491" s="26"/>
      <c r="BG491" s="26"/>
      <c r="BH491" s="26"/>
      <c r="BI491" s="26"/>
      <c r="BJ491" s="26"/>
      <c r="BK491" s="26"/>
      <c r="BL491" s="26"/>
      <c r="BS491" s="20"/>
      <c r="BT491" s="26"/>
      <c r="BV491" s="381"/>
      <c r="BW491" s="229"/>
    </row>
    <row r="492" spans="33:75" x14ac:dyDescent="0.2">
      <c r="AG492" s="294"/>
      <c r="AH492" s="294"/>
      <c r="AI492" s="294"/>
      <c r="AJ492" s="26"/>
      <c r="AK492" s="374"/>
      <c r="AL492" s="374"/>
      <c r="AO492" s="294"/>
      <c r="AR492" s="374"/>
      <c r="AZ492" s="374"/>
      <c r="BE492" s="26"/>
      <c r="BF492" s="26"/>
      <c r="BG492" s="26"/>
      <c r="BH492" s="26"/>
      <c r="BI492" s="26"/>
      <c r="BJ492" s="26"/>
      <c r="BK492" s="26"/>
      <c r="BL492" s="26"/>
      <c r="BS492" s="20"/>
      <c r="BT492" s="26"/>
      <c r="BV492" s="381"/>
      <c r="BW492" s="229"/>
    </row>
    <row r="493" spans="33:75" x14ac:dyDescent="0.2">
      <c r="AG493" s="294"/>
      <c r="AH493" s="294"/>
      <c r="AI493" s="294"/>
      <c r="AJ493" s="26"/>
      <c r="AK493" s="374"/>
      <c r="AL493" s="374"/>
      <c r="AO493" s="294"/>
      <c r="AR493" s="374"/>
      <c r="AZ493" s="374"/>
      <c r="BE493" s="26"/>
      <c r="BF493" s="26"/>
      <c r="BG493" s="26"/>
      <c r="BH493" s="26"/>
      <c r="BI493" s="26"/>
      <c r="BJ493" s="26"/>
      <c r="BK493" s="26"/>
      <c r="BL493" s="26"/>
      <c r="BS493" s="20"/>
      <c r="BT493" s="26"/>
      <c r="BV493" s="381"/>
      <c r="BW493" s="229"/>
    </row>
    <row r="494" spans="33:75" x14ac:dyDescent="0.2">
      <c r="AG494" s="294"/>
      <c r="AH494" s="294"/>
      <c r="AI494" s="294"/>
      <c r="AJ494" s="26"/>
      <c r="AK494" s="374"/>
      <c r="AL494" s="374"/>
      <c r="AO494" s="294"/>
      <c r="AR494" s="374"/>
      <c r="AZ494" s="374"/>
      <c r="BE494" s="26"/>
      <c r="BF494" s="26"/>
      <c r="BG494" s="26"/>
      <c r="BH494" s="26"/>
      <c r="BI494" s="26"/>
      <c r="BJ494" s="26"/>
      <c r="BK494" s="26"/>
      <c r="BL494" s="26"/>
      <c r="BS494" s="20"/>
      <c r="BT494" s="26"/>
      <c r="BV494" s="381"/>
      <c r="BW494" s="229"/>
    </row>
    <row r="495" spans="33:75" x14ac:dyDescent="0.2">
      <c r="AG495" s="294"/>
      <c r="AH495" s="294"/>
      <c r="AI495" s="294"/>
      <c r="AJ495" s="26"/>
      <c r="AK495" s="374"/>
      <c r="AL495" s="374"/>
      <c r="AO495" s="294"/>
      <c r="AR495" s="374"/>
      <c r="AZ495" s="374"/>
      <c r="BE495" s="26"/>
      <c r="BF495" s="26"/>
      <c r="BG495" s="26"/>
      <c r="BH495" s="26"/>
      <c r="BI495" s="26"/>
      <c r="BJ495" s="26"/>
      <c r="BK495" s="26"/>
      <c r="BL495" s="26"/>
      <c r="BS495" s="20"/>
      <c r="BT495" s="26"/>
      <c r="BV495" s="381"/>
      <c r="BW495" s="229"/>
    </row>
    <row r="496" spans="33:75" x14ac:dyDescent="0.2">
      <c r="AG496" s="294"/>
      <c r="AH496" s="294"/>
      <c r="AI496" s="294"/>
      <c r="AJ496" s="26"/>
      <c r="AK496" s="374"/>
      <c r="AL496" s="374"/>
      <c r="AO496" s="294"/>
      <c r="AR496" s="374"/>
      <c r="AZ496" s="374"/>
      <c r="BE496" s="26"/>
      <c r="BF496" s="26"/>
      <c r="BG496" s="26"/>
      <c r="BH496" s="26"/>
      <c r="BI496" s="26"/>
      <c r="BJ496" s="26"/>
      <c r="BK496" s="26"/>
      <c r="BL496" s="26"/>
      <c r="BS496" s="20"/>
      <c r="BT496" s="26"/>
      <c r="BV496" s="381"/>
      <c r="BW496" s="229"/>
    </row>
    <row r="497" spans="33:75" x14ac:dyDescent="0.2">
      <c r="AG497" s="294"/>
      <c r="AH497" s="294"/>
      <c r="AI497" s="294"/>
      <c r="AJ497" s="26"/>
      <c r="AK497" s="374"/>
      <c r="AL497" s="374"/>
      <c r="AO497" s="294"/>
      <c r="AR497" s="374"/>
      <c r="AZ497" s="374"/>
      <c r="BE497" s="26"/>
      <c r="BF497" s="26"/>
      <c r="BG497" s="26"/>
      <c r="BH497" s="26"/>
      <c r="BI497" s="26"/>
      <c r="BJ497" s="26"/>
      <c r="BK497" s="26"/>
      <c r="BL497" s="26"/>
      <c r="BS497" s="20"/>
      <c r="BT497" s="26"/>
      <c r="BV497" s="381"/>
      <c r="BW497" s="229"/>
    </row>
    <row r="498" spans="33:75" x14ac:dyDescent="0.2">
      <c r="AG498" s="294"/>
      <c r="AH498" s="294"/>
      <c r="AI498" s="294"/>
      <c r="AJ498" s="26"/>
      <c r="AK498" s="374"/>
      <c r="AL498" s="374"/>
      <c r="AO498" s="294"/>
      <c r="AR498" s="374"/>
      <c r="AZ498" s="374"/>
      <c r="BE498" s="26"/>
      <c r="BF498" s="26"/>
      <c r="BG498" s="26"/>
      <c r="BH498" s="26"/>
      <c r="BI498" s="26"/>
      <c r="BJ498" s="26"/>
      <c r="BK498" s="26"/>
      <c r="BL498" s="26"/>
      <c r="BS498" s="20"/>
      <c r="BT498" s="26"/>
      <c r="BV498" s="381"/>
      <c r="BW498" s="229"/>
    </row>
    <row r="499" spans="33:75" x14ac:dyDescent="0.2">
      <c r="AG499" s="294"/>
      <c r="AH499" s="294"/>
      <c r="AI499" s="294"/>
      <c r="AJ499" s="26"/>
      <c r="AK499" s="374"/>
      <c r="AL499" s="374"/>
      <c r="AO499" s="294"/>
      <c r="AR499" s="374"/>
      <c r="AZ499" s="374"/>
      <c r="BE499" s="26"/>
      <c r="BF499" s="26"/>
      <c r="BG499" s="26"/>
      <c r="BH499" s="26"/>
      <c r="BI499" s="26"/>
      <c r="BJ499" s="26"/>
      <c r="BK499" s="26"/>
      <c r="BL499" s="26"/>
      <c r="BS499" s="20"/>
      <c r="BT499" s="26"/>
      <c r="BV499" s="381"/>
      <c r="BW499" s="229"/>
    </row>
    <row r="500" spans="33:75" x14ac:dyDescent="0.2">
      <c r="AG500" s="294"/>
      <c r="AH500" s="294"/>
      <c r="AI500" s="294"/>
      <c r="AJ500" s="26"/>
      <c r="AK500" s="374"/>
      <c r="AL500" s="374"/>
      <c r="AO500" s="294"/>
      <c r="AR500" s="374"/>
      <c r="AZ500" s="374"/>
      <c r="BE500" s="26"/>
      <c r="BF500" s="26"/>
      <c r="BG500" s="26"/>
      <c r="BH500" s="26"/>
      <c r="BI500" s="26"/>
      <c r="BJ500" s="26"/>
      <c r="BK500" s="26"/>
      <c r="BL500" s="26"/>
      <c r="BS500" s="20"/>
      <c r="BT500" s="26"/>
      <c r="BV500" s="381"/>
      <c r="BW500" s="229"/>
    </row>
    <row r="501" spans="33:75" x14ac:dyDescent="0.2">
      <c r="AG501" s="294"/>
      <c r="AH501" s="294"/>
      <c r="AI501" s="294"/>
      <c r="AJ501" s="26"/>
      <c r="AK501" s="374"/>
      <c r="AL501" s="374"/>
      <c r="AO501" s="294"/>
      <c r="AR501" s="374"/>
      <c r="AZ501" s="374"/>
      <c r="BE501" s="26"/>
      <c r="BF501" s="26"/>
      <c r="BG501" s="26"/>
      <c r="BH501" s="26"/>
      <c r="BI501" s="26"/>
      <c r="BJ501" s="26"/>
      <c r="BK501" s="26"/>
      <c r="BL501" s="26"/>
      <c r="BS501" s="20"/>
      <c r="BT501" s="26"/>
      <c r="BV501" s="381"/>
      <c r="BW501" s="229"/>
    </row>
    <row r="502" spans="33:75" x14ac:dyDescent="0.2">
      <c r="AG502" s="294"/>
      <c r="AH502" s="294"/>
      <c r="AI502" s="294"/>
      <c r="AJ502" s="26"/>
      <c r="AK502" s="374"/>
      <c r="AL502" s="374"/>
      <c r="AO502" s="294"/>
      <c r="AR502" s="374"/>
      <c r="AZ502" s="374"/>
      <c r="BE502" s="26"/>
      <c r="BF502" s="26"/>
      <c r="BG502" s="26"/>
      <c r="BH502" s="26"/>
      <c r="BI502" s="26"/>
      <c r="BJ502" s="26"/>
      <c r="BK502" s="26"/>
      <c r="BL502" s="26"/>
      <c r="BS502" s="20"/>
      <c r="BT502" s="26"/>
      <c r="BV502" s="381"/>
      <c r="BW502" s="229"/>
    </row>
    <row r="503" spans="33:75" x14ac:dyDescent="0.2">
      <c r="AG503" s="294"/>
      <c r="AH503" s="294"/>
      <c r="AI503" s="294"/>
      <c r="AJ503" s="26"/>
      <c r="AK503" s="374"/>
      <c r="AL503" s="374"/>
      <c r="AO503" s="294"/>
      <c r="AR503" s="374"/>
      <c r="AZ503" s="374"/>
      <c r="BE503" s="26"/>
      <c r="BF503" s="26"/>
      <c r="BG503" s="26"/>
      <c r="BH503" s="26"/>
      <c r="BI503" s="26"/>
      <c r="BJ503" s="26"/>
      <c r="BK503" s="26"/>
      <c r="BL503" s="26"/>
      <c r="BS503" s="20"/>
      <c r="BT503" s="26"/>
      <c r="BV503" s="381"/>
      <c r="BW503" s="229"/>
    </row>
    <row r="504" spans="33:75" x14ac:dyDescent="0.2">
      <c r="AG504" s="294"/>
      <c r="AH504" s="294"/>
      <c r="AI504" s="294"/>
      <c r="AJ504" s="26"/>
      <c r="AK504" s="374"/>
      <c r="AL504" s="374"/>
      <c r="AO504" s="294"/>
      <c r="AR504" s="374"/>
      <c r="AZ504" s="374"/>
      <c r="BE504" s="26"/>
      <c r="BF504" s="26"/>
      <c r="BG504" s="26"/>
      <c r="BH504" s="26"/>
      <c r="BI504" s="26"/>
      <c r="BJ504" s="26"/>
      <c r="BK504" s="26"/>
      <c r="BL504" s="26"/>
      <c r="BS504" s="20"/>
      <c r="BT504" s="26"/>
      <c r="BV504" s="381"/>
      <c r="BW504" s="229"/>
    </row>
    <row r="505" spans="33:75" x14ac:dyDescent="0.2">
      <c r="AG505" s="294"/>
      <c r="AH505" s="294"/>
      <c r="AI505" s="294"/>
      <c r="AJ505" s="26"/>
      <c r="AK505" s="374"/>
      <c r="AL505" s="374"/>
      <c r="AO505" s="294"/>
      <c r="AR505" s="374"/>
      <c r="AZ505" s="374"/>
      <c r="BE505" s="26"/>
      <c r="BF505" s="26"/>
      <c r="BG505" s="26"/>
      <c r="BH505" s="26"/>
      <c r="BI505" s="26"/>
      <c r="BJ505" s="26"/>
      <c r="BK505" s="26"/>
      <c r="BL505" s="26"/>
      <c r="BS505" s="20"/>
      <c r="BT505" s="26"/>
      <c r="BV505" s="381"/>
      <c r="BW505" s="229"/>
    </row>
    <row r="506" spans="33:75" x14ac:dyDescent="0.2">
      <c r="AG506" s="294"/>
      <c r="AH506" s="294"/>
      <c r="AI506" s="294"/>
      <c r="AJ506" s="26"/>
      <c r="AK506" s="374"/>
      <c r="AL506" s="374"/>
      <c r="AO506" s="294"/>
      <c r="AR506" s="374"/>
      <c r="AZ506" s="374"/>
      <c r="BE506" s="26"/>
      <c r="BF506" s="26"/>
      <c r="BG506" s="26"/>
      <c r="BH506" s="26"/>
      <c r="BI506" s="26"/>
      <c r="BJ506" s="26"/>
      <c r="BK506" s="26"/>
      <c r="BL506" s="26"/>
      <c r="BS506" s="20"/>
      <c r="BT506" s="26"/>
      <c r="BV506" s="381"/>
      <c r="BW506" s="229"/>
    </row>
    <row r="507" spans="33:75" x14ac:dyDescent="0.2">
      <c r="AG507" s="294"/>
      <c r="AH507" s="294"/>
      <c r="AI507" s="294"/>
      <c r="AJ507" s="26"/>
      <c r="AK507" s="374"/>
      <c r="AL507" s="374"/>
      <c r="AO507" s="294"/>
      <c r="AR507" s="374"/>
      <c r="AZ507" s="374"/>
      <c r="BE507" s="26"/>
      <c r="BF507" s="26"/>
      <c r="BG507" s="26"/>
      <c r="BH507" s="26"/>
      <c r="BI507" s="26"/>
      <c r="BJ507" s="26"/>
      <c r="BK507" s="26"/>
      <c r="BL507" s="26"/>
      <c r="BS507" s="20"/>
      <c r="BT507" s="26"/>
      <c r="BV507" s="381"/>
      <c r="BW507" s="229"/>
    </row>
    <row r="508" spans="33:75" x14ac:dyDescent="0.2">
      <c r="AG508" s="294"/>
      <c r="AH508" s="294"/>
      <c r="AI508" s="294"/>
      <c r="AJ508" s="26"/>
      <c r="AK508" s="374"/>
      <c r="AL508" s="374"/>
      <c r="AO508" s="294"/>
      <c r="AR508" s="374"/>
      <c r="AZ508" s="374"/>
      <c r="BE508" s="26"/>
      <c r="BF508" s="26"/>
      <c r="BG508" s="26"/>
      <c r="BH508" s="26"/>
      <c r="BI508" s="26"/>
      <c r="BJ508" s="26"/>
      <c r="BK508" s="26"/>
      <c r="BL508" s="26"/>
      <c r="BS508" s="20"/>
      <c r="BT508" s="26"/>
      <c r="BV508" s="381"/>
      <c r="BW508" s="229"/>
    </row>
    <row r="509" spans="33:75" x14ac:dyDescent="0.2">
      <c r="AG509" s="294"/>
      <c r="AH509" s="294"/>
      <c r="AI509" s="294"/>
      <c r="AJ509" s="26"/>
      <c r="AK509" s="374"/>
      <c r="AL509" s="374"/>
      <c r="AO509" s="294"/>
      <c r="AR509" s="374"/>
      <c r="AZ509" s="374"/>
      <c r="BE509" s="26"/>
      <c r="BF509" s="26"/>
      <c r="BG509" s="26"/>
      <c r="BH509" s="26"/>
      <c r="BI509" s="26"/>
      <c r="BJ509" s="26"/>
      <c r="BK509" s="26"/>
      <c r="BL509" s="26"/>
      <c r="BS509" s="20"/>
      <c r="BT509" s="26"/>
      <c r="BV509" s="381"/>
      <c r="BW509" s="229"/>
    </row>
    <row r="510" spans="33:75" x14ac:dyDescent="0.2">
      <c r="AG510" s="294"/>
      <c r="AH510" s="294"/>
      <c r="AI510" s="294"/>
      <c r="AJ510" s="26"/>
      <c r="AK510" s="374"/>
      <c r="AL510" s="374"/>
      <c r="AO510" s="294"/>
      <c r="AR510" s="374"/>
      <c r="AZ510" s="374"/>
      <c r="BE510" s="26"/>
      <c r="BF510" s="26"/>
      <c r="BG510" s="26"/>
      <c r="BH510" s="26"/>
      <c r="BI510" s="26"/>
      <c r="BJ510" s="26"/>
      <c r="BK510" s="26"/>
      <c r="BL510" s="26"/>
      <c r="BS510" s="20"/>
      <c r="BT510" s="26"/>
      <c r="BV510" s="381"/>
      <c r="BW510" s="229"/>
    </row>
    <row r="511" spans="33:75" x14ac:dyDescent="0.2">
      <c r="AG511" s="294"/>
      <c r="AH511" s="294"/>
      <c r="AI511" s="294"/>
      <c r="AJ511" s="26"/>
      <c r="AK511" s="374"/>
      <c r="AL511" s="374"/>
      <c r="AO511" s="294"/>
      <c r="AR511" s="374"/>
      <c r="AZ511" s="374"/>
      <c r="BE511" s="26"/>
      <c r="BF511" s="26"/>
      <c r="BG511" s="26"/>
      <c r="BH511" s="26"/>
      <c r="BI511" s="26"/>
      <c r="BJ511" s="26"/>
      <c r="BK511" s="26"/>
      <c r="BL511" s="26"/>
      <c r="BS511" s="20"/>
      <c r="BT511" s="26"/>
      <c r="BV511" s="381"/>
      <c r="BW511" s="229"/>
    </row>
    <row r="512" spans="33:75" x14ac:dyDescent="0.2">
      <c r="AG512" s="294"/>
      <c r="AH512" s="294"/>
      <c r="AI512" s="294"/>
      <c r="AJ512" s="26"/>
      <c r="AK512" s="374"/>
      <c r="AL512" s="374"/>
      <c r="AO512" s="294"/>
      <c r="AR512" s="374"/>
      <c r="AZ512" s="374"/>
      <c r="BE512" s="26"/>
      <c r="BF512" s="26"/>
      <c r="BG512" s="26"/>
      <c r="BH512" s="26"/>
      <c r="BI512" s="26"/>
      <c r="BJ512" s="26"/>
      <c r="BK512" s="26"/>
      <c r="BL512" s="26"/>
      <c r="BS512" s="20"/>
      <c r="BT512" s="26"/>
      <c r="BV512" s="381"/>
      <c r="BW512" s="229"/>
    </row>
    <row r="513" spans="33:75" x14ac:dyDescent="0.2">
      <c r="AG513" s="294"/>
      <c r="AH513" s="294"/>
      <c r="AI513" s="294"/>
      <c r="AJ513" s="26"/>
      <c r="AK513" s="374"/>
      <c r="AL513" s="374"/>
      <c r="AO513" s="294"/>
      <c r="AR513" s="374"/>
      <c r="AZ513" s="374"/>
      <c r="BE513" s="26"/>
      <c r="BF513" s="26"/>
      <c r="BG513" s="26"/>
      <c r="BH513" s="26"/>
      <c r="BI513" s="26"/>
      <c r="BJ513" s="26"/>
      <c r="BK513" s="26"/>
      <c r="BL513" s="26"/>
      <c r="BS513" s="20"/>
      <c r="BT513" s="26"/>
      <c r="BV513" s="381"/>
      <c r="BW513" s="229"/>
    </row>
    <row r="514" spans="33:75" x14ac:dyDescent="0.2">
      <c r="AG514" s="294"/>
      <c r="AH514" s="294"/>
      <c r="AI514" s="294"/>
      <c r="AJ514" s="26"/>
      <c r="AK514" s="374"/>
      <c r="AL514" s="374"/>
      <c r="AO514" s="294"/>
      <c r="AR514" s="374"/>
      <c r="AZ514" s="374"/>
      <c r="BE514" s="26"/>
      <c r="BF514" s="26"/>
      <c r="BG514" s="26"/>
      <c r="BH514" s="26"/>
      <c r="BI514" s="26"/>
      <c r="BJ514" s="26"/>
      <c r="BK514" s="26"/>
      <c r="BL514" s="26"/>
      <c r="BS514" s="20"/>
      <c r="BT514" s="26"/>
      <c r="BV514" s="381"/>
      <c r="BW514" s="229"/>
    </row>
    <row r="515" spans="33:75" x14ac:dyDescent="0.2">
      <c r="AG515" s="294"/>
      <c r="AH515" s="294"/>
      <c r="AI515" s="294"/>
      <c r="AJ515" s="26"/>
      <c r="AK515" s="374"/>
      <c r="AL515" s="374"/>
      <c r="AO515" s="294"/>
      <c r="AR515" s="374"/>
      <c r="AZ515" s="374"/>
      <c r="BE515" s="26"/>
      <c r="BF515" s="26"/>
      <c r="BG515" s="26"/>
      <c r="BH515" s="26"/>
      <c r="BI515" s="26"/>
      <c r="BJ515" s="26"/>
      <c r="BK515" s="26"/>
      <c r="BL515" s="26"/>
      <c r="BS515" s="20"/>
      <c r="BT515" s="26"/>
      <c r="BV515" s="381"/>
      <c r="BW515" s="229"/>
    </row>
    <row r="516" spans="33:75" x14ac:dyDescent="0.2">
      <c r="AG516" s="294"/>
      <c r="AH516" s="294"/>
      <c r="AI516" s="294"/>
      <c r="AJ516" s="26"/>
      <c r="AK516" s="374"/>
      <c r="AL516" s="374"/>
      <c r="AO516" s="294"/>
      <c r="AR516" s="374"/>
      <c r="AZ516" s="374"/>
      <c r="BE516" s="26"/>
      <c r="BF516" s="26"/>
      <c r="BG516" s="26"/>
      <c r="BH516" s="26"/>
      <c r="BI516" s="26"/>
      <c r="BJ516" s="26"/>
      <c r="BK516" s="26"/>
      <c r="BL516" s="26"/>
      <c r="BS516" s="20"/>
      <c r="BT516" s="26"/>
      <c r="BV516" s="381"/>
      <c r="BW516" s="229"/>
    </row>
    <row r="517" spans="33:75" x14ac:dyDescent="0.2">
      <c r="AG517" s="294"/>
      <c r="AH517" s="294"/>
      <c r="AI517" s="294"/>
      <c r="AJ517" s="26"/>
      <c r="AK517" s="374"/>
      <c r="AL517" s="374"/>
      <c r="AO517" s="294"/>
      <c r="AR517" s="374"/>
      <c r="AZ517" s="374"/>
      <c r="BE517" s="26"/>
      <c r="BF517" s="26"/>
      <c r="BG517" s="26"/>
      <c r="BH517" s="26"/>
      <c r="BI517" s="26"/>
      <c r="BJ517" s="26"/>
      <c r="BK517" s="26"/>
      <c r="BL517" s="26"/>
      <c r="BS517" s="20"/>
      <c r="BT517" s="26"/>
      <c r="BV517" s="381"/>
      <c r="BW517" s="229"/>
    </row>
    <row r="518" spans="33:75" x14ac:dyDescent="0.2">
      <c r="AG518" s="294"/>
      <c r="AH518" s="294"/>
      <c r="AI518" s="294"/>
      <c r="AJ518" s="26"/>
      <c r="AK518" s="374"/>
      <c r="AL518" s="374"/>
      <c r="AO518" s="294"/>
      <c r="AR518" s="374"/>
      <c r="AZ518" s="374"/>
      <c r="BE518" s="26"/>
      <c r="BF518" s="26"/>
      <c r="BG518" s="26"/>
      <c r="BH518" s="26"/>
      <c r="BI518" s="26"/>
      <c r="BJ518" s="26"/>
      <c r="BK518" s="26"/>
      <c r="BL518" s="26"/>
      <c r="BS518" s="20"/>
      <c r="BT518" s="26"/>
      <c r="BV518" s="381"/>
      <c r="BW518" s="229"/>
    </row>
    <row r="519" spans="33:75" x14ac:dyDescent="0.2">
      <c r="AG519" s="294"/>
      <c r="AH519" s="294"/>
      <c r="AI519" s="294"/>
      <c r="AJ519" s="26"/>
      <c r="AK519" s="374"/>
      <c r="AL519" s="374"/>
      <c r="AO519" s="294"/>
      <c r="AR519" s="374"/>
      <c r="AZ519" s="374"/>
      <c r="BE519" s="26"/>
      <c r="BF519" s="26"/>
      <c r="BG519" s="26"/>
      <c r="BH519" s="26"/>
      <c r="BI519" s="26"/>
      <c r="BJ519" s="26"/>
      <c r="BK519" s="26"/>
      <c r="BL519" s="26"/>
      <c r="BS519" s="20"/>
      <c r="BT519" s="26"/>
      <c r="BV519" s="381"/>
      <c r="BW519" s="229"/>
    </row>
    <row r="520" spans="33:75" x14ac:dyDescent="0.2">
      <c r="AG520" s="294"/>
      <c r="AH520" s="294"/>
      <c r="AI520" s="294"/>
      <c r="AJ520" s="26"/>
      <c r="AK520" s="374"/>
      <c r="AL520" s="374"/>
      <c r="AO520" s="294"/>
      <c r="AR520" s="374"/>
      <c r="AZ520" s="374"/>
      <c r="BE520" s="26"/>
      <c r="BF520" s="26"/>
      <c r="BG520" s="26"/>
      <c r="BH520" s="26"/>
      <c r="BI520" s="26"/>
      <c r="BJ520" s="26"/>
      <c r="BK520" s="26"/>
      <c r="BL520" s="26"/>
      <c r="BS520" s="20"/>
      <c r="BT520" s="26"/>
      <c r="BV520" s="381"/>
      <c r="BW520" s="229"/>
    </row>
    <row r="521" spans="33:75" x14ac:dyDescent="0.2">
      <c r="AG521" s="294"/>
      <c r="AH521" s="294"/>
      <c r="AI521" s="294"/>
      <c r="AJ521" s="26"/>
      <c r="AK521" s="374"/>
      <c r="AL521" s="374"/>
      <c r="AO521" s="294"/>
      <c r="AR521" s="374"/>
      <c r="AZ521" s="374"/>
      <c r="BE521" s="26"/>
      <c r="BF521" s="26"/>
      <c r="BG521" s="26"/>
      <c r="BH521" s="26"/>
      <c r="BI521" s="26"/>
      <c r="BJ521" s="26"/>
      <c r="BK521" s="26"/>
      <c r="BL521" s="26"/>
      <c r="BS521" s="20"/>
      <c r="BT521" s="26"/>
      <c r="BV521" s="381"/>
      <c r="BW521" s="229"/>
    </row>
    <row r="522" spans="33:75" x14ac:dyDescent="0.2">
      <c r="AG522" s="294"/>
      <c r="AH522" s="294"/>
      <c r="AI522" s="294"/>
      <c r="AJ522" s="26"/>
      <c r="AK522" s="374"/>
      <c r="AL522" s="374"/>
      <c r="AO522" s="294"/>
      <c r="AR522" s="374"/>
      <c r="AZ522" s="374"/>
      <c r="BE522" s="26"/>
      <c r="BF522" s="26"/>
      <c r="BG522" s="26"/>
      <c r="BH522" s="26"/>
      <c r="BI522" s="26"/>
      <c r="BJ522" s="26"/>
      <c r="BK522" s="26"/>
      <c r="BL522" s="26"/>
      <c r="BS522" s="20"/>
      <c r="BT522" s="26"/>
      <c r="BV522" s="381"/>
      <c r="BW522" s="229"/>
    </row>
    <row r="523" spans="33:75" x14ac:dyDescent="0.2">
      <c r="AG523" s="294"/>
      <c r="AH523" s="294"/>
      <c r="AI523" s="294"/>
      <c r="AJ523" s="26"/>
      <c r="AK523" s="374"/>
      <c r="AL523" s="374"/>
      <c r="AO523" s="294"/>
      <c r="AR523" s="374"/>
      <c r="AZ523" s="374"/>
      <c r="BE523" s="26"/>
      <c r="BF523" s="26"/>
      <c r="BG523" s="26"/>
      <c r="BH523" s="26"/>
      <c r="BI523" s="26"/>
      <c r="BJ523" s="26"/>
      <c r="BK523" s="26"/>
      <c r="BL523" s="26"/>
      <c r="BS523" s="20"/>
      <c r="BT523" s="26"/>
      <c r="BV523" s="381"/>
      <c r="BW523" s="229"/>
    </row>
    <row r="524" spans="33:75" x14ac:dyDescent="0.2">
      <c r="AG524" s="294"/>
      <c r="AH524" s="294"/>
      <c r="AI524" s="294"/>
      <c r="AJ524" s="26"/>
      <c r="AK524" s="374"/>
      <c r="AL524" s="374"/>
      <c r="AO524" s="294"/>
      <c r="AR524" s="374"/>
      <c r="AZ524" s="374"/>
      <c r="BE524" s="26"/>
      <c r="BF524" s="26"/>
      <c r="BG524" s="26"/>
      <c r="BH524" s="26"/>
      <c r="BI524" s="26"/>
      <c r="BJ524" s="26"/>
      <c r="BK524" s="26"/>
      <c r="BL524" s="26"/>
      <c r="BS524" s="20"/>
      <c r="BT524" s="26"/>
      <c r="BV524" s="381"/>
      <c r="BW524" s="229"/>
    </row>
    <row r="525" spans="33:75" x14ac:dyDescent="0.2">
      <c r="AG525" s="294"/>
      <c r="AH525" s="294"/>
      <c r="AI525" s="294"/>
      <c r="AJ525" s="26"/>
      <c r="AK525" s="374"/>
      <c r="AL525" s="374"/>
      <c r="AO525" s="294"/>
      <c r="AR525" s="374"/>
      <c r="AZ525" s="374"/>
      <c r="BE525" s="26"/>
      <c r="BF525" s="26"/>
      <c r="BG525" s="26"/>
      <c r="BH525" s="26"/>
      <c r="BI525" s="26"/>
      <c r="BJ525" s="26"/>
      <c r="BK525" s="26"/>
      <c r="BL525" s="26"/>
      <c r="BS525" s="20"/>
      <c r="BT525" s="26"/>
      <c r="BV525" s="381"/>
      <c r="BW525" s="229"/>
    </row>
    <row r="526" spans="33:75" x14ac:dyDescent="0.2">
      <c r="AG526" s="294"/>
      <c r="AH526" s="294"/>
      <c r="AI526" s="294"/>
      <c r="AJ526" s="26"/>
      <c r="AK526" s="374"/>
      <c r="AL526" s="374"/>
      <c r="AO526" s="294"/>
      <c r="AR526" s="374"/>
      <c r="AZ526" s="374"/>
      <c r="BE526" s="26"/>
      <c r="BF526" s="26"/>
      <c r="BG526" s="26"/>
      <c r="BH526" s="26"/>
      <c r="BI526" s="26"/>
      <c r="BJ526" s="26"/>
      <c r="BK526" s="26"/>
      <c r="BL526" s="26"/>
      <c r="BS526" s="20"/>
      <c r="BT526" s="26"/>
      <c r="BV526" s="381"/>
      <c r="BW526" s="229"/>
    </row>
    <row r="527" spans="33:75" x14ac:dyDescent="0.2">
      <c r="AG527" s="294"/>
      <c r="AH527" s="294"/>
      <c r="AI527" s="294"/>
      <c r="AJ527" s="26"/>
      <c r="AK527" s="374"/>
      <c r="AL527" s="374"/>
      <c r="AO527" s="294"/>
      <c r="AR527" s="374"/>
      <c r="AZ527" s="374"/>
      <c r="BE527" s="26"/>
      <c r="BF527" s="26"/>
      <c r="BG527" s="26"/>
      <c r="BH527" s="26"/>
      <c r="BI527" s="26"/>
      <c r="BJ527" s="26"/>
      <c r="BK527" s="26"/>
      <c r="BL527" s="26"/>
      <c r="BS527" s="20"/>
      <c r="BT527" s="26"/>
      <c r="BV527" s="381"/>
      <c r="BW527" s="229"/>
    </row>
    <row r="528" spans="33:75" x14ac:dyDescent="0.2">
      <c r="AG528" s="294"/>
      <c r="AH528" s="294"/>
      <c r="AI528" s="294"/>
      <c r="AJ528" s="26"/>
      <c r="AK528" s="374"/>
      <c r="AL528" s="374"/>
      <c r="AO528" s="294"/>
      <c r="AR528" s="374"/>
      <c r="AZ528" s="374"/>
      <c r="BE528" s="26"/>
      <c r="BF528" s="26"/>
      <c r="BG528" s="26"/>
      <c r="BH528" s="26"/>
      <c r="BI528" s="26"/>
      <c r="BJ528" s="26"/>
      <c r="BK528" s="26"/>
      <c r="BL528" s="26"/>
      <c r="BS528" s="20"/>
      <c r="BT528" s="26"/>
      <c r="BV528" s="381"/>
      <c r="BW528" s="229"/>
    </row>
    <row r="529" spans="33:75" x14ac:dyDescent="0.2">
      <c r="AG529" s="294"/>
      <c r="AH529" s="294"/>
      <c r="AI529" s="294"/>
      <c r="AJ529" s="26"/>
      <c r="AK529" s="374"/>
      <c r="AL529" s="374"/>
      <c r="AO529" s="294"/>
      <c r="AR529" s="374"/>
      <c r="AZ529" s="374"/>
      <c r="BE529" s="26"/>
      <c r="BF529" s="26"/>
      <c r="BG529" s="26"/>
      <c r="BH529" s="26"/>
      <c r="BI529" s="26"/>
      <c r="BJ529" s="26"/>
      <c r="BK529" s="26"/>
      <c r="BL529" s="26"/>
      <c r="BS529" s="20"/>
      <c r="BT529" s="26"/>
      <c r="BV529" s="381"/>
      <c r="BW529" s="229"/>
    </row>
    <row r="530" spans="33:75" x14ac:dyDescent="0.2">
      <c r="AG530" s="294"/>
      <c r="AH530" s="294"/>
      <c r="AI530" s="294"/>
      <c r="AJ530" s="26"/>
      <c r="AK530" s="374"/>
      <c r="AL530" s="374"/>
      <c r="AO530" s="294"/>
      <c r="AR530" s="374"/>
      <c r="AZ530" s="374"/>
      <c r="BE530" s="26"/>
      <c r="BF530" s="26"/>
      <c r="BG530" s="26"/>
      <c r="BH530" s="26"/>
      <c r="BI530" s="26"/>
      <c r="BJ530" s="26"/>
      <c r="BK530" s="26"/>
      <c r="BL530" s="26"/>
      <c r="BS530" s="20"/>
      <c r="BT530" s="26"/>
      <c r="BV530" s="381"/>
      <c r="BW530" s="229"/>
    </row>
    <row r="531" spans="33:75" x14ac:dyDescent="0.2">
      <c r="AG531" s="294"/>
      <c r="AH531" s="294"/>
      <c r="AI531" s="294"/>
      <c r="AJ531" s="26"/>
      <c r="AK531" s="374"/>
      <c r="AL531" s="374"/>
      <c r="AO531" s="294"/>
      <c r="AR531" s="374"/>
      <c r="AZ531" s="374"/>
      <c r="BE531" s="26"/>
      <c r="BF531" s="26"/>
      <c r="BG531" s="26"/>
      <c r="BH531" s="26"/>
      <c r="BI531" s="26"/>
      <c r="BJ531" s="26"/>
      <c r="BK531" s="26"/>
      <c r="BL531" s="26"/>
      <c r="BS531" s="20"/>
      <c r="BT531" s="26"/>
      <c r="BV531" s="381"/>
      <c r="BW531" s="229"/>
    </row>
    <row r="532" spans="33:75" x14ac:dyDescent="0.2">
      <c r="AG532" s="294"/>
      <c r="AH532" s="294"/>
      <c r="AI532" s="294"/>
      <c r="AJ532" s="26"/>
      <c r="AK532" s="374"/>
      <c r="AL532" s="374"/>
      <c r="AO532" s="294"/>
      <c r="AR532" s="374"/>
      <c r="AZ532" s="374"/>
      <c r="BE532" s="26"/>
      <c r="BF532" s="26"/>
      <c r="BG532" s="26"/>
      <c r="BH532" s="26"/>
      <c r="BI532" s="26"/>
      <c r="BJ532" s="26"/>
      <c r="BK532" s="26"/>
      <c r="BL532" s="26"/>
      <c r="BS532" s="20"/>
      <c r="BT532" s="26"/>
      <c r="BV532" s="381"/>
      <c r="BW532" s="229"/>
    </row>
    <row r="533" spans="33:75" x14ac:dyDescent="0.2">
      <c r="AG533" s="294"/>
      <c r="AH533" s="294"/>
      <c r="AI533" s="294"/>
      <c r="AJ533" s="26"/>
      <c r="AK533" s="374"/>
      <c r="AL533" s="374"/>
      <c r="AO533" s="294"/>
      <c r="AR533" s="374"/>
      <c r="AZ533" s="374"/>
      <c r="BE533" s="26"/>
      <c r="BF533" s="26"/>
      <c r="BG533" s="26"/>
      <c r="BH533" s="26"/>
      <c r="BI533" s="26"/>
      <c r="BJ533" s="26"/>
      <c r="BK533" s="26"/>
      <c r="BL533" s="26"/>
      <c r="BS533" s="20"/>
      <c r="BT533" s="26"/>
      <c r="BV533" s="381"/>
      <c r="BW533" s="229"/>
    </row>
    <row r="534" spans="33:75" x14ac:dyDescent="0.2">
      <c r="AG534" s="294"/>
      <c r="AH534" s="294"/>
      <c r="AI534" s="294"/>
      <c r="AJ534" s="26"/>
      <c r="AK534" s="374"/>
      <c r="AL534" s="374"/>
      <c r="AO534" s="294"/>
      <c r="AR534" s="374"/>
      <c r="AZ534" s="374"/>
      <c r="BE534" s="26"/>
      <c r="BF534" s="26"/>
      <c r="BG534" s="26"/>
      <c r="BH534" s="26"/>
      <c r="BI534" s="26"/>
      <c r="BJ534" s="26"/>
      <c r="BK534" s="26"/>
      <c r="BL534" s="26"/>
      <c r="BS534" s="20"/>
      <c r="BT534" s="26"/>
      <c r="BV534" s="381"/>
      <c r="BW534" s="229"/>
    </row>
    <row r="535" spans="33:75" x14ac:dyDescent="0.2">
      <c r="AG535" s="294"/>
      <c r="AH535" s="294"/>
      <c r="AI535" s="294"/>
      <c r="AJ535" s="26"/>
      <c r="AK535" s="374"/>
      <c r="AL535" s="374"/>
      <c r="AO535" s="294"/>
      <c r="AR535" s="374"/>
      <c r="AZ535" s="374"/>
      <c r="BE535" s="26"/>
      <c r="BF535" s="26"/>
      <c r="BG535" s="26"/>
      <c r="BH535" s="26"/>
      <c r="BI535" s="26"/>
      <c r="BJ535" s="26"/>
      <c r="BK535" s="26"/>
      <c r="BL535" s="26"/>
      <c r="BS535" s="20"/>
      <c r="BT535" s="26"/>
      <c r="BV535" s="381"/>
      <c r="BW535" s="229"/>
    </row>
    <row r="536" spans="33:75" x14ac:dyDescent="0.2">
      <c r="AG536" s="294"/>
      <c r="AH536" s="294"/>
      <c r="AI536" s="294"/>
      <c r="AJ536" s="26"/>
      <c r="AK536" s="374"/>
      <c r="AL536" s="374"/>
      <c r="AO536" s="294"/>
      <c r="AR536" s="374"/>
      <c r="AZ536" s="374"/>
      <c r="BE536" s="26"/>
      <c r="BF536" s="26"/>
      <c r="BG536" s="26"/>
      <c r="BH536" s="26"/>
      <c r="BI536" s="26"/>
      <c r="BJ536" s="26"/>
      <c r="BK536" s="26"/>
      <c r="BL536" s="26"/>
      <c r="BS536" s="20"/>
      <c r="BT536" s="26"/>
      <c r="BV536" s="381"/>
      <c r="BW536" s="229"/>
    </row>
    <row r="537" spans="33:75" x14ac:dyDescent="0.2">
      <c r="AG537" s="294"/>
      <c r="AH537" s="294"/>
      <c r="AI537" s="294"/>
      <c r="AJ537" s="26"/>
      <c r="AK537" s="374"/>
      <c r="AL537" s="374"/>
      <c r="AO537" s="294"/>
      <c r="AR537" s="374"/>
      <c r="AZ537" s="374"/>
      <c r="BE537" s="26"/>
      <c r="BF537" s="26"/>
      <c r="BG537" s="26"/>
      <c r="BH537" s="26"/>
      <c r="BI537" s="26"/>
      <c r="BJ537" s="26"/>
      <c r="BK537" s="26"/>
      <c r="BL537" s="26"/>
      <c r="BS537" s="20"/>
      <c r="BT537" s="26"/>
      <c r="BV537" s="381"/>
      <c r="BW537" s="229"/>
    </row>
    <row r="538" spans="33:75" x14ac:dyDescent="0.2">
      <c r="AG538" s="294"/>
      <c r="AH538" s="294"/>
      <c r="AI538" s="294"/>
      <c r="AJ538" s="26"/>
      <c r="AK538" s="374"/>
      <c r="AL538" s="374"/>
      <c r="AO538" s="294"/>
      <c r="AR538" s="374"/>
      <c r="AZ538" s="374"/>
      <c r="BE538" s="26"/>
      <c r="BF538" s="26"/>
      <c r="BG538" s="26"/>
      <c r="BH538" s="26"/>
      <c r="BI538" s="26"/>
      <c r="BJ538" s="26"/>
      <c r="BK538" s="26"/>
      <c r="BL538" s="26"/>
      <c r="BS538" s="20"/>
      <c r="BT538" s="26"/>
      <c r="BV538" s="381"/>
      <c r="BW538" s="229"/>
    </row>
    <row r="539" spans="33:75" x14ac:dyDescent="0.2">
      <c r="AG539" s="294"/>
      <c r="AH539" s="294"/>
      <c r="AI539" s="294"/>
      <c r="AJ539" s="26"/>
      <c r="AK539" s="374"/>
      <c r="AL539" s="374"/>
      <c r="AO539" s="294"/>
      <c r="AR539" s="374"/>
      <c r="AZ539" s="374"/>
      <c r="BE539" s="26"/>
      <c r="BF539" s="26"/>
      <c r="BG539" s="26"/>
      <c r="BH539" s="26"/>
      <c r="BI539" s="26"/>
      <c r="BJ539" s="26"/>
      <c r="BK539" s="26"/>
      <c r="BL539" s="26"/>
      <c r="BS539" s="20"/>
      <c r="BT539" s="26"/>
      <c r="BV539" s="381"/>
      <c r="BW539" s="229"/>
    </row>
    <row r="540" spans="33:75" x14ac:dyDescent="0.2">
      <c r="AG540" s="294"/>
      <c r="AH540" s="294"/>
      <c r="AI540" s="294"/>
      <c r="AJ540" s="26"/>
      <c r="AK540" s="374"/>
      <c r="AL540" s="374"/>
      <c r="AO540" s="294"/>
      <c r="AR540" s="374"/>
      <c r="AZ540" s="374"/>
      <c r="BE540" s="26"/>
      <c r="BF540" s="26"/>
      <c r="BG540" s="26"/>
      <c r="BH540" s="26"/>
      <c r="BI540" s="26"/>
      <c r="BJ540" s="26"/>
      <c r="BK540" s="26"/>
      <c r="BL540" s="26"/>
      <c r="BS540" s="20"/>
      <c r="BT540" s="26"/>
      <c r="BV540" s="381"/>
      <c r="BW540" s="229"/>
    </row>
    <row r="541" spans="33:75" x14ac:dyDescent="0.2">
      <c r="AG541" s="294"/>
      <c r="AH541" s="294"/>
      <c r="AI541" s="294"/>
      <c r="AJ541" s="26"/>
      <c r="AK541" s="374"/>
      <c r="AL541" s="374"/>
      <c r="AO541" s="294"/>
      <c r="AR541" s="374"/>
      <c r="AZ541" s="374"/>
      <c r="BE541" s="26"/>
      <c r="BF541" s="26"/>
      <c r="BG541" s="26"/>
      <c r="BH541" s="26"/>
      <c r="BI541" s="26"/>
      <c r="BJ541" s="26"/>
      <c r="BK541" s="26"/>
      <c r="BL541" s="26"/>
      <c r="BS541" s="20"/>
      <c r="BT541" s="26"/>
      <c r="BV541" s="381"/>
      <c r="BW541" s="229"/>
    </row>
    <row r="542" spans="33:75" x14ac:dyDescent="0.2">
      <c r="AG542" s="294"/>
      <c r="AH542" s="294"/>
      <c r="AI542" s="294"/>
      <c r="AJ542" s="26"/>
      <c r="AK542" s="374"/>
      <c r="AL542" s="374"/>
      <c r="AO542" s="294"/>
      <c r="AR542" s="374"/>
      <c r="AZ542" s="374"/>
      <c r="BE542" s="26"/>
      <c r="BF542" s="26"/>
      <c r="BG542" s="26"/>
      <c r="BH542" s="26"/>
      <c r="BI542" s="26"/>
      <c r="BJ542" s="26"/>
      <c r="BK542" s="26"/>
      <c r="BL542" s="26"/>
      <c r="BS542" s="20"/>
      <c r="BT542" s="26"/>
      <c r="BV542" s="381"/>
      <c r="BW542" s="229"/>
    </row>
    <row r="543" spans="33:75" x14ac:dyDescent="0.2">
      <c r="AG543" s="294"/>
      <c r="AH543" s="294"/>
      <c r="AI543" s="294"/>
      <c r="AJ543" s="26"/>
      <c r="AK543" s="374"/>
      <c r="AL543" s="374"/>
      <c r="AO543" s="294"/>
      <c r="AR543" s="374"/>
      <c r="AZ543" s="374"/>
      <c r="BE543" s="26"/>
      <c r="BF543" s="26"/>
      <c r="BG543" s="26"/>
      <c r="BH543" s="26"/>
      <c r="BI543" s="26"/>
      <c r="BJ543" s="26"/>
      <c r="BK543" s="26"/>
      <c r="BL543" s="26"/>
      <c r="BS543" s="20"/>
      <c r="BT543" s="26"/>
      <c r="BV543" s="381"/>
      <c r="BW543" s="229"/>
    </row>
    <row r="544" spans="33:75" x14ac:dyDescent="0.2">
      <c r="AG544" s="294"/>
      <c r="AH544" s="294"/>
      <c r="AI544" s="294"/>
      <c r="AJ544" s="26"/>
      <c r="AK544" s="374"/>
      <c r="AL544" s="374"/>
      <c r="AO544" s="294"/>
      <c r="AR544" s="374"/>
      <c r="AZ544" s="374"/>
      <c r="BE544" s="26"/>
      <c r="BF544" s="26"/>
      <c r="BG544" s="26"/>
      <c r="BH544" s="26"/>
      <c r="BI544" s="26"/>
      <c r="BJ544" s="26"/>
      <c r="BK544" s="26"/>
      <c r="BL544" s="26"/>
      <c r="BS544" s="20"/>
      <c r="BT544" s="26"/>
      <c r="BV544" s="381"/>
      <c r="BW544" s="229"/>
    </row>
    <row r="545" spans="33:75" x14ac:dyDescent="0.2">
      <c r="AG545" s="294"/>
      <c r="AH545" s="294"/>
      <c r="AI545" s="294"/>
      <c r="AJ545" s="26"/>
      <c r="AK545" s="374"/>
      <c r="AL545" s="374"/>
      <c r="AO545" s="294"/>
      <c r="AR545" s="374"/>
      <c r="AZ545" s="374"/>
      <c r="BE545" s="26"/>
      <c r="BF545" s="26"/>
      <c r="BG545" s="26"/>
      <c r="BH545" s="26"/>
      <c r="BI545" s="26"/>
      <c r="BJ545" s="26"/>
      <c r="BK545" s="26"/>
      <c r="BL545" s="26"/>
      <c r="BS545" s="20"/>
      <c r="BT545" s="26"/>
      <c r="BV545" s="381"/>
      <c r="BW545" s="229"/>
    </row>
    <row r="546" spans="33:75" x14ac:dyDescent="0.2">
      <c r="AG546" s="294"/>
      <c r="AH546" s="294"/>
      <c r="AI546" s="294"/>
      <c r="AJ546" s="26"/>
      <c r="AK546" s="374"/>
      <c r="AL546" s="374"/>
      <c r="AO546" s="294"/>
      <c r="AR546" s="374"/>
      <c r="AZ546" s="374"/>
      <c r="BE546" s="26"/>
      <c r="BF546" s="26"/>
      <c r="BG546" s="26"/>
      <c r="BH546" s="26"/>
      <c r="BI546" s="26"/>
      <c r="BJ546" s="26"/>
      <c r="BK546" s="26"/>
      <c r="BL546" s="26"/>
      <c r="BS546" s="20"/>
      <c r="BT546" s="26"/>
      <c r="BV546" s="381"/>
      <c r="BW546" s="229"/>
    </row>
    <row r="547" spans="33:75" x14ac:dyDescent="0.2">
      <c r="AG547" s="294"/>
      <c r="AH547" s="294"/>
      <c r="AI547" s="294"/>
      <c r="AJ547" s="26"/>
      <c r="AK547" s="374"/>
      <c r="AL547" s="374"/>
      <c r="AO547" s="294"/>
      <c r="AR547" s="374"/>
      <c r="AZ547" s="374"/>
      <c r="BE547" s="26"/>
      <c r="BF547" s="26"/>
      <c r="BG547" s="26"/>
      <c r="BH547" s="26"/>
      <c r="BI547" s="26"/>
      <c r="BJ547" s="26"/>
      <c r="BK547" s="26"/>
      <c r="BL547" s="26"/>
      <c r="BS547" s="20"/>
      <c r="BT547" s="26"/>
      <c r="BV547" s="381"/>
      <c r="BW547" s="229"/>
    </row>
    <row r="548" spans="33:75" x14ac:dyDescent="0.2">
      <c r="AG548" s="294"/>
      <c r="AH548" s="294"/>
      <c r="AI548" s="294"/>
      <c r="AJ548" s="26"/>
      <c r="AK548" s="374"/>
      <c r="AL548" s="374"/>
      <c r="AO548" s="294"/>
      <c r="AR548" s="374"/>
      <c r="AZ548" s="374"/>
      <c r="BE548" s="26"/>
      <c r="BF548" s="26"/>
      <c r="BG548" s="26"/>
      <c r="BH548" s="26"/>
      <c r="BI548" s="26"/>
      <c r="BJ548" s="26"/>
      <c r="BK548" s="26"/>
      <c r="BL548" s="26"/>
      <c r="BS548" s="20"/>
      <c r="BT548" s="26"/>
      <c r="BV548" s="381"/>
      <c r="BW548" s="229"/>
    </row>
    <row r="549" spans="33:75" x14ac:dyDescent="0.2">
      <c r="AG549" s="294"/>
      <c r="AH549" s="294"/>
      <c r="AI549" s="294"/>
      <c r="AJ549" s="26"/>
      <c r="AK549" s="374"/>
      <c r="AL549" s="374"/>
      <c r="AO549" s="294"/>
      <c r="AR549" s="374"/>
      <c r="AZ549" s="374"/>
      <c r="BE549" s="26"/>
      <c r="BF549" s="26"/>
      <c r="BG549" s="26"/>
      <c r="BH549" s="26"/>
      <c r="BI549" s="26"/>
      <c r="BJ549" s="26"/>
      <c r="BK549" s="26"/>
      <c r="BL549" s="26"/>
      <c r="BS549" s="20"/>
      <c r="BT549" s="26"/>
      <c r="BV549" s="381"/>
      <c r="BW549" s="229"/>
    </row>
    <row r="550" spans="33:75" x14ac:dyDescent="0.2">
      <c r="AG550" s="294"/>
      <c r="AH550" s="294"/>
      <c r="AI550" s="294"/>
      <c r="AJ550" s="26"/>
      <c r="AK550" s="374"/>
      <c r="AL550" s="374"/>
      <c r="AO550" s="294"/>
      <c r="AR550" s="374"/>
      <c r="AZ550" s="374"/>
      <c r="BE550" s="26"/>
      <c r="BF550" s="26"/>
      <c r="BG550" s="26"/>
      <c r="BH550" s="26"/>
      <c r="BI550" s="26"/>
      <c r="BJ550" s="26"/>
      <c r="BK550" s="26"/>
      <c r="BL550" s="26"/>
      <c r="BS550" s="20"/>
      <c r="BT550" s="26"/>
      <c r="BV550" s="381"/>
      <c r="BW550" s="229"/>
    </row>
    <row r="551" spans="33:75" x14ac:dyDescent="0.2">
      <c r="AG551" s="294"/>
      <c r="AH551" s="294"/>
      <c r="AI551" s="294"/>
      <c r="AJ551" s="26"/>
      <c r="AK551" s="374"/>
      <c r="AL551" s="374"/>
      <c r="AO551" s="294"/>
      <c r="AR551" s="374"/>
      <c r="AZ551" s="374"/>
      <c r="BE551" s="26"/>
      <c r="BF551" s="26"/>
      <c r="BG551" s="26"/>
      <c r="BH551" s="26"/>
      <c r="BI551" s="26"/>
      <c r="BJ551" s="26"/>
      <c r="BK551" s="26"/>
      <c r="BL551" s="26"/>
      <c r="BS551" s="20"/>
      <c r="BT551" s="26"/>
      <c r="BV551" s="381"/>
      <c r="BW551" s="229"/>
    </row>
    <row r="552" spans="33:75" x14ac:dyDescent="0.2">
      <c r="AG552" s="294"/>
      <c r="AH552" s="294"/>
      <c r="AI552" s="294"/>
      <c r="AJ552" s="26"/>
      <c r="AK552" s="374"/>
      <c r="AL552" s="374"/>
      <c r="AO552" s="294"/>
      <c r="AR552" s="374"/>
      <c r="AZ552" s="374"/>
      <c r="BE552" s="26"/>
      <c r="BF552" s="26"/>
      <c r="BG552" s="26"/>
      <c r="BH552" s="26"/>
      <c r="BI552" s="26"/>
      <c r="BJ552" s="26"/>
      <c r="BK552" s="26"/>
      <c r="BL552" s="26"/>
      <c r="BS552" s="20"/>
      <c r="BT552" s="26"/>
      <c r="BV552" s="381"/>
      <c r="BW552" s="229"/>
    </row>
    <row r="553" spans="33:75" x14ac:dyDescent="0.2">
      <c r="AG553" s="294"/>
      <c r="AH553" s="294"/>
      <c r="AI553" s="294"/>
      <c r="AJ553" s="26"/>
      <c r="AK553" s="374"/>
      <c r="AL553" s="374"/>
      <c r="AO553" s="294"/>
      <c r="AR553" s="374"/>
      <c r="AZ553" s="374"/>
      <c r="BE553" s="26"/>
      <c r="BF553" s="26"/>
      <c r="BG553" s="26"/>
      <c r="BH553" s="26"/>
      <c r="BI553" s="26"/>
      <c r="BJ553" s="26"/>
      <c r="BK553" s="26"/>
      <c r="BL553" s="26"/>
      <c r="BS553" s="20"/>
      <c r="BT553" s="26"/>
      <c r="BV553" s="381"/>
      <c r="BW553" s="229"/>
    </row>
    <row r="554" spans="33:75" x14ac:dyDescent="0.2">
      <c r="AG554" s="294"/>
      <c r="AH554" s="294"/>
      <c r="AI554" s="294"/>
      <c r="AJ554" s="26"/>
      <c r="AK554" s="374"/>
      <c r="AL554" s="374"/>
      <c r="AO554" s="294"/>
      <c r="AR554" s="374"/>
      <c r="AZ554" s="374"/>
      <c r="BE554" s="26"/>
      <c r="BF554" s="26"/>
      <c r="BG554" s="26"/>
      <c r="BH554" s="26"/>
      <c r="BI554" s="26"/>
      <c r="BJ554" s="26"/>
      <c r="BK554" s="26"/>
      <c r="BL554" s="26"/>
      <c r="BS554" s="20"/>
      <c r="BT554" s="26"/>
      <c r="BV554" s="381"/>
      <c r="BW554" s="229"/>
    </row>
    <row r="555" spans="33:75" x14ac:dyDescent="0.2">
      <c r="AG555" s="294"/>
      <c r="AH555" s="294"/>
      <c r="AI555" s="294"/>
      <c r="AJ555" s="26"/>
      <c r="AK555" s="374"/>
      <c r="AL555" s="374"/>
      <c r="AO555" s="294"/>
      <c r="AR555" s="374"/>
      <c r="AZ555" s="374"/>
      <c r="BE555" s="26"/>
      <c r="BF555" s="26"/>
      <c r="BG555" s="26"/>
      <c r="BH555" s="26"/>
      <c r="BI555" s="26"/>
      <c r="BJ555" s="26"/>
      <c r="BK555" s="26"/>
      <c r="BL555" s="26"/>
      <c r="BS555" s="20"/>
      <c r="BT555" s="26"/>
      <c r="BV555" s="381"/>
      <c r="BW555" s="229"/>
    </row>
    <row r="556" spans="33:75" x14ac:dyDescent="0.2">
      <c r="AG556" s="294"/>
      <c r="AH556" s="294"/>
      <c r="AI556" s="294"/>
      <c r="AJ556" s="26"/>
      <c r="AK556" s="374"/>
      <c r="AL556" s="374"/>
      <c r="AO556" s="294"/>
      <c r="AR556" s="374"/>
      <c r="AZ556" s="374"/>
      <c r="BE556" s="26"/>
      <c r="BF556" s="26"/>
      <c r="BG556" s="26"/>
      <c r="BH556" s="26"/>
      <c r="BI556" s="26"/>
      <c r="BJ556" s="26"/>
      <c r="BK556" s="26"/>
      <c r="BL556" s="26"/>
      <c r="BS556" s="20"/>
      <c r="BT556" s="26"/>
      <c r="BV556" s="381"/>
      <c r="BW556" s="229"/>
    </row>
    <row r="557" spans="33:75" x14ac:dyDescent="0.2">
      <c r="AG557" s="294"/>
      <c r="AH557" s="294"/>
      <c r="AI557" s="294"/>
      <c r="AJ557" s="26"/>
      <c r="AK557" s="374"/>
      <c r="AL557" s="374"/>
      <c r="AO557" s="294"/>
      <c r="AR557" s="374"/>
      <c r="AZ557" s="374"/>
      <c r="BE557" s="26"/>
      <c r="BF557" s="26"/>
      <c r="BG557" s="26"/>
      <c r="BH557" s="26"/>
      <c r="BI557" s="26"/>
      <c r="BJ557" s="26"/>
      <c r="BK557" s="26"/>
      <c r="BL557" s="26"/>
      <c r="BS557" s="20"/>
      <c r="BT557" s="26"/>
      <c r="BV557" s="381"/>
      <c r="BW557" s="229"/>
    </row>
    <row r="558" spans="33:75" x14ac:dyDescent="0.2">
      <c r="AG558" s="294"/>
      <c r="AH558" s="294"/>
      <c r="AI558" s="294"/>
      <c r="AJ558" s="26"/>
      <c r="AK558" s="374"/>
      <c r="AL558" s="374"/>
      <c r="AO558" s="294"/>
      <c r="AR558" s="374"/>
      <c r="AZ558" s="374"/>
      <c r="BE558" s="26"/>
      <c r="BF558" s="26"/>
      <c r="BG558" s="26"/>
      <c r="BH558" s="26"/>
      <c r="BI558" s="26"/>
      <c r="BJ558" s="26"/>
      <c r="BK558" s="26"/>
      <c r="BL558" s="26"/>
      <c r="BS558" s="20"/>
      <c r="BT558" s="26"/>
      <c r="BV558" s="381"/>
      <c r="BW558" s="229"/>
    </row>
    <row r="559" spans="33:75" x14ac:dyDescent="0.2">
      <c r="AG559" s="294"/>
      <c r="AH559" s="294"/>
      <c r="AI559" s="294"/>
      <c r="AJ559" s="26"/>
      <c r="AK559" s="374"/>
      <c r="AL559" s="374"/>
      <c r="AO559" s="294"/>
      <c r="AR559" s="374"/>
      <c r="AZ559" s="374"/>
      <c r="BE559" s="26"/>
      <c r="BF559" s="26"/>
      <c r="BG559" s="26"/>
      <c r="BH559" s="26"/>
      <c r="BI559" s="26"/>
      <c r="BJ559" s="26"/>
      <c r="BK559" s="26"/>
      <c r="BL559" s="26"/>
      <c r="BS559" s="20"/>
      <c r="BT559" s="26"/>
      <c r="BV559" s="381"/>
      <c r="BW559" s="229"/>
    </row>
    <row r="560" spans="33:75" x14ac:dyDescent="0.2">
      <c r="AG560" s="294"/>
      <c r="AH560" s="294"/>
      <c r="AI560" s="294"/>
      <c r="AJ560" s="26"/>
      <c r="AK560" s="374"/>
      <c r="AL560" s="374"/>
      <c r="AO560" s="294"/>
      <c r="AR560" s="374"/>
      <c r="AZ560" s="374"/>
      <c r="BE560" s="26"/>
      <c r="BF560" s="26"/>
      <c r="BG560" s="26"/>
      <c r="BH560" s="26"/>
      <c r="BI560" s="26"/>
      <c r="BJ560" s="26"/>
      <c r="BK560" s="26"/>
      <c r="BL560" s="26"/>
      <c r="BS560" s="20"/>
      <c r="BT560" s="26"/>
      <c r="BV560" s="381"/>
      <c r="BW560" s="229"/>
    </row>
    <row r="561" spans="33:75" x14ac:dyDescent="0.2">
      <c r="AG561" s="294"/>
      <c r="AH561" s="294"/>
      <c r="AI561" s="294"/>
      <c r="AJ561" s="26"/>
      <c r="AK561" s="374"/>
      <c r="AL561" s="374"/>
      <c r="AO561" s="294"/>
      <c r="AR561" s="374"/>
      <c r="AZ561" s="374"/>
      <c r="BE561" s="26"/>
      <c r="BF561" s="26"/>
      <c r="BG561" s="26"/>
      <c r="BH561" s="26"/>
      <c r="BI561" s="26"/>
      <c r="BJ561" s="26"/>
      <c r="BK561" s="26"/>
      <c r="BL561" s="26"/>
      <c r="BS561" s="20"/>
      <c r="BT561" s="26"/>
      <c r="BV561" s="381"/>
      <c r="BW561" s="229"/>
    </row>
    <row r="562" spans="33:75" x14ac:dyDescent="0.2">
      <c r="AG562" s="294"/>
      <c r="AH562" s="294"/>
      <c r="AI562" s="294"/>
      <c r="AJ562" s="26"/>
      <c r="AK562" s="374"/>
      <c r="AL562" s="374"/>
      <c r="AO562" s="294"/>
      <c r="AR562" s="374"/>
      <c r="AZ562" s="374"/>
      <c r="BE562" s="26"/>
      <c r="BF562" s="26"/>
      <c r="BG562" s="26"/>
      <c r="BH562" s="26"/>
      <c r="BI562" s="26"/>
      <c r="BJ562" s="26"/>
      <c r="BK562" s="26"/>
      <c r="BL562" s="26"/>
      <c r="BS562" s="20"/>
      <c r="BT562" s="26"/>
      <c r="BV562" s="381"/>
      <c r="BW562" s="229"/>
    </row>
    <row r="563" spans="33:75" x14ac:dyDescent="0.2">
      <c r="AG563" s="294"/>
      <c r="AH563" s="294"/>
      <c r="AI563" s="294"/>
      <c r="AJ563" s="26"/>
      <c r="AK563" s="374"/>
      <c r="AL563" s="374"/>
      <c r="AO563" s="294"/>
      <c r="AR563" s="374"/>
      <c r="AZ563" s="374"/>
      <c r="BE563" s="26"/>
      <c r="BF563" s="26"/>
      <c r="BG563" s="26"/>
      <c r="BH563" s="26"/>
      <c r="BI563" s="26"/>
      <c r="BJ563" s="26"/>
      <c r="BK563" s="26"/>
      <c r="BL563" s="26"/>
      <c r="BS563" s="20"/>
      <c r="BT563" s="26"/>
      <c r="BV563" s="381"/>
      <c r="BW563" s="229"/>
    </row>
    <row r="564" spans="33:75" x14ac:dyDescent="0.2">
      <c r="AG564" s="294"/>
      <c r="AH564" s="294"/>
      <c r="AI564" s="294"/>
      <c r="AJ564" s="26"/>
      <c r="AK564" s="374"/>
      <c r="AL564" s="374"/>
      <c r="AO564" s="294"/>
      <c r="AR564" s="374"/>
      <c r="AZ564" s="374"/>
      <c r="BE564" s="26"/>
      <c r="BF564" s="26"/>
      <c r="BG564" s="26"/>
      <c r="BH564" s="26"/>
      <c r="BI564" s="26"/>
      <c r="BJ564" s="26"/>
      <c r="BK564" s="26"/>
      <c r="BL564" s="26"/>
      <c r="BS564" s="20"/>
      <c r="BT564" s="26"/>
      <c r="BV564" s="381"/>
      <c r="BW564" s="229"/>
    </row>
    <row r="565" spans="33:75" x14ac:dyDescent="0.2">
      <c r="AG565" s="294"/>
      <c r="AH565" s="294"/>
      <c r="AI565" s="294"/>
      <c r="AJ565" s="26"/>
      <c r="AK565" s="374"/>
      <c r="AL565" s="374"/>
      <c r="AO565" s="294"/>
      <c r="AR565" s="374"/>
      <c r="AZ565" s="374"/>
      <c r="BE565" s="26"/>
      <c r="BF565" s="26"/>
      <c r="BG565" s="26"/>
      <c r="BH565" s="26"/>
      <c r="BI565" s="26"/>
      <c r="BJ565" s="26"/>
      <c r="BK565" s="26"/>
      <c r="BL565" s="26"/>
      <c r="BS565" s="20"/>
      <c r="BT565" s="26"/>
      <c r="BV565" s="381"/>
      <c r="BW565" s="229"/>
    </row>
    <row r="566" spans="33:75" x14ac:dyDescent="0.2">
      <c r="AG566" s="294"/>
      <c r="AH566" s="294"/>
      <c r="AI566" s="294"/>
      <c r="AJ566" s="26"/>
      <c r="AK566" s="374"/>
      <c r="AL566" s="374"/>
      <c r="AO566" s="294"/>
      <c r="AR566" s="374"/>
      <c r="AZ566" s="374"/>
      <c r="BE566" s="26"/>
      <c r="BF566" s="26"/>
      <c r="BG566" s="26"/>
      <c r="BH566" s="26"/>
      <c r="BI566" s="26"/>
      <c r="BJ566" s="26"/>
      <c r="BK566" s="26"/>
      <c r="BL566" s="26"/>
      <c r="BS566" s="20"/>
      <c r="BT566" s="26"/>
      <c r="BV566" s="381"/>
      <c r="BW566" s="229"/>
    </row>
    <row r="567" spans="33:75" x14ac:dyDescent="0.2">
      <c r="AG567" s="294"/>
      <c r="AH567" s="294"/>
      <c r="AI567" s="294"/>
      <c r="AJ567" s="26"/>
      <c r="AK567" s="374"/>
      <c r="AL567" s="374"/>
      <c r="AO567" s="294"/>
      <c r="AR567" s="374"/>
      <c r="AZ567" s="374"/>
      <c r="BE567" s="26"/>
      <c r="BF567" s="26"/>
      <c r="BG567" s="26"/>
      <c r="BH567" s="26"/>
      <c r="BI567" s="26"/>
      <c r="BJ567" s="26"/>
      <c r="BK567" s="26"/>
      <c r="BL567" s="26"/>
      <c r="BS567" s="20"/>
      <c r="BT567" s="26"/>
      <c r="BV567" s="381"/>
      <c r="BW567" s="229"/>
    </row>
    <row r="568" spans="33:75" x14ac:dyDescent="0.2">
      <c r="AG568" s="294"/>
      <c r="AH568" s="294"/>
      <c r="AI568" s="294"/>
      <c r="AJ568" s="26"/>
      <c r="AK568" s="374"/>
      <c r="AL568" s="374"/>
      <c r="AO568" s="294"/>
      <c r="AR568" s="374"/>
      <c r="AZ568" s="374"/>
      <c r="BE568" s="26"/>
      <c r="BF568" s="26"/>
      <c r="BG568" s="26"/>
      <c r="BH568" s="26"/>
      <c r="BI568" s="26"/>
      <c r="BJ568" s="26"/>
      <c r="BK568" s="26"/>
      <c r="BL568" s="26"/>
      <c r="BS568" s="20"/>
      <c r="BT568" s="26"/>
      <c r="BV568" s="381"/>
      <c r="BW568" s="229"/>
    </row>
    <row r="569" spans="33:75" x14ac:dyDescent="0.2">
      <c r="AG569" s="294"/>
      <c r="AH569" s="294"/>
      <c r="AI569" s="294"/>
      <c r="AJ569" s="26"/>
      <c r="AK569" s="374"/>
      <c r="AL569" s="374"/>
      <c r="AO569" s="294"/>
      <c r="AR569" s="374"/>
      <c r="AZ569" s="374"/>
      <c r="BE569" s="26"/>
      <c r="BF569" s="26"/>
      <c r="BG569" s="26"/>
      <c r="BH569" s="26"/>
      <c r="BI569" s="26"/>
      <c r="BJ569" s="26"/>
      <c r="BK569" s="26"/>
      <c r="BL569" s="26"/>
      <c r="BS569" s="20"/>
      <c r="BT569" s="26"/>
      <c r="BV569" s="381"/>
      <c r="BW569" s="229"/>
    </row>
    <row r="570" spans="33:75" x14ac:dyDescent="0.2">
      <c r="AG570" s="294"/>
      <c r="AH570" s="294"/>
      <c r="AI570" s="294"/>
      <c r="AJ570" s="26"/>
      <c r="AK570" s="374"/>
      <c r="AL570" s="374"/>
      <c r="AO570" s="294"/>
      <c r="AR570" s="374"/>
      <c r="AZ570" s="374"/>
      <c r="BE570" s="26"/>
      <c r="BF570" s="26"/>
      <c r="BG570" s="26"/>
      <c r="BH570" s="26"/>
      <c r="BI570" s="26"/>
      <c r="BJ570" s="26"/>
      <c r="BK570" s="26"/>
      <c r="BL570" s="26"/>
      <c r="BS570" s="20"/>
      <c r="BT570" s="26"/>
      <c r="BV570" s="381"/>
      <c r="BW570" s="229"/>
    </row>
    <row r="571" spans="33:75" x14ac:dyDescent="0.2">
      <c r="AG571" s="294"/>
      <c r="AH571" s="294"/>
      <c r="AI571" s="294"/>
      <c r="AJ571" s="26"/>
      <c r="AK571" s="374"/>
      <c r="AL571" s="374"/>
      <c r="AO571" s="294"/>
      <c r="AR571" s="374"/>
      <c r="AZ571" s="374"/>
      <c r="BE571" s="26"/>
      <c r="BF571" s="26"/>
      <c r="BG571" s="26"/>
      <c r="BH571" s="26"/>
      <c r="BI571" s="26"/>
      <c r="BJ571" s="26"/>
      <c r="BK571" s="26"/>
      <c r="BL571" s="26"/>
      <c r="BS571" s="20"/>
      <c r="BT571" s="26"/>
      <c r="BV571" s="381"/>
      <c r="BW571" s="229"/>
    </row>
    <row r="572" spans="33:75" x14ac:dyDescent="0.2">
      <c r="AG572" s="294"/>
      <c r="AH572" s="294"/>
      <c r="AI572" s="294"/>
      <c r="AJ572" s="26"/>
      <c r="AK572" s="374"/>
      <c r="AL572" s="374"/>
      <c r="AO572" s="294"/>
      <c r="AR572" s="374"/>
      <c r="AZ572" s="374"/>
      <c r="BE572" s="26"/>
      <c r="BF572" s="26"/>
      <c r="BG572" s="26"/>
      <c r="BH572" s="26"/>
      <c r="BI572" s="26"/>
      <c r="BJ572" s="26"/>
      <c r="BK572" s="26"/>
      <c r="BL572" s="26"/>
      <c r="BS572" s="20"/>
      <c r="BT572" s="26"/>
      <c r="BV572" s="381"/>
      <c r="BW572" s="229"/>
    </row>
    <row r="573" spans="33:75" x14ac:dyDescent="0.2">
      <c r="AG573" s="294"/>
      <c r="AH573" s="294"/>
      <c r="AI573" s="294"/>
      <c r="AJ573" s="26"/>
      <c r="AK573" s="374"/>
      <c r="AL573" s="374"/>
      <c r="AO573" s="294"/>
      <c r="AR573" s="374"/>
      <c r="AZ573" s="374"/>
      <c r="BE573" s="26"/>
      <c r="BF573" s="26"/>
      <c r="BG573" s="26"/>
      <c r="BH573" s="26"/>
      <c r="BI573" s="26"/>
      <c r="BJ573" s="26"/>
      <c r="BK573" s="26"/>
      <c r="BL573" s="26"/>
      <c r="BS573" s="20"/>
      <c r="BT573" s="26"/>
      <c r="BV573" s="381"/>
      <c r="BW573" s="229"/>
    </row>
    <row r="574" spans="33:75" x14ac:dyDescent="0.2">
      <c r="AG574" s="294"/>
      <c r="AH574" s="294"/>
      <c r="AI574" s="294"/>
      <c r="AJ574" s="26"/>
      <c r="AK574" s="374"/>
      <c r="AL574" s="374"/>
      <c r="AO574" s="294"/>
      <c r="AR574" s="374"/>
      <c r="AZ574" s="374"/>
      <c r="BE574" s="26"/>
      <c r="BF574" s="26"/>
      <c r="BG574" s="26"/>
      <c r="BH574" s="26"/>
      <c r="BI574" s="26"/>
      <c r="BJ574" s="26"/>
      <c r="BK574" s="26"/>
      <c r="BL574" s="26"/>
      <c r="BS574" s="20"/>
      <c r="BT574" s="26"/>
      <c r="BV574" s="381"/>
      <c r="BW574" s="229"/>
    </row>
    <row r="575" spans="33:75" x14ac:dyDescent="0.2">
      <c r="AG575" s="294"/>
      <c r="AH575" s="294"/>
      <c r="AI575" s="294"/>
      <c r="AJ575" s="26"/>
      <c r="AK575" s="374"/>
      <c r="AL575" s="374"/>
      <c r="AO575" s="294"/>
      <c r="AR575" s="374"/>
      <c r="AZ575" s="374"/>
      <c r="BE575" s="26"/>
      <c r="BF575" s="26"/>
      <c r="BG575" s="26"/>
      <c r="BH575" s="26"/>
      <c r="BI575" s="26"/>
      <c r="BJ575" s="26"/>
      <c r="BK575" s="26"/>
      <c r="BL575" s="26"/>
      <c r="BS575" s="20"/>
      <c r="BT575" s="26"/>
      <c r="BV575" s="381"/>
      <c r="BW575" s="229"/>
    </row>
    <row r="576" spans="33:75" x14ac:dyDescent="0.2">
      <c r="AG576" s="294"/>
      <c r="AH576" s="294"/>
      <c r="AI576" s="294"/>
      <c r="AJ576" s="26"/>
      <c r="AK576" s="374"/>
      <c r="AL576" s="374"/>
      <c r="AO576" s="294"/>
      <c r="AR576" s="374"/>
      <c r="AZ576" s="374"/>
      <c r="BE576" s="26"/>
      <c r="BF576" s="26"/>
      <c r="BG576" s="26"/>
      <c r="BH576" s="26"/>
      <c r="BI576" s="26"/>
      <c r="BJ576" s="26"/>
      <c r="BK576" s="26"/>
      <c r="BL576" s="26"/>
      <c r="BS576" s="20"/>
      <c r="BT576" s="26"/>
      <c r="BV576" s="381"/>
      <c r="BW576" s="229"/>
    </row>
    <row r="577" spans="33:75" x14ac:dyDescent="0.2">
      <c r="AG577" s="294"/>
      <c r="AH577" s="294"/>
      <c r="AI577" s="294"/>
      <c r="AJ577" s="26"/>
      <c r="AK577" s="374"/>
      <c r="AL577" s="374"/>
      <c r="AO577" s="294"/>
      <c r="AR577" s="374"/>
      <c r="AZ577" s="374"/>
      <c r="BE577" s="26"/>
      <c r="BF577" s="26"/>
      <c r="BG577" s="26"/>
      <c r="BH577" s="26"/>
      <c r="BI577" s="26"/>
      <c r="BJ577" s="26"/>
      <c r="BK577" s="26"/>
      <c r="BL577" s="26"/>
      <c r="BS577" s="20"/>
      <c r="BT577" s="26"/>
      <c r="BV577" s="381"/>
      <c r="BW577" s="229"/>
    </row>
    <row r="578" spans="33:75" x14ac:dyDescent="0.2">
      <c r="AG578" s="294"/>
      <c r="AH578" s="294"/>
      <c r="AI578" s="294"/>
      <c r="AJ578" s="26"/>
      <c r="AK578" s="374"/>
      <c r="AL578" s="374"/>
      <c r="AO578" s="294"/>
      <c r="AR578" s="374"/>
      <c r="AZ578" s="374"/>
      <c r="BE578" s="26"/>
      <c r="BF578" s="26"/>
      <c r="BG578" s="26"/>
      <c r="BH578" s="26"/>
      <c r="BI578" s="26"/>
      <c r="BJ578" s="26"/>
      <c r="BK578" s="26"/>
      <c r="BL578" s="26"/>
      <c r="BS578" s="20"/>
      <c r="BT578" s="26"/>
      <c r="BV578" s="381"/>
      <c r="BW578" s="229"/>
    </row>
    <row r="579" spans="33:75" x14ac:dyDescent="0.2">
      <c r="AG579" s="294"/>
      <c r="AH579" s="294"/>
      <c r="AI579" s="294"/>
      <c r="AJ579" s="26"/>
      <c r="AK579" s="374"/>
      <c r="AL579" s="374"/>
      <c r="AO579" s="294"/>
      <c r="AR579" s="374"/>
      <c r="AZ579" s="374"/>
      <c r="BE579" s="26"/>
      <c r="BF579" s="26"/>
      <c r="BG579" s="26"/>
      <c r="BH579" s="26"/>
      <c r="BI579" s="26"/>
      <c r="BJ579" s="26"/>
      <c r="BK579" s="26"/>
      <c r="BL579" s="26"/>
      <c r="BS579" s="20"/>
      <c r="BT579" s="26"/>
      <c r="BV579" s="381"/>
      <c r="BW579" s="229"/>
    </row>
    <row r="580" spans="33:75" x14ac:dyDescent="0.2">
      <c r="AG580" s="294"/>
      <c r="AH580" s="294"/>
      <c r="AI580" s="294"/>
      <c r="AJ580" s="26"/>
      <c r="AK580" s="374"/>
      <c r="AL580" s="374"/>
      <c r="AO580" s="294"/>
      <c r="AR580" s="374"/>
      <c r="AZ580" s="374"/>
      <c r="BE580" s="26"/>
      <c r="BF580" s="26"/>
      <c r="BG580" s="26"/>
      <c r="BH580" s="26"/>
      <c r="BI580" s="26"/>
      <c r="BJ580" s="26"/>
      <c r="BK580" s="26"/>
      <c r="BL580" s="26"/>
      <c r="BS580" s="20"/>
      <c r="BT580" s="26"/>
      <c r="BV580" s="381"/>
      <c r="BW580" s="229"/>
    </row>
    <row r="581" spans="33:75" x14ac:dyDescent="0.2">
      <c r="AG581" s="294"/>
      <c r="AH581" s="294"/>
      <c r="AI581" s="294"/>
      <c r="AJ581" s="26"/>
      <c r="AK581" s="374"/>
      <c r="AL581" s="374"/>
      <c r="AO581" s="294"/>
      <c r="AR581" s="374"/>
      <c r="AZ581" s="374"/>
      <c r="BE581" s="26"/>
      <c r="BF581" s="26"/>
      <c r="BG581" s="26"/>
      <c r="BH581" s="26"/>
      <c r="BI581" s="26"/>
      <c r="BJ581" s="26"/>
      <c r="BK581" s="26"/>
      <c r="BL581" s="26"/>
      <c r="BS581" s="20"/>
      <c r="BT581" s="26"/>
      <c r="BV581" s="381"/>
      <c r="BW581" s="229"/>
    </row>
    <row r="582" spans="33:75" x14ac:dyDescent="0.2">
      <c r="AG582" s="294"/>
      <c r="AH582" s="294"/>
      <c r="AI582" s="294"/>
      <c r="AJ582" s="26"/>
      <c r="AK582" s="374"/>
      <c r="AL582" s="374"/>
      <c r="AO582" s="294"/>
      <c r="AR582" s="374"/>
      <c r="AZ582" s="374"/>
      <c r="BE582" s="26"/>
      <c r="BF582" s="26"/>
      <c r="BG582" s="26"/>
      <c r="BH582" s="26"/>
      <c r="BI582" s="26"/>
      <c r="BJ582" s="26"/>
      <c r="BK582" s="26"/>
      <c r="BL582" s="26"/>
      <c r="BS582" s="20"/>
      <c r="BT582" s="26"/>
      <c r="BV582" s="381"/>
      <c r="BW582" s="229"/>
    </row>
    <row r="583" spans="33:75" x14ac:dyDescent="0.2">
      <c r="AG583" s="294"/>
      <c r="AH583" s="294"/>
      <c r="AI583" s="294"/>
      <c r="AJ583" s="26"/>
      <c r="AK583" s="374"/>
      <c r="AL583" s="374"/>
      <c r="AO583" s="294"/>
      <c r="AR583" s="374"/>
      <c r="AZ583" s="374"/>
      <c r="BE583" s="26"/>
      <c r="BF583" s="26"/>
      <c r="BG583" s="26"/>
      <c r="BH583" s="26"/>
      <c r="BI583" s="26"/>
      <c r="BJ583" s="26"/>
      <c r="BK583" s="26"/>
      <c r="BL583" s="26"/>
      <c r="BS583" s="20"/>
      <c r="BT583" s="26"/>
      <c r="BV583" s="381"/>
      <c r="BW583" s="229"/>
    </row>
    <row r="584" spans="33:75" x14ac:dyDescent="0.2">
      <c r="AG584" s="294"/>
      <c r="AH584" s="294"/>
      <c r="AI584" s="294"/>
      <c r="AJ584" s="26"/>
      <c r="AK584" s="374"/>
      <c r="AL584" s="374"/>
      <c r="AO584" s="294"/>
      <c r="AR584" s="374"/>
      <c r="AZ584" s="374"/>
      <c r="BE584" s="26"/>
      <c r="BF584" s="26"/>
      <c r="BG584" s="26"/>
      <c r="BH584" s="26"/>
      <c r="BI584" s="26"/>
      <c r="BJ584" s="26"/>
      <c r="BK584" s="26"/>
      <c r="BL584" s="26"/>
      <c r="BS584" s="20"/>
      <c r="BT584" s="26"/>
      <c r="BV584" s="381"/>
      <c r="BW584" s="229"/>
    </row>
    <row r="585" spans="33:75" x14ac:dyDescent="0.2">
      <c r="AG585" s="294"/>
      <c r="AH585" s="294"/>
      <c r="AI585" s="294"/>
      <c r="AJ585" s="26"/>
      <c r="AK585" s="374"/>
      <c r="AL585" s="374"/>
      <c r="AO585" s="294"/>
      <c r="AR585" s="374"/>
      <c r="AZ585" s="374"/>
      <c r="BE585" s="26"/>
      <c r="BF585" s="26"/>
      <c r="BG585" s="26"/>
      <c r="BH585" s="26"/>
      <c r="BI585" s="26"/>
      <c r="BJ585" s="26"/>
      <c r="BK585" s="26"/>
      <c r="BL585" s="26"/>
      <c r="BS585" s="20"/>
      <c r="BT585" s="26"/>
      <c r="BV585" s="381"/>
      <c r="BW585" s="229"/>
    </row>
    <row r="586" spans="33:75" x14ac:dyDescent="0.2">
      <c r="AG586" s="294"/>
      <c r="AH586" s="294"/>
      <c r="AI586" s="294"/>
      <c r="AJ586" s="26"/>
      <c r="AK586" s="374"/>
      <c r="AL586" s="374"/>
      <c r="AO586" s="294"/>
      <c r="AR586" s="374"/>
      <c r="AZ586" s="374"/>
      <c r="BE586" s="26"/>
      <c r="BF586" s="26"/>
      <c r="BG586" s="26"/>
      <c r="BH586" s="26"/>
      <c r="BI586" s="26"/>
      <c r="BJ586" s="26"/>
      <c r="BK586" s="26"/>
      <c r="BL586" s="26"/>
      <c r="BS586" s="20"/>
      <c r="BT586" s="26"/>
      <c r="BV586" s="381"/>
      <c r="BW586" s="229"/>
    </row>
    <row r="587" spans="33:75" x14ac:dyDescent="0.2">
      <c r="AG587" s="294"/>
      <c r="AH587" s="294"/>
      <c r="AI587" s="294"/>
      <c r="AJ587" s="26"/>
      <c r="AK587" s="374"/>
      <c r="AL587" s="374"/>
      <c r="AO587" s="294"/>
      <c r="AR587" s="374"/>
      <c r="AZ587" s="374"/>
      <c r="BE587" s="26"/>
      <c r="BF587" s="26"/>
      <c r="BG587" s="26"/>
      <c r="BH587" s="26"/>
      <c r="BI587" s="26"/>
      <c r="BJ587" s="26"/>
      <c r="BK587" s="26"/>
      <c r="BL587" s="26"/>
      <c r="BS587" s="20"/>
      <c r="BT587" s="26"/>
      <c r="BV587" s="381"/>
      <c r="BW587" s="229"/>
    </row>
    <row r="588" spans="33:75" x14ac:dyDescent="0.2">
      <c r="AG588" s="294"/>
      <c r="AH588" s="294"/>
      <c r="AI588" s="294"/>
      <c r="AJ588" s="26"/>
      <c r="AK588" s="374"/>
      <c r="AL588" s="374"/>
      <c r="AO588" s="294"/>
      <c r="AR588" s="374"/>
      <c r="AZ588" s="374"/>
      <c r="BE588" s="26"/>
      <c r="BF588" s="26"/>
      <c r="BG588" s="26"/>
      <c r="BH588" s="26"/>
      <c r="BI588" s="26"/>
      <c r="BJ588" s="26"/>
      <c r="BK588" s="26"/>
      <c r="BL588" s="26"/>
      <c r="BS588" s="20"/>
      <c r="BT588" s="26"/>
      <c r="BV588" s="381"/>
      <c r="BW588" s="229"/>
    </row>
    <row r="589" spans="33:75" x14ac:dyDescent="0.2">
      <c r="AG589" s="294"/>
      <c r="AH589" s="294"/>
      <c r="AI589" s="294"/>
      <c r="AJ589" s="26"/>
      <c r="AK589" s="374"/>
      <c r="AL589" s="374"/>
      <c r="AO589" s="294"/>
      <c r="AR589" s="374"/>
      <c r="AZ589" s="374"/>
      <c r="BE589" s="26"/>
      <c r="BF589" s="26"/>
      <c r="BG589" s="26"/>
      <c r="BH589" s="26"/>
      <c r="BI589" s="26"/>
      <c r="BJ589" s="26"/>
      <c r="BK589" s="26"/>
      <c r="BL589" s="26"/>
      <c r="BS589" s="20"/>
      <c r="BT589" s="26"/>
      <c r="BV589" s="381"/>
      <c r="BW589" s="229"/>
    </row>
    <row r="590" spans="33:75" x14ac:dyDescent="0.2">
      <c r="AG590" s="294"/>
      <c r="AH590" s="294"/>
      <c r="AI590" s="294"/>
      <c r="AJ590" s="26"/>
      <c r="AK590" s="374"/>
      <c r="AL590" s="374"/>
      <c r="AO590" s="294"/>
      <c r="AR590" s="374"/>
      <c r="AZ590" s="374"/>
      <c r="BE590" s="26"/>
      <c r="BF590" s="26"/>
      <c r="BG590" s="26"/>
      <c r="BH590" s="26"/>
      <c r="BI590" s="26"/>
      <c r="BJ590" s="26"/>
      <c r="BK590" s="26"/>
      <c r="BL590" s="26"/>
      <c r="BS590" s="20"/>
      <c r="BT590" s="26"/>
      <c r="BV590" s="381"/>
      <c r="BW590" s="229"/>
    </row>
    <row r="591" spans="33:75" x14ac:dyDescent="0.2">
      <c r="AG591" s="294"/>
      <c r="AH591" s="294"/>
      <c r="AI591" s="294"/>
      <c r="AJ591" s="26"/>
      <c r="AK591" s="374"/>
      <c r="AL591" s="374"/>
      <c r="AO591" s="294"/>
      <c r="AR591" s="374"/>
      <c r="AZ591" s="374"/>
      <c r="BE591" s="26"/>
      <c r="BF591" s="26"/>
      <c r="BG591" s="26"/>
      <c r="BH591" s="26"/>
      <c r="BI591" s="26"/>
      <c r="BJ591" s="26"/>
      <c r="BK591" s="26"/>
      <c r="BL591" s="26"/>
      <c r="BS591" s="20"/>
      <c r="BT591" s="26"/>
      <c r="BV591" s="381"/>
      <c r="BW591" s="229"/>
    </row>
    <row r="592" spans="33:75" x14ac:dyDescent="0.2">
      <c r="AG592" s="294"/>
      <c r="AH592" s="294"/>
      <c r="AI592" s="294"/>
      <c r="AJ592" s="26"/>
      <c r="AK592" s="374"/>
      <c r="AL592" s="374"/>
      <c r="AO592" s="294"/>
      <c r="AR592" s="374"/>
      <c r="AZ592" s="374"/>
      <c r="BE592" s="26"/>
      <c r="BF592" s="26"/>
      <c r="BG592" s="26"/>
      <c r="BH592" s="26"/>
      <c r="BI592" s="26"/>
      <c r="BJ592" s="26"/>
      <c r="BK592" s="26"/>
      <c r="BL592" s="26"/>
      <c r="BS592" s="20"/>
      <c r="BT592" s="26"/>
      <c r="BV592" s="381"/>
      <c r="BW592" s="229"/>
    </row>
    <row r="593" spans="33:75" x14ac:dyDescent="0.2">
      <c r="AG593" s="294"/>
      <c r="AH593" s="294"/>
      <c r="AI593" s="294"/>
      <c r="AJ593" s="26"/>
      <c r="AK593" s="374"/>
      <c r="AL593" s="374"/>
      <c r="AO593" s="294"/>
      <c r="AR593" s="374"/>
      <c r="AZ593" s="374"/>
      <c r="BE593" s="26"/>
      <c r="BF593" s="26"/>
      <c r="BG593" s="26"/>
      <c r="BH593" s="26"/>
      <c r="BI593" s="26"/>
      <c r="BJ593" s="26"/>
      <c r="BK593" s="26"/>
      <c r="BL593" s="26"/>
      <c r="BS593" s="20"/>
      <c r="BT593" s="26"/>
      <c r="BV593" s="381"/>
      <c r="BW593" s="229"/>
    </row>
    <row r="594" spans="33:75" x14ac:dyDescent="0.2">
      <c r="AG594" s="294"/>
      <c r="AH594" s="294"/>
      <c r="AI594" s="294"/>
      <c r="AJ594" s="26"/>
      <c r="AK594" s="374"/>
      <c r="AL594" s="374"/>
      <c r="AO594" s="294"/>
      <c r="AR594" s="374"/>
      <c r="AZ594" s="374"/>
      <c r="BE594" s="26"/>
      <c r="BF594" s="26"/>
      <c r="BG594" s="26"/>
      <c r="BH594" s="26"/>
      <c r="BI594" s="26"/>
      <c r="BJ594" s="26"/>
      <c r="BK594" s="26"/>
      <c r="BL594" s="26"/>
      <c r="BS594" s="20"/>
      <c r="BT594" s="26"/>
      <c r="BV594" s="381"/>
      <c r="BW594" s="229"/>
    </row>
    <row r="595" spans="33:75" x14ac:dyDescent="0.2">
      <c r="AG595" s="294"/>
      <c r="AH595" s="294"/>
      <c r="AI595" s="294"/>
      <c r="AJ595" s="26"/>
      <c r="AK595" s="374"/>
      <c r="AL595" s="374"/>
      <c r="AO595" s="294"/>
      <c r="AR595" s="374"/>
      <c r="AZ595" s="374"/>
      <c r="BE595" s="26"/>
      <c r="BF595" s="26"/>
      <c r="BG595" s="26"/>
      <c r="BH595" s="26"/>
      <c r="BI595" s="26"/>
      <c r="BJ595" s="26"/>
      <c r="BK595" s="26"/>
      <c r="BL595" s="26"/>
      <c r="BS595" s="20"/>
      <c r="BT595" s="26"/>
      <c r="BV595" s="381"/>
      <c r="BW595" s="229"/>
    </row>
    <row r="596" spans="33:75" x14ac:dyDescent="0.2">
      <c r="AG596" s="294"/>
      <c r="AH596" s="294"/>
      <c r="AI596" s="294"/>
      <c r="AJ596" s="26"/>
      <c r="AK596" s="374"/>
      <c r="AL596" s="374"/>
      <c r="AO596" s="294"/>
      <c r="AR596" s="374"/>
      <c r="AZ596" s="374"/>
      <c r="BE596" s="26"/>
      <c r="BF596" s="26"/>
      <c r="BG596" s="26"/>
      <c r="BH596" s="26"/>
      <c r="BI596" s="26"/>
      <c r="BJ596" s="26"/>
      <c r="BK596" s="26"/>
      <c r="BL596" s="26"/>
      <c r="BS596" s="20"/>
      <c r="BT596" s="26"/>
      <c r="BV596" s="381"/>
      <c r="BW596" s="229"/>
    </row>
    <row r="597" spans="33:75" x14ac:dyDescent="0.2">
      <c r="AG597" s="294"/>
      <c r="AH597" s="294"/>
      <c r="AI597" s="294"/>
      <c r="AJ597" s="26"/>
      <c r="AK597" s="374"/>
      <c r="AL597" s="374"/>
      <c r="AO597" s="294"/>
      <c r="AR597" s="374"/>
      <c r="AZ597" s="374"/>
      <c r="BE597" s="26"/>
      <c r="BF597" s="26"/>
      <c r="BG597" s="26"/>
      <c r="BH597" s="26"/>
      <c r="BI597" s="26"/>
      <c r="BJ597" s="26"/>
      <c r="BK597" s="26"/>
      <c r="BL597" s="26"/>
      <c r="BS597" s="20"/>
      <c r="BT597" s="26"/>
      <c r="BV597" s="381"/>
      <c r="BW597" s="229"/>
    </row>
    <row r="598" spans="33:75" x14ac:dyDescent="0.2">
      <c r="AG598" s="294"/>
      <c r="AH598" s="294"/>
      <c r="AI598" s="294"/>
      <c r="AJ598" s="26"/>
      <c r="AK598" s="374"/>
      <c r="AL598" s="374"/>
      <c r="AO598" s="294"/>
      <c r="AR598" s="374"/>
      <c r="AZ598" s="374"/>
      <c r="BE598" s="26"/>
      <c r="BF598" s="26"/>
      <c r="BG598" s="26"/>
      <c r="BH598" s="26"/>
      <c r="BI598" s="26"/>
      <c r="BJ598" s="26"/>
      <c r="BK598" s="26"/>
      <c r="BL598" s="26"/>
      <c r="BS598" s="20"/>
      <c r="BT598" s="26"/>
      <c r="BV598" s="381"/>
      <c r="BW598" s="229"/>
    </row>
    <row r="599" spans="33:75" x14ac:dyDescent="0.2">
      <c r="AG599" s="294"/>
      <c r="AH599" s="294"/>
      <c r="AI599" s="294"/>
      <c r="AJ599" s="26"/>
      <c r="AK599" s="374"/>
      <c r="AL599" s="374"/>
      <c r="AO599" s="294"/>
      <c r="AR599" s="374"/>
      <c r="AZ599" s="374"/>
      <c r="BE599" s="26"/>
      <c r="BF599" s="26"/>
      <c r="BG599" s="26"/>
      <c r="BH599" s="26"/>
      <c r="BI599" s="26"/>
      <c r="BJ599" s="26"/>
      <c r="BK599" s="26"/>
      <c r="BL599" s="26"/>
      <c r="BS599" s="20"/>
      <c r="BT599" s="26"/>
      <c r="BV599" s="381"/>
      <c r="BW599" s="229"/>
    </row>
    <row r="600" spans="33:75" x14ac:dyDescent="0.2">
      <c r="AG600" s="294"/>
      <c r="AH600" s="294"/>
      <c r="AI600" s="294"/>
      <c r="AJ600" s="26"/>
      <c r="AK600" s="374"/>
      <c r="AL600" s="374"/>
      <c r="AO600" s="294"/>
      <c r="AR600" s="374"/>
      <c r="AZ600" s="374"/>
      <c r="BE600" s="26"/>
      <c r="BF600" s="26"/>
      <c r="BG600" s="26"/>
      <c r="BH600" s="26"/>
      <c r="BI600" s="26"/>
      <c r="BJ600" s="26"/>
      <c r="BK600" s="26"/>
      <c r="BL600" s="26"/>
      <c r="BS600" s="20"/>
      <c r="BT600" s="26"/>
      <c r="BV600" s="381"/>
      <c r="BW600" s="229"/>
    </row>
    <row r="601" spans="33:75" x14ac:dyDescent="0.2">
      <c r="AG601" s="294"/>
      <c r="AH601" s="294"/>
      <c r="AI601" s="294"/>
      <c r="AJ601" s="26"/>
      <c r="AK601" s="374"/>
      <c r="AL601" s="374"/>
      <c r="AO601" s="294"/>
      <c r="AR601" s="374"/>
      <c r="AZ601" s="374"/>
      <c r="BE601" s="26"/>
      <c r="BF601" s="26"/>
      <c r="BG601" s="26"/>
      <c r="BH601" s="26"/>
      <c r="BI601" s="26"/>
      <c r="BJ601" s="26"/>
      <c r="BK601" s="26"/>
      <c r="BL601" s="26"/>
      <c r="BS601" s="20"/>
      <c r="BT601" s="26"/>
      <c r="BV601" s="381"/>
      <c r="BW601" s="229"/>
    </row>
    <row r="602" spans="33:75" x14ac:dyDescent="0.2">
      <c r="AG602" s="294"/>
      <c r="AH602" s="294"/>
      <c r="AI602" s="294"/>
      <c r="AJ602" s="26"/>
      <c r="AK602" s="374"/>
      <c r="AL602" s="374"/>
      <c r="AO602" s="294"/>
      <c r="AR602" s="374"/>
      <c r="AZ602" s="374"/>
      <c r="BE602" s="26"/>
      <c r="BF602" s="26"/>
      <c r="BG602" s="26"/>
      <c r="BH602" s="26"/>
      <c r="BI602" s="26"/>
      <c r="BJ602" s="26"/>
      <c r="BK602" s="26"/>
      <c r="BL602" s="26"/>
      <c r="BS602" s="20"/>
      <c r="BT602" s="26"/>
      <c r="BV602" s="381"/>
      <c r="BW602" s="229"/>
    </row>
    <row r="603" spans="33:75" x14ac:dyDescent="0.2">
      <c r="AG603" s="294"/>
      <c r="AH603" s="294"/>
      <c r="AI603" s="294"/>
      <c r="AJ603" s="26"/>
      <c r="AK603" s="374"/>
      <c r="AL603" s="374"/>
      <c r="AO603" s="294"/>
      <c r="AR603" s="374"/>
      <c r="AZ603" s="374"/>
      <c r="BE603" s="26"/>
      <c r="BF603" s="26"/>
      <c r="BG603" s="26"/>
      <c r="BH603" s="26"/>
      <c r="BI603" s="26"/>
      <c r="BJ603" s="26"/>
      <c r="BK603" s="26"/>
      <c r="BL603" s="26"/>
      <c r="BS603" s="20"/>
      <c r="BT603" s="26"/>
      <c r="BV603" s="381"/>
      <c r="BW603" s="229"/>
    </row>
    <row r="604" spans="33:75" x14ac:dyDescent="0.2">
      <c r="AG604" s="294"/>
      <c r="AH604" s="294"/>
      <c r="AI604" s="294"/>
      <c r="AJ604" s="26"/>
      <c r="AK604" s="374"/>
      <c r="AL604" s="374"/>
      <c r="AO604" s="294"/>
      <c r="AR604" s="374"/>
      <c r="AZ604" s="374"/>
      <c r="BE604" s="26"/>
      <c r="BF604" s="26"/>
      <c r="BG604" s="26"/>
      <c r="BH604" s="26"/>
      <c r="BI604" s="26"/>
      <c r="BJ604" s="26"/>
      <c r="BK604" s="26"/>
      <c r="BL604" s="26"/>
      <c r="BS604" s="20"/>
      <c r="BT604" s="26"/>
      <c r="BV604" s="381"/>
      <c r="BW604" s="229"/>
    </row>
    <row r="605" spans="33:75" x14ac:dyDescent="0.2">
      <c r="AG605" s="294"/>
      <c r="AH605" s="294"/>
      <c r="AI605" s="294"/>
      <c r="AJ605" s="26"/>
      <c r="AK605" s="374"/>
      <c r="AL605" s="374"/>
      <c r="AO605" s="294"/>
      <c r="AR605" s="374"/>
      <c r="AZ605" s="374"/>
      <c r="BE605" s="26"/>
      <c r="BF605" s="26"/>
      <c r="BG605" s="26"/>
      <c r="BH605" s="26"/>
      <c r="BI605" s="26"/>
      <c r="BJ605" s="26"/>
      <c r="BK605" s="26"/>
      <c r="BL605" s="26"/>
      <c r="BS605" s="20"/>
      <c r="BT605" s="26"/>
      <c r="BV605" s="381"/>
      <c r="BW605" s="229"/>
    </row>
    <row r="606" spans="33:75" x14ac:dyDescent="0.2">
      <c r="AG606" s="373"/>
      <c r="AH606" s="294"/>
      <c r="AI606" s="294"/>
      <c r="AJ606" s="26"/>
      <c r="AK606" s="374"/>
      <c r="AL606" s="374"/>
      <c r="AO606" s="294"/>
      <c r="AR606" s="374"/>
      <c r="AZ606" s="374"/>
      <c r="BE606" s="26"/>
      <c r="BF606" s="26"/>
      <c r="BG606" s="26"/>
      <c r="BH606" s="26"/>
      <c r="BI606" s="26"/>
      <c r="BJ606" s="26"/>
      <c r="BK606" s="26"/>
      <c r="BL606" s="26"/>
      <c r="BS606" s="20"/>
      <c r="BT606" s="26"/>
      <c r="BV606" s="381"/>
      <c r="BW606" s="229"/>
    </row>
    <row r="607" spans="33:75" x14ac:dyDescent="0.2">
      <c r="AG607" s="373"/>
      <c r="AH607" s="294"/>
      <c r="AI607" s="294"/>
      <c r="AJ607" s="26"/>
      <c r="AK607" s="374"/>
      <c r="AL607" s="374"/>
      <c r="AO607" s="294"/>
      <c r="AR607" s="374"/>
      <c r="AZ607" s="374"/>
      <c r="BE607" s="26"/>
      <c r="BF607" s="26"/>
      <c r="BG607" s="26"/>
      <c r="BH607" s="26"/>
      <c r="BI607" s="26"/>
      <c r="BJ607" s="26"/>
      <c r="BK607" s="26"/>
      <c r="BL607" s="26"/>
      <c r="BS607" s="20"/>
      <c r="BT607" s="26"/>
      <c r="BV607" s="381"/>
      <c r="BW607" s="229"/>
    </row>
    <row r="608" spans="33:75" x14ac:dyDescent="0.2">
      <c r="AG608" s="294"/>
      <c r="AH608" s="294"/>
      <c r="AI608" s="294"/>
      <c r="AJ608" s="26"/>
      <c r="AK608" s="374"/>
      <c r="AL608" s="374"/>
      <c r="AO608" s="294"/>
      <c r="AR608" s="374"/>
      <c r="AZ608" s="374"/>
      <c r="BE608" s="26"/>
      <c r="BF608" s="26"/>
      <c r="BG608" s="26"/>
      <c r="BH608" s="26"/>
      <c r="BI608" s="26"/>
      <c r="BJ608" s="26"/>
      <c r="BK608" s="26"/>
      <c r="BL608" s="26"/>
      <c r="BS608" s="20"/>
      <c r="BT608" s="26"/>
      <c r="BV608" s="381"/>
      <c r="BW608" s="229"/>
    </row>
    <row r="609" spans="33:75" x14ac:dyDescent="0.2">
      <c r="AG609" s="294"/>
      <c r="AH609" s="294"/>
      <c r="AI609" s="294"/>
      <c r="AJ609" s="26"/>
      <c r="AK609" s="374"/>
      <c r="AL609" s="374"/>
      <c r="AO609" s="294"/>
      <c r="AR609" s="374"/>
      <c r="AZ609" s="374"/>
      <c r="BE609" s="26"/>
      <c r="BF609" s="26"/>
      <c r="BG609" s="26"/>
      <c r="BH609" s="26"/>
      <c r="BI609" s="26"/>
      <c r="BJ609" s="26"/>
      <c r="BK609" s="26"/>
      <c r="BL609" s="26"/>
      <c r="BS609" s="20"/>
      <c r="BT609" s="26"/>
      <c r="BV609" s="381"/>
      <c r="BW609" s="229"/>
    </row>
    <row r="610" spans="33:75" x14ac:dyDescent="0.2">
      <c r="AG610" s="294"/>
      <c r="AH610" s="294"/>
      <c r="AI610" s="294"/>
      <c r="AJ610" s="26"/>
      <c r="AK610" s="374"/>
      <c r="AL610" s="374"/>
      <c r="AO610" s="294"/>
      <c r="AR610" s="374"/>
      <c r="AZ610" s="374"/>
      <c r="BE610" s="26"/>
      <c r="BF610" s="26"/>
      <c r="BG610" s="26"/>
      <c r="BH610" s="26"/>
      <c r="BI610" s="26"/>
      <c r="BJ610" s="26"/>
      <c r="BK610" s="26"/>
      <c r="BL610" s="26"/>
      <c r="BS610" s="20"/>
      <c r="BT610" s="26"/>
      <c r="BV610" s="381"/>
      <c r="BW610" s="229"/>
    </row>
    <row r="611" spans="33:75" x14ac:dyDescent="0.2">
      <c r="AG611" s="294"/>
      <c r="AH611" s="294"/>
      <c r="AI611" s="294"/>
      <c r="AJ611" s="26"/>
      <c r="AK611" s="374"/>
      <c r="AL611" s="374"/>
      <c r="AO611" s="294"/>
      <c r="AR611" s="374"/>
      <c r="AZ611" s="374"/>
      <c r="BE611" s="26"/>
      <c r="BF611" s="26"/>
      <c r="BG611" s="26"/>
      <c r="BH611" s="26"/>
      <c r="BI611" s="26"/>
      <c r="BJ611" s="26"/>
      <c r="BK611" s="26"/>
      <c r="BL611" s="26"/>
      <c r="BS611" s="20"/>
      <c r="BT611" s="26"/>
      <c r="BV611" s="381"/>
      <c r="BW611" s="229"/>
    </row>
    <row r="612" spans="33:75" x14ac:dyDescent="0.2">
      <c r="AG612" s="294"/>
      <c r="AH612" s="294"/>
      <c r="AI612" s="294"/>
      <c r="AJ612" s="26"/>
      <c r="AK612" s="374"/>
      <c r="AL612" s="374"/>
      <c r="AO612" s="294"/>
      <c r="AR612" s="374"/>
      <c r="AZ612" s="374"/>
      <c r="BE612" s="26"/>
      <c r="BF612" s="26"/>
      <c r="BG612" s="26"/>
      <c r="BH612" s="26"/>
      <c r="BI612" s="26"/>
      <c r="BJ612" s="26"/>
      <c r="BK612" s="26"/>
      <c r="BL612" s="26"/>
      <c r="BS612" s="20"/>
      <c r="BT612" s="26"/>
      <c r="BV612" s="381"/>
      <c r="BW612" s="229"/>
    </row>
    <row r="613" spans="33:75" x14ac:dyDescent="0.2">
      <c r="AG613" s="294"/>
      <c r="AH613" s="294"/>
      <c r="AI613" s="294"/>
      <c r="AJ613" s="26"/>
      <c r="AK613" s="374"/>
      <c r="AL613" s="374"/>
      <c r="AO613" s="294"/>
      <c r="AR613" s="374"/>
      <c r="AZ613" s="374"/>
      <c r="BE613" s="26"/>
      <c r="BF613" s="26"/>
      <c r="BG613" s="26"/>
      <c r="BH613" s="26"/>
      <c r="BI613" s="26"/>
      <c r="BJ613" s="26"/>
      <c r="BK613" s="26"/>
      <c r="BL613" s="26"/>
      <c r="BS613" s="20"/>
      <c r="BT613" s="26"/>
      <c r="BV613" s="381"/>
      <c r="BW613" s="229"/>
    </row>
    <row r="614" spans="33:75" x14ac:dyDescent="0.2">
      <c r="AG614" s="294"/>
      <c r="AH614" s="294"/>
      <c r="AI614" s="294"/>
      <c r="AJ614" s="26"/>
      <c r="AK614" s="374"/>
      <c r="AL614" s="374"/>
      <c r="AO614" s="294"/>
      <c r="AR614" s="374"/>
      <c r="AZ614" s="374"/>
      <c r="BE614" s="26"/>
      <c r="BF614" s="26"/>
      <c r="BG614" s="26"/>
      <c r="BH614" s="26"/>
      <c r="BI614" s="26"/>
      <c r="BJ614" s="26"/>
      <c r="BK614" s="26"/>
      <c r="BL614" s="26"/>
      <c r="BS614" s="20"/>
      <c r="BT614" s="26"/>
      <c r="BV614" s="381"/>
      <c r="BW614" s="229"/>
    </row>
    <row r="615" spans="33:75" x14ac:dyDescent="0.2">
      <c r="AG615" s="294"/>
      <c r="AH615" s="294"/>
      <c r="AI615" s="294"/>
      <c r="AJ615" s="26"/>
      <c r="AK615" s="374"/>
      <c r="AL615" s="374"/>
      <c r="AO615" s="294"/>
      <c r="AR615" s="374"/>
      <c r="AZ615" s="374"/>
      <c r="BE615" s="26"/>
      <c r="BF615" s="26"/>
      <c r="BG615" s="26"/>
      <c r="BH615" s="26"/>
      <c r="BI615" s="26"/>
      <c r="BJ615" s="26"/>
      <c r="BK615" s="26"/>
      <c r="BL615" s="26"/>
      <c r="BS615" s="20"/>
      <c r="BT615" s="26"/>
      <c r="BV615" s="381"/>
      <c r="BW615" s="229"/>
    </row>
    <row r="616" spans="33:75" x14ac:dyDescent="0.2">
      <c r="AG616" s="294"/>
      <c r="AH616" s="294"/>
      <c r="AI616" s="294"/>
      <c r="AJ616" s="26"/>
      <c r="AK616" s="374"/>
      <c r="AL616" s="374"/>
      <c r="AO616" s="294"/>
      <c r="AR616" s="374"/>
      <c r="AZ616" s="374"/>
      <c r="BE616" s="26"/>
      <c r="BF616" s="26"/>
      <c r="BG616" s="26"/>
      <c r="BH616" s="26"/>
      <c r="BI616" s="26"/>
      <c r="BJ616" s="26"/>
      <c r="BK616" s="26"/>
      <c r="BL616" s="26"/>
      <c r="BS616" s="20"/>
      <c r="BT616" s="26"/>
      <c r="BV616" s="381"/>
      <c r="BW616" s="229"/>
    </row>
    <row r="617" spans="33:75" x14ac:dyDescent="0.2">
      <c r="AG617" s="294"/>
      <c r="AH617" s="294"/>
      <c r="AI617" s="294"/>
      <c r="AJ617" s="26"/>
      <c r="AK617" s="374"/>
      <c r="AL617" s="374"/>
      <c r="AO617" s="294"/>
      <c r="AR617" s="374"/>
      <c r="AZ617" s="374"/>
      <c r="BE617" s="26"/>
      <c r="BF617" s="26"/>
      <c r="BG617" s="26"/>
      <c r="BH617" s="26"/>
      <c r="BI617" s="26"/>
      <c r="BJ617" s="26"/>
      <c r="BK617" s="26"/>
      <c r="BL617" s="26"/>
      <c r="BS617" s="20"/>
      <c r="BT617" s="26"/>
      <c r="BV617" s="381"/>
      <c r="BW617" s="229"/>
    </row>
    <row r="618" spans="33:75" x14ac:dyDescent="0.2">
      <c r="AG618" s="294"/>
      <c r="AH618" s="294"/>
      <c r="AI618" s="294"/>
      <c r="AJ618" s="26"/>
      <c r="AK618" s="374"/>
      <c r="AL618" s="374"/>
      <c r="AO618" s="294"/>
      <c r="AR618" s="374"/>
      <c r="AZ618" s="374"/>
      <c r="BE618" s="26"/>
      <c r="BF618" s="26"/>
      <c r="BG618" s="26"/>
      <c r="BH618" s="26"/>
      <c r="BI618" s="26"/>
      <c r="BJ618" s="26"/>
      <c r="BK618" s="26"/>
      <c r="BL618" s="26"/>
      <c r="BS618" s="20"/>
      <c r="BT618" s="26"/>
      <c r="BV618" s="381"/>
      <c r="BW618" s="229"/>
    </row>
    <row r="619" spans="33:75" x14ac:dyDescent="0.2">
      <c r="AG619" s="294"/>
      <c r="AH619" s="294"/>
      <c r="AI619" s="294"/>
      <c r="AJ619" s="26"/>
      <c r="AK619" s="374"/>
      <c r="AL619" s="374"/>
      <c r="AO619" s="294"/>
      <c r="AR619" s="374"/>
      <c r="AZ619" s="374"/>
      <c r="BE619" s="26"/>
      <c r="BF619" s="26"/>
      <c r="BG619" s="26"/>
      <c r="BH619" s="26"/>
      <c r="BI619" s="26"/>
      <c r="BJ619" s="26"/>
      <c r="BK619" s="26"/>
      <c r="BL619" s="26"/>
      <c r="BS619" s="20"/>
      <c r="BT619" s="26"/>
      <c r="BV619" s="381"/>
      <c r="BW619" s="229"/>
    </row>
    <row r="620" spans="33:75" x14ac:dyDescent="0.2">
      <c r="AG620" s="294"/>
      <c r="AH620" s="294"/>
      <c r="AI620" s="294"/>
      <c r="AJ620" s="26"/>
      <c r="AK620" s="374"/>
      <c r="AL620" s="374"/>
      <c r="AO620" s="294"/>
      <c r="AR620" s="374"/>
      <c r="AZ620" s="374"/>
      <c r="BE620" s="26"/>
      <c r="BF620" s="26"/>
      <c r="BG620" s="26"/>
      <c r="BH620" s="26"/>
      <c r="BI620" s="26"/>
      <c r="BJ620" s="26"/>
      <c r="BK620" s="26"/>
      <c r="BL620" s="26"/>
      <c r="BS620" s="20"/>
      <c r="BT620" s="26"/>
      <c r="BV620" s="381"/>
      <c r="BW620" s="229"/>
    </row>
    <row r="621" spans="33:75" x14ac:dyDescent="0.2">
      <c r="AG621" s="294"/>
      <c r="AH621" s="294"/>
      <c r="AI621" s="294"/>
      <c r="AJ621" s="26"/>
      <c r="AK621" s="374"/>
      <c r="AL621" s="374"/>
      <c r="AO621" s="294"/>
      <c r="AR621" s="374"/>
      <c r="AZ621" s="374"/>
      <c r="BE621" s="26"/>
      <c r="BF621" s="26"/>
      <c r="BG621" s="26"/>
      <c r="BH621" s="26"/>
      <c r="BI621" s="26"/>
      <c r="BJ621" s="26"/>
      <c r="BK621" s="26"/>
      <c r="BL621" s="26"/>
      <c r="BS621" s="20"/>
      <c r="BT621" s="26"/>
      <c r="BV621" s="381"/>
      <c r="BW621" s="229"/>
    </row>
    <row r="622" spans="33:75" x14ac:dyDescent="0.2">
      <c r="AG622" s="294"/>
      <c r="AH622" s="294"/>
      <c r="AI622" s="294"/>
      <c r="AJ622" s="26"/>
      <c r="AK622" s="374"/>
      <c r="AL622" s="374"/>
      <c r="AO622" s="294"/>
      <c r="AR622" s="374"/>
      <c r="AZ622" s="374"/>
      <c r="BE622" s="26"/>
      <c r="BF622" s="26"/>
      <c r="BG622" s="26"/>
      <c r="BH622" s="26"/>
      <c r="BI622" s="26"/>
      <c r="BJ622" s="26"/>
      <c r="BK622" s="26"/>
      <c r="BL622" s="26"/>
      <c r="BS622" s="20"/>
      <c r="BT622" s="26"/>
      <c r="BV622" s="381"/>
      <c r="BW622" s="229"/>
    </row>
    <row r="623" spans="33:75" x14ac:dyDescent="0.2">
      <c r="AG623" s="294"/>
      <c r="AH623" s="294"/>
      <c r="AI623" s="294"/>
      <c r="AJ623" s="26"/>
      <c r="AK623" s="374"/>
      <c r="AL623" s="374"/>
      <c r="AO623" s="294"/>
      <c r="AR623" s="374"/>
      <c r="AZ623" s="374"/>
      <c r="BE623" s="26"/>
      <c r="BF623" s="26"/>
      <c r="BG623" s="26"/>
      <c r="BH623" s="26"/>
      <c r="BI623" s="26"/>
      <c r="BJ623" s="26"/>
      <c r="BK623" s="26"/>
      <c r="BL623" s="26"/>
      <c r="BS623" s="20"/>
      <c r="BT623" s="26"/>
      <c r="BV623" s="381"/>
      <c r="BW623" s="229"/>
    </row>
    <row r="624" spans="33:75" x14ac:dyDescent="0.2">
      <c r="AG624" s="294"/>
      <c r="AH624" s="294"/>
      <c r="AI624" s="294"/>
      <c r="AJ624" s="26"/>
      <c r="AK624" s="374"/>
      <c r="AL624" s="374"/>
      <c r="AO624" s="294"/>
      <c r="AR624" s="374"/>
      <c r="AZ624" s="374"/>
      <c r="BE624" s="26"/>
      <c r="BF624" s="26"/>
      <c r="BG624" s="26"/>
      <c r="BH624" s="26"/>
      <c r="BI624" s="26"/>
      <c r="BJ624" s="26"/>
      <c r="BK624" s="26"/>
      <c r="BL624" s="26"/>
      <c r="BS624" s="20"/>
      <c r="BT624" s="26"/>
      <c r="BV624" s="381"/>
      <c r="BW624" s="229"/>
    </row>
    <row r="625" spans="33:75" x14ac:dyDescent="0.2">
      <c r="AG625" s="294"/>
      <c r="AH625" s="294"/>
      <c r="AI625" s="294"/>
      <c r="AJ625" s="26"/>
      <c r="AK625" s="374"/>
      <c r="AL625" s="374"/>
      <c r="AO625" s="294"/>
      <c r="AR625" s="374"/>
      <c r="AZ625" s="374"/>
      <c r="BE625" s="26"/>
      <c r="BF625" s="26"/>
      <c r="BG625" s="26"/>
      <c r="BH625" s="26"/>
      <c r="BI625" s="26"/>
      <c r="BJ625" s="26"/>
      <c r="BK625" s="26"/>
      <c r="BL625" s="26"/>
      <c r="BS625" s="20"/>
      <c r="BT625" s="26"/>
      <c r="BV625" s="381"/>
      <c r="BW625" s="229"/>
    </row>
    <row r="626" spans="33:75" x14ac:dyDescent="0.2">
      <c r="AG626" s="294"/>
      <c r="AH626" s="294"/>
      <c r="AI626" s="294"/>
      <c r="AJ626" s="26"/>
      <c r="AK626" s="374"/>
      <c r="AL626" s="374"/>
      <c r="AO626" s="294"/>
      <c r="AR626" s="374"/>
      <c r="AZ626" s="374"/>
      <c r="BE626" s="26"/>
      <c r="BF626" s="26"/>
      <c r="BG626" s="26"/>
      <c r="BH626" s="26"/>
      <c r="BI626" s="26"/>
      <c r="BJ626" s="26"/>
      <c r="BK626" s="26"/>
      <c r="BL626" s="26"/>
      <c r="BS626" s="20"/>
      <c r="BT626" s="26"/>
      <c r="BV626" s="381"/>
      <c r="BW626" s="229"/>
    </row>
    <row r="627" spans="33:75" x14ac:dyDescent="0.2">
      <c r="AG627" s="294"/>
      <c r="AH627" s="294"/>
      <c r="AI627" s="294"/>
      <c r="AJ627" s="26"/>
      <c r="AK627" s="374"/>
      <c r="AL627" s="374"/>
      <c r="AO627" s="294"/>
      <c r="AR627" s="374"/>
      <c r="AZ627" s="374"/>
      <c r="BE627" s="26"/>
      <c r="BF627" s="26"/>
      <c r="BG627" s="26"/>
      <c r="BH627" s="26"/>
      <c r="BI627" s="26"/>
      <c r="BJ627" s="26"/>
      <c r="BK627" s="26"/>
      <c r="BL627" s="26"/>
      <c r="BS627" s="20"/>
      <c r="BT627" s="26"/>
      <c r="BV627" s="381"/>
      <c r="BW627" s="229"/>
    </row>
    <row r="628" spans="33:75" x14ac:dyDescent="0.2">
      <c r="AG628" s="294"/>
      <c r="AH628" s="294"/>
      <c r="AI628" s="294"/>
      <c r="AJ628" s="26"/>
      <c r="AK628" s="374"/>
      <c r="AL628" s="374"/>
      <c r="AO628" s="294"/>
      <c r="AR628" s="374"/>
      <c r="AZ628" s="374"/>
      <c r="BE628" s="26"/>
      <c r="BF628" s="26"/>
      <c r="BG628" s="26"/>
      <c r="BH628" s="26"/>
      <c r="BI628" s="26"/>
      <c r="BJ628" s="26"/>
      <c r="BK628" s="26"/>
      <c r="BL628" s="26"/>
      <c r="BS628" s="20"/>
      <c r="BT628" s="26"/>
      <c r="BV628" s="381"/>
      <c r="BW628" s="229"/>
    </row>
    <row r="629" spans="33:75" x14ac:dyDescent="0.2">
      <c r="AG629" s="294"/>
      <c r="AH629" s="294"/>
      <c r="AI629" s="294"/>
      <c r="AJ629" s="26"/>
      <c r="AK629" s="374"/>
      <c r="AL629" s="374"/>
      <c r="AO629" s="294"/>
      <c r="AR629" s="374"/>
      <c r="AZ629" s="374"/>
      <c r="BE629" s="26"/>
      <c r="BF629" s="26"/>
      <c r="BG629" s="26"/>
      <c r="BH629" s="26"/>
      <c r="BI629" s="26"/>
      <c r="BJ629" s="26"/>
      <c r="BK629" s="26"/>
      <c r="BL629" s="26"/>
      <c r="BS629" s="20"/>
      <c r="BT629" s="26"/>
      <c r="BV629" s="381"/>
      <c r="BW629" s="229"/>
    </row>
    <row r="630" spans="33:75" x14ac:dyDescent="0.2">
      <c r="AG630" s="294"/>
      <c r="AH630" s="294"/>
      <c r="AI630" s="294"/>
      <c r="AJ630" s="26"/>
      <c r="AK630" s="374"/>
      <c r="AL630" s="374"/>
      <c r="AO630" s="294"/>
      <c r="AR630" s="374"/>
      <c r="AZ630" s="374"/>
      <c r="BE630" s="26"/>
      <c r="BF630" s="26"/>
      <c r="BG630" s="26"/>
      <c r="BH630" s="26"/>
      <c r="BI630" s="26"/>
      <c r="BJ630" s="26"/>
      <c r="BK630" s="26"/>
      <c r="BL630" s="26"/>
      <c r="BS630" s="20"/>
      <c r="BT630" s="26"/>
      <c r="BV630" s="381"/>
      <c r="BW630" s="229"/>
    </row>
    <row r="631" spans="33:75" x14ac:dyDescent="0.2">
      <c r="AG631" s="294"/>
      <c r="AH631" s="294"/>
      <c r="AI631" s="294"/>
      <c r="AJ631" s="26"/>
      <c r="AK631" s="374"/>
      <c r="AL631" s="374"/>
      <c r="AO631" s="294"/>
      <c r="AR631" s="374"/>
      <c r="AZ631" s="374"/>
      <c r="BE631" s="26"/>
      <c r="BF631" s="26"/>
      <c r="BG631" s="26"/>
      <c r="BH631" s="26"/>
      <c r="BI631" s="26"/>
      <c r="BJ631" s="26"/>
      <c r="BK631" s="26"/>
      <c r="BL631" s="26"/>
      <c r="BS631" s="20"/>
      <c r="BT631" s="26"/>
      <c r="BV631" s="381"/>
      <c r="BW631" s="229"/>
    </row>
    <row r="632" spans="33:75" x14ac:dyDescent="0.2">
      <c r="AG632" s="294"/>
      <c r="AH632" s="294"/>
      <c r="AI632" s="294"/>
      <c r="AJ632" s="26"/>
      <c r="AK632" s="374"/>
      <c r="AL632" s="374"/>
      <c r="AO632" s="294"/>
      <c r="AR632" s="374"/>
      <c r="AZ632" s="374"/>
      <c r="BE632" s="26"/>
      <c r="BF632" s="26"/>
      <c r="BG632" s="26"/>
      <c r="BH632" s="26"/>
      <c r="BI632" s="26"/>
      <c r="BJ632" s="26"/>
      <c r="BK632" s="26"/>
      <c r="BL632" s="26"/>
      <c r="BS632" s="20"/>
      <c r="BT632" s="26"/>
      <c r="BV632" s="381"/>
      <c r="BW632" s="229"/>
    </row>
    <row r="633" spans="33:75" x14ac:dyDescent="0.2">
      <c r="AG633" s="294"/>
      <c r="AH633" s="294"/>
      <c r="AI633" s="294"/>
      <c r="AJ633" s="26"/>
      <c r="AK633" s="374"/>
      <c r="AL633" s="374"/>
      <c r="AO633" s="294"/>
      <c r="AR633" s="374"/>
      <c r="AZ633" s="374"/>
      <c r="BE633" s="26"/>
      <c r="BF633" s="26"/>
      <c r="BG633" s="26"/>
      <c r="BH633" s="26"/>
      <c r="BI633" s="26"/>
      <c r="BJ633" s="26"/>
      <c r="BK633" s="26"/>
      <c r="BL633" s="26"/>
      <c r="BS633" s="20"/>
      <c r="BT633" s="26"/>
      <c r="BV633" s="381"/>
      <c r="BW633" s="229"/>
    </row>
    <row r="634" spans="33:75" x14ac:dyDescent="0.2">
      <c r="AG634" s="294"/>
      <c r="AH634" s="294"/>
      <c r="AI634" s="294"/>
      <c r="AJ634" s="26"/>
      <c r="AK634" s="374"/>
      <c r="AL634" s="374"/>
      <c r="AO634" s="294"/>
      <c r="AR634" s="374"/>
      <c r="AZ634" s="374"/>
      <c r="BE634" s="26"/>
      <c r="BF634" s="26"/>
      <c r="BG634" s="26"/>
      <c r="BH634" s="26"/>
      <c r="BI634" s="26"/>
      <c r="BJ634" s="26"/>
      <c r="BK634" s="26"/>
      <c r="BL634" s="26"/>
      <c r="BS634" s="20"/>
      <c r="BT634" s="26"/>
      <c r="BV634" s="381"/>
      <c r="BW634" s="229"/>
    </row>
    <row r="635" spans="33:75" x14ac:dyDescent="0.2">
      <c r="AG635" s="294"/>
      <c r="AH635" s="294"/>
      <c r="AI635" s="294"/>
      <c r="AJ635" s="26"/>
      <c r="AK635" s="374"/>
      <c r="AL635" s="374"/>
      <c r="AO635" s="294"/>
      <c r="AR635" s="374"/>
      <c r="AZ635" s="374"/>
      <c r="BE635" s="26"/>
      <c r="BF635" s="26"/>
      <c r="BG635" s="26"/>
      <c r="BH635" s="26"/>
      <c r="BI635" s="26"/>
      <c r="BJ635" s="26"/>
      <c r="BK635" s="26"/>
      <c r="BL635" s="26"/>
      <c r="BS635" s="20"/>
      <c r="BT635" s="26"/>
      <c r="BV635" s="381"/>
      <c r="BW635" s="229"/>
    </row>
    <row r="636" spans="33:75" x14ac:dyDescent="0.2">
      <c r="AG636" s="294"/>
      <c r="AH636" s="294"/>
      <c r="AI636" s="294"/>
      <c r="AJ636" s="26"/>
      <c r="AK636" s="374"/>
      <c r="AL636" s="374"/>
      <c r="AO636" s="294"/>
      <c r="AR636" s="374"/>
      <c r="AZ636" s="374"/>
      <c r="BE636" s="26"/>
      <c r="BF636" s="26"/>
      <c r="BG636" s="26"/>
      <c r="BH636" s="26"/>
      <c r="BI636" s="26"/>
      <c r="BJ636" s="26"/>
      <c r="BK636" s="26"/>
      <c r="BL636" s="26"/>
      <c r="BS636" s="20"/>
      <c r="BT636" s="26"/>
      <c r="BV636" s="381"/>
      <c r="BW636" s="229"/>
    </row>
    <row r="637" spans="33:75" x14ac:dyDescent="0.2">
      <c r="AG637" s="294"/>
      <c r="AH637" s="294"/>
      <c r="AI637" s="294"/>
      <c r="AJ637" s="26"/>
      <c r="AK637" s="374"/>
      <c r="AL637" s="374"/>
      <c r="AO637" s="294"/>
      <c r="AR637" s="374"/>
      <c r="AZ637" s="374"/>
      <c r="BE637" s="26"/>
      <c r="BF637" s="26"/>
      <c r="BG637" s="26"/>
      <c r="BH637" s="26"/>
      <c r="BI637" s="26"/>
      <c r="BJ637" s="26"/>
      <c r="BK637" s="26"/>
      <c r="BL637" s="26"/>
      <c r="BS637" s="20"/>
      <c r="BT637" s="26"/>
      <c r="BV637" s="381"/>
      <c r="BW637" s="229"/>
    </row>
    <row r="638" spans="33:75" x14ac:dyDescent="0.2">
      <c r="AG638" s="294"/>
      <c r="AH638" s="294"/>
      <c r="AI638" s="294"/>
      <c r="AJ638" s="26"/>
      <c r="AK638" s="374"/>
      <c r="AL638" s="374"/>
      <c r="AO638" s="294"/>
      <c r="AR638" s="374"/>
      <c r="AZ638" s="374"/>
      <c r="BE638" s="26"/>
      <c r="BF638" s="26"/>
      <c r="BG638" s="26"/>
      <c r="BH638" s="26"/>
      <c r="BI638" s="26"/>
      <c r="BJ638" s="26"/>
      <c r="BK638" s="26"/>
      <c r="BL638" s="26"/>
      <c r="BS638" s="20"/>
      <c r="BT638" s="26"/>
      <c r="BV638" s="381"/>
      <c r="BW638" s="229"/>
    </row>
    <row r="639" spans="33:75" x14ac:dyDescent="0.2">
      <c r="AG639" s="294"/>
      <c r="AH639" s="294"/>
      <c r="AI639" s="294"/>
      <c r="AJ639" s="26"/>
      <c r="AK639" s="374"/>
      <c r="AL639" s="374"/>
      <c r="AO639" s="294"/>
      <c r="AR639" s="374"/>
      <c r="AZ639" s="374"/>
      <c r="BE639" s="26"/>
      <c r="BF639" s="26"/>
      <c r="BG639" s="26"/>
      <c r="BH639" s="26"/>
      <c r="BI639" s="26"/>
      <c r="BJ639" s="26"/>
      <c r="BK639" s="26"/>
      <c r="BL639" s="26"/>
      <c r="BS639" s="20"/>
      <c r="BT639" s="26"/>
      <c r="BV639" s="381"/>
      <c r="BW639" s="229"/>
    </row>
    <row r="640" spans="33:75" x14ac:dyDescent="0.2">
      <c r="AG640" s="294"/>
      <c r="AH640" s="294"/>
      <c r="AI640" s="294"/>
      <c r="AJ640" s="26"/>
      <c r="AK640" s="374"/>
      <c r="AL640" s="374"/>
      <c r="AO640" s="294"/>
      <c r="AR640" s="374"/>
      <c r="AZ640" s="374"/>
      <c r="BE640" s="26"/>
      <c r="BF640" s="26"/>
      <c r="BG640" s="26"/>
      <c r="BH640" s="26"/>
      <c r="BI640" s="26"/>
      <c r="BJ640" s="26"/>
      <c r="BK640" s="26"/>
      <c r="BL640" s="26"/>
      <c r="BS640" s="20"/>
      <c r="BT640" s="26"/>
      <c r="BV640" s="381"/>
      <c r="BW640" s="229"/>
    </row>
    <row r="641" spans="33:75" x14ac:dyDescent="0.2">
      <c r="AG641" s="294"/>
      <c r="AH641" s="294"/>
      <c r="AI641" s="294"/>
      <c r="AJ641" s="26"/>
      <c r="AK641" s="374"/>
      <c r="AL641" s="374"/>
      <c r="AO641" s="294"/>
      <c r="AR641" s="374"/>
      <c r="AZ641" s="374"/>
      <c r="BE641" s="26"/>
      <c r="BF641" s="26"/>
      <c r="BG641" s="26"/>
      <c r="BH641" s="26"/>
      <c r="BI641" s="26"/>
      <c r="BJ641" s="26"/>
      <c r="BK641" s="26"/>
      <c r="BL641" s="26"/>
      <c r="BS641" s="20"/>
      <c r="BT641" s="26"/>
      <c r="BV641" s="381"/>
      <c r="BW641" s="229"/>
    </row>
    <row r="642" spans="33:75" x14ac:dyDescent="0.2">
      <c r="AG642" s="294"/>
      <c r="AH642" s="294"/>
      <c r="AI642" s="294"/>
      <c r="AJ642" s="26"/>
      <c r="AK642" s="374"/>
      <c r="AL642" s="374"/>
      <c r="AO642" s="294"/>
      <c r="AR642" s="374"/>
      <c r="AZ642" s="374"/>
      <c r="BE642" s="26"/>
      <c r="BF642" s="26"/>
      <c r="BG642" s="26"/>
      <c r="BH642" s="26"/>
      <c r="BI642" s="26"/>
      <c r="BJ642" s="26"/>
      <c r="BK642" s="26"/>
      <c r="BL642" s="26"/>
      <c r="BS642" s="20"/>
      <c r="BT642" s="26"/>
      <c r="BV642" s="381"/>
      <c r="BW642" s="229"/>
    </row>
    <row r="643" spans="33:75" x14ac:dyDescent="0.2">
      <c r="AG643" s="294"/>
      <c r="AH643" s="294"/>
      <c r="AI643" s="294"/>
      <c r="AJ643" s="26"/>
      <c r="AK643" s="374"/>
      <c r="AL643" s="374"/>
      <c r="AO643" s="294"/>
      <c r="AR643" s="374"/>
      <c r="AZ643" s="374"/>
      <c r="BE643" s="26"/>
      <c r="BF643" s="26"/>
      <c r="BG643" s="26"/>
      <c r="BH643" s="26"/>
      <c r="BI643" s="26"/>
      <c r="BJ643" s="26"/>
      <c r="BK643" s="26"/>
      <c r="BL643" s="26"/>
      <c r="BS643" s="20"/>
      <c r="BT643" s="26"/>
      <c r="BV643" s="381"/>
      <c r="BW643" s="229"/>
    </row>
    <row r="644" spans="33:75" x14ac:dyDescent="0.2">
      <c r="AG644" s="294"/>
      <c r="AH644" s="294"/>
      <c r="AI644" s="294"/>
      <c r="AJ644" s="26"/>
      <c r="AK644" s="374"/>
      <c r="AL644" s="374"/>
      <c r="AO644" s="294"/>
      <c r="AR644" s="374"/>
      <c r="AZ644" s="374"/>
      <c r="BE644" s="26"/>
      <c r="BF644" s="26"/>
      <c r="BG644" s="26"/>
      <c r="BH644" s="26"/>
      <c r="BI644" s="26"/>
      <c r="BJ644" s="26"/>
      <c r="BK644" s="26"/>
      <c r="BL644" s="26"/>
      <c r="BS644" s="20"/>
      <c r="BT644" s="26"/>
      <c r="BV644" s="381"/>
      <c r="BW644" s="229"/>
    </row>
    <row r="645" spans="33:75" x14ac:dyDescent="0.2">
      <c r="AG645" s="294"/>
      <c r="AH645" s="294"/>
      <c r="AI645" s="294"/>
      <c r="AJ645" s="26"/>
      <c r="AK645" s="374"/>
      <c r="AL645" s="374"/>
      <c r="AO645" s="294"/>
      <c r="AR645" s="374"/>
      <c r="AZ645" s="374"/>
      <c r="BE645" s="26"/>
      <c r="BF645" s="26"/>
      <c r="BG645" s="26"/>
      <c r="BH645" s="26"/>
      <c r="BI645" s="26"/>
      <c r="BJ645" s="26"/>
      <c r="BK645" s="26"/>
      <c r="BL645" s="26"/>
      <c r="BS645" s="20"/>
      <c r="BT645" s="26"/>
      <c r="BV645" s="381"/>
      <c r="BW645" s="229"/>
    </row>
    <row r="646" spans="33:75" x14ac:dyDescent="0.2">
      <c r="AG646" s="294"/>
      <c r="AH646" s="294"/>
      <c r="AI646" s="294"/>
      <c r="AJ646" s="26"/>
      <c r="AK646" s="374"/>
      <c r="AL646" s="374"/>
      <c r="AO646" s="294"/>
      <c r="AR646" s="374"/>
      <c r="AZ646" s="374"/>
      <c r="BE646" s="26"/>
      <c r="BF646" s="26"/>
      <c r="BG646" s="26"/>
      <c r="BH646" s="26"/>
      <c r="BI646" s="26"/>
      <c r="BJ646" s="26"/>
      <c r="BK646" s="26"/>
      <c r="BL646" s="26"/>
      <c r="BS646" s="20"/>
      <c r="BT646" s="26"/>
      <c r="BV646" s="381"/>
      <c r="BW646" s="229"/>
    </row>
    <row r="647" spans="33:75" x14ac:dyDescent="0.2">
      <c r="AG647" s="294"/>
      <c r="AH647" s="294"/>
      <c r="AI647" s="294"/>
      <c r="AJ647" s="26"/>
      <c r="AK647" s="374"/>
      <c r="AL647" s="374"/>
      <c r="AO647" s="294"/>
      <c r="AR647" s="374"/>
      <c r="AZ647" s="374"/>
      <c r="BE647" s="26"/>
      <c r="BF647" s="26"/>
      <c r="BG647" s="26"/>
      <c r="BH647" s="26"/>
      <c r="BI647" s="26"/>
      <c r="BJ647" s="26"/>
      <c r="BK647" s="26"/>
      <c r="BL647" s="26"/>
      <c r="BS647" s="20"/>
      <c r="BT647" s="26"/>
      <c r="BV647" s="381"/>
      <c r="BW647" s="229"/>
    </row>
    <row r="648" spans="33:75" x14ac:dyDescent="0.2">
      <c r="AG648" s="294"/>
      <c r="AH648" s="294"/>
      <c r="AI648" s="294"/>
      <c r="AJ648" s="26"/>
      <c r="AK648" s="374"/>
      <c r="AL648" s="374"/>
      <c r="AO648" s="294"/>
      <c r="AR648" s="374"/>
      <c r="AZ648" s="374"/>
      <c r="BE648" s="26"/>
      <c r="BF648" s="26"/>
      <c r="BG648" s="26"/>
      <c r="BH648" s="26"/>
      <c r="BI648" s="26"/>
      <c r="BJ648" s="26"/>
      <c r="BK648" s="26"/>
      <c r="BL648" s="26"/>
      <c r="BS648" s="20"/>
      <c r="BT648" s="26"/>
      <c r="BV648" s="381"/>
      <c r="BW648" s="229"/>
    </row>
    <row r="649" spans="33:75" x14ac:dyDescent="0.2">
      <c r="AG649" s="294"/>
      <c r="AH649" s="294"/>
      <c r="AI649" s="294"/>
      <c r="AJ649" s="26"/>
      <c r="AK649" s="374"/>
      <c r="AL649" s="374"/>
      <c r="AO649" s="294"/>
      <c r="AR649" s="374"/>
      <c r="AZ649" s="374"/>
      <c r="BE649" s="26"/>
      <c r="BF649" s="26"/>
      <c r="BG649" s="26"/>
      <c r="BH649" s="26"/>
      <c r="BI649" s="26"/>
      <c r="BJ649" s="26"/>
      <c r="BK649" s="26"/>
      <c r="BL649" s="26"/>
      <c r="BS649" s="20"/>
      <c r="BT649" s="26"/>
      <c r="BV649" s="381"/>
      <c r="BW649" s="229"/>
    </row>
    <row r="650" spans="33:75" x14ac:dyDescent="0.2">
      <c r="AG650" s="294"/>
      <c r="AH650" s="294"/>
      <c r="AI650" s="294"/>
      <c r="AJ650" s="26"/>
      <c r="AK650" s="374"/>
      <c r="AL650" s="374"/>
      <c r="AO650" s="294"/>
      <c r="AR650" s="374"/>
      <c r="AZ650" s="374"/>
      <c r="BE650" s="26"/>
      <c r="BF650" s="26"/>
      <c r="BG650" s="26"/>
      <c r="BH650" s="26"/>
      <c r="BI650" s="26"/>
      <c r="BJ650" s="26"/>
      <c r="BK650" s="26"/>
      <c r="BL650" s="26"/>
      <c r="BS650" s="20"/>
      <c r="BT650" s="26"/>
      <c r="BV650" s="381"/>
      <c r="BW650" s="229"/>
    </row>
    <row r="651" spans="33:75" x14ac:dyDescent="0.2">
      <c r="AG651" s="294"/>
      <c r="AH651" s="294"/>
      <c r="AI651" s="294"/>
      <c r="AJ651" s="26"/>
      <c r="AK651" s="374"/>
      <c r="AL651" s="374"/>
      <c r="AO651" s="294"/>
      <c r="AR651" s="374"/>
      <c r="AZ651" s="374"/>
      <c r="BE651" s="26"/>
      <c r="BF651" s="26"/>
      <c r="BG651" s="26"/>
      <c r="BH651" s="26"/>
      <c r="BI651" s="26"/>
      <c r="BJ651" s="26"/>
      <c r="BK651" s="26"/>
      <c r="BL651" s="26"/>
      <c r="BS651" s="20"/>
      <c r="BT651" s="26"/>
      <c r="BV651" s="381"/>
      <c r="BW651" s="229"/>
    </row>
    <row r="652" spans="33:75" x14ac:dyDescent="0.2">
      <c r="AG652" s="294"/>
      <c r="AH652" s="294"/>
      <c r="AI652" s="294"/>
      <c r="AJ652" s="26"/>
      <c r="AK652" s="374"/>
      <c r="AL652" s="374"/>
      <c r="AO652" s="294"/>
      <c r="AR652" s="374"/>
      <c r="AZ652" s="374"/>
      <c r="BE652" s="26"/>
      <c r="BF652" s="26"/>
      <c r="BG652" s="26"/>
      <c r="BH652" s="26"/>
      <c r="BI652" s="26"/>
      <c r="BJ652" s="26"/>
      <c r="BK652" s="26"/>
      <c r="BL652" s="26"/>
      <c r="BS652" s="20"/>
      <c r="BT652" s="26"/>
      <c r="BV652" s="381"/>
      <c r="BW652" s="229"/>
    </row>
    <row r="653" spans="33:75" x14ac:dyDescent="0.2">
      <c r="AG653" s="294"/>
      <c r="AH653" s="294"/>
      <c r="AI653" s="294"/>
      <c r="AJ653" s="26"/>
      <c r="AK653" s="374"/>
      <c r="AL653" s="374"/>
      <c r="AO653" s="294"/>
      <c r="AR653" s="374"/>
      <c r="AZ653" s="374"/>
      <c r="BE653" s="26"/>
      <c r="BF653" s="26"/>
      <c r="BG653" s="26"/>
      <c r="BH653" s="26"/>
      <c r="BI653" s="26"/>
      <c r="BJ653" s="26"/>
      <c r="BK653" s="26"/>
      <c r="BL653" s="26"/>
      <c r="BS653" s="20"/>
      <c r="BT653" s="26"/>
      <c r="BV653" s="381"/>
      <c r="BW653" s="229"/>
    </row>
    <row r="654" spans="33:75" x14ac:dyDescent="0.2">
      <c r="AG654" s="294"/>
      <c r="AH654" s="294"/>
      <c r="AI654" s="294"/>
      <c r="AJ654" s="26"/>
      <c r="AK654" s="374"/>
      <c r="AL654" s="374"/>
      <c r="AO654" s="294"/>
      <c r="AR654" s="374"/>
      <c r="AZ654" s="374"/>
      <c r="BE654" s="26"/>
      <c r="BF654" s="26"/>
      <c r="BG654" s="26"/>
      <c r="BH654" s="26"/>
      <c r="BI654" s="26"/>
      <c r="BJ654" s="26"/>
      <c r="BK654" s="26"/>
      <c r="BL654" s="26"/>
      <c r="BS654" s="20"/>
      <c r="BT654" s="26"/>
      <c r="BV654" s="381"/>
      <c r="BW654" s="229"/>
    </row>
    <row r="655" spans="33:75" x14ac:dyDescent="0.2">
      <c r="AG655" s="294"/>
      <c r="AH655" s="294"/>
      <c r="AI655" s="294"/>
      <c r="AJ655" s="26"/>
      <c r="AK655" s="374"/>
      <c r="AL655" s="374"/>
      <c r="AO655" s="294"/>
      <c r="AR655" s="374"/>
      <c r="AZ655" s="374"/>
      <c r="BE655" s="26"/>
      <c r="BF655" s="26"/>
      <c r="BG655" s="26"/>
      <c r="BH655" s="26"/>
      <c r="BI655" s="26"/>
      <c r="BJ655" s="26"/>
      <c r="BK655" s="26"/>
      <c r="BL655" s="26"/>
      <c r="BS655" s="20"/>
      <c r="BT655" s="26"/>
      <c r="BV655" s="381"/>
      <c r="BW655" s="229"/>
    </row>
    <row r="656" spans="33:75" x14ac:dyDescent="0.2">
      <c r="AG656" s="294"/>
      <c r="AH656" s="294"/>
      <c r="AI656" s="294"/>
      <c r="AJ656" s="26"/>
      <c r="AK656" s="374"/>
      <c r="AL656" s="374"/>
      <c r="AO656" s="294"/>
      <c r="AR656" s="374"/>
      <c r="AZ656" s="374"/>
      <c r="BE656" s="26"/>
      <c r="BF656" s="26"/>
      <c r="BG656" s="26"/>
      <c r="BH656" s="26"/>
      <c r="BI656" s="26"/>
      <c r="BJ656" s="26"/>
      <c r="BK656" s="26"/>
      <c r="BL656" s="26"/>
      <c r="BS656" s="20"/>
      <c r="BT656" s="26"/>
      <c r="BV656" s="381"/>
      <c r="BW656" s="229"/>
    </row>
    <row r="657" spans="33:75" x14ac:dyDescent="0.2">
      <c r="AG657" s="294"/>
      <c r="AH657" s="294"/>
      <c r="AI657" s="294"/>
      <c r="AJ657" s="26"/>
      <c r="AK657" s="374"/>
      <c r="AL657" s="374"/>
      <c r="AO657" s="294"/>
      <c r="AR657" s="374"/>
      <c r="AZ657" s="374"/>
      <c r="BE657" s="26"/>
      <c r="BF657" s="26"/>
      <c r="BG657" s="26"/>
      <c r="BH657" s="26"/>
      <c r="BI657" s="26"/>
      <c r="BJ657" s="26"/>
      <c r="BK657" s="26"/>
      <c r="BL657" s="26"/>
      <c r="BS657" s="20"/>
      <c r="BT657" s="26"/>
      <c r="BV657" s="381"/>
      <c r="BW657" s="229"/>
    </row>
    <row r="658" spans="33:75" x14ac:dyDescent="0.2">
      <c r="AG658" s="294"/>
      <c r="AH658" s="294"/>
      <c r="AI658" s="294"/>
      <c r="AJ658" s="26"/>
      <c r="AK658" s="374"/>
      <c r="AL658" s="374"/>
      <c r="AO658" s="294"/>
      <c r="AR658" s="374"/>
      <c r="AZ658" s="374"/>
      <c r="BE658" s="26"/>
      <c r="BF658" s="26"/>
      <c r="BG658" s="26"/>
      <c r="BH658" s="26"/>
      <c r="BI658" s="26"/>
      <c r="BJ658" s="26"/>
      <c r="BK658" s="26"/>
      <c r="BL658" s="26"/>
      <c r="BS658" s="20"/>
      <c r="BT658" s="26"/>
      <c r="BV658" s="381"/>
      <c r="BW658" s="229"/>
    </row>
    <row r="659" spans="33:75" x14ac:dyDescent="0.2">
      <c r="AG659" s="294"/>
      <c r="AH659" s="294"/>
      <c r="AI659" s="294"/>
      <c r="AJ659" s="26"/>
      <c r="AK659" s="374"/>
      <c r="AL659" s="374"/>
      <c r="AO659" s="294"/>
      <c r="AR659" s="374"/>
      <c r="AZ659" s="374"/>
      <c r="BE659" s="26"/>
      <c r="BF659" s="26"/>
      <c r="BG659" s="26"/>
      <c r="BH659" s="26"/>
      <c r="BI659" s="26"/>
      <c r="BJ659" s="26"/>
      <c r="BK659" s="26"/>
      <c r="BL659" s="26"/>
      <c r="BS659" s="20"/>
      <c r="BT659" s="26"/>
      <c r="BV659" s="381"/>
      <c r="BW659" s="229"/>
    </row>
    <row r="660" spans="33:75" x14ac:dyDescent="0.2">
      <c r="AG660" s="294"/>
      <c r="AH660" s="294"/>
      <c r="AI660" s="294"/>
      <c r="AJ660" s="26"/>
      <c r="AK660" s="374"/>
      <c r="AL660" s="374"/>
      <c r="AO660" s="294"/>
      <c r="AR660" s="374"/>
      <c r="AZ660" s="374"/>
      <c r="BE660" s="26"/>
      <c r="BF660" s="26"/>
      <c r="BG660" s="26"/>
      <c r="BH660" s="26"/>
      <c r="BI660" s="26"/>
      <c r="BJ660" s="26"/>
      <c r="BK660" s="26"/>
      <c r="BL660" s="26"/>
      <c r="BS660" s="20"/>
      <c r="BT660" s="26"/>
      <c r="BV660" s="381"/>
      <c r="BW660" s="229"/>
    </row>
    <row r="661" spans="33:75" x14ac:dyDescent="0.2">
      <c r="AG661" s="294"/>
      <c r="AH661" s="294"/>
      <c r="AI661" s="294"/>
      <c r="AJ661" s="26"/>
      <c r="AK661" s="374"/>
      <c r="AL661" s="374"/>
      <c r="AO661" s="294"/>
      <c r="AR661" s="374"/>
      <c r="AZ661" s="374"/>
      <c r="BE661" s="26"/>
      <c r="BF661" s="26"/>
      <c r="BG661" s="26"/>
      <c r="BH661" s="26"/>
      <c r="BI661" s="26"/>
      <c r="BJ661" s="26"/>
      <c r="BK661" s="26"/>
      <c r="BL661" s="26"/>
      <c r="BS661" s="20"/>
      <c r="BT661" s="26"/>
      <c r="BV661" s="381"/>
      <c r="BW661" s="229"/>
    </row>
    <row r="662" spans="33:75" x14ac:dyDescent="0.2">
      <c r="AG662" s="294"/>
      <c r="AH662" s="294"/>
      <c r="AI662" s="294"/>
      <c r="AJ662" s="26"/>
      <c r="AK662" s="374"/>
      <c r="AL662" s="374"/>
      <c r="AO662" s="294"/>
      <c r="AR662" s="374"/>
      <c r="AZ662" s="374"/>
      <c r="BE662" s="26"/>
      <c r="BF662" s="26"/>
      <c r="BG662" s="26"/>
      <c r="BH662" s="26"/>
      <c r="BI662" s="26"/>
      <c r="BJ662" s="26"/>
      <c r="BK662" s="26"/>
      <c r="BL662" s="26"/>
      <c r="BS662" s="20"/>
      <c r="BT662" s="26"/>
      <c r="BV662" s="381"/>
      <c r="BW662" s="229"/>
    </row>
    <row r="663" spans="33:75" x14ac:dyDescent="0.2">
      <c r="AG663" s="294"/>
      <c r="AH663" s="294"/>
      <c r="AI663" s="294"/>
      <c r="AJ663" s="26"/>
      <c r="AK663" s="374"/>
      <c r="AL663" s="374"/>
      <c r="AO663" s="294"/>
      <c r="AR663" s="374"/>
      <c r="AZ663" s="374"/>
      <c r="BE663" s="26"/>
      <c r="BF663" s="26"/>
      <c r="BG663" s="26"/>
      <c r="BH663" s="26"/>
      <c r="BI663" s="26"/>
      <c r="BJ663" s="26"/>
      <c r="BK663" s="26"/>
      <c r="BL663" s="26"/>
      <c r="BS663" s="20"/>
      <c r="BT663" s="26"/>
      <c r="BV663" s="381"/>
      <c r="BW663" s="229"/>
    </row>
    <row r="664" spans="33:75" x14ac:dyDescent="0.2">
      <c r="AG664" s="294"/>
      <c r="AH664" s="294"/>
      <c r="AI664" s="294"/>
      <c r="AJ664" s="26"/>
      <c r="AK664" s="374"/>
      <c r="AL664" s="374"/>
      <c r="AO664" s="294"/>
      <c r="AR664" s="374"/>
      <c r="AZ664" s="374"/>
      <c r="BE664" s="26"/>
      <c r="BF664" s="26"/>
      <c r="BG664" s="26"/>
      <c r="BH664" s="26"/>
      <c r="BI664" s="26"/>
      <c r="BJ664" s="26"/>
      <c r="BK664" s="26"/>
      <c r="BL664" s="26"/>
      <c r="BS664" s="20"/>
      <c r="BT664" s="26"/>
      <c r="BV664" s="381"/>
      <c r="BW664" s="229"/>
    </row>
    <row r="665" spans="33:75" x14ac:dyDescent="0.2">
      <c r="AG665" s="294"/>
      <c r="AH665" s="294"/>
      <c r="AI665" s="294"/>
      <c r="AJ665" s="26"/>
      <c r="AK665" s="374"/>
      <c r="AL665" s="374"/>
      <c r="AO665" s="294"/>
      <c r="AR665" s="374"/>
      <c r="AZ665" s="374"/>
      <c r="BE665" s="26"/>
      <c r="BF665" s="26"/>
      <c r="BG665" s="26"/>
      <c r="BH665" s="26"/>
      <c r="BI665" s="26"/>
      <c r="BJ665" s="26"/>
      <c r="BK665" s="26"/>
      <c r="BL665" s="26"/>
      <c r="BS665" s="20"/>
      <c r="BT665" s="26"/>
      <c r="BV665" s="381"/>
      <c r="BW665" s="229"/>
    </row>
    <row r="666" spans="33:75" x14ac:dyDescent="0.2">
      <c r="AG666" s="294"/>
      <c r="AH666" s="294"/>
      <c r="AI666" s="294"/>
      <c r="AJ666" s="26"/>
      <c r="AK666" s="374"/>
      <c r="AL666" s="374"/>
      <c r="AO666" s="294"/>
      <c r="AR666" s="374"/>
      <c r="AZ666" s="374"/>
      <c r="BE666" s="26"/>
      <c r="BF666" s="26"/>
      <c r="BG666" s="26"/>
      <c r="BH666" s="26"/>
      <c r="BI666" s="26"/>
      <c r="BJ666" s="26"/>
      <c r="BK666" s="26"/>
      <c r="BL666" s="26"/>
      <c r="BS666" s="20"/>
      <c r="BT666" s="26"/>
      <c r="BV666" s="381"/>
      <c r="BW666" s="229"/>
    </row>
    <row r="667" spans="33:75" x14ac:dyDescent="0.2">
      <c r="AG667" s="294"/>
      <c r="AH667" s="294"/>
      <c r="AI667" s="294"/>
      <c r="AJ667" s="26"/>
      <c r="AK667" s="374"/>
      <c r="AL667" s="374"/>
      <c r="AO667" s="294"/>
      <c r="AR667" s="374"/>
      <c r="AZ667" s="374"/>
      <c r="BE667" s="26"/>
      <c r="BF667" s="26"/>
      <c r="BG667" s="26"/>
      <c r="BH667" s="26"/>
      <c r="BI667" s="26"/>
      <c r="BJ667" s="26"/>
      <c r="BK667" s="26"/>
      <c r="BL667" s="26"/>
      <c r="BS667" s="20"/>
      <c r="BT667" s="26"/>
      <c r="BV667" s="381"/>
      <c r="BW667" s="229"/>
    </row>
    <row r="668" spans="33:75" x14ac:dyDescent="0.2">
      <c r="AG668" s="294"/>
      <c r="AH668" s="294"/>
      <c r="AI668" s="294"/>
      <c r="AJ668" s="26"/>
      <c r="AK668" s="374"/>
      <c r="AL668" s="374"/>
      <c r="AO668" s="294"/>
      <c r="AR668" s="374"/>
      <c r="AZ668" s="374"/>
      <c r="BE668" s="26"/>
      <c r="BF668" s="26"/>
      <c r="BG668" s="26"/>
      <c r="BH668" s="26"/>
      <c r="BI668" s="26"/>
      <c r="BJ668" s="26"/>
      <c r="BK668" s="26"/>
      <c r="BL668" s="26"/>
      <c r="BS668" s="20"/>
      <c r="BT668" s="26"/>
      <c r="BV668" s="381"/>
      <c r="BW668" s="229"/>
    </row>
    <row r="669" spans="33:75" x14ac:dyDescent="0.2">
      <c r="AG669" s="294"/>
      <c r="AH669" s="294"/>
      <c r="AI669" s="294"/>
      <c r="AJ669" s="26"/>
      <c r="AK669" s="374"/>
      <c r="AL669" s="374"/>
      <c r="AO669" s="294"/>
      <c r="AR669" s="374"/>
      <c r="AZ669" s="374"/>
      <c r="BE669" s="26"/>
      <c r="BF669" s="26"/>
      <c r="BG669" s="26"/>
      <c r="BH669" s="26"/>
      <c r="BI669" s="26"/>
      <c r="BJ669" s="26"/>
      <c r="BK669" s="26"/>
      <c r="BL669" s="26"/>
      <c r="BS669" s="20"/>
      <c r="BT669" s="26"/>
      <c r="BV669" s="381"/>
      <c r="BW669" s="229"/>
    </row>
    <row r="670" spans="33:75" x14ac:dyDescent="0.2">
      <c r="AG670" s="294"/>
      <c r="AH670" s="294"/>
      <c r="AI670" s="294"/>
      <c r="AJ670" s="26"/>
      <c r="AK670" s="374"/>
      <c r="AL670" s="374"/>
      <c r="AO670" s="294"/>
      <c r="AR670" s="374"/>
      <c r="AZ670" s="374"/>
      <c r="BE670" s="26"/>
      <c r="BF670" s="26"/>
      <c r="BG670" s="26"/>
      <c r="BH670" s="26"/>
      <c r="BI670" s="26"/>
      <c r="BJ670" s="26"/>
      <c r="BK670" s="26"/>
      <c r="BL670" s="26"/>
      <c r="BS670" s="20"/>
      <c r="BT670" s="26"/>
      <c r="BV670" s="381"/>
      <c r="BW670" s="229"/>
    </row>
    <row r="671" spans="33:75" x14ac:dyDescent="0.2">
      <c r="AG671" s="294"/>
      <c r="AH671" s="294"/>
      <c r="AI671" s="294"/>
      <c r="AJ671" s="26"/>
      <c r="AK671" s="374"/>
      <c r="AL671" s="374"/>
      <c r="AO671" s="294"/>
      <c r="AR671" s="374"/>
      <c r="AZ671" s="374"/>
      <c r="BE671" s="26"/>
      <c r="BF671" s="26"/>
      <c r="BG671" s="26"/>
      <c r="BH671" s="26"/>
      <c r="BI671" s="26"/>
      <c r="BJ671" s="26"/>
      <c r="BK671" s="26"/>
      <c r="BL671" s="26"/>
      <c r="BS671" s="20"/>
      <c r="BT671" s="26"/>
      <c r="BV671" s="381"/>
      <c r="BW671" s="229"/>
    </row>
    <row r="672" spans="33:75" x14ac:dyDescent="0.2">
      <c r="AG672" s="294"/>
      <c r="AH672" s="294"/>
      <c r="AI672" s="294"/>
      <c r="AJ672" s="26"/>
      <c r="AK672" s="374"/>
      <c r="AL672" s="374"/>
      <c r="AO672" s="294"/>
      <c r="AR672" s="374"/>
      <c r="AZ672" s="374"/>
      <c r="BE672" s="26"/>
      <c r="BF672" s="26"/>
      <c r="BG672" s="26"/>
      <c r="BH672" s="26"/>
      <c r="BI672" s="26"/>
      <c r="BJ672" s="26"/>
      <c r="BK672" s="26"/>
      <c r="BL672" s="26"/>
      <c r="BS672" s="20"/>
      <c r="BT672" s="26"/>
      <c r="BV672" s="381"/>
      <c r="BW672" s="229"/>
    </row>
    <row r="673" spans="33:75" x14ac:dyDescent="0.2">
      <c r="AG673" s="294"/>
      <c r="AH673" s="294"/>
      <c r="AI673" s="294"/>
      <c r="AJ673" s="26"/>
      <c r="AK673" s="374"/>
      <c r="AL673" s="374"/>
      <c r="AO673" s="294"/>
      <c r="AR673" s="374"/>
      <c r="AZ673" s="374"/>
      <c r="BE673" s="26"/>
      <c r="BF673" s="26"/>
      <c r="BG673" s="26"/>
      <c r="BH673" s="26"/>
      <c r="BI673" s="26"/>
      <c r="BJ673" s="26"/>
      <c r="BK673" s="26"/>
      <c r="BL673" s="26"/>
      <c r="BS673" s="20"/>
      <c r="BT673" s="26"/>
      <c r="BV673" s="381"/>
      <c r="BW673" s="229"/>
    </row>
    <row r="674" spans="33:75" x14ac:dyDescent="0.2">
      <c r="AG674" s="294"/>
      <c r="AH674" s="294"/>
      <c r="AI674" s="294"/>
      <c r="AJ674" s="26"/>
      <c r="AK674" s="374"/>
      <c r="AL674" s="374"/>
      <c r="AO674" s="294"/>
      <c r="AR674" s="374"/>
      <c r="AZ674" s="374"/>
      <c r="BE674" s="26"/>
      <c r="BF674" s="26"/>
      <c r="BG674" s="26"/>
      <c r="BH674" s="26"/>
      <c r="BI674" s="26"/>
      <c r="BJ674" s="26"/>
      <c r="BK674" s="26"/>
      <c r="BL674" s="26"/>
      <c r="BS674" s="20"/>
      <c r="BT674" s="26"/>
      <c r="BV674" s="381"/>
      <c r="BW674" s="229"/>
    </row>
    <row r="675" spans="33:75" x14ac:dyDescent="0.2">
      <c r="AG675" s="294"/>
      <c r="AH675" s="294"/>
      <c r="AI675" s="294"/>
      <c r="AJ675" s="26"/>
      <c r="AK675" s="374"/>
      <c r="AL675" s="374"/>
      <c r="AO675" s="294"/>
      <c r="AR675" s="374"/>
      <c r="AZ675" s="374"/>
      <c r="BE675" s="26"/>
      <c r="BF675" s="26"/>
      <c r="BG675" s="26"/>
      <c r="BH675" s="26"/>
      <c r="BI675" s="26"/>
      <c r="BJ675" s="26"/>
      <c r="BK675" s="26"/>
      <c r="BL675" s="26"/>
      <c r="BS675" s="20"/>
      <c r="BT675" s="26"/>
      <c r="BV675" s="381"/>
      <c r="BW675" s="229"/>
    </row>
    <row r="676" spans="33:75" x14ac:dyDescent="0.2">
      <c r="AG676" s="294"/>
      <c r="AH676" s="294"/>
      <c r="AI676" s="294"/>
      <c r="AJ676" s="26"/>
      <c r="AK676" s="374"/>
      <c r="AL676" s="374"/>
      <c r="AO676" s="294"/>
      <c r="AR676" s="374"/>
      <c r="AZ676" s="374"/>
      <c r="BE676" s="26"/>
      <c r="BF676" s="26"/>
      <c r="BG676" s="26"/>
      <c r="BH676" s="26"/>
      <c r="BI676" s="26"/>
      <c r="BJ676" s="26"/>
      <c r="BK676" s="26"/>
      <c r="BL676" s="26"/>
      <c r="BS676" s="20"/>
      <c r="BT676" s="26"/>
      <c r="BV676" s="381"/>
      <c r="BW676" s="229"/>
    </row>
    <row r="677" spans="33:75" x14ac:dyDescent="0.2">
      <c r="AG677" s="294"/>
      <c r="AH677" s="294"/>
      <c r="AI677" s="294"/>
      <c r="AJ677" s="26"/>
      <c r="AK677" s="374"/>
      <c r="AL677" s="374"/>
      <c r="AO677" s="294"/>
      <c r="AR677" s="374"/>
      <c r="AZ677" s="374"/>
      <c r="BE677" s="26"/>
      <c r="BF677" s="26"/>
      <c r="BG677" s="26"/>
      <c r="BH677" s="26"/>
      <c r="BI677" s="26"/>
      <c r="BJ677" s="26"/>
      <c r="BK677" s="26"/>
      <c r="BL677" s="26"/>
      <c r="BS677" s="20"/>
      <c r="BT677" s="26"/>
      <c r="BV677" s="381"/>
      <c r="BW677" s="229"/>
    </row>
    <row r="678" spans="33:75" x14ac:dyDescent="0.2">
      <c r="AG678" s="294"/>
      <c r="AH678" s="294"/>
      <c r="AI678" s="294"/>
      <c r="AJ678" s="26"/>
      <c r="AK678" s="374"/>
      <c r="AL678" s="374"/>
      <c r="AO678" s="294"/>
      <c r="AR678" s="374"/>
      <c r="AZ678" s="374"/>
      <c r="BE678" s="26"/>
      <c r="BF678" s="26"/>
      <c r="BG678" s="26"/>
      <c r="BH678" s="26"/>
      <c r="BI678" s="26"/>
      <c r="BJ678" s="26"/>
      <c r="BK678" s="26"/>
      <c r="BL678" s="26"/>
      <c r="BS678" s="20"/>
      <c r="BT678" s="26"/>
      <c r="BV678" s="381"/>
      <c r="BW678" s="229"/>
    </row>
    <row r="679" spans="33:75" x14ac:dyDescent="0.2">
      <c r="AG679" s="294"/>
      <c r="AH679" s="294"/>
      <c r="AI679" s="294"/>
      <c r="AJ679" s="26"/>
      <c r="AK679" s="374"/>
      <c r="AL679" s="374"/>
      <c r="AO679" s="294"/>
      <c r="AR679" s="374"/>
      <c r="AZ679" s="374"/>
      <c r="BE679" s="26"/>
      <c r="BF679" s="26"/>
      <c r="BG679" s="26"/>
      <c r="BH679" s="26"/>
      <c r="BI679" s="26"/>
      <c r="BJ679" s="26"/>
      <c r="BK679" s="26"/>
      <c r="BL679" s="26"/>
      <c r="BS679" s="20"/>
      <c r="BT679" s="26"/>
      <c r="BV679" s="381"/>
      <c r="BW679" s="229"/>
    </row>
    <row r="680" spans="33:75" x14ac:dyDescent="0.2">
      <c r="AG680" s="294"/>
      <c r="AH680" s="294"/>
      <c r="AI680" s="294"/>
      <c r="AJ680" s="26"/>
      <c r="AK680" s="374"/>
      <c r="AL680" s="374"/>
      <c r="AO680" s="294"/>
      <c r="AR680" s="374"/>
      <c r="AZ680" s="374"/>
      <c r="BE680" s="26"/>
      <c r="BF680" s="26"/>
      <c r="BG680" s="26"/>
      <c r="BH680" s="26"/>
      <c r="BI680" s="26"/>
      <c r="BJ680" s="26"/>
      <c r="BK680" s="26"/>
      <c r="BL680" s="26"/>
      <c r="BS680" s="20"/>
      <c r="BT680" s="26"/>
      <c r="BV680" s="381"/>
      <c r="BW680" s="229"/>
    </row>
    <row r="681" spans="33:75" x14ac:dyDescent="0.2">
      <c r="AG681" s="294"/>
      <c r="AH681" s="294"/>
      <c r="AI681" s="294"/>
      <c r="AJ681" s="26"/>
      <c r="AK681" s="374"/>
      <c r="AL681" s="374"/>
      <c r="AO681" s="294"/>
      <c r="AR681" s="374"/>
      <c r="AZ681" s="374"/>
      <c r="BE681" s="26"/>
      <c r="BF681" s="26"/>
      <c r="BG681" s="26"/>
      <c r="BH681" s="26"/>
      <c r="BI681" s="26"/>
      <c r="BJ681" s="26"/>
      <c r="BK681" s="26"/>
      <c r="BL681" s="26"/>
      <c r="BS681" s="20"/>
      <c r="BT681" s="26"/>
      <c r="BV681" s="381"/>
      <c r="BW681" s="229"/>
    </row>
    <row r="682" spans="33:75" x14ac:dyDescent="0.2">
      <c r="AG682" s="294"/>
      <c r="AH682" s="294"/>
      <c r="AI682" s="294"/>
      <c r="AJ682" s="26"/>
      <c r="AK682" s="374"/>
      <c r="AL682" s="374"/>
      <c r="AO682" s="294"/>
      <c r="AR682" s="374"/>
      <c r="AZ682" s="374"/>
      <c r="BE682" s="26"/>
      <c r="BF682" s="26"/>
      <c r="BG682" s="26"/>
      <c r="BH682" s="26"/>
      <c r="BI682" s="26"/>
      <c r="BJ682" s="26"/>
      <c r="BK682" s="26"/>
      <c r="BL682" s="26"/>
      <c r="BS682" s="20"/>
      <c r="BT682" s="26"/>
      <c r="BV682" s="381"/>
      <c r="BW682" s="229"/>
    </row>
    <row r="683" spans="33:75" x14ac:dyDescent="0.2">
      <c r="AG683" s="294"/>
      <c r="AH683" s="294"/>
      <c r="AI683" s="294"/>
      <c r="AJ683" s="26"/>
      <c r="AK683" s="374"/>
      <c r="AL683" s="374"/>
      <c r="AO683" s="294"/>
      <c r="AR683" s="374"/>
      <c r="AZ683" s="374"/>
      <c r="BE683" s="26"/>
      <c r="BF683" s="26"/>
      <c r="BG683" s="26"/>
      <c r="BH683" s="26"/>
      <c r="BI683" s="26"/>
      <c r="BJ683" s="26"/>
      <c r="BK683" s="26"/>
      <c r="BL683" s="26"/>
      <c r="BS683" s="20"/>
      <c r="BT683" s="26"/>
      <c r="BV683" s="381"/>
      <c r="BW683" s="229"/>
    </row>
    <row r="684" spans="33:75" x14ac:dyDescent="0.2">
      <c r="AG684" s="294"/>
      <c r="AH684" s="294"/>
      <c r="AI684" s="294"/>
      <c r="AJ684" s="26"/>
      <c r="AK684" s="374"/>
      <c r="AL684" s="374"/>
      <c r="AO684" s="294"/>
      <c r="AR684" s="374"/>
      <c r="AZ684" s="374"/>
      <c r="BE684" s="26"/>
      <c r="BF684" s="26"/>
      <c r="BG684" s="26"/>
      <c r="BH684" s="26"/>
      <c r="BI684" s="26"/>
      <c r="BJ684" s="26"/>
      <c r="BK684" s="26"/>
      <c r="BL684" s="26"/>
      <c r="BS684" s="20"/>
      <c r="BT684" s="26"/>
      <c r="BV684" s="381"/>
      <c r="BW684" s="229"/>
    </row>
    <row r="685" spans="33:75" x14ac:dyDescent="0.2">
      <c r="AG685" s="294"/>
      <c r="AH685" s="294"/>
      <c r="AI685" s="294"/>
      <c r="AJ685" s="26"/>
      <c r="AK685" s="374"/>
      <c r="AL685" s="374"/>
      <c r="AO685" s="294"/>
      <c r="AR685" s="374"/>
      <c r="AZ685" s="374"/>
      <c r="BE685" s="26"/>
      <c r="BF685" s="26"/>
      <c r="BG685" s="26"/>
      <c r="BH685" s="26"/>
      <c r="BI685" s="26"/>
      <c r="BJ685" s="26"/>
      <c r="BK685" s="26"/>
      <c r="BL685" s="26"/>
      <c r="BS685" s="20"/>
      <c r="BT685" s="26"/>
      <c r="BV685" s="381"/>
      <c r="BW685" s="229"/>
    </row>
    <row r="686" spans="33:75" x14ac:dyDescent="0.2">
      <c r="AG686" s="294"/>
      <c r="AH686" s="294"/>
      <c r="AI686" s="294"/>
      <c r="AJ686" s="26"/>
      <c r="AK686" s="374"/>
      <c r="AL686" s="374"/>
      <c r="AO686" s="294"/>
      <c r="AR686" s="374"/>
      <c r="AZ686" s="374"/>
      <c r="BE686" s="26"/>
      <c r="BF686" s="26"/>
      <c r="BG686" s="26"/>
      <c r="BH686" s="26"/>
      <c r="BI686" s="26"/>
      <c r="BJ686" s="26"/>
      <c r="BK686" s="26"/>
      <c r="BL686" s="26"/>
      <c r="BS686" s="20"/>
      <c r="BT686" s="26"/>
      <c r="BV686" s="381"/>
      <c r="BW686" s="229"/>
    </row>
    <row r="687" spans="33:75" x14ac:dyDescent="0.2">
      <c r="AG687" s="294"/>
      <c r="AH687" s="294"/>
      <c r="AI687" s="294"/>
      <c r="AJ687" s="26"/>
      <c r="AK687" s="374"/>
      <c r="AL687" s="374"/>
      <c r="AO687" s="294"/>
      <c r="AR687" s="374"/>
      <c r="AZ687" s="374"/>
      <c r="BE687" s="26"/>
      <c r="BF687" s="26"/>
      <c r="BG687" s="26"/>
      <c r="BH687" s="26"/>
      <c r="BI687" s="26"/>
      <c r="BJ687" s="26"/>
      <c r="BK687" s="26"/>
      <c r="BL687" s="26"/>
      <c r="BS687" s="20"/>
      <c r="BT687" s="26"/>
      <c r="BV687" s="381"/>
      <c r="BW687" s="229"/>
    </row>
    <row r="688" spans="33:75" x14ac:dyDescent="0.2">
      <c r="AG688" s="294"/>
      <c r="AH688" s="294"/>
      <c r="AI688" s="294"/>
      <c r="AJ688" s="26"/>
      <c r="AK688" s="374"/>
      <c r="AL688" s="374"/>
      <c r="AO688" s="294"/>
      <c r="AR688" s="374"/>
      <c r="AZ688" s="374"/>
      <c r="BE688" s="26"/>
      <c r="BF688" s="26"/>
      <c r="BG688" s="26"/>
      <c r="BH688" s="26"/>
      <c r="BI688" s="26"/>
      <c r="BJ688" s="26"/>
      <c r="BK688" s="26"/>
      <c r="BL688" s="26"/>
      <c r="BS688" s="20"/>
      <c r="BT688" s="26"/>
      <c r="BV688" s="381"/>
      <c r="BW688" s="229"/>
    </row>
    <row r="689" spans="33:75" x14ac:dyDescent="0.2">
      <c r="AG689" s="294"/>
      <c r="AH689" s="294"/>
      <c r="AI689" s="294"/>
      <c r="AJ689" s="26"/>
      <c r="AK689" s="374"/>
      <c r="AL689" s="374"/>
      <c r="AO689" s="294"/>
      <c r="AR689" s="374"/>
      <c r="AZ689" s="374"/>
      <c r="BE689" s="26"/>
      <c r="BF689" s="26"/>
      <c r="BG689" s="26"/>
      <c r="BH689" s="26"/>
      <c r="BI689" s="26"/>
      <c r="BJ689" s="26"/>
      <c r="BK689" s="26"/>
      <c r="BL689" s="26"/>
      <c r="BS689" s="20"/>
      <c r="BT689" s="26"/>
      <c r="BV689" s="381"/>
      <c r="BW689" s="229"/>
    </row>
    <row r="690" spans="33:75" x14ac:dyDescent="0.2">
      <c r="AG690" s="294"/>
      <c r="AH690" s="294"/>
      <c r="AI690" s="294"/>
      <c r="AJ690" s="26"/>
      <c r="AK690" s="374"/>
      <c r="AL690" s="374"/>
      <c r="AO690" s="294"/>
      <c r="AR690" s="374"/>
      <c r="AZ690" s="374"/>
      <c r="BE690" s="26"/>
      <c r="BF690" s="26"/>
      <c r="BG690" s="26"/>
      <c r="BH690" s="26"/>
      <c r="BI690" s="26"/>
      <c r="BJ690" s="26"/>
      <c r="BK690" s="26"/>
      <c r="BL690" s="26"/>
      <c r="BS690" s="20"/>
      <c r="BT690" s="26"/>
      <c r="BV690" s="381"/>
      <c r="BW690" s="229"/>
    </row>
    <row r="691" spans="33:75" x14ac:dyDescent="0.2">
      <c r="AG691" s="294"/>
      <c r="AH691" s="294"/>
      <c r="AI691" s="294"/>
      <c r="AJ691" s="26"/>
      <c r="AK691" s="374"/>
      <c r="AL691" s="374"/>
      <c r="AO691" s="294"/>
      <c r="AR691" s="374"/>
      <c r="AZ691" s="374"/>
      <c r="BE691" s="26"/>
      <c r="BF691" s="26"/>
      <c r="BG691" s="26"/>
      <c r="BH691" s="26"/>
      <c r="BI691" s="26"/>
      <c r="BJ691" s="26"/>
      <c r="BK691" s="26"/>
      <c r="BL691" s="26"/>
      <c r="BS691" s="20"/>
      <c r="BT691" s="26"/>
      <c r="BV691" s="381"/>
      <c r="BW691" s="229"/>
    </row>
    <row r="692" spans="33:75" x14ac:dyDescent="0.2">
      <c r="AG692" s="294"/>
      <c r="AH692" s="294"/>
      <c r="AI692" s="294"/>
      <c r="AJ692" s="26"/>
      <c r="AK692" s="374"/>
      <c r="AL692" s="374"/>
      <c r="AO692" s="294"/>
      <c r="AR692" s="374"/>
      <c r="AZ692" s="374"/>
      <c r="BE692" s="26"/>
      <c r="BF692" s="26"/>
      <c r="BG692" s="26"/>
      <c r="BH692" s="26"/>
      <c r="BI692" s="26"/>
      <c r="BJ692" s="26"/>
      <c r="BK692" s="26"/>
      <c r="BL692" s="26"/>
      <c r="BS692" s="20"/>
      <c r="BT692" s="26"/>
      <c r="BV692" s="381"/>
      <c r="BW692" s="229"/>
    </row>
    <row r="693" spans="33:75" x14ac:dyDescent="0.2">
      <c r="AG693" s="294"/>
      <c r="AH693" s="294"/>
      <c r="AI693" s="294"/>
      <c r="AJ693" s="26"/>
      <c r="AK693" s="374"/>
      <c r="AL693" s="374"/>
      <c r="AO693" s="294"/>
      <c r="AR693" s="374"/>
      <c r="AZ693" s="374"/>
      <c r="BE693" s="26"/>
      <c r="BF693" s="26"/>
      <c r="BG693" s="26"/>
      <c r="BH693" s="26"/>
      <c r="BI693" s="26"/>
      <c r="BJ693" s="26"/>
      <c r="BK693" s="26"/>
      <c r="BL693" s="26"/>
      <c r="BS693" s="20"/>
      <c r="BT693" s="26"/>
      <c r="BV693" s="381"/>
      <c r="BW693" s="229"/>
    </row>
    <row r="694" spans="33:75" x14ac:dyDescent="0.2">
      <c r="AG694" s="294"/>
      <c r="AH694" s="294"/>
      <c r="AI694" s="294"/>
      <c r="AJ694" s="26"/>
      <c r="AK694" s="374"/>
      <c r="AL694" s="374"/>
      <c r="AO694" s="294"/>
      <c r="AR694" s="374"/>
      <c r="AZ694" s="374"/>
      <c r="BE694" s="26"/>
      <c r="BF694" s="26"/>
      <c r="BG694" s="26"/>
      <c r="BH694" s="26"/>
      <c r="BI694" s="26"/>
      <c r="BJ694" s="26"/>
      <c r="BK694" s="26"/>
      <c r="BL694" s="26"/>
      <c r="BS694" s="20"/>
      <c r="BT694" s="26"/>
      <c r="BV694" s="381"/>
      <c r="BW694" s="229"/>
    </row>
    <row r="695" spans="33:75" x14ac:dyDescent="0.2">
      <c r="AG695" s="294"/>
      <c r="AH695" s="294"/>
      <c r="AI695" s="294"/>
      <c r="AJ695" s="26"/>
      <c r="AK695" s="374"/>
      <c r="AL695" s="374"/>
      <c r="AO695" s="294"/>
      <c r="AR695" s="374"/>
      <c r="AZ695" s="374"/>
      <c r="BE695" s="26"/>
      <c r="BF695" s="26"/>
      <c r="BG695" s="26"/>
      <c r="BH695" s="26"/>
      <c r="BI695" s="26"/>
      <c r="BJ695" s="26"/>
      <c r="BK695" s="26"/>
      <c r="BL695" s="26"/>
      <c r="BS695" s="20"/>
      <c r="BT695" s="26"/>
      <c r="BV695" s="381"/>
      <c r="BW695" s="229"/>
    </row>
    <row r="696" spans="33:75" x14ac:dyDescent="0.2">
      <c r="AG696" s="294"/>
      <c r="AH696" s="294"/>
      <c r="AI696" s="294"/>
      <c r="AJ696" s="26"/>
      <c r="AK696" s="374"/>
      <c r="AL696" s="374"/>
      <c r="AO696" s="294"/>
      <c r="AR696" s="374"/>
      <c r="AZ696" s="374"/>
      <c r="BE696" s="26"/>
      <c r="BF696" s="26"/>
      <c r="BG696" s="26"/>
      <c r="BH696" s="26"/>
      <c r="BI696" s="26"/>
      <c r="BJ696" s="26"/>
      <c r="BK696" s="26"/>
      <c r="BL696" s="26"/>
      <c r="BS696" s="20"/>
      <c r="BT696" s="26"/>
      <c r="BV696" s="381"/>
      <c r="BW696" s="229"/>
    </row>
    <row r="697" spans="33:75" x14ac:dyDescent="0.2">
      <c r="AG697" s="294"/>
      <c r="AH697" s="294"/>
      <c r="AI697" s="294"/>
      <c r="AJ697" s="26"/>
      <c r="AK697" s="374"/>
      <c r="AL697" s="374"/>
      <c r="AO697" s="294"/>
      <c r="AR697" s="374"/>
      <c r="AZ697" s="374"/>
      <c r="BE697" s="26"/>
      <c r="BF697" s="26"/>
      <c r="BG697" s="26"/>
      <c r="BH697" s="26"/>
      <c r="BI697" s="26"/>
      <c r="BJ697" s="26"/>
      <c r="BK697" s="26"/>
      <c r="BL697" s="26"/>
      <c r="BS697" s="20"/>
      <c r="BT697" s="26"/>
      <c r="BV697" s="381"/>
      <c r="BW697" s="229"/>
    </row>
    <row r="698" spans="33:75" x14ac:dyDescent="0.2">
      <c r="AG698" s="294"/>
      <c r="AH698" s="294"/>
      <c r="AI698" s="294"/>
      <c r="AJ698" s="26"/>
      <c r="AK698" s="374"/>
      <c r="AL698" s="374"/>
      <c r="AO698" s="294"/>
      <c r="AR698" s="374"/>
      <c r="AZ698" s="374"/>
      <c r="BE698" s="26"/>
      <c r="BF698" s="26"/>
      <c r="BG698" s="26"/>
      <c r="BH698" s="26"/>
      <c r="BI698" s="26"/>
      <c r="BJ698" s="26"/>
      <c r="BK698" s="26"/>
      <c r="BL698" s="26"/>
      <c r="BS698" s="20"/>
      <c r="BT698" s="26"/>
      <c r="BV698" s="381"/>
      <c r="BW698" s="229"/>
    </row>
    <row r="699" spans="33:75" x14ac:dyDescent="0.2">
      <c r="AG699" s="294"/>
      <c r="AH699" s="294"/>
      <c r="AI699" s="294"/>
      <c r="AJ699" s="26"/>
      <c r="AK699" s="374"/>
      <c r="AL699" s="374"/>
      <c r="AO699" s="294"/>
      <c r="AR699" s="374"/>
      <c r="AZ699" s="374"/>
      <c r="BE699" s="26"/>
      <c r="BF699" s="26"/>
      <c r="BG699" s="26"/>
      <c r="BH699" s="26"/>
      <c r="BI699" s="26"/>
      <c r="BJ699" s="26"/>
      <c r="BK699" s="26"/>
      <c r="BL699" s="26"/>
      <c r="BS699" s="20"/>
      <c r="BT699" s="26"/>
      <c r="BV699" s="381"/>
      <c r="BW699" s="229"/>
    </row>
    <row r="700" spans="33:75" x14ac:dyDescent="0.2">
      <c r="AG700" s="294"/>
      <c r="AH700" s="294"/>
      <c r="AI700" s="294"/>
      <c r="AJ700" s="26"/>
      <c r="AK700" s="374"/>
      <c r="AL700" s="374"/>
      <c r="AO700" s="294"/>
      <c r="AR700" s="374"/>
      <c r="AZ700" s="374"/>
      <c r="BE700" s="26"/>
      <c r="BF700" s="26"/>
      <c r="BG700" s="26"/>
      <c r="BH700" s="26"/>
      <c r="BI700" s="26"/>
      <c r="BJ700" s="26"/>
      <c r="BK700" s="26"/>
      <c r="BL700" s="26"/>
      <c r="BS700" s="20"/>
      <c r="BT700" s="26"/>
      <c r="BV700" s="381"/>
      <c r="BW700" s="229"/>
    </row>
    <row r="701" spans="33:75" x14ac:dyDescent="0.2">
      <c r="AG701" s="294"/>
      <c r="AH701" s="294"/>
      <c r="AI701" s="294"/>
      <c r="AJ701" s="26"/>
      <c r="AK701" s="374"/>
      <c r="AL701" s="374"/>
      <c r="AO701" s="294"/>
      <c r="AR701" s="374"/>
      <c r="AZ701" s="374"/>
      <c r="BE701" s="26"/>
      <c r="BF701" s="26"/>
      <c r="BG701" s="26"/>
      <c r="BH701" s="26"/>
      <c r="BI701" s="26"/>
      <c r="BJ701" s="26"/>
      <c r="BK701" s="26"/>
      <c r="BL701" s="26"/>
      <c r="BS701" s="20"/>
      <c r="BT701" s="26"/>
      <c r="BV701" s="381"/>
      <c r="BW701" s="229"/>
    </row>
    <row r="702" spans="33:75" x14ac:dyDescent="0.2">
      <c r="AG702" s="294"/>
      <c r="AH702" s="294"/>
      <c r="AI702" s="294"/>
      <c r="AJ702" s="26"/>
      <c r="AK702" s="374"/>
      <c r="AL702" s="374"/>
      <c r="AO702" s="294"/>
      <c r="AR702" s="374"/>
      <c r="AZ702" s="374"/>
      <c r="BE702" s="26"/>
      <c r="BF702" s="26"/>
      <c r="BG702" s="26"/>
      <c r="BH702" s="26"/>
      <c r="BI702" s="26"/>
      <c r="BJ702" s="26"/>
      <c r="BK702" s="26"/>
      <c r="BL702" s="26"/>
      <c r="BS702" s="20"/>
      <c r="BT702" s="26"/>
      <c r="BV702" s="381"/>
      <c r="BW702" s="229"/>
    </row>
    <row r="703" spans="33:75" x14ac:dyDescent="0.2">
      <c r="AG703" s="294"/>
      <c r="AH703" s="294"/>
      <c r="AI703" s="294"/>
      <c r="AJ703" s="26"/>
      <c r="AK703" s="374"/>
      <c r="AL703" s="374"/>
      <c r="AO703" s="294"/>
      <c r="AR703" s="374"/>
      <c r="AZ703" s="374"/>
      <c r="BE703" s="26"/>
      <c r="BF703" s="26"/>
      <c r="BG703" s="26"/>
      <c r="BH703" s="26"/>
      <c r="BI703" s="26"/>
      <c r="BJ703" s="26"/>
      <c r="BK703" s="26"/>
      <c r="BL703" s="26"/>
      <c r="BS703" s="20"/>
      <c r="BT703" s="26"/>
      <c r="BV703" s="381"/>
      <c r="BW703" s="229"/>
    </row>
    <row r="704" spans="33:75" x14ac:dyDescent="0.2">
      <c r="AG704" s="294"/>
      <c r="AH704" s="294"/>
      <c r="AI704" s="294"/>
      <c r="AJ704" s="26"/>
      <c r="AK704" s="374"/>
      <c r="AL704" s="374"/>
      <c r="AO704" s="294"/>
      <c r="AR704" s="374"/>
      <c r="AZ704" s="374"/>
      <c r="BE704" s="26"/>
      <c r="BF704" s="26"/>
      <c r="BG704" s="26"/>
      <c r="BH704" s="26"/>
      <c r="BI704" s="26"/>
      <c r="BJ704" s="26"/>
      <c r="BK704" s="26"/>
      <c r="BL704" s="26"/>
      <c r="BS704" s="20"/>
      <c r="BT704" s="26"/>
      <c r="BV704" s="381"/>
      <c r="BW704" s="229"/>
    </row>
    <row r="705" spans="33:75" x14ac:dyDescent="0.2">
      <c r="AG705" s="294"/>
      <c r="AH705" s="294"/>
      <c r="AI705" s="294"/>
      <c r="AJ705" s="26"/>
      <c r="AK705" s="374"/>
      <c r="AL705" s="374"/>
      <c r="AO705" s="294"/>
      <c r="AR705" s="374"/>
      <c r="AZ705" s="374"/>
      <c r="BE705" s="26"/>
      <c r="BF705" s="26"/>
      <c r="BG705" s="26"/>
      <c r="BH705" s="26"/>
      <c r="BI705" s="26"/>
      <c r="BJ705" s="26"/>
      <c r="BK705" s="26"/>
      <c r="BL705" s="26"/>
      <c r="BS705" s="20"/>
      <c r="BT705" s="26"/>
      <c r="BV705" s="381"/>
      <c r="BW705" s="229"/>
    </row>
    <row r="706" spans="33:75" x14ac:dyDescent="0.2">
      <c r="AG706" s="294"/>
      <c r="AH706" s="294"/>
      <c r="AI706" s="294"/>
      <c r="AJ706" s="26"/>
      <c r="AK706" s="374"/>
      <c r="AL706" s="374"/>
      <c r="AO706" s="294"/>
      <c r="AR706" s="374"/>
      <c r="AZ706" s="374"/>
      <c r="BE706" s="26"/>
      <c r="BF706" s="26"/>
      <c r="BG706" s="26"/>
      <c r="BH706" s="26"/>
      <c r="BI706" s="26"/>
      <c r="BJ706" s="26"/>
      <c r="BK706" s="26"/>
      <c r="BL706" s="26"/>
      <c r="BS706" s="20"/>
      <c r="BT706" s="26"/>
      <c r="BV706" s="381"/>
      <c r="BW706" s="229"/>
    </row>
    <row r="707" spans="33:75" x14ac:dyDescent="0.2">
      <c r="AG707" s="294"/>
      <c r="AH707" s="294"/>
      <c r="AI707" s="294"/>
      <c r="AJ707" s="26"/>
      <c r="AK707" s="374"/>
      <c r="AL707" s="374"/>
      <c r="AO707" s="294"/>
      <c r="AR707" s="374"/>
      <c r="AZ707" s="374"/>
      <c r="BE707" s="26"/>
      <c r="BF707" s="26"/>
      <c r="BG707" s="26"/>
      <c r="BH707" s="26"/>
      <c r="BI707" s="26"/>
      <c r="BJ707" s="26"/>
      <c r="BK707" s="26"/>
      <c r="BL707" s="26"/>
      <c r="BS707" s="20"/>
      <c r="BT707" s="26"/>
      <c r="BV707" s="381"/>
      <c r="BW707" s="229"/>
    </row>
    <row r="708" spans="33:75" x14ac:dyDescent="0.2">
      <c r="AG708" s="294"/>
      <c r="AH708" s="294"/>
      <c r="AI708" s="294"/>
      <c r="AJ708" s="26"/>
      <c r="AK708" s="374"/>
      <c r="AL708" s="374"/>
      <c r="AO708" s="294"/>
      <c r="AR708" s="374"/>
      <c r="AZ708" s="374"/>
      <c r="BE708" s="26"/>
      <c r="BF708" s="26"/>
      <c r="BG708" s="26"/>
      <c r="BH708" s="26"/>
      <c r="BI708" s="26"/>
      <c r="BJ708" s="26"/>
      <c r="BK708" s="26"/>
      <c r="BL708" s="26"/>
      <c r="BS708" s="20"/>
      <c r="BT708" s="26"/>
      <c r="BV708" s="381"/>
      <c r="BW708" s="229"/>
    </row>
    <row r="709" spans="33:75" x14ac:dyDescent="0.2">
      <c r="AG709" s="294"/>
      <c r="AH709" s="294"/>
      <c r="AI709" s="294"/>
      <c r="AJ709" s="26"/>
      <c r="AK709" s="374"/>
      <c r="AL709" s="374"/>
      <c r="AO709" s="294"/>
      <c r="AR709" s="374"/>
      <c r="AZ709" s="374"/>
      <c r="BE709" s="26"/>
      <c r="BF709" s="26"/>
      <c r="BG709" s="26"/>
      <c r="BH709" s="26"/>
      <c r="BI709" s="26"/>
      <c r="BJ709" s="26"/>
      <c r="BK709" s="26"/>
      <c r="BL709" s="26"/>
      <c r="BS709" s="20"/>
      <c r="BT709" s="26"/>
      <c r="BV709" s="381"/>
      <c r="BW709" s="229"/>
    </row>
    <row r="710" spans="33:75" x14ac:dyDescent="0.2">
      <c r="AG710" s="294"/>
      <c r="AH710" s="294"/>
      <c r="AI710" s="294"/>
      <c r="AJ710" s="26"/>
      <c r="AK710" s="374"/>
      <c r="AL710" s="374"/>
      <c r="AO710" s="294"/>
      <c r="AR710" s="374"/>
      <c r="AZ710" s="374"/>
      <c r="BE710" s="26"/>
      <c r="BF710" s="26"/>
      <c r="BG710" s="26"/>
      <c r="BH710" s="26"/>
      <c r="BI710" s="26"/>
      <c r="BJ710" s="26"/>
      <c r="BK710" s="26"/>
      <c r="BL710" s="26"/>
      <c r="BS710" s="20"/>
      <c r="BT710" s="26"/>
      <c r="BV710" s="381"/>
      <c r="BW710" s="229"/>
    </row>
    <row r="711" spans="33:75" x14ac:dyDescent="0.2">
      <c r="AG711" s="294"/>
      <c r="AH711" s="294"/>
      <c r="AI711" s="294"/>
      <c r="AJ711" s="26"/>
      <c r="AK711" s="374"/>
      <c r="AL711" s="374"/>
      <c r="AO711" s="294"/>
      <c r="AR711" s="374"/>
      <c r="AZ711" s="374"/>
      <c r="BE711" s="26"/>
      <c r="BF711" s="26"/>
      <c r="BG711" s="26"/>
      <c r="BH711" s="26"/>
      <c r="BI711" s="26"/>
      <c r="BJ711" s="26"/>
      <c r="BK711" s="26"/>
      <c r="BL711" s="26"/>
      <c r="BS711" s="20"/>
      <c r="BT711" s="26"/>
      <c r="BV711" s="381"/>
      <c r="BW711" s="229"/>
    </row>
    <row r="712" spans="33:75" x14ac:dyDescent="0.2">
      <c r="AG712" s="294"/>
      <c r="AH712" s="294"/>
      <c r="AI712" s="294"/>
      <c r="AJ712" s="26"/>
      <c r="AK712" s="374"/>
      <c r="AL712" s="374"/>
      <c r="AO712" s="294"/>
      <c r="AR712" s="374"/>
      <c r="AZ712" s="374"/>
      <c r="BE712" s="26"/>
      <c r="BF712" s="26"/>
      <c r="BG712" s="26"/>
      <c r="BH712" s="26"/>
      <c r="BI712" s="26"/>
      <c r="BJ712" s="26"/>
      <c r="BK712" s="26"/>
      <c r="BL712" s="26"/>
      <c r="BS712" s="20"/>
      <c r="BT712" s="26"/>
      <c r="BV712" s="381"/>
      <c r="BW712" s="229"/>
    </row>
    <row r="713" spans="33:75" x14ac:dyDescent="0.2">
      <c r="AG713" s="294"/>
      <c r="AH713" s="294"/>
      <c r="AI713" s="294"/>
      <c r="AJ713" s="26"/>
      <c r="AK713" s="374"/>
      <c r="AL713" s="374"/>
      <c r="AO713" s="294"/>
      <c r="AR713" s="374"/>
      <c r="AZ713" s="374"/>
      <c r="BE713" s="26"/>
      <c r="BF713" s="26"/>
      <c r="BG713" s="26"/>
      <c r="BH713" s="26"/>
      <c r="BI713" s="26"/>
      <c r="BJ713" s="26"/>
      <c r="BK713" s="26"/>
      <c r="BL713" s="26"/>
      <c r="BS713" s="20"/>
      <c r="BT713" s="26"/>
      <c r="BV713" s="381"/>
      <c r="BW713" s="229"/>
    </row>
    <row r="714" spans="33:75" x14ac:dyDescent="0.2">
      <c r="AG714" s="294"/>
      <c r="AH714" s="294"/>
      <c r="AI714" s="294"/>
      <c r="AJ714" s="26"/>
      <c r="AK714" s="374"/>
      <c r="AL714" s="374"/>
      <c r="AO714" s="294"/>
      <c r="AR714" s="374"/>
      <c r="AZ714" s="374"/>
      <c r="BE714" s="26"/>
      <c r="BF714" s="26"/>
      <c r="BG714" s="26"/>
      <c r="BH714" s="26"/>
      <c r="BI714" s="26"/>
      <c r="BJ714" s="26"/>
      <c r="BK714" s="26"/>
      <c r="BL714" s="26"/>
      <c r="BS714" s="20"/>
      <c r="BT714" s="26"/>
      <c r="BV714" s="381"/>
      <c r="BW714" s="229"/>
    </row>
    <row r="715" spans="33:75" x14ac:dyDescent="0.2">
      <c r="AG715" s="294"/>
      <c r="AH715" s="294"/>
      <c r="AI715" s="294"/>
      <c r="AJ715" s="26"/>
      <c r="AK715" s="374"/>
      <c r="AL715" s="374"/>
      <c r="AO715" s="294"/>
      <c r="AR715" s="374"/>
      <c r="AZ715" s="374"/>
      <c r="BE715" s="26"/>
      <c r="BF715" s="26"/>
      <c r="BG715" s="26"/>
      <c r="BH715" s="26"/>
      <c r="BI715" s="26"/>
      <c r="BJ715" s="26"/>
      <c r="BK715" s="26"/>
      <c r="BL715" s="26"/>
      <c r="BS715" s="20"/>
      <c r="BT715" s="26"/>
      <c r="BV715" s="381"/>
      <c r="BW715" s="229"/>
    </row>
    <row r="716" spans="33:75" x14ac:dyDescent="0.2">
      <c r="AG716" s="294"/>
      <c r="AH716" s="294"/>
      <c r="AI716" s="294"/>
      <c r="AJ716" s="26"/>
      <c r="AK716" s="374"/>
      <c r="AL716" s="374"/>
      <c r="AO716" s="294"/>
      <c r="AR716" s="374"/>
      <c r="AZ716" s="374"/>
      <c r="BE716" s="26"/>
      <c r="BF716" s="26"/>
      <c r="BG716" s="26"/>
      <c r="BH716" s="26"/>
      <c r="BI716" s="26"/>
      <c r="BJ716" s="26"/>
      <c r="BK716" s="26"/>
      <c r="BL716" s="26"/>
      <c r="BS716" s="20"/>
      <c r="BT716" s="26"/>
      <c r="BV716" s="381"/>
      <c r="BW716" s="229"/>
    </row>
    <row r="717" spans="33:75" x14ac:dyDescent="0.2">
      <c r="AG717" s="294"/>
      <c r="AH717" s="294"/>
      <c r="AI717" s="294"/>
      <c r="AJ717" s="26"/>
      <c r="AK717" s="374"/>
      <c r="AL717" s="374"/>
      <c r="AO717" s="294"/>
      <c r="AR717" s="374"/>
      <c r="AZ717" s="374"/>
      <c r="BE717" s="26"/>
      <c r="BF717" s="26"/>
      <c r="BG717" s="26"/>
      <c r="BH717" s="26"/>
      <c r="BI717" s="26"/>
      <c r="BJ717" s="26"/>
      <c r="BK717" s="26"/>
      <c r="BL717" s="26"/>
      <c r="BS717" s="20"/>
      <c r="BT717" s="26"/>
      <c r="BV717" s="381"/>
      <c r="BW717" s="229"/>
    </row>
    <row r="718" spans="33:75" x14ac:dyDescent="0.2">
      <c r="AG718" s="294"/>
      <c r="AH718" s="294"/>
      <c r="AI718" s="294"/>
      <c r="AJ718" s="26"/>
      <c r="AK718" s="374"/>
      <c r="AL718" s="374"/>
      <c r="AO718" s="294"/>
      <c r="AR718" s="374"/>
      <c r="AZ718" s="374"/>
      <c r="BE718" s="26"/>
      <c r="BF718" s="26"/>
      <c r="BG718" s="26"/>
      <c r="BH718" s="26"/>
      <c r="BI718" s="26"/>
      <c r="BJ718" s="26"/>
      <c r="BK718" s="26"/>
      <c r="BL718" s="26"/>
      <c r="BS718" s="20"/>
      <c r="BT718" s="26"/>
      <c r="BV718" s="381"/>
      <c r="BW718" s="229"/>
    </row>
    <row r="719" spans="33:75" x14ac:dyDescent="0.2">
      <c r="AG719" s="294"/>
      <c r="AH719" s="294"/>
      <c r="AI719" s="294"/>
      <c r="AJ719" s="26"/>
      <c r="AK719" s="374"/>
      <c r="AL719" s="374"/>
      <c r="AO719" s="294"/>
      <c r="AR719" s="374"/>
      <c r="AZ719" s="374"/>
      <c r="BE719" s="26"/>
      <c r="BF719" s="26"/>
      <c r="BG719" s="26"/>
      <c r="BH719" s="26"/>
      <c r="BI719" s="26"/>
      <c r="BJ719" s="26"/>
      <c r="BK719" s="26"/>
      <c r="BL719" s="26"/>
      <c r="BS719" s="20"/>
      <c r="BT719" s="26"/>
      <c r="BV719" s="381"/>
      <c r="BW719" s="229"/>
    </row>
    <row r="720" spans="33:75" x14ac:dyDescent="0.2">
      <c r="AG720" s="294"/>
      <c r="AH720" s="294"/>
      <c r="AI720" s="294"/>
      <c r="AJ720" s="26"/>
      <c r="AK720" s="374"/>
      <c r="AL720" s="374"/>
      <c r="AO720" s="294"/>
      <c r="AR720" s="374"/>
      <c r="AZ720" s="374"/>
      <c r="BE720" s="26"/>
      <c r="BF720" s="26"/>
      <c r="BG720" s="26"/>
      <c r="BH720" s="26"/>
      <c r="BI720" s="26"/>
      <c r="BJ720" s="26"/>
      <c r="BK720" s="26"/>
      <c r="BL720" s="26"/>
      <c r="BS720" s="20"/>
      <c r="BT720" s="26"/>
      <c r="BV720" s="381"/>
      <c r="BW720" s="229"/>
    </row>
    <row r="721" spans="33:75" x14ac:dyDescent="0.2">
      <c r="AG721" s="294"/>
      <c r="AH721" s="294"/>
      <c r="AI721" s="294"/>
      <c r="AJ721" s="26"/>
      <c r="AK721" s="374"/>
      <c r="AL721" s="374"/>
      <c r="AO721" s="294"/>
      <c r="AR721" s="374"/>
      <c r="AZ721" s="374"/>
      <c r="BE721" s="26"/>
      <c r="BF721" s="26"/>
      <c r="BG721" s="26"/>
      <c r="BH721" s="26"/>
      <c r="BI721" s="26"/>
      <c r="BJ721" s="26"/>
      <c r="BK721" s="26"/>
      <c r="BL721" s="26"/>
      <c r="BS721" s="20"/>
      <c r="BT721" s="26"/>
      <c r="BV721" s="381"/>
      <c r="BW721" s="229"/>
    </row>
    <row r="722" spans="33:75" x14ac:dyDescent="0.2">
      <c r="AG722" s="294"/>
      <c r="AH722" s="294"/>
      <c r="AI722" s="294"/>
      <c r="AJ722" s="26"/>
      <c r="AK722" s="374"/>
      <c r="AL722" s="374"/>
      <c r="AO722" s="294"/>
      <c r="AR722" s="374"/>
      <c r="AZ722" s="374"/>
      <c r="BE722" s="26"/>
      <c r="BF722" s="26"/>
      <c r="BG722" s="26"/>
      <c r="BH722" s="26"/>
      <c r="BI722" s="26"/>
      <c r="BJ722" s="26"/>
      <c r="BK722" s="26"/>
      <c r="BL722" s="26"/>
      <c r="BS722" s="20"/>
      <c r="BT722" s="26"/>
      <c r="BV722" s="381"/>
      <c r="BW722" s="229"/>
    </row>
    <row r="723" spans="33:75" x14ac:dyDescent="0.2">
      <c r="AG723" s="294"/>
      <c r="AH723" s="294"/>
      <c r="AI723" s="294"/>
      <c r="AJ723" s="26"/>
      <c r="AK723" s="374"/>
      <c r="AL723" s="374"/>
      <c r="AO723" s="294"/>
      <c r="AR723" s="374"/>
      <c r="AZ723" s="374"/>
      <c r="BE723" s="26"/>
      <c r="BF723" s="26"/>
      <c r="BG723" s="26"/>
      <c r="BH723" s="26"/>
      <c r="BI723" s="26"/>
      <c r="BJ723" s="26"/>
      <c r="BK723" s="26"/>
      <c r="BL723" s="26"/>
      <c r="BS723" s="20"/>
      <c r="BT723" s="26"/>
      <c r="BV723" s="381"/>
      <c r="BW723" s="229"/>
    </row>
    <row r="724" spans="33:75" x14ac:dyDescent="0.2">
      <c r="AG724" s="294"/>
      <c r="AH724" s="294"/>
      <c r="AI724" s="294"/>
      <c r="AJ724" s="26"/>
      <c r="AK724" s="374"/>
      <c r="AL724" s="374"/>
      <c r="AO724" s="294"/>
      <c r="AR724" s="374"/>
      <c r="AZ724" s="374"/>
      <c r="BE724" s="26"/>
      <c r="BF724" s="26"/>
      <c r="BG724" s="26"/>
      <c r="BH724" s="26"/>
      <c r="BI724" s="26"/>
      <c r="BJ724" s="26"/>
      <c r="BK724" s="26"/>
      <c r="BL724" s="26"/>
      <c r="BS724" s="20"/>
      <c r="BT724" s="26"/>
      <c r="BV724" s="381"/>
      <c r="BW724" s="229"/>
    </row>
    <row r="725" spans="33:75" x14ac:dyDescent="0.2">
      <c r="AG725" s="294"/>
      <c r="AH725" s="294"/>
      <c r="AI725" s="294"/>
      <c r="AJ725" s="26"/>
      <c r="AK725" s="374"/>
      <c r="AL725" s="374"/>
      <c r="AO725" s="294"/>
      <c r="AR725" s="374"/>
      <c r="AZ725" s="374"/>
      <c r="BE725" s="26"/>
      <c r="BF725" s="26"/>
      <c r="BG725" s="26"/>
      <c r="BH725" s="26"/>
      <c r="BI725" s="26"/>
      <c r="BJ725" s="26"/>
      <c r="BK725" s="26"/>
      <c r="BL725" s="26"/>
      <c r="BS725" s="20"/>
      <c r="BT725" s="26"/>
      <c r="BV725" s="381"/>
      <c r="BW725" s="229"/>
    </row>
    <row r="726" spans="33:75" x14ac:dyDescent="0.2">
      <c r="AG726" s="294"/>
      <c r="AH726" s="294"/>
      <c r="AI726" s="294"/>
      <c r="AJ726" s="26"/>
      <c r="AK726" s="374"/>
      <c r="AL726" s="374"/>
      <c r="AO726" s="294"/>
      <c r="AR726" s="374"/>
      <c r="AZ726" s="374"/>
      <c r="BE726" s="26"/>
      <c r="BF726" s="26"/>
      <c r="BG726" s="26"/>
      <c r="BH726" s="26"/>
      <c r="BI726" s="26"/>
      <c r="BJ726" s="26"/>
      <c r="BK726" s="26"/>
      <c r="BL726" s="26"/>
      <c r="BS726" s="20"/>
      <c r="BT726" s="26"/>
      <c r="BV726" s="381"/>
      <c r="BW726" s="229"/>
    </row>
    <row r="727" spans="33:75" x14ac:dyDescent="0.2">
      <c r="AG727" s="294"/>
      <c r="AH727" s="294"/>
      <c r="AI727" s="294"/>
      <c r="AJ727" s="26"/>
      <c r="AK727" s="374"/>
      <c r="AL727" s="374"/>
      <c r="AO727" s="294"/>
      <c r="AR727" s="374"/>
      <c r="AZ727" s="374"/>
      <c r="BE727" s="26"/>
      <c r="BF727" s="26"/>
      <c r="BG727" s="26"/>
      <c r="BH727" s="26"/>
      <c r="BI727" s="26"/>
      <c r="BJ727" s="26"/>
      <c r="BK727" s="26"/>
      <c r="BL727" s="26"/>
      <c r="BS727" s="20"/>
      <c r="BT727" s="26"/>
      <c r="BV727" s="381"/>
      <c r="BW727" s="229"/>
    </row>
    <row r="728" spans="33:75" x14ac:dyDescent="0.2">
      <c r="AG728" s="294"/>
      <c r="AH728" s="294"/>
      <c r="AI728" s="294"/>
      <c r="AJ728" s="26"/>
      <c r="AK728" s="374"/>
      <c r="AL728" s="374"/>
      <c r="AO728" s="294"/>
      <c r="AR728" s="374"/>
      <c r="AZ728" s="374"/>
      <c r="BE728" s="26"/>
      <c r="BF728" s="26"/>
      <c r="BG728" s="26"/>
      <c r="BH728" s="26"/>
      <c r="BI728" s="26"/>
      <c r="BJ728" s="26"/>
      <c r="BK728" s="26"/>
      <c r="BL728" s="26"/>
      <c r="BS728" s="20"/>
      <c r="BT728" s="26"/>
      <c r="BV728" s="381"/>
      <c r="BW728" s="229"/>
    </row>
    <row r="729" spans="33:75" x14ac:dyDescent="0.2">
      <c r="AG729" s="294"/>
      <c r="AH729" s="294"/>
      <c r="AI729" s="294"/>
      <c r="AJ729" s="26"/>
      <c r="AK729" s="374"/>
      <c r="AL729" s="374"/>
      <c r="AO729" s="294"/>
      <c r="AR729" s="374"/>
      <c r="AZ729" s="374"/>
      <c r="BE729" s="26"/>
      <c r="BF729" s="26"/>
      <c r="BG729" s="26"/>
      <c r="BH729" s="26"/>
      <c r="BI729" s="26"/>
      <c r="BJ729" s="26"/>
      <c r="BK729" s="26"/>
      <c r="BL729" s="26"/>
      <c r="BS729" s="20"/>
      <c r="BT729" s="26"/>
      <c r="BV729" s="381"/>
      <c r="BW729" s="229"/>
    </row>
    <row r="730" spans="33:75" x14ac:dyDescent="0.2">
      <c r="AG730" s="294"/>
      <c r="AH730" s="294"/>
      <c r="AI730" s="294"/>
      <c r="AJ730" s="26"/>
      <c r="AK730" s="374"/>
      <c r="AL730" s="374"/>
      <c r="AO730" s="294"/>
      <c r="AR730" s="374"/>
      <c r="AZ730" s="374"/>
      <c r="BE730" s="26"/>
      <c r="BF730" s="26"/>
      <c r="BG730" s="26"/>
      <c r="BH730" s="26"/>
      <c r="BI730" s="26"/>
      <c r="BJ730" s="26"/>
      <c r="BK730" s="26"/>
      <c r="BL730" s="26"/>
      <c r="BS730" s="20"/>
      <c r="BT730" s="26"/>
      <c r="BV730" s="381"/>
      <c r="BW730" s="229"/>
    </row>
    <row r="731" spans="33:75" x14ac:dyDescent="0.2">
      <c r="AG731" s="294"/>
      <c r="AH731" s="294"/>
      <c r="AI731" s="294"/>
      <c r="AJ731" s="26"/>
      <c r="AK731" s="374"/>
      <c r="AL731" s="374"/>
      <c r="AO731" s="294"/>
      <c r="AR731" s="374"/>
      <c r="AZ731" s="374"/>
      <c r="BE731" s="26"/>
      <c r="BF731" s="26"/>
      <c r="BG731" s="26"/>
      <c r="BH731" s="26"/>
      <c r="BI731" s="26"/>
      <c r="BJ731" s="26"/>
      <c r="BK731" s="26"/>
      <c r="BL731" s="26"/>
      <c r="BS731" s="20"/>
      <c r="BT731" s="26"/>
      <c r="BV731" s="381"/>
      <c r="BW731" s="229"/>
    </row>
    <row r="732" spans="33:75" x14ac:dyDescent="0.2">
      <c r="AG732" s="294"/>
      <c r="AH732" s="294"/>
      <c r="AI732" s="294"/>
      <c r="AJ732" s="26"/>
      <c r="AK732" s="374"/>
      <c r="AL732" s="374"/>
      <c r="AO732" s="294"/>
      <c r="AR732" s="374"/>
      <c r="AZ732" s="374"/>
      <c r="BE732" s="26"/>
      <c r="BF732" s="26"/>
      <c r="BG732" s="26"/>
      <c r="BH732" s="26"/>
      <c r="BI732" s="26"/>
      <c r="BJ732" s="26"/>
      <c r="BK732" s="26"/>
      <c r="BL732" s="26"/>
      <c r="BS732" s="20"/>
      <c r="BT732" s="26"/>
      <c r="BV732" s="381"/>
      <c r="BW732" s="229"/>
    </row>
    <row r="733" spans="33:75" x14ac:dyDescent="0.2">
      <c r="AG733" s="294"/>
      <c r="AH733" s="294"/>
      <c r="AI733" s="294"/>
      <c r="AJ733" s="26"/>
      <c r="AK733" s="374"/>
      <c r="AL733" s="374"/>
      <c r="AO733" s="294"/>
      <c r="AR733" s="374"/>
      <c r="AZ733" s="374"/>
      <c r="BE733" s="26"/>
      <c r="BF733" s="26"/>
      <c r="BG733" s="26"/>
      <c r="BH733" s="26"/>
      <c r="BI733" s="26"/>
      <c r="BJ733" s="26"/>
      <c r="BK733" s="26"/>
      <c r="BL733" s="26"/>
      <c r="BS733" s="20"/>
      <c r="BT733" s="26"/>
      <c r="BV733" s="381"/>
      <c r="BW733" s="229"/>
    </row>
    <row r="734" spans="33:75" x14ac:dyDescent="0.2">
      <c r="AG734" s="294"/>
      <c r="AH734" s="294"/>
      <c r="AI734" s="294"/>
      <c r="AJ734" s="26"/>
      <c r="AK734" s="374"/>
      <c r="AL734" s="374"/>
      <c r="AO734" s="294"/>
      <c r="AR734" s="374"/>
      <c r="AZ734" s="374"/>
      <c r="BE734" s="26"/>
      <c r="BF734" s="26"/>
      <c r="BG734" s="26"/>
      <c r="BH734" s="26"/>
      <c r="BI734" s="26"/>
      <c r="BJ734" s="26"/>
      <c r="BK734" s="26"/>
      <c r="BL734" s="26"/>
      <c r="BS734" s="20"/>
      <c r="BT734" s="26"/>
      <c r="BV734" s="381"/>
      <c r="BW734" s="229"/>
    </row>
    <row r="735" spans="33:75" x14ac:dyDescent="0.2">
      <c r="AG735" s="294"/>
      <c r="AH735" s="294"/>
      <c r="AI735" s="294"/>
      <c r="AJ735" s="26"/>
      <c r="AK735" s="374"/>
      <c r="AL735" s="374"/>
      <c r="AO735" s="294"/>
      <c r="AR735" s="374"/>
      <c r="AZ735" s="374"/>
      <c r="BE735" s="26"/>
      <c r="BF735" s="26"/>
      <c r="BG735" s="26"/>
      <c r="BH735" s="26"/>
      <c r="BI735" s="26"/>
      <c r="BJ735" s="26"/>
      <c r="BK735" s="26"/>
      <c r="BL735" s="26"/>
      <c r="BS735" s="20"/>
      <c r="BT735" s="26"/>
      <c r="BV735" s="381"/>
      <c r="BW735" s="229"/>
    </row>
    <row r="736" spans="33:75" x14ac:dyDescent="0.2">
      <c r="AG736" s="294"/>
      <c r="AH736" s="294"/>
      <c r="AI736" s="294"/>
      <c r="AJ736" s="26"/>
      <c r="AK736" s="374"/>
      <c r="AL736" s="374"/>
      <c r="AO736" s="294"/>
      <c r="AR736" s="374"/>
      <c r="AZ736" s="374"/>
      <c r="BE736" s="26"/>
      <c r="BF736" s="26"/>
      <c r="BG736" s="26"/>
      <c r="BH736" s="26"/>
      <c r="BI736" s="26"/>
      <c r="BJ736" s="26"/>
      <c r="BK736" s="26"/>
      <c r="BL736" s="26"/>
      <c r="BS736" s="20"/>
      <c r="BT736" s="26"/>
      <c r="BV736" s="381"/>
      <c r="BW736" s="229"/>
    </row>
    <row r="737" spans="33:75" x14ac:dyDescent="0.2">
      <c r="AG737" s="294"/>
      <c r="AH737" s="294"/>
      <c r="AI737" s="294"/>
      <c r="AJ737" s="26"/>
      <c r="AK737" s="374"/>
      <c r="AL737" s="374"/>
      <c r="AO737" s="294"/>
      <c r="AR737" s="374"/>
      <c r="AZ737" s="374"/>
      <c r="BE737" s="26"/>
      <c r="BF737" s="26"/>
      <c r="BG737" s="26"/>
      <c r="BH737" s="26"/>
      <c r="BI737" s="26"/>
      <c r="BJ737" s="26"/>
      <c r="BK737" s="26"/>
      <c r="BL737" s="26"/>
      <c r="BS737" s="20"/>
      <c r="BT737" s="26"/>
      <c r="BV737" s="381"/>
      <c r="BW737" s="229"/>
    </row>
    <row r="738" spans="33:75" x14ac:dyDescent="0.2">
      <c r="AG738" s="294"/>
      <c r="AH738" s="294"/>
      <c r="AI738" s="294"/>
      <c r="AJ738" s="26"/>
      <c r="AK738" s="374"/>
      <c r="AL738" s="374"/>
      <c r="AO738" s="294"/>
      <c r="AR738" s="374"/>
      <c r="AZ738" s="374"/>
      <c r="BE738" s="26"/>
      <c r="BF738" s="26"/>
      <c r="BG738" s="26"/>
      <c r="BH738" s="26"/>
      <c r="BI738" s="26"/>
      <c r="BJ738" s="26"/>
      <c r="BK738" s="26"/>
      <c r="BL738" s="26"/>
      <c r="BS738" s="20"/>
      <c r="BT738" s="26"/>
      <c r="BV738" s="381"/>
      <c r="BW738" s="229"/>
    </row>
    <row r="739" spans="33:75" x14ac:dyDescent="0.2">
      <c r="AG739" s="294"/>
      <c r="AH739" s="294"/>
      <c r="AI739" s="294"/>
      <c r="AJ739" s="26"/>
      <c r="AK739" s="374"/>
      <c r="AL739" s="374"/>
      <c r="AO739" s="294"/>
      <c r="AR739" s="374"/>
      <c r="AZ739" s="374"/>
      <c r="BE739" s="26"/>
      <c r="BF739" s="26"/>
      <c r="BG739" s="26"/>
      <c r="BH739" s="26"/>
      <c r="BI739" s="26"/>
      <c r="BJ739" s="26"/>
      <c r="BK739" s="26"/>
      <c r="BL739" s="26"/>
      <c r="BS739" s="20"/>
      <c r="BT739" s="26"/>
      <c r="BV739" s="381"/>
      <c r="BW739" s="229"/>
    </row>
    <row r="740" spans="33:75" x14ac:dyDescent="0.2">
      <c r="AG740" s="294"/>
      <c r="AH740" s="294"/>
      <c r="AI740" s="294"/>
      <c r="AJ740" s="26"/>
      <c r="AK740" s="374"/>
      <c r="AL740" s="374"/>
      <c r="AO740" s="294"/>
      <c r="AR740" s="374"/>
      <c r="AZ740" s="374"/>
      <c r="BE740" s="26"/>
      <c r="BF740" s="26"/>
      <c r="BG740" s="26"/>
      <c r="BH740" s="26"/>
      <c r="BI740" s="26"/>
      <c r="BJ740" s="26"/>
      <c r="BK740" s="26"/>
      <c r="BL740" s="26"/>
      <c r="BS740" s="20"/>
      <c r="BT740" s="26"/>
      <c r="BV740" s="381"/>
      <c r="BW740" s="229"/>
    </row>
    <row r="741" spans="33:75" x14ac:dyDescent="0.2">
      <c r="AG741" s="294"/>
      <c r="AH741" s="294"/>
      <c r="AI741" s="294"/>
      <c r="AJ741" s="26"/>
      <c r="AK741" s="374"/>
      <c r="AL741" s="374"/>
      <c r="AO741" s="294"/>
      <c r="AR741" s="374"/>
      <c r="AZ741" s="374"/>
      <c r="BE741" s="26"/>
      <c r="BF741" s="26"/>
      <c r="BG741" s="26"/>
      <c r="BH741" s="26"/>
      <c r="BI741" s="26"/>
      <c r="BJ741" s="26"/>
      <c r="BK741" s="26"/>
      <c r="BL741" s="26"/>
      <c r="BS741" s="20"/>
      <c r="BT741" s="26"/>
      <c r="BV741" s="381"/>
      <c r="BW741" s="229"/>
    </row>
    <row r="742" spans="33:75" x14ac:dyDescent="0.2">
      <c r="AG742" s="294"/>
      <c r="AH742" s="294"/>
      <c r="AI742" s="294"/>
      <c r="AJ742" s="26"/>
      <c r="AK742" s="374"/>
      <c r="AL742" s="374"/>
      <c r="AO742" s="294"/>
      <c r="AR742" s="374"/>
      <c r="AZ742" s="374"/>
      <c r="BE742" s="26"/>
      <c r="BF742" s="26"/>
      <c r="BG742" s="26"/>
      <c r="BH742" s="26"/>
      <c r="BI742" s="26"/>
      <c r="BJ742" s="26"/>
      <c r="BK742" s="26"/>
      <c r="BL742" s="26"/>
      <c r="BS742" s="20"/>
      <c r="BT742" s="26"/>
      <c r="BV742" s="381"/>
      <c r="BW742" s="229"/>
    </row>
    <row r="743" spans="33:75" x14ac:dyDescent="0.2">
      <c r="AG743" s="294"/>
      <c r="AH743" s="294"/>
      <c r="AI743" s="294"/>
      <c r="AJ743" s="26"/>
      <c r="AK743" s="374"/>
      <c r="AL743" s="374"/>
      <c r="AO743" s="294"/>
      <c r="AR743" s="374"/>
      <c r="AZ743" s="374"/>
      <c r="BE743" s="26"/>
      <c r="BF743" s="26"/>
      <c r="BG743" s="26"/>
      <c r="BH743" s="26"/>
      <c r="BI743" s="26"/>
      <c r="BJ743" s="26"/>
      <c r="BK743" s="26"/>
      <c r="BL743" s="26"/>
      <c r="BS743" s="20"/>
      <c r="BT743" s="26"/>
      <c r="BV743" s="381"/>
      <c r="BW743" s="229"/>
    </row>
    <row r="744" spans="33:75" x14ac:dyDescent="0.2">
      <c r="AG744" s="294"/>
      <c r="AH744" s="294"/>
      <c r="AI744" s="294"/>
      <c r="AJ744" s="26"/>
      <c r="AK744" s="374"/>
      <c r="AL744" s="374"/>
      <c r="AO744" s="294"/>
      <c r="AR744" s="374"/>
      <c r="AZ744" s="374"/>
      <c r="BE744" s="26"/>
      <c r="BF744" s="26"/>
      <c r="BG744" s="26"/>
      <c r="BH744" s="26"/>
      <c r="BI744" s="26"/>
      <c r="BJ744" s="26"/>
      <c r="BK744" s="26"/>
      <c r="BL744" s="26"/>
      <c r="BS744" s="20"/>
      <c r="BT744" s="26"/>
      <c r="BV744" s="381"/>
      <c r="BW744" s="229"/>
    </row>
    <row r="745" spans="33:75" x14ac:dyDescent="0.2">
      <c r="AG745" s="294"/>
      <c r="AH745" s="294"/>
      <c r="AI745" s="294"/>
      <c r="AJ745" s="26"/>
      <c r="AK745" s="374"/>
      <c r="AL745" s="374"/>
      <c r="AO745" s="294"/>
      <c r="AR745" s="374"/>
      <c r="AZ745" s="374"/>
      <c r="BE745" s="26"/>
      <c r="BF745" s="26"/>
      <c r="BG745" s="26"/>
      <c r="BH745" s="26"/>
      <c r="BI745" s="26"/>
      <c r="BJ745" s="26"/>
      <c r="BK745" s="26"/>
      <c r="BL745" s="26"/>
      <c r="BS745" s="20"/>
      <c r="BT745" s="26"/>
      <c r="BV745" s="381"/>
      <c r="BW745" s="229"/>
    </row>
    <row r="746" spans="33:75" x14ac:dyDescent="0.2">
      <c r="AG746" s="294"/>
      <c r="AH746" s="294"/>
      <c r="AI746" s="294"/>
      <c r="AJ746" s="26"/>
      <c r="AK746" s="374"/>
      <c r="AL746" s="374"/>
      <c r="AO746" s="294"/>
      <c r="AR746" s="374"/>
      <c r="AZ746" s="374"/>
      <c r="BE746" s="26"/>
      <c r="BF746" s="26"/>
      <c r="BG746" s="26"/>
      <c r="BH746" s="26"/>
      <c r="BI746" s="26"/>
      <c r="BJ746" s="26"/>
      <c r="BK746" s="26"/>
      <c r="BL746" s="26"/>
      <c r="BS746" s="20"/>
      <c r="BT746" s="26"/>
      <c r="BV746" s="381"/>
      <c r="BW746" s="229"/>
    </row>
    <row r="747" spans="33:75" x14ac:dyDescent="0.2">
      <c r="AG747" s="294"/>
      <c r="AH747" s="294"/>
      <c r="AI747" s="294"/>
      <c r="AJ747" s="26"/>
      <c r="AK747" s="374"/>
      <c r="AL747" s="374"/>
      <c r="AO747" s="294"/>
      <c r="AR747" s="374"/>
      <c r="AZ747" s="374"/>
      <c r="BE747" s="26"/>
      <c r="BF747" s="26"/>
      <c r="BG747" s="26"/>
      <c r="BH747" s="26"/>
      <c r="BI747" s="26"/>
      <c r="BJ747" s="26"/>
      <c r="BK747" s="26"/>
      <c r="BL747" s="26"/>
      <c r="BS747" s="20"/>
      <c r="BT747" s="26"/>
      <c r="BV747" s="381"/>
      <c r="BW747" s="229"/>
    </row>
    <row r="748" spans="33:75" x14ac:dyDescent="0.2">
      <c r="AG748" s="294"/>
      <c r="AH748" s="294"/>
      <c r="AI748" s="294"/>
      <c r="AJ748" s="26"/>
      <c r="AK748" s="374"/>
      <c r="AL748" s="374"/>
      <c r="AO748" s="294"/>
      <c r="AR748" s="374"/>
      <c r="AZ748" s="374"/>
      <c r="BE748" s="26"/>
      <c r="BF748" s="26"/>
      <c r="BG748" s="26"/>
      <c r="BH748" s="26"/>
      <c r="BI748" s="26"/>
      <c r="BJ748" s="26"/>
      <c r="BK748" s="26"/>
      <c r="BL748" s="26"/>
      <c r="BS748" s="20"/>
      <c r="BT748" s="26"/>
      <c r="BV748" s="381"/>
      <c r="BW748" s="229"/>
    </row>
    <row r="749" spans="33:75" x14ac:dyDescent="0.2">
      <c r="AG749" s="294"/>
      <c r="AH749" s="294"/>
      <c r="AI749" s="294"/>
      <c r="AJ749" s="26"/>
      <c r="AK749" s="374"/>
      <c r="AL749" s="374"/>
      <c r="AO749" s="294"/>
      <c r="AR749" s="374"/>
      <c r="AZ749" s="374"/>
      <c r="BE749" s="26"/>
      <c r="BF749" s="26"/>
      <c r="BG749" s="26"/>
      <c r="BH749" s="26"/>
      <c r="BI749" s="26"/>
      <c r="BJ749" s="26"/>
      <c r="BK749" s="26"/>
      <c r="BL749" s="26"/>
      <c r="BS749" s="20"/>
      <c r="BT749" s="26"/>
      <c r="BV749" s="381"/>
      <c r="BW749" s="229"/>
    </row>
    <row r="750" spans="33:75" x14ac:dyDescent="0.2">
      <c r="AG750" s="294"/>
      <c r="AH750" s="294"/>
      <c r="AI750" s="294"/>
      <c r="AJ750" s="26"/>
      <c r="AK750" s="374"/>
      <c r="AL750" s="374"/>
      <c r="AO750" s="294"/>
      <c r="AR750" s="374"/>
      <c r="AZ750" s="374"/>
      <c r="BE750" s="26"/>
      <c r="BF750" s="26"/>
      <c r="BG750" s="26"/>
      <c r="BH750" s="26"/>
      <c r="BI750" s="26"/>
      <c r="BJ750" s="26"/>
      <c r="BK750" s="26"/>
      <c r="BL750" s="26"/>
      <c r="BS750" s="20"/>
      <c r="BT750" s="26"/>
      <c r="BV750" s="381"/>
      <c r="BW750" s="229"/>
    </row>
    <row r="751" spans="33:75" x14ac:dyDescent="0.2">
      <c r="AG751" s="294"/>
      <c r="AH751" s="294"/>
      <c r="AI751" s="294"/>
      <c r="AJ751" s="26"/>
      <c r="AK751" s="374"/>
      <c r="AL751" s="374"/>
      <c r="AO751" s="294"/>
      <c r="AR751" s="374"/>
      <c r="AZ751" s="374"/>
      <c r="BE751" s="26"/>
      <c r="BF751" s="26"/>
      <c r="BG751" s="26"/>
      <c r="BH751" s="26"/>
      <c r="BI751" s="26"/>
      <c r="BJ751" s="26"/>
      <c r="BK751" s="26"/>
      <c r="BL751" s="26"/>
      <c r="BS751" s="20"/>
      <c r="BT751" s="26"/>
      <c r="BV751" s="381"/>
      <c r="BW751" s="229"/>
    </row>
    <row r="752" spans="33:75" x14ac:dyDescent="0.2">
      <c r="AG752" s="294"/>
      <c r="AH752" s="294"/>
      <c r="AI752" s="294"/>
      <c r="AJ752" s="26"/>
      <c r="AK752" s="374"/>
      <c r="AL752" s="374"/>
      <c r="AO752" s="294"/>
      <c r="AR752" s="374"/>
      <c r="AZ752" s="374"/>
      <c r="BE752" s="26"/>
      <c r="BF752" s="26"/>
      <c r="BG752" s="26"/>
      <c r="BH752" s="26"/>
      <c r="BI752" s="26"/>
      <c r="BJ752" s="26"/>
      <c r="BK752" s="26"/>
      <c r="BL752" s="26"/>
      <c r="BS752" s="20"/>
      <c r="BT752" s="26"/>
      <c r="BV752" s="381"/>
      <c r="BW752" s="229"/>
    </row>
    <row r="753" spans="33:75" x14ac:dyDescent="0.2">
      <c r="AG753" s="294"/>
      <c r="AH753" s="294"/>
      <c r="AI753" s="294"/>
      <c r="AJ753" s="26"/>
      <c r="AK753" s="374"/>
      <c r="AL753" s="374"/>
      <c r="AO753" s="294"/>
      <c r="AR753" s="374"/>
      <c r="AZ753" s="374"/>
      <c r="BE753" s="26"/>
      <c r="BF753" s="26"/>
      <c r="BG753" s="26"/>
      <c r="BH753" s="26"/>
      <c r="BI753" s="26"/>
      <c r="BJ753" s="26"/>
      <c r="BK753" s="26"/>
      <c r="BL753" s="26"/>
      <c r="BS753" s="20"/>
      <c r="BT753" s="26"/>
      <c r="BV753" s="381"/>
      <c r="BW753" s="229"/>
    </row>
    <row r="754" spans="33:75" x14ac:dyDescent="0.2">
      <c r="AG754" s="294"/>
      <c r="AH754" s="294"/>
      <c r="AI754" s="294"/>
      <c r="AJ754" s="26"/>
      <c r="AK754" s="374"/>
      <c r="AL754" s="374"/>
      <c r="AO754" s="294"/>
      <c r="AR754" s="374"/>
      <c r="AZ754" s="374"/>
      <c r="BE754" s="26"/>
      <c r="BF754" s="26"/>
      <c r="BG754" s="26"/>
      <c r="BH754" s="26"/>
      <c r="BI754" s="26"/>
      <c r="BJ754" s="26"/>
      <c r="BK754" s="26"/>
      <c r="BL754" s="26"/>
      <c r="BS754" s="20"/>
      <c r="BT754" s="26"/>
      <c r="BV754" s="381"/>
      <c r="BW754" s="229"/>
    </row>
    <row r="755" spans="33:75" x14ac:dyDescent="0.2">
      <c r="AG755" s="294"/>
      <c r="AH755" s="294"/>
      <c r="AI755" s="294"/>
      <c r="AJ755" s="26"/>
      <c r="AK755" s="374"/>
      <c r="AL755" s="374"/>
      <c r="AO755" s="294"/>
      <c r="AR755" s="374"/>
      <c r="AZ755" s="374"/>
      <c r="BE755" s="26"/>
      <c r="BF755" s="26"/>
      <c r="BG755" s="26"/>
      <c r="BH755" s="26"/>
      <c r="BI755" s="26"/>
      <c r="BJ755" s="26"/>
      <c r="BK755" s="26"/>
      <c r="BL755" s="26"/>
      <c r="BS755" s="20"/>
      <c r="BT755" s="26"/>
      <c r="BV755" s="381"/>
      <c r="BW755" s="229"/>
    </row>
    <row r="756" spans="33:75" x14ac:dyDescent="0.2">
      <c r="AG756" s="294"/>
      <c r="AH756" s="294"/>
      <c r="AI756" s="294"/>
      <c r="AJ756" s="26"/>
      <c r="AK756" s="374"/>
      <c r="AL756" s="374"/>
      <c r="AO756" s="294"/>
      <c r="AR756" s="374"/>
      <c r="AZ756" s="374"/>
      <c r="BE756" s="26"/>
      <c r="BF756" s="26"/>
      <c r="BG756" s="26"/>
      <c r="BH756" s="26"/>
      <c r="BI756" s="26"/>
      <c r="BJ756" s="26"/>
      <c r="BK756" s="26"/>
      <c r="BL756" s="26"/>
      <c r="BS756" s="20"/>
      <c r="BT756" s="26"/>
      <c r="BV756" s="381"/>
      <c r="BW756" s="229"/>
    </row>
    <row r="757" spans="33:75" x14ac:dyDescent="0.2">
      <c r="AG757" s="294"/>
      <c r="AH757" s="294"/>
      <c r="AI757" s="294"/>
      <c r="AJ757" s="26"/>
      <c r="AK757" s="374"/>
      <c r="AL757" s="374"/>
      <c r="AO757" s="294"/>
      <c r="AR757" s="374"/>
      <c r="AZ757" s="374"/>
      <c r="BE757" s="26"/>
      <c r="BF757" s="26"/>
      <c r="BG757" s="26"/>
      <c r="BH757" s="26"/>
      <c r="BI757" s="26"/>
      <c r="BJ757" s="26"/>
      <c r="BK757" s="26"/>
      <c r="BL757" s="26"/>
      <c r="BS757" s="20"/>
      <c r="BT757" s="26"/>
      <c r="BV757" s="381"/>
      <c r="BW757" s="229"/>
    </row>
    <row r="758" spans="33:75" x14ac:dyDescent="0.2">
      <c r="AG758" s="294"/>
      <c r="AH758" s="294"/>
      <c r="AI758" s="294"/>
      <c r="AJ758" s="26"/>
      <c r="AK758" s="374"/>
      <c r="AL758" s="374"/>
      <c r="AO758" s="294"/>
      <c r="AR758" s="374"/>
      <c r="AZ758" s="374"/>
      <c r="BE758" s="26"/>
      <c r="BF758" s="26"/>
      <c r="BG758" s="26"/>
      <c r="BH758" s="26"/>
      <c r="BI758" s="26"/>
      <c r="BJ758" s="26"/>
      <c r="BK758" s="26"/>
      <c r="BL758" s="26"/>
      <c r="BS758" s="20"/>
      <c r="BT758" s="26"/>
      <c r="BV758" s="381"/>
      <c r="BW758" s="229"/>
    </row>
    <row r="759" spans="33:75" x14ac:dyDescent="0.2">
      <c r="AG759" s="294"/>
      <c r="AH759" s="294"/>
      <c r="AI759" s="294"/>
      <c r="AJ759" s="26"/>
      <c r="AK759" s="374"/>
      <c r="AL759" s="374"/>
      <c r="AO759" s="294"/>
      <c r="AR759" s="374"/>
      <c r="AZ759" s="374"/>
      <c r="BE759" s="26"/>
      <c r="BF759" s="26"/>
      <c r="BG759" s="26"/>
      <c r="BH759" s="26"/>
      <c r="BI759" s="26"/>
      <c r="BJ759" s="26"/>
      <c r="BK759" s="26"/>
      <c r="BL759" s="26"/>
      <c r="BS759" s="20"/>
      <c r="BT759" s="26"/>
      <c r="BV759" s="381"/>
      <c r="BW759" s="229"/>
    </row>
    <row r="760" spans="33:75" x14ac:dyDescent="0.2">
      <c r="AG760" s="294"/>
      <c r="AH760" s="294"/>
      <c r="AI760" s="294"/>
      <c r="AJ760" s="26"/>
      <c r="AK760" s="374"/>
      <c r="AL760" s="374"/>
      <c r="AO760" s="294"/>
      <c r="AR760" s="374"/>
      <c r="AZ760" s="374"/>
      <c r="BE760" s="26"/>
      <c r="BF760" s="26"/>
      <c r="BG760" s="26"/>
      <c r="BH760" s="26"/>
      <c r="BI760" s="26"/>
      <c r="BJ760" s="26"/>
      <c r="BK760" s="26"/>
      <c r="BL760" s="26"/>
      <c r="BS760" s="20"/>
      <c r="BT760" s="26"/>
      <c r="BV760" s="381"/>
      <c r="BW760" s="229"/>
    </row>
    <row r="761" spans="33:75" x14ac:dyDescent="0.2">
      <c r="AG761" s="294"/>
      <c r="AH761" s="294"/>
      <c r="AI761" s="294"/>
      <c r="AJ761" s="26"/>
      <c r="AK761" s="374"/>
      <c r="AL761" s="374"/>
      <c r="AO761" s="294"/>
      <c r="AR761" s="374"/>
      <c r="AZ761" s="374"/>
      <c r="BE761" s="26"/>
      <c r="BF761" s="26"/>
      <c r="BG761" s="26"/>
      <c r="BH761" s="26"/>
      <c r="BI761" s="26"/>
      <c r="BJ761" s="26"/>
      <c r="BK761" s="26"/>
      <c r="BL761" s="26"/>
      <c r="BS761" s="20"/>
      <c r="BT761" s="26"/>
      <c r="BV761" s="381"/>
      <c r="BW761" s="229"/>
    </row>
    <row r="762" spans="33:75" x14ac:dyDescent="0.2">
      <c r="AG762" s="294"/>
      <c r="AH762" s="294"/>
      <c r="AI762" s="294"/>
      <c r="AJ762" s="26"/>
      <c r="AK762" s="374"/>
      <c r="AL762" s="374"/>
      <c r="AO762" s="294"/>
      <c r="AR762" s="374"/>
      <c r="AZ762" s="374"/>
      <c r="BE762" s="26"/>
      <c r="BF762" s="26"/>
      <c r="BG762" s="26"/>
      <c r="BH762" s="26"/>
      <c r="BI762" s="26"/>
      <c r="BJ762" s="26"/>
      <c r="BK762" s="26"/>
      <c r="BL762" s="26"/>
      <c r="BS762" s="20"/>
      <c r="BT762" s="26"/>
      <c r="BV762" s="381"/>
      <c r="BW762" s="229"/>
    </row>
    <row r="763" spans="33:75" x14ac:dyDescent="0.2">
      <c r="AG763" s="294"/>
      <c r="AH763" s="294"/>
      <c r="AI763" s="294"/>
      <c r="AJ763" s="26"/>
      <c r="AK763" s="374"/>
      <c r="AL763" s="374"/>
      <c r="AO763" s="294"/>
      <c r="AR763" s="374"/>
      <c r="AZ763" s="374"/>
      <c r="BE763" s="26"/>
      <c r="BF763" s="26"/>
      <c r="BG763" s="26"/>
      <c r="BH763" s="26"/>
      <c r="BI763" s="26"/>
      <c r="BJ763" s="26"/>
      <c r="BK763" s="26"/>
      <c r="BL763" s="26"/>
      <c r="BS763" s="20"/>
      <c r="BT763" s="26"/>
      <c r="BV763" s="381"/>
      <c r="BW763" s="229"/>
    </row>
    <row r="764" spans="33:75" x14ac:dyDescent="0.2">
      <c r="AG764" s="294"/>
      <c r="AH764" s="294"/>
      <c r="AI764" s="294"/>
      <c r="AJ764" s="26"/>
      <c r="AK764" s="374"/>
      <c r="AL764" s="374"/>
      <c r="AO764" s="294"/>
      <c r="AR764" s="374"/>
      <c r="AZ764" s="374"/>
      <c r="BE764" s="26"/>
      <c r="BF764" s="26"/>
      <c r="BG764" s="26"/>
      <c r="BH764" s="26"/>
      <c r="BI764" s="26"/>
      <c r="BJ764" s="26"/>
      <c r="BK764" s="26"/>
      <c r="BL764" s="26"/>
      <c r="BS764" s="20"/>
      <c r="BT764" s="26"/>
      <c r="BV764" s="381"/>
      <c r="BW764" s="229"/>
    </row>
    <row r="765" spans="33:75" x14ac:dyDescent="0.2">
      <c r="AG765" s="294"/>
      <c r="AH765" s="294"/>
      <c r="AI765" s="294"/>
      <c r="AJ765" s="26"/>
      <c r="AK765" s="374"/>
      <c r="AL765" s="374"/>
      <c r="AO765" s="294"/>
      <c r="AR765" s="374"/>
      <c r="AZ765" s="374"/>
      <c r="BE765" s="26"/>
      <c r="BF765" s="26"/>
      <c r="BG765" s="26"/>
      <c r="BH765" s="26"/>
      <c r="BI765" s="26"/>
      <c r="BJ765" s="26"/>
      <c r="BK765" s="26"/>
      <c r="BL765" s="26"/>
      <c r="BS765" s="20"/>
      <c r="BT765" s="26"/>
      <c r="BV765" s="381"/>
      <c r="BW765" s="229"/>
    </row>
    <row r="766" spans="33:75" x14ac:dyDescent="0.2">
      <c r="AG766" s="294"/>
      <c r="AH766" s="294"/>
      <c r="AI766" s="294"/>
      <c r="AJ766" s="26"/>
      <c r="AK766" s="374"/>
      <c r="AL766" s="374"/>
      <c r="AO766" s="294"/>
      <c r="AR766" s="374"/>
      <c r="AZ766" s="374"/>
      <c r="BE766" s="26"/>
      <c r="BF766" s="26"/>
      <c r="BG766" s="26"/>
      <c r="BH766" s="26"/>
      <c r="BI766" s="26"/>
      <c r="BJ766" s="26"/>
      <c r="BK766" s="26"/>
      <c r="BL766" s="26"/>
      <c r="BS766" s="20"/>
      <c r="BT766" s="26"/>
      <c r="BV766" s="381"/>
      <c r="BW766" s="229"/>
    </row>
    <row r="767" spans="33:75" x14ac:dyDescent="0.2">
      <c r="AG767" s="294"/>
      <c r="AH767" s="294"/>
      <c r="AI767" s="294"/>
      <c r="AJ767" s="26"/>
      <c r="AK767" s="374"/>
      <c r="AL767" s="374"/>
      <c r="AO767" s="294"/>
      <c r="AR767" s="374"/>
      <c r="AZ767" s="374"/>
      <c r="BE767" s="26"/>
      <c r="BF767" s="26"/>
      <c r="BG767" s="26"/>
      <c r="BH767" s="26"/>
      <c r="BI767" s="26"/>
      <c r="BJ767" s="26"/>
      <c r="BK767" s="26"/>
      <c r="BL767" s="26"/>
      <c r="BS767" s="20"/>
      <c r="BT767" s="26"/>
      <c r="BV767" s="381"/>
      <c r="BW767" s="229"/>
    </row>
    <row r="768" spans="33:75" x14ac:dyDescent="0.2">
      <c r="AG768" s="294"/>
      <c r="AH768" s="294"/>
      <c r="AI768" s="294"/>
      <c r="AJ768" s="26"/>
      <c r="AK768" s="374"/>
      <c r="AL768" s="374"/>
      <c r="AO768" s="294"/>
      <c r="AR768" s="374"/>
      <c r="AZ768" s="374"/>
      <c r="BE768" s="26"/>
      <c r="BF768" s="26"/>
      <c r="BG768" s="26"/>
      <c r="BH768" s="26"/>
      <c r="BI768" s="26"/>
      <c r="BJ768" s="26"/>
      <c r="BK768" s="26"/>
      <c r="BL768" s="26"/>
      <c r="BS768" s="20"/>
      <c r="BT768" s="26"/>
      <c r="BV768" s="381"/>
      <c r="BW768" s="229"/>
    </row>
    <row r="769" spans="33:75" x14ac:dyDescent="0.2">
      <c r="AG769" s="294"/>
      <c r="AH769" s="294"/>
      <c r="AI769" s="294"/>
      <c r="AJ769" s="26"/>
      <c r="AK769" s="374"/>
      <c r="AL769" s="374"/>
      <c r="AO769" s="294"/>
      <c r="AR769" s="374"/>
      <c r="AZ769" s="374"/>
      <c r="BE769" s="26"/>
      <c r="BF769" s="26"/>
      <c r="BG769" s="26"/>
      <c r="BH769" s="26"/>
      <c r="BI769" s="26"/>
      <c r="BJ769" s="26"/>
      <c r="BK769" s="26"/>
      <c r="BL769" s="26"/>
      <c r="BS769" s="20"/>
      <c r="BT769" s="26"/>
      <c r="BV769" s="381"/>
      <c r="BW769" s="229"/>
    </row>
    <row r="770" spans="33:75" x14ac:dyDescent="0.2">
      <c r="AG770" s="294"/>
      <c r="AH770" s="294"/>
      <c r="AI770" s="294"/>
      <c r="AJ770" s="26"/>
      <c r="AK770" s="374"/>
      <c r="AL770" s="374"/>
      <c r="AO770" s="294"/>
      <c r="AR770" s="374"/>
      <c r="AZ770" s="374"/>
      <c r="BE770" s="26"/>
      <c r="BF770" s="26"/>
      <c r="BG770" s="26"/>
      <c r="BH770" s="26"/>
      <c r="BI770" s="26"/>
      <c r="BJ770" s="26"/>
      <c r="BK770" s="26"/>
      <c r="BL770" s="26"/>
      <c r="BS770" s="20"/>
      <c r="BT770" s="26"/>
      <c r="BV770" s="381"/>
      <c r="BW770" s="229"/>
    </row>
    <row r="771" spans="33:75" x14ac:dyDescent="0.2">
      <c r="AG771" s="294"/>
      <c r="AH771" s="294"/>
      <c r="AI771" s="294"/>
      <c r="AJ771" s="26"/>
      <c r="AK771" s="374"/>
      <c r="AL771" s="374"/>
      <c r="AO771" s="294"/>
      <c r="AR771" s="374"/>
      <c r="AZ771" s="374"/>
      <c r="BE771" s="26"/>
      <c r="BF771" s="26"/>
      <c r="BG771" s="26"/>
      <c r="BH771" s="26"/>
      <c r="BI771" s="26"/>
      <c r="BJ771" s="26"/>
      <c r="BK771" s="26"/>
      <c r="BL771" s="26"/>
      <c r="BS771" s="20"/>
      <c r="BT771" s="26"/>
      <c r="BV771" s="381"/>
      <c r="BW771" s="229"/>
    </row>
    <row r="772" spans="33:75" x14ac:dyDescent="0.2">
      <c r="AG772" s="294"/>
      <c r="AH772" s="294"/>
      <c r="AI772" s="294"/>
      <c r="AJ772" s="26"/>
      <c r="AK772" s="374"/>
      <c r="AL772" s="374"/>
      <c r="AO772" s="294"/>
      <c r="AR772" s="374"/>
      <c r="AZ772" s="374"/>
      <c r="BE772" s="26"/>
      <c r="BF772" s="26"/>
      <c r="BG772" s="26"/>
      <c r="BH772" s="26"/>
      <c r="BI772" s="26"/>
      <c r="BJ772" s="26"/>
      <c r="BK772" s="26"/>
      <c r="BL772" s="26"/>
      <c r="BS772" s="20"/>
      <c r="BT772" s="26"/>
      <c r="BV772" s="381"/>
      <c r="BW772" s="229"/>
    </row>
    <row r="773" spans="33:75" x14ac:dyDescent="0.2">
      <c r="AG773" s="294"/>
      <c r="AH773" s="294"/>
      <c r="AI773" s="294"/>
      <c r="AJ773" s="26"/>
      <c r="AK773" s="374"/>
      <c r="AL773" s="374"/>
      <c r="AO773" s="294"/>
      <c r="AR773" s="374"/>
      <c r="AZ773" s="374"/>
      <c r="BE773" s="26"/>
      <c r="BF773" s="26"/>
      <c r="BG773" s="26"/>
      <c r="BH773" s="26"/>
      <c r="BI773" s="26"/>
      <c r="BJ773" s="26"/>
      <c r="BK773" s="26"/>
      <c r="BL773" s="26"/>
      <c r="BS773" s="20"/>
      <c r="BT773" s="26"/>
      <c r="BV773" s="381"/>
      <c r="BW773" s="229"/>
    </row>
    <row r="774" spans="33:75" x14ac:dyDescent="0.2">
      <c r="AG774" s="294"/>
      <c r="AH774" s="294"/>
      <c r="AI774" s="294"/>
      <c r="AJ774" s="26"/>
      <c r="AK774" s="374"/>
      <c r="AL774" s="374"/>
      <c r="AO774" s="294"/>
      <c r="AR774" s="374"/>
      <c r="AZ774" s="374"/>
      <c r="BE774" s="26"/>
      <c r="BF774" s="26"/>
      <c r="BG774" s="26"/>
      <c r="BH774" s="26"/>
      <c r="BI774" s="26"/>
      <c r="BJ774" s="26"/>
      <c r="BK774" s="26"/>
      <c r="BL774" s="26"/>
      <c r="BS774" s="20"/>
      <c r="BT774" s="26"/>
      <c r="BV774" s="381"/>
      <c r="BW774" s="229"/>
    </row>
    <row r="775" spans="33:75" x14ac:dyDescent="0.2">
      <c r="AG775" s="294"/>
      <c r="AH775" s="294"/>
      <c r="AI775" s="294"/>
      <c r="AJ775" s="26"/>
      <c r="AK775" s="374"/>
      <c r="AL775" s="374"/>
      <c r="AO775" s="294"/>
      <c r="AR775" s="374"/>
      <c r="AZ775" s="374"/>
      <c r="BE775" s="26"/>
      <c r="BF775" s="26"/>
      <c r="BG775" s="26"/>
      <c r="BH775" s="26"/>
      <c r="BI775" s="26"/>
      <c r="BJ775" s="26"/>
      <c r="BK775" s="26"/>
      <c r="BL775" s="26"/>
      <c r="BS775" s="20"/>
      <c r="BT775" s="26"/>
      <c r="BV775" s="381"/>
      <c r="BW775" s="229"/>
    </row>
    <row r="776" spans="33:75" x14ac:dyDescent="0.2">
      <c r="AG776" s="294"/>
      <c r="AH776" s="294"/>
      <c r="AI776" s="294"/>
      <c r="AJ776" s="26"/>
      <c r="AK776" s="374"/>
      <c r="AL776" s="374"/>
      <c r="AO776" s="294"/>
      <c r="AR776" s="374"/>
      <c r="AZ776" s="374"/>
      <c r="BE776" s="26"/>
      <c r="BF776" s="26"/>
      <c r="BG776" s="26"/>
      <c r="BH776" s="26"/>
      <c r="BI776" s="26"/>
      <c r="BJ776" s="26"/>
      <c r="BK776" s="26"/>
      <c r="BL776" s="26"/>
      <c r="BS776" s="20"/>
      <c r="BT776" s="26"/>
      <c r="BV776" s="381"/>
      <c r="BW776" s="229"/>
    </row>
    <row r="777" spans="33:75" x14ac:dyDescent="0.2">
      <c r="AG777" s="294"/>
      <c r="AH777" s="294"/>
      <c r="AI777" s="294"/>
      <c r="AJ777" s="26"/>
      <c r="AK777" s="374"/>
      <c r="AL777" s="374"/>
      <c r="AO777" s="294"/>
      <c r="AR777" s="374"/>
      <c r="AZ777" s="374"/>
      <c r="BE777" s="26"/>
      <c r="BF777" s="26"/>
      <c r="BG777" s="26"/>
      <c r="BH777" s="26"/>
      <c r="BI777" s="26"/>
      <c r="BJ777" s="26"/>
      <c r="BK777" s="26"/>
      <c r="BL777" s="26"/>
      <c r="BS777" s="20"/>
      <c r="BT777" s="26"/>
      <c r="BV777" s="381"/>
      <c r="BW777" s="229"/>
    </row>
    <row r="778" spans="33:75" x14ac:dyDescent="0.2">
      <c r="AG778" s="294"/>
      <c r="AH778" s="294"/>
      <c r="AI778" s="294"/>
      <c r="AJ778" s="26"/>
      <c r="AK778" s="374"/>
      <c r="AL778" s="374"/>
      <c r="AO778" s="294"/>
      <c r="AR778" s="374"/>
      <c r="AZ778" s="374"/>
      <c r="BE778" s="26"/>
      <c r="BF778" s="26"/>
      <c r="BG778" s="26"/>
      <c r="BH778" s="26"/>
      <c r="BI778" s="26"/>
      <c r="BJ778" s="26"/>
      <c r="BK778" s="26"/>
      <c r="BL778" s="26"/>
      <c r="BS778" s="20"/>
      <c r="BT778" s="26"/>
      <c r="BV778" s="381"/>
      <c r="BW778" s="229"/>
    </row>
    <row r="779" spans="33:75" x14ac:dyDescent="0.2">
      <c r="AG779" s="294"/>
      <c r="AH779" s="294"/>
      <c r="AI779" s="294"/>
      <c r="AJ779" s="26"/>
      <c r="AK779" s="374"/>
      <c r="AL779" s="374"/>
      <c r="AO779" s="294"/>
      <c r="AR779" s="374"/>
      <c r="AZ779" s="374"/>
      <c r="BE779" s="26"/>
      <c r="BF779" s="26"/>
      <c r="BG779" s="26"/>
      <c r="BH779" s="26"/>
      <c r="BI779" s="26"/>
      <c r="BJ779" s="26"/>
      <c r="BK779" s="26"/>
      <c r="BL779" s="26"/>
      <c r="BS779" s="20"/>
      <c r="BT779" s="26"/>
      <c r="BV779" s="381"/>
      <c r="BW779" s="229"/>
    </row>
    <row r="780" spans="33:75" x14ac:dyDescent="0.2">
      <c r="AG780" s="294"/>
      <c r="AH780" s="294"/>
      <c r="AI780" s="294"/>
      <c r="AJ780" s="26"/>
      <c r="AK780" s="374"/>
      <c r="AL780" s="374"/>
      <c r="AO780" s="294"/>
      <c r="AR780" s="374"/>
      <c r="AZ780" s="374"/>
      <c r="BE780" s="26"/>
      <c r="BF780" s="26"/>
      <c r="BG780" s="26"/>
      <c r="BH780" s="26"/>
      <c r="BI780" s="26"/>
      <c r="BJ780" s="26"/>
      <c r="BK780" s="26"/>
      <c r="BL780" s="26"/>
      <c r="BS780" s="20"/>
      <c r="BT780" s="26"/>
      <c r="BV780" s="381"/>
      <c r="BW780" s="229"/>
    </row>
    <row r="781" spans="33:75" x14ac:dyDescent="0.2">
      <c r="AG781" s="294"/>
      <c r="AH781" s="294"/>
      <c r="AI781" s="294"/>
      <c r="AJ781" s="26"/>
      <c r="AK781" s="374"/>
      <c r="AL781" s="374"/>
      <c r="AO781" s="294"/>
      <c r="AR781" s="374"/>
      <c r="AZ781" s="374"/>
      <c r="BE781" s="26"/>
      <c r="BF781" s="26"/>
      <c r="BG781" s="26"/>
      <c r="BH781" s="26"/>
      <c r="BI781" s="26"/>
      <c r="BJ781" s="26"/>
      <c r="BK781" s="26"/>
      <c r="BL781" s="26"/>
      <c r="BS781" s="20"/>
      <c r="BT781" s="26"/>
      <c r="BV781" s="381"/>
      <c r="BW781" s="229"/>
    </row>
    <row r="782" spans="33:75" x14ac:dyDescent="0.2">
      <c r="AG782" s="294"/>
      <c r="AH782" s="294"/>
      <c r="AI782" s="294"/>
      <c r="AJ782" s="26"/>
      <c r="AK782" s="374"/>
      <c r="AL782" s="374"/>
      <c r="AO782" s="294"/>
      <c r="AR782" s="374"/>
      <c r="AZ782" s="374"/>
      <c r="BE782" s="26"/>
      <c r="BF782" s="26"/>
      <c r="BG782" s="26"/>
      <c r="BH782" s="26"/>
      <c r="BI782" s="26"/>
      <c r="BJ782" s="26"/>
      <c r="BK782" s="26"/>
      <c r="BL782" s="26"/>
      <c r="BS782" s="20"/>
      <c r="BT782" s="26"/>
      <c r="BV782" s="381"/>
      <c r="BW782" s="229"/>
    </row>
    <row r="783" spans="33:75" x14ac:dyDescent="0.2">
      <c r="AG783" s="294"/>
      <c r="AH783" s="294"/>
      <c r="AI783" s="294"/>
      <c r="AJ783" s="26"/>
      <c r="AK783" s="374"/>
      <c r="AL783" s="374"/>
      <c r="AO783" s="294"/>
      <c r="AR783" s="374"/>
      <c r="AZ783" s="374"/>
      <c r="BE783" s="26"/>
      <c r="BF783" s="26"/>
      <c r="BG783" s="26"/>
      <c r="BH783" s="26"/>
      <c r="BI783" s="26"/>
      <c r="BJ783" s="26"/>
      <c r="BK783" s="26"/>
      <c r="BL783" s="26"/>
      <c r="BS783" s="20"/>
      <c r="BT783" s="26"/>
      <c r="BV783" s="381"/>
      <c r="BW783" s="229"/>
    </row>
    <row r="784" spans="33:75" x14ac:dyDescent="0.2">
      <c r="AG784" s="294"/>
      <c r="AH784" s="294"/>
      <c r="AI784" s="294"/>
      <c r="AJ784" s="26"/>
      <c r="AK784" s="374"/>
      <c r="AL784" s="374"/>
      <c r="AO784" s="294"/>
      <c r="AR784" s="374"/>
      <c r="AZ784" s="374"/>
      <c r="BE784" s="26"/>
      <c r="BF784" s="26"/>
      <c r="BG784" s="26"/>
      <c r="BH784" s="26"/>
      <c r="BI784" s="26"/>
      <c r="BJ784" s="26"/>
      <c r="BK784" s="26"/>
      <c r="BL784" s="26"/>
      <c r="BS784" s="20"/>
      <c r="BT784" s="26"/>
      <c r="BV784" s="381"/>
      <c r="BW784" s="229"/>
    </row>
    <row r="785" spans="33:75" x14ac:dyDescent="0.2">
      <c r="AG785" s="294"/>
      <c r="AH785" s="294"/>
      <c r="AI785" s="294"/>
      <c r="AJ785" s="26"/>
      <c r="AK785" s="374"/>
      <c r="AL785" s="374"/>
      <c r="AO785" s="294"/>
      <c r="AR785" s="374"/>
      <c r="AZ785" s="374"/>
      <c r="BE785" s="26"/>
      <c r="BF785" s="26"/>
      <c r="BG785" s="26"/>
      <c r="BH785" s="26"/>
      <c r="BI785" s="26"/>
      <c r="BJ785" s="26"/>
      <c r="BK785" s="26"/>
      <c r="BL785" s="26"/>
      <c r="BS785" s="20"/>
      <c r="BT785" s="26"/>
      <c r="BV785" s="381"/>
      <c r="BW785" s="229"/>
    </row>
    <row r="786" spans="33:75" x14ac:dyDescent="0.2">
      <c r="AG786" s="294"/>
      <c r="AH786" s="294"/>
      <c r="AI786" s="294"/>
      <c r="AJ786" s="26"/>
      <c r="AK786" s="374"/>
      <c r="AL786" s="374"/>
      <c r="AO786" s="294"/>
      <c r="AR786" s="374"/>
      <c r="AZ786" s="374"/>
      <c r="BE786" s="26"/>
      <c r="BF786" s="26"/>
      <c r="BG786" s="26"/>
      <c r="BH786" s="26"/>
      <c r="BI786" s="26"/>
      <c r="BJ786" s="26"/>
      <c r="BK786" s="26"/>
      <c r="BL786" s="26"/>
      <c r="BS786" s="20"/>
      <c r="BT786" s="26"/>
      <c r="BV786" s="381"/>
      <c r="BW786" s="229"/>
    </row>
    <row r="787" spans="33:75" x14ac:dyDescent="0.2">
      <c r="AG787" s="294"/>
      <c r="AH787" s="294"/>
      <c r="AI787" s="294"/>
      <c r="AJ787" s="26"/>
      <c r="AK787" s="374"/>
      <c r="AL787" s="374"/>
      <c r="AO787" s="294"/>
      <c r="AR787" s="374"/>
      <c r="AZ787" s="374"/>
      <c r="BE787" s="26"/>
      <c r="BF787" s="26"/>
      <c r="BG787" s="26"/>
      <c r="BH787" s="26"/>
      <c r="BI787" s="26"/>
      <c r="BJ787" s="26"/>
      <c r="BK787" s="26"/>
      <c r="BL787" s="26"/>
      <c r="BS787" s="20"/>
      <c r="BT787" s="26"/>
      <c r="BV787" s="381"/>
      <c r="BW787" s="229"/>
    </row>
    <row r="788" spans="33:75" x14ac:dyDescent="0.2">
      <c r="AG788" s="294"/>
      <c r="AH788" s="294"/>
      <c r="AI788" s="294"/>
      <c r="AJ788" s="26"/>
      <c r="AK788" s="374"/>
      <c r="AL788" s="374"/>
      <c r="AO788" s="294"/>
      <c r="AR788" s="374"/>
      <c r="AZ788" s="374"/>
      <c r="BE788" s="26"/>
      <c r="BF788" s="26"/>
      <c r="BG788" s="26"/>
      <c r="BH788" s="26"/>
      <c r="BI788" s="26"/>
      <c r="BJ788" s="26"/>
      <c r="BK788" s="26"/>
      <c r="BL788" s="26"/>
      <c r="BS788" s="20"/>
      <c r="BT788" s="26"/>
      <c r="BV788" s="381"/>
      <c r="BW788" s="229"/>
    </row>
    <row r="789" spans="33:75" x14ac:dyDescent="0.2">
      <c r="AG789" s="294"/>
      <c r="AH789" s="294"/>
      <c r="AI789" s="294"/>
      <c r="AJ789" s="26"/>
      <c r="AK789" s="374"/>
      <c r="AL789" s="374"/>
      <c r="AO789" s="294"/>
      <c r="AR789" s="374"/>
      <c r="AZ789" s="374"/>
      <c r="BE789" s="26"/>
      <c r="BF789" s="26"/>
      <c r="BG789" s="26"/>
      <c r="BH789" s="26"/>
      <c r="BI789" s="26"/>
      <c r="BJ789" s="26"/>
      <c r="BK789" s="26"/>
      <c r="BL789" s="26"/>
      <c r="BS789" s="20"/>
      <c r="BT789" s="26"/>
      <c r="BV789" s="381"/>
      <c r="BW789" s="229"/>
    </row>
    <row r="790" spans="33:75" x14ac:dyDescent="0.2">
      <c r="AG790" s="294"/>
      <c r="AH790" s="294"/>
      <c r="AI790" s="294"/>
      <c r="AJ790" s="26"/>
      <c r="AK790" s="374"/>
      <c r="AL790" s="374"/>
      <c r="AO790" s="294"/>
      <c r="AR790" s="374"/>
      <c r="AZ790" s="374"/>
      <c r="BE790" s="26"/>
      <c r="BF790" s="26"/>
      <c r="BG790" s="26"/>
      <c r="BH790" s="26"/>
      <c r="BI790" s="26"/>
      <c r="BJ790" s="26"/>
      <c r="BK790" s="26"/>
      <c r="BL790" s="26"/>
      <c r="BS790" s="20"/>
      <c r="BT790" s="26"/>
      <c r="BV790" s="381"/>
      <c r="BW790" s="229"/>
    </row>
    <row r="791" spans="33:75" x14ac:dyDescent="0.2">
      <c r="AG791" s="294"/>
      <c r="AH791" s="294"/>
      <c r="AI791" s="294"/>
      <c r="AJ791" s="26"/>
      <c r="AK791" s="374"/>
      <c r="AL791" s="374"/>
      <c r="AO791" s="294"/>
      <c r="AR791" s="374"/>
      <c r="AZ791" s="374"/>
      <c r="BE791" s="26"/>
      <c r="BF791" s="26"/>
      <c r="BG791" s="26"/>
      <c r="BH791" s="26"/>
      <c r="BI791" s="26"/>
      <c r="BJ791" s="26"/>
      <c r="BK791" s="26"/>
      <c r="BL791" s="26"/>
      <c r="BS791" s="20"/>
      <c r="BT791" s="26"/>
      <c r="BV791" s="381"/>
      <c r="BW791" s="229"/>
    </row>
    <row r="792" spans="33:75" x14ac:dyDescent="0.2">
      <c r="AG792" s="294"/>
      <c r="AH792" s="294"/>
      <c r="AI792" s="294"/>
      <c r="AJ792" s="26"/>
      <c r="AK792" s="374"/>
      <c r="AL792" s="374"/>
      <c r="AO792" s="294"/>
      <c r="AR792" s="374"/>
      <c r="AZ792" s="374"/>
      <c r="BE792" s="26"/>
      <c r="BF792" s="26"/>
      <c r="BG792" s="26"/>
      <c r="BH792" s="26"/>
      <c r="BI792" s="26"/>
      <c r="BJ792" s="26"/>
      <c r="BK792" s="26"/>
      <c r="BL792" s="26"/>
      <c r="BS792" s="20"/>
      <c r="BT792" s="26"/>
      <c r="BV792" s="381"/>
      <c r="BW792" s="229"/>
    </row>
    <row r="793" spans="33:75" x14ac:dyDescent="0.2">
      <c r="AG793" s="294"/>
      <c r="AH793" s="294"/>
      <c r="AI793" s="294"/>
      <c r="AJ793" s="26"/>
      <c r="AK793" s="374"/>
      <c r="AL793" s="374"/>
      <c r="AO793" s="294"/>
      <c r="AR793" s="374"/>
      <c r="AZ793" s="374"/>
      <c r="BE793" s="26"/>
      <c r="BF793" s="26"/>
      <c r="BG793" s="26"/>
      <c r="BH793" s="26"/>
      <c r="BI793" s="26"/>
      <c r="BJ793" s="26"/>
      <c r="BK793" s="26"/>
      <c r="BL793" s="26"/>
      <c r="BS793" s="20"/>
      <c r="BT793" s="26"/>
      <c r="BV793" s="381"/>
      <c r="BW793" s="229"/>
    </row>
    <row r="794" spans="33:75" x14ac:dyDescent="0.2">
      <c r="AG794" s="294"/>
      <c r="AH794" s="294"/>
      <c r="AI794" s="294"/>
      <c r="AJ794" s="26"/>
      <c r="AK794" s="374"/>
      <c r="AL794" s="374"/>
      <c r="AO794" s="294"/>
      <c r="AR794" s="374"/>
      <c r="AZ794" s="374"/>
      <c r="BE794" s="26"/>
      <c r="BF794" s="26"/>
      <c r="BG794" s="26"/>
      <c r="BH794" s="26"/>
      <c r="BI794" s="26"/>
      <c r="BJ794" s="26"/>
      <c r="BK794" s="26"/>
      <c r="BL794" s="26"/>
      <c r="BS794" s="20"/>
      <c r="BT794" s="26"/>
      <c r="BV794" s="381"/>
      <c r="BW794" s="229"/>
    </row>
    <row r="795" spans="33:75" x14ac:dyDescent="0.2">
      <c r="AG795" s="294"/>
      <c r="AH795" s="294"/>
      <c r="AI795" s="294"/>
      <c r="AJ795" s="26"/>
      <c r="AK795" s="374"/>
      <c r="AL795" s="374"/>
      <c r="AO795" s="294"/>
      <c r="AR795" s="374"/>
      <c r="AZ795" s="374"/>
      <c r="BE795" s="26"/>
      <c r="BF795" s="26"/>
      <c r="BG795" s="26"/>
      <c r="BH795" s="26"/>
      <c r="BI795" s="26"/>
      <c r="BJ795" s="26"/>
      <c r="BK795" s="26"/>
      <c r="BL795" s="26"/>
      <c r="BS795" s="20"/>
      <c r="BT795" s="26"/>
      <c r="BV795" s="381"/>
      <c r="BW795" s="229"/>
    </row>
    <row r="796" spans="33:75" x14ac:dyDescent="0.2">
      <c r="AG796" s="294"/>
      <c r="AH796" s="294"/>
      <c r="AI796" s="294"/>
      <c r="AJ796" s="26"/>
      <c r="AK796" s="374"/>
      <c r="AL796" s="374"/>
      <c r="AO796" s="294"/>
      <c r="AR796" s="374"/>
      <c r="AZ796" s="374"/>
      <c r="BE796" s="26"/>
      <c r="BF796" s="26"/>
      <c r="BG796" s="26"/>
      <c r="BH796" s="26"/>
      <c r="BI796" s="26"/>
      <c r="BJ796" s="26"/>
      <c r="BK796" s="26"/>
      <c r="BL796" s="26"/>
      <c r="BS796" s="20"/>
      <c r="BT796" s="26"/>
      <c r="BV796" s="381"/>
      <c r="BW796" s="229"/>
    </row>
    <row r="797" spans="33:75" x14ac:dyDescent="0.2">
      <c r="AG797" s="294"/>
      <c r="AH797" s="294"/>
      <c r="AI797" s="294"/>
      <c r="AJ797" s="26"/>
      <c r="AK797" s="374"/>
      <c r="AL797" s="374"/>
      <c r="AO797" s="294"/>
      <c r="AR797" s="374"/>
      <c r="AZ797" s="374"/>
      <c r="BE797" s="26"/>
      <c r="BF797" s="26"/>
      <c r="BG797" s="26"/>
      <c r="BH797" s="26"/>
      <c r="BI797" s="26"/>
      <c r="BJ797" s="26"/>
      <c r="BK797" s="26"/>
      <c r="BL797" s="26"/>
      <c r="BS797" s="20"/>
      <c r="BT797" s="26"/>
      <c r="BV797" s="381"/>
      <c r="BW797" s="229"/>
    </row>
    <row r="798" spans="33:75" x14ac:dyDescent="0.2">
      <c r="AG798" s="294"/>
      <c r="AH798" s="294"/>
      <c r="AI798" s="294"/>
      <c r="AJ798" s="26"/>
      <c r="AK798" s="374"/>
      <c r="AL798" s="374"/>
      <c r="AO798" s="294"/>
      <c r="AR798" s="374"/>
      <c r="AZ798" s="374"/>
      <c r="BE798" s="26"/>
      <c r="BF798" s="26"/>
      <c r="BG798" s="26"/>
      <c r="BH798" s="26"/>
      <c r="BI798" s="26"/>
      <c r="BJ798" s="26"/>
      <c r="BK798" s="26"/>
      <c r="BL798" s="26"/>
      <c r="BS798" s="20"/>
      <c r="BT798" s="26"/>
      <c r="BV798" s="381"/>
      <c r="BW798" s="229"/>
    </row>
    <row r="799" spans="33:75" x14ac:dyDescent="0.2">
      <c r="AG799" s="294"/>
      <c r="AH799" s="294"/>
      <c r="AI799" s="294"/>
      <c r="AJ799" s="26"/>
      <c r="AK799" s="374"/>
      <c r="AL799" s="374"/>
      <c r="AO799" s="294"/>
      <c r="AR799" s="374"/>
      <c r="AZ799" s="374"/>
      <c r="BE799" s="26"/>
      <c r="BF799" s="26"/>
      <c r="BG799" s="26"/>
      <c r="BH799" s="26"/>
      <c r="BI799" s="26"/>
      <c r="BJ799" s="26"/>
      <c r="BK799" s="26"/>
      <c r="BL799" s="26"/>
      <c r="BS799" s="20"/>
      <c r="BT799" s="26"/>
      <c r="BV799" s="381"/>
      <c r="BW799" s="229"/>
    </row>
    <row r="800" spans="33:75" x14ac:dyDescent="0.2">
      <c r="AG800" s="294"/>
      <c r="AH800" s="294"/>
      <c r="AI800" s="294"/>
      <c r="AJ800" s="26"/>
      <c r="AK800" s="374"/>
      <c r="AL800" s="374"/>
      <c r="AO800" s="294"/>
      <c r="AR800" s="374"/>
      <c r="AZ800" s="374"/>
      <c r="BE800" s="26"/>
      <c r="BF800" s="26"/>
      <c r="BG800" s="26"/>
      <c r="BH800" s="26"/>
      <c r="BI800" s="26"/>
      <c r="BJ800" s="26"/>
      <c r="BK800" s="26"/>
      <c r="BL800" s="26"/>
      <c r="BS800" s="20"/>
      <c r="BT800" s="26"/>
      <c r="BV800" s="381"/>
      <c r="BW800" s="229"/>
    </row>
    <row r="801" spans="33:75" x14ac:dyDescent="0.2">
      <c r="AG801" s="294"/>
      <c r="AH801" s="294"/>
      <c r="AI801" s="294"/>
      <c r="AJ801" s="26"/>
      <c r="AK801" s="374"/>
      <c r="AL801" s="374"/>
      <c r="AO801" s="294"/>
      <c r="AR801" s="374"/>
      <c r="AZ801" s="374"/>
      <c r="BE801" s="26"/>
      <c r="BF801" s="26"/>
      <c r="BG801" s="26"/>
      <c r="BH801" s="26"/>
      <c r="BI801" s="26"/>
      <c r="BJ801" s="26"/>
      <c r="BK801" s="26"/>
      <c r="BL801" s="26"/>
      <c r="BS801" s="20"/>
      <c r="BT801" s="26"/>
      <c r="BV801" s="381"/>
      <c r="BW801" s="229"/>
    </row>
    <row r="802" spans="33:75" x14ac:dyDescent="0.2">
      <c r="AG802" s="294"/>
      <c r="AH802" s="294"/>
      <c r="AI802" s="294"/>
      <c r="AJ802" s="26"/>
      <c r="AK802" s="374"/>
      <c r="AL802" s="374"/>
      <c r="AO802" s="294"/>
      <c r="AR802" s="374"/>
      <c r="AZ802" s="374"/>
      <c r="BE802" s="26"/>
      <c r="BF802" s="26"/>
      <c r="BG802" s="26"/>
      <c r="BH802" s="26"/>
      <c r="BI802" s="26"/>
      <c r="BJ802" s="26"/>
      <c r="BK802" s="26"/>
      <c r="BL802" s="26"/>
      <c r="BS802" s="20"/>
      <c r="BT802" s="26"/>
      <c r="BV802" s="381"/>
      <c r="BW802" s="229"/>
    </row>
    <row r="803" spans="33:75" x14ac:dyDescent="0.2">
      <c r="AG803" s="294"/>
      <c r="AH803" s="294"/>
      <c r="AI803" s="294"/>
      <c r="AJ803" s="26"/>
      <c r="AK803" s="374"/>
      <c r="AL803" s="374"/>
      <c r="AO803" s="294"/>
      <c r="AR803" s="374"/>
      <c r="AZ803" s="374"/>
      <c r="BE803" s="26"/>
      <c r="BF803" s="26"/>
      <c r="BG803" s="26"/>
      <c r="BH803" s="26"/>
      <c r="BI803" s="26"/>
      <c r="BJ803" s="26"/>
      <c r="BK803" s="26"/>
      <c r="BL803" s="26"/>
      <c r="BS803" s="20"/>
      <c r="BT803" s="26"/>
      <c r="BV803" s="381"/>
      <c r="BW803" s="229"/>
    </row>
    <row r="804" spans="33:75" x14ac:dyDescent="0.2">
      <c r="AG804" s="294"/>
      <c r="AH804" s="294"/>
      <c r="AI804" s="294"/>
      <c r="AJ804" s="26"/>
      <c r="AK804" s="374"/>
      <c r="AL804" s="374"/>
      <c r="AO804" s="294"/>
      <c r="AR804" s="374"/>
      <c r="AZ804" s="374"/>
      <c r="BE804" s="26"/>
      <c r="BF804" s="26"/>
      <c r="BG804" s="26"/>
      <c r="BH804" s="26"/>
      <c r="BI804" s="26"/>
      <c r="BJ804" s="26"/>
      <c r="BK804" s="26"/>
      <c r="BL804" s="26"/>
      <c r="BS804" s="20"/>
      <c r="BT804" s="26"/>
      <c r="BV804" s="381"/>
      <c r="BW804" s="229"/>
    </row>
    <row r="805" spans="33:75" x14ac:dyDescent="0.2">
      <c r="AG805" s="294"/>
      <c r="AH805" s="294"/>
      <c r="AI805" s="294"/>
      <c r="AJ805" s="26"/>
      <c r="AK805" s="374"/>
      <c r="AL805" s="374"/>
      <c r="AO805" s="294"/>
      <c r="AR805" s="374"/>
      <c r="AZ805" s="374"/>
      <c r="BE805" s="26"/>
      <c r="BF805" s="26"/>
      <c r="BG805" s="26"/>
      <c r="BH805" s="26"/>
      <c r="BI805" s="26"/>
      <c r="BJ805" s="26"/>
      <c r="BK805" s="26"/>
      <c r="BL805" s="26"/>
      <c r="BS805" s="20"/>
      <c r="BT805" s="26"/>
      <c r="BV805" s="381"/>
      <c r="BW805" s="229"/>
    </row>
    <row r="806" spans="33:75" x14ac:dyDescent="0.2">
      <c r="AG806" s="294"/>
      <c r="AH806" s="294"/>
      <c r="AI806" s="294"/>
      <c r="AJ806" s="26"/>
      <c r="AK806" s="374"/>
      <c r="AL806" s="374"/>
      <c r="AO806" s="294"/>
      <c r="AR806" s="374"/>
      <c r="AZ806" s="374"/>
      <c r="BE806" s="26"/>
      <c r="BF806" s="26"/>
      <c r="BG806" s="26"/>
      <c r="BH806" s="26"/>
      <c r="BI806" s="26"/>
      <c r="BJ806" s="26"/>
      <c r="BK806" s="26"/>
      <c r="BL806" s="26"/>
      <c r="BS806" s="20"/>
      <c r="BT806" s="26"/>
      <c r="BV806" s="381"/>
      <c r="BW806" s="229"/>
    </row>
    <row r="807" spans="33:75" x14ac:dyDescent="0.2">
      <c r="AG807" s="294"/>
      <c r="AH807" s="294"/>
      <c r="AI807" s="294"/>
      <c r="AJ807" s="26"/>
      <c r="AK807" s="374"/>
      <c r="AL807" s="374"/>
      <c r="AO807" s="294"/>
      <c r="AR807" s="374"/>
      <c r="AZ807" s="374"/>
      <c r="BE807" s="26"/>
      <c r="BF807" s="26"/>
      <c r="BG807" s="26"/>
      <c r="BH807" s="26"/>
      <c r="BI807" s="26"/>
      <c r="BJ807" s="26"/>
      <c r="BK807" s="26"/>
      <c r="BL807" s="26"/>
      <c r="BS807" s="20"/>
      <c r="BT807" s="26"/>
      <c r="BV807" s="381"/>
      <c r="BW807" s="229"/>
    </row>
    <row r="808" spans="33:75" x14ac:dyDescent="0.2">
      <c r="AG808" s="294"/>
      <c r="AH808" s="294"/>
      <c r="AI808" s="294"/>
      <c r="AJ808" s="26"/>
      <c r="AK808" s="374"/>
      <c r="AL808" s="374"/>
      <c r="AO808" s="294"/>
      <c r="AR808" s="374"/>
      <c r="AZ808" s="374"/>
      <c r="BE808" s="26"/>
      <c r="BF808" s="26"/>
      <c r="BG808" s="26"/>
      <c r="BH808" s="26"/>
      <c r="BI808" s="26"/>
      <c r="BJ808" s="26"/>
      <c r="BK808" s="26"/>
      <c r="BL808" s="26"/>
      <c r="BS808" s="20"/>
      <c r="BT808" s="26"/>
      <c r="BV808" s="381"/>
      <c r="BW808" s="229"/>
    </row>
    <row r="809" spans="33:75" x14ac:dyDescent="0.2">
      <c r="AG809" s="294"/>
      <c r="AH809" s="294"/>
      <c r="AI809" s="294"/>
      <c r="AJ809" s="26"/>
      <c r="AK809" s="374"/>
      <c r="AL809" s="374"/>
      <c r="AO809" s="294"/>
      <c r="AR809" s="374"/>
      <c r="AZ809" s="374"/>
      <c r="BE809" s="26"/>
      <c r="BF809" s="26"/>
      <c r="BG809" s="26"/>
      <c r="BH809" s="26"/>
      <c r="BI809" s="26"/>
      <c r="BJ809" s="26"/>
      <c r="BK809" s="26"/>
      <c r="BL809" s="26"/>
      <c r="BS809" s="20"/>
      <c r="BT809" s="26"/>
      <c r="BV809" s="381"/>
      <c r="BW809" s="229"/>
    </row>
    <row r="810" spans="33:75" x14ac:dyDescent="0.2">
      <c r="AG810" s="294"/>
      <c r="AH810" s="294"/>
      <c r="AI810" s="294"/>
      <c r="AJ810" s="26"/>
      <c r="AK810" s="374"/>
      <c r="AL810" s="374"/>
      <c r="AO810" s="294"/>
      <c r="AR810" s="374"/>
      <c r="AZ810" s="374"/>
      <c r="BE810" s="26"/>
      <c r="BF810" s="26"/>
      <c r="BG810" s="26"/>
      <c r="BH810" s="26"/>
      <c r="BI810" s="26"/>
      <c r="BJ810" s="26"/>
      <c r="BK810" s="26"/>
      <c r="BL810" s="26"/>
      <c r="BS810" s="20"/>
      <c r="BT810" s="26"/>
      <c r="BV810" s="381"/>
      <c r="BW810" s="229"/>
    </row>
    <row r="811" spans="33:75" x14ac:dyDescent="0.2">
      <c r="AG811" s="294"/>
      <c r="AH811" s="294"/>
      <c r="AI811" s="294"/>
      <c r="AJ811" s="26"/>
      <c r="AK811" s="374"/>
      <c r="AL811" s="374"/>
      <c r="AO811" s="294"/>
      <c r="AR811" s="374"/>
      <c r="AZ811" s="374"/>
      <c r="BE811" s="26"/>
      <c r="BF811" s="26"/>
      <c r="BG811" s="26"/>
      <c r="BH811" s="26"/>
      <c r="BI811" s="26"/>
      <c r="BJ811" s="26"/>
      <c r="BK811" s="26"/>
      <c r="BL811" s="26"/>
      <c r="BS811" s="20"/>
      <c r="BT811" s="26"/>
      <c r="BV811" s="381"/>
      <c r="BW811" s="229"/>
    </row>
    <row r="812" spans="33:75" x14ac:dyDescent="0.2">
      <c r="AG812" s="294"/>
      <c r="AH812" s="294"/>
      <c r="AI812" s="294"/>
      <c r="AJ812" s="26"/>
      <c r="AK812" s="374"/>
      <c r="AL812" s="374"/>
      <c r="AO812" s="294"/>
      <c r="AR812" s="374"/>
      <c r="AZ812" s="374"/>
      <c r="BE812" s="26"/>
      <c r="BF812" s="26"/>
      <c r="BG812" s="26"/>
      <c r="BH812" s="26"/>
      <c r="BI812" s="26"/>
      <c r="BJ812" s="26"/>
      <c r="BK812" s="26"/>
      <c r="BL812" s="26"/>
      <c r="BS812" s="20"/>
      <c r="BT812" s="26"/>
      <c r="BV812" s="381"/>
      <c r="BW812" s="229"/>
    </row>
    <row r="813" spans="33:75" x14ac:dyDescent="0.2">
      <c r="AG813" s="294"/>
      <c r="AH813" s="294"/>
      <c r="AI813" s="294"/>
      <c r="AJ813" s="26"/>
      <c r="AK813" s="374"/>
      <c r="AL813" s="374"/>
      <c r="AO813" s="294"/>
      <c r="AR813" s="374"/>
      <c r="AZ813" s="374"/>
      <c r="BE813" s="26"/>
      <c r="BF813" s="26"/>
      <c r="BG813" s="26"/>
      <c r="BH813" s="26"/>
      <c r="BI813" s="26"/>
      <c r="BJ813" s="26"/>
      <c r="BK813" s="26"/>
      <c r="BL813" s="26"/>
      <c r="BS813" s="20"/>
      <c r="BT813" s="26"/>
      <c r="BV813" s="381"/>
      <c r="BW813" s="229"/>
    </row>
    <row r="814" spans="33:75" x14ac:dyDescent="0.2">
      <c r="AG814" s="294"/>
      <c r="AH814" s="294"/>
      <c r="AI814" s="294"/>
      <c r="AJ814" s="26"/>
      <c r="AK814" s="374"/>
      <c r="AL814" s="374"/>
      <c r="AO814" s="294"/>
      <c r="AR814" s="374"/>
      <c r="AZ814" s="374"/>
      <c r="BE814" s="26"/>
      <c r="BF814" s="26"/>
      <c r="BG814" s="26"/>
      <c r="BH814" s="26"/>
      <c r="BI814" s="26"/>
      <c r="BJ814" s="26"/>
      <c r="BK814" s="26"/>
      <c r="BL814" s="26"/>
      <c r="BS814" s="20"/>
      <c r="BT814" s="26"/>
      <c r="BV814" s="381"/>
      <c r="BW814" s="229"/>
    </row>
    <row r="815" spans="33:75" x14ac:dyDescent="0.2">
      <c r="AG815" s="294"/>
      <c r="AH815" s="294"/>
      <c r="AI815" s="294"/>
      <c r="AJ815" s="26"/>
      <c r="AK815" s="374"/>
      <c r="AL815" s="374"/>
      <c r="AO815" s="294"/>
      <c r="AR815" s="374"/>
      <c r="AZ815" s="374"/>
      <c r="BE815" s="26"/>
      <c r="BF815" s="26"/>
      <c r="BG815" s="26"/>
      <c r="BH815" s="26"/>
      <c r="BI815" s="26"/>
      <c r="BJ815" s="26"/>
      <c r="BK815" s="26"/>
      <c r="BL815" s="26"/>
      <c r="BS815" s="20"/>
      <c r="BT815" s="26"/>
      <c r="BV815" s="381"/>
      <c r="BW815" s="229"/>
    </row>
    <row r="816" spans="33:75" x14ac:dyDescent="0.2">
      <c r="AG816" s="294"/>
      <c r="AH816" s="294"/>
      <c r="AI816" s="294"/>
      <c r="AJ816" s="26"/>
      <c r="AK816" s="374"/>
      <c r="AL816" s="374"/>
      <c r="AO816" s="294"/>
      <c r="AR816" s="374"/>
      <c r="AZ816" s="374"/>
      <c r="BE816" s="26"/>
      <c r="BF816" s="26"/>
      <c r="BG816" s="26"/>
      <c r="BH816" s="26"/>
      <c r="BI816" s="26"/>
      <c r="BJ816" s="26"/>
      <c r="BK816" s="26"/>
      <c r="BL816" s="26"/>
      <c r="BS816" s="20"/>
      <c r="BT816" s="26"/>
      <c r="BV816" s="381"/>
      <c r="BW816" s="229"/>
    </row>
    <row r="817" spans="33:75" x14ac:dyDescent="0.2">
      <c r="AG817" s="294"/>
      <c r="AH817" s="294"/>
      <c r="AI817" s="294"/>
      <c r="AJ817" s="26"/>
      <c r="AK817" s="374"/>
      <c r="AL817" s="374"/>
      <c r="AO817" s="294"/>
      <c r="AR817" s="374"/>
      <c r="AZ817" s="374"/>
      <c r="BE817" s="26"/>
      <c r="BF817" s="26"/>
      <c r="BG817" s="26"/>
      <c r="BH817" s="26"/>
      <c r="BI817" s="26"/>
      <c r="BJ817" s="26"/>
      <c r="BK817" s="26"/>
      <c r="BL817" s="26"/>
      <c r="BS817" s="20"/>
      <c r="BT817" s="26"/>
      <c r="BV817" s="381"/>
      <c r="BW817" s="229"/>
    </row>
    <row r="818" spans="33:75" x14ac:dyDescent="0.2">
      <c r="AG818" s="294"/>
      <c r="AH818" s="294"/>
      <c r="AI818" s="294"/>
      <c r="AJ818" s="26"/>
      <c r="AK818" s="374"/>
      <c r="AL818" s="374"/>
      <c r="AO818" s="294"/>
      <c r="AR818" s="374"/>
      <c r="AZ818" s="374"/>
      <c r="BE818" s="26"/>
      <c r="BF818" s="26"/>
      <c r="BG818" s="26"/>
      <c r="BH818" s="26"/>
      <c r="BI818" s="26"/>
      <c r="BJ818" s="26"/>
      <c r="BK818" s="26"/>
      <c r="BL818" s="26"/>
      <c r="BS818" s="20"/>
      <c r="BT818" s="26"/>
      <c r="BV818" s="381"/>
      <c r="BW818" s="229"/>
    </row>
    <row r="819" spans="33:75" x14ac:dyDescent="0.2">
      <c r="AG819" s="294"/>
      <c r="AH819" s="294"/>
      <c r="AI819" s="294"/>
      <c r="AJ819" s="26"/>
      <c r="AK819" s="374"/>
      <c r="AL819" s="374"/>
      <c r="AO819" s="294"/>
      <c r="AR819" s="374"/>
      <c r="AZ819" s="374"/>
      <c r="BE819" s="26"/>
      <c r="BF819" s="26"/>
      <c r="BG819" s="26"/>
      <c r="BH819" s="26"/>
      <c r="BI819" s="26"/>
      <c r="BJ819" s="26"/>
      <c r="BK819" s="26"/>
      <c r="BL819" s="26"/>
      <c r="BS819" s="20"/>
      <c r="BT819" s="26"/>
      <c r="BV819" s="381"/>
      <c r="BW819" s="229"/>
    </row>
    <row r="820" spans="33:75" x14ac:dyDescent="0.2">
      <c r="AG820" s="294"/>
      <c r="AH820" s="294"/>
      <c r="AI820" s="294"/>
      <c r="AJ820" s="26"/>
      <c r="AK820" s="374"/>
      <c r="AL820" s="374"/>
      <c r="AO820" s="294"/>
      <c r="AR820" s="374"/>
      <c r="AZ820" s="374"/>
      <c r="BE820" s="26"/>
      <c r="BF820" s="26"/>
      <c r="BG820" s="26"/>
      <c r="BH820" s="26"/>
      <c r="BI820" s="26"/>
      <c r="BJ820" s="26"/>
      <c r="BK820" s="26"/>
      <c r="BL820" s="26"/>
      <c r="BS820" s="20"/>
      <c r="BT820" s="26"/>
      <c r="BV820" s="381"/>
      <c r="BW820" s="229"/>
    </row>
    <row r="821" spans="33:75" x14ac:dyDescent="0.2">
      <c r="AG821" s="294"/>
      <c r="AH821" s="294"/>
      <c r="AI821" s="294"/>
      <c r="AJ821" s="26"/>
      <c r="AK821" s="374"/>
      <c r="AL821" s="374"/>
      <c r="AO821" s="294"/>
      <c r="AR821" s="374"/>
      <c r="AZ821" s="374"/>
      <c r="BE821" s="26"/>
      <c r="BF821" s="26"/>
      <c r="BG821" s="26"/>
      <c r="BH821" s="26"/>
      <c r="BI821" s="26"/>
      <c r="BJ821" s="26"/>
      <c r="BK821" s="26"/>
      <c r="BL821" s="26"/>
      <c r="BS821" s="20"/>
      <c r="BT821" s="26"/>
      <c r="BV821" s="381"/>
      <c r="BW821" s="229"/>
    </row>
    <row r="822" spans="33:75" x14ac:dyDescent="0.2">
      <c r="AG822" s="294"/>
      <c r="AH822" s="294"/>
      <c r="AI822" s="294"/>
      <c r="AJ822" s="26"/>
      <c r="AK822" s="374"/>
      <c r="AL822" s="374"/>
      <c r="AO822" s="294"/>
      <c r="AR822" s="374"/>
      <c r="AZ822" s="374"/>
      <c r="BE822" s="26"/>
      <c r="BF822" s="26"/>
      <c r="BG822" s="26"/>
      <c r="BH822" s="26"/>
      <c r="BI822" s="26"/>
      <c r="BJ822" s="26"/>
      <c r="BK822" s="26"/>
      <c r="BL822" s="26"/>
      <c r="BS822" s="20"/>
      <c r="BT822" s="26"/>
      <c r="BV822" s="381"/>
      <c r="BW822" s="229"/>
    </row>
    <row r="823" spans="33:75" x14ac:dyDescent="0.2">
      <c r="AG823" s="294"/>
      <c r="AH823" s="294"/>
      <c r="AI823" s="294"/>
      <c r="AJ823" s="26"/>
      <c r="AK823" s="374"/>
      <c r="AL823" s="374"/>
      <c r="AO823" s="294"/>
      <c r="AR823" s="374"/>
      <c r="AZ823" s="374"/>
      <c r="BE823" s="26"/>
      <c r="BF823" s="26"/>
      <c r="BG823" s="26"/>
      <c r="BH823" s="26"/>
      <c r="BI823" s="26"/>
      <c r="BJ823" s="26"/>
      <c r="BK823" s="26"/>
      <c r="BL823" s="26"/>
      <c r="BS823" s="20"/>
      <c r="BT823" s="26"/>
      <c r="BV823" s="381"/>
      <c r="BW823" s="229"/>
    </row>
    <row r="824" spans="33:75" x14ac:dyDescent="0.2">
      <c r="AG824" s="294"/>
      <c r="AH824" s="294"/>
      <c r="AI824" s="294"/>
      <c r="AJ824" s="26"/>
      <c r="AK824" s="374"/>
      <c r="AL824" s="374"/>
      <c r="AO824" s="294"/>
      <c r="AR824" s="374"/>
      <c r="AZ824" s="374"/>
      <c r="BE824" s="26"/>
      <c r="BF824" s="26"/>
      <c r="BG824" s="26"/>
      <c r="BH824" s="26"/>
      <c r="BI824" s="26"/>
      <c r="BJ824" s="26"/>
      <c r="BK824" s="26"/>
      <c r="BL824" s="26"/>
      <c r="BS824" s="20"/>
      <c r="BT824" s="26"/>
      <c r="BV824" s="381"/>
      <c r="BW824" s="229"/>
    </row>
    <row r="825" spans="33:75" x14ac:dyDescent="0.2">
      <c r="AG825" s="294"/>
      <c r="AH825" s="294"/>
      <c r="AI825" s="294"/>
      <c r="AJ825" s="26"/>
      <c r="AK825" s="374"/>
      <c r="AL825" s="374"/>
      <c r="AO825" s="294"/>
      <c r="AR825" s="374"/>
      <c r="AZ825" s="374"/>
      <c r="BE825" s="26"/>
      <c r="BF825" s="26"/>
      <c r="BG825" s="26"/>
      <c r="BH825" s="26"/>
      <c r="BI825" s="26"/>
      <c r="BJ825" s="26"/>
      <c r="BK825" s="26"/>
      <c r="BL825" s="26"/>
      <c r="BS825" s="20"/>
      <c r="BT825" s="26"/>
      <c r="BV825" s="381"/>
      <c r="BW825" s="229"/>
    </row>
    <row r="826" spans="33:75" x14ac:dyDescent="0.2">
      <c r="AG826" s="294"/>
      <c r="AH826" s="294"/>
      <c r="AI826" s="294"/>
      <c r="AJ826" s="26"/>
      <c r="AK826" s="374"/>
      <c r="AL826" s="374"/>
      <c r="AO826" s="294"/>
      <c r="AR826" s="374"/>
      <c r="AZ826" s="374"/>
      <c r="BE826" s="26"/>
      <c r="BF826" s="26"/>
      <c r="BG826" s="26"/>
      <c r="BH826" s="26"/>
      <c r="BI826" s="26"/>
      <c r="BJ826" s="26"/>
      <c r="BK826" s="26"/>
      <c r="BL826" s="26"/>
      <c r="BS826" s="20"/>
      <c r="BT826" s="26"/>
      <c r="BV826" s="381"/>
      <c r="BW826" s="229"/>
    </row>
    <row r="827" spans="33:75" x14ac:dyDescent="0.2">
      <c r="AG827" s="294"/>
      <c r="AH827" s="294"/>
      <c r="AI827" s="294"/>
      <c r="AJ827" s="26"/>
      <c r="AK827" s="374"/>
      <c r="AL827" s="374"/>
      <c r="AO827" s="294"/>
      <c r="AR827" s="374"/>
      <c r="AZ827" s="374"/>
      <c r="BE827" s="26"/>
      <c r="BF827" s="26"/>
      <c r="BG827" s="26"/>
      <c r="BH827" s="26"/>
      <c r="BI827" s="26"/>
      <c r="BJ827" s="26"/>
      <c r="BK827" s="26"/>
      <c r="BL827" s="26"/>
      <c r="BS827" s="20"/>
      <c r="BT827" s="26"/>
      <c r="BV827" s="381"/>
      <c r="BW827" s="229"/>
    </row>
    <row r="828" spans="33:75" x14ac:dyDescent="0.2">
      <c r="AG828" s="294"/>
      <c r="AH828" s="294"/>
      <c r="AI828" s="294"/>
      <c r="AJ828" s="26"/>
      <c r="AK828" s="374"/>
      <c r="AL828" s="374"/>
      <c r="AO828" s="294"/>
      <c r="AR828" s="374"/>
      <c r="AZ828" s="374"/>
      <c r="BE828" s="26"/>
      <c r="BF828" s="26"/>
      <c r="BG828" s="26"/>
      <c r="BH828" s="26"/>
      <c r="BI828" s="26"/>
      <c r="BJ828" s="26"/>
      <c r="BK828" s="26"/>
      <c r="BL828" s="26"/>
      <c r="BS828" s="20"/>
      <c r="BT828" s="26"/>
      <c r="BV828" s="381"/>
      <c r="BW828" s="229"/>
    </row>
    <row r="829" spans="33:75" x14ac:dyDescent="0.2">
      <c r="AG829" s="294"/>
      <c r="AH829" s="294"/>
      <c r="AI829" s="294"/>
      <c r="AJ829" s="26"/>
      <c r="AK829" s="374"/>
      <c r="AL829" s="374"/>
      <c r="AO829" s="294"/>
      <c r="AR829" s="374"/>
      <c r="AZ829" s="374"/>
      <c r="BE829" s="26"/>
      <c r="BF829" s="26"/>
      <c r="BG829" s="26"/>
      <c r="BH829" s="26"/>
      <c r="BI829" s="26"/>
      <c r="BJ829" s="26"/>
      <c r="BK829" s="26"/>
      <c r="BL829" s="26"/>
      <c r="BS829" s="20"/>
      <c r="BT829" s="26"/>
      <c r="BV829" s="381"/>
      <c r="BW829" s="229"/>
    </row>
    <row r="830" spans="33:75" x14ac:dyDescent="0.2">
      <c r="AG830" s="294"/>
      <c r="AH830" s="294"/>
      <c r="AI830" s="294"/>
      <c r="AJ830" s="26"/>
      <c r="AK830" s="374"/>
      <c r="AL830" s="374"/>
      <c r="AO830" s="294"/>
      <c r="AR830" s="374"/>
      <c r="AZ830" s="374"/>
      <c r="BE830" s="26"/>
      <c r="BF830" s="26"/>
      <c r="BG830" s="26"/>
      <c r="BH830" s="26"/>
      <c r="BI830" s="26"/>
      <c r="BJ830" s="26"/>
      <c r="BK830" s="26"/>
      <c r="BL830" s="26"/>
      <c r="BS830" s="20"/>
      <c r="BT830" s="26"/>
      <c r="BV830" s="381"/>
      <c r="BW830" s="229"/>
    </row>
    <row r="831" spans="33:75" x14ac:dyDescent="0.2">
      <c r="AG831" s="294"/>
      <c r="AH831" s="294"/>
      <c r="AI831" s="294"/>
      <c r="AJ831" s="26"/>
      <c r="AK831" s="374"/>
      <c r="AL831" s="374"/>
      <c r="AO831" s="294"/>
      <c r="AR831" s="374"/>
      <c r="AZ831" s="374"/>
      <c r="BE831" s="26"/>
      <c r="BF831" s="26"/>
      <c r="BG831" s="26"/>
      <c r="BH831" s="26"/>
      <c r="BI831" s="26"/>
      <c r="BJ831" s="26"/>
      <c r="BK831" s="26"/>
      <c r="BL831" s="26"/>
      <c r="BS831" s="20"/>
      <c r="BT831" s="26"/>
      <c r="BV831" s="381"/>
      <c r="BW831" s="229"/>
    </row>
    <row r="832" spans="33:75" x14ac:dyDescent="0.2">
      <c r="AG832" s="294"/>
      <c r="AH832" s="294"/>
      <c r="AI832" s="294"/>
      <c r="AJ832" s="26"/>
      <c r="AK832" s="374"/>
      <c r="AL832" s="374"/>
      <c r="AO832" s="294"/>
      <c r="AR832" s="374"/>
      <c r="AZ832" s="374"/>
      <c r="BE832" s="26"/>
      <c r="BF832" s="26"/>
      <c r="BG832" s="26"/>
      <c r="BH832" s="26"/>
      <c r="BI832" s="26"/>
      <c r="BJ832" s="26"/>
      <c r="BK832" s="26"/>
      <c r="BL832" s="26"/>
      <c r="BS832" s="20"/>
      <c r="BT832" s="26"/>
      <c r="BV832" s="381"/>
      <c r="BW832" s="229"/>
    </row>
    <row r="833" spans="33:75" x14ac:dyDescent="0.2">
      <c r="AG833" s="294"/>
      <c r="AH833" s="294"/>
      <c r="AI833" s="294"/>
      <c r="AJ833" s="26"/>
      <c r="AK833" s="374"/>
      <c r="AL833" s="374"/>
      <c r="AO833" s="294"/>
      <c r="AR833" s="374"/>
      <c r="AZ833" s="374"/>
      <c r="BE833" s="26"/>
      <c r="BF833" s="26"/>
      <c r="BG833" s="26"/>
      <c r="BH833" s="26"/>
      <c r="BI833" s="26"/>
      <c r="BJ833" s="26"/>
      <c r="BK833" s="26"/>
      <c r="BL833" s="26"/>
      <c r="BS833" s="20"/>
      <c r="BT833" s="26"/>
      <c r="BV833" s="381"/>
      <c r="BW833" s="229"/>
    </row>
    <row r="834" spans="33:75" x14ac:dyDescent="0.2">
      <c r="AG834" s="294"/>
      <c r="AH834" s="294"/>
      <c r="AI834" s="294"/>
      <c r="AJ834" s="26"/>
      <c r="AK834" s="374"/>
      <c r="AL834" s="374"/>
      <c r="AO834" s="294"/>
      <c r="AR834" s="374"/>
      <c r="AZ834" s="374"/>
      <c r="BE834" s="26"/>
      <c r="BF834" s="26"/>
      <c r="BG834" s="26"/>
      <c r="BH834" s="26"/>
      <c r="BI834" s="26"/>
      <c r="BJ834" s="26"/>
      <c r="BK834" s="26"/>
      <c r="BL834" s="26"/>
      <c r="BS834" s="20"/>
      <c r="BT834" s="26"/>
      <c r="BV834" s="381"/>
      <c r="BW834" s="229"/>
    </row>
    <row r="835" spans="33:75" x14ac:dyDescent="0.2">
      <c r="AG835" s="294"/>
      <c r="AH835" s="294"/>
      <c r="AI835" s="294"/>
      <c r="AJ835" s="26"/>
      <c r="AK835" s="374"/>
      <c r="AL835" s="374"/>
      <c r="AO835" s="294"/>
      <c r="AR835" s="374"/>
      <c r="AZ835" s="374"/>
      <c r="BE835" s="26"/>
      <c r="BF835" s="26"/>
      <c r="BG835" s="26"/>
      <c r="BH835" s="26"/>
      <c r="BI835" s="26"/>
      <c r="BJ835" s="26"/>
      <c r="BK835" s="26"/>
      <c r="BL835" s="26"/>
      <c r="BS835" s="20"/>
      <c r="BT835" s="26"/>
      <c r="BV835" s="381"/>
      <c r="BW835" s="229"/>
    </row>
    <row r="836" spans="33:75" x14ac:dyDescent="0.2">
      <c r="AG836" s="294"/>
      <c r="AH836" s="294"/>
      <c r="AI836" s="294"/>
      <c r="AJ836" s="26"/>
      <c r="AK836" s="374"/>
      <c r="AL836" s="374"/>
      <c r="AO836" s="294"/>
      <c r="AR836" s="374"/>
      <c r="AZ836" s="374"/>
      <c r="BE836" s="26"/>
      <c r="BF836" s="26"/>
      <c r="BG836" s="26"/>
      <c r="BH836" s="26"/>
      <c r="BI836" s="26"/>
      <c r="BJ836" s="26"/>
      <c r="BK836" s="26"/>
      <c r="BL836" s="26"/>
      <c r="BS836" s="20"/>
      <c r="BT836" s="26"/>
      <c r="BV836" s="381"/>
      <c r="BW836" s="229"/>
    </row>
    <row r="837" spans="33:75" x14ac:dyDescent="0.2">
      <c r="AG837" s="294"/>
      <c r="AH837" s="294"/>
      <c r="AI837" s="294"/>
      <c r="AJ837" s="26"/>
      <c r="AK837" s="374"/>
      <c r="AL837" s="374"/>
      <c r="AO837" s="294"/>
      <c r="AR837" s="374"/>
      <c r="AZ837" s="374"/>
      <c r="BE837" s="26"/>
      <c r="BF837" s="26"/>
      <c r="BG837" s="26"/>
      <c r="BH837" s="26"/>
      <c r="BI837" s="26"/>
      <c r="BJ837" s="26"/>
      <c r="BK837" s="26"/>
      <c r="BL837" s="26"/>
      <c r="BS837" s="20"/>
      <c r="BT837" s="26"/>
      <c r="BV837" s="381"/>
      <c r="BW837" s="229"/>
    </row>
    <row r="838" spans="33:75" x14ac:dyDescent="0.2">
      <c r="AG838" s="294"/>
      <c r="AH838" s="294"/>
      <c r="AI838" s="294"/>
      <c r="AJ838" s="26"/>
      <c r="AK838" s="374"/>
      <c r="AL838" s="374"/>
      <c r="AO838" s="294"/>
      <c r="AR838" s="374"/>
      <c r="AZ838" s="374"/>
      <c r="BE838" s="26"/>
      <c r="BF838" s="26"/>
      <c r="BG838" s="26"/>
      <c r="BH838" s="26"/>
      <c r="BI838" s="26"/>
      <c r="BJ838" s="26"/>
      <c r="BK838" s="26"/>
      <c r="BL838" s="26"/>
      <c r="BS838" s="20"/>
      <c r="BT838" s="26"/>
      <c r="BV838" s="381"/>
      <c r="BW838" s="229"/>
    </row>
    <row r="839" spans="33:75" x14ac:dyDescent="0.2">
      <c r="AG839" s="294"/>
      <c r="AH839" s="294"/>
      <c r="AI839" s="294"/>
      <c r="AJ839" s="26"/>
      <c r="AK839" s="374"/>
      <c r="AL839" s="374"/>
      <c r="AO839" s="294"/>
      <c r="AR839" s="374"/>
      <c r="AZ839" s="374"/>
      <c r="BE839" s="26"/>
      <c r="BF839" s="26"/>
      <c r="BG839" s="26"/>
      <c r="BH839" s="26"/>
      <c r="BI839" s="26"/>
      <c r="BJ839" s="26"/>
      <c r="BK839" s="26"/>
      <c r="BL839" s="26"/>
      <c r="BS839" s="20"/>
      <c r="BT839" s="26"/>
      <c r="BV839" s="381"/>
      <c r="BW839" s="229"/>
    </row>
    <row r="840" spans="33:75" x14ac:dyDescent="0.2">
      <c r="AG840" s="294"/>
      <c r="AH840" s="294"/>
      <c r="AI840" s="294"/>
      <c r="AJ840" s="26"/>
      <c r="AK840" s="374"/>
      <c r="AL840" s="374"/>
      <c r="AO840" s="294"/>
      <c r="AR840" s="374"/>
      <c r="AZ840" s="374"/>
      <c r="BE840" s="26"/>
      <c r="BF840" s="26"/>
      <c r="BG840" s="26"/>
      <c r="BH840" s="26"/>
      <c r="BI840" s="26"/>
      <c r="BJ840" s="26"/>
      <c r="BK840" s="26"/>
      <c r="BL840" s="26"/>
      <c r="BS840" s="20"/>
      <c r="BT840" s="26"/>
      <c r="BV840" s="381"/>
      <c r="BW840" s="229"/>
    </row>
    <row r="841" spans="33:75" x14ac:dyDescent="0.2">
      <c r="AG841" s="294"/>
      <c r="AH841" s="294"/>
      <c r="AI841" s="294"/>
      <c r="AJ841" s="26"/>
      <c r="AK841" s="374"/>
      <c r="AL841" s="374"/>
      <c r="AO841" s="294"/>
      <c r="AR841" s="374"/>
      <c r="AZ841" s="374"/>
      <c r="BE841" s="26"/>
      <c r="BF841" s="26"/>
      <c r="BG841" s="26"/>
      <c r="BH841" s="26"/>
      <c r="BI841" s="26"/>
      <c r="BJ841" s="26"/>
      <c r="BK841" s="26"/>
      <c r="BL841" s="26"/>
      <c r="BS841" s="20"/>
      <c r="BT841" s="26"/>
      <c r="BV841" s="381"/>
      <c r="BW841" s="229"/>
    </row>
    <row r="842" spans="33:75" x14ac:dyDescent="0.2">
      <c r="AG842" s="294"/>
      <c r="AH842" s="294"/>
      <c r="AI842" s="294"/>
      <c r="AJ842" s="26"/>
      <c r="AK842" s="374"/>
      <c r="AL842" s="374"/>
      <c r="AO842" s="294"/>
      <c r="AR842" s="374"/>
      <c r="AZ842" s="374"/>
      <c r="BE842" s="26"/>
      <c r="BF842" s="26"/>
      <c r="BG842" s="26"/>
      <c r="BH842" s="26"/>
      <c r="BI842" s="26"/>
      <c r="BJ842" s="26"/>
      <c r="BK842" s="26"/>
      <c r="BL842" s="26"/>
      <c r="BS842" s="20"/>
      <c r="BT842" s="26"/>
      <c r="BV842" s="381"/>
      <c r="BW842" s="229"/>
    </row>
    <row r="843" spans="33:75" x14ac:dyDescent="0.2">
      <c r="AG843" s="294"/>
      <c r="AH843" s="294"/>
      <c r="AI843" s="294"/>
      <c r="AJ843" s="26"/>
      <c r="AK843" s="374"/>
      <c r="AL843" s="374"/>
      <c r="AO843" s="294"/>
      <c r="AR843" s="374"/>
      <c r="AZ843" s="374"/>
      <c r="BE843" s="26"/>
      <c r="BF843" s="26"/>
      <c r="BG843" s="26"/>
      <c r="BH843" s="26"/>
      <c r="BI843" s="26"/>
      <c r="BJ843" s="26"/>
      <c r="BK843" s="26"/>
      <c r="BL843" s="26"/>
      <c r="BS843" s="20"/>
      <c r="BT843" s="26"/>
      <c r="BV843" s="381"/>
      <c r="BW843" s="229"/>
    </row>
    <row r="844" spans="33:75" x14ac:dyDescent="0.2">
      <c r="AG844" s="294"/>
      <c r="AH844" s="294"/>
      <c r="AI844" s="294"/>
      <c r="AJ844" s="26"/>
      <c r="AK844" s="374"/>
      <c r="AL844" s="374"/>
      <c r="AO844" s="294"/>
      <c r="AR844" s="374"/>
      <c r="AZ844" s="374"/>
      <c r="BE844" s="26"/>
      <c r="BF844" s="26"/>
      <c r="BG844" s="26"/>
      <c r="BH844" s="26"/>
      <c r="BI844" s="26"/>
      <c r="BJ844" s="26"/>
      <c r="BK844" s="26"/>
      <c r="BL844" s="26"/>
      <c r="BS844" s="20"/>
      <c r="BT844" s="26"/>
      <c r="BV844" s="381"/>
      <c r="BW844" s="229"/>
    </row>
    <row r="845" spans="33:75" x14ac:dyDescent="0.2">
      <c r="AG845" s="294"/>
      <c r="AH845" s="294"/>
      <c r="AI845" s="294"/>
      <c r="AJ845" s="26"/>
      <c r="AK845" s="374"/>
      <c r="AL845" s="374"/>
      <c r="AO845" s="294"/>
      <c r="AR845" s="374"/>
      <c r="AZ845" s="374"/>
      <c r="BE845" s="26"/>
      <c r="BF845" s="26"/>
      <c r="BG845" s="26"/>
      <c r="BH845" s="26"/>
      <c r="BI845" s="26"/>
      <c r="BJ845" s="26"/>
      <c r="BK845" s="26"/>
      <c r="BL845" s="26"/>
      <c r="BS845" s="20"/>
      <c r="BT845" s="26"/>
      <c r="BV845" s="381"/>
      <c r="BW845" s="229"/>
    </row>
    <row r="846" spans="33:75" x14ac:dyDescent="0.2">
      <c r="AG846" s="294"/>
      <c r="AH846" s="294"/>
      <c r="AI846" s="294"/>
      <c r="AJ846" s="26"/>
      <c r="AK846" s="374"/>
      <c r="AL846" s="374"/>
      <c r="AO846" s="294"/>
      <c r="AR846" s="374"/>
      <c r="AZ846" s="374"/>
      <c r="BE846" s="26"/>
      <c r="BF846" s="26"/>
      <c r="BG846" s="26"/>
      <c r="BH846" s="26"/>
      <c r="BI846" s="26"/>
      <c r="BJ846" s="26"/>
      <c r="BK846" s="26"/>
      <c r="BL846" s="26"/>
      <c r="BS846" s="20"/>
      <c r="BT846" s="26"/>
      <c r="BV846" s="381"/>
      <c r="BW846" s="229"/>
    </row>
    <row r="847" spans="33:75" x14ac:dyDescent="0.2">
      <c r="AG847" s="294"/>
      <c r="AH847" s="294"/>
      <c r="AI847" s="294"/>
      <c r="AJ847" s="26"/>
      <c r="AK847" s="374"/>
      <c r="AL847" s="374"/>
      <c r="AO847" s="294"/>
      <c r="AR847" s="374"/>
      <c r="AZ847" s="374"/>
      <c r="BE847" s="26"/>
      <c r="BF847" s="26"/>
      <c r="BG847" s="26"/>
      <c r="BH847" s="26"/>
      <c r="BI847" s="26"/>
      <c r="BJ847" s="26"/>
      <c r="BK847" s="26"/>
      <c r="BL847" s="26"/>
      <c r="BS847" s="20"/>
      <c r="BT847" s="26"/>
      <c r="BV847" s="381"/>
      <c r="BW847" s="229"/>
    </row>
    <row r="848" spans="33:75" x14ac:dyDescent="0.2">
      <c r="AG848" s="294"/>
      <c r="AH848" s="294"/>
      <c r="AI848" s="294"/>
      <c r="AJ848" s="26"/>
      <c r="AK848" s="374"/>
      <c r="AL848" s="374"/>
      <c r="AO848" s="294"/>
      <c r="AR848" s="374"/>
      <c r="AZ848" s="374"/>
      <c r="BE848" s="26"/>
      <c r="BF848" s="26"/>
      <c r="BG848" s="26"/>
      <c r="BH848" s="26"/>
      <c r="BI848" s="26"/>
      <c r="BJ848" s="26"/>
      <c r="BK848" s="26"/>
      <c r="BL848" s="26"/>
      <c r="BS848" s="20"/>
      <c r="BT848" s="26"/>
      <c r="BV848" s="381"/>
      <c r="BW848" s="229"/>
    </row>
    <row r="849" spans="33:75" x14ac:dyDescent="0.2">
      <c r="AG849" s="294"/>
      <c r="AH849" s="294"/>
      <c r="AI849" s="294"/>
      <c r="AJ849" s="26"/>
      <c r="AK849" s="374"/>
      <c r="AL849" s="374"/>
      <c r="AO849" s="294"/>
      <c r="AR849" s="374"/>
      <c r="AZ849" s="374"/>
      <c r="BE849" s="26"/>
      <c r="BF849" s="26"/>
      <c r="BG849" s="26"/>
      <c r="BH849" s="26"/>
      <c r="BI849" s="26"/>
      <c r="BJ849" s="26"/>
      <c r="BK849" s="26"/>
      <c r="BL849" s="26"/>
      <c r="BS849" s="20"/>
      <c r="BT849" s="26"/>
      <c r="BV849" s="381"/>
      <c r="BW849" s="229"/>
    </row>
    <row r="850" spans="33:75" x14ac:dyDescent="0.2">
      <c r="AG850" s="294"/>
      <c r="AH850" s="294"/>
      <c r="AI850" s="294"/>
      <c r="AJ850" s="26"/>
      <c r="AK850" s="374"/>
      <c r="AL850" s="374"/>
      <c r="AO850" s="294"/>
      <c r="AR850" s="374"/>
      <c r="AZ850" s="374"/>
      <c r="BE850" s="26"/>
      <c r="BF850" s="26"/>
      <c r="BG850" s="26"/>
      <c r="BH850" s="26"/>
      <c r="BI850" s="26"/>
      <c r="BJ850" s="26"/>
      <c r="BK850" s="26"/>
      <c r="BL850" s="26"/>
      <c r="BS850" s="20"/>
      <c r="BT850" s="26"/>
      <c r="BV850" s="381"/>
      <c r="BW850" s="229"/>
    </row>
    <row r="851" spans="33:75" x14ac:dyDescent="0.2">
      <c r="AG851" s="294"/>
      <c r="AH851" s="294"/>
      <c r="AI851" s="294"/>
      <c r="AJ851" s="26"/>
      <c r="AK851" s="374"/>
      <c r="AL851" s="374"/>
      <c r="AO851" s="294"/>
      <c r="AR851" s="374"/>
      <c r="AZ851" s="374"/>
      <c r="BE851" s="26"/>
      <c r="BF851" s="26"/>
      <c r="BG851" s="26"/>
      <c r="BH851" s="26"/>
      <c r="BI851" s="26"/>
      <c r="BJ851" s="26"/>
      <c r="BK851" s="26"/>
      <c r="BL851" s="26"/>
      <c r="BS851" s="20"/>
      <c r="BT851" s="26"/>
      <c r="BV851" s="381"/>
      <c r="BW851" s="229"/>
    </row>
    <row r="852" spans="33:75" x14ac:dyDescent="0.2">
      <c r="AG852" s="294"/>
      <c r="AH852" s="294"/>
      <c r="AI852" s="294"/>
      <c r="AJ852" s="26"/>
      <c r="AK852" s="374"/>
      <c r="AL852" s="374"/>
      <c r="AO852" s="294"/>
      <c r="AR852" s="374"/>
      <c r="AZ852" s="374"/>
      <c r="BE852" s="26"/>
      <c r="BF852" s="26"/>
      <c r="BG852" s="26"/>
      <c r="BH852" s="26"/>
      <c r="BI852" s="26"/>
      <c r="BJ852" s="26"/>
      <c r="BK852" s="26"/>
      <c r="BL852" s="26"/>
      <c r="BS852" s="20"/>
      <c r="BT852" s="26"/>
      <c r="BV852" s="381"/>
      <c r="BW852" s="229"/>
    </row>
    <row r="853" spans="33:75" x14ac:dyDescent="0.2">
      <c r="AG853" s="294"/>
      <c r="AH853" s="294"/>
      <c r="AI853" s="294"/>
      <c r="AJ853" s="26"/>
      <c r="AK853" s="374"/>
      <c r="AL853" s="374"/>
      <c r="AO853" s="294"/>
      <c r="AR853" s="374"/>
      <c r="AZ853" s="374"/>
      <c r="BE853" s="26"/>
      <c r="BF853" s="26"/>
      <c r="BG853" s="26"/>
      <c r="BH853" s="26"/>
      <c r="BI853" s="26"/>
      <c r="BJ853" s="26"/>
      <c r="BK853" s="26"/>
      <c r="BL853" s="26"/>
      <c r="BS853" s="20"/>
      <c r="BT853" s="26"/>
      <c r="BV853" s="381"/>
      <c r="BW853" s="229"/>
    </row>
    <row r="854" spans="33:75" x14ac:dyDescent="0.2">
      <c r="AG854" s="294"/>
      <c r="AH854" s="294"/>
      <c r="AI854" s="294"/>
      <c r="AJ854" s="26"/>
      <c r="AK854" s="374"/>
      <c r="AL854" s="374"/>
      <c r="AO854" s="294"/>
      <c r="AR854" s="374"/>
      <c r="AZ854" s="374"/>
      <c r="BE854" s="26"/>
      <c r="BF854" s="26"/>
      <c r="BG854" s="26"/>
      <c r="BH854" s="26"/>
      <c r="BI854" s="26"/>
      <c r="BJ854" s="26"/>
      <c r="BK854" s="26"/>
      <c r="BL854" s="26"/>
      <c r="BS854" s="20"/>
      <c r="BT854" s="26"/>
      <c r="BV854" s="381"/>
      <c r="BW854" s="229"/>
    </row>
    <row r="855" spans="33:75" x14ac:dyDescent="0.2">
      <c r="AG855" s="294"/>
      <c r="AH855" s="294"/>
      <c r="AI855" s="294"/>
      <c r="AJ855" s="26"/>
      <c r="AK855" s="374"/>
      <c r="AL855" s="374"/>
      <c r="AO855" s="294"/>
      <c r="AR855" s="374"/>
      <c r="AZ855" s="374"/>
      <c r="BE855" s="26"/>
      <c r="BF855" s="26"/>
      <c r="BG855" s="26"/>
      <c r="BH855" s="26"/>
      <c r="BI855" s="26"/>
      <c r="BJ855" s="26"/>
      <c r="BK855" s="26"/>
      <c r="BL855" s="26"/>
      <c r="BS855" s="20"/>
      <c r="BT855" s="26"/>
      <c r="BV855" s="381"/>
      <c r="BW855" s="229"/>
    </row>
    <row r="856" spans="33:75" x14ac:dyDescent="0.2">
      <c r="AG856" s="294"/>
      <c r="AH856" s="294"/>
      <c r="AI856" s="294"/>
      <c r="AJ856" s="26"/>
      <c r="AK856" s="374"/>
      <c r="AL856" s="374"/>
      <c r="AO856" s="294"/>
      <c r="AR856" s="374"/>
      <c r="AZ856" s="374"/>
      <c r="BE856" s="26"/>
      <c r="BF856" s="26"/>
      <c r="BG856" s="26"/>
      <c r="BH856" s="26"/>
      <c r="BI856" s="26"/>
      <c r="BJ856" s="26"/>
      <c r="BK856" s="26"/>
      <c r="BL856" s="26"/>
      <c r="BS856" s="20"/>
      <c r="BT856" s="26"/>
      <c r="BV856" s="381"/>
      <c r="BW856" s="229"/>
    </row>
    <row r="857" spans="33:75" x14ac:dyDescent="0.2">
      <c r="AG857" s="294"/>
      <c r="AH857" s="294"/>
      <c r="AI857" s="294"/>
      <c r="AJ857" s="26"/>
      <c r="AK857" s="374"/>
      <c r="AL857" s="374"/>
      <c r="AO857" s="294"/>
      <c r="AR857" s="374"/>
      <c r="AZ857" s="374"/>
      <c r="BE857" s="26"/>
      <c r="BF857" s="26"/>
      <c r="BG857" s="26"/>
      <c r="BH857" s="26"/>
      <c r="BI857" s="26"/>
      <c r="BJ857" s="26"/>
      <c r="BK857" s="26"/>
      <c r="BL857" s="26"/>
      <c r="BS857" s="20"/>
      <c r="BT857" s="26"/>
      <c r="BV857" s="381"/>
      <c r="BW857" s="229"/>
    </row>
    <row r="858" spans="33:75" x14ac:dyDescent="0.2">
      <c r="AG858" s="294"/>
      <c r="AH858" s="294"/>
      <c r="AI858" s="294"/>
      <c r="AJ858" s="26"/>
      <c r="AK858" s="374"/>
      <c r="AL858" s="374"/>
      <c r="AO858" s="294"/>
      <c r="AR858" s="374"/>
      <c r="AZ858" s="374"/>
      <c r="BE858" s="26"/>
      <c r="BF858" s="26"/>
      <c r="BG858" s="26"/>
      <c r="BH858" s="26"/>
      <c r="BI858" s="26"/>
      <c r="BJ858" s="26"/>
      <c r="BK858" s="26"/>
      <c r="BL858" s="26"/>
      <c r="BS858" s="20"/>
      <c r="BT858" s="26"/>
      <c r="BV858" s="381"/>
      <c r="BW858" s="229"/>
    </row>
    <row r="859" spans="33:75" x14ac:dyDescent="0.2">
      <c r="AG859" s="294"/>
      <c r="AH859" s="294"/>
      <c r="AI859" s="294"/>
      <c r="AJ859" s="26"/>
      <c r="AK859" s="374"/>
      <c r="AL859" s="374"/>
      <c r="AO859" s="294"/>
      <c r="AR859" s="374"/>
      <c r="AZ859" s="374"/>
      <c r="BE859" s="26"/>
      <c r="BF859" s="26"/>
      <c r="BG859" s="26"/>
      <c r="BH859" s="26"/>
      <c r="BI859" s="26"/>
      <c r="BJ859" s="26"/>
      <c r="BK859" s="26"/>
      <c r="BL859" s="26"/>
      <c r="BS859" s="20"/>
      <c r="BT859" s="26"/>
      <c r="BV859" s="381"/>
      <c r="BW859" s="229"/>
    </row>
    <row r="860" spans="33:75" x14ac:dyDescent="0.2">
      <c r="AG860" s="294"/>
      <c r="AH860" s="294"/>
      <c r="AI860" s="294"/>
      <c r="AJ860" s="26"/>
      <c r="AK860" s="374"/>
      <c r="AL860" s="374"/>
      <c r="AO860" s="294"/>
      <c r="AR860" s="374"/>
      <c r="AZ860" s="374"/>
      <c r="BE860" s="26"/>
      <c r="BF860" s="26"/>
      <c r="BG860" s="26"/>
      <c r="BH860" s="26"/>
      <c r="BI860" s="26"/>
      <c r="BJ860" s="26"/>
      <c r="BK860" s="26"/>
      <c r="BL860" s="26"/>
      <c r="BS860" s="20"/>
      <c r="BT860" s="26"/>
      <c r="BV860" s="381"/>
      <c r="BW860" s="229"/>
    </row>
    <row r="861" spans="33:75" x14ac:dyDescent="0.2">
      <c r="AG861" s="294"/>
      <c r="AH861" s="294"/>
      <c r="AI861" s="294"/>
      <c r="AJ861" s="26"/>
      <c r="AK861" s="374"/>
      <c r="AL861" s="374"/>
      <c r="AO861" s="294"/>
      <c r="AR861" s="374"/>
      <c r="AZ861" s="374"/>
      <c r="BE861" s="26"/>
      <c r="BF861" s="26"/>
      <c r="BG861" s="26"/>
      <c r="BH861" s="26"/>
      <c r="BI861" s="26"/>
      <c r="BJ861" s="26"/>
      <c r="BK861" s="26"/>
      <c r="BL861" s="26"/>
      <c r="BS861" s="20"/>
      <c r="BT861" s="26"/>
      <c r="BV861" s="381"/>
      <c r="BW861" s="229"/>
    </row>
    <row r="862" spans="33:75" x14ac:dyDescent="0.2">
      <c r="AG862" s="294"/>
      <c r="AH862" s="294"/>
      <c r="AI862" s="294"/>
      <c r="AJ862" s="26"/>
      <c r="AK862" s="374"/>
      <c r="AL862" s="374"/>
      <c r="AO862" s="294"/>
      <c r="AR862" s="374"/>
      <c r="AZ862" s="374"/>
      <c r="BE862" s="26"/>
      <c r="BF862" s="26"/>
      <c r="BG862" s="26"/>
      <c r="BH862" s="26"/>
      <c r="BI862" s="26"/>
      <c r="BJ862" s="26"/>
      <c r="BK862" s="26"/>
      <c r="BL862" s="26"/>
      <c r="BS862" s="20"/>
      <c r="BT862" s="26"/>
      <c r="BV862" s="381"/>
      <c r="BW862" s="229"/>
    </row>
    <row r="863" spans="33:75" x14ac:dyDescent="0.2">
      <c r="AG863" s="294"/>
      <c r="AH863" s="294"/>
      <c r="AI863" s="294"/>
      <c r="AJ863" s="26"/>
      <c r="AK863" s="374"/>
      <c r="AL863" s="374"/>
      <c r="AO863" s="294"/>
      <c r="AR863" s="374"/>
      <c r="AZ863" s="374"/>
      <c r="BE863" s="26"/>
      <c r="BF863" s="26"/>
      <c r="BG863" s="26"/>
      <c r="BH863" s="26"/>
      <c r="BI863" s="26"/>
      <c r="BJ863" s="26"/>
      <c r="BK863" s="26"/>
      <c r="BL863" s="26"/>
      <c r="BS863" s="20"/>
      <c r="BT863" s="26"/>
      <c r="BV863" s="381"/>
      <c r="BW863" s="229"/>
    </row>
    <row r="864" spans="33:75" x14ac:dyDescent="0.2">
      <c r="AG864" s="294"/>
      <c r="AH864" s="294"/>
      <c r="AI864" s="294"/>
      <c r="AJ864" s="26"/>
      <c r="AK864" s="374"/>
      <c r="AL864" s="374"/>
      <c r="AO864" s="294"/>
      <c r="AR864" s="374"/>
      <c r="AZ864" s="374"/>
      <c r="BE864" s="26"/>
      <c r="BF864" s="26"/>
      <c r="BG864" s="26"/>
      <c r="BH864" s="26"/>
      <c r="BI864" s="26"/>
      <c r="BJ864" s="26"/>
      <c r="BK864" s="26"/>
      <c r="BL864" s="26"/>
      <c r="BS864" s="20"/>
      <c r="BT864" s="26"/>
      <c r="BV864" s="381"/>
      <c r="BW864" s="229"/>
    </row>
    <row r="865" spans="33:75" x14ac:dyDescent="0.2">
      <c r="AG865" s="294"/>
      <c r="AH865" s="294"/>
      <c r="AI865" s="294"/>
      <c r="AJ865" s="26"/>
      <c r="AK865" s="374"/>
      <c r="AL865" s="374"/>
      <c r="AO865" s="294"/>
      <c r="AR865" s="374"/>
      <c r="AZ865" s="374"/>
      <c r="BE865" s="26"/>
      <c r="BF865" s="26"/>
      <c r="BG865" s="26"/>
      <c r="BH865" s="26"/>
      <c r="BI865" s="26"/>
      <c r="BJ865" s="26"/>
      <c r="BK865" s="26"/>
      <c r="BL865" s="26"/>
      <c r="BS865" s="20"/>
      <c r="BT865" s="26"/>
      <c r="BV865" s="381"/>
      <c r="BW865" s="229"/>
    </row>
    <row r="866" spans="33:75" x14ac:dyDescent="0.2">
      <c r="AG866" s="294"/>
      <c r="AH866" s="294"/>
      <c r="AI866" s="294"/>
      <c r="AJ866" s="26"/>
      <c r="AK866" s="374"/>
      <c r="AL866" s="374"/>
      <c r="AO866" s="294"/>
      <c r="AR866" s="374"/>
      <c r="AZ866" s="374"/>
      <c r="BE866" s="26"/>
      <c r="BF866" s="26"/>
      <c r="BG866" s="26"/>
      <c r="BH866" s="26"/>
      <c r="BI866" s="26"/>
      <c r="BJ866" s="26"/>
      <c r="BK866" s="26"/>
      <c r="BL866" s="26"/>
      <c r="BS866" s="20"/>
      <c r="BT866" s="26"/>
      <c r="BV866" s="381"/>
      <c r="BW866" s="229"/>
    </row>
    <row r="867" spans="33:75" x14ac:dyDescent="0.2">
      <c r="AG867" s="294"/>
      <c r="AH867" s="294"/>
      <c r="AI867" s="294"/>
      <c r="AJ867" s="26"/>
      <c r="AK867" s="374"/>
      <c r="AL867" s="374"/>
      <c r="AO867" s="294"/>
      <c r="AR867" s="374"/>
      <c r="AZ867" s="374"/>
      <c r="BE867" s="26"/>
      <c r="BF867" s="26"/>
      <c r="BG867" s="26"/>
      <c r="BH867" s="26"/>
      <c r="BI867" s="26"/>
      <c r="BJ867" s="26"/>
      <c r="BK867" s="26"/>
      <c r="BL867" s="26"/>
      <c r="BS867" s="20"/>
      <c r="BT867" s="26"/>
      <c r="BV867" s="381"/>
      <c r="BW867" s="229"/>
    </row>
    <row r="868" spans="33:75" x14ac:dyDescent="0.2">
      <c r="AG868" s="294"/>
      <c r="AH868" s="294"/>
      <c r="AI868" s="294"/>
      <c r="AJ868" s="26"/>
      <c r="AK868" s="374"/>
      <c r="AL868" s="374"/>
      <c r="AO868" s="294"/>
      <c r="AR868" s="374"/>
      <c r="AZ868" s="374"/>
      <c r="BE868" s="26"/>
      <c r="BF868" s="26"/>
      <c r="BG868" s="26"/>
      <c r="BH868" s="26"/>
      <c r="BI868" s="26"/>
      <c r="BJ868" s="26"/>
      <c r="BK868" s="26"/>
      <c r="BL868" s="26"/>
      <c r="BS868" s="20"/>
      <c r="BT868" s="26"/>
      <c r="BV868" s="381"/>
      <c r="BW868" s="229"/>
    </row>
    <row r="869" spans="33:75" x14ac:dyDescent="0.2">
      <c r="AG869" s="294"/>
      <c r="AH869" s="294"/>
      <c r="AI869" s="294"/>
      <c r="AJ869" s="26"/>
      <c r="AK869" s="374"/>
      <c r="AL869" s="374"/>
      <c r="AO869" s="294"/>
      <c r="AR869" s="374"/>
      <c r="AZ869" s="374"/>
      <c r="BE869" s="26"/>
      <c r="BF869" s="26"/>
      <c r="BG869" s="26"/>
      <c r="BH869" s="26"/>
      <c r="BI869" s="26"/>
      <c r="BJ869" s="26"/>
      <c r="BK869" s="26"/>
      <c r="BL869" s="26"/>
      <c r="BS869" s="20"/>
      <c r="BT869" s="26"/>
      <c r="BV869" s="381"/>
      <c r="BW869" s="229"/>
    </row>
    <row r="870" spans="33:75" x14ac:dyDescent="0.2">
      <c r="AG870" s="294"/>
      <c r="AH870" s="294"/>
      <c r="AI870" s="294"/>
      <c r="AJ870" s="26"/>
      <c r="AK870" s="374"/>
      <c r="AL870" s="374"/>
      <c r="AO870" s="294"/>
      <c r="AR870" s="374"/>
      <c r="AZ870" s="374"/>
      <c r="BE870" s="26"/>
      <c r="BF870" s="26"/>
      <c r="BG870" s="26"/>
      <c r="BH870" s="26"/>
      <c r="BI870" s="26"/>
      <c r="BJ870" s="26"/>
      <c r="BK870" s="26"/>
      <c r="BL870" s="26"/>
      <c r="BS870" s="20"/>
      <c r="BT870" s="26"/>
      <c r="BV870" s="381"/>
      <c r="BW870" s="229"/>
    </row>
    <row r="871" spans="33:75" x14ac:dyDescent="0.2">
      <c r="AG871" s="294"/>
      <c r="AH871" s="294"/>
      <c r="AI871" s="294"/>
      <c r="AJ871" s="26"/>
      <c r="AK871" s="374"/>
      <c r="AL871" s="374"/>
      <c r="AO871" s="294"/>
      <c r="AR871" s="374"/>
      <c r="AZ871" s="374"/>
      <c r="BE871" s="26"/>
      <c r="BF871" s="26"/>
      <c r="BG871" s="26"/>
      <c r="BH871" s="26"/>
      <c r="BI871" s="26"/>
      <c r="BJ871" s="26"/>
      <c r="BK871" s="26"/>
      <c r="BL871" s="26"/>
      <c r="BS871" s="20"/>
      <c r="BT871" s="26"/>
      <c r="BV871" s="381"/>
      <c r="BW871" s="229"/>
    </row>
    <row r="872" spans="33:75" x14ac:dyDescent="0.2">
      <c r="AG872" s="294"/>
      <c r="AH872" s="294"/>
      <c r="AI872" s="294"/>
      <c r="AJ872" s="26"/>
      <c r="AK872" s="374"/>
      <c r="AL872" s="374"/>
      <c r="AO872" s="294"/>
      <c r="AR872" s="374"/>
      <c r="AZ872" s="374"/>
      <c r="BE872" s="26"/>
      <c r="BF872" s="26"/>
      <c r="BG872" s="26"/>
      <c r="BH872" s="26"/>
      <c r="BI872" s="26"/>
      <c r="BJ872" s="26"/>
      <c r="BK872" s="26"/>
      <c r="BL872" s="26"/>
      <c r="BS872" s="20"/>
      <c r="BT872" s="26"/>
      <c r="BV872" s="381"/>
      <c r="BW872" s="229"/>
    </row>
    <row r="873" spans="33:75" x14ac:dyDescent="0.2">
      <c r="AG873" s="294"/>
      <c r="AH873" s="294"/>
      <c r="AI873" s="294"/>
      <c r="AJ873" s="26"/>
      <c r="AK873" s="374"/>
      <c r="AL873" s="374"/>
      <c r="AO873" s="294"/>
      <c r="AR873" s="374"/>
      <c r="AZ873" s="374"/>
      <c r="BE873" s="26"/>
      <c r="BF873" s="26"/>
      <c r="BG873" s="26"/>
      <c r="BH873" s="26"/>
      <c r="BI873" s="26"/>
      <c r="BJ873" s="26"/>
      <c r="BK873" s="26"/>
      <c r="BL873" s="26"/>
      <c r="BS873" s="20"/>
      <c r="BT873" s="26"/>
      <c r="BV873" s="381"/>
      <c r="BW873" s="229"/>
    </row>
    <row r="874" spans="33:75" x14ac:dyDescent="0.2">
      <c r="AG874" s="294"/>
      <c r="AH874" s="294"/>
      <c r="AI874" s="294"/>
      <c r="AJ874" s="26"/>
      <c r="AK874" s="374"/>
      <c r="AL874" s="374"/>
      <c r="AO874" s="294"/>
      <c r="AR874" s="374"/>
      <c r="AZ874" s="374"/>
      <c r="BE874" s="26"/>
      <c r="BF874" s="26"/>
      <c r="BG874" s="26"/>
      <c r="BH874" s="26"/>
      <c r="BI874" s="26"/>
      <c r="BJ874" s="26"/>
      <c r="BK874" s="26"/>
      <c r="BL874" s="26"/>
      <c r="BS874" s="20"/>
      <c r="BT874" s="26"/>
      <c r="BV874" s="381"/>
      <c r="BW874" s="229"/>
    </row>
    <row r="875" spans="33:75" x14ac:dyDescent="0.2">
      <c r="AG875" s="294"/>
      <c r="AH875" s="294"/>
      <c r="AI875" s="294"/>
      <c r="AJ875" s="26"/>
      <c r="AK875" s="374"/>
      <c r="AL875" s="374"/>
      <c r="AO875" s="294"/>
      <c r="AR875" s="374"/>
      <c r="AZ875" s="374"/>
      <c r="BE875" s="26"/>
      <c r="BF875" s="26"/>
      <c r="BG875" s="26"/>
      <c r="BH875" s="26"/>
      <c r="BI875" s="26"/>
      <c r="BJ875" s="26"/>
      <c r="BK875" s="26"/>
      <c r="BL875" s="26"/>
      <c r="BS875" s="20"/>
      <c r="BT875" s="26"/>
      <c r="BV875" s="381"/>
      <c r="BW875" s="229"/>
    </row>
    <row r="876" spans="33:75" x14ac:dyDescent="0.2">
      <c r="AG876" s="294"/>
      <c r="AH876" s="294"/>
      <c r="AI876" s="294"/>
      <c r="AJ876" s="26"/>
      <c r="AK876" s="374"/>
      <c r="AL876" s="374"/>
      <c r="AO876" s="294"/>
      <c r="AR876" s="374"/>
      <c r="AZ876" s="374"/>
      <c r="BE876" s="26"/>
      <c r="BF876" s="26"/>
      <c r="BG876" s="26"/>
      <c r="BH876" s="26"/>
      <c r="BI876" s="26"/>
      <c r="BJ876" s="26"/>
      <c r="BK876" s="26"/>
      <c r="BL876" s="26"/>
      <c r="BS876" s="20"/>
      <c r="BT876" s="26"/>
      <c r="BV876" s="381"/>
      <c r="BW876" s="229"/>
    </row>
    <row r="877" spans="33:75" x14ac:dyDescent="0.2">
      <c r="AG877" s="294"/>
      <c r="AH877" s="294"/>
      <c r="AI877" s="294"/>
      <c r="AJ877" s="26"/>
      <c r="AK877" s="374"/>
      <c r="AL877" s="374"/>
      <c r="AO877" s="294"/>
      <c r="AR877" s="374"/>
      <c r="AZ877" s="374"/>
      <c r="BE877" s="26"/>
      <c r="BF877" s="26"/>
      <c r="BG877" s="26"/>
      <c r="BH877" s="26"/>
      <c r="BI877" s="26"/>
      <c r="BJ877" s="26"/>
      <c r="BK877" s="26"/>
      <c r="BL877" s="26"/>
      <c r="BS877" s="20"/>
      <c r="BT877" s="26"/>
      <c r="BV877" s="381"/>
      <c r="BW877" s="229"/>
    </row>
    <row r="878" spans="33:75" x14ac:dyDescent="0.2">
      <c r="AG878" s="294"/>
      <c r="AH878" s="294"/>
      <c r="AI878" s="294"/>
      <c r="AJ878" s="26"/>
      <c r="AK878" s="374"/>
      <c r="AL878" s="374"/>
      <c r="AO878" s="294"/>
      <c r="AR878" s="374"/>
      <c r="AZ878" s="374"/>
      <c r="BE878" s="26"/>
      <c r="BF878" s="26"/>
      <c r="BG878" s="26"/>
      <c r="BH878" s="26"/>
      <c r="BI878" s="26"/>
      <c r="BJ878" s="26"/>
      <c r="BK878" s="26"/>
      <c r="BL878" s="26"/>
      <c r="BS878" s="20"/>
      <c r="BT878" s="26"/>
      <c r="BV878" s="381"/>
      <c r="BW878" s="229"/>
    </row>
    <row r="879" spans="33:75" x14ac:dyDescent="0.2">
      <c r="AG879" s="294"/>
      <c r="AH879" s="294"/>
      <c r="AI879" s="294"/>
      <c r="AJ879" s="26"/>
      <c r="AK879" s="374"/>
      <c r="AL879" s="374"/>
      <c r="AO879" s="294"/>
      <c r="AR879" s="374"/>
      <c r="AZ879" s="374"/>
      <c r="BE879" s="26"/>
      <c r="BF879" s="26"/>
      <c r="BG879" s="26"/>
      <c r="BH879" s="26"/>
      <c r="BI879" s="26"/>
      <c r="BJ879" s="26"/>
      <c r="BK879" s="26"/>
      <c r="BL879" s="26"/>
      <c r="BS879" s="20"/>
      <c r="BT879" s="26"/>
      <c r="BV879" s="381"/>
      <c r="BW879" s="229"/>
    </row>
    <row r="880" spans="33:75" x14ac:dyDescent="0.2">
      <c r="AG880" s="294"/>
      <c r="AH880" s="294"/>
      <c r="AI880" s="294"/>
      <c r="AJ880" s="26"/>
      <c r="AK880" s="374"/>
      <c r="AL880" s="374"/>
      <c r="AO880" s="294"/>
      <c r="AR880" s="374"/>
      <c r="AZ880" s="374"/>
      <c r="BE880" s="26"/>
      <c r="BF880" s="26"/>
      <c r="BG880" s="26"/>
      <c r="BH880" s="26"/>
      <c r="BI880" s="26"/>
      <c r="BJ880" s="26"/>
      <c r="BK880" s="26"/>
      <c r="BL880" s="26"/>
      <c r="BS880" s="20"/>
      <c r="BT880" s="26"/>
      <c r="BV880" s="381"/>
      <c r="BW880" s="229"/>
    </row>
    <row r="881" spans="33:75" x14ac:dyDescent="0.2">
      <c r="AG881" s="294"/>
      <c r="AH881" s="294"/>
      <c r="AI881" s="294"/>
      <c r="AJ881" s="26"/>
      <c r="AK881" s="374"/>
      <c r="AL881" s="374"/>
      <c r="AO881" s="294"/>
      <c r="AR881" s="374"/>
      <c r="AZ881" s="374"/>
      <c r="BE881" s="26"/>
      <c r="BF881" s="26"/>
      <c r="BG881" s="26"/>
      <c r="BH881" s="26"/>
      <c r="BI881" s="26"/>
      <c r="BJ881" s="26"/>
      <c r="BK881" s="26"/>
      <c r="BL881" s="26"/>
      <c r="BS881" s="20"/>
      <c r="BT881" s="26"/>
      <c r="BV881" s="381"/>
      <c r="BW881" s="229"/>
    </row>
    <row r="882" spans="33:75" x14ac:dyDescent="0.2">
      <c r="AG882" s="294"/>
      <c r="AH882" s="294"/>
      <c r="AI882" s="294"/>
      <c r="AJ882" s="26"/>
      <c r="AK882" s="374"/>
      <c r="AL882" s="374"/>
      <c r="AO882" s="294"/>
      <c r="AR882" s="374"/>
      <c r="AZ882" s="374"/>
      <c r="BE882" s="26"/>
      <c r="BF882" s="26"/>
      <c r="BG882" s="26"/>
      <c r="BH882" s="26"/>
      <c r="BI882" s="26"/>
      <c r="BJ882" s="26"/>
      <c r="BK882" s="26"/>
      <c r="BL882" s="26"/>
      <c r="BS882" s="20"/>
      <c r="BT882" s="26"/>
      <c r="BV882" s="381"/>
      <c r="BW882" s="229"/>
    </row>
    <row r="883" spans="33:75" x14ac:dyDescent="0.2">
      <c r="AG883" s="294"/>
      <c r="AH883" s="294"/>
      <c r="AI883" s="294"/>
      <c r="AJ883" s="26"/>
      <c r="AK883" s="374"/>
      <c r="AL883" s="374"/>
      <c r="AO883" s="294"/>
      <c r="AR883" s="374"/>
      <c r="AZ883" s="374"/>
      <c r="BE883" s="26"/>
      <c r="BF883" s="26"/>
      <c r="BG883" s="26"/>
      <c r="BH883" s="26"/>
      <c r="BI883" s="26"/>
      <c r="BJ883" s="26"/>
      <c r="BK883" s="26"/>
      <c r="BL883" s="26"/>
      <c r="BS883" s="20"/>
      <c r="BT883" s="26"/>
      <c r="BV883" s="381"/>
      <c r="BW883" s="229"/>
    </row>
    <row r="884" spans="33:75" x14ac:dyDescent="0.2">
      <c r="AG884" s="294"/>
      <c r="AH884" s="294"/>
      <c r="AI884" s="294"/>
      <c r="AJ884" s="26"/>
      <c r="AK884" s="374"/>
      <c r="AL884" s="374"/>
      <c r="AO884" s="294"/>
      <c r="AR884" s="374"/>
      <c r="AZ884" s="374"/>
      <c r="BE884" s="26"/>
      <c r="BF884" s="26"/>
      <c r="BG884" s="26"/>
      <c r="BH884" s="26"/>
      <c r="BI884" s="26"/>
      <c r="BJ884" s="26"/>
      <c r="BK884" s="26"/>
      <c r="BL884" s="26"/>
      <c r="BS884" s="20"/>
      <c r="BT884" s="26"/>
      <c r="BV884" s="381"/>
      <c r="BW884" s="229"/>
    </row>
    <row r="885" spans="33:75" x14ac:dyDescent="0.2">
      <c r="AG885" s="294"/>
      <c r="AH885" s="294"/>
      <c r="AI885" s="294"/>
      <c r="AJ885" s="26"/>
      <c r="AK885" s="374"/>
      <c r="AL885" s="374"/>
      <c r="AO885" s="294"/>
      <c r="AR885" s="374"/>
      <c r="AZ885" s="374"/>
      <c r="BE885" s="26"/>
      <c r="BF885" s="26"/>
      <c r="BG885" s="26"/>
      <c r="BH885" s="26"/>
      <c r="BI885" s="26"/>
      <c r="BJ885" s="26"/>
      <c r="BK885" s="26"/>
      <c r="BL885" s="26"/>
      <c r="BS885" s="20"/>
      <c r="BT885" s="26"/>
      <c r="BV885" s="381"/>
      <c r="BW885" s="229"/>
    </row>
    <row r="886" spans="33:75" x14ac:dyDescent="0.2">
      <c r="AG886" s="294"/>
      <c r="AH886" s="294"/>
      <c r="AI886" s="294"/>
      <c r="AJ886" s="26"/>
      <c r="AK886" s="374"/>
      <c r="AL886" s="374"/>
      <c r="AO886" s="294"/>
      <c r="AR886" s="374"/>
      <c r="AZ886" s="374"/>
      <c r="BE886" s="26"/>
      <c r="BF886" s="26"/>
      <c r="BG886" s="26"/>
      <c r="BH886" s="26"/>
      <c r="BI886" s="26"/>
      <c r="BJ886" s="26"/>
      <c r="BK886" s="26"/>
      <c r="BL886" s="26"/>
      <c r="BS886" s="20"/>
      <c r="BT886" s="26"/>
      <c r="BV886" s="381"/>
      <c r="BW886" s="229"/>
    </row>
    <row r="887" spans="33:75" x14ac:dyDescent="0.2">
      <c r="AG887" s="294"/>
      <c r="AH887" s="294"/>
      <c r="AI887" s="294"/>
      <c r="AJ887" s="26"/>
      <c r="AK887" s="374"/>
      <c r="AL887" s="374"/>
      <c r="AO887" s="294"/>
      <c r="AR887" s="374"/>
      <c r="AZ887" s="374"/>
      <c r="BE887" s="26"/>
      <c r="BF887" s="26"/>
      <c r="BG887" s="26"/>
      <c r="BH887" s="26"/>
      <c r="BI887" s="26"/>
      <c r="BJ887" s="26"/>
      <c r="BK887" s="26"/>
      <c r="BL887" s="26"/>
      <c r="BS887" s="20"/>
      <c r="BT887" s="26"/>
      <c r="BV887" s="381"/>
      <c r="BW887" s="229"/>
    </row>
    <row r="888" spans="33:75" x14ac:dyDescent="0.2">
      <c r="AG888" s="294"/>
      <c r="AH888" s="294"/>
      <c r="AI888" s="294"/>
      <c r="AJ888" s="26"/>
      <c r="AK888" s="374"/>
      <c r="AL888" s="374"/>
      <c r="AO888" s="294"/>
      <c r="AR888" s="374"/>
      <c r="AZ888" s="374"/>
      <c r="BE888" s="26"/>
      <c r="BF888" s="26"/>
      <c r="BG888" s="26"/>
      <c r="BH888" s="26"/>
      <c r="BI888" s="26"/>
      <c r="BJ888" s="26"/>
      <c r="BK888" s="26"/>
      <c r="BL888" s="26"/>
      <c r="BS888" s="20"/>
      <c r="BT888" s="26"/>
      <c r="BV888" s="381"/>
      <c r="BW888" s="229"/>
    </row>
    <row r="889" spans="33:75" x14ac:dyDescent="0.2">
      <c r="AG889" s="294"/>
      <c r="AH889" s="294"/>
      <c r="AI889" s="294"/>
      <c r="AJ889" s="26"/>
      <c r="AK889" s="374"/>
      <c r="AL889" s="374"/>
      <c r="AO889" s="294"/>
      <c r="AR889" s="374"/>
      <c r="AZ889" s="374"/>
      <c r="BE889" s="26"/>
      <c r="BF889" s="26"/>
      <c r="BG889" s="26"/>
      <c r="BH889" s="26"/>
      <c r="BI889" s="26"/>
      <c r="BJ889" s="26"/>
      <c r="BK889" s="26"/>
      <c r="BL889" s="26"/>
      <c r="BS889" s="20"/>
      <c r="BT889" s="26"/>
      <c r="BV889" s="381"/>
      <c r="BW889" s="229"/>
    </row>
    <row r="890" spans="33:75" x14ac:dyDescent="0.2">
      <c r="AG890" s="294"/>
      <c r="AH890" s="294"/>
      <c r="AI890" s="294"/>
      <c r="AJ890" s="26"/>
      <c r="AK890" s="374"/>
      <c r="AL890" s="374"/>
      <c r="AO890" s="294"/>
      <c r="AR890" s="374"/>
      <c r="AZ890" s="374"/>
      <c r="BE890" s="26"/>
      <c r="BF890" s="26"/>
      <c r="BG890" s="26"/>
      <c r="BH890" s="26"/>
      <c r="BI890" s="26"/>
      <c r="BJ890" s="26"/>
      <c r="BK890" s="26"/>
      <c r="BL890" s="26"/>
      <c r="BS890" s="20"/>
      <c r="BT890" s="26"/>
      <c r="BV890" s="381"/>
      <c r="BW890" s="229"/>
    </row>
    <row r="891" spans="33:75" x14ac:dyDescent="0.2">
      <c r="AG891" s="294"/>
      <c r="AH891" s="294"/>
      <c r="AI891" s="294"/>
      <c r="AJ891" s="26"/>
      <c r="AK891" s="374"/>
      <c r="AL891" s="374"/>
      <c r="AO891" s="294"/>
      <c r="AR891" s="374"/>
      <c r="AZ891" s="374"/>
      <c r="BE891" s="26"/>
      <c r="BF891" s="26"/>
      <c r="BG891" s="26"/>
      <c r="BH891" s="26"/>
      <c r="BI891" s="26"/>
      <c r="BJ891" s="26"/>
      <c r="BK891" s="26"/>
      <c r="BL891" s="26"/>
      <c r="BS891" s="20"/>
      <c r="BT891" s="26"/>
      <c r="BV891" s="381"/>
      <c r="BW891" s="229"/>
    </row>
    <row r="892" spans="33:75" x14ac:dyDescent="0.2">
      <c r="AG892" s="294"/>
      <c r="AH892" s="294"/>
      <c r="AI892" s="294"/>
      <c r="AJ892" s="26"/>
      <c r="AK892" s="374"/>
      <c r="AL892" s="374"/>
      <c r="AO892" s="294"/>
      <c r="AR892" s="374"/>
      <c r="AZ892" s="374"/>
      <c r="BE892" s="26"/>
      <c r="BF892" s="26"/>
      <c r="BG892" s="26"/>
      <c r="BH892" s="26"/>
      <c r="BI892" s="26"/>
      <c r="BJ892" s="26"/>
      <c r="BK892" s="26"/>
      <c r="BL892" s="26"/>
      <c r="BS892" s="20"/>
      <c r="BT892" s="26"/>
      <c r="BV892" s="381"/>
      <c r="BW892" s="229"/>
    </row>
    <row r="893" spans="33:75" x14ac:dyDescent="0.2">
      <c r="AG893" s="294"/>
      <c r="AH893" s="294"/>
      <c r="AI893" s="294"/>
      <c r="AJ893" s="26"/>
      <c r="AK893" s="374"/>
      <c r="AL893" s="374"/>
      <c r="AO893" s="294"/>
      <c r="AR893" s="374"/>
      <c r="AZ893" s="374"/>
      <c r="BE893" s="26"/>
      <c r="BF893" s="26"/>
      <c r="BG893" s="26"/>
      <c r="BH893" s="26"/>
      <c r="BI893" s="26"/>
      <c r="BJ893" s="26"/>
      <c r="BK893" s="26"/>
      <c r="BL893" s="26"/>
      <c r="BS893" s="20"/>
      <c r="BT893" s="26"/>
      <c r="BV893" s="381"/>
      <c r="BW893" s="229"/>
    </row>
    <row r="894" spans="33:75" x14ac:dyDescent="0.2">
      <c r="AG894" s="294"/>
      <c r="AH894" s="294"/>
      <c r="AI894" s="294"/>
      <c r="AJ894" s="26"/>
      <c r="AK894" s="374"/>
      <c r="AL894" s="374"/>
      <c r="AO894" s="294"/>
      <c r="AR894" s="374"/>
      <c r="AZ894" s="374"/>
      <c r="BE894" s="26"/>
      <c r="BF894" s="26"/>
      <c r="BG894" s="26"/>
      <c r="BH894" s="26"/>
      <c r="BI894" s="26"/>
      <c r="BJ894" s="26"/>
      <c r="BK894" s="26"/>
      <c r="BL894" s="26"/>
      <c r="BS894" s="20"/>
      <c r="BT894" s="26"/>
      <c r="BV894" s="381"/>
      <c r="BW894" s="229"/>
    </row>
    <row r="895" spans="33:75" x14ac:dyDescent="0.2">
      <c r="AG895" s="294"/>
      <c r="AH895" s="294"/>
      <c r="AI895" s="294"/>
      <c r="AJ895" s="26"/>
      <c r="AK895" s="374"/>
      <c r="AL895" s="374"/>
      <c r="AO895" s="294"/>
      <c r="AR895" s="374"/>
      <c r="AZ895" s="374"/>
      <c r="BE895" s="26"/>
      <c r="BF895" s="26"/>
      <c r="BG895" s="26"/>
      <c r="BH895" s="26"/>
      <c r="BI895" s="26"/>
      <c r="BJ895" s="26"/>
      <c r="BK895" s="26"/>
      <c r="BL895" s="26"/>
      <c r="BS895" s="20"/>
      <c r="BT895" s="26"/>
      <c r="BV895" s="381"/>
      <c r="BW895" s="229"/>
    </row>
    <row r="896" spans="33:75" x14ac:dyDescent="0.2">
      <c r="AG896" s="294"/>
      <c r="AH896" s="294"/>
      <c r="AI896" s="294"/>
      <c r="AJ896" s="26"/>
      <c r="AK896" s="374"/>
      <c r="AL896" s="374"/>
      <c r="AO896" s="294"/>
      <c r="AR896" s="374"/>
      <c r="AZ896" s="374"/>
      <c r="BE896" s="26"/>
      <c r="BF896" s="26"/>
      <c r="BG896" s="26"/>
      <c r="BH896" s="26"/>
      <c r="BI896" s="26"/>
      <c r="BJ896" s="26"/>
      <c r="BK896" s="26"/>
      <c r="BL896" s="26"/>
      <c r="BS896" s="20"/>
      <c r="BT896" s="26"/>
      <c r="BV896" s="381"/>
      <c r="BW896" s="229"/>
    </row>
    <row r="897" spans="33:75" x14ac:dyDescent="0.2">
      <c r="AG897" s="294"/>
      <c r="AH897" s="294"/>
      <c r="AI897" s="294"/>
      <c r="AJ897" s="26"/>
      <c r="AK897" s="374"/>
      <c r="AL897" s="374"/>
      <c r="AO897" s="294"/>
      <c r="AR897" s="374"/>
      <c r="AZ897" s="374"/>
      <c r="BE897" s="26"/>
      <c r="BF897" s="26"/>
      <c r="BG897" s="26"/>
      <c r="BH897" s="26"/>
      <c r="BI897" s="26"/>
      <c r="BJ897" s="26"/>
      <c r="BK897" s="26"/>
      <c r="BL897" s="26"/>
      <c r="BS897" s="20"/>
      <c r="BT897" s="26"/>
      <c r="BV897" s="381"/>
      <c r="BW897" s="229"/>
    </row>
    <row r="898" spans="33:75" x14ac:dyDescent="0.2">
      <c r="AG898" s="294"/>
      <c r="AH898" s="294"/>
      <c r="AI898" s="294"/>
      <c r="AJ898" s="26"/>
      <c r="AK898" s="374"/>
      <c r="AL898" s="374"/>
      <c r="AO898" s="294"/>
      <c r="AR898" s="374"/>
      <c r="AZ898" s="374"/>
      <c r="BE898" s="26"/>
      <c r="BF898" s="26"/>
      <c r="BG898" s="26"/>
      <c r="BH898" s="26"/>
      <c r="BI898" s="26"/>
      <c r="BJ898" s="26"/>
      <c r="BK898" s="26"/>
      <c r="BL898" s="26"/>
      <c r="BS898" s="20"/>
      <c r="BT898" s="26"/>
      <c r="BV898" s="381"/>
      <c r="BW898" s="229"/>
    </row>
    <row r="899" spans="33:75" x14ac:dyDescent="0.2">
      <c r="AG899" s="294"/>
      <c r="AH899" s="294"/>
      <c r="AI899" s="294"/>
      <c r="AJ899" s="26"/>
      <c r="AK899" s="374"/>
      <c r="AL899" s="374"/>
      <c r="AO899" s="294"/>
      <c r="AR899" s="374"/>
      <c r="AZ899" s="374"/>
      <c r="BE899" s="26"/>
      <c r="BF899" s="26"/>
      <c r="BG899" s="26"/>
      <c r="BH899" s="26"/>
      <c r="BI899" s="26"/>
      <c r="BJ899" s="26"/>
      <c r="BK899" s="26"/>
      <c r="BL899" s="26"/>
      <c r="BS899" s="20"/>
      <c r="BT899" s="26"/>
      <c r="BV899" s="381"/>
      <c r="BW899" s="229"/>
    </row>
    <row r="900" spans="33:75" x14ac:dyDescent="0.2">
      <c r="AG900" s="294"/>
      <c r="AH900" s="294"/>
      <c r="AI900" s="294"/>
      <c r="AJ900" s="26"/>
      <c r="AK900" s="374"/>
      <c r="AL900" s="374"/>
      <c r="AO900" s="294"/>
      <c r="AR900" s="374"/>
      <c r="AZ900" s="374"/>
      <c r="BE900" s="26"/>
      <c r="BF900" s="26"/>
      <c r="BG900" s="26"/>
      <c r="BH900" s="26"/>
      <c r="BI900" s="26"/>
      <c r="BJ900" s="26"/>
      <c r="BK900" s="26"/>
      <c r="BL900" s="26"/>
      <c r="BS900" s="20"/>
      <c r="BT900" s="26"/>
      <c r="BV900" s="381"/>
      <c r="BW900" s="229"/>
    </row>
    <row r="901" spans="33:75" x14ac:dyDescent="0.2">
      <c r="AG901" s="294"/>
      <c r="AH901" s="294"/>
      <c r="AI901" s="294"/>
      <c r="AJ901" s="26"/>
      <c r="AK901" s="374"/>
      <c r="AL901" s="374"/>
      <c r="AO901" s="294"/>
      <c r="AR901" s="374"/>
      <c r="AZ901" s="374"/>
      <c r="BE901" s="26"/>
      <c r="BF901" s="26"/>
      <c r="BG901" s="26"/>
      <c r="BH901" s="26"/>
      <c r="BI901" s="26"/>
      <c r="BJ901" s="26"/>
      <c r="BK901" s="26"/>
      <c r="BL901" s="26"/>
      <c r="BS901" s="20"/>
      <c r="BT901" s="26"/>
      <c r="BV901" s="381"/>
      <c r="BW901" s="229"/>
    </row>
    <row r="902" spans="33:75" x14ac:dyDescent="0.2">
      <c r="AG902" s="294"/>
      <c r="AH902" s="294"/>
      <c r="AI902" s="294"/>
      <c r="AJ902" s="26"/>
      <c r="AK902" s="374"/>
      <c r="AL902" s="374"/>
      <c r="AO902" s="294"/>
      <c r="AR902" s="374"/>
      <c r="AZ902" s="374"/>
      <c r="BE902" s="26"/>
      <c r="BF902" s="26"/>
      <c r="BG902" s="26"/>
      <c r="BH902" s="26"/>
      <c r="BI902" s="26"/>
      <c r="BJ902" s="26"/>
      <c r="BK902" s="26"/>
      <c r="BL902" s="26"/>
      <c r="BS902" s="20"/>
      <c r="BT902" s="26"/>
      <c r="BV902" s="381"/>
      <c r="BW902" s="229"/>
    </row>
    <row r="903" spans="33:75" x14ac:dyDescent="0.2">
      <c r="AG903" s="294"/>
      <c r="AH903" s="294"/>
      <c r="AI903" s="294"/>
      <c r="AJ903" s="26"/>
      <c r="AK903" s="374"/>
      <c r="AL903" s="374"/>
      <c r="AO903" s="294"/>
      <c r="AR903" s="374"/>
      <c r="AZ903" s="374"/>
      <c r="BE903" s="26"/>
      <c r="BF903" s="26"/>
      <c r="BG903" s="26"/>
      <c r="BH903" s="26"/>
      <c r="BI903" s="26"/>
      <c r="BJ903" s="26"/>
      <c r="BK903" s="26"/>
      <c r="BL903" s="26"/>
      <c r="BS903" s="20"/>
      <c r="BT903" s="26"/>
      <c r="BV903" s="381"/>
      <c r="BW903" s="229"/>
    </row>
    <row r="904" spans="33:75" x14ac:dyDescent="0.2">
      <c r="AG904" s="294"/>
      <c r="AH904" s="294"/>
      <c r="AI904" s="294"/>
      <c r="AJ904" s="26"/>
      <c r="AK904" s="374"/>
      <c r="AL904" s="374"/>
      <c r="AO904" s="294"/>
      <c r="AR904" s="374"/>
      <c r="AZ904" s="374"/>
      <c r="BE904" s="26"/>
      <c r="BF904" s="26"/>
      <c r="BG904" s="26"/>
      <c r="BH904" s="26"/>
      <c r="BI904" s="26"/>
      <c r="BJ904" s="26"/>
      <c r="BK904" s="26"/>
      <c r="BL904" s="26"/>
      <c r="BS904" s="20"/>
      <c r="BT904" s="26"/>
      <c r="BV904" s="381"/>
      <c r="BW904" s="229"/>
    </row>
    <row r="905" spans="33:75" x14ac:dyDescent="0.2">
      <c r="AG905" s="294"/>
      <c r="AH905" s="294"/>
      <c r="AI905" s="294"/>
      <c r="AJ905" s="26"/>
      <c r="AK905" s="374"/>
      <c r="AL905" s="374"/>
      <c r="AO905" s="294"/>
      <c r="AR905" s="374"/>
      <c r="AZ905" s="374"/>
      <c r="BE905" s="26"/>
      <c r="BF905" s="26"/>
      <c r="BG905" s="26"/>
      <c r="BH905" s="26"/>
      <c r="BI905" s="26"/>
      <c r="BJ905" s="26"/>
      <c r="BK905" s="26"/>
      <c r="BL905" s="26"/>
      <c r="BS905" s="20"/>
      <c r="BT905" s="26"/>
      <c r="BV905" s="381"/>
      <c r="BW905" s="229"/>
    </row>
    <row r="906" spans="33:75" x14ac:dyDescent="0.2">
      <c r="AG906" s="294"/>
      <c r="AH906" s="294"/>
      <c r="AI906" s="294"/>
      <c r="AJ906" s="26"/>
      <c r="AK906" s="374"/>
      <c r="AL906" s="374"/>
      <c r="AO906" s="294"/>
      <c r="AR906" s="374"/>
      <c r="AZ906" s="374"/>
      <c r="BE906" s="26"/>
      <c r="BF906" s="26"/>
      <c r="BG906" s="26"/>
      <c r="BH906" s="26"/>
      <c r="BI906" s="26"/>
      <c r="BJ906" s="26"/>
      <c r="BK906" s="26"/>
      <c r="BL906" s="26"/>
      <c r="BS906" s="20"/>
      <c r="BT906" s="26"/>
      <c r="BV906" s="381"/>
      <c r="BW906" s="229"/>
    </row>
    <row r="907" spans="33:75" x14ac:dyDescent="0.2">
      <c r="AG907" s="294"/>
      <c r="AH907" s="294"/>
      <c r="AI907" s="294"/>
      <c r="AJ907" s="26"/>
      <c r="AK907" s="374"/>
      <c r="AL907" s="374"/>
      <c r="AO907" s="294"/>
      <c r="AR907" s="374"/>
      <c r="AZ907" s="374"/>
      <c r="BE907" s="26"/>
      <c r="BF907" s="26"/>
      <c r="BG907" s="26"/>
      <c r="BH907" s="26"/>
      <c r="BI907" s="26"/>
      <c r="BJ907" s="26"/>
      <c r="BK907" s="26"/>
      <c r="BL907" s="26"/>
      <c r="BS907" s="20"/>
      <c r="BT907" s="26"/>
      <c r="BV907" s="381"/>
      <c r="BW907" s="229"/>
    </row>
    <row r="908" spans="33:75" x14ac:dyDescent="0.2">
      <c r="AG908" s="294"/>
      <c r="AH908" s="294"/>
      <c r="AI908" s="294"/>
      <c r="AJ908" s="26"/>
      <c r="AK908" s="374"/>
      <c r="AL908" s="374"/>
      <c r="AO908" s="294"/>
      <c r="AR908" s="374"/>
      <c r="AZ908" s="374"/>
      <c r="BE908" s="26"/>
      <c r="BF908" s="26"/>
      <c r="BG908" s="26"/>
      <c r="BH908" s="26"/>
      <c r="BI908" s="26"/>
      <c r="BJ908" s="26"/>
      <c r="BK908" s="26"/>
      <c r="BL908" s="26"/>
      <c r="BS908" s="20"/>
      <c r="BT908" s="26"/>
      <c r="BV908" s="381"/>
      <c r="BW908" s="229"/>
    </row>
    <row r="909" spans="33:75" x14ac:dyDescent="0.2">
      <c r="AG909" s="294"/>
      <c r="AH909" s="294"/>
      <c r="AI909" s="294"/>
      <c r="AJ909" s="26"/>
      <c r="AK909" s="374"/>
      <c r="AL909" s="374"/>
      <c r="AO909" s="294"/>
      <c r="AR909" s="374"/>
      <c r="AZ909" s="374"/>
      <c r="BE909" s="26"/>
      <c r="BF909" s="26"/>
      <c r="BG909" s="26"/>
      <c r="BH909" s="26"/>
      <c r="BI909" s="26"/>
      <c r="BJ909" s="26"/>
      <c r="BK909" s="26"/>
      <c r="BL909" s="26"/>
      <c r="BS909" s="20"/>
      <c r="BT909" s="26"/>
      <c r="BV909" s="381"/>
      <c r="BW909" s="229"/>
    </row>
    <row r="910" spans="33:75" x14ac:dyDescent="0.2">
      <c r="AG910" s="294"/>
      <c r="AH910" s="294"/>
      <c r="AI910" s="294"/>
      <c r="AJ910" s="26"/>
      <c r="AK910" s="374"/>
      <c r="AL910" s="374"/>
      <c r="AO910" s="294"/>
      <c r="AR910" s="374"/>
      <c r="AZ910" s="374"/>
      <c r="BE910" s="26"/>
      <c r="BF910" s="26"/>
      <c r="BG910" s="26"/>
      <c r="BH910" s="26"/>
      <c r="BI910" s="26"/>
      <c r="BJ910" s="26"/>
      <c r="BK910" s="26"/>
      <c r="BL910" s="26"/>
      <c r="BS910" s="20"/>
      <c r="BT910" s="26"/>
      <c r="BV910" s="381"/>
      <c r="BW910" s="229"/>
    </row>
    <row r="911" spans="33:75" x14ac:dyDescent="0.2">
      <c r="AG911" s="294"/>
      <c r="AH911" s="294"/>
      <c r="AI911" s="294"/>
      <c r="AJ911" s="26"/>
      <c r="AK911" s="374"/>
      <c r="AL911" s="374"/>
      <c r="AO911" s="294"/>
      <c r="AR911" s="374"/>
      <c r="AZ911" s="374"/>
      <c r="BE911" s="26"/>
      <c r="BF911" s="26"/>
      <c r="BG911" s="26"/>
      <c r="BH911" s="26"/>
      <c r="BI911" s="26"/>
      <c r="BJ911" s="26"/>
      <c r="BK911" s="26"/>
      <c r="BL911" s="26"/>
      <c r="BS911" s="20"/>
      <c r="BT911" s="26"/>
      <c r="BV911" s="381"/>
      <c r="BW911" s="229"/>
    </row>
    <row r="912" spans="33:75" x14ac:dyDescent="0.2">
      <c r="AG912" s="294"/>
      <c r="AH912" s="294"/>
      <c r="AI912" s="294"/>
      <c r="AJ912" s="26"/>
      <c r="AK912" s="374"/>
      <c r="AL912" s="374"/>
      <c r="AO912" s="294"/>
      <c r="AR912" s="374"/>
      <c r="AZ912" s="374"/>
      <c r="BE912" s="26"/>
      <c r="BF912" s="26"/>
      <c r="BG912" s="26"/>
      <c r="BH912" s="26"/>
      <c r="BI912" s="26"/>
      <c r="BJ912" s="26"/>
      <c r="BK912" s="26"/>
      <c r="BL912" s="26"/>
      <c r="BS912" s="20"/>
      <c r="BT912" s="26"/>
      <c r="BV912" s="381"/>
      <c r="BW912" s="229"/>
    </row>
    <row r="913" spans="33:75" x14ac:dyDescent="0.2">
      <c r="AG913" s="294"/>
      <c r="AH913" s="294"/>
      <c r="AI913" s="294"/>
      <c r="AJ913" s="26"/>
      <c r="AK913" s="374"/>
      <c r="AL913" s="374"/>
      <c r="AO913" s="294"/>
      <c r="AR913" s="374"/>
      <c r="AZ913" s="374"/>
      <c r="BE913" s="26"/>
      <c r="BF913" s="26"/>
      <c r="BG913" s="26"/>
      <c r="BH913" s="26"/>
      <c r="BI913" s="26"/>
      <c r="BJ913" s="26"/>
      <c r="BK913" s="26"/>
      <c r="BL913" s="26"/>
      <c r="BS913" s="20"/>
      <c r="BT913" s="26"/>
      <c r="BV913" s="381"/>
      <c r="BW913" s="229"/>
    </row>
    <row r="914" spans="33:75" x14ac:dyDescent="0.2">
      <c r="AG914" s="294"/>
      <c r="AH914" s="294"/>
      <c r="AI914" s="294"/>
      <c r="AJ914" s="26"/>
      <c r="AK914" s="374"/>
      <c r="AL914" s="374"/>
      <c r="AO914" s="294"/>
      <c r="AR914" s="374"/>
      <c r="AZ914" s="374"/>
      <c r="BE914" s="26"/>
      <c r="BF914" s="26"/>
      <c r="BG914" s="26"/>
      <c r="BH914" s="26"/>
      <c r="BI914" s="26"/>
      <c r="BJ914" s="26"/>
      <c r="BK914" s="26"/>
      <c r="BL914" s="26"/>
      <c r="BS914" s="20"/>
      <c r="BT914" s="26"/>
      <c r="BV914" s="381"/>
      <c r="BW914" s="229"/>
    </row>
    <row r="915" spans="33:75" x14ac:dyDescent="0.2">
      <c r="AG915" s="294"/>
      <c r="AH915" s="294"/>
      <c r="AI915" s="294"/>
      <c r="AJ915" s="26"/>
      <c r="AK915" s="374"/>
      <c r="AL915" s="374"/>
      <c r="AO915" s="294"/>
      <c r="AR915" s="374"/>
      <c r="AZ915" s="374"/>
      <c r="BE915" s="26"/>
      <c r="BF915" s="26"/>
      <c r="BG915" s="26"/>
      <c r="BH915" s="26"/>
      <c r="BI915" s="26"/>
      <c r="BJ915" s="26"/>
      <c r="BK915" s="26"/>
      <c r="BL915" s="26"/>
      <c r="BS915" s="20"/>
      <c r="BT915" s="26"/>
      <c r="BV915" s="381"/>
      <c r="BW915" s="229"/>
    </row>
    <row r="916" spans="33:75" x14ac:dyDescent="0.2">
      <c r="AG916" s="294"/>
      <c r="AH916" s="294"/>
      <c r="AI916" s="294"/>
      <c r="AJ916" s="26"/>
      <c r="AK916" s="374"/>
      <c r="AL916" s="374"/>
      <c r="AO916" s="294"/>
      <c r="AR916" s="374"/>
      <c r="AZ916" s="374"/>
      <c r="BE916" s="26"/>
      <c r="BF916" s="26"/>
      <c r="BG916" s="26"/>
      <c r="BH916" s="26"/>
      <c r="BI916" s="26"/>
      <c r="BJ916" s="26"/>
      <c r="BK916" s="26"/>
      <c r="BL916" s="26"/>
      <c r="BS916" s="20"/>
      <c r="BT916" s="26"/>
      <c r="BV916" s="381"/>
      <c r="BW916" s="229"/>
    </row>
    <row r="917" spans="33:75" x14ac:dyDescent="0.2">
      <c r="AG917" s="294"/>
      <c r="AH917" s="294"/>
      <c r="AI917" s="294"/>
      <c r="AJ917" s="26"/>
      <c r="AK917" s="374"/>
      <c r="AL917" s="374"/>
      <c r="AO917" s="294"/>
      <c r="AR917" s="374"/>
      <c r="AZ917" s="374"/>
      <c r="BE917" s="26"/>
      <c r="BF917" s="26"/>
      <c r="BG917" s="26"/>
      <c r="BH917" s="26"/>
      <c r="BI917" s="26"/>
      <c r="BJ917" s="26"/>
      <c r="BK917" s="26"/>
      <c r="BL917" s="26"/>
      <c r="BS917" s="20"/>
      <c r="BT917" s="26"/>
      <c r="BV917" s="381"/>
      <c r="BW917" s="229"/>
    </row>
    <row r="918" spans="33:75" x14ac:dyDescent="0.2">
      <c r="AG918" s="294"/>
      <c r="AH918" s="294"/>
      <c r="AI918" s="294"/>
      <c r="AJ918" s="26"/>
      <c r="AK918" s="374"/>
      <c r="AL918" s="374"/>
      <c r="AO918" s="294"/>
      <c r="AR918" s="374"/>
      <c r="AZ918" s="374"/>
      <c r="BE918" s="26"/>
      <c r="BF918" s="26"/>
      <c r="BG918" s="26"/>
      <c r="BH918" s="26"/>
      <c r="BI918" s="26"/>
      <c r="BJ918" s="26"/>
      <c r="BK918" s="26"/>
      <c r="BL918" s="26"/>
      <c r="BS918" s="20"/>
      <c r="BT918" s="26"/>
      <c r="BV918" s="381"/>
      <c r="BW918" s="229"/>
    </row>
    <row r="919" spans="33:75" x14ac:dyDescent="0.2">
      <c r="AG919" s="294"/>
      <c r="AH919" s="294"/>
      <c r="AI919" s="294"/>
      <c r="AJ919" s="26"/>
      <c r="AK919" s="374"/>
      <c r="AL919" s="374"/>
      <c r="AO919" s="294"/>
      <c r="AR919" s="374"/>
      <c r="AZ919" s="374"/>
      <c r="BE919" s="26"/>
      <c r="BF919" s="26"/>
      <c r="BG919" s="26"/>
      <c r="BH919" s="26"/>
      <c r="BI919" s="26"/>
      <c r="BJ919" s="26"/>
      <c r="BK919" s="26"/>
      <c r="BL919" s="26"/>
      <c r="BS919" s="20"/>
      <c r="BT919" s="26"/>
      <c r="BV919" s="381"/>
      <c r="BW919" s="229"/>
    </row>
    <row r="920" spans="33:75" x14ac:dyDescent="0.2">
      <c r="AG920" s="294"/>
      <c r="AH920" s="294"/>
      <c r="AI920" s="294"/>
      <c r="AJ920" s="26"/>
      <c r="AK920" s="374"/>
      <c r="AL920" s="374"/>
      <c r="AO920" s="294"/>
      <c r="AR920" s="374"/>
      <c r="AZ920" s="374"/>
      <c r="BE920" s="26"/>
      <c r="BF920" s="26"/>
      <c r="BG920" s="26"/>
      <c r="BH920" s="26"/>
      <c r="BI920" s="26"/>
      <c r="BJ920" s="26"/>
      <c r="BK920" s="26"/>
      <c r="BL920" s="26"/>
      <c r="BS920" s="20"/>
      <c r="BT920" s="26"/>
      <c r="BV920" s="381"/>
      <c r="BW920" s="229"/>
    </row>
    <row r="921" spans="33:75" x14ac:dyDescent="0.2">
      <c r="AG921" s="294"/>
      <c r="AH921" s="294"/>
      <c r="AI921" s="294"/>
      <c r="AJ921" s="26"/>
      <c r="AK921" s="374"/>
      <c r="AL921" s="374"/>
      <c r="AO921" s="294"/>
      <c r="AR921" s="374"/>
      <c r="AZ921" s="374"/>
      <c r="BE921" s="26"/>
      <c r="BF921" s="26"/>
      <c r="BG921" s="26"/>
      <c r="BH921" s="26"/>
      <c r="BI921" s="26"/>
      <c r="BJ921" s="26"/>
      <c r="BK921" s="26"/>
      <c r="BL921" s="26"/>
      <c r="BS921" s="20"/>
      <c r="BT921" s="26"/>
      <c r="BV921" s="381"/>
      <c r="BW921" s="229"/>
    </row>
    <row r="922" spans="33:75" x14ac:dyDescent="0.2">
      <c r="AG922" s="294"/>
      <c r="AH922" s="294"/>
      <c r="AI922" s="294"/>
      <c r="AJ922" s="26"/>
      <c r="AK922" s="374"/>
      <c r="AL922" s="374"/>
      <c r="AO922" s="294"/>
      <c r="AR922" s="374"/>
      <c r="AZ922" s="374"/>
      <c r="BE922" s="26"/>
      <c r="BF922" s="26"/>
      <c r="BG922" s="26"/>
      <c r="BH922" s="26"/>
      <c r="BI922" s="26"/>
      <c r="BJ922" s="26"/>
      <c r="BK922" s="26"/>
      <c r="BL922" s="26"/>
      <c r="BS922" s="20"/>
      <c r="BT922" s="26"/>
      <c r="BV922" s="381"/>
      <c r="BW922" s="229"/>
    </row>
    <row r="923" spans="33:75" x14ac:dyDescent="0.2">
      <c r="AG923" s="294"/>
      <c r="AH923" s="294"/>
      <c r="AI923" s="294"/>
      <c r="AJ923" s="26"/>
      <c r="AK923" s="374"/>
      <c r="AL923" s="374"/>
      <c r="AO923" s="294"/>
      <c r="AR923" s="374"/>
      <c r="AZ923" s="374"/>
      <c r="BE923" s="26"/>
      <c r="BF923" s="26"/>
      <c r="BG923" s="26"/>
      <c r="BH923" s="26"/>
      <c r="BI923" s="26"/>
      <c r="BJ923" s="26"/>
      <c r="BK923" s="26"/>
      <c r="BL923" s="26"/>
      <c r="BS923" s="20"/>
      <c r="BT923" s="26"/>
      <c r="BV923" s="381"/>
      <c r="BW923" s="229"/>
    </row>
    <row r="924" spans="33:75" x14ac:dyDescent="0.2">
      <c r="AG924" s="294"/>
      <c r="AH924" s="294"/>
      <c r="AI924" s="294"/>
      <c r="AJ924" s="26"/>
      <c r="AK924" s="374"/>
      <c r="AL924" s="374"/>
      <c r="AO924" s="294"/>
      <c r="AR924" s="374"/>
      <c r="AZ924" s="374"/>
      <c r="BE924" s="26"/>
      <c r="BF924" s="26"/>
      <c r="BG924" s="26"/>
      <c r="BH924" s="26"/>
      <c r="BI924" s="26"/>
      <c r="BJ924" s="26"/>
      <c r="BK924" s="26"/>
      <c r="BL924" s="26"/>
      <c r="BS924" s="20"/>
      <c r="BT924" s="26"/>
      <c r="BV924" s="381"/>
      <c r="BW924" s="229"/>
    </row>
    <row r="925" spans="33:75" x14ac:dyDescent="0.2">
      <c r="AG925" s="294"/>
      <c r="AH925" s="294"/>
      <c r="AI925" s="294"/>
      <c r="AJ925" s="26"/>
      <c r="AK925" s="374"/>
      <c r="AL925" s="374"/>
      <c r="AO925" s="294"/>
      <c r="AR925" s="374"/>
      <c r="AZ925" s="374"/>
      <c r="BE925" s="26"/>
      <c r="BF925" s="26"/>
      <c r="BG925" s="26"/>
      <c r="BH925" s="26"/>
      <c r="BI925" s="26"/>
      <c r="BJ925" s="26"/>
      <c r="BK925" s="26"/>
      <c r="BL925" s="26"/>
      <c r="BS925" s="20"/>
      <c r="BT925" s="26"/>
      <c r="BV925" s="381"/>
      <c r="BW925" s="229"/>
    </row>
    <row r="926" spans="33:75" x14ac:dyDescent="0.2">
      <c r="AG926" s="294"/>
      <c r="AH926" s="294"/>
      <c r="AI926" s="294"/>
      <c r="AJ926" s="26"/>
      <c r="AK926" s="374"/>
      <c r="AL926" s="374"/>
      <c r="AO926" s="294"/>
      <c r="AR926" s="374"/>
      <c r="AZ926" s="374"/>
      <c r="BE926" s="26"/>
      <c r="BF926" s="26"/>
      <c r="BG926" s="26"/>
      <c r="BH926" s="26"/>
      <c r="BI926" s="26"/>
      <c r="BJ926" s="26"/>
      <c r="BK926" s="26"/>
      <c r="BL926" s="26"/>
      <c r="BS926" s="20"/>
      <c r="BT926" s="26"/>
      <c r="BV926" s="381"/>
      <c r="BW926" s="229"/>
    </row>
    <row r="927" spans="33:75" x14ac:dyDescent="0.2">
      <c r="AG927" s="294"/>
      <c r="AH927" s="294"/>
      <c r="AI927" s="294"/>
      <c r="AJ927" s="26"/>
      <c r="AK927" s="374"/>
      <c r="AL927" s="374"/>
      <c r="AO927" s="294"/>
      <c r="AR927" s="374"/>
      <c r="AZ927" s="374"/>
      <c r="BE927" s="26"/>
      <c r="BF927" s="26"/>
      <c r="BG927" s="26"/>
      <c r="BH927" s="26"/>
      <c r="BI927" s="26"/>
      <c r="BJ927" s="26"/>
      <c r="BK927" s="26"/>
      <c r="BL927" s="26"/>
      <c r="BS927" s="20"/>
      <c r="BT927" s="26"/>
      <c r="BV927" s="381"/>
      <c r="BW927" s="229"/>
    </row>
    <row r="928" spans="33:75" x14ac:dyDescent="0.2">
      <c r="AG928" s="294"/>
      <c r="AH928" s="294"/>
      <c r="AI928" s="294"/>
      <c r="AJ928" s="26"/>
      <c r="AK928" s="374"/>
      <c r="AL928" s="374"/>
      <c r="AO928" s="294"/>
      <c r="AR928" s="374"/>
      <c r="AZ928" s="374"/>
      <c r="BE928" s="26"/>
      <c r="BF928" s="26"/>
      <c r="BG928" s="26"/>
      <c r="BH928" s="26"/>
      <c r="BI928" s="26"/>
      <c r="BJ928" s="26"/>
      <c r="BK928" s="26"/>
      <c r="BL928" s="26"/>
      <c r="BS928" s="20"/>
      <c r="BT928" s="26"/>
      <c r="BV928" s="381"/>
      <c r="BW928" s="229"/>
    </row>
    <row r="929" spans="33:75" x14ac:dyDescent="0.2">
      <c r="AG929" s="294"/>
      <c r="AH929" s="294"/>
      <c r="AI929" s="294"/>
      <c r="AJ929" s="26"/>
      <c r="AK929" s="374"/>
      <c r="AL929" s="374"/>
      <c r="AO929" s="294"/>
      <c r="AR929" s="374"/>
      <c r="AZ929" s="374"/>
      <c r="BE929" s="26"/>
      <c r="BF929" s="26"/>
      <c r="BG929" s="26"/>
      <c r="BH929" s="26"/>
      <c r="BI929" s="26"/>
      <c r="BJ929" s="26"/>
      <c r="BK929" s="26"/>
      <c r="BL929" s="26"/>
      <c r="BS929" s="20"/>
      <c r="BT929" s="26"/>
      <c r="BV929" s="381"/>
      <c r="BW929" s="229"/>
    </row>
    <row r="930" spans="33:75" x14ac:dyDescent="0.2">
      <c r="AG930" s="294"/>
      <c r="AH930" s="294"/>
      <c r="AI930" s="294"/>
      <c r="AJ930" s="26"/>
      <c r="AK930" s="374"/>
      <c r="AL930" s="374"/>
      <c r="AO930" s="294"/>
      <c r="AR930" s="374"/>
      <c r="AZ930" s="374"/>
      <c r="BE930" s="26"/>
      <c r="BF930" s="26"/>
      <c r="BG930" s="26"/>
      <c r="BH930" s="26"/>
      <c r="BI930" s="26"/>
      <c r="BJ930" s="26"/>
      <c r="BK930" s="26"/>
      <c r="BL930" s="26"/>
      <c r="BS930" s="20"/>
      <c r="BT930" s="26"/>
      <c r="BV930" s="381"/>
      <c r="BW930" s="229"/>
    </row>
    <row r="931" spans="33:75" x14ac:dyDescent="0.2">
      <c r="AG931" s="294"/>
      <c r="AH931" s="294"/>
      <c r="AI931" s="294"/>
      <c r="AJ931" s="26"/>
      <c r="AK931" s="374"/>
      <c r="AL931" s="374"/>
      <c r="AO931" s="294"/>
      <c r="AR931" s="374"/>
      <c r="AZ931" s="374"/>
      <c r="BE931" s="26"/>
      <c r="BF931" s="26"/>
      <c r="BG931" s="26"/>
      <c r="BH931" s="26"/>
      <c r="BI931" s="26"/>
      <c r="BJ931" s="26"/>
      <c r="BK931" s="26"/>
      <c r="BL931" s="26"/>
      <c r="BS931" s="20"/>
      <c r="BT931" s="26"/>
      <c r="BV931" s="381"/>
      <c r="BW931" s="229"/>
    </row>
    <row r="932" spans="33:75" x14ac:dyDescent="0.2">
      <c r="AG932" s="294"/>
      <c r="AH932" s="294"/>
      <c r="AI932" s="294"/>
      <c r="AJ932" s="26"/>
      <c r="AK932" s="374"/>
      <c r="AL932" s="374"/>
      <c r="AO932" s="294"/>
      <c r="AR932" s="374"/>
      <c r="AZ932" s="374"/>
      <c r="BE932" s="26"/>
      <c r="BF932" s="26"/>
      <c r="BG932" s="26"/>
      <c r="BH932" s="26"/>
      <c r="BI932" s="26"/>
      <c r="BJ932" s="26"/>
      <c r="BK932" s="26"/>
      <c r="BL932" s="26"/>
      <c r="BS932" s="20"/>
      <c r="BT932" s="26"/>
      <c r="BV932" s="381"/>
      <c r="BW932" s="229"/>
    </row>
    <row r="933" spans="33:75" x14ac:dyDescent="0.2">
      <c r="AG933" s="294"/>
      <c r="AH933" s="294"/>
      <c r="AI933" s="294"/>
      <c r="AJ933" s="26"/>
      <c r="AK933" s="374"/>
      <c r="AL933" s="374"/>
      <c r="AO933" s="294"/>
      <c r="AR933" s="374"/>
      <c r="AZ933" s="374"/>
      <c r="BE933" s="26"/>
      <c r="BF933" s="26"/>
      <c r="BG933" s="26"/>
      <c r="BH933" s="26"/>
      <c r="BI933" s="26"/>
      <c r="BJ933" s="26"/>
      <c r="BK933" s="26"/>
      <c r="BL933" s="26"/>
      <c r="BS933" s="20"/>
      <c r="BT933" s="26"/>
      <c r="BV933" s="381"/>
      <c r="BW933" s="229"/>
    </row>
    <row r="934" spans="33:75" x14ac:dyDescent="0.2">
      <c r="AG934" s="294"/>
      <c r="AH934" s="294"/>
      <c r="AI934" s="294"/>
      <c r="AJ934" s="26"/>
      <c r="AK934" s="374"/>
      <c r="AL934" s="374"/>
      <c r="AO934" s="294"/>
      <c r="AR934" s="374"/>
      <c r="AZ934" s="374"/>
      <c r="BE934" s="26"/>
      <c r="BF934" s="26"/>
      <c r="BG934" s="26"/>
      <c r="BH934" s="26"/>
      <c r="BI934" s="26"/>
      <c r="BJ934" s="26"/>
      <c r="BK934" s="26"/>
      <c r="BL934" s="26"/>
      <c r="BS934" s="20"/>
      <c r="BT934" s="26"/>
      <c r="BV934" s="381"/>
      <c r="BW934" s="229"/>
    </row>
    <row r="935" spans="33:75" x14ac:dyDescent="0.2">
      <c r="AG935" s="294"/>
      <c r="AH935" s="294"/>
      <c r="AI935" s="294"/>
      <c r="AJ935" s="26"/>
      <c r="AK935" s="374"/>
      <c r="AL935" s="374"/>
      <c r="AO935" s="294"/>
      <c r="AR935" s="374"/>
      <c r="AZ935" s="374"/>
      <c r="BE935" s="26"/>
      <c r="BF935" s="26"/>
      <c r="BG935" s="26"/>
      <c r="BH935" s="26"/>
      <c r="BI935" s="26"/>
      <c r="BJ935" s="26"/>
      <c r="BK935" s="26"/>
      <c r="BL935" s="26"/>
      <c r="BS935" s="20"/>
      <c r="BT935" s="26"/>
      <c r="BV935" s="381"/>
      <c r="BW935" s="229"/>
    </row>
    <row r="936" spans="33:75" x14ac:dyDescent="0.2">
      <c r="AG936" s="294"/>
      <c r="AH936" s="294"/>
      <c r="AI936" s="294"/>
      <c r="AJ936" s="26"/>
      <c r="AK936" s="374"/>
      <c r="AL936" s="374"/>
      <c r="AO936" s="294"/>
      <c r="AR936" s="374"/>
      <c r="AZ936" s="374"/>
      <c r="BE936" s="26"/>
      <c r="BF936" s="26"/>
      <c r="BG936" s="26"/>
      <c r="BH936" s="26"/>
      <c r="BI936" s="26"/>
      <c r="BJ936" s="26"/>
      <c r="BK936" s="26"/>
      <c r="BL936" s="26"/>
      <c r="BS936" s="20"/>
      <c r="BT936" s="26"/>
      <c r="BV936" s="381"/>
      <c r="BW936" s="229"/>
    </row>
    <row r="937" spans="33:75" x14ac:dyDescent="0.2">
      <c r="AG937" s="294"/>
      <c r="AH937" s="294"/>
      <c r="AI937" s="294"/>
      <c r="AJ937" s="26"/>
      <c r="AK937" s="374"/>
      <c r="AL937" s="374"/>
      <c r="AO937" s="294"/>
      <c r="AR937" s="374"/>
      <c r="AZ937" s="374"/>
      <c r="BE937" s="26"/>
      <c r="BF937" s="26"/>
      <c r="BG937" s="26"/>
      <c r="BH937" s="26"/>
      <c r="BI937" s="26"/>
      <c r="BJ937" s="26"/>
      <c r="BK937" s="26"/>
      <c r="BL937" s="26"/>
      <c r="BS937" s="20"/>
      <c r="BT937" s="26"/>
      <c r="BV937" s="381"/>
      <c r="BW937" s="229"/>
    </row>
    <row r="938" spans="33:75" x14ac:dyDescent="0.2">
      <c r="AG938" s="294"/>
      <c r="AH938" s="294"/>
      <c r="AI938" s="294"/>
      <c r="AJ938" s="26"/>
      <c r="AK938" s="374"/>
      <c r="AL938" s="374"/>
      <c r="AO938" s="294"/>
      <c r="AR938" s="374"/>
      <c r="AZ938" s="374"/>
      <c r="BE938" s="26"/>
      <c r="BF938" s="26"/>
      <c r="BG938" s="26"/>
      <c r="BH938" s="26"/>
      <c r="BI938" s="26"/>
      <c r="BJ938" s="26"/>
      <c r="BK938" s="26"/>
      <c r="BL938" s="26"/>
      <c r="BS938" s="20"/>
      <c r="BT938" s="26"/>
      <c r="BV938" s="381"/>
      <c r="BW938" s="229"/>
    </row>
    <row r="939" spans="33:75" x14ac:dyDescent="0.2">
      <c r="AG939" s="294"/>
      <c r="AH939" s="294"/>
      <c r="AI939" s="294"/>
      <c r="AJ939" s="26"/>
      <c r="AK939" s="374"/>
      <c r="AL939" s="374"/>
      <c r="AO939" s="294"/>
      <c r="AR939" s="374"/>
      <c r="AZ939" s="374"/>
      <c r="BE939" s="26"/>
      <c r="BF939" s="26"/>
      <c r="BG939" s="26"/>
      <c r="BH939" s="26"/>
      <c r="BI939" s="26"/>
      <c r="BJ939" s="26"/>
      <c r="BK939" s="26"/>
      <c r="BL939" s="26"/>
      <c r="BS939" s="20"/>
      <c r="BT939" s="26"/>
      <c r="BV939" s="381"/>
      <c r="BW939" s="229"/>
    </row>
    <row r="940" spans="33:75" x14ac:dyDescent="0.2">
      <c r="AG940" s="294"/>
      <c r="AH940" s="294"/>
      <c r="AI940" s="294"/>
      <c r="AJ940" s="26"/>
      <c r="AK940" s="374"/>
      <c r="AL940" s="374"/>
      <c r="AO940" s="294"/>
      <c r="AR940" s="374"/>
      <c r="AZ940" s="374"/>
      <c r="BE940" s="26"/>
      <c r="BF940" s="26"/>
      <c r="BG940" s="26"/>
      <c r="BH940" s="26"/>
      <c r="BI940" s="26"/>
      <c r="BJ940" s="26"/>
      <c r="BK940" s="26"/>
      <c r="BL940" s="26"/>
      <c r="BS940" s="20"/>
      <c r="BT940" s="26"/>
      <c r="BV940" s="381"/>
      <c r="BW940" s="229"/>
    </row>
    <row r="941" spans="33:75" x14ac:dyDescent="0.2">
      <c r="AG941" s="294"/>
      <c r="AH941" s="294"/>
      <c r="AI941" s="294"/>
      <c r="AJ941" s="26"/>
      <c r="AK941" s="374"/>
      <c r="AL941" s="374"/>
      <c r="AO941" s="294"/>
      <c r="AR941" s="374"/>
      <c r="AZ941" s="374"/>
      <c r="BE941" s="26"/>
      <c r="BF941" s="26"/>
      <c r="BG941" s="26"/>
      <c r="BH941" s="26"/>
      <c r="BI941" s="26"/>
      <c r="BJ941" s="26"/>
      <c r="BK941" s="26"/>
      <c r="BL941" s="26"/>
      <c r="BS941" s="20"/>
      <c r="BT941" s="26"/>
      <c r="BV941" s="381"/>
      <c r="BW941" s="229"/>
    </row>
    <row r="942" spans="33:75" x14ac:dyDescent="0.2">
      <c r="AG942" s="294"/>
      <c r="AH942" s="294"/>
      <c r="AI942" s="294"/>
      <c r="AJ942" s="26"/>
      <c r="AK942" s="374"/>
      <c r="AL942" s="374"/>
      <c r="AO942" s="294"/>
      <c r="AR942" s="374"/>
      <c r="AZ942" s="374"/>
      <c r="BE942" s="26"/>
      <c r="BF942" s="26"/>
      <c r="BG942" s="26"/>
      <c r="BH942" s="26"/>
      <c r="BI942" s="26"/>
      <c r="BJ942" s="26"/>
      <c r="BK942" s="26"/>
      <c r="BL942" s="26"/>
      <c r="BS942" s="20"/>
      <c r="BT942" s="26"/>
      <c r="BV942" s="381"/>
      <c r="BW942" s="229"/>
    </row>
    <row r="943" spans="33:75" x14ac:dyDescent="0.2">
      <c r="AG943" s="294"/>
      <c r="AH943" s="294"/>
      <c r="AI943" s="294"/>
      <c r="AJ943" s="26"/>
      <c r="AK943" s="374"/>
      <c r="AL943" s="374"/>
      <c r="AO943" s="294"/>
      <c r="AR943" s="374"/>
      <c r="AZ943" s="374"/>
      <c r="BE943" s="26"/>
      <c r="BF943" s="26"/>
      <c r="BG943" s="26"/>
      <c r="BH943" s="26"/>
      <c r="BI943" s="26"/>
      <c r="BJ943" s="26"/>
      <c r="BK943" s="26"/>
      <c r="BL943" s="26"/>
      <c r="BS943" s="20"/>
      <c r="BT943" s="26"/>
      <c r="BV943" s="381"/>
      <c r="BW943" s="229"/>
    </row>
    <row r="944" spans="33:75" x14ac:dyDescent="0.2">
      <c r="AG944" s="294"/>
      <c r="AH944" s="294"/>
      <c r="AI944" s="294"/>
      <c r="AJ944" s="26"/>
      <c r="AK944" s="374"/>
      <c r="AL944" s="374"/>
      <c r="AO944" s="294"/>
      <c r="AR944" s="374"/>
      <c r="AZ944" s="374"/>
      <c r="BE944" s="26"/>
      <c r="BF944" s="26"/>
      <c r="BG944" s="26"/>
      <c r="BH944" s="26"/>
      <c r="BI944" s="26"/>
      <c r="BJ944" s="26"/>
      <c r="BK944" s="26"/>
      <c r="BL944" s="26"/>
      <c r="BS944" s="20"/>
      <c r="BT944" s="26"/>
      <c r="BV944" s="381"/>
      <c r="BW944" s="229"/>
    </row>
    <row r="945" spans="33:75" x14ac:dyDescent="0.2">
      <c r="AG945" s="294"/>
      <c r="AH945" s="294"/>
      <c r="AI945" s="294"/>
      <c r="AJ945" s="26"/>
      <c r="AK945" s="374"/>
      <c r="AL945" s="374"/>
      <c r="AO945" s="294"/>
      <c r="AR945" s="374"/>
      <c r="AZ945" s="374"/>
      <c r="BE945" s="26"/>
      <c r="BF945" s="26"/>
      <c r="BG945" s="26"/>
      <c r="BH945" s="26"/>
      <c r="BI945" s="26"/>
      <c r="BJ945" s="26"/>
      <c r="BK945" s="26"/>
      <c r="BL945" s="26"/>
      <c r="BS945" s="20"/>
      <c r="BT945" s="26"/>
      <c r="BV945" s="381"/>
      <c r="BW945" s="229"/>
    </row>
    <row r="946" spans="33:75" x14ac:dyDescent="0.2">
      <c r="AG946" s="294"/>
      <c r="AH946" s="294"/>
      <c r="AI946" s="294"/>
      <c r="AJ946" s="26"/>
      <c r="AK946" s="374"/>
      <c r="AL946" s="374"/>
      <c r="AO946" s="294"/>
      <c r="AR946" s="374"/>
      <c r="AZ946" s="374"/>
      <c r="BE946" s="26"/>
      <c r="BF946" s="26"/>
      <c r="BG946" s="26"/>
      <c r="BH946" s="26"/>
      <c r="BI946" s="26"/>
      <c r="BJ946" s="26"/>
      <c r="BK946" s="26"/>
      <c r="BL946" s="26"/>
      <c r="BS946" s="20"/>
      <c r="BT946" s="26"/>
      <c r="BV946" s="381"/>
      <c r="BW946" s="229"/>
    </row>
    <row r="947" spans="33:75" x14ac:dyDescent="0.2">
      <c r="AG947" s="294"/>
      <c r="AH947" s="294"/>
      <c r="AI947" s="294"/>
      <c r="AJ947" s="26"/>
      <c r="AK947" s="374"/>
      <c r="AL947" s="374"/>
      <c r="AO947" s="294"/>
      <c r="AR947" s="374"/>
      <c r="AZ947" s="374"/>
      <c r="BE947" s="26"/>
      <c r="BF947" s="26"/>
      <c r="BG947" s="26"/>
      <c r="BH947" s="26"/>
      <c r="BI947" s="26"/>
      <c r="BJ947" s="26"/>
      <c r="BK947" s="26"/>
      <c r="BL947" s="26"/>
      <c r="BS947" s="20"/>
      <c r="BT947" s="26"/>
      <c r="BV947" s="381"/>
      <c r="BW947" s="229"/>
    </row>
    <row r="948" spans="33:75" x14ac:dyDescent="0.2">
      <c r="AG948" s="294"/>
      <c r="AH948" s="294"/>
      <c r="AI948" s="294"/>
      <c r="AJ948" s="26"/>
      <c r="AK948" s="374"/>
      <c r="AL948" s="374"/>
      <c r="AO948" s="294"/>
      <c r="AR948" s="374"/>
      <c r="AZ948" s="374"/>
      <c r="BE948" s="26"/>
      <c r="BF948" s="26"/>
      <c r="BG948" s="26"/>
      <c r="BH948" s="26"/>
      <c r="BI948" s="26"/>
      <c r="BJ948" s="26"/>
      <c r="BK948" s="26"/>
      <c r="BL948" s="26"/>
      <c r="BS948" s="20"/>
      <c r="BT948" s="26"/>
      <c r="BV948" s="381"/>
      <c r="BW948" s="229"/>
    </row>
    <row r="949" spans="33:75" x14ac:dyDescent="0.2">
      <c r="AG949" s="294"/>
      <c r="AH949" s="294"/>
      <c r="AI949" s="294"/>
      <c r="AJ949" s="26"/>
      <c r="AK949" s="374"/>
      <c r="AL949" s="374"/>
      <c r="AO949" s="294"/>
      <c r="AR949" s="374"/>
      <c r="AZ949" s="374"/>
      <c r="BE949" s="26"/>
      <c r="BF949" s="26"/>
      <c r="BG949" s="26"/>
      <c r="BH949" s="26"/>
      <c r="BI949" s="26"/>
      <c r="BJ949" s="26"/>
      <c r="BK949" s="26"/>
      <c r="BL949" s="26"/>
      <c r="BS949" s="20"/>
      <c r="BT949" s="26"/>
      <c r="BV949" s="381"/>
      <c r="BW949" s="229"/>
    </row>
    <row r="950" spans="33:75" x14ac:dyDescent="0.2">
      <c r="AG950" s="294"/>
      <c r="AH950" s="294"/>
      <c r="AI950" s="294"/>
      <c r="AJ950" s="26"/>
      <c r="AK950" s="374"/>
      <c r="AL950" s="374"/>
      <c r="AO950" s="294"/>
      <c r="AR950" s="374"/>
      <c r="AZ950" s="374"/>
      <c r="BE950" s="26"/>
      <c r="BF950" s="26"/>
      <c r="BG950" s="26"/>
      <c r="BH950" s="26"/>
      <c r="BI950" s="26"/>
      <c r="BJ950" s="26"/>
      <c r="BK950" s="26"/>
      <c r="BL950" s="26"/>
      <c r="BS950" s="20"/>
      <c r="BT950" s="26"/>
      <c r="BV950" s="381"/>
      <c r="BW950" s="229"/>
    </row>
    <row r="951" spans="33:75" x14ac:dyDescent="0.2">
      <c r="AG951" s="294"/>
      <c r="AH951" s="294"/>
      <c r="AI951" s="294"/>
      <c r="AJ951" s="26"/>
      <c r="AK951" s="374"/>
      <c r="AL951" s="374"/>
      <c r="AO951" s="294"/>
      <c r="AR951" s="374"/>
      <c r="AZ951" s="374"/>
      <c r="BE951" s="26"/>
      <c r="BF951" s="26"/>
      <c r="BG951" s="26"/>
      <c r="BH951" s="26"/>
      <c r="BI951" s="26"/>
      <c r="BJ951" s="26"/>
      <c r="BK951" s="26"/>
      <c r="BL951" s="26"/>
      <c r="BS951" s="20"/>
      <c r="BT951" s="26"/>
      <c r="BV951" s="381"/>
      <c r="BW951" s="229"/>
    </row>
    <row r="952" spans="33:75" x14ac:dyDescent="0.2">
      <c r="AG952" s="294"/>
      <c r="AH952" s="294"/>
      <c r="AI952" s="294"/>
      <c r="AJ952" s="26"/>
      <c r="AK952" s="374"/>
      <c r="AL952" s="374"/>
      <c r="AO952" s="294"/>
      <c r="AR952" s="374"/>
      <c r="AZ952" s="374"/>
      <c r="BE952" s="26"/>
      <c r="BF952" s="26"/>
      <c r="BG952" s="26"/>
      <c r="BH952" s="26"/>
      <c r="BI952" s="26"/>
      <c r="BJ952" s="26"/>
      <c r="BK952" s="26"/>
      <c r="BL952" s="26"/>
      <c r="BS952" s="20"/>
      <c r="BT952" s="26"/>
      <c r="BV952" s="381"/>
      <c r="BW952" s="229"/>
    </row>
    <row r="953" spans="33:75" x14ac:dyDescent="0.2">
      <c r="AG953" s="294"/>
      <c r="AH953" s="294"/>
      <c r="AI953" s="294"/>
      <c r="AJ953" s="26"/>
      <c r="AK953" s="374"/>
      <c r="AL953" s="374"/>
      <c r="AO953" s="294"/>
      <c r="AR953" s="374"/>
      <c r="AZ953" s="374"/>
      <c r="BE953" s="26"/>
      <c r="BF953" s="26"/>
      <c r="BG953" s="26"/>
      <c r="BH953" s="26"/>
      <c r="BI953" s="26"/>
      <c r="BJ953" s="26"/>
      <c r="BK953" s="26"/>
      <c r="BL953" s="26"/>
      <c r="BS953" s="20"/>
      <c r="BT953" s="26"/>
      <c r="BV953" s="381"/>
      <c r="BW953" s="229"/>
    </row>
    <row r="954" spans="33:75" x14ac:dyDescent="0.2">
      <c r="AG954" s="294"/>
      <c r="AH954" s="294"/>
      <c r="AI954" s="294"/>
      <c r="AJ954" s="26"/>
      <c r="AK954" s="374"/>
      <c r="AL954" s="374"/>
      <c r="AO954" s="294"/>
      <c r="AR954" s="374"/>
      <c r="AZ954" s="374"/>
      <c r="BE954" s="26"/>
      <c r="BF954" s="26"/>
      <c r="BG954" s="26"/>
      <c r="BH954" s="26"/>
      <c r="BI954" s="26"/>
      <c r="BJ954" s="26"/>
      <c r="BK954" s="26"/>
      <c r="BL954" s="26"/>
      <c r="BS954" s="20"/>
      <c r="BT954" s="26"/>
      <c r="BV954" s="381"/>
      <c r="BW954" s="229"/>
    </row>
    <row r="955" spans="33:75" x14ac:dyDescent="0.2">
      <c r="AG955" s="294"/>
      <c r="AH955" s="294"/>
      <c r="AI955" s="294"/>
      <c r="AJ955" s="26"/>
      <c r="AK955" s="374"/>
      <c r="AL955" s="374"/>
      <c r="AO955" s="294"/>
      <c r="AR955" s="374"/>
      <c r="AZ955" s="374"/>
      <c r="BE955" s="26"/>
      <c r="BF955" s="26"/>
      <c r="BG955" s="26"/>
      <c r="BH955" s="26"/>
      <c r="BI955" s="26"/>
      <c r="BJ955" s="26"/>
      <c r="BK955" s="26"/>
      <c r="BL955" s="26"/>
      <c r="BS955" s="20"/>
      <c r="BT955" s="26"/>
      <c r="BV955" s="381"/>
      <c r="BW955" s="229"/>
    </row>
    <row r="956" spans="33:75" x14ac:dyDescent="0.2">
      <c r="AG956" s="294"/>
      <c r="AH956" s="294"/>
      <c r="AI956" s="294"/>
      <c r="AJ956" s="26"/>
      <c r="AK956" s="374"/>
      <c r="AL956" s="374"/>
      <c r="AO956" s="294"/>
      <c r="AR956" s="374"/>
      <c r="AZ956" s="374"/>
      <c r="BE956" s="26"/>
      <c r="BF956" s="26"/>
      <c r="BG956" s="26"/>
      <c r="BH956" s="26"/>
      <c r="BI956" s="26"/>
      <c r="BJ956" s="26"/>
      <c r="BK956" s="26"/>
      <c r="BL956" s="26"/>
      <c r="BS956" s="20"/>
      <c r="BT956" s="26"/>
      <c r="BV956" s="381"/>
      <c r="BW956" s="229"/>
    </row>
    <row r="957" spans="33:75" x14ac:dyDescent="0.2">
      <c r="AG957" s="294"/>
      <c r="AH957" s="294"/>
      <c r="AI957" s="294"/>
      <c r="AJ957" s="26"/>
      <c r="AK957" s="374"/>
      <c r="AL957" s="374"/>
      <c r="AO957" s="294"/>
      <c r="AR957" s="374"/>
      <c r="AZ957" s="374"/>
      <c r="BE957" s="26"/>
      <c r="BF957" s="26"/>
      <c r="BG957" s="26"/>
      <c r="BH957" s="26"/>
      <c r="BI957" s="26"/>
      <c r="BJ957" s="26"/>
      <c r="BK957" s="26"/>
      <c r="BL957" s="26"/>
      <c r="BS957" s="20"/>
      <c r="BT957" s="26"/>
      <c r="BV957" s="381"/>
      <c r="BW957" s="229"/>
    </row>
    <row r="958" spans="33:75" x14ac:dyDescent="0.2">
      <c r="AG958" s="294"/>
      <c r="AH958" s="294"/>
      <c r="AI958" s="294"/>
      <c r="AJ958" s="26"/>
      <c r="AK958" s="374"/>
      <c r="AL958" s="374"/>
      <c r="AO958" s="294"/>
      <c r="AR958" s="374"/>
      <c r="AZ958" s="374"/>
      <c r="BE958" s="26"/>
      <c r="BF958" s="26"/>
      <c r="BG958" s="26"/>
      <c r="BH958" s="26"/>
      <c r="BI958" s="26"/>
      <c r="BJ958" s="26"/>
      <c r="BK958" s="26"/>
      <c r="BL958" s="26"/>
      <c r="BS958" s="20"/>
      <c r="BT958" s="26"/>
      <c r="BV958" s="381"/>
      <c r="BW958" s="229"/>
    </row>
    <row r="959" spans="33:75" x14ac:dyDescent="0.2">
      <c r="AG959" s="294"/>
      <c r="AH959" s="294"/>
      <c r="AI959" s="294"/>
      <c r="AJ959" s="26"/>
      <c r="AK959" s="374"/>
      <c r="AL959" s="374"/>
      <c r="AO959" s="294"/>
      <c r="AR959" s="374"/>
      <c r="AZ959" s="374"/>
      <c r="BE959" s="26"/>
      <c r="BF959" s="26"/>
      <c r="BG959" s="26"/>
      <c r="BH959" s="26"/>
      <c r="BI959" s="26"/>
      <c r="BJ959" s="26"/>
      <c r="BK959" s="26"/>
      <c r="BL959" s="26"/>
      <c r="BS959" s="20"/>
      <c r="BT959" s="26"/>
      <c r="BV959" s="381"/>
      <c r="BW959" s="229"/>
    </row>
    <row r="960" spans="33:75" x14ac:dyDescent="0.2">
      <c r="AG960" s="294"/>
      <c r="AH960" s="294"/>
      <c r="AI960" s="294"/>
      <c r="AJ960" s="26"/>
      <c r="AK960" s="374"/>
      <c r="AL960" s="374"/>
      <c r="AO960" s="294"/>
      <c r="AR960" s="374"/>
      <c r="AZ960" s="374"/>
      <c r="BE960" s="26"/>
      <c r="BF960" s="26"/>
      <c r="BG960" s="26"/>
      <c r="BH960" s="26"/>
      <c r="BI960" s="26"/>
      <c r="BJ960" s="26"/>
      <c r="BK960" s="26"/>
      <c r="BL960" s="26"/>
      <c r="BS960" s="20"/>
      <c r="BT960" s="26"/>
      <c r="BV960" s="381"/>
      <c r="BW960" s="229"/>
    </row>
    <row r="961" spans="33:75" x14ac:dyDescent="0.2">
      <c r="AG961" s="294"/>
      <c r="AH961" s="294"/>
      <c r="AI961" s="294"/>
      <c r="AJ961" s="26"/>
      <c r="AK961" s="374"/>
      <c r="AL961" s="374"/>
      <c r="AO961" s="294"/>
      <c r="AR961" s="374"/>
      <c r="AZ961" s="374"/>
      <c r="BE961" s="26"/>
      <c r="BF961" s="26"/>
      <c r="BG961" s="26"/>
      <c r="BH961" s="26"/>
      <c r="BI961" s="26"/>
      <c r="BJ961" s="26"/>
      <c r="BK961" s="26"/>
      <c r="BL961" s="26"/>
      <c r="BS961" s="20"/>
      <c r="BT961" s="26"/>
      <c r="BV961" s="381"/>
      <c r="BW961" s="229"/>
    </row>
    <row r="962" spans="33:75" x14ac:dyDescent="0.2">
      <c r="AG962" s="294"/>
      <c r="AH962" s="294"/>
      <c r="AI962" s="294"/>
      <c r="AJ962" s="26"/>
      <c r="AK962" s="374"/>
      <c r="AL962" s="374"/>
      <c r="AO962" s="294"/>
      <c r="AR962" s="374"/>
      <c r="AZ962" s="374"/>
      <c r="BE962" s="26"/>
      <c r="BF962" s="26"/>
      <c r="BG962" s="26"/>
      <c r="BH962" s="26"/>
      <c r="BI962" s="26"/>
      <c r="BJ962" s="26"/>
      <c r="BK962" s="26"/>
      <c r="BL962" s="26"/>
      <c r="BS962" s="20"/>
      <c r="BT962" s="26"/>
      <c r="BV962" s="381"/>
      <c r="BW962" s="229"/>
    </row>
    <row r="963" spans="33:75" x14ac:dyDescent="0.2">
      <c r="AG963" s="294"/>
      <c r="AH963" s="294"/>
      <c r="AI963" s="294"/>
      <c r="AJ963" s="26"/>
      <c r="AK963" s="374"/>
      <c r="AL963" s="374"/>
      <c r="AO963" s="294"/>
      <c r="AR963" s="374"/>
      <c r="AZ963" s="374"/>
      <c r="BE963" s="26"/>
      <c r="BF963" s="26"/>
      <c r="BG963" s="26"/>
      <c r="BH963" s="26"/>
      <c r="BI963" s="26"/>
      <c r="BJ963" s="26"/>
      <c r="BK963" s="26"/>
      <c r="BL963" s="26"/>
      <c r="BS963" s="20"/>
      <c r="BT963" s="26"/>
      <c r="BV963" s="381"/>
      <c r="BW963" s="229"/>
    </row>
    <row r="964" spans="33:75" x14ac:dyDescent="0.2">
      <c r="AG964" s="294"/>
      <c r="AH964" s="294"/>
      <c r="AI964" s="294"/>
      <c r="AJ964" s="26"/>
      <c r="AK964" s="374"/>
      <c r="AL964" s="374"/>
      <c r="AO964" s="294"/>
      <c r="AR964" s="374"/>
      <c r="AZ964" s="374"/>
      <c r="BE964" s="26"/>
      <c r="BF964" s="26"/>
      <c r="BG964" s="26"/>
      <c r="BH964" s="26"/>
      <c r="BI964" s="26"/>
      <c r="BJ964" s="26"/>
      <c r="BK964" s="26"/>
      <c r="BL964" s="26"/>
      <c r="BS964" s="20"/>
      <c r="BT964" s="26"/>
      <c r="BV964" s="381"/>
      <c r="BW964" s="229"/>
    </row>
    <row r="965" spans="33:75" x14ac:dyDescent="0.2">
      <c r="AG965" s="294"/>
      <c r="AH965" s="294"/>
      <c r="AI965" s="294"/>
      <c r="AJ965" s="26"/>
      <c r="AK965" s="374"/>
      <c r="AL965" s="374"/>
      <c r="AO965" s="294"/>
      <c r="AR965" s="374"/>
      <c r="AZ965" s="374"/>
      <c r="BE965" s="26"/>
      <c r="BF965" s="26"/>
      <c r="BG965" s="26"/>
      <c r="BH965" s="26"/>
      <c r="BI965" s="26"/>
      <c r="BJ965" s="26"/>
      <c r="BK965" s="26"/>
      <c r="BL965" s="26"/>
      <c r="BS965" s="20"/>
      <c r="BT965" s="26"/>
      <c r="BV965" s="381"/>
      <c r="BW965" s="229"/>
    </row>
    <row r="966" spans="33:75" x14ac:dyDescent="0.2">
      <c r="AG966" s="294"/>
      <c r="AH966" s="294"/>
      <c r="AI966" s="294"/>
      <c r="AJ966" s="26"/>
      <c r="AK966" s="374"/>
      <c r="AL966" s="374"/>
      <c r="AO966" s="294"/>
      <c r="AR966" s="374"/>
      <c r="AZ966" s="374"/>
      <c r="BE966" s="26"/>
      <c r="BF966" s="26"/>
      <c r="BG966" s="26"/>
      <c r="BH966" s="26"/>
      <c r="BI966" s="26"/>
      <c r="BJ966" s="26"/>
      <c r="BK966" s="26"/>
      <c r="BL966" s="26"/>
      <c r="BS966" s="20"/>
      <c r="BT966" s="26"/>
      <c r="BV966" s="381"/>
      <c r="BW966" s="229"/>
    </row>
    <row r="967" spans="33:75" x14ac:dyDescent="0.2">
      <c r="AG967" s="294"/>
      <c r="AH967" s="294"/>
      <c r="AI967" s="294"/>
      <c r="AJ967" s="26"/>
      <c r="AK967" s="374"/>
      <c r="AL967" s="374"/>
      <c r="AO967" s="294"/>
      <c r="AR967" s="374"/>
      <c r="AZ967" s="374"/>
      <c r="BE967" s="26"/>
      <c r="BF967" s="26"/>
      <c r="BG967" s="26"/>
      <c r="BH967" s="26"/>
      <c r="BI967" s="26"/>
      <c r="BJ967" s="26"/>
      <c r="BK967" s="26"/>
      <c r="BL967" s="26"/>
      <c r="BS967" s="20"/>
      <c r="BT967" s="26"/>
      <c r="BV967" s="381"/>
      <c r="BW967" s="229"/>
    </row>
    <row r="968" spans="33:75" x14ac:dyDescent="0.2">
      <c r="AG968" s="294"/>
      <c r="AH968" s="294"/>
      <c r="AI968" s="294"/>
      <c r="AJ968" s="26"/>
      <c r="AK968" s="374"/>
      <c r="AL968" s="374"/>
      <c r="AO968" s="294"/>
      <c r="AR968" s="374"/>
      <c r="AZ968" s="374"/>
      <c r="BE968" s="26"/>
      <c r="BF968" s="26"/>
      <c r="BG968" s="26"/>
      <c r="BH968" s="26"/>
      <c r="BI968" s="26"/>
      <c r="BJ968" s="26"/>
      <c r="BK968" s="26"/>
      <c r="BL968" s="26"/>
      <c r="BS968" s="20"/>
      <c r="BT968" s="26"/>
      <c r="BV968" s="381"/>
      <c r="BW968" s="229"/>
    </row>
    <row r="969" spans="33:75" x14ac:dyDescent="0.2">
      <c r="AG969" s="294"/>
      <c r="AH969" s="294"/>
      <c r="AI969" s="294"/>
      <c r="AJ969" s="26"/>
      <c r="AK969" s="374"/>
      <c r="AL969" s="374"/>
      <c r="AO969" s="294"/>
      <c r="AR969" s="374"/>
      <c r="AZ969" s="374"/>
      <c r="BE969" s="26"/>
      <c r="BF969" s="26"/>
      <c r="BG969" s="26"/>
      <c r="BH969" s="26"/>
      <c r="BI969" s="26"/>
      <c r="BJ969" s="26"/>
      <c r="BK969" s="26"/>
      <c r="BL969" s="26"/>
      <c r="BS969" s="20"/>
      <c r="BT969" s="26"/>
      <c r="BV969" s="381"/>
      <c r="BW969" s="229"/>
    </row>
    <row r="970" spans="33:75" x14ac:dyDescent="0.2">
      <c r="AG970" s="294"/>
      <c r="AH970" s="294"/>
      <c r="AI970" s="294"/>
      <c r="AJ970" s="26"/>
      <c r="AK970" s="374"/>
      <c r="AL970" s="374"/>
      <c r="AO970" s="294"/>
      <c r="AR970" s="374"/>
      <c r="AZ970" s="374"/>
      <c r="BE970" s="26"/>
      <c r="BF970" s="26"/>
      <c r="BG970" s="26"/>
      <c r="BH970" s="26"/>
      <c r="BI970" s="26"/>
      <c r="BJ970" s="26"/>
      <c r="BK970" s="26"/>
      <c r="BL970" s="26"/>
      <c r="BS970" s="20"/>
      <c r="BT970" s="26"/>
      <c r="BV970" s="381"/>
      <c r="BW970" s="229"/>
    </row>
    <row r="971" spans="33:75" x14ac:dyDescent="0.2">
      <c r="AG971" s="294"/>
      <c r="AH971" s="294"/>
      <c r="AI971" s="294"/>
      <c r="AJ971" s="26"/>
      <c r="AK971" s="374"/>
      <c r="AL971" s="374"/>
      <c r="AO971" s="294"/>
      <c r="AR971" s="374"/>
      <c r="AZ971" s="374"/>
      <c r="BE971" s="26"/>
      <c r="BF971" s="26"/>
      <c r="BG971" s="26"/>
      <c r="BH971" s="26"/>
      <c r="BI971" s="26"/>
      <c r="BJ971" s="26"/>
      <c r="BK971" s="26"/>
      <c r="BL971" s="26"/>
      <c r="BS971" s="20"/>
      <c r="BT971" s="26"/>
      <c r="BV971" s="381"/>
      <c r="BW971" s="229"/>
    </row>
    <row r="972" spans="33:75" x14ac:dyDescent="0.2">
      <c r="AG972" s="294"/>
      <c r="AH972" s="294"/>
      <c r="AI972" s="294"/>
      <c r="AJ972" s="26"/>
      <c r="AK972" s="374"/>
      <c r="AL972" s="374"/>
      <c r="AO972" s="294"/>
      <c r="AR972" s="374"/>
      <c r="AZ972" s="374"/>
      <c r="BE972" s="26"/>
      <c r="BF972" s="26"/>
      <c r="BG972" s="26"/>
      <c r="BH972" s="26"/>
      <c r="BI972" s="26"/>
      <c r="BJ972" s="26"/>
      <c r="BK972" s="26"/>
      <c r="BL972" s="26"/>
      <c r="BS972" s="20"/>
      <c r="BT972" s="26"/>
      <c r="BV972" s="381"/>
      <c r="BW972" s="229"/>
    </row>
    <row r="973" spans="33:75" x14ac:dyDescent="0.2">
      <c r="AG973" s="294"/>
      <c r="AH973" s="294"/>
      <c r="AI973" s="294"/>
      <c r="AJ973" s="26"/>
      <c r="AK973" s="374"/>
      <c r="AL973" s="374"/>
      <c r="AO973" s="294"/>
      <c r="AR973" s="374"/>
      <c r="AZ973" s="374"/>
      <c r="BE973" s="26"/>
      <c r="BF973" s="26"/>
      <c r="BG973" s="26"/>
      <c r="BH973" s="26"/>
      <c r="BI973" s="26"/>
      <c r="BJ973" s="26"/>
      <c r="BK973" s="26"/>
      <c r="BL973" s="26"/>
      <c r="BS973" s="20"/>
      <c r="BT973" s="26"/>
      <c r="BV973" s="381"/>
      <c r="BW973" s="229"/>
    </row>
    <row r="974" spans="33:75" x14ac:dyDescent="0.2">
      <c r="AG974" s="294"/>
      <c r="AH974" s="294"/>
      <c r="AI974" s="294"/>
      <c r="AJ974" s="26"/>
      <c r="AK974" s="374"/>
      <c r="AL974" s="374"/>
      <c r="AO974" s="294"/>
      <c r="AR974" s="374"/>
      <c r="AZ974" s="374"/>
      <c r="BE974" s="26"/>
      <c r="BF974" s="26"/>
      <c r="BG974" s="26"/>
      <c r="BH974" s="26"/>
      <c r="BI974" s="26"/>
      <c r="BJ974" s="26"/>
      <c r="BK974" s="26"/>
      <c r="BL974" s="26"/>
      <c r="BS974" s="20"/>
      <c r="BT974" s="26"/>
      <c r="BV974" s="381"/>
      <c r="BW974" s="229"/>
    </row>
    <row r="975" spans="33:75" x14ac:dyDescent="0.2">
      <c r="AG975" s="294"/>
      <c r="AH975" s="294"/>
      <c r="AI975" s="294"/>
      <c r="AJ975" s="26"/>
      <c r="AK975" s="374"/>
      <c r="AL975" s="374"/>
      <c r="AO975" s="294"/>
      <c r="AR975" s="374"/>
      <c r="AZ975" s="374"/>
      <c r="BE975" s="26"/>
      <c r="BF975" s="26"/>
      <c r="BG975" s="26"/>
      <c r="BH975" s="26"/>
      <c r="BI975" s="26"/>
      <c r="BJ975" s="26"/>
      <c r="BK975" s="26"/>
      <c r="BL975" s="26"/>
      <c r="BS975" s="20"/>
      <c r="BT975" s="26"/>
      <c r="BV975" s="381"/>
      <c r="BW975" s="229"/>
    </row>
    <row r="976" spans="33:75" x14ac:dyDescent="0.2">
      <c r="AG976" s="294"/>
      <c r="AH976" s="294"/>
      <c r="AI976" s="294"/>
      <c r="AJ976" s="26"/>
      <c r="AK976" s="374"/>
      <c r="AL976" s="374"/>
      <c r="AO976" s="294"/>
      <c r="AR976" s="374"/>
      <c r="AZ976" s="374"/>
      <c r="BE976" s="26"/>
      <c r="BF976" s="26"/>
      <c r="BG976" s="26"/>
      <c r="BH976" s="26"/>
      <c r="BI976" s="26"/>
      <c r="BJ976" s="26"/>
      <c r="BK976" s="26"/>
      <c r="BL976" s="26"/>
      <c r="BS976" s="20"/>
      <c r="BT976" s="26"/>
      <c r="BV976" s="381"/>
      <c r="BW976" s="229"/>
    </row>
    <row r="977" spans="33:75" x14ac:dyDescent="0.2">
      <c r="AG977" s="294"/>
      <c r="AH977" s="294"/>
      <c r="AI977" s="294"/>
      <c r="AJ977" s="26"/>
      <c r="AK977" s="374"/>
      <c r="AL977" s="374"/>
      <c r="AO977" s="294"/>
      <c r="AR977" s="374"/>
      <c r="AZ977" s="374"/>
      <c r="BE977" s="26"/>
      <c r="BF977" s="26"/>
      <c r="BG977" s="26"/>
      <c r="BH977" s="26"/>
      <c r="BI977" s="26"/>
      <c r="BJ977" s="26"/>
      <c r="BK977" s="26"/>
      <c r="BL977" s="26"/>
      <c r="BS977" s="20"/>
      <c r="BT977" s="26"/>
      <c r="BV977" s="381"/>
      <c r="BW977" s="229"/>
    </row>
    <row r="978" spans="33:75" x14ac:dyDescent="0.2">
      <c r="AG978" s="294"/>
      <c r="AH978" s="294"/>
      <c r="AI978" s="294"/>
      <c r="AJ978" s="26"/>
      <c r="AK978" s="374"/>
      <c r="AL978" s="374"/>
      <c r="AO978" s="294"/>
      <c r="AR978" s="374"/>
      <c r="AZ978" s="374"/>
      <c r="BE978" s="26"/>
      <c r="BF978" s="26"/>
      <c r="BG978" s="26"/>
      <c r="BH978" s="26"/>
      <c r="BI978" s="26"/>
      <c r="BJ978" s="26"/>
      <c r="BK978" s="26"/>
      <c r="BL978" s="26"/>
      <c r="BS978" s="20"/>
      <c r="BT978" s="26"/>
      <c r="BV978" s="381"/>
      <c r="BW978" s="229"/>
    </row>
    <row r="979" spans="33:75" x14ac:dyDescent="0.2">
      <c r="AG979" s="294"/>
      <c r="AH979" s="294"/>
      <c r="AI979" s="294"/>
      <c r="AJ979" s="26"/>
      <c r="AK979" s="374"/>
      <c r="AL979" s="374"/>
      <c r="AO979" s="294"/>
      <c r="AR979" s="374"/>
      <c r="AZ979" s="374"/>
      <c r="BE979" s="26"/>
      <c r="BF979" s="26"/>
      <c r="BG979" s="26"/>
      <c r="BH979" s="26"/>
      <c r="BI979" s="26"/>
      <c r="BJ979" s="26"/>
      <c r="BK979" s="26"/>
      <c r="BL979" s="26"/>
      <c r="BS979" s="20"/>
      <c r="BT979" s="26"/>
      <c r="BV979" s="381"/>
      <c r="BW979" s="229"/>
    </row>
    <row r="980" spans="33:75" x14ac:dyDescent="0.2">
      <c r="AG980" s="294"/>
      <c r="AH980" s="294"/>
      <c r="AI980" s="294"/>
      <c r="AJ980" s="26"/>
      <c r="AK980" s="374"/>
      <c r="AL980" s="374"/>
      <c r="AO980" s="294"/>
      <c r="AR980" s="374"/>
      <c r="AZ980" s="374"/>
      <c r="BE980" s="26"/>
      <c r="BF980" s="26"/>
      <c r="BG980" s="26"/>
      <c r="BH980" s="26"/>
      <c r="BI980" s="26"/>
      <c r="BJ980" s="26"/>
      <c r="BK980" s="26"/>
      <c r="BL980" s="26"/>
      <c r="BS980" s="20"/>
      <c r="BT980" s="26"/>
      <c r="BV980" s="381"/>
      <c r="BW980" s="229"/>
    </row>
    <row r="981" spans="33:75" x14ac:dyDescent="0.2">
      <c r="AG981" s="294"/>
      <c r="AH981" s="294"/>
      <c r="AI981" s="294"/>
      <c r="AJ981" s="26"/>
      <c r="AK981" s="374"/>
      <c r="AL981" s="374"/>
      <c r="AO981" s="294"/>
      <c r="AR981" s="374"/>
      <c r="AZ981" s="374"/>
      <c r="BE981" s="26"/>
      <c r="BF981" s="26"/>
      <c r="BG981" s="26"/>
      <c r="BH981" s="26"/>
      <c r="BI981" s="26"/>
      <c r="BJ981" s="26"/>
      <c r="BK981" s="26"/>
      <c r="BL981" s="26"/>
      <c r="BS981" s="20"/>
      <c r="BT981" s="26"/>
      <c r="BV981" s="381"/>
      <c r="BW981" s="229"/>
    </row>
    <row r="982" spans="33:75" x14ac:dyDescent="0.2">
      <c r="AG982" s="294"/>
      <c r="AH982" s="294"/>
      <c r="AI982" s="294"/>
      <c r="AJ982" s="26"/>
      <c r="AK982" s="374"/>
      <c r="AL982" s="374"/>
      <c r="AO982" s="294"/>
      <c r="AR982" s="374"/>
      <c r="AZ982" s="374"/>
      <c r="BE982" s="26"/>
      <c r="BF982" s="26"/>
      <c r="BG982" s="26"/>
      <c r="BH982" s="26"/>
      <c r="BI982" s="26"/>
      <c r="BJ982" s="26"/>
      <c r="BK982" s="26"/>
      <c r="BL982" s="26"/>
      <c r="BS982" s="20"/>
      <c r="BT982" s="26"/>
      <c r="BV982" s="381"/>
      <c r="BW982" s="229"/>
    </row>
    <row r="983" spans="33:75" x14ac:dyDescent="0.2">
      <c r="AG983" s="294"/>
      <c r="AH983" s="294"/>
      <c r="AI983" s="294"/>
      <c r="AJ983" s="26"/>
      <c r="AK983" s="374"/>
      <c r="AL983" s="374"/>
      <c r="AO983" s="294"/>
      <c r="AR983" s="374"/>
      <c r="AZ983" s="374"/>
      <c r="BE983" s="26"/>
      <c r="BF983" s="26"/>
      <c r="BG983" s="26"/>
      <c r="BH983" s="26"/>
      <c r="BI983" s="26"/>
      <c r="BJ983" s="26"/>
      <c r="BK983" s="26"/>
      <c r="BL983" s="26"/>
      <c r="BS983" s="20"/>
      <c r="BT983" s="26"/>
      <c r="BV983" s="381"/>
      <c r="BW983" s="229"/>
    </row>
    <row r="984" spans="33:75" x14ac:dyDescent="0.2">
      <c r="AG984" s="294"/>
      <c r="AH984" s="294"/>
      <c r="AI984" s="294"/>
      <c r="AJ984" s="26"/>
      <c r="AK984" s="374"/>
      <c r="AL984" s="374"/>
      <c r="AO984" s="294"/>
      <c r="AR984" s="374"/>
      <c r="AZ984" s="374"/>
      <c r="BE984" s="26"/>
      <c r="BF984" s="26"/>
      <c r="BG984" s="26"/>
      <c r="BH984" s="26"/>
      <c r="BI984" s="26"/>
      <c r="BJ984" s="26"/>
      <c r="BK984" s="26"/>
      <c r="BL984" s="26"/>
      <c r="BS984" s="20"/>
      <c r="BT984" s="26"/>
      <c r="BV984" s="381"/>
      <c r="BW984" s="229"/>
    </row>
    <row r="985" spans="33:75" x14ac:dyDescent="0.2">
      <c r="AG985" s="294"/>
      <c r="AH985" s="294"/>
      <c r="AI985" s="294"/>
      <c r="AJ985" s="26"/>
      <c r="AK985" s="374"/>
      <c r="AL985" s="374"/>
      <c r="AO985" s="294"/>
      <c r="AR985" s="374"/>
      <c r="AZ985" s="374"/>
      <c r="BE985" s="26"/>
      <c r="BF985" s="26"/>
      <c r="BG985" s="26"/>
      <c r="BH985" s="26"/>
      <c r="BI985" s="26"/>
      <c r="BJ985" s="26"/>
      <c r="BK985" s="26"/>
      <c r="BL985" s="26"/>
      <c r="BS985" s="20"/>
      <c r="BT985" s="26"/>
      <c r="BV985" s="381"/>
      <c r="BW985" s="229"/>
    </row>
    <row r="986" spans="33:75" x14ac:dyDescent="0.2">
      <c r="AG986" s="294"/>
      <c r="AH986" s="294"/>
      <c r="AI986" s="294"/>
      <c r="AJ986" s="26"/>
      <c r="AK986" s="374"/>
      <c r="AL986" s="374"/>
      <c r="AO986" s="294"/>
      <c r="AR986" s="374"/>
      <c r="AZ986" s="374"/>
      <c r="BE986" s="26"/>
      <c r="BF986" s="26"/>
      <c r="BG986" s="26"/>
      <c r="BH986" s="26"/>
      <c r="BI986" s="26"/>
      <c r="BJ986" s="26"/>
      <c r="BK986" s="26"/>
      <c r="BL986" s="26"/>
      <c r="BS986" s="20"/>
      <c r="BT986" s="26"/>
      <c r="BV986" s="381"/>
      <c r="BW986" s="229"/>
    </row>
    <row r="987" spans="33:75" x14ac:dyDescent="0.2">
      <c r="AG987" s="294"/>
      <c r="AH987" s="294"/>
      <c r="AI987" s="294"/>
      <c r="AJ987" s="26"/>
      <c r="AK987" s="374"/>
      <c r="AL987" s="374"/>
      <c r="AO987" s="294"/>
      <c r="AR987" s="374"/>
      <c r="AZ987" s="374"/>
      <c r="BE987" s="26"/>
      <c r="BF987" s="26"/>
      <c r="BG987" s="26"/>
      <c r="BH987" s="26"/>
      <c r="BI987" s="26"/>
      <c r="BJ987" s="26"/>
      <c r="BK987" s="26"/>
      <c r="BL987" s="26"/>
      <c r="BS987" s="20"/>
      <c r="BT987" s="26"/>
      <c r="BV987" s="381"/>
      <c r="BW987" s="229"/>
    </row>
    <row r="988" spans="33:75" x14ac:dyDescent="0.2">
      <c r="AG988" s="294"/>
      <c r="AH988" s="294"/>
      <c r="AI988" s="294"/>
      <c r="AJ988" s="26"/>
      <c r="AK988" s="374"/>
      <c r="AL988" s="374"/>
      <c r="AO988" s="294"/>
      <c r="AR988" s="374"/>
      <c r="AZ988" s="374"/>
      <c r="BE988" s="26"/>
      <c r="BF988" s="26"/>
      <c r="BG988" s="26"/>
      <c r="BH988" s="26"/>
      <c r="BI988" s="26"/>
      <c r="BJ988" s="26"/>
      <c r="BK988" s="26"/>
      <c r="BL988" s="26"/>
      <c r="BS988" s="20"/>
      <c r="BT988" s="26"/>
      <c r="BV988" s="381"/>
      <c r="BW988" s="229"/>
    </row>
    <row r="989" spans="33:75" x14ac:dyDescent="0.2">
      <c r="AG989" s="294"/>
      <c r="AH989" s="294"/>
      <c r="AI989" s="294"/>
      <c r="AJ989" s="26"/>
      <c r="AK989" s="374"/>
      <c r="AL989" s="374"/>
      <c r="AO989" s="294"/>
      <c r="AR989" s="374"/>
      <c r="AZ989" s="374"/>
      <c r="BE989" s="26"/>
      <c r="BF989" s="26"/>
      <c r="BG989" s="26"/>
      <c r="BH989" s="26"/>
      <c r="BI989" s="26"/>
      <c r="BJ989" s="26"/>
      <c r="BK989" s="26"/>
      <c r="BL989" s="26"/>
      <c r="BS989" s="20"/>
      <c r="BT989" s="26"/>
      <c r="BV989" s="381"/>
      <c r="BW989" s="229"/>
    </row>
    <row r="990" spans="33:75" x14ac:dyDescent="0.2">
      <c r="AG990" s="294"/>
      <c r="AH990" s="294"/>
      <c r="AI990" s="294"/>
      <c r="AJ990" s="26"/>
      <c r="AK990" s="374"/>
      <c r="AL990" s="374"/>
      <c r="AO990" s="294"/>
      <c r="AR990" s="374"/>
      <c r="AZ990" s="374"/>
      <c r="BE990" s="26"/>
      <c r="BF990" s="26"/>
      <c r="BG990" s="26"/>
      <c r="BH990" s="26"/>
      <c r="BI990" s="26"/>
      <c r="BJ990" s="26"/>
      <c r="BK990" s="26"/>
      <c r="BL990" s="26"/>
      <c r="BS990" s="20"/>
      <c r="BT990" s="26"/>
      <c r="BV990" s="381"/>
      <c r="BW990" s="229"/>
    </row>
    <row r="991" spans="33:75" x14ac:dyDescent="0.2">
      <c r="AG991" s="294"/>
      <c r="AH991" s="294"/>
      <c r="AI991" s="294"/>
      <c r="AJ991" s="26"/>
      <c r="AK991" s="374"/>
      <c r="AL991" s="374"/>
      <c r="AO991" s="294"/>
      <c r="AR991" s="374"/>
      <c r="AZ991" s="374"/>
      <c r="BE991" s="26"/>
      <c r="BF991" s="26"/>
      <c r="BG991" s="26"/>
      <c r="BH991" s="26"/>
      <c r="BI991" s="26"/>
      <c r="BJ991" s="26"/>
      <c r="BK991" s="26"/>
      <c r="BL991" s="26"/>
      <c r="BS991" s="20"/>
      <c r="BT991" s="26"/>
      <c r="BV991" s="381"/>
      <c r="BW991" s="229"/>
    </row>
    <row r="992" spans="33:75" x14ac:dyDescent="0.2">
      <c r="AG992" s="294"/>
      <c r="AH992" s="294"/>
      <c r="AI992" s="294"/>
      <c r="AJ992" s="26"/>
      <c r="AK992" s="374"/>
      <c r="AL992" s="374"/>
      <c r="AO992" s="294"/>
      <c r="AR992" s="374"/>
      <c r="AZ992" s="374"/>
      <c r="BE992" s="26"/>
      <c r="BF992" s="26"/>
      <c r="BG992" s="26"/>
      <c r="BH992" s="26"/>
      <c r="BI992" s="26"/>
      <c r="BJ992" s="26"/>
      <c r="BK992" s="26"/>
      <c r="BL992" s="26"/>
      <c r="BS992" s="20"/>
      <c r="BT992" s="26"/>
      <c r="BV992" s="381"/>
      <c r="BW992" s="229"/>
    </row>
    <row r="993" spans="33:75" x14ac:dyDescent="0.2">
      <c r="AG993" s="294"/>
      <c r="AH993" s="294"/>
      <c r="AI993" s="294"/>
      <c r="AJ993" s="26"/>
      <c r="AK993" s="374"/>
      <c r="AL993" s="374"/>
      <c r="AO993" s="294"/>
      <c r="AR993" s="374"/>
      <c r="AZ993" s="374"/>
      <c r="BE993" s="26"/>
      <c r="BF993" s="26"/>
      <c r="BG993" s="26"/>
      <c r="BH993" s="26"/>
      <c r="BI993" s="26"/>
      <c r="BJ993" s="26"/>
      <c r="BK993" s="26"/>
      <c r="BL993" s="26"/>
      <c r="BS993" s="20"/>
      <c r="BT993" s="26"/>
      <c r="BV993" s="381"/>
      <c r="BW993" s="229"/>
    </row>
    <row r="994" spans="33:75" x14ac:dyDescent="0.2">
      <c r="AG994" s="294"/>
      <c r="AH994" s="294"/>
      <c r="AI994" s="294"/>
      <c r="AJ994" s="26"/>
      <c r="AK994" s="374"/>
      <c r="AL994" s="374"/>
      <c r="AO994" s="294"/>
      <c r="AR994" s="374"/>
      <c r="AZ994" s="374"/>
      <c r="BE994" s="26"/>
      <c r="BF994" s="26"/>
      <c r="BG994" s="26"/>
      <c r="BH994" s="26"/>
      <c r="BI994" s="26"/>
      <c r="BJ994" s="26"/>
      <c r="BK994" s="26"/>
      <c r="BL994" s="26"/>
      <c r="BS994" s="20"/>
      <c r="BT994" s="26"/>
      <c r="BV994" s="381"/>
      <c r="BW994" s="229"/>
    </row>
    <row r="995" spans="33:75" x14ac:dyDescent="0.2">
      <c r="AG995" s="294"/>
      <c r="AH995" s="294"/>
      <c r="AI995" s="294"/>
      <c r="AJ995" s="26"/>
      <c r="AK995" s="374"/>
      <c r="AL995" s="374"/>
      <c r="AO995" s="294"/>
      <c r="AR995" s="374"/>
      <c r="AZ995" s="374"/>
      <c r="BE995" s="26"/>
      <c r="BF995" s="26"/>
      <c r="BG995" s="26"/>
      <c r="BH995" s="26"/>
      <c r="BI995" s="26"/>
      <c r="BJ995" s="26"/>
      <c r="BK995" s="26"/>
      <c r="BL995" s="26"/>
      <c r="BS995" s="20"/>
      <c r="BT995" s="26"/>
      <c r="BV995" s="381"/>
      <c r="BW995" s="229"/>
    </row>
    <row r="996" spans="33:75" x14ac:dyDescent="0.2">
      <c r="AG996" s="294"/>
      <c r="AH996" s="294"/>
      <c r="AI996" s="294"/>
      <c r="AJ996" s="26"/>
      <c r="AK996" s="374"/>
      <c r="AL996" s="374"/>
      <c r="AO996" s="294"/>
      <c r="AR996" s="374"/>
      <c r="AZ996" s="374"/>
      <c r="BE996" s="26"/>
      <c r="BF996" s="26"/>
      <c r="BG996" s="26"/>
      <c r="BH996" s="26"/>
      <c r="BI996" s="26"/>
      <c r="BJ996" s="26"/>
      <c r="BK996" s="26"/>
      <c r="BL996" s="26"/>
      <c r="BS996" s="20"/>
      <c r="BT996" s="26"/>
      <c r="BV996" s="381"/>
      <c r="BW996" s="229"/>
    </row>
    <row r="997" spans="33:75" x14ac:dyDescent="0.2">
      <c r="AG997" s="294"/>
      <c r="AH997" s="294"/>
      <c r="AI997" s="294"/>
      <c r="AJ997" s="26"/>
      <c r="AK997" s="374"/>
      <c r="AL997" s="374"/>
      <c r="AO997" s="294"/>
      <c r="AR997" s="374"/>
      <c r="AZ997" s="374"/>
      <c r="BE997" s="26"/>
      <c r="BF997" s="26"/>
      <c r="BG997" s="26"/>
      <c r="BH997" s="26"/>
      <c r="BI997" s="26"/>
      <c r="BJ997" s="26"/>
      <c r="BK997" s="26"/>
      <c r="BL997" s="26"/>
      <c r="BS997" s="20"/>
      <c r="BT997" s="26"/>
      <c r="BV997" s="381"/>
      <c r="BW997" s="229"/>
    </row>
    <row r="998" spans="33:75" x14ac:dyDescent="0.2">
      <c r="AG998" s="294"/>
      <c r="AH998" s="294"/>
      <c r="AI998" s="294"/>
      <c r="AJ998" s="26"/>
      <c r="AK998" s="374"/>
      <c r="AL998" s="374"/>
      <c r="AO998" s="294"/>
      <c r="AR998" s="374"/>
      <c r="AZ998" s="374"/>
      <c r="BE998" s="26"/>
      <c r="BF998" s="26"/>
      <c r="BG998" s="26"/>
      <c r="BH998" s="26"/>
      <c r="BI998" s="26"/>
      <c r="BJ998" s="26"/>
      <c r="BK998" s="26"/>
      <c r="BL998" s="26"/>
      <c r="BS998" s="20"/>
      <c r="BT998" s="26"/>
      <c r="BV998" s="381"/>
      <c r="BW998" s="229"/>
    </row>
    <row r="999" spans="33:75" x14ac:dyDescent="0.2">
      <c r="AG999" s="294"/>
      <c r="AH999" s="294"/>
      <c r="AI999" s="294"/>
      <c r="AJ999" s="26"/>
      <c r="AK999" s="374"/>
      <c r="AL999" s="374"/>
      <c r="AO999" s="294"/>
      <c r="AR999" s="374"/>
      <c r="AZ999" s="374"/>
      <c r="BE999" s="26"/>
      <c r="BF999" s="26"/>
      <c r="BG999" s="26"/>
      <c r="BH999" s="26"/>
      <c r="BI999" s="26"/>
      <c r="BJ999" s="26"/>
      <c r="BK999" s="26"/>
      <c r="BL999" s="26"/>
      <c r="BS999" s="20"/>
      <c r="BT999" s="26"/>
      <c r="BV999" s="381"/>
      <c r="BW999" s="229"/>
    </row>
    <row r="1000" spans="33:75" x14ac:dyDescent="0.2">
      <c r="AG1000" s="294"/>
      <c r="AH1000" s="294"/>
      <c r="AI1000" s="294"/>
      <c r="AJ1000" s="26"/>
      <c r="AK1000" s="374"/>
      <c r="AL1000" s="374"/>
      <c r="AO1000" s="294"/>
      <c r="AR1000" s="374"/>
      <c r="AZ1000" s="374"/>
      <c r="BE1000" s="26"/>
      <c r="BF1000" s="26"/>
      <c r="BG1000" s="26"/>
      <c r="BH1000" s="26"/>
      <c r="BI1000" s="26"/>
      <c r="BJ1000" s="26"/>
      <c r="BK1000" s="26"/>
      <c r="BL1000" s="26"/>
      <c r="BS1000" s="20"/>
      <c r="BT1000" s="26"/>
      <c r="BV1000" s="381"/>
      <c r="BW1000" s="229"/>
    </row>
    <row r="1001" spans="33:75" x14ac:dyDescent="0.2">
      <c r="AG1001" s="294"/>
      <c r="AH1001" s="294"/>
      <c r="AI1001" s="294"/>
      <c r="AJ1001" s="26"/>
      <c r="AK1001" s="374"/>
      <c r="AL1001" s="374"/>
      <c r="AO1001" s="294"/>
      <c r="AR1001" s="374"/>
      <c r="AZ1001" s="374"/>
      <c r="BE1001" s="26"/>
      <c r="BF1001" s="26"/>
      <c r="BG1001" s="26"/>
      <c r="BH1001" s="26"/>
      <c r="BI1001" s="26"/>
      <c r="BJ1001" s="26"/>
      <c r="BK1001" s="26"/>
      <c r="BL1001" s="26"/>
      <c r="BS1001" s="20"/>
      <c r="BT1001" s="26"/>
      <c r="BV1001" s="381"/>
      <c r="BW1001" s="229"/>
    </row>
    <row r="1002" spans="33:75" x14ac:dyDescent="0.2">
      <c r="AG1002" s="294"/>
      <c r="AH1002" s="294"/>
      <c r="AI1002" s="294"/>
      <c r="AJ1002" s="26"/>
      <c r="AK1002" s="374"/>
      <c r="AL1002" s="374"/>
      <c r="AO1002" s="294"/>
      <c r="AR1002" s="374"/>
      <c r="AZ1002" s="374"/>
      <c r="BE1002" s="26"/>
      <c r="BF1002" s="26"/>
      <c r="BG1002" s="26"/>
      <c r="BH1002" s="26"/>
      <c r="BI1002" s="26"/>
      <c r="BJ1002" s="26"/>
      <c r="BK1002" s="26"/>
      <c r="BL1002" s="26"/>
      <c r="BS1002" s="20"/>
      <c r="BT1002" s="26"/>
      <c r="BV1002" s="381"/>
      <c r="BW1002" s="229"/>
    </row>
    <row r="1003" spans="33:75" x14ac:dyDescent="0.2">
      <c r="AG1003" s="294"/>
      <c r="AH1003" s="294"/>
      <c r="AI1003" s="294"/>
      <c r="AJ1003" s="26"/>
      <c r="AK1003" s="374"/>
      <c r="AL1003" s="374"/>
      <c r="AO1003" s="294"/>
      <c r="AR1003" s="374"/>
      <c r="AZ1003" s="374"/>
      <c r="BE1003" s="26"/>
      <c r="BF1003" s="26"/>
      <c r="BG1003" s="26"/>
      <c r="BH1003" s="26"/>
      <c r="BI1003" s="26"/>
      <c r="BJ1003" s="26"/>
      <c r="BK1003" s="26"/>
      <c r="BL1003" s="26"/>
      <c r="BS1003" s="20"/>
      <c r="BT1003" s="26"/>
      <c r="BV1003" s="381"/>
      <c r="BW1003" s="229"/>
    </row>
    <row r="1004" spans="33:75" x14ac:dyDescent="0.2">
      <c r="AG1004" s="294"/>
      <c r="AH1004" s="294"/>
      <c r="AI1004" s="294"/>
      <c r="AJ1004" s="26"/>
      <c r="AK1004" s="374"/>
      <c r="AL1004" s="374"/>
      <c r="AO1004" s="294"/>
      <c r="AR1004" s="374"/>
      <c r="AZ1004" s="374"/>
      <c r="BE1004" s="26"/>
      <c r="BF1004" s="26"/>
      <c r="BG1004" s="26"/>
      <c r="BH1004" s="26"/>
      <c r="BI1004" s="26"/>
      <c r="BJ1004" s="26"/>
      <c r="BK1004" s="26"/>
      <c r="BL1004" s="26"/>
      <c r="BS1004" s="20"/>
      <c r="BT1004" s="26"/>
      <c r="BV1004" s="381"/>
      <c r="BW1004" s="229"/>
    </row>
    <row r="1005" spans="33:75" x14ac:dyDescent="0.2">
      <c r="AG1005" s="294"/>
      <c r="AH1005" s="294"/>
      <c r="AI1005" s="294"/>
      <c r="AJ1005" s="26"/>
      <c r="AK1005" s="374"/>
      <c r="AL1005" s="374"/>
      <c r="AO1005" s="294"/>
      <c r="AR1005" s="374"/>
      <c r="AZ1005" s="374"/>
      <c r="BE1005" s="26"/>
      <c r="BF1005" s="26"/>
      <c r="BG1005" s="26"/>
      <c r="BH1005" s="26"/>
      <c r="BI1005" s="26"/>
      <c r="BJ1005" s="26"/>
      <c r="BK1005" s="26"/>
      <c r="BL1005" s="26"/>
      <c r="BS1005" s="20"/>
      <c r="BT1005" s="26"/>
      <c r="BV1005" s="381"/>
      <c r="BW1005" s="229"/>
    </row>
    <row r="1006" spans="33:75" x14ac:dyDescent="0.2">
      <c r="AG1006" s="294"/>
      <c r="AH1006" s="294"/>
      <c r="AI1006" s="294"/>
      <c r="AJ1006" s="26"/>
      <c r="AK1006" s="374"/>
      <c r="AL1006" s="374"/>
      <c r="AO1006" s="294"/>
      <c r="AR1006" s="374"/>
      <c r="AZ1006" s="374"/>
      <c r="BE1006" s="26"/>
      <c r="BF1006" s="26"/>
      <c r="BG1006" s="26"/>
      <c r="BH1006" s="26"/>
      <c r="BI1006" s="26"/>
      <c r="BJ1006" s="26"/>
      <c r="BK1006" s="26"/>
      <c r="BL1006" s="26"/>
      <c r="BS1006" s="20"/>
      <c r="BT1006" s="26"/>
      <c r="BV1006" s="381"/>
      <c r="BW1006" s="229"/>
    </row>
    <row r="1007" spans="33:75" x14ac:dyDescent="0.2">
      <c r="AG1007" s="294"/>
      <c r="AH1007" s="294"/>
      <c r="AI1007" s="294"/>
      <c r="AJ1007" s="26"/>
      <c r="AK1007" s="374"/>
      <c r="AL1007" s="374"/>
      <c r="AO1007" s="294"/>
      <c r="AR1007" s="374"/>
      <c r="AZ1007" s="374"/>
      <c r="BE1007" s="26"/>
      <c r="BF1007" s="26"/>
      <c r="BG1007" s="26"/>
      <c r="BH1007" s="26"/>
      <c r="BI1007" s="26"/>
      <c r="BJ1007" s="26"/>
      <c r="BK1007" s="26"/>
      <c r="BL1007" s="26"/>
      <c r="BS1007" s="20"/>
      <c r="BT1007" s="26"/>
      <c r="BV1007" s="381"/>
      <c r="BW1007" s="229"/>
    </row>
    <row r="1008" spans="33:75" x14ac:dyDescent="0.2">
      <c r="AG1008" s="294"/>
      <c r="AH1008" s="294"/>
      <c r="AI1008" s="294"/>
      <c r="AJ1008" s="26"/>
      <c r="AK1008" s="374"/>
      <c r="AL1008" s="374"/>
      <c r="AO1008" s="294"/>
      <c r="AR1008" s="374"/>
      <c r="AZ1008" s="374"/>
      <c r="BE1008" s="26"/>
      <c r="BF1008" s="26"/>
      <c r="BG1008" s="26"/>
      <c r="BH1008" s="26"/>
      <c r="BI1008" s="26"/>
      <c r="BJ1008" s="26"/>
      <c r="BK1008" s="26"/>
      <c r="BL1008" s="26"/>
      <c r="BS1008" s="20"/>
      <c r="BT1008" s="26"/>
      <c r="BV1008" s="381"/>
      <c r="BW1008" s="229"/>
    </row>
    <row r="1009" spans="33:75" x14ac:dyDescent="0.2">
      <c r="AG1009" s="294"/>
      <c r="AH1009" s="294"/>
      <c r="AI1009" s="294"/>
      <c r="AJ1009" s="26"/>
      <c r="AK1009" s="374"/>
      <c r="AL1009" s="374"/>
      <c r="AO1009" s="294"/>
      <c r="AR1009" s="374"/>
      <c r="AZ1009" s="374"/>
      <c r="BE1009" s="26"/>
      <c r="BF1009" s="26"/>
      <c r="BG1009" s="26"/>
      <c r="BH1009" s="26"/>
      <c r="BI1009" s="26"/>
      <c r="BJ1009" s="26"/>
      <c r="BK1009" s="26"/>
      <c r="BL1009" s="26"/>
      <c r="BS1009" s="20"/>
      <c r="BT1009" s="26"/>
      <c r="BV1009" s="381"/>
      <c r="BW1009" s="229"/>
    </row>
    <row r="1010" spans="33:75" x14ac:dyDescent="0.2">
      <c r="AG1010" s="294"/>
      <c r="AH1010" s="294"/>
      <c r="AI1010" s="294"/>
      <c r="AJ1010" s="26"/>
      <c r="AK1010" s="374"/>
      <c r="AL1010" s="374"/>
      <c r="AO1010" s="294"/>
      <c r="AR1010" s="374"/>
      <c r="AZ1010" s="374"/>
      <c r="BE1010" s="26"/>
      <c r="BF1010" s="26"/>
      <c r="BG1010" s="26"/>
      <c r="BH1010" s="26"/>
      <c r="BI1010" s="26"/>
      <c r="BJ1010" s="26"/>
      <c r="BK1010" s="26"/>
      <c r="BL1010" s="26"/>
      <c r="BS1010" s="20"/>
      <c r="BT1010" s="26"/>
      <c r="BV1010" s="381"/>
      <c r="BW1010" s="229"/>
    </row>
    <row r="1011" spans="33:75" x14ac:dyDescent="0.2">
      <c r="AG1011" s="294"/>
      <c r="AH1011" s="294"/>
      <c r="AI1011" s="294"/>
      <c r="AJ1011" s="26"/>
      <c r="AK1011" s="374"/>
      <c r="AL1011" s="374"/>
      <c r="AO1011" s="294"/>
      <c r="AR1011" s="374"/>
      <c r="AZ1011" s="374"/>
      <c r="BE1011" s="26"/>
      <c r="BF1011" s="26"/>
      <c r="BG1011" s="26"/>
      <c r="BH1011" s="26"/>
      <c r="BI1011" s="26"/>
      <c r="BJ1011" s="26"/>
      <c r="BK1011" s="26"/>
      <c r="BL1011" s="26"/>
      <c r="BS1011" s="20"/>
      <c r="BT1011" s="26"/>
      <c r="BV1011" s="381"/>
      <c r="BW1011" s="229"/>
    </row>
    <row r="1012" spans="33:75" x14ac:dyDescent="0.2">
      <c r="AG1012" s="294"/>
      <c r="AH1012" s="294"/>
      <c r="AI1012" s="294"/>
      <c r="AJ1012" s="26"/>
      <c r="AK1012" s="374"/>
      <c r="AL1012" s="374"/>
      <c r="AO1012" s="294"/>
      <c r="AR1012" s="374"/>
      <c r="AZ1012" s="374"/>
      <c r="BE1012" s="26"/>
      <c r="BF1012" s="26"/>
      <c r="BG1012" s="26"/>
      <c r="BH1012" s="26"/>
      <c r="BI1012" s="26"/>
      <c r="BJ1012" s="26"/>
      <c r="BK1012" s="26"/>
      <c r="BL1012" s="26"/>
      <c r="BS1012" s="20"/>
      <c r="BT1012" s="26"/>
      <c r="BV1012" s="381"/>
      <c r="BW1012" s="229"/>
    </row>
    <row r="1013" spans="33:75" x14ac:dyDescent="0.2">
      <c r="AG1013" s="294"/>
      <c r="AH1013" s="294"/>
      <c r="AI1013" s="294"/>
      <c r="AJ1013" s="26"/>
      <c r="AK1013" s="374"/>
      <c r="AL1013" s="374"/>
      <c r="AO1013" s="294"/>
      <c r="AR1013" s="374"/>
      <c r="AZ1013" s="374"/>
      <c r="BE1013" s="26"/>
      <c r="BF1013" s="26"/>
      <c r="BG1013" s="26"/>
      <c r="BH1013" s="26"/>
      <c r="BI1013" s="26"/>
      <c r="BJ1013" s="26"/>
      <c r="BK1013" s="26"/>
      <c r="BL1013" s="26"/>
      <c r="BS1013" s="20"/>
      <c r="BT1013" s="26"/>
      <c r="BV1013" s="381"/>
      <c r="BW1013" s="229"/>
    </row>
    <row r="1014" spans="33:75" x14ac:dyDescent="0.2">
      <c r="AG1014" s="294"/>
      <c r="AH1014" s="294"/>
      <c r="AI1014" s="294"/>
      <c r="AJ1014" s="26"/>
      <c r="AK1014" s="374"/>
      <c r="AL1014" s="374"/>
      <c r="AO1014" s="294"/>
      <c r="AR1014" s="374"/>
      <c r="AZ1014" s="374"/>
      <c r="BE1014" s="26"/>
      <c r="BF1014" s="26"/>
      <c r="BG1014" s="26"/>
      <c r="BH1014" s="26"/>
      <c r="BI1014" s="26"/>
      <c r="BJ1014" s="26"/>
      <c r="BK1014" s="26"/>
      <c r="BL1014" s="26"/>
      <c r="BS1014" s="20"/>
      <c r="BT1014" s="26"/>
      <c r="BV1014" s="381"/>
      <c r="BW1014" s="229"/>
    </row>
    <row r="1015" spans="33:75" x14ac:dyDescent="0.2">
      <c r="AG1015" s="294"/>
      <c r="AH1015" s="294"/>
      <c r="AI1015" s="294"/>
      <c r="AJ1015" s="26"/>
      <c r="AK1015" s="374"/>
      <c r="AL1015" s="374"/>
      <c r="AO1015" s="294"/>
      <c r="AR1015" s="374"/>
      <c r="AZ1015" s="374"/>
      <c r="BE1015" s="26"/>
      <c r="BF1015" s="26"/>
      <c r="BG1015" s="26"/>
      <c r="BH1015" s="26"/>
      <c r="BI1015" s="26"/>
      <c r="BJ1015" s="26"/>
      <c r="BK1015" s="26"/>
      <c r="BL1015" s="26"/>
      <c r="BS1015" s="20"/>
      <c r="BT1015" s="26"/>
      <c r="BV1015" s="381"/>
      <c r="BW1015" s="229"/>
    </row>
    <row r="1016" spans="33:75" x14ac:dyDescent="0.2">
      <c r="AG1016" s="294"/>
      <c r="AH1016" s="294"/>
      <c r="AI1016" s="294"/>
      <c r="AJ1016" s="26"/>
      <c r="AK1016" s="374"/>
      <c r="AL1016" s="374"/>
      <c r="AO1016" s="294"/>
      <c r="AR1016" s="374"/>
      <c r="AZ1016" s="374"/>
      <c r="BE1016" s="26"/>
      <c r="BF1016" s="26"/>
      <c r="BG1016" s="26"/>
      <c r="BH1016" s="26"/>
      <c r="BI1016" s="26"/>
      <c r="BJ1016" s="26"/>
      <c r="BK1016" s="26"/>
      <c r="BL1016" s="26"/>
      <c r="BS1016" s="20"/>
      <c r="BT1016" s="26"/>
      <c r="BV1016" s="381"/>
      <c r="BW1016" s="229"/>
    </row>
    <row r="1017" spans="33:75" x14ac:dyDescent="0.2">
      <c r="AG1017" s="294"/>
      <c r="AH1017" s="294"/>
      <c r="AI1017" s="294"/>
      <c r="AJ1017" s="26"/>
      <c r="AK1017" s="374"/>
      <c r="AL1017" s="374"/>
      <c r="AO1017" s="294"/>
      <c r="AR1017" s="374"/>
      <c r="AZ1017" s="374"/>
      <c r="BE1017" s="26"/>
      <c r="BF1017" s="26"/>
      <c r="BG1017" s="26"/>
      <c r="BH1017" s="26"/>
      <c r="BI1017" s="26"/>
      <c r="BJ1017" s="26"/>
      <c r="BK1017" s="26"/>
      <c r="BL1017" s="26"/>
      <c r="BS1017" s="20"/>
      <c r="BT1017" s="26"/>
      <c r="BV1017" s="381"/>
      <c r="BW1017" s="229"/>
    </row>
    <row r="1018" spans="33:75" x14ac:dyDescent="0.2">
      <c r="AG1018" s="294"/>
      <c r="AH1018" s="294"/>
      <c r="AI1018" s="294"/>
      <c r="AJ1018" s="26"/>
      <c r="AK1018" s="374"/>
      <c r="AL1018" s="374"/>
      <c r="AO1018" s="294"/>
      <c r="AR1018" s="374"/>
      <c r="AZ1018" s="374"/>
      <c r="BE1018" s="26"/>
      <c r="BF1018" s="26"/>
      <c r="BG1018" s="26"/>
      <c r="BH1018" s="26"/>
      <c r="BI1018" s="26"/>
      <c r="BJ1018" s="26"/>
      <c r="BK1018" s="26"/>
      <c r="BL1018" s="26"/>
      <c r="BS1018" s="20"/>
      <c r="BT1018" s="26"/>
      <c r="BV1018" s="381"/>
      <c r="BW1018" s="229"/>
    </row>
    <row r="1019" spans="33:75" x14ac:dyDescent="0.2">
      <c r="AG1019" s="294"/>
      <c r="AH1019" s="294"/>
      <c r="AI1019" s="294"/>
      <c r="AJ1019" s="26"/>
      <c r="AK1019" s="374"/>
      <c r="AL1019" s="374"/>
      <c r="AO1019" s="294"/>
      <c r="AR1019" s="374"/>
      <c r="AZ1019" s="374"/>
      <c r="BE1019" s="26"/>
      <c r="BF1019" s="26"/>
      <c r="BG1019" s="26"/>
      <c r="BH1019" s="26"/>
      <c r="BI1019" s="26"/>
      <c r="BJ1019" s="26"/>
      <c r="BK1019" s="26"/>
      <c r="BL1019" s="26"/>
      <c r="BS1019" s="20"/>
      <c r="BT1019" s="26"/>
      <c r="BV1019" s="381"/>
      <c r="BW1019" s="229"/>
    </row>
    <row r="1020" spans="33:75" x14ac:dyDescent="0.2">
      <c r="AG1020" s="294"/>
      <c r="AH1020" s="294"/>
      <c r="AI1020" s="294"/>
      <c r="AJ1020" s="26"/>
      <c r="AK1020" s="374"/>
      <c r="AL1020" s="374"/>
      <c r="AO1020" s="294"/>
      <c r="AR1020" s="374"/>
      <c r="AZ1020" s="374"/>
      <c r="BE1020" s="26"/>
      <c r="BF1020" s="26"/>
      <c r="BG1020" s="26"/>
      <c r="BH1020" s="26"/>
      <c r="BI1020" s="26"/>
      <c r="BJ1020" s="26"/>
      <c r="BK1020" s="26"/>
      <c r="BL1020" s="26"/>
      <c r="BS1020" s="20"/>
      <c r="BT1020" s="26"/>
      <c r="BV1020" s="381"/>
      <c r="BW1020" s="229"/>
    </row>
    <row r="1021" spans="33:75" x14ac:dyDescent="0.2">
      <c r="AG1021" s="294"/>
      <c r="AH1021" s="294"/>
      <c r="AI1021" s="294"/>
      <c r="AJ1021" s="26"/>
      <c r="AK1021" s="374"/>
      <c r="AL1021" s="374"/>
      <c r="AO1021" s="294"/>
      <c r="AR1021" s="374"/>
      <c r="AZ1021" s="374"/>
      <c r="BE1021" s="26"/>
      <c r="BF1021" s="26"/>
      <c r="BG1021" s="26"/>
      <c r="BH1021" s="26"/>
      <c r="BI1021" s="26"/>
      <c r="BJ1021" s="26"/>
      <c r="BK1021" s="26"/>
      <c r="BL1021" s="26"/>
      <c r="BS1021" s="20"/>
      <c r="BT1021" s="26"/>
      <c r="BV1021" s="381"/>
      <c r="BW1021" s="229"/>
    </row>
    <row r="1022" spans="33:75" x14ac:dyDescent="0.2">
      <c r="AG1022" s="294"/>
      <c r="AH1022" s="294"/>
      <c r="AI1022" s="294"/>
      <c r="AJ1022" s="26"/>
      <c r="AK1022" s="374"/>
      <c r="AL1022" s="374"/>
      <c r="AO1022" s="294"/>
      <c r="AR1022" s="374"/>
      <c r="AZ1022" s="374"/>
      <c r="BE1022" s="26"/>
      <c r="BF1022" s="26"/>
      <c r="BG1022" s="26"/>
      <c r="BH1022" s="26"/>
      <c r="BI1022" s="26"/>
      <c r="BJ1022" s="26"/>
      <c r="BK1022" s="26"/>
      <c r="BL1022" s="26"/>
      <c r="BS1022" s="20"/>
      <c r="BT1022" s="26"/>
      <c r="BV1022" s="381"/>
      <c r="BW1022" s="229"/>
    </row>
    <row r="1023" spans="33:75" x14ac:dyDescent="0.2">
      <c r="AG1023" s="294"/>
      <c r="AH1023" s="294"/>
      <c r="AI1023" s="294"/>
      <c r="AJ1023" s="26"/>
      <c r="AK1023" s="374"/>
      <c r="AL1023" s="374"/>
      <c r="AO1023" s="294"/>
      <c r="AR1023" s="374"/>
      <c r="AZ1023" s="374"/>
      <c r="BE1023" s="26"/>
      <c r="BF1023" s="26"/>
      <c r="BG1023" s="26"/>
      <c r="BH1023" s="26"/>
      <c r="BI1023" s="26"/>
      <c r="BJ1023" s="26"/>
      <c r="BK1023" s="26"/>
      <c r="BL1023" s="26"/>
      <c r="BS1023" s="20"/>
      <c r="BT1023" s="26"/>
      <c r="BV1023" s="381"/>
      <c r="BW1023" s="229"/>
    </row>
    <row r="1024" spans="33:75" x14ac:dyDescent="0.2">
      <c r="AG1024" s="294"/>
      <c r="AH1024" s="294"/>
      <c r="AI1024" s="294"/>
      <c r="AJ1024" s="26"/>
      <c r="AK1024" s="374"/>
      <c r="AL1024" s="374"/>
      <c r="AO1024" s="294"/>
      <c r="AR1024" s="374"/>
      <c r="AZ1024" s="374"/>
      <c r="BE1024" s="26"/>
      <c r="BF1024" s="26"/>
      <c r="BG1024" s="26"/>
      <c r="BH1024" s="26"/>
      <c r="BI1024" s="26"/>
      <c r="BJ1024" s="26"/>
      <c r="BK1024" s="26"/>
      <c r="BL1024" s="26"/>
      <c r="BS1024" s="20"/>
      <c r="BT1024" s="26"/>
      <c r="BV1024" s="381"/>
      <c r="BW1024" s="229"/>
    </row>
    <row r="1025" spans="33:75" x14ac:dyDescent="0.2">
      <c r="AG1025" s="294"/>
      <c r="AH1025" s="294"/>
      <c r="AI1025" s="294"/>
      <c r="AJ1025" s="26"/>
      <c r="AK1025" s="374"/>
      <c r="AL1025" s="374"/>
      <c r="AO1025" s="294"/>
      <c r="AR1025" s="374"/>
      <c r="AZ1025" s="374"/>
      <c r="BE1025" s="26"/>
      <c r="BF1025" s="26"/>
      <c r="BG1025" s="26"/>
      <c r="BH1025" s="26"/>
      <c r="BI1025" s="26"/>
      <c r="BJ1025" s="26"/>
      <c r="BK1025" s="26"/>
      <c r="BL1025" s="26"/>
      <c r="BS1025" s="20"/>
      <c r="BT1025" s="26"/>
      <c r="BV1025" s="381"/>
      <c r="BW1025" s="229"/>
    </row>
    <row r="1026" spans="33:75" x14ac:dyDescent="0.2">
      <c r="AG1026" s="294"/>
      <c r="AH1026" s="294"/>
      <c r="AI1026" s="294"/>
      <c r="AJ1026" s="26"/>
      <c r="AK1026" s="374"/>
      <c r="AL1026" s="374"/>
      <c r="AO1026" s="294"/>
      <c r="AR1026" s="374"/>
      <c r="AZ1026" s="374"/>
      <c r="BE1026" s="26"/>
      <c r="BF1026" s="26"/>
      <c r="BG1026" s="26"/>
      <c r="BH1026" s="26"/>
      <c r="BI1026" s="26"/>
      <c r="BJ1026" s="26"/>
      <c r="BK1026" s="26"/>
      <c r="BL1026" s="26"/>
      <c r="BS1026" s="20"/>
      <c r="BT1026" s="26"/>
      <c r="BV1026" s="381"/>
      <c r="BW1026" s="229"/>
    </row>
    <row r="1027" spans="33:75" x14ac:dyDescent="0.2">
      <c r="AG1027" s="294"/>
      <c r="AH1027" s="294"/>
      <c r="AI1027" s="294"/>
      <c r="AJ1027" s="26"/>
      <c r="AK1027" s="374"/>
      <c r="AL1027" s="374"/>
      <c r="AO1027" s="294"/>
      <c r="AR1027" s="374"/>
      <c r="AZ1027" s="374"/>
      <c r="BE1027" s="26"/>
      <c r="BF1027" s="26"/>
      <c r="BG1027" s="26"/>
      <c r="BH1027" s="26"/>
      <c r="BI1027" s="26"/>
      <c r="BJ1027" s="26"/>
      <c r="BK1027" s="26"/>
      <c r="BL1027" s="26"/>
      <c r="BS1027" s="20"/>
      <c r="BT1027" s="26"/>
      <c r="BV1027" s="381"/>
      <c r="BW1027" s="229"/>
    </row>
    <row r="1028" spans="33:75" x14ac:dyDescent="0.2">
      <c r="AG1028" s="294"/>
      <c r="AH1028" s="294"/>
      <c r="AI1028" s="294"/>
      <c r="AJ1028" s="26"/>
      <c r="AK1028" s="374"/>
      <c r="AL1028" s="374"/>
      <c r="AO1028" s="294"/>
      <c r="AR1028" s="374"/>
      <c r="AZ1028" s="374"/>
      <c r="BE1028" s="26"/>
      <c r="BF1028" s="26"/>
      <c r="BG1028" s="26"/>
      <c r="BH1028" s="26"/>
      <c r="BI1028" s="26"/>
      <c r="BJ1028" s="26"/>
      <c r="BK1028" s="26"/>
      <c r="BL1028" s="26"/>
      <c r="BS1028" s="20"/>
      <c r="BT1028" s="26"/>
      <c r="BV1028" s="381"/>
      <c r="BW1028" s="229"/>
    </row>
    <row r="1029" spans="33:75" x14ac:dyDescent="0.2">
      <c r="AG1029" s="294"/>
      <c r="AH1029" s="294"/>
      <c r="AI1029" s="294"/>
      <c r="AJ1029" s="26"/>
      <c r="AK1029" s="374"/>
      <c r="AL1029" s="374"/>
      <c r="AO1029" s="294"/>
      <c r="AR1029" s="374"/>
      <c r="AZ1029" s="374"/>
      <c r="BE1029" s="26"/>
      <c r="BF1029" s="26"/>
      <c r="BG1029" s="26"/>
      <c r="BH1029" s="26"/>
      <c r="BI1029" s="26"/>
      <c r="BJ1029" s="26"/>
      <c r="BK1029" s="26"/>
      <c r="BL1029" s="26"/>
      <c r="BS1029" s="20"/>
      <c r="BT1029" s="26"/>
      <c r="BV1029" s="381"/>
      <c r="BW1029" s="229"/>
    </row>
    <row r="1030" spans="33:75" x14ac:dyDescent="0.2">
      <c r="AG1030" s="294"/>
      <c r="AH1030" s="294"/>
      <c r="AI1030" s="294"/>
      <c r="AJ1030" s="26"/>
      <c r="AK1030" s="374"/>
      <c r="AL1030" s="374"/>
      <c r="AO1030" s="294"/>
      <c r="AR1030" s="374"/>
      <c r="AZ1030" s="374"/>
      <c r="BE1030" s="26"/>
      <c r="BF1030" s="26"/>
      <c r="BG1030" s="26"/>
      <c r="BH1030" s="26"/>
      <c r="BI1030" s="26"/>
      <c r="BJ1030" s="26"/>
      <c r="BK1030" s="26"/>
      <c r="BL1030" s="26"/>
      <c r="BS1030" s="20"/>
      <c r="BT1030" s="26"/>
      <c r="BV1030" s="381"/>
      <c r="BW1030" s="229"/>
    </row>
    <row r="1031" spans="33:75" x14ac:dyDescent="0.2">
      <c r="AG1031" s="294"/>
      <c r="AH1031" s="294"/>
      <c r="AI1031" s="294"/>
      <c r="AJ1031" s="26"/>
      <c r="AK1031" s="374"/>
      <c r="AL1031" s="374"/>
      <c r="AO1031" s="294"/>
      <c r="AR1031" s="374"/>
      <c r="AZ1031" s="374"/>
      <c r="BE1031" s="26"/>
      <c r="BF1031" s="26"/>
      <c r="BG1031" s="26"/>
      <c r="BH1031" s="26"/>
      <c r="BI1031" s="26"/>
      <c r="BJ1031" s="26"/>
      <c r="BK1031" s="26"/>
      <c r="BL1031" s="26"/>
      <c r="BS1031" s="20"/>
      <c r="BT1031" s="26"/>
      <c r="BV1031" s="381"/>
      <c r="BW1031" s="229"/>
    </row>
    <row r="1032" spans="33:75" x14ac:dyDescent="0.2">
      <c r="AG1032" s="294"/>
      <c r="AH1032" s="294"/>
      <c r="AI1032" s="294"/>
      <c r="AJ1032" s="26"/>
      <c r="AK1032" s="374"/>
      <c r="AL1032" s="374"/>
      <c r="AO1032" s="294"/>
      <c r="AR1032" s="374"/>
      <c r="AZ1032" s="374"/>
      <c r="BE1032" s="26"/>
      <c r="BF1032" s="26"/>
      <c r="BG1032" s="26"/>
      <c r="BH1032" s="26"/>
      <c r="BI1032" s="26"/>
      <c r="BJ1032" s="26"/>
      <c r="BK1032" s="26"/>
      <c r="BL1032" s="26"/>
      <c r="BS1032" s="20"/>
      <c r="BT1032" s="26"/>
      <c r="BV1032" s="381"/>
      <c r="BW1032" s="229"/>
    </row>
    <row r="1033" spans="33:75" x14ac:dyDescent="0.2">
      <c r="AG1033" s="294"/>
      <c r="AH1033" s="294"/>
      <c r="AI1033" s="294"/>
      <c r="AJ1033" s="26"/>
      <c r="AK1033" s="374"/>
      <c r="AL1033" s="374"/>
      <c r="AO1033" s="294"/>
      <c r="AR1033" s="374"/>
      <c r="AZ1033" s="374"/>
      <c r="BE1033" s="26"/>
      <c r="BF1033" s="26"/>
      <c r="BG1033" s="26"/>
      <c r="BH1033" s="26"/>
      <c r="BI1033" s="26"/>
      <c r="BJ1033" s="26"/>
      <c r="BK1033" s="26"/>
      <c r="BL1033" s="26"/>
      <c r="BS1033" s="20"/>
      <c r="BT1033" s="26"/>
      <c r="BV1033" s="381"/>
      <c r="BW1033" s="229"/>
    </row>
    <row r="1034" spans="33:75" x14ac:dyDescent="0.2">
      <c r="AG1034" s="294"/>
      <c r="AH1034" s="294"/>
      <c r="AI1034" s="294"/>
      <c r="AJ1034" s="26"/>
      <c r="AK1034" s="374"/>
      <c r="AL1034" s="374"/>
      <c r="AO1034" s="294"/>
      <c r="AR1034" s="374"/>
      <c r="AZ1034" s="374"/>
      <c r="BE1034" s="26"/>
      <c r="BF1034" s="26"/>
      <c r="BG1034" s="26"/>
      <c r="BH1034" s="26"/>
      <c r="BI1034" s="26"/>
      <c r="BJ1034" s="26"/>
      <c r="BK1034" s="26"/>
      <c r="BL1034" s="26"/>
      <c r="BS1034" s="20"/>
      <c r="BT1034" s="26"/>
      <c r="BV1034" s="381"/>
      <c r="BW1034" s="229"/>
    </row>
    <row r="1035" spans="33:75" x14ac:dyDescent="0.2">
      <c r="AG1035" s="294"/>
      <c r="AH1035" s="294"/>
      <c r="AI1035" s="294"/>
      <c r="AJ1035" s="26"/>
      <c r="AK1035" s="374"/>
      <c r="AL1035" s="374"/>
      <c r="AO1035" s="294"/>
      <c r="AR1035" s="374"/>
      <c r="AZ1035" s="374"/>
      <c r="BE1035" s="26"/>
      <c r="BF1035" s="26"/>
      <c r="BG1035" s="26"/>
      <c r="BH1035" s="26"/>
      <c r="BI1035" s="26"/>
      <c r="BJ1035" s="26"/>
      <c r="BK1035" s="26"/>
      <c r="BL1035" s="26"/>
      <c r="BS1035" s="20"/>
      <c r="BT1035" s="26"/>
      <c r="BV1035" s="381"/>
      <c r="BW1035" s="229"/>
    </row>
    <row r="1036" spans="33:75" x14ac:dyDescent="0.2">
      <c r="AG1036" s="294"/>
      <c r="AH1036" s="294"/>
      <c r="AI1036" s="294"/>
      <c r="AJ1036" s="26"/>
      <c r="AK1036" s="374"/>
      <c r="AL1036" s="374"/>
      <c r="AO1036" s="294"/>
      <c r="AR1036" s="374"/>
      <c r="AZ1036" s="374"/>
      <c r="BE1036" s="26"/>
      <c r="BF1036" s="26"/>
      <c r="BG1036" s="26"/>
      <c r="BH1036" s="26"/>
      <c r="BI1036" s="26"/>
      <c r="BJ1036" s="26"/>
      <c r="BK1036" s="26"/>
      <c r="BL1036" s="26"/>
      <c r="BS1036" s="20"/>
      <c r="BT1036" s="26"/>
      <c r="BV1036" s="381"/>
      <c r="BW1036" s="229"/>
    </row>
    <row r="1037" spans="33:75" x14ac:dyDescent="0.2">
      <c r="AG1037" s="294"/>
      <c r="AH1037" s="294"/>
      <c r="AI1037" s="294"/>
      <c r="AJ1037" s="26"/>
      <c r="AK1037" s="374"/>
      <c r="AL1037" s="374"/>
      <c r="AO1037" s="294"/>
      <c r="AR1037" s="374"/>
      <c r="AZ1037" s="374"/>
      <c r="BE1037" s="26"/>
      <c r="BF1037" s="26"/>
      <c r="BG1037" s="26"/>
      <c r="BH1037" s="26"/>
      <c r="BI1037" s="26"/>
      <c r="BJ1037" s="26"/>
      <c r="BK1037" s="26"/>
      <c r="BL1037" s="26"/>
      <c r="BS1037" s="20"/>
      <c r="BT1037" s="26"/>
      <c r="BV1037" s="381"/>
      <c r="BW1037" s="229"/>
    </row>
    <row r="1038" spans="33:75" x14ac:dyDescent="0.2">
      <c r="AG1038" s="294"/>
      <c r="AH1038" s="294"/>
      <c r="AI1038" s="294"/>
      <c r="AJ1038" s="26"/>
      <c r="AK1038" s="374"/>
      <c r="AL1038" s="374"/>
      <c r="AO1038" s="294"/>
      <c r="AR1038" s="374"/>
      <c r="AZ1038" s="374"/>
      <c r="BE1038" s="26"/>
      <c r="BF1038" s="26"/>
      <c r="BG1038" s="26"/>
      <c r="BH1038" s="26"/>
      <c r="BI1038" s="26"/>
      <c r="BJ1038" s="26"/>
      <c r="BK1038" s="26"/>
      <c r="BL1038" s="26"/>
      <c r="BS1038" s="20"/>
      <c r="BT1038" s="26"/>
      <c r="BV1038" s="381"/>
      <c r="BW1038" s="229"/>
    </row>
    <row r="1039" spans="33:75" x14ac:dyDescent="0.2">
      <c r="AG1039" s="294"/>
      <c r="AH1039" s="294"/>
      <c r="AI1039" s="294"/>
      <c r="AJ1039" s="26"/>
      <c r="AK1039" s="374"/>
      <c r="AL1039" s="374"/>
      <c r="AO1039" s="294"/>
      <c r="AR1039" s="374"/>
      <c r="AZ1039" s="374"/>
      <c r="BE1039" s="26"/>
      <c r="BF1039" s="26"/>
      <c r="BG1039" s="26"/>
      <c r="BH1039" s="26"/>
      <c r="BI1039" s="26"/>
      <c r="BJ1039" s="26"/>
      <c r="BK1039" s="26"/>
      <c r="BL1039" s="26"/>
      <c r="BS1039" s="20"/>
      <c r="BT1039" s="26"/>
      <c r="BV1039" s="381"/>
      <c r="BW1039" s="229"/>
    </row>
    <row r="1040" spans="33:75" x14ac:dyDescent="0.2">
      <c r="AG1040" s="294"/>
      <c r="AH1040" s="294"/>
      <c r="AI1040" s="294"/>
      <c r="AJ1040" s="26"/>
      <c r="AK1040" s="374"/>
      <c r="AL1040" s="374"/>
      <c r="AO1040" s="294"/>
      <c r="AR1040" s="374"/>
      <c r="AZ1040" s="374"/>
      <c r="BE1040" s="26"/>
      <c r="BF1040" s="26"/>
      <c r="BG1040" s="26"/>
      <c r="BH1040" s="26"/>
      <c r="BI1040" s="26"/>
      <c r="BJ1040" s="26"/>
      <c r="BK1040" s="26"/>
      <c r="BL1040" s="26"/>
      <c r="BS1040" s="20"/>
      <c r="BT1040" s="26"/>
      <c r="BV1040" s="381"/>
      <c r="BW1040" s="229"/>
    </row>
    <row r="1041" spans="33:75" x14ac:dyDescent="0.2">
      <c r="AG1041" s="294"/>
      <c r="AH1041" s="294"/>
      <c r="AI1041" s="294"/>
      <c r="AJ1041" s="26"/>
      <c r="AK1041" s="374"/>
      <c r="AL1041" s="374"/>
      <c r="AO1041" s="294"/>
      <c r="AR1041" s="374"/>
      <c r="AZ1041" s="374"/>
      <c r="BE1041" s="26"/>
      <c r="BF1041" s="26"/>
      <c r="BG1041" s="26"/>
      <c r="BH1041" s="26"/>
      <c r="BI1041" s="26"/>
      <c r="BJ1041" s="26"/>
      <c r="BK1041" s="26"/>
      <c r="BL1041" s="26"/>
      <c r="BS1041" s="20"/>
      <c r="BT1041" s="26"/>
      <c r="BV1041" s="381"/>
      <c r="BW1041" s="229"/>
    </row>
    <row r="1042" spans="33:75" x14ac:dyDescent="0.2">
      <c r="AG1042" s="294"/>
      <c r="AH1042" s="294"/>
      <c r="AI1042" s="294"/>
      <c r="AJ1042" s="26"/>
      <c r="AK1042" s="374"/>
      <c r="AL1042" s="374"/>
      <c r="AO1042" s="294"/>
      <c r="AR1042" s="374"/>
      <c r="AZ1042" s="374"/>
      <c r="BE1042" s="26"/>
      <c r="BF1042" s="26"/>
      <c r="BG1042" s="26"/>
      <c r="BH1042" s="26"/>
      <c r="BI1042" s="26"/>
      <c r="BJ1042" s="26"/>
      <c r="BK1042" s="26"/>
      <c r="BL1042" s="26"/>
      <c r="BS1042" s="20"/>
      <c r="BT1042" s="26"/>
      <c r="BV1042" s="381"/>
      <c r="BW1042" s="229"/>
    </row>
    <row r="1043" spans="33:75" x14ac:dyDescent="0.2">
      <c r="AG1043" s="294"/>
      <c r="AH1043" s="294"/>
      <c r="AI1043" s="294"/>
      <c r="AJ1043" s="26"/>
      <c r="AK1043" s="374"/>
      <c r="AL1043" s="374"/>
      <c r="AO1043" s="294"/>
      <c r="AR1043" s="374"/>
      <c r="AZ1043" s="374"/>
      <c r="BE1043" s="26"/>
      <c r="BF1043" s="26"/>
      <c r="BG1043" s="26"/>
      <c r="BH1043" s="26"/>
      <c r="BI1043" s="26"/>
      <c r="BJ1043" s="26"/>
      <c r="BK1043" s="26"/>
      <c r="BL1043" s="26"/>
      <c r="BS1043" s="20"/>
      <c r="BT1043" s="26"/>
      <c r="BV1043" s="381"/>
      <c r="BW1043" s="229"/>
    </row>
    <row r="1044" spans="33:75" x14ac:dyDescent="0.2">
      <c r="AG1044" s="294"/>
      <c r="AH1044" s="294"/>
      <c r="AI1044" s="294"/>
      <c r="AJ1044" s="26"/>
      <c r="AK1044" s="374"/>
      <c r="AL1044" s="374"/>
      <c r="AO1044" s="294"/>
      <c r="AR1044" s="374"/>
      <c r="AZ1044" s="374"/>
      <c r="BE1044" s="26"/>
      <c r="BF1044" s="26"/>
      <c r="BG1044" s="26"/>
      <c r="BH1044" s="26"/>
      <c r="BI1044" s="26"/>
      <c r="BJ1044" s="26"/>
      <c r="BK1044" s="26"/>
      <c r="BL1044" s="26"/>
      <c r="BS1044" s="20"/>
      <c r="BT1044" s="26"/>
      <c r="BV1044" s="381"/>
      <c r="BW1044" s="229"/>
    </row>
    <row r="1045" spans="33:75" x14ac:dyDescent="0.2">
      <c r="AG1045" s="294"/>
      <c r="AH1045" s="294"/>
      <c r="AI1045" s="294"/>
      <c r="AJ1045" s="26"/>
      <c r="AK1045" s="374"/>
      <c r="AL1045" s="374"/>
      <c r="AO1045" s="294"/>
      <c r="AR1045" s="374"/>
      <c r="AZ1045" s="374"/>
      <c r="BE1045" s="26"/>
      <c r="BF1045" s="26"/>
      <c r="BG1045" s="26"/>
      <c r="BH1045" s="26"/>
      <c r="BI1045" s="26"/>
      <c r="BJ1045" s="26"/>
      <c r="BK1045" s="26"/>
      <c r="BL1045" s="26"/>
      <c r="BS1045" s="20"/>
      <c r="BT1045" s="26"/>
      <c r="BV1045" s="381"/>
      <c r="BW1045" s="229"/>
    </row>
    <row r="1046" spans="33:75" x14ac:dyDescent="0.2">
      <c r="AG1046" s="294"/>
      <c r="AH1046" s="294"/>
      <c r="AI1046" s="294"/>
      <c r="AJ1046" s="26"/>
      <c r="AK1046" s="374"/>
      <c r="AL1046" s="374"/>
      <c r="AO1046" s="294"/>
      <c r="AR1046" s="374"/>
      <c r="AZ1046" s="374"/>
      <c r="BE1046" s="26"/>
      <c r="BF1046" s="26"/>
      <c r="BG1046" s="26"/>
      <c r="BH1046" s="26"/>
      <c r="BI1046" s="26"/>
      <c r="BJ1046" s="26"/>
      <c r="BK1046" s="26"/>
      <c r="BL1046" s="26"/>
      <c r="BS1046" s="20"/>
      <c r="BT1046" s="26"/>
      <c r="BV1046" s="381"/>
      <c r="BW1046" s="229"/>
    </row>
    <row r="1047" spans="33:75" x14ac:dyDescent="0.2">
      <c r="AG1047" s="294"/>
      <c r="AH1047" s="294"/>
      <c r="AI1047" s="294"/>
      <c r="AJ1047" s="26"/>
      <c r="AK1047" s="374"/>
      <c r="AL1047" s="374"/>
      <c r="AO1047" s="294"/>
      <c r="AR1047" s="374"/>
      <c r="AZ1047" s="374"/>
      <c r="BE1047" s="26"/>
      <c r="BF1047" s="26"/>
      <c r="BG1047" s="26"/>
      <c r="BH1047" s="26"/>
      <c r="BI1047" s="26"/>
      <c r="BJ1047" s="26"/>
      <c r="BK1047" s="26"/>
      <c r="BL1047" s="26"/>
      <c r="BS1047" s="20"/>
      <c r="BT1047" s="26"/>
      <c r="BV1047" s="381"/>
      <c r="BW1047" s="229"/>
    </row>
    <row r="1048" spans="33:75" x14ac:dyDescent="0.2">
      <c r="AG1048" s="294"/>
      <c r="AH1048" s="294"/>
      <c r="AI1048" s="294"/>
      <c r="AJ1048" s="26"/>
      <c r="AK1048" s="374"/>
      <c r="AL1048" s="374"/>
      <c r="AO1048" s="294"/>
      <c r="AR1048" s="374"/>
      <c r="AZ1048" s="374"/>
      <c r="BE1048" s="26"/>
      <c r="BF1048" s="26"/>
      <c r="BG1048" s="26"/>
      <c r="BH1048" s="26"/>
      <c r="BI1048" s="26"/>
      <c r="BJ1048" s="26"/>
      <c r="BK1048" s="26"/>
      <c r="BL1048" s="26"/>
      <c r="BS1048" s="20"/>
      <c r="BT1048" s="26"/>
      <c r="BV1048" s="381"/>
      <c r="BW1048" s="229"/>
    </row>
    <row r="1049" spans="33:75" x14ac:dyDescent="0.2">
      <c r="AG1049" s="294"/>
      <c r="AH1049" s="294"/>
      <c r="AI1049" s="294"/>
      <c r="AJ1049" s="26"/>
      <c r="AK1049" s="374"/>
      <c r="AL1049" s="374"/>
      <c r="AO1049" s="294"/>
      <c r="AR1049" s="374"/>
      <c r="AZ1049" s="374"/>
      <c r="BE1049" s="26"/>
      <c r="BF1049" s="26"/>
      <c r="BG1049" s="26"/>
      <c r="BH1049" s="26"/>
      <c r="BI1049" s="26"/>
      <c r="BJ1049" s="26"/>
      <c r="BK1049" s="26"/>
      <c r="BL1049" s="26"/>
      <c r="BS1049" s="20"/>
      <c r="BT1049" s="26"/>
      <c r="BV1049" s="381"/>
      <c r="BW1049" s="229"/>
    </row>
    <row r="1050" spans="33:75" x14ac:dyDescent="0.2">
      <c r="AG1050" s="294"/>
      <c r="AH1050" s="294"/>
      <c r="AI1050" s="294"/>
      <c r="AJ1050" s="26"/>
      <c r="AK1050" s="374"/>
      <c r="AL1050" s="374"/>
      <c r="AO1050" s="294"/>
      <c r="AR1050" s="374"/>
      <c r="AZ1050" s="374"/>
      <c r="BE1050" s="26"/>
      <c r="BF1050" s="26"/>
      <c r="BG1050" s="26"/>
      <c r="BH1050" s="26"/>
      <c r="BI1050" s="26"/>
      <c r="BJ1050" s="26"/>
      <c r="BK1050" s="26"/>
      <c r="BL1050" s="26"/>
      <c r="BS1050" s="20"/>
      <c r="BT1050" s="26"/>
      <c r="BV1050" s="381"/>
      <c r="BW1050" s="229"/>
    </row>
    <row r="1051" spans="33:75" x14ac:dyDescent="0.2">
      <c r="AG1051" s="294"/>
      <c r="AH1051" s="294"/>
      <c r="AI1051" s="294"/>
      <c r="AJ1051" s="26"/>
      <c r="AK1051" s="374"/>
      <c r="AL1051" s="374"/>
      <c r="AO1051" s="294"/>
      <c r="AR1051" s="374"/>
      <c r="AZ1051" s="374"/>
      <c r="BE1051" s="26"/>
      <c r="BF1051" s="26"/>
      <c r="BG1051" s="26"/>
      <c r="BH1051" s="26"/>
      <c r="BI1051" s="26"/>
      <c r="BJ1051" s="26"/>
      <c r="BK1051" s="26"/>
      <c r="BL1051" s="26"/>
      <c r="BS1051" s="20"/>
      <c r="BT1051" s="26"/>
      <c r="BV1051" s="381"/>
      <c r="BW1051" s="229"/>
    </row>
    <row r="1052" spans="33:75" x14ac:dyDescent="0.2">
      <c r="AG1052" s="294"/>
      <c r="AH1052" s="294"/>
      <c r="AI1052" s="294"/>
      <c r="AJ1052" s="26"/>
      <c r="AK1052" s="374"/>
      <c r="AL1052" s="374"/>
      <c r="AO1052" s="294"/>
      <c r="AR1052" s="374"/>
      <c r="AZ1052" s="374"/>
      <c r="BE1052" s="26"/>
      <c r="BF1052" s="26"/>
      <c r="BG1052" s="26"/>
      <c r="BH1052" s="26"/>
      <c r="BI1052" s="26"/>
      <c r="BJ1052" s="26"/>
      <c r="BK1052" s="26"/>
      <c r="BL1052" s="26"/>
      <c r="BS1052" s="20"/>
      <c r="BT1052" s="26"/>
      <c r="BV1052" s="381"/>
      <c r="BW1052" s="229"/>
    </row>
    <row r="1053" spans="33:75" x14ac:dyDescent="0.2">
      <c r="AG1053" s="294"/>
      <c r="AH1053" s="294"/>
      <c r="AI1053" s="294"/>
      <c r="AJ1053" s="26"/>
      <c r="AK1053" s="374"/>
      <c r="AL1053" s="374"/>
      <c r="AO1053" s="294"/>
      <c r="AR1053" s="374"/>
      <c r="AZ1053" s="374"/>
      <c r="BE1053" s="26"/>
      <c r="BF1053" s="26"/>
      <c r="BG1053" s="26"/>
      <c r="BH1053" s="26"/>
      <c r="BI1053" s="26"/>
      <c r="BJ1053" s="26"/>
      <c r="BK1053" s="26"/>
      <c r="BL1053" s="26"/>
      <c r="BS1053" s="20"/>
      <c r="BT1053" s="26"/>
      <c r="BV1053" s="381"/>
      <c r="BW1053" s="229"/>
    </row>
    <row r="1054" spans="33:75" x14ac:dyDescent="0.2">
      <c r="AG1054" s="294"/>
      <c r="AH1054" s="294"/>
      <c r="AI1054" s="294"/>
      <c r="AJ1054" s="26"/>
      <c r="AK1054" s="374"/>
      <c r="AL1054" s="374"/>
      <c r="AO1054" s="294"/>
      <c r="AR1054" s="374"/>
      <c r="AZ1054" s="374"/>
      <c r="BE1054" s="26"/>
      <c r="BF1054" s="26"/>
      <c r="BG1054" s="26"/>
      <c r="BH1054" s="26"/>
      <c r="BI1054" s="26"/>
      <c r="BJ1054" s="26"/>
      <c r="BK1054" s="26"/>
      <c r="BL1054" s="26"/>
      <c r="BS1054" s="20"/>
      <c r="BT1054" s="26"/>
      <c r="BV1054" s="381"/>
      <c r="BW1054" s="229"/>
    </row>
    <row r="1055" spans="33:75" x14ac:dyDescent="0.2">
      <c r="AG1055" s="294"/>
      <c r="AH1055" s="294"/>
      <c r="AI1055" s="294"/>
      <c r="AJ1055" s="26"/>
      <c r="AK1055" s="374"/>
      <c r="AL1055" s="374"/>
      <c r="AO1055" s="294"/>
      <c r="AR1055" s="374"/>
      <c r="AZ1055" s="374"/>
      <c r="BE1055" s="26"/>
      <c r="BF1055" s="26"/>
      <c r="BG1055" s="26"/>
      <c r="BH1055" s="26"/>
      <c r="BI1055" s="26"/>
      <c r="BJ1055" s="26"/>
      <c r="BK1055" s="26"/>
      <c r="BL1055" s="26"/>
      <c r="BS1055" s="20"/>
      <c r="BT1055" s="26"/>
      <c r="BV1055" s="381"/>
      <c r="BW1055" s="229"/>
    </row>
    <row r="1056" spans="33:75" x14ac:dyDescent="0.2">
      <c r="AG1056" s="294"/>
      <c r="AH1056" s="294"/>
      <c r="AI1056" s="294"/>
      <c r="AJ1056" s="26"/>
      <c r="AK1056" s="374"/>
      <c r="AL1056" s="374"/>
      <c r="AO1056" s="294"/>
      <c r="AR1056" s="374"/>
      <c r="AZ1056" s="374"/>
      <c r="BE1056" s="26"/>
      <c r="BF1056" s="26"/>
      <c r="BG1056" s="26"/>
      <c r="BH1056" s="26"/>
      <c r="BI1056" s="26"/>
      <c r="BJ1056" s="26"/>
      <c r="BK1056" s="26"/>
      <c r="BL1056" s="26"/>
      <c r="BS1056" s="20"/>
      <c r="BT1056" s="26"/>
      <c r="BV1056" s="381"/>
      <c r="BW1056" s="229"/>
    </row>
    <row r="1057" spans="33:75" x14ac:dyDescent="0.2">
      <c r="AG1057" s="294"/>
      <c r="AH1057" s="294"/>
      <c r="AI1057" s="294"/>
      <c r="AJ1057" s="26"/>
      <c r="AK1057" s="374"/>
      <c r="AL1057" s="374"/>
      <c r="AO1057" s="294"/>
      <c r="AR1057" s="374"/>
      <c r="AZ1057" s="374"/>
      <c r="BE1057" s="26"/>
      <c r="BF1057" s="26"/>
      <c r="BG1057" s="26"/>
      <c r="BH1057" s="26"/>
      <c r="BI1057" s="26"/>
      <c r="BJ1057" s="26"/>
      <c r="BK1057" s="26"/>
      <c r="BL1057" s="26"/>
      <c r="BS1057" s="20"/>
      <c r="BT1057" s="26"/>
      <c r="BV1057" s="381"/>
      <c r="BW1057" s="229"/>
    </row>
    <row r="1058" spans="33:75" x14ac:dyDescent="0.2">
      <c r="AG1058" s="294"/>
      <c r="AH1058" s="294"/>
      <c r="AI1058" s="294"/>
      <c r="AJ1058" s="26"/>
      <c r="AK1058" s="374"/>
      <c r="AL1058" s="374"/>
      <c r="AO1058" s="294"/>
      <c r="AR1058" s="374"/>
      <c r="AZ1058" s="374"/>
      <c r="BE1058" s="26"/>
      <c r="BF1058" s="26"/>
      <c r="BG1058" s="26"/>
      <c r="BH1058" s="26"/>
      <c r="BI1058" s="26"/>
      <c r="BJ1058" s="26"/>
      <c r="BK1058" s="26"/>
      <c r="BL1058" s="26"/>
      <c r="BS1058" s="20"/>
      <c r="BT1058" s="26"/>
      <c r="BV1058" s="381"/>
      <c r="BW1058" s="229"/>
    </row>
    <row r="1059" spans="33:75" x14ac:dyDescent="0.2">
      <c r="AG1059" s="294"/>
      <c r="AH1059" s="294"/>
      <c r="AI1059" s="294"/>
      <c r="AJ1059" s="26"/>
      <c r="AK1059" s="374"/>
      <c r="AL1059" s="374"/>
      <c r="AO1059" s="294"/>
      <c r="AR1059" s="374"/>
      <c r="AZ1059" s="374"/>
      <c r="BE1059" s="26"/>
      <c r="BF1059" s="26"/>
      <c r="BG1059" s="26"/>
      <c r="BH1059" s="26"/>
      <c r="BI1059" s="26"/>
      <c r="BJ1059" s="26"/>
      <c r="BK1059" s="26"/>
      <c r="BL1059" s="26"/>
      <c r="BS1059" s="20"/>
      <c r="BT1059" s="26"/>
      <c r="BV1059" s="381"/>
      <c r="BW1059" s="229"/>
    </row>
    <row r="1060" spans="33:75" x14ac:dyDescent="0.2">
      <c r="AG1060" s="294"/>
      <c r="AH1060" s="294"/>
      <c r="AI1060" s="294"/>
      <c r="AJ1060" s="26"/>
      <c r="AK1060" s="374"/>
      <c r="AL1060" s="374"/>
      <c r="AO1060" s="294"/>
      <c r="AR1060" s="374"/>
      <c r="AZ1060" s="374"/>
      <c r="BE1060" s="26"/>
      <c r="BF1060" s="26"/>
      <c r="BG1060" s="26"/>
      <c r="BH1060" s="26"/>
      <c r="BI1060" s="26"/>
      <c r="BJ1060" s="26"/>
      <c r="BK1060" s="26"/>
      <c r="BL1060" s="26"/>
      <c r="BS1060" s="20"/>
      <c r="BT1060" s="26"/>
      <c r="BV1060" s="381"/>
      <c r="BW1060" s="229"/>
    </row>
    <row r="1061" spans="33:75" x14ac:dyDescent="0.2">
      <c r="AG1061" s="294"/>
      <c r="AH1061" s="294"/>
      <c r="AI1061" s="294"/>
      <c r="AJ1061" s="26"/>
      <c r="AK1061" s="374"/>
      <c r="AL1061" s="374"/>
      <c r="AO1061" s="294"/>
      <c r="AR1061" s="374"/>
      <c r="AZ1061" s="374"/>
      <c r="BE1061" s="26"/>
      <c r="BF1061" s="26"/>
      <c r="BG1061" s="26"/>
      <c r="BH1061" s="26"/>
      <c r="BI1061" s="26"/>
      <c r="BJ1061" s="26"/>
      <c r="BK1061" s="26"/>
      <c r="BL1061" s="26"/>
      <c r="BS1061" s="20"/>
      <c r="BT1061" s="26"/>
      <c r="BV1061" s="381"/>
      <c r="BW1061" s="229"/>
    </row>
    <row r="1062" spans="33:75" x14ac:dyDescent="0.2">
      <c r="AG1062" s="294"/>
      <c r="AH1062" s="294"/>
      <c r="AI1062" s="294"/>
      <c r="AJ1062" s="26"/>
      <c r="AK1062" s="374"/>
      <c r="AL1062" s="374"/>
      <c r="AO1062" s="294"/>
      <c r="AR1062" s="374"/>
      <c r="AZ1062" s="374"/>
      <c r="BE1062" s="26"/>
      <c r="BF1062" s="26"/>
      <c r="BG1062" s="26"/>
      <c r="BH1062" s="26"/>
      <c r="BI1062" s="26"/>
      <c r="BJ1062" s="26"/>
      <c r="BK1062" s="26"/>
      <c r="BL1062" s="26"/>
      <c r="BS1062" s="20"/>
      <c r="BT1062" s="26"/>
      <c r="BV1062" s="381"/>
      <c r="BW1062" s="229"/>
    </row>
    <row r="1063" spans="33:75" x14ac:dyDescent="0.2">
      <c r="AG1063" s="294"/>
      <c r="AH1063" s="294"/>
      <c r="AI1063" s="294"/>
      <c r="AJ1063" s="26"/>
      <c r="AK1063" s="374"/>
      <c r="AL1063" s="374"/>
      <c r="AO1063" s="294"/>
      <c r="AR1063" s="374"/>
      <c r="AZ1063" s="374"/>
      <c r="BE1063" s="26"/>
      <c r="BF1063" s="26"/>
      <c r="BG1063" s="26"/>
      <c r="BH1063" s="26"/>
      <c r="BI1063" s="26"/>
      <c r="BJ1063" s="26"/>
      <c r="BK1063" s="26"/>
      <c r="BL1063" s="26"/>
      <c r="BS1063" s="20"/>
      <c r="BT1063" s="26"/>
      <c r="BV1063" s="381"/>
      <c r="BW1063" s="229"/>
    </row>
    <row r="1064" spans="33:75" x14ac:dyDescent="0.2">
      <c r="AG1064" s="294"/>
      <c r="AH1064" s="294"/>
      <c r="AI1064" s="294"/>
      <c r="AJ1064" s="26"/>
      <c r="AK1064" s="374"/>
      <c r="AL1064" s="374"/>
      <c r="AO1064" s="294"/>
      <c r="AR1064" s="374"/>
      <c r="AZ1064" s="374"/>
      <c r="BE1064" s="26"/>
      <c r="BF1064" s="26"/>
      <c r="BG1064" s="26"/>
      <c r="BH1064" s="26"/>
      <c r="BI1064" s="26"/>
      <c r="BJ1064" s="26"/>
      <c r="BK1064" s="26"/>
      <c r="BL1064" s="26"/>
      <c r="BS1064" s="20"/>
      <c r="BT1064" s="26"/>
      <c r="BV1064" s="381"/>
      <c r="BW1064" s="229"/>
    </row>
    <row r="1065" spans="33:75" x14ac:dyDescent="0.2">
      <c r="AG1065" s="294"/>
      <c r="AH1065" s="294"/>
      <c r="AI1065" s="294"/>
      <c r="AJ1065" s="26"/>
      <c r="AK1065" s="374"/>
      <c r="AL1065" s="374"/>
      <c r="AO1065" s="294"/>
      <c r="AR1065" s="374"/>
      <c r="AZ1065" s="374"/>
      <c r="BE1065" s="26"/>
      <c r="BF1065" s="26"/>
      <c r="BG1065" s="26"/>
      <c r="BH1065" s="26"/>
      <c r="BI1065" s="26"/>
      <c r="BJ1065" s="26"/>
      <c r="BK1065" s="26"/>
      <c r="BL1065" s="26"/>
      <c r="BS1065" s="20"/>
      <c r="BT1065" s="26"/>
      <c r="BV1065" s="381"/>
      <c r="BW1065" s="229"/>
    </row>
    <row r="1066" spans="33:75" x14ac:dyDescent="0.2">
      <c r="AG1066" s="294"/>
      <c r="AH1066" s="294"/>
      <c r="AI1066" s="294"/>
      <c r="AJ1066" s="26"/>
      <c r="AK1066" s="374"/>
      <c r="AL1066" s="374"/>
      <c r="AO1066" s="294"/>
      <c r="AR1066" s="374"/>
      <c r="AZ1066" s="374"/>
      <c r="BE1066" s="26"/>
      <c r="BF1066" s="26"/>
      <c r="BG1066" s="26"/>
      <c r="BH1066" s="26"/>
      <c r="BI1066" s="26"/>
      <c r="BJ1066" s="26"/>
      <c r="BK1066" s="26"/>
      <c r="BL1066" s="26"/>
      <c r="BS1066" s="20"/>
      <c r="BT1066" s="26"/>
      <c r="BV1066" s="381"/>
      <c r="BW1066" s="229"/>
    </row>
    <row r="1067" spans="33:75" x14ac:dyDescent="0.2">
      <c r="AG1067" s="294"/>
      <c r="AH1067" s="294"/>
      <c r="AI1067" s="294"/>
      <c r="AJ1067" s="26"/>
      <c r="AK1067" s="374"/>
      <c r="AL1067" s="374"/>
      <c r="AO1067" s="294"/>
      <c r="AR1067" s="374"/>
      <c r="AZ1067" s="374"/>
      <c r="BE1067" s="26"/>
      <c r="BF1067" s="26"/>
      <c r="BG1067" s="26"/>
      <c r="BH1067" s="26"/>
      <c r="BI1067" s="26"/>
      <c r="BJ1067" s="26"/>
      <c r="BK1067" s="26"/>
      <c r="BL1067" s="26"/>
      <c r="BS1067" s="20"/>
      <c r="BT1067" s="26"/>
      <c r="BV1067" s="381"/>
      <c r="BW1067" s="229"/>
    </row>
    <row r="1068" spans="33:75" x14ac:dyDescent="0.2">
      <c r="AG1068" s="294"/>
      <c r="AH1068" s="294"/>
      <c r="AI1068" s="294"/>
      <c r="AJ1068" s="26"/>
      <c r="AK1068" s="374"/>
      <c r="AL1068" s="374"/>
      <c r="AO1068" s="294"/>
      <c r="AR1068" s="374"/>
      <c r="AZ1068" s="374"/>
      <c r="BE1068" s="26"/>
      <c r="BF1068" s="26"/>
      <c r="BG1068" s="26"/>
      <c r="BH1068" s="26"/>
      <c r="BI1068" s="26"/>
      <c r="BJ1068" s="26"/>
      <c r="BK1068" s="26"/>
      <c r="BL1068" s="26"/>
      <c r="BS1068" s="20"/>
      <c r="BT1068" s="26"/>
      <c r="BV1068" s="381"/>
      <c r="BW1068" s="229"/>
    </row>
    <row r="1069" spans="33:75" x14ac:dyDescent="0.2">
      <c r="AG1069" s="294"/>
      <c r="AH1069" s="294"/>
      <c r="AI1069" s="294"/>
      <c r="AJ1069" s="26"/>
      <c r="AK1069" s="374"/>
      <c r="AL1069" s="374"/>
      <c r="AO1069" s="294"/>
      <c r="AR1069" s="374"/>
      <c r="AZ1069" s="374"/>
      <c r="BE1069" s="26"/>
      <c r="BF1069" s="26"/>
      <c r="BG1069" s="26"/>
      <c r="BH1069" s="26"/>
      <c r="BI1069" s="26"/>
      <c r="BJ1069" s="26"/>
      <c r="BK1069" s="26"/>
      <c r="BL1069" s="26"/>
      <c r="BS1069" s="20"/>
      <c r="BT1069" s="26"/>
      <c r="BV1069" s="381"/>
      <c r="BW1069" s="229"/>
    </row>
    <row r="1070" spans="33:75" x14ac:dyDescent="0.2">
      <c r="AG1070" s="294"/>
      <c r="AH1070" s="294"/>
      <c r="AI1070" s="294"/>
      <c r="AJ1070" s="26"/>
      <c r="AK1070" s="374"/>
      <c r="AL1070" s="374"/>
      <c r="AO1070" s="294"/>
      <c r="AR1070" s="374"/>
      <c r="AZ1070" s="374"/>
      <c r="BE1070" s="26"/>
      <c r="BF1070" s="26"/>
      <c r="BG1070" s="26"/>
      <c r="BH1070" s="26"/>
      <c r="BI1070" s="26"/>
      <c r="BJ1070" s="26"/>
      <c r="BK1070" s="26"/>
      <c r="BL1070" s="26"/>
      <c r="BS1070" s="20"/>
      <c r="BT1070" s="26"/>
      <c r="BV1070" s="381"/>
      <c r="BW1070" s="229"/>
    </row>
    <row r="1071" spans="33:75" x14ac:dyDescent="0.2">
      <c r="AG1071" s="294"/>
      <c r="AH1071" s="294"/>
      <c r="AI1071" s="294"/>
      <c r="AJ1071" s="26"/>
      <c r="AK1071" s="374"/>
      <c r="AL1071" s="374"/>
      <c r="AO1071" s="294"/>
      <c r="AR1071" s="374"/>
      <c r="AZ1071" s="374"/>
      <c r="BE1071" s="26"/>
      <c r="BF1071" s="26"/>
      <c r="BG1071" s="26"/>
      <c r="BH1071" s="26"/>
      <c r="BI1071" s="26"/>
      <c r="BJ1071" s="26"/>
      <c r="BK1071" s="26"/>
      <c r="BL1071" s="26"/>
      <c r="BS1071" s="20"/>
      <c r="BT1071" s="26"/>
      <c r="BV1071" s="381"/>
      <c r="BW1071" s="229"/>
    </row>
    <row r="1072" spans="33:75" x14ac:dyDescent="0.2">
      <c r="AG1072" s="294"/>
      <c r="AH1072" s="294"/>
      <c r="AI1072" s="294"/>
      <c r="AJ1072" s="26"/>
      <c r="AK1072" s="374"/>
      <c r="AL1072" s="374"/>
      <c r="AO1072" s="294"/>
      <c r="AR1072" s="374"/>
      <c r="AZ1072" s="374"/>
      <c r="BE1072" s="26"/>
      <c r="BF1072" s="26"/>
      <c r="BG1072" s="26"/>
      <c r="BH1072" s="26"/>
      <c r="BI1072" s="26"/>
      <c r="BJ1072" s="26"/>
      <c r="BK1072" s="26"/>
      <c r="BL1072" s="26"/>
      <c r="BS1072" s="20"/>
      <c r="BT1072" s="26"/>
      <c r="BV1072" s="381"/>
      <c r="BW1072" s="229"/>
    </row>
    <row r="1073" spans="33:75" x14ac:dyDescent="0.2">
      <c r="AG1073" s="294"/>
      <c r="AH1073" s="294"/>
      <c r="AI1073" s="294"/>
      <c r="AJ1073" s="26"/>
      <c r="AK1073" s="374"/>
      <c r="AL1073" s="374"/>
      <c r="AO1073" s="294"/>
      <c r="AR1073" s="374"/>
      <c r="AZ1073" s="374"/>
      <c r="BE1073" s="26"/>
      <c r="BF1073" s="26"/>
      <c r="BG1073" s="26"/>
      <c r="BH1073" s="26"/>
      <c r="BI1073" s="26"/>
      <c r="BJ1073" s="26"/>
      <c r="BK1073" s="26"/>
      <c r="BL1073" s="26"/>
      <c r="BS1073" s="20"/>
      <c r="BT1073" s="26"/>
      <c r="BV1073" s="381"/>
      <c r="BW1073" s="229"/>
    </row>
    <row r="1074" spans="33:75" x14ac:dyDescent="0.2">
      <c r="AG1074" s="294"/>
      <c r="AH1074" s="294"/>
      <c r="AI1074" s="294"/>
      <c r="AJ1074" s="26"/>
      <c r="AK1074" s="374"/>
      <c r="AL1074" s="374"/>
      <c r="AO1074" s="294"/>
      <c r="AR1074" s="374"/>
      <c r="AZ1074" s="374"/>
      <c r="BE1074" s="26"/>
      <c r="BF1074" s="26"/>
      <c r="BG1074" s="26"/>
      <c r="BH1074" s="26"/>
      <c r="BI1074" s="26"/>
      <c r="BJ1074" s="26"/>
      <c r="BK1074" s="26"/>
      <c r="BL1074" s="26"/>
      <c r="BS1074" s="20"/>
      <c r="BT1074" s="26"/>
      <c r="BV1074" s="381"/>
      <c r="BW1074" s="229"/>
    </row>
    <row r="1075" spans="33:75" x14ac:dyDescent="0.2">
      <c r="AG1075" s="294"/>
      <c r="AH1075" s="294"/>
      <c r="AI1075" s="294"/>
      <c r="AJ1075" s="26"/>
      <c r="AK1075" s="374"/>
      <c r="AL1075" s="374"/>
      <c r="AO1075" s="294"/>
      <c r="AR1075" s="374"/>
      <c r="AZ1075" s="374"/>
      <c r="BE1075" s="26"/>
      <c r="BF1075" s="26"/>
      <c r="BG1075" s="26"/>
      <c r="BH1075" s="26"/>
      <c r="BI1075" s="26"/>
      <c r="BJ1075" s="26"/>
      <c r="BK1075" s="26"/>
      <c r="BL1075" s="26"/>
      <c r="BS1075" s="20"/>
      <c r="BT1075" s="26"/>
      <c r="BV1075" s="381"/>
      <c r="BW1075" s="229"/>
    </row>
    <row r="1076" spans="33:75" x14ac:dyDescent="0.2">
      <c r="AG1076" s="294"/>
      <c r="AH1076" s="294"/>
      <c r="AI1076" s="294"/>
      <c r="AJ1076" s="26"/>
      <c r="AK1076" s="374"/>
      <c r="AL1076" s="374"/>
      <c r="AO1076" s="294"/>
      <c r="AR1076" s="374"/>
      <c r="AZ1076" s="374"/>
      <c r="BE1076" s="26"/>
      <c r="BF1076" s="26"/>
      <c r="BG1076" s="26"/>
      <c r="BH1076" s="26"/>
      <c r="BI1076" s="26"/>
      <c r="BJ1076" s="26"/>
      <c r="BK1076" s="26"/>
      <c r="BL1076" s="26"/>
      <c r="BS1076" s="20"/>
      <c r="BT1076" s="26"/>
      <c r="BV1076" s="381"/>
      <c r="BW1076" s="229"/>
    </row>
    <row r="1077" spans="33:75" x14ac:dyDescent="0.2">
      <c r="AG1077" s="294"/>
      <c r="AH1077" s="294"/>
      <c r="AI1077" s="294"/>
      <c r="AJ1077" s="26"/>
      <c r="AK1077" s="374"/>
      <c r="AL1077" s="374"/>
      <c r="AO1077" s="294"/>
      <c r="AR1077" s="374"/>
      <c r="AZ1077" s="374"/>
      <c r="BE1077" s="26"/>
      <c r="BF1077" s="26"/>
      <c r="BG1077" s="26"/>
      <c r="BH1077" s="26"/>
      <c r="BI1077" s="26"/>
      <c r="BJ1077" s="26"/>
      <c r="BK1077" s="26"/>
      <c r="BL1077" s="26"/>
      <c r="BS1077" s="20"/>
      <c r="BT1077" s="26"/>
      <c r="BV1077" s="381"/>
      <c r="BW1077" s="229"/>
    </row>
    <row r="1078" spans="33:75" x14ac:dyDescent="0.2">
      <c r="AG1078" s="294"/>
      <c r="AH1078" s="294"/>
      <c r="AI1078" s="294"/>
      <c r="AJ1078" s="26"/>
      <c r="AK1078" s="374"/>
      <c r="AL1078" s="374"/>
      <c r="AO1078" s="294"/>
      <c r="AR1078" s="374"/>
      <c r="AZ1078" s="374"/>
      <c r="BE1078" s="26"/>
      <c r="BF1078" s="26"/>
      <c r="BG1078" s="26"/>
      <c r="BH1078" s="26"/>
      <c r="BI1078" s="26"/>
      <c r="BJ1078" s="26"/>
      <c r="BK1078" s="26"/>
      <c r="BL1078" s="26"/>
      <c r="BS1078" s="20"/>
      <c r="BT1078" s="26"/>
      <c r="BV1078" s="381"/>
      <c r="BW1078" s="229"/>
    </row>
    <row r="1079" spans="33:75" x14ac:dyDescent="0.2">
      <c r="AG1079" s="294"/>
      <c r="AH1079" s="294"/>
      <c r="AI1079" s="294"/>
      <c r="AJ1079" s="26"/>
      <c r="AK1079" s="374"/>
      <c r="AL1079" s="374"/>
      <c r="AO1079" s="294"/>
      <c r="AR1079" s="374"/>
      <c r="AZ1079" s="374"/>
      <c r="BE1079" s="26"/>
      <c r="BF1079" s="26"/>
      <c r="BG1079" s="26"/>
      <c r="BH1079" s="26"/>
      <c r="BI1079" s="26"/>
      <c r="BJ1079" s="26"/>
      <c r="BK1079" s="26"/>
      <c r="BL1079" s="26"/>
      <c r="BS1079" s="20"/>
      <c r="BT1079" s="26"/>
      <c r="BV1079" s="381"/>
      <c r="BW1079" s="229"/>
    </row>
    <row r="1080" spans="33:75" x14ac:dyDescent="0.2">
      <c r="AG1080" s="294"/>
      <c r="AH1080" s="294"/>
      <c r="AI1080" s="294"/>
      <c r="AJ1080" s="26"/>
      <c r="AK1080" s="374"/>
      <c r="AL1080" s="374"/>
      <c r="AO1080" s="294"/>
      <c r="AR1080" s="374"/>
      <c r="AZ1080" s="374"/>
      <c r="BE1080" s="26"/>
      <c r="BF1080" s="26"/>
      <c r="BG1080" s="26"/>
      <c r="BH1080" s="26"/>
      <c r="BI1080" s="26"/>
      <c r="BJ1080" s="26"/>
      <c r="BK1080" s="26"/>
      <c r="BL1080" s="26"/>
      <c r="BS1080" s="20"/>
      <c r="BT1080" s="26"/>
      <c r="BV1080" s="381"/>
      <c r="BW1080" s="229"/>
    </row>
    <row r="1081" spans="33:75" x14ac:dyDescent="0.2">
      <c r="AG1081" s="294"/>
      <c r="AH1081" s="294"/>
      <c r="AI1081" s="294"/>
      <c r="AJ1081" s="26"/>
      <c r="AK1081" s="374"/>
      <c r="AL1081" s="374"/>
      <c r="AO1081" s="294"/>
      <c r="AR1081" s="374"/>
      <c r="AZ1081" s="374"/>
      <c r="BE1081" s="26"/>
      <c r="BF1081" s="26"/>
      <c r="BG1081" s="26"/>
      <c r="BH1081" s="26"/>
      <c r="BI1081" s="26"/>
      <c r="BJ1081" s="26"/>
      <c r="BK1081" s="26"/>
      <c r="BL1081" s="26"/>
      <c r="BS1081" s="20"/>
      <c r="BT1081" s="26"/>
      <c r="BV1081" s="381"/>
      <c r="BW1081" s="229"/>
    </row>
    <row r="1082" spans="33:75" x14ac:dyDescent="0.2">
      <c r="AG1082" s="294"/>
      <c r="AH1082" s="294"/>
      <c r="AI1082" s="294"/>
      <c r="AJ1082" s="26"/>
      <c r="AK1082" s="374"/>
      <c r="AL1082" s="374"/>
      <c r="AO1082" s="294"/>
      <c r="AR1082" s="374"/>
      <c r="AZ1082" s="374"/>
      <c r="BE1082" s="26"/>
      <c r="BF1082" s="26"/>
      <c r="BG1082" s="26"/>
      <c r="BH1082" s="26"/>
      <c r="BI1082" s="26"/>
      <c r="BJ1082" s="26"/>
      <c r="BK1082" s="26"/>
      <c r="BL1082" s="26"/>
      <c r="BS1082" s="20"/>
      <c r="BT1082" s="26"/>
      <c r="BV1082" s="381"/>
      <c r="BW1082" s="229"/>
    </row>
    <row r="1083" spans="33:75" x14ac:dyDescent="0.2">
      <c r="AG1083" s="294"/>
      <c r="AH1083" s="294"/>
      <c r="AI1083" s="294"/>
      <c r="AJ1083" s="26"/>
      <c r="AK1083" s="374"/>
      <c r="AL1083" s="374"/>
      <c r="AO1083" s="294"/>
      <c r="AR1083" s="374"/>
      <c r="AZ1083" s="374"/>
      <c r="BE1083" s="26"/>
      <c r="BF1083" s="26"/>
      <c r="BG1083" s="26"/>
      <c r="BH1083" s="26"/>
      <c r="BI1083" s="26"/>
      <c r="BJ1083" s="26"/>
      <c r="BK1083" s="26"/>
      <c r="BL1083" s="26"/>
      <c r="BS1083" s="20"/>
      <c r="BT1083" s="26"/>
      <c r="BV1083" s="381"/>
      <c r="BW1083" s="229"/>
    </row>
    <row r="1084" spans="33:75" x14ac:dyDescent="0.2">
      <c r="AG1084" s="294"/>
      <c r="AH1084" s="294"/>
      <c r="AI1084" s="294"/>
      <c r="AJ1084" s="26"/>
      <c r="AK1084" s="374"/>
      <c r="AL1084" s="374"/>
      <c r="AO1084" s="294"/>
      <c r="AR1084" s="374"/>
      <c r="AZ1084" s="374"/>
      <c r="BE1084" s="26"/>
      <c r="BF1084" s="26"/>
      <c r="BG1084" s="26"/>
      <c r="BH1084" s="26"/>
      <c r="BI1084" s="26"/>
      <c r="BJ1084" s="26"/>
      <c r="BK1084" s="26"/>
      <c r="BL1084" s="26"/>
      <c r="BS1084" s="20"/>
      <c r="BT1084" s="26"/>
      <c r="BV1084" s="381"/>
      <c r="BW1084" s="229"/>
    </row>
    <row r="1085" spans="33:75" x14ac:dyDescent="0.2">
      <c r="AG1085" s="294"/>
      <c r="AH1085" s="294"/>
      <c r="AI1085" s="294"/>
      <c r="AJ1085" s="26"/>
      <c r="AK1085" s="374"/>
      <c r="AL1085" s="374"/>
      <c r="AO1085" s="294"/>
      <c r="AR1085" s="374"/>
      <c r="AZ1085" s="374"/>
      <c r="BE1085" s="26"/>
      <c r="BF1085" s="26"/>
      <c r="BG1085" s="26"/>
      <c r="BH1085" s="26"/>
      <c r="BI1085" s="26"/>
      <c r="BJ1085" s="26"/>
      <c r="BK1085" s="26"/>
      <c r="BL1085" s="26"/>
      <c r="BS1085" s="20"/>
      <c r="BT1085" s="26"/>
      <c r="BV1085" s="381"/>
      <c r="BW1085" s="229"/>
    </row>
    <row r="1086" spans="33:75" x14ac:dyDescent="0.2">
      <c r="AG1086" s="294"/>
      <c r="AH1086" s="294"/>
      <c r="AI1086" s="294"/>
      <c r="AJ1086" s="26"/>
      <c r="AK1086" s="374"/>
      <c r="AL1086" s="374"/>
      <c r="AO1086" s="294"/>
      <c r="AR1086" s="374"/>
      <c r="AZ1086" s="374"/>
      <c r="BE1086" s="26"/>
      <c r="BF1086" s="26"/>
      <c r="BG1086" s="26"/>
      <c r="BH1086" s="26"/>
      <c r="BI1086" s="26"/>
      <c r="BJ1086" s="26"/>
      <c r="BK1086" s="26"/>
      <c r="BL1086" s="26"/>
      <c r="BS1086" s="20"/>
      <c r="BT1086" s="26"/>
      <c r="BV1086" s="381"/>
      <c r="BW1086" s="229"/>
    </row>
    <row r="1087" spans="33:75" x14ac:dyDescent="0.2">
      <c r="AG1087" s="294"/>
      <c r="AH1087" s="294"/>
      <c r="AI1087" s="294"/>
      <c r="AJ1087" s="26"/>
      <c r="AK1087" s="374"/>
      <c r="AL1087" s="374"/>
      <c r="AO1087" s="294"/>
      <c r="AR1087" s="374"/>
      <c r="AZ1087" s="374"/>
      <c r="BE1087" s="26"/>
      <c r="BF1087" s="26"/>
      <c r="BG1087" s="26"/>
      <c r="BH1087" s="26"/>
      <c r="BI1087" s="26"/>
      <c r="BJ1087" s="26"/>
      <c r="BK1087" s="26"/>
      <c r="BL1087" s="26"/>
      <c r="BS1087" s="20"/>
      <c r="BT1087" s="26"/>
      <c r="BV1087" s="381"/>
      <c r="BW1087" s="229"/>
    </row>
    <row r="1088" spans="33:75" x14ac:dyDescent="0.2">
      <c r="AG1088" s="294"/>
      <c r="AH1088" s="294"/>
      <c r="AI1088" s="294"/>
      <c r="AJ1088" s="26"/>
      <c r="AK1088" s="374"/>
      <c r="AL1088" s="374"/>
      <c r="AO1088" s="294"/>
      <c r="AR1088" s="374"/>
      <c r="AZ1088" s="374"/>
      <c r="BE1088" s="26"/>
      <c r="BF1088" s="26"/>
      <c r="BG1088" s="26"/>
      <c r="BH1088" s="26"/>
      <c r="BI1088" s="26"/>
      <c r="BJ1088" s="26"/>
      <c r="BK1088" s="26"/>
      <c r="BL1088" s="26"/>
      <c r="BS1088" s="20"/>
      <c r="BT1088" s="26"/>
      <c r="BV1088" s="381"/>
      <c r="BW1088" s="229"/>
    </row>
    <row r="1089" spans="33:75" x14ac:dyDescent="0.2">
      <c r="AG1089" s="294"/>
      <c r="AH1089" s="294"/>
      <c r="AI1089" s="294"/>
      <c r="AJ1089" s="26"/>
      <c r="AK1089" s="374"/>
      <c r="AL1089" s="374"/>
      <c r="AO1089" s="294"/>
      <c r="AR1089" s="374"/>
      <c r="AZ1089" s="374"/>
      <c r="BE1089" s="26"/>
      <c r="BF1089" s="26"/>
      <c r="BG1089" s="26"/>
      <c r="BH1089" s="26"/>
      <c r="BI1089" s="26"/>
      <c r="BJ1089" s="26"/>
      <c r="BK1089" s="26"/>
      <c r="BL1089" s="26"/>
      <c r="BS1089" s="20"/>
      <c r="BT1089" s="26"/>
      <c r="BV1089" s="381"/>
      <c r="BW1089" s="229"/>
    </row>
    <row r="1090" spans="33:75" x14ac:dyDescent="0.2">
      <c r="AG1090" s="294"/>
      <c r="AH1090" s="294"/>
      <c r="AI1090" s="294"/>
      <c r="AJ1090" s="26"/>
      <c r="AK1090" s="374"/>
      <c r="AL1090" s="374"/>
      <c r="AO1090" s="294"/>
      <c r="AR1090" s="374"/>
      <c r="AZ1090" s="374"/>
      <c r="BE1090" s="26"/>
      <c r="BF1090" s="26"/>
      <c r="BG1090" s="26"/>
      <c r="BH1090" s="26"/>
      <c r="BI1090" s="26"/>
      <c r="BJ1090" s="26"/>
      <c r="BK1090" s="26"/>
      <c r="BL1090" s="26"/>
      <c r="BS1090" s="20"/>
      <c r="BT1090" s="26"/>
      <c r="BV1090" s="381"/>
      <c r="BW1090" s="229"/>
    </row>
    <row r="1091" spans="33:75" x14ac:dyDescent="0.2">
      <c r="AG1091" s="294"/>
      <c r="AH1091" s="294"/>
      <c r="AI1091" s="294"/>
      <c r="AJ1091" s="26"/>
      <c r="AK1091" s="374"/>
      <c r="AL1091" s="374"/>
      <c r="AO1091" s="294"/>
      <c r="AR1091" s="374"/>
      <c r="AZ1091" s="374"/>
      <c r="BE1091" s="26"/>
      <c r="BF1091" s="26"/>
      <c r="BG1091" s="26"/>
      <c r="BH1091" s="26"/>
      <c r="BI1091" s="26"/>
      <c r="BJ1091" s="26"/>
      <c r="BK1091" s="26"/>
      <c r="BL1091" s="26"/>
      <c r="BS1091" s="20"/>
      <c r="BT1091" s="26"/>
      <c r="BV1091" s="381"/>
      <c r="BW1091" s="229"/>
    </row>
    <row r="1092" spans="33:75" x14ac:dyDescent="0.2">
      <c r="AG1092" s="294"/>
      <c r="AH1092" s="294"/>
      <c r="AI1092" s="294"/>
      <c r="AJ1092" s="26"/>
      <c r="AK1092" s="374"/>
      <c r="AL1092" s="374"/>
      <c r="AO1092" s="294"/>
      <c r="AR1092" s="374"/>
      <c r="AZ1092" s="374"/>
      <c r="BE1092" s="26"/>
      <c r="BF1092" s="26"/>
      <c r="BG1092" s="26"/>
      <c r="BH1092" s="26"/>
      <c r="BI1092" s="26"/>
      <c r="BJ1092" s="26"/>
      <c r="BK1092" s="26"/>
      <c r="BL1092" s="26"/>
      <c r="BS1092" s="20"/>
      <c r="BT1092" s="26"/>
      <c r="BV1092" s="381"/>
      <c r="BW1092" s="229"/>
    </row>
    <row r="1093" spans="33:75" x14ac:dyDescent="0.2">
      <c r="AG1093" s="294"/>
      <c r="AH1093" s="294"/>
      <c r="AI1093" s="294"/>
      <c r="AJ1093" s="26"/>
      <c r="AK1093" s="374"/>
      <c r="AL1093" s="374"/>
      <c r="AO1093" s="294"/>
      <c r="AR1093" s="374"/>
      <c r="AZ1093" s="374"/>
      <c r="BE1093" s="26"/>
      <c r="BF1093" s="26"/>
      <c r="BG1093" s="26"/>
      <c r="BH1093" s="26"/>
      <c r="BI1093" s="26"/>
      <c r="BJ1093" s="26"/>
      <c r="BK1093" s="26"/>
      <c r="BL1093" s="26"/>
      <c r="BS1093" s="20"/>
      <c r="BT1093" s="26"/>
      <c r="BV1093" s="381"/>
      <c r="BW1093" s="229"/>
    </row>
    <row r="1094" spans="33:75" x14ac:dyDescent="0.2">
      <c r="AG1094" s="294"/>
      <c r="AH1094" s="294"/>
      <c r="AI1094" s="294"/>
      <c r="AJ1094" s="26"/>
      <c r="AK1094" s="374"/>
      <c r="AL1094" s="374"/>
      <c r="AO1094" s="294"/>
      <c r="AR1094" s="374"/>
      <c r="AZ1094" s="374"/>
      <c r="BE1094" s="26"/>
      <c r="BF1094" s="26"/>
      <c r="BG1094" s="26"/>
      <c r="BH1094" s="26"/>
      <c r="BI1094" s="26"/>
      <c r="BJ1094" s="26"/>
      <c r="BK1094" s="26"/>
      <c r="BL1094" s="26"/>
      <c r="BS1094" s="20"/>
      <c r="BT1094" s="26"/>
      <c r="BV1094" s="381"/>
      <c r="BW1094" s="229"/>
    </row>
    <row r="1095" spans="33:75" x14ac:dyDescent="0.2">
      <c r="AG1095" s="294"/>
      <c r="AH1095" s="294"/>
      <c r="AI1095" s="294"/>
      <c r="AJ1095" s="26"/>
      <c r="AK1095" s="374"/>
      <c r="AL1095" s="374"/>
      <c r="AO1095" s="294"/>
      <c r="AR1095" s="374"/>
      <c r="AZ1095" s="374"/>
      <c r="BE1095" s="26"/>
      <c r="BF1095" s="26"/>
      <c r="BG1095" s="26"/>
      <c r="BH1095" s="26"/>
      <c r="BI1095" s="26"/>
      <c r="BJ1095" s="26"/>
      <c r="BK1095" s="26"/>
      <c r="BL1095" s="26"/>
      <c r="BS1095" s="20"/>
      <c r="BT1095" s="26"/>
      <c r="BV1095" s="381"/>
      <c r="BW1095" s="229"/>
    </row>
    <row r="1096" spans="33:75" x14ac:dyDescent="0.2">
      <c r="AG1096" s="294"/>
      <c r="AH1096" s="294"/>
      <c r="AI1096" s="294"/>
      <c r="AJ1096" s="26"/>
      <c r="AK1096" s="374"/>
      <c r="AL1096" s="374"/>
      <c r="AO1096" s="294"/>
      <c r="AR1096" s="374"/>
      <c r="AZ1096" s="374"/>
      <c r="BE1096" s="26"/>
      <c r="BF1096" s="26"/>
      <c r="BG1096" s="26"/>
      <c r="BH1096" s="26"/>
      <c r="BI1096" s="26"/>
      <c r="BJ1096" s="26"/>
      <c r="BK1096" s="26"/>
      <c r="BL1096" s="26"/>
      <c r="BS1096" s="20"/>
      <c r="BT1096" s="26"/>
      <c r="BV1096" s="381"/>
      <c r="BW1096" s="229"/>
    </row>
    <row r="1097" spans="33:75" x14ac:dyDescent="0.2">
      <c r="AG1097" s="294"/>
      <c r="AH1097" s="294"/>
      <c r="AI1097" s="294"/>
      <c r="AJ1097" s="26"/>
      <c r="AK1097" s="374"/>
      <c r="AL1097" s="374"/>
      <c r="AO1097" s="294"/>
      <c r="AR1097" s="374"/>
      <c r="AZ1097" s="374"/>
      <c r="BE1097" s="26"/>
      <c r="BF1097" s="26"/>
      <c r="BG1097" s="26"/>
      <c r="BH1097" s="26"/>
      <c r="BI1097" s="26"/>
      <c r="BJ1097" s="26"/>
      <c r="BK1097" s="26"/>
      <c r="BL1097" s="26"/>
      <c r="BS1097" s="20"/>
      <c r="BT1097" s="26"/>
      <c r="BV1097" s="381"/>
      <c r="BW1097" s="229"/>
    </row>
    <row r="1098" spans="33:75" x14ac:dyDescent="0.2">
      <c r="AG1098" s="294"/>
      <c r="AH1098" s="294"/>
      <c r="AI1098" s="294"/>
      <c r="AJ1098" s="26"/>
      <c r="AK1098" s="374"/>
      <c r="AL1098" s="374"/>
      <c r="AO1098" s="294"/>
      <c r="AR1098" s="374"/>
      <c r="AZ1098" s="374"/>
      <c r="BE1098" s="26"/>
      <c r="BF1098" s="26"/>
      <c r="BG1098" s="26"/>
      <c r="BH1098" s="26"/>
      <c r="BI1098" s="26"/>
      <c r="BJ1098" s="26"/>
      <c r="BK1098" s="26"/>
      <c r="BL1098" s="26"/>
      <c r="BS1098" s="20"/>
      <c r="BT1098" s="26"/>
      <c r="BV1098" s="381"/>
      <c r="BW1098" s="229"/>
    </row>
    <row r="1099" spans="33:75" x14ac:dyDescent="0.2">
      <c r="AG1099" s="294"/>
      <c r="AH1099" s="294"/>
      <c r="AI1099" s="294"/>
      <c r="AJ1099" s="26"/>
      <c r="AK1099" s="374"/>
      <c r="AL1099" s="374"/>
      <c r="AO1099" s="294"/>
      <c r="AR1099" s="374"/>
      <c r="AZ1099" s="374"/>
      <c r="BE1099" s="26"/>
      <c r="BF1099" s="26"/>
      <c r="BG1099" s="26"/>
      <c r="BH1099" s="26"/>
      <c r="BI1099" s="26"/>
      <c r="BJ1099" s="26"/>
      <c r="BK1099" s="26"/>
      <c r="BL1099" s="26"/>
      <c r="BS1099" s="20"/>
      <c r="BT1099" s="26"/>
      <c r="BV1099" s="381"/>
      <c r="BW1099" s="229"/>
    </row>
    <row r="1100" spans="33:75" x14ac:dyDescent="0.2">
      <c r="AG1100" s="294"/>
      <c r="AH1100" s="294"/>
      <c r="AI1100" s="294"/>
      <c r="AJ1100" s="26"/>
      <c r="AK1100" s="374"/>
      <c r="AL1100" s="374"/>
      <c r="AO1100" s="294"/>
      <c r="AR1100" s="374"/>
      <c r="AZ1100" s="374"/>
      <c r="BE1100" s="26"/>
      <c r="BF1100" s="26"/>
      <c r="BG1100" s="26"/>
      <c r="BH1100" s="26"/>
      <c r="BI1100" s="26"/>
      <c r="BJ1100" s="26"/>
      <c r="BK1100" s="26"/>
      <c r="BL1100" s="26"/>
      <c r="BS1100" s="20"/>
      <c r="BT1100" s="26"/>
      <c r="BV1100" s="381"/>
      <c r="BW1100" s="229"/>
    </row>
    <row r="1101" spans="33:75" x14ac:dyDescent="0.2">
      <c r="AG1101" s="294"/>
      <c r="AH1101" s="294"/>
      <c r="AI1101" s="294"/>
      <c r="AJ1101" s="26"/>
      <c r="AK1101" s="374"/>
      <c r="AL1101" s="374"/>
      <c r="AO1101" s="294"/>
      <c r="AR1101" s="374"/>
      <c r="AZ1101" s="374"/>
      <c r="BE1101" s="26"/>
      <c r="BF1101" s="26"/>
      <c r="BG1101" s="26"/>
      <c r="BH1101" s="26"/>
      <c r="BI1101" s="26"/>
      <c r="BJ1101" s="26"/>
      <c r="BK1101" s="26"/>
      <c r="BL1101" s="26"/>
      <c r="BS1101" s="20"/>
      <c r="BT1101" s="26"/>
      <c r="BV1101" s="381"/>
      <c r="BW1101" s="229"/>
    </row>
    <row r="1102" spans="33:75" x14ac:dyDescent="0.2">
      <c r="AG1102" s="294"/>
      <c r="AH1102" s="294"/>
      <c r="AI1102" s="294"/>
      <c r="AJ1102" s="26"/>
      <c r="AK1102" s="374"/>
      <c r="AL1102" s="374"/>
      <c r="AO1102" s="294"/>
      <c r="AR1102" s="374"/>
      <c r="AZ1102" s="374"/>
      <c r="BE1102" s="26"/>
      <c r="BF1102" s="26"/>
      <c r="BG1102" s="26"/>
      <c r="BH1102" s="26"/>
      <c r="BI1102" s="26"/>
      <c r="BJ1102" s="26"/>
      <c r="BK1102" s="26"/>
      <c r="BL1102" s="26"/>
      <c r="BS1102" s="20"/>
      <c r="BT1102" s="26"/>
      <c r="BV1102" s="381"/>
      <c r="BW1102" s="229"/>
    </row>
    <row r="1103" spans="33:75" x14ac:dyDescent="0.2">
      <c r="AG1103" s="294"/>
      <c r="AH1103" s="294"/>
      <c r="AI1103" s="294"/>
      <c r="AJ1103" s="26"/>
      <c r="AK1103" s="374"/>
      <c r="AL1103" s="374"/>
      <c r="AO1103" s="294"/>
      <c r="AR1103" s="374"/>
      <c r="AZ1103" s="374"/>
      <c r="BE1103" s="26"/>
      <c r="BF1103" s="26"/>
      <c r="BG1103" s="26"/>
      <c r="BH1103" s="26"/>
      <c r="BI1103" s="26"/>
      <c r="BJ1103" s="26"/>
      <c r="BK1103" s="26"/>
      <c r="BL1103" s="26"/>
      <c r="BS1103" s="20"/>
      <c r="BT1103" s="26"/>
      <c r="BV1103" s="381"/>
      <c r="BW1103" s="229"/>
    </row>
    <row r="1104" spans="33:75" x14ac:dyDescent="0.2">
      <c r="AG1104" s="294"/>
      <c r="AH1104" s="294"/>
      <c r="AI1104" s="294"/>
      <c r="AJ1104" s="26"/>
      <c r="AK1104" s="374"/>
      <c r="AL1104" s="374"/>
      <c r="AO1104" s="294"/>
      <c r="AR1104" s="374"/>
      <c r="AZ1104" s="374"/>
      <c r="BE1104" s="26"/>
      <c r="BF1104" s="26"/>
      <c r="BG1104" s="26"/>
      <c r="BH1104" s="26"/>
      <c r="BI1104" s="26"/>
      <c r="BJ1104" s="26"/>
      <c r="BK1104" s="26"/>
      <c r="BL1104" s="26"/>
      <c r="BS1104" s="20"/>
      <c r="BT1104" s="26"/>
      <c r="BV1104" s="381"/>
      <c r="BW1104" s="229"/>
    </row>
    <row r="1105" spans="33:75" x14ac:dyDescent="0.2">
      <c r="AG1105" s="294"/>
      <c r="AH1105" s="294"/>
      <c r="AI1105" s="294"/>
      <c r="AJ1105" s="26"/>
      <c r="AK1105" s="374"/>
      <c r="AL1105" s="374"/>
      <c r="AO1105" s="294"/>
      <c r="AR1105" s="374"/>
      <c r="AZ1105" s="374"/>
      <c r="BE1105" s="26"/>
      <c r="BF1105" s="26"/>
      <c r="BG1105" s="26"/>
      <c r="BH1105" s="26"/>
      <c r="BI1105" s="26"/>
      <c r="BJ1105" s="26"/>
      <c r="BK1105" s="26"/>
      <c r="BL1105" s="26"/>
      <c r="BS1105" s="20"/>
      <c r="BT1105" s="26"/>
      <c r="BV1105" s="381"/>
      <c r="BW1105" s="229"/>
    </row>
    <row r="1106" spans="33:75" x14ac:dyDescent="0.2">
      <c r="AG1106" s="294"/>
      <c r="AH1106" s="294"/>
      <c r="AI1106" s="294"/>
      <c r="AJ1106" s="26"/>
      <c r="AK1106" s="374"/>
      <c r="AL1106" s="374"/>
      <c r="AO1106" s="294"/>
      <c r="AR1106" s="374"/>
      <c r="AZ1106" s="374"/>
      <c r="BE1106" s="26"/>
      <c r="BF1106" s="26"/>
      <c r="BG1106" s="26"/>
      <c r="BH1106" s="26"/>
      <c r="BI1106" s="26"/>
      <c r="BJ1106" s="26"/>
      <c r="BK1106" s="26"/>
      <c r="BL1106" s="26"/>
      <c r="BS1106" s="20"/>
      <c r="BT1106" s="26"/>
      <c r="BV1106" s="381"/>
      <c r="BW1106" s="229"/>
    </row>
    <row r="1107" spans="33:75" x14ac:dyDescent="0.2">
      <c r="AG1107" s="294"/>
      <c r="AH1107" s="294"/>
      <c r="AI1107" s="294"/>
      <c r="AJ1107" s="26"/>
      <c r="AK1107" s="374"/>
      <c r="AL1107" s="374"/>
      <c r="AO1107" s="294"/>
      <c r="AR1107" s="374"/>
      <c r="AZ1107" s="374"/>
      <c r="BE1107" s="26"/>
      <c r="BF1107" s="26"/>
      <c r="BG1107" s="26"/>
      <c r="BH1107" s="26"/>
      <c r="BI1107" s="26"/>
      <c r="BJ1107" s="26"/>
      <c r="BK1107" s="26"/>
      <c r="BL1107" s="26"/>
      <c r="BS1107" s="20"/>
      <c r="BT1107" s="26"/>
      <c r="BV1107" s="381"/>
      <c r="BW1107" s="229"/>
    </row>
    <row r="1108" spans="33:75" x14ac:dyDescent="0.2">
      <c r="AG1108" s="294"/>
      <c r="AH1108" s="294"/>
      <c r="AI1108" s="294"/>
      <c r="AJ1108" s="26"/>
      <c r="AK1108" s="374"/>
      <c r="AL1108" s="374"/>
      <c r="AO1108" s="294"/>
      <c r="AR1108" s="374"/>
      <c r="AZ1108" s="374"/>
      <c r="BE1108" s="26"/>
      <c r="BF1108" s="26"/>
      <c r="BG1108" s="26"/>
      <c r="BH1108" s="26"/>
      <c r="BI1108" s="26"/>
      <c r="BJ1108" s="26"/>
      <c r="BK1108" s="26"/>
      <c r="BL1108" s="26"/>
      <c r="BS1108" s="20"/>
      <c r="BT1108" s="26"/>
      <c r="BV1108" s="381"/>
      <c r="BW1108" s="229"/>
    </row>
    <row r="1109" spans="33:75" x14ac:dyDescent="0.2">
      <c r="AG1109" s="294"/>
      <c r="AH1109" s="294"/>
      <c r="AI1109" s="294"/>
      <c r="AJ1109" s="26"/>
      <c r="AK1109" s="374"/>
      <c r="AL1109" s="374"/>
      <c r="AO1109" s="294"/>
      <c r="AR1109" s="374"/>
      <c r="AZ1109" s="374"/>
      <c r="BE1109" s="26"/>
      <c r="BF1109" s="26"/>
      <c r="BG1109" s="26"/>
      <c r="BH1109" s="26"/>
      <c r="BI1109" s="26"/>
      <c r="BJ1109" s="26"/>
      <c r="BK1109" s="26"/>
      <c r="BL1109" s="26"/>
      <c r="BS1109" s="20"/>
      <c r="BT1109" s="26"/>
      <c r="BV1109" s="381"/>
      <c r="BW1109" s="229"/>
    </row>
    <row r="1110" spans="33:75" x14ac:dyDescent="0.2">
      <c r="AG1110" s="294"/>
      <c r="AH1110" s="294"/>
      <c r="AI1110" s="294"/>
      <c r="AJ1110" s="26"/>
      <c r="AK1110" s="374"/>
      <c r="AL1110" s="374"/>
      <c r="AO1110" s="294"/>
      <c r="AR1110" s="374"/>
      <c r="AZ1110" s="374"/>
      <c r="BE1110" s="26"/>
      <c r="BF1110" s="26"/>
      <c r="BG1110" s="26"/>
      <c r="BH1110" s="26"/>
      <c r="BI1110" s="26"/>
      <c r="BJ1110" s="26"/>
      <c r="BK1110" s="26"/>
      <c r="BL1110" s="26"/>
      <c r="BS1110" s="20"/>
      <c r="BT1110" s="26"/>
      <c r="BV1110" s="381"/>
      <c r="BW1110" s="229"/>
    </row>
    <row r="1111" spans="33:75" x14ac:dyDescent="0.2">
      <c r="AG1111" s="294"/>
      <c r="AH1111" s="294"/>
      <c r="AI1111" s="294"/>
      <c r="AJ1111" s="26"/>
      <c r="AK1111" s="374"/>
      <c r="AL1111" s="374"/>
      <c r="AO1111" s="294"/>
      <c r="AR1111" s="374"/>
      <c r="AZ1111" s="374"/>
      <c r="BE1111" s="26"/>
      <c r="BF1111" s="26"/>
      <c r="BG1111" s="26"/>
      <c r="BH1111" s="26"/>
      <c r="BI1111" s="26"/>
      <c r="BJ1111" s="26"/>
      <c r="BK1111" s="26"/>
      <c r="BL1111" s="26"/>
      <c r="BS1111" s="20"/>
      <c r="BT1111" s="26"/>
      <c r="BV1111" s="381"/>
      <c r="BW1111" s="229"/>
    </row>
    <row r="1112" spans="33:75" x14ac:dyDescent="0.2">
      <c r="AG1112" s="294"/>
      <c r="AH1112" s="294"/>
      <c r="AI1112" s="294"/>
      <c r="AJ1112" s="26"/>
      <c r="AK1112" s="374"/>
      <c r="AL1112" s="374"/>
      <c r="AO1112" s="294"/>
      <c r="AR1112" s="374"/>
      <c r="AZ1112" s="374"/>
      <c r="BE1112" s="26"/>
      <c r="BF1112" s="26"/>
      <c r="BG1112" s="26"/>
      <c r="BH1112" s="26"/>
      <c r="BI1112" s="26"/>
      <c r="BJ1112" s="26"/>
      <c r="BK1112" s="26"/>
      <c r="BL1112" s="26"/>
      <c r="BS1112" s="20"/>
      <c r="BT1112" s="26"/>
      <c r="BV1112" s="381"/>
      <c r="BW1112" s="229"/>
    </row>
    <row r="1113" spans="33:75" x14ac:dyDescent="0.2">
      <c r="AG1113" s="294"/>
      <c r="AH1113" s="294"/>
      <c r="AI1113" s="294"/>
      <c r="AJ1113" s="26"/>
      <c r="AK1113" s="374"/>
      <c r="AL1113" s="374"/>
      <c r="AO1113" s="294"/>
      <c r="AR1113" s="374"/>
      <c r="AZ1113" s="374"/>
      <c r="BE1113" s="26"/>
      <c r="BF1113" s="26"/>
      <c r="BG1113" s="26"/>
      <c r="BH1113" s="26"/>
      <c r="BI1113" s="26"/>
      <c r="BJ1113" s="26"/>
      <c r="BK1113" s="26"/>
      <c r="BL1113" s="26"/>
      <c r="BS1113" s="20"/>
      <c r="BT1113" s="26"/>
      <c r="BV1113" s="381"/>
      <c r="BW1113" s="229"/>
    </row>
    <row r="1114" spans="33:75" x14ac:dyDescent="0.2">
      <c r="AG1114" s="294"/>
      <c r="AH1114" s="294"/>
      <c r="AI1114" s="294"/>
      <c r="AJ1114" s="26"/>
      <c r="AK1114" s="374"/>
      <c r="AL1114" s="374"/>
      <c r="AO1114" s="294"/>
      <c r="AR1114" s="374"/>
      <c r="AZ1114" s="374"/>
      <c r="BE1114" s="26"/>
      <c r="BF1114" s="26"/>
      <c r="BG1114" s="26"/>
      <c r="BH1114" s="26"/>
      <c r="BI1114" s="26"/>
      <c r="BJ1114" s="26"/>
      <c r="BK1114" s="26"/>
      <c r="BL1114" s="26"/>
      <c r="BS1114" s="20"/>
      <c r="BT1114" s="26"/>
      <c r="BV1114" s="381"/>
      <c r="BW1114" s="229"/>
    </row>
    <row r="1115" spans="33:75" x14ac:dyDescent="0.2">
      <c r="AG1115" s="294"/>
      <c r="AH1115" s="294"/>
      <c r="AI1115" s="294"/>
      <c r="AJ1115" s="26"/>
      <c r="AK1115" s="374"/>
      <c r="AL1115" s="374"/>
      <c r="AO1115" s="294"/>
      <c r="AR1115" s="374"/>
      <c r="AZ1115" s="374"/>
      <c r="BE1115" s="26"/>
      <c r="BF1115" s="26"/>
      <c r="BG1115" s="26"/>
      <c r="BH1115" s="26"/>
      <c r="BI1115" s="26"/>
      <c r="BJ1115" s="26"/>
      <c r="BK1115" s="26"/>
      <c r="BL1115" s="26"/>
      <c r="BS1115" s="20"/>
      <c r="BT1115" s="26"/>
      <c r="BV1115" s="381"/>
      <c r="BW1115" s="229"/>
    </row>
    <row r="1116" spans="33:75" x14ac:dyDescent="0.2">
      <c r="AG1116" s="294"/>
      <c r="AH1116" s="294"/>
      <c r="AI1116" s="294"/>
      <c r="AJ1116" s="26"/>
      <c r="AK1116" s="374"/>
      <c r="AL1116" s="374"/>
      <c r="AO1116" s="294"/>
      <c r="AR1116" s="374"/>
      <c r="AZ1116" s="374"/>
      <c r="BE1116" s="26"/>
      <c r="BF1116" s="26"/>
      <c r="BG1116" s="26"/>
      <c r="BH1116" s="26"/>
      <c r="BI1116" s="26"/>
      <c r="BJ1116" s="26"/>
      <c r="BK1116" s="26"/>
      <c r="BL1116" s="26"/>
      <c r="BS1116" s="20"/>
      <c r="BT1116" s="26"/>
      <c r="BV1116" s="381"/>
      <c r="BW1116" s="229"/>
    </row>
    <row r="1117" spans="33:75" x14ac:dyDescent="0.2">
      <c r="AG1117" s="294"/>
      <c r="AH1117" s="294"/>
      <c r="AI1117" s="294"/>
      <c r="AJ1117" s="26"/>
      <c r="AK1117" s="374"/>
      <c r="AL1117" s="374"/>
      <c r="AO1117" s="294"/>
      <c r="AR1117" s="374"/>
      <c r="AZ1117" s="374"/>
      <c r="BE1117" s="26"/>
      <c r="BF1117" s="26"/>
      <c r="BG1117" s="26"/>
      <c r="BH1117" s="26"/>
      <c r="BI1117" s="26"/>
      <c r="BJ1117" s="26"/>
      <c r="BK1117" s="26"/>
      <c r="BL1117" s="26"/>
      <c r="BS1117" s="20"/>
      <c r="BT1117" s="26"/>
      <c r="BV1117" s="381"/>
      <c r="BW1117" s="229"/>
    </row>
    <row r="1118" spans="33:75" x14ac:dyDescent="0.2">
      <c r="AG1118" s="294"/>
      <c r="AH1118" s="294"/>
      <c r="AI1118" s="294"/>
      <c r="AJ1118" s="26"/>
      <c r="AK1118" s="374"/>
      <c r="AL1118" s="374"/>
      <c r="AO1118" s="294"/>
      <c r="AR1118" s="374"/>
      <c r="AZ1118" s="374"/>
      <c r="BE1118" s="26"/>
      <c r="BF1118" s="26"/>
      <c r="BG1118" s="26"/>
      <c r="BH1118" s="26"/>
      <c r="BI1118" s="26"/>
      <c r="BJ1118" s="26"/>
      <c r="BK1118" s="26"/>
      <c r="BL1118" s="26"/>
      <c r="BS1118" s="20"/>
      <c r="BT1118" s="26"/>
      <c r="BV1118" s="381"/>
      <c r="BW1118" s="229"/>
    </row>
    <row r="1119" spans="33:75" x14ac:dyDescent="0.2">
      <c r="AG1119" s="294"/>
      <c r="AH1119" s="294"/>
      <c r="AI1119" s="294"/>
      <c r="AJ1119" s="26"/>
      <c r="AK1119" s="374"/>
      <c r="AL1119" s="374"/>
      <c r="AO1119" s="294"/>
      <c r="AR1119" s="374"/>
      <c r="AZ1119" s="374"/>
      <c r="BE1119" s="26"/>
      <c r="BF1119" s="26"/>
      <c r="BG1119" s="26"/>
      <c r="BH1119" s="26"/>
      <c r="BI1119" s="26"/>
      <c r="BJ1119" s="26"/>
      <c r="BK1119" s="26"/>
      <c r="BL1119" s="26"/>
      <c r="BS1119" s="20"/>
      <c r="BT1119" s="26"/>
      <c r="BV1119" s="381"/>
      <c r="BW1119" s="229"/>
    </row>
    <row r="1120" spans="33:75" x14ac:dyDescent="0.2">
      <c r="AG1120" s="294"/>
      <c r="AH1120" s="294"/>
      <c r="AI1120" s="294"/>
      <c r="AJ1120" s="26"/>
      <c r="AK1120" s="374"/>
      <c r="AL1120" s="374"/>
      <c r="AO1120" s="294"/>
      <c r="AR1120" s="374"/>
      <c r="AZ1120" s="374"/>
      <c r="BE1120" s="26"/>
      <c r="BF1120" s="26"/>
      <c r="BG1120" s="26"/>
      <c r="BH1120" s="26"/>
      <c r="BI1120" s="26"/>
      <c r="BJ1120" s="26"/>
      <c r="BK1120" s="26"/>
      <c r="BL1120" s="26"/>
      <c r="BS1120" s="20"/>
      <c r="BT1120" s="26"/>
      <c r="BV1120" s="381"/>
      <c r="BW1120" s="229"/>
    </row>
    <row r="1121" spans="33:75" x14ac:dyDescent="0.2">
      <c r="AG1121" s="294"/>
      <c r="AH1121" s="294"/>
      <c r="AI1121" s="294"/>
      <c r="AJ1121" s="26"/>
      <c r="AK1121" s="374"/>
      <c r="AL1121" s="374"/>
      <c r="AO1121" s="294"/>
      <c r="AR1121" s="374"/>
      <c r="AZ1121" s="374"/>
      <c r="BE1121" s="26"/>
      <c r="BF1121" s="26"/>
      <c r="BG1121" s="26"/>
      <c r="BH1121" s="26"/>
      <c r="BI1121" s="26"/>
      <c r="BJ1121" s="26"/>
      <c r="BK1121" s="26"/>
      <c r="BL1121" s="26"/>
      <c r="BS1121" s="20"/>
      <c r="BT1121" s="26"/>
      <c r="BV1121" s="381"/>
      <c r="BW1121" s="229"/>
    </row>
    <row r="1122" spans="33:75" x14ac:dyDescent="0.2">
      <c r="AG1122" s="294"/>
      <c r="AH1122" s="294"/>
      <c r="AI1122" s="294"/>
      <c r="AJ1122" s="26"/>
      <c r="AK1122" s="374"/>
      <c r="AL1122" s="374"/>
      <c r="AO1122" s="294"/>
      <c r="AR1122" s="374"/>
      <c r="AZ1122" s="374"/>
      <c r="BE1122" s="26"/>
      <c r="BF1122" s="26"/>
      <c r="BG1122" s="26"/>
      <c r="BH1122" s="26"/>
      <c r="BI1122" s="26"/>
      <c r="BJ1122" s="26"/>
      <c r="BK1122" s="26"/>
      <c r="BL1122" s="26"/>
      <c r="BS1122" s="20"/>
      <c r="BT1122" s="26"/>
      <c r="BV1122" s="381"/>
      <c r="BW1122" s="229"/>
    </row>
    <row r="1123" spans="33:75" x14ac:dyDescent="0.2">
      <c r="AG1123" s="294"/>
      <c r="AH1123" s="294"/>
      <c r="AI1123" s="294"/>
      <c r="AJ1123" s="26"/>
      <c r="AK1123" s="374"/>
      <c r="AL1123" s="374"/>
      <c r="AO1123" s="294"/>
      <c r="AR1123" s="374"/>
      <c r="AZ1123" s="374"/>
      <c r="BE1123" s="26"/>
      <c r="BF1123" s="26"/>
      <c r="BG1123" s="26"/>
      <c r="BH1123" s="26"/>
      <c r="BI1123" s="26"/>
      <c r="BJ1123" s="26"/>
      <c r="BK1123" s="26"/>
      <c r="BL1123" s="26"/>
      <c r="BS1123" s="20"/>
      <c r="BT1123" s="26"/>
      <c r="BV1123" s="381"/>
      <c r="BW1123" s="229"/>
    </row>
    <row r="1124" spans="33:75" x14ac:dyDescent="0.2">
      <c r="AG1124" s="294"/>
      <c r="AH1124" s="294"/>
      <c r="AI1124" s="294"/>
      <c r="AJ1124" s="26"/>
      <c r="AK1124" s="374"/>
      <c r="AL1124" s="374"/>
      <c r="AO1124" s="294"/>
      <c r="AR1124" s="374"/>
      <c r="AZ1124" s="374"/>
      <c r="BE1124" s="26"/>
      <c r="BF1124" s="26"/>
      <c r="BG1124" s="26"/>
      <c r="BH1124" s="26"/>
      <c r="BI1124" s="26"/>
      <c r="BJ1124" s="26"/>
      <c r="BK1124" s="26"/>
      <c r="BL1124" s="26"/>
      <c r="BS1124" s="20"/>
      <c r="BT1124" s="26"/>
      <c r="BV1124" s="381"/>
      <c r="BW1124" s="229"/>
    </row>
    <row r="1125" spans="33:75" x14ac:dyDescent="0.2">
      <c r="AG1125" s="294"/>
      <c r="AH1125" s="294"/>
      <c r="AI1125" s="294"/>
      <c r="AJ1125" s="26"/>
      <c r="AK1125" s="374"/>
      <c r="AL1125" s="374"/>
      <c r="AO1125" s="294"/>
      <c r="AR1125" s="374"/>
      <c r="AZ1125" s="374"/>
      <c r="BE1125" s="26"/>
      <c r="BF1125" s="26"/>
      <c r="BG1125" s="26"/>
      <c r="BH1125" s="26"/>
      <c r="BI1125" s="26"/>
      <c r="BJ1125" s="26"/>
      <c r="BK1125" s="26"/>
      <c r="BL1125" s="26"/>
      <c r="BS1125" s="20"/>
      <c r="BT1125" s="26"/>
      <c r="BV1125" s="381"/>
      <c r="BW1125" s="229"/>
    </row>
    <row r="1126" spans="33:75" x14ac:dyDescent="0.2">
      <c r="AG1126" s="294"/>
      <c r="AH1126" s="294"/>
      <c r="AI1126" s="294"/>
      <c r="AJ1126" s="26"/>
      <c r="AK1126" s="374"/>
      <c r="AL1126" s="374"/>
      <c r="AO1126" s="294"/>
      <c r="AR1126" s="374"/>
      <c r="AZ1126" s="374"/>
      <c r="BE1126" s="26"/>
      <c r="BF1126" s="26"/>
      <c r="BG1126" s="26"/>
      <c r="BH1126" s="26"/>
      <c r="BI1126" s="26"/>
      <c r="BJ1126" s="26"/>
      <c r="BK1126" s="26"/>
      <c r="BL1126" s="26"/>
      <c r="BS1126" s="20"/>
      <c r="BT1126" s="26"/>
      <c r="BV1126" s="381"/>
      <c r="BW1126" s="229"/>
    </row>
    <row r="1127" spans="33:75" x14ac:dyDescent="0.2">
      <c r="AG1127" s="294"/>
      <c r="AH1127" s="294"/>
      <c r="AI1127" s="294"/>
      <c r="AJ1127" s="26"/>
      <c r="AK1127" s="374"/>
      <c r="AL1127" s="374"/>
      <c r="AO1127" s="294"/>
      <c r="AR1127" s="374"/>
      <c r="AZ1127" s="374"/>
      <c r="BE1127" s="26"/>
      <c r="BF1127" s="26"/>
      <c r="BG1127" s="26"/>
      <c r="BH1127" s="26"/>
      <c r="BI1127" s="26"/>
      <c r="BJ1127" s="26"/>
      <c r="BK1127" s="26"/>
      <c r="BL1127" s="26"/>
      <c r="BS1127" s="20"/>
      <c r="BT1127" s="26"/>
      <c r="BV1127" s="381"/>
      <c r="BW1127" s="229"/>
    </row>
    <row r="1128" spans="33:75" x14ac:dyDescent="0.2">
      <c r="AG1128" s="294"/>
      <c r="AH1128" s="294"/>
      <c r="AI1128" s="294"/>
      <c r="AJ1128" s="26"/>
      <c r="AK1128" s="374"/>
      <c r="AL1128" s="374"/>
      <c r="AO1128" s="294"/>
      <c r="AR1128" s="374"/>
      <c r="AZ1128" s="374"/>
      <c r="BE1128" s="26"/>
      <c r="BF1128" s="26"/>
      <c r="BG1128" s="26"/>
      <c r="BH1128" s="26"/>
      <c r="BI1128" s="26"/>
      <c r="BJ1128" s="26"/>
      <c r="BK1128" s="26"/>
      <c r="BL1128" s="26"/>
      <c r="BS1128" s="20"/>
      <c r="BT1128" s="26"/>
      <c r="BV1128" s="381"/>
      <c r="BW1128" s="229"/>
    </row>
    <row r="1129" spans="33:75" x14ac:dyDescent="0.2">
      <c r="AG1129" s="294"/>
      <c r="AH1129" s="294"/>
      <c r="AI1129" s="294"/>
      <c r="AJ1129" s="26"/>
      <c r="AK1129" s="374"/>
      <c r="AL1129" s="374"/>
      <c r="AO1129" s="294"/>
      <c r="AR1129" s="374"/>
      <c r="AZ1129" s="374"/>
      <c r="BE1129" s="26"/>
      <c r="BF1129" s="26"/>
      <c r="BG1129" s="26"/>
      <c r="BH1129" s="26"/>
      <c r="BI1129" s="26"/>
      <c r="BJ1129" s="26"/>
      <c r="BK1129" s="26"/>
      <c r="BL1129" s="26"/>
      <c r="BS1129" s="20"/>
      <c r="BT1129" s="26"/>
      <c r="BV1129" s="381"/>
      <c r="BW1129" s="229"/>
    </row>
    <row r="1130" spans="33:75" x14ac:dyDescent="0.2">
      <c r="AG1130" s="294"/>
      <c r="AH1130" s="294"/>
      <c r="AI1130" s="294"/>
      <c r="AJ1130" s="26"/>
      <c r="AK1130" s="374"/>
      <c r="AL1130" s="374"/>
      <c r="AO1130" s="294"/>
      <c r="AR1130" s="374"/>
      <c r="AZ1130" s="374"/>
      <c r="BE1130" s="26"/>
      <c r="BF1130" s="26"/>
      <c r="BG1130" s="26"/>
      <c r="BH1130" s="26"/>
      <c r="BI1130" s="26"/>
      <c r="BJ1130" s="26"/>
      <c r="BK1130" s="26"/>
      <c r="BL1130" s="26"/>
      <c r="BS1130" s="20"/>
      <c r="BT1130" s="26"/>
      <c r="BV1130" s="381"/>
      <c r="BW1130" s="229"/>
    </row>
    <row r="1131" spans="33:75" x14ac:dyDescent="0.2">
      <c r="AG1131" s="294"/>
      <c r="AH1131" s="294"/>
      <c r="AI1131" s="294"/>
      <c r="AJ1131" s="26"/>
      <c r="AK1131" s="374"/>
      <c r="AL1131" s="374"/>
      <c r="AO1131" s="294"/>
      <c r="AR1131" s="374"/>
      <c r="AZ1131" s="374"/>
      <c r="BE1131" s="26"/>
      <c r="BF1131" s="26"/>
      <c r="BG1131" s="26"/>
      <c r="BH1131" s="26"/>
      <c r="BI1131" s="26"/>
      <c r="BJ1131" s="26"/>
      <c r="BK1131" s="26"/>
      <c r="BL1131" s="26"/>
      <c r="BS1131" s="20"/>
      <c r="BT1131" s="26"/>
      <c r="BV1131" s="381"/>
      <c r="BW1131" s="229"/>
    </row>
    <row r="1132" spans="33:75" x14ac:dyDescent="0.2">
      <c r="AG1132" s="294"/>
      <c r="AH1132" s="294"/>
      <c r="AI1132" s="294"/>
      <c r="AJ1132" s="26"/>
      <c r="AK1132" s="374"/>
      <c r="AL1132" s="374"/>
      <c r="AO1132" s="294"/>
      <c r="AR1132" s="374"/>
      <c r="AZ1132" s="374"/>
      <c r="BE1132" s="26"/>
      <c r="BF1132" s="26"/>
      <c r="BG1132" s="26"/>
      <c r="BH1132" s="26"/>
      <c r="BI1132" s="26"/>
      <c r="BJ1132" s="26"/>
      <c r="BK1132" s="26"/>
      <c r="BL1132" s="26"/>
      <c r="BS1132" s="20"/>
      <c r="BT1132" s="26"/>
      <c r="BV1132" s="381"/>
      <c r="BW1132" s="229"/>
    </row>
    <row r="1133" spans="33:75" x14ac:dyDescent="0.2">
      <c r="AG1133" s="294"/>
      <c r="AH1133" s="294"/>
      <c r="AI1133" s="294"/>
      <c r="AJ1133" s="26"/>
      <c r="AK1133" s="374"/>
      <c r="AL1133" s="374"/>
      <c r="AO1133" s="294"/>
      <c r="AR1133" s="374"/>
      <c r="AZ1133" s="374"/>
      <c r="BE1133" s="26"/>
      <c r="BF1133" s="26"/>
      <c r="BG1133" s="26"/>
      <c r="BH1133" s="26"/>
      <c r="BI1133" s="26"/>
      <c r="BJ1133" s="26"/>
      <c r="BK1133" s="26"/>
      <c r="BL1133" s="26"/>
      <c r="BS1133" s="20"/>
      <c r="BT1133" s="26"/>
      <c r="BV1133" s="381"/>
      <c r="BW1133" s="229"/>
    </row>
    <row r="1134" spans="33:75" x14ac:dyDescent="0.2">
      <c r="AG1134" s="294"/>
      <c r="AH1134" s="294"/>
      <c r="AI1134" s="294"/>
      <c r="AJ1134" s="26"/>
      <c r="AK1134" s="374"/>
      <c r="AL1134" s="374"/>
      <c r="AO1134" s="294"/>
      <c r="AR1134" s="374"/>
      <c r="AZ1134" s="374"/>
      <c r="BE1134" s="26"/>
      <c r="BF1134" s="26"/>
      <c r="BG1134" s="26"/>
      <c r="BH1134" s="26"/>
      <c r="BI1134" s="26"/>
      <c r="BJ1134" s="26"/>
      <c r="BK1134" s="26"/>
      <c r="BL1134" s="26"/>
      <c r="BS1134" s="20"/>
      <c r="BT1134" s="26"/>
      <c r="BV1134" s="381"/>
      <c r="BW1134" s="229"/>
    </row>
    <row r="1135" spans="33:75" x14ac:dyDescent="0.2">
      <c r="AG1135" s="294"/>
      <c r="AH1135" s="294"/>
      <c r="AI1135" s="294"/>
      <c r="AJ1135" s="26"/>
      <c r="AK1135" s="374"/>
      <c r="AL1135" s="374"/>
      <c r="AO1135" s="294"/>
      <c r="AR1135" s="374"/>
      <c r="AZ1135" s="374"/>
      <c r="BE1135" s="26"/>
      <c r="BF1135" s="26"/>
      <c r="BG1135" s="26"/>
      <c r="BH1135" s="26"/>
      <c r="BI1135" s="26"/>
      <c r="BJ1135" s="26"/>
      <c r="BK1135" s="26"/>
      <c r="BL1135" s="26"/>
      <c r="BS1135" s="20"/>
      <c r="BT1135" s="26"/>
      <c r="BV1135" s="381"/>
      <c r="BW1135" s="229"/>
    </row>
    <row r="1136" spans="33:75" x14ac:dyDescent="0.2">
      <c r="AG1136" s="294"/>
      <c r="AH1136" s="294"/>
      <c r="AI1136" s="294"/>
      <c r="AJ1136" s="26"/>
      <c r="AK1136" s="374"/>
      <c r="AL1136" s="374"/>
      <c r="AO1136" s="294"/>
      <c r="AR1136" s="374"/>
      <c r="AZ1136" s="374"/>
      <c r="BE1136" s="26"/>
      <c r="BF1136" s="26"/>
      <c r="BG1136" s="26"/>
      <c r="BH1136" s="26"/>
      <c r="BI1136" s="26"/>
      <c r="BJ1136" s="26"/>
      <c r="BK1136" s="26"/>
      <c r="BL1136" s="26"/>
      <c r="BS1136" s="20"/>
      <c r="BT1136" s="26"/>
      <c r="BV1136" s="381"/>
      <c r="BW1136" s="229"/>
    </row>
    <row r="1137" spans="33:75" x14ac:dyDescent="0.2">
      <c r="AG1137" s="294"/>
      <c r="AH1137" s="294"/>
      <c r="AI1137" s="294"/>
      <c r="AJ1137" s="26"/>
      <c r="AK1137" s="374"/>
      <c r="AL1137" s="374"/>
      <c r="AO1137" s="294"/>
      <c r="AR1137" s="374"/>
      <c r="AZ1137" s="374"/>
      <c r="BE1137" s="26"/>
      <c r="BF1137" s="26"/>
      <c r="BG1137" s="26"/>
      <c r="BH1137" s="26"/>
      <c r="BI1137" s="26"/>
      <c r="BJ1137" s="26"/>
      <c r="BK1137" s="26"/>
      <c r="BL1137" s="26"/>
      <c r="BS1137" s="20"/>
      <c r="BT1137" s="26"/>
      <c r="BV1137" s="381"/>
      <c r="BW1137" s="229"/>
    </row>
    <row r="1138" spans="33:75" x14ac:dyDescent="0.2">
      <c r="AG1138" s="294"/>
      <c r="AH1138" s="294"/>
      <c r="AI1138" s="294"/>
      <c r="AJ1138" s="26"/>
      <c r="AK1138" s="374"/>
      <c r="AL1138" s="374"/>
      <c r="AO1138" s="294"/>
      <c r="AR1138" s="374"/>
      <c r="AZ1138" s="374"/>
      <c r="BE1138" s="26"/>
      <c r="BF1138" s="26"/>
      <c r="BG1138" s="26"/>
      <c r="BH1138" s="26"/>
      <c r="BI1138" s="26"/>
      <c r="BJ1138" s="26"/>
      <c r="BK1138" s="26"/>
      <c r="BL1138" s="26"/>
      <c r="BS1138" s="20"/>
      <c r="BT1138" s="26"/>
      <c r="BV1138" s="381"/>
      <c r="BW1138" s="229"/>
    </row>
    <row r="1139" spans="33:75" x14ac:dyDescent="0.2">
      <c r="AG1139" s="294"/>
      <c r="AH1139" s="294"/>
      <c r="AI1139" s="294"/>
      <c r="AJ1139" s="26"/>
      <c r="AK1139" s="374"/>
      <c r="AL1139" s="374"/>
      <c r="AO1139" s="294"/>
      <c r="AR1139" s="374"/>
      <c r="AZ1139" s="374"/>
      <c r="BE1139" s="26"/>
      <c r="BF1139" s="26"/>
      <c r="BG1139" s="26"/>
      <c r="BH1139" s="26"/>
      <c r="BI1139" s="26"/>
      <c r="BJ1139" s="26"/>
      <c r="BK1139" s="26"/>
      <c r="BL1139" s="26"/>
      <c r="BS1139" s="20"/>
      <c r="BT1139" s="26"/>
      <c r="BV1139" s="381"/>
      <c r="BW1139" s="229"/>
    </row>
    <row r="1140" spans="33:75" x14ac:dyDescent="0.2">
      <c r="AG1140" s="294"/>
      <c r="AH1140" s="294"/>
      <c r="AI1140" s="294"/>
      <c r="AJ1140" s="26"/>
      <c r="AK1140" s="374"/>
      <c r="AL1140" s="374"/>
      <c r="AO1140" s="294"/>
      <c r="AR1140" s="374"/>
      <c r="AZ1140" s="374"/>
      <c r="BE1140" s="26"/>
      <c r="BF1140" s="26"/>
      <c r="BG1140" s="26"/>
      <c r="BH1140" s="26"/>
      <c r="BI1140" s="26"/>
      <c r="BJ1140" s="26"/>
      <c r="BK1140" s="26"/>
      <c r="BL1140" s="26"/>
      <c r="BS1140" s="20"/>
      <c r="BT1140" s="26"/>
      <c r="BV1140" s="381"/>
      <c r="BW1140" s="229"/>
    </row>
    <row r="1141" spans="33:75" x14ac:dyDescent="0.2">
      <c r="AG1141" s="294"/>
      <c r="AH1141" s="294"/>
      <c r="AI1141" s="294"/>
      <c r="AJ1141" s="26"/>
      <c r="AK1141" s="374"/>
      <c r="AL1141" s="374"/>
      <c r="AO1141" s="294"/>
      <c r="AR1141" s="374"/>
      <c r="AZ1141" s="374"/>
      <c r="BE1141" s="26"/>
      <c r="BF1141" s="26"/>
      <c r="BG1141" s="26"/>
      <c r="BH1141" s="26"/>
      <c r="BI1141" s="26"/>
      <c r="BJ1141" s="26"/>
      <c r="BK1141" s="26"/>
      <c r="BL1141" s="26"/>
      <c r="BS1141" s="20"/>
      <c r="BT1141" s="26"/>
      <c r="BV1141" s="381"/>
      <c r="BW1141" s="229"/>
    </row>
    <row r="1142" spans="33:75" x14ac:dyDescent="0.2">
      <c r="AG1142" s="294"/>
      <c r="AH1142" s="294"/>
      <c r="AI1142" s="294"/>
      <c r="AJ1142" s="26"/>
      <c r="AK1142" s="374"/>
      <c r="AL1142" s="374"/>
      <c r="AO1142" s="294"/>
      <c r="AR1142" s="374"/>
      <c r="AZ1142" s="374"/>
      <c r="BE1142" s="26"/>
      <c r="BF1142" s="26"/>
      <c r="BG1142" s="26"/>
      <c r="BH1142" s="26"/>
      <c r="BI1142" s="26"/>
      <c r="BJ1142" s="26"/>
      <c r="BK1142" s="26"/>
      <c r="BL1142" s="26"/>
      <c r="BS1142" s="20"/>
      <c r="BT1142" s="26"/>
      <c r="BV1142" s="381"/>
      <c r="BW1142" s="229"/>
    </row>
    <row r="1143" spans="33:75" x14ac:dyDescent="0.2">
      <c r="AG1143" s="294"/>
      <c r="AH1143" s="294"/>
      <c r="AI1143" s="294"/>
      <c r="AJ1143" s="26"/>
      <c r="AK1143" s="374"/>
      <c r="AL1143" s="374"/>
      <c r="AO1143" s="294"/>
      <c r="AR1143" s="374"/>
      <c r="AZ1143" s="374"/>
      <c r="BE1143" s="26"/>
      <c r="BF1143" s="26"/>
      <c r="BG1143" s="26"/>
      <c r="BH1143" s="26"/>
      <c r="BI1143" s="26"/>
      <c r="BJ1143" s="26"/>
      <c r="BK1143" s="26"/>
      <c r="BL1143" s="26"/>
      <c r="BS1143" s="20"/>
      <c r="BT1143" s="26"/>
      <c r="BV1143" s="381"/>
      <c r="BW1143" s="229"/>
    </row>
    <row r="1144" spans="33:75" x14ac:dyDescent="0.2">
      <c r="AG1144" s="294"/>
      <c r="AH1144" s="294"/>
      <c r="AI1144" s="294"/>
      <c r="AJ1144" s="26"/>
      <c r="AK1144" s="374"/>
      <c r="AL1144" s="374"/>
      <c r="AO1144" s="294"/>
      <c r="AR1144" s="374"/>
      <c r="AZ1144" s="374"/>
      <c r="BE1144" s="26"/>
      <c r="BF1144" s="26"/>
      <c r="BG1144" s="26"/>
      <c r="BH1144" s="26"/>
      <c r="BI1144" s="26"/>
      <c r="BJ1144" s="26"/>
      <c r="BK1144" s="26"/>
      <c r="BL1144" s="26"/>
      <c r="BS1144" s="20"/>
      <c r="BT1144" s="26"/>
      <c r="BV1144" s="381"/>
      <c r="BW1144" s="229"/>
    </row>
    <row r="1145" spans="33:75" x14ac:dyDescent="0.2">
      <c r="AG1145" s="294"/>
      <c r="AH1145" s="294"/>
      <c r="AI1145" s="294"/>
      <c r="AJ1145" s="26"/>
      <c r="AK1145" s="374"/>
      <c r="AL1145" s="374"/>
      <c r="AO1145" s="294"/>
      <c r="AR1145" s="374"/>
      <c r="AZ1145" s="374"/>
      <c r="BE1145" s="26"/>
      <c r="BF1145" s="26"/>
      <c r="BG1145" s="26"/>
      <c r="BH1145" s="26"/>
      <c r="BI1145" s="26"/>
      <c r="BJ1145" s="26"/>
      <c r="BK1145" s="26"/>
      <c r="BL1145" s="26"/>
      <c r="BS1145" s="20"/>
      <c r="BT1145" s="26"/>
      <c r="BV1145" s="381"/>
      <c r="BW1145" s="229"/>
    </row>
    <row r="1146" spans="33:75" x14ac:dyDescent="0.2">
      <c r="AG1146" s="294"/>
      <c r="AH1146" s="294"/>
      <c r="AI1146" s="294"/>
      <c r="AJ1146" s="26"/>
      <c r="AK1146" s="374"/>
      <c r="AL1146" s="374"/>
      <c r="AO1146" s="294"/>
      <c r="AR1146" s="374"/>
      <c r="AZ1146" s="374"/>
      <c r="BE1146" s="26"/>
      <c r="BF1146" s="26"/>
      <c r="BG1146" s="26"/>
      <c r="BH1146" s="26"/>
      <c r="BI1146" s="26"/>
      <c r="BJ1146" s="26"/>
      <c r="BK1146" s="26"/>
      <c r="BL1146" s="26"/>
      <c r="BS1146" s="20"/>
      <c r="BT1146" s="26"/>
      <c r="BV1146" s="381"/>
      <c r="BW1146" s="229"/>
    </row>
    <row r="1147" spans="33:75" x14ac:dyDescent="0.2">
      <c r="AG1147" s="294"/>
      <c r="AH1147" s="294"/>
      <c r="AI1147" s="294"/>
      <c r="AJ1147" s="26"/>
      <c r="AK1147" s="374"/>
      <c r="AL1147" s="374"/>
      <c r="AO1147" s="294"/>
      <c r="AR1147" s="374"/>
      <c r="AZ1147" s="374"/>
      <c r="BE1147" s="26"/>
      <c r="BF1147" s="26"/>
      <c r="BG1147" s="26"/>
      <c r="BH1147" s="26"/>
      <c r="BI1147" s="26"/>
      <c r="BJ1147" s="26"/>
      <c r="BK1147" s="26"/>
      <c r="BL1147" s="26"/>
      <c r="BS1147" s="20"/>
      <c r="BT1147" s="26"/>
      <c r="BV1147" s="381"/>
      <c r="BW1147" s="229"/>
    </row>
    <row r="1148" spans="33:75" x14ac:dyDescent="0.2">
      <c r="AG1148" s="294"/>
      <c r="AH1148" s="294"/>
      <c r="AI1148" s="294"/>
      <c r="AJ1148" s="26"/>
      <c r="AK1148" s="374"/>
      <c r="AL1148" s="374"/>
      <c r="AO1148" s="294"/>
      <c r="AR1148" s="374"/>
      <c r="AZ1148" s="374"/>
      <c r="BE1148" s="26"/>
      <c r="BF1148" s="26"/>
      <c r="BG1148" s="26"/>
      <c r="BH1148" s="26"/>
      <c r="BI1148" s="26"/>
      <c r="BJ1148" s="26"/>
      <c r="BK1148" s="26"/>
      <c r="BL1148" s="26"/>
      <c r="BS1148" s="20"/>
      <c r="BT1148" s="26"/>
      <c r="BV1148" s="381"/>
      <c r="BW1148" s="229"/>
    </row>
    <row r="1149" spans="33:75" x14ac:dyDescent="0.2">
      <c r="AG1149" s="294"/>
      <c r="AH1149" s="294"/>
      <c r="AI1149" s="294"/>
      <c r="AJ1149" s="26"/>
      <c r="AK1149" s="374"/>
      <c r="AL1149" s="374"/>
      <c r="AO1149" s="294"/>
      <c r="AR1149" s="374"/>
      <c r="AZ1149" s="374"/>
      <c r="BE1149" s="26"/>
      <c r="BF1149" s="26"/>
      <c r="BG1149" s="26"/>
      <c r="BH1149" s="26"/>
      <c r="BI1149" s="26"/>
      <c r="BJ1149" s="26"/>
      <c r="BK1149" s="26"/>
      <c r="BL1149" s="26"/>
      <c r="BS1149" s="20"/>
      <c r="BT1149" s="26"/>
      <c r="BV1149" s="381"/>
      <c r="BW1149" s="229"/>
    </row>
    <row r="1150" spans="33:75" x14ac:dyDescent="0.2">
      <c r="AG1150" s="294"/>
      <c r="AH1150" s="294"/>
      <c r="AI1150" s="294"/>
      <c r="AJ1150" s="26"/>
      <c r="AK1150" s="374"/>
      <c r="AL1150" s="374"/>
      <c r="AO1150" s="294"/>
      <c r="AR1150" s="374"/>
      <c r="AZ1150" s="374"/>
      <c r="BE1150" s="26"/>
      <c r="BF1150" s="26"/>
      <c r="BG1150" s="26"/>
      <c r="BH1150" s="26"/>
      <c r="BI1150" s="26"/>
      <c r="BJ1150" s="26"/>
      <c r="BK1150" s="26"/>
      <c r="BL1150" s="26"/>
      <c r="BS1150" s="20"/>
      <c r="BT1150" s="26"/>
      <c r="BV1150" s="381"/>
      <c r="BW1150" s="229"/>
    </row>
    <row r="1151" spans="33:75" x14ac:dyDescent="0.2">
      <c r="AG1151" s="294"/>
      <c r="AH1151" s="294"/>
      <c r="AI1151" s="294"/>
      <c r="AJ1151" s="26"/>
      <c r="AK1151" s="374"/>
      <c r="AL1151" s="374"/>
      <c r="AO1151" s="294"/>
      <c r="AR1151" s="374"/>
      <c r="AZ1151" s="374"/>
      <c r="BE1151" s="26"/>
      <c r="BF1151" s="26"/>
      <c r="BG1151" s="26"/>
      <c r="BH1151" s="26"/>
      <c r="BI1151" s="26"/>
      <c r="BJ1151" s="26"/>
      <c r="BK1151" s="26"/>
      <c r="BL1151" s="26"/>
      <c r="BS1151" s="20"/>
      <c r="BT1151" s="26"/>
      <c r="BV1151" s="381"/>
      <c r="BW1151" s="229"/>
    </row>
    <row r="1152" spans="33:75" x14ac:dyDescent="0.2">
      <c r="AG1152" s="294"/>
      <c r="AH1152" s="294"/>
      <c r="AI1152" s="294"/>
      <c r="AJ1152" s="26"/>
      <c r="AK1152" s="374"/>
      <c r="AL1152" s="374"/>
      <c r="AO1152" s="294"/>
      <c r="AR1152" s="374"/>
      <c r="AZ1152" s="374"/>
      <c r="BE1152" s="26"/>
      <c r="BF1152" s="26"/>
      <c r="BG1152" s="26"/>
      <c r="BH1152" s="26"/>
      <c r="BI1152" s="26"/>
      <c r="BJ1152" s="26"/>
      <c r="BK1152" s="26"/>
      <c r="BL1152" s="26"/>
      <c r="BS1152" s="20"/>
      <c r="BT1152" s="26"/>
      <c r="BV1152" s="381"/>
      <c r="BW1152" s="229"/>
    </row>
    <row r="1153" spans="33:75" x14ac:dyDescent="0.2">
      <c r="AG1153" s="294"/>
      <c r="AH1153" s="294"/>
      <c r="AI1153" s="294"/>
      <c r="AJ1153" s="26"/>
      <c r="AK1153" s="374"/>
      <c r="AL1153" s="374"/>
      <c r="AO1153" s="294"/>
      <c r="AR1153" s="374"/>
      <c r="AZ1153" s="374"/>
      <c r="BE1153" s="26"/>
      <c r="BF1153" s="26"/>
      <c r="BG1153" s="26"/>
      <c r="BH1153" s="26"/>
      <c r="BI1153" s="26"/>
      <c r="BJ1153" s="26"/>
      <c r="BK1153" s="26"/>
      <c r="BL1153" s="26"/>
      <c r="BS1153" s="20"/>
      <c r="BT1153" s="26"/>
      <c r="BV1153" s="381"/>
      <c r="BW1153" s="229"/>
    </row>
    <row r="1154" spans="33:75" x14ac:dyDescent="0.2">
      <c r="AG1154" s="294"/>
      <c r="AH1154" s="294"/>
      <c r="AI1154" s="294"/>
      <c r="AJ1154" s="26"/>
      <c r="AK1154" s="374"/>
      <c r="AL1154" s="374"/>
      <c r="AO1154" s="294"/>
      <c r="AR1154" s="374"/>
      <c r="AZ1154" s="374"/>
      <c r="BE1154" s="26"/>
      <c r="BF1154" s="26"/>
      <c r="BG1154" s="26"/>
      <c r="BH1154" s="26"/>
      <c r="BI1154" s="26"/>
      <c r="BJ1154" s="26"/>
      <c r="BK1154" s="26"/>
      <c r="BL1154" s="26"/>
      <c r="BS1154" s="20"/>
      <c r="BT1154" s="26"/>
      <c r="BV1154" s="381"/>
      <c r="BW1154" s="229"/>
    </row>
    <row r="1155" spans="33:75" x14ac:dyDescent="0.2">
      <c r="AG1155" s="294"/>
      <c r="AH1155" s="294"/>
      <c r="AI1155" s="294"/>
      <c r="AJ1155" s="26"/>
      <c r="AK1155" s="374"/>
      <c r="AL1155" s="374"/>
      <c r="AO1155" s="294"/>
      <c r="AR1155" s="374"/>
      <c r="AZ1155" s="374"/>
      <c r="BE1155" s="26"/>
      <c r="BF1155" s="26"/>
      <c r="BG1155" s="26"/>
      <c r="BH1155" s="26"/>
      <c r="BI1155" s="26"/>
      <c r="BJ1155" s="26"/>
      <c r="BK1155" s="26"/>
      <c r="BL1155" s="26"/>
      <c r="BS1155" s="20"/>
      <c r="BT1155" s="26"/>
      <c r="BV1155" s="381"/>
      <c r="BW1155" s="229"/>
    </row>
    <row r="1156" spans="33:75" x14ac:dyDescent="0.2">
      <c r="AG1156" s="294"/>
      <c r="AH1156" s="294"/>
      <c r="AI1156" s="294"/>
      <c r="AJ1156" s="26"/>
      <c r="AK1156" s="374"/>
      <c r="AL1156" s="374"/>
      <c r="AO1156" s="294"/>
      <c r="AR1156" s="374"/>
      <c r="AZ1156" s="374"/>
      <c r="BE1156" s="26"/>
      <c r="BF1156" s="26"/>
      <c r="BG1156" s="26"/>
      <c r="BH1156" s="26"/>
      <c r="BI1156" s="26"/>
      <c r="BJ1156" s="26"/>
      <c r="BK1156" s="26"/>
      <c r="BL1156" s="26"/>
      <c r="BS1156" s="20"/>
      <c r="BT1156" s="26"/>
      <c r="BV1156" s="381"/>
      <c r="BW1156" s="229"/>
    </row>
    <row r="1157" spans="33:75" x14ac:dyDescent="0.2">
      <c r="AG1157" s="294"/>
      <c r="AH1157" s="294"/>
      <c r="AI1157" s="294"/>
      <c r="AJ1157" s="26"/>
      <c r="AK1157" s="374"/>
      <c r="AL1157" s="374"/>
      <c r="AO1157" s="294"/>
      <c r="AR1157" s="374"/>
      <c r="AZ1157" s="374"/>
      <c r="BE1157" s="26"/>
      <c r="BF1157" s="26"/>
      <c r="BG1157" s="26"/>
      <c r="BH1157" s="26"/>
      <c r="BI1157" s="26"/>
      <c r="BJ1157" s="26"/>
      <c r="BK1157" s="26"/>
      <c r="BL1157" s="26"/>
      <c r="BS1157" s="20"/>
      <c r="BT1157" s="26"/>
      <c r="BV1157" s="381"/>
      <c r="BW1157" s="229"/>
    </row>
    <row r="1158" spans="33:75" x14ac:dyDescent="0.2">
      <c r="AG1158" s="294"/>
      <c r="AH1158" s="294"/>
      <c r="AI1158" s="294"/>
      <c r="AJ1158" s="26"/>
      <c r="AK1158" s="374"/>
      <c r="AL1158" s="374"/>
      <c r="AO1158" s="294"/>
      <c r="AR1158" s="374"/>
      <c r="AZ1158" s="374"/>
      <c r="BE1158" s="26"/>
      <c r="BF1158" s="26"/>
      <c r="BG1158" s="26"/>
      <c r="BH1158" s="26"/>
      <c r="BI1158" s="26"/>
      <c r="BJ1158" s="26"/>
      <c r="BK1158" s="26"/>
      <c r="BL1158" s="26"/>
      <c r="BS1158" s="20"/>
      <c r="BT1158" s="26"/>
      <c r="BV1158" s="381"/>
      <c r="BW1158" s="229"/>
    </row>
    <row r="1159" spans="33:75" x14ac:dyDescent="0.2">
      <c r="AG1159" s="294"/>
      <c r="AH1159" s="294"/>
      <c r="AI1159" s="294"/>
      <c r="AJ1159" s="26"/>
      <c r="AK1159" s="374"/>
      <c r="AL1159" s="374"/>
      <c r="AO1159" s="294"/>
      <c r="AR1159" s="374"/>
      <c r="AZ1159" s="374"/>
      <c r="BE1159" s="26"/>
      <c r="BF1159" s="26"/>
      <c r="BG1159" s="26"/>
      <c r="BH1159" s="26"/>
      <c r="BI1159" s="26"/>
      <c r="BJ1159" s="26"/>
      <c r="BK1159" s="26"/>
      <c r="BL1159" s="26"/>
      <c r="BS1159" s="20"/>
      <c r="BT1159" s="26"/>
      <c r="BV1159" s="381"/>
      <c r="BW1159" s="229"/>
    </row>
    <row r="1160" spans="33:75" x14ac:dyDescent="0.2">
      <c r="AG1160" s="294"/>
      <c r="AH1160" s="294"/>
      <c r="AI1160" s="294"/>
      <c r="AJ1160" s="26"/>
      <c r="AK1160" s="374"/>
      <c r="AL1160" s="374"/>
      <c r="AO1160" s="294"/>
      <c r="AR1160" s="374"/>
      <c r="AZ1160" s="374"/>
      <c r="BE1160" s="26"/>
      <c r="BF1160" s="26"/>
      <c r="BG1160" s="26"/>
      <c r="BH1160" s="26"/>
      <c r="BI1160" s="26"/>
      <c r="BJ1160" s="26"/>
      <c r="BK1160" s="26"/>
      <c r="BL1160" s="26"/>
      <c r="BS1160" s="20"/>
      <c r="BT1160" s="26"/>
      <c r="BV1160" s="381"/>
      <c r="BW1160" s="229"/>
    </row>
    <row r="1161" spans="33:75" x14ac:dyDescent="0.2">
      <c r="AG1161" s="294"/>
      <c r="AH1161" s="294"/>
      <c r="AI1161" s="294"/>
      <c r="AJ1161" s="26"/>
      <c r="AK1161" s="374"/>
      <c r="AL1161" s="374"/>
      <c r="AO1161" s="294"/>
      <c r="AR1161" s="374"/>
      <c r="AZ1161" s="374"/>
      <c r="BE1161" s="26"/>
      <c r="BF1161" s="26"/>
      <c r="BG1161" s="26"/>
      <c r="BH1161" s="26"/>
      <c r="BI1161" s="26"/>
      <c r="BJ1161" s="26"/>
      <c r="BK1161" s="26"/>
      <c r="BL1161" s="26"/>
      <c r="BS1161" s="20"/>
      <c r="BT1161" s="26"/>
      <c r="BV1161" s="381"/>
      <c r="BW1161" s="229"/>
    </row>
    <row r="1162" spans="33:75" x14ac:dyDescent="0.2">
      <c r="AG1162" s="294"/>
      <c r="AH1162" s="294"/>
      <c r="AI1162" s="294"/>
      <c r="AJ1162" s="26"/>
      <c r="AK1162" s="374"/>
      <c r="AL1162" s="374"/>
      <c r="AO1162" s="294"/>
      <c r="AR1162" s="374"/>
      <c r="AZ1162" s="374"/>
      <c r="BE1162" s="26"/>
      <c r="BF1162" s="26"/>
      <c r="BG1162" s="26"/>
      <c r="BH1162" s="26"/>
      <c r="BI1162" s="26"/>
      <c r="BJ1162" s="26"/>
      <c r="BK1162" s="26"/>
      <c r="BL1162" s="26"/>
      <c r="BS1162" s="20"/>
      <c r="BT1162" s="26"/>
      <c r="BV1162" s="381"/>
      <c r="BW1162" s="229"/>
    </row>
    <row r="1163" spans="33:75" x14ac:dyDescent="0.2">
      <c r="AG1163" s="294"/>
      <c r="AH1163" s="294"/>
      <c r="AI1163" s="294"/>
      <c r="AJ1163" s="26"/>
      <c r="AK1163" s="374"/>
      <c r="AL1163" s="374"/>
      <c r="AO1163" s="294"/>
      <c r="AR1163" s="374"/>
      <c r="AZ1163" s="374"/>
      <c r="BE1163" s="26"/>
      <c r="BF1163" s="26"/>
      <c r="BG1163" s="26"/>
      <c r="BH1163" s="26"/>
      <c r="BI1163" s="26"/>
      <c r="BJ1163" s="26"/>
      <c r="BK1163" s="26"/>
      <c r="BL1163" s="26"/>
      <c r="BS1163" s="20"/>
      <c r="BT1163" s="26"/>
      <c r="BV1163" s="381"/>
      <c r="BW1163" s="229"/>
    </row>
    <row r="1164" spans="33:75" x14ac:dyDescent="0.2">
      <c r="AG1164" s="294"/>
      <c r="AH1164" s="294"/>
      <c r="AI1164" s="294"/>
      <c r="AJ1164" s="26"/>
      <c r="AK1164" s="374"/>
      <c r="AL1164" s="374"/>
      <c r="AO1164" s="294"/>
      <c r="AR1164" s="374"/>
      <c r="AZ1164" s="374"/>
      <c r="BE1164" s="26"/>
      <c r="BF1164" s="26"/>
      <c r="BG1164" s="26"/>
      <c r="BH1164" s="26"/>
      <c r="BI1164" s="26"/>
      <c r="BJ1164" s="26"/>
      <c r="BK1164" s="26"/>
      <c r="BL1164" s="26"/>
      <c r="BS1164" s="20"/>
      <c r="BT1164" s="26"/>
      <c r="BV1164" s="381"/>
      <c r="BW1164" s="229"/>
    </row>
    <row r="1165" spans="33:75" x14ac:dyDescent="0.2">
      <c r="AG1165" s="294"/>
      <c r="AH1165" s="294"/>
      <c r="AI1165" s="294"/>
      <c r="AJ1165" s="26"/>
      <c r="AK1165" s="374"/>
      <c r="AL1165" s="374"/>
      <c r="AO1165" s="294"/>
      <c r="AR1165" s="374"/>
      <c r="AZ1165" s="374"/>
      <c r="BE1165" s="26"/>
      <c r="BF1165" s="26"/>
      <c r="BG1165" s="26"/>
      <c r="BH1165" s="26"/>
      <c r="BI1165" s="26"/>
      <c r="BJ1165" s="26"/>
      <c r="BK1165" s="26"/>
      <c r="BL1165" s="26"/>
      <c r="BS1165" s="20"/>
      <c r="BT1165" s="26"/>
      <c r="BV1165" s="381"/>
      <c r="BW1165" s="229"/>
    </row>
    <row r="1166" spans="33:75" x14ac:dyDescent="0.2">
      <c r="AG1166" s="294"/>
      <c r="AH1166" s="294"/>
      <c r="AI1166" s="294"/>
      <c r="AJ1166" s="26"/>
      <c r="AK1166" s="374"/>
      <c r="AL1166" s="374"/>
      <c r="AO1166" s="294"/>
      <c r="AR1166" s="374"/>
      <c r="AZ1166" s="374"/>
      <c r="BE1166" s="26"/>
      <c r="BF1166" s="26"/>
      <c r="BG1166" s="26"/>
      <c r="BH1166" s="26"/>
      <c r="BI1166" s="26"/>
      <c r="BJ1166" s="26"/>
      <c r="BK1166" s="26"/>
      <c r="BL1166" s="26"/>
      <c r="BS1166" s="20"/>
      <c r="BT1166" s="26"/>
      <c r="BV1166" s="381"/>
      <c r="BW1166" s="229"/>
    </row>
    <row r="1167" spans="33:75" x14ac:dyDescent="0.2">
      <c r="AG1167" s="294"/>
      <c r="AH1167" s="294"/>
      <c r="AI1167" s="294"/>
      <c r="AJ1167" s="26"/>
      <c r="AK1167" s="374"/>
      <c r="AL1167" s="374"/>
      <c r="AO1167" s="294"/>
      <c r="AR1167" s="374"/>
      <c r="AZ1167" s="374"/>
      <c r="BE1167" s="26"/>
      <c r="BF1167" s="26"/>
      <c r="BG1167" s="26"/>
      <c r="BH1167" s="26"/>
      <c r="BI1167" s="26"/>
      <c r="BJ1167" s="26"/>
      <c r="BK1167" s="26"/>
      <c r="BL1167" s="26"/>
      <c r="BS1167" s="20"/>
      <c r="BT1167" s="26"/>
      <c r="BV1167" s="381"/>
      <c r="BW1167" s="229"/>
    </row>
    <row r="1168" spans="33:75" x14ac:dyDescent="0.2">
      <c r="AG1168" s="294"/>
      <c r="AH1168" s="294"/>
      <c r="AI1168" s="294"/>
      <c r="AJ1168" s="26"/>
      <c r="AK1168" s="374"/>
      <c r="AL1168" s="374"/>
      <c r="AO1168" s="294"/>
      <c r="AR1168" s="374"/>
      <c r="AZ1168" s="374"/>
      <c r="BE1168" s="26"/>
      <c r="BF1168" s="26"/>
      <c r="BG1168" s="26"/>
      <c r="BH1168" s="26"/>
      <c r="BI1168" s="26"/>
      <c r="BJ1168" s="26"/>
      <c r="BK1168" s="26"/>
      <c r="BL1168" s="26"/>
      <c r="BS1168" s="20"/>
      <c r="BT1168" s="26"/>
      <c r="BV1168" s="381"/>
      <c r="BW1168" s="229"/>
    </row>
    <row r="1169" spans="33:75" x14ac:dyDescent="0.2">
      <c r="AG1169" s="294"/>
      <c r="AH1169" s="294"/>
      <c r="AI1169" s="294"/>
      <c r="AJ1169" s="26"/>
      <c r="AK1169" s="374"/>
      <c r="AL1169" s="374"/>
      <c r="AO1169" s="294"/>
      <c r="AR1169" s="374"/>
      <c r="AZ1169" s="374"/>
      <c r="BE1169" s="26"/>
      <c r="BF1169" s="26"/>
      <c r="BG1169" s="26"/>
      <c r="BH1169" s="26"/>
      <c r="BI1169" s="26"/>
      <c r="BJ1169" s="26"/>
      <c r="BK1169" s="26"/>
      <c r="BL1169" s="26"/>
      <c r="BS1169" s="20"/>
      <c r="BT1169" s="26"/>
      <c r="BV1169" s="381"/>
      <c r="BW1169" s="229"/>
    </row>
    <row r="1170" spans="33:75" x14ac:dyDescent="0.2">
      <c r="AG1170" s="294"/>
      <c r="AH1170" s="294"/>
      <c r="AI1170" s="294"/>
      <c r="AJ1170" s="26"/>
      <c r="AK1170" s="374"/>
      <c r="AL1170" s="374"/>
      <c r="AO1170" s="294"/>
      <c r="AR1170" s="374"/>
      <c r="AZ1170" s="374"/>
      <c r="BE1170" s="26"/>
      <c r="BF1170" s="26"/>
      <c r="BG1170" s="26"/>
      <c r="BH1170" s="26"/>
      <c r="BI1170" s="26"/>
      <c r="BJ1170" s="26"/>
      <c r="BK1170" s="26"/>
      <c r="BL1170" s="26"/>
      <c r="BS1170" s="20"/>
      <c r="BT1170" s="26"/>
      <c r="BV1170" s="381"/>
      <c r="BW1170" s="229"/>
    </row>
    <row r="1171" spans="33:75" x14ac:dyDescent="0.2">
      <c r="AG1171" s="294"/>
      <c r="AH1171" s="294"/>
      <c r="AI1171" s="294"/>
      <c r="AJ1171" s="26"/>
      <c r="AK1171" s="374"/>
      <c r="AL1171" s="374"/>
      <c r="AO1171" s="294"/>
      <c r="AR1171" s="374"/>
      <c r="AZ1171" s="374"/>
      <c r="BE1171" s="26"/>
      <c r="BF1171" s="26"/>
      <c r="BG1171" s="26"/>
      <c r="BH1171" s="26"/>
      <c r="BI1171" s="26"/>
      <c r="BJ1171" s="26"/>
      <c r="BK1171" s="26"/>
      <c r="BL1171" s="26"/>
      <c r="BS1171" s="20"/>
      <c r="BT1171" s="26"/>
      <c r="BV1171" s="381"/>
      <c r="BW1171" s="229"/>
    </row>
    <row r="1172" spans="33:75" x14ac:dyDescent="0.2">
      <c r="AG1172" s="294"/>
      <c r="AH1172" s="294"/>
      <c r="AI1172" s="294"/>
      <c r="AJ1172" s="26"/>
      <c r="AK1172" s="374"/>
      <c r="AL1172" s="374"/>
      <c r="AO1172" s="294"/>
      <c r="AR1172" s="374"/>
      <c r="AZ1172" s="374"/>
      <c r="BE1172" s="26"/>
      <c r="BF1172" s="26"/>
      <c r="BG1172" s="26"/>
      <c r="BH1172" s="26"/>
      <c r="BI1172" s="26"/>
      <c r="BJ1172" s="26"/>
      <c r="BK1172" s="26"/>
      <c r="BL1172" s="26"/>
      <c r="BS1172" s="20"/>
      <c r="BT1172" s="26"/>
      <c r="BV1172" s="381"/>
      <c r="BW1172" s="229"/>
    </row>
    <row r="1173" spans="33:75" x14ac:dyDescent="0.2">
      <c r="AG1173" s="294"/>
      <c r="AH1173" s="294"/>
      <c r="AI1173" s="294"/>
      <c r="AJ1173" s="26"/>
      <c r="AK1173" s="374"/>
      <c r="AL1173" s="374"/>
      <c r="AO1173" s="294"/>
      <c r="AR1173" s="374"/>
      <c r="AZ1173" s="374"/>
      <c r="BE1173" s="26"/>
      <c r="BF1173" s="26"/>
      <c r="BG1173" s="26"/>
      <c r="BH1173" s="26"/>
      <c r="BI1173" s="26"/>
      <c r="BJ1173" s="26"/>
      <c r="BK1173" s="26"/>
      <c r="BL1173" s="26"/>
      <c r="BS1173" s="20"/>
      <c r="BT1173" s="26"/>
      <c r="BV1173" s="381"/>
      <c r="BW1173" s="229"/>
    </row>
    <row r="1174" spans="33:75" x14ac:dyDescent="0.2">
      <c r="AG1174" s="294"/>
      <c r="AH1174" s="294"/>
      <c r="AI1174" s="294"/>
      <c r="AJ1174" s="26"/>
      <c r="AK1174" s="374"/>
      <c r="AL1174" s="374"/>
      <c r="AO1174" s="294"/>
      <c r="AR1174" s="374"/>
      <c r="AZ1174" s="374"/>
      <c r="BE1174" s="26"/>
      <c r="BF1174" s="26"/>
      <c r="BG1174" s="26"/>
      <c r="BH1174" s="26"/>
      <c r="BI1174" s="26"/>
      <c r="BJ1174" s="26"/>
      <c r="BK1174" s="26"/>
      <c r="BL1174" s="26"/>
      <c r="BS1174" s="20"/>
      <c r="BT1174" s="26"/>
      <c r="BV1174" s="381"/>
      <c r="BW1174" s="229"/>
    </row>
    <row r="1175" spans="33:75" x14ac:dyDescent="0.2">
      <c r="AG1175" s="294"/>
      <c r="AH1175" s="294"/>
      <c r="AI1175" s="294"/>
      <c r="AJ1175" s="26"/>
      <c r="AK1175" s="374"/>
      <c r="AL1175" s="374"/>
      <c r="AO1175" s="294"/>
      <c r="AR1175" s="374"/>
      <c r="AZ1175" s="374"/>
      <c r="BE1175" s="26"/>
      <c r="BF1175" s="26"/>
      <c r="BG1175" s="26"/>
      <c r="BH1175" s="26"/>
      <c r="BI1175" s="26"/>
      <c r="BJ1175" s="26"/>
      <c r="BK1175" s="26"/>
      <c r="BL1175" s="26"/>
      <c r="BS1175" s="20"/>
      <c r="BT1175" s="26"/>
      <c r="BV1175" s="381"/>
      <c r="BW1175" s="229"/>
    </row>
    <row r="1176" spans="33:75" x14ac:dyDescent="0.2">
      <c r="AG1176" s="294"/>
      <c r="AH1176" s="294"/>
      <c r="AI1176" s="294"/>
      <c r="AJ1176" s="26"/>
      <c r="AK1176" s="374"/>
      <c r="AL1176" s="374"/>
      <c r="AO1176" s="294"/>
      <c r="AR1176" s="374"/>
      <c r="AZ1176" s="374"/>
      <c r="BE1176" s="26"/>
      <c r="BF1176" s="26"/>
      <c r="BG1176" s="26"/>
      <c r="BH1176" s="26"/>
      <c r="BI1176" s="26"/>
      <c r="BJ1176" s="26"/>
      <c r="BK1176" s="26"/>
      <c r="BL1176" s="26"/>
      <c r="BS1176" s="20"/>
      <c r="BT1176" s="26"/>
      <c r="BV1176" s="381"/>
      <c r="BW1176" s="229"/>
    </row>
    <row r="1177" spans="33:75" x14ac:dyDescent="0.2">
      <c r="AG1177" s="294"/>
      <c r="AH1177" s="294"/>
      <c r="AI1177" s="294"/>
      <c r="AJ1177" s="26"/>
      <c r="AK1177" s="374"/>
      <c r="AL1177" s="374"/>
      <c r="AO1177" s="294"/>
      <c r="AR1177" s="374"/>
      <c r="AZ1177" s="374"/>
      <c r="BE1177" s="26"/>
      <c r="BF1177" s="26"/>
      <c r="BG1177" s="26"/>
      <c r="BH1177" s="26"/>
      <c r="BI1177" s="26"/>
      <c r="BJ1177" s="26"/>
      <c r="BK1177" s="26"/>
      <c r="BL1177" s="26"/>
      <c r="BS1177" s="20"/>
      <c r="BT1177" s="26"/>
      <c r="BV1177" s="381"/>
      <c r="BW1177" s="229"/>
    </row>
    <row r="1178" spans="33:75" x14ac:dyDescent="0.2">
      <c r="AG1178" s="294"/>
      <c r="AH1178" s="294"/>
      <c r="AI1178" s="294"/>
      <c r="AJ1178" s="26"/>
      <c r="AK1178" s="374"/>
      <c r="AL1178" s="374"/>
      <c r="AO1178" s="294"/>
      <c r="AR1178" s="374"/>
      <c r="AZ1178" s="374"/>
      <c r="BE1178" s="26"/>
      <c r="BF1178" s="26"/>
      <c r="BG1178" s="26"/>
      <c r="BH1178" s="26"/>
      <c r="BI1178" s="26"/>
      <c r="BJ1178" s="26"/>
      <c r="BK1178" s="26"/>
      <c r="BL1178" s="26"/>
      <c r="BS1178" s="20"/>
      <c r="BT1178" s="26"/>
      <c r="BV1178" s="381"/>
      <c r="BW1178" s="229"/>
    </row>
    <row r="1179" spans="33:75" x14ac:dyDescent="0.2">
      <c r="AG1179" s="294"/>
      <c r="AH1179" s="294"/>
      <c r="AI1179" s="294"/>
      <c r="AJ1179" s="26"/>
      <c r="AK1179" s="374"/>
      <c r="AL1179" s="374"/>
      <c r="AO1179" s="294"/>
      <c r="AR1179" s="374"/>
      <c r="AZ1179" s="374"/>
      <c r="BE1179" s="26"/>
      <c r="BF1179" s="26"/>
      <c r="BG1179" s="26"/>
      <c r="BH1179" s="26"/>
      <c r="BI1179" s="26"/>
      <c r="BJ1179" s="26"/>
      <c r="BK1179" s="26"/>
      <c r="BL1179" s="26"/>
      <c r="BS1179" s="20"/>
      <c r="BT1179" s="26"/>
      <c r="BV1179" s="381"/>
      <c r="BW1179" s="229"/>
    </row>
    <row r="1180" spans="33:75" x14ac:dyDescent="0.2">
      <c r="AG1180" s="294"/>
      <c r="AH1180" s="294"/>
      <c r="AI1180" s="294"/>
      <c r="AJ1180" s="26"/>
      <c r="AK1180" s="374"/>
      <c r="AL1180" s="374"/>
      <c r="AO1180" s="294"/>
      <c r="AR1180" s="374"/>
      <c r="AZ1180" s="374"/>
      <c r="BE1180" s="26"/>
      <c r="BF1180" s="26"/>
      <c r="BG1180" s="26"/>
      <c r="BH1180" s="26"/>
      <c r="BI1180" s="26"/>
      <c r="BJ1180" s="26"/>
      <c r="BK1180" s="26"/>
      <c r="BL1180" s="26"/>
      <c r="BS1180" s="20"/>
      <c r="BT1180" s="26"/>
      <c r="BV1180" s="381"/>
      <c r="BW1180" s="229"/>
    </row>
    <row r="1181" spans="33:75" x14ac:dyDescent="0.2">
      <c r="AG1181" s="294"/>
      <c r="AH1181" s="294"/>
      <c r="AI1181" s="294"/>
      <c r="AJ1181" s="26"/>
      <c r="AK1181" s="374"/>
      <c r="AL1181" s="374"/>
      <c r="AO1181" s="294"/>
      <c r="AR1181" s="374"/>
      <c r="AZ1181" s="374"/>
      <c r="BE1181" s="26"/>
      <c r="BF1181" s="26"/>
      <c r="BG1181" s="26"/>
      <c r="BH1181" s="26"/>
      <c r="BI1181" s="26"/>
      <c r="BJ1181" s="26"/>
      <c r="BK1181" s="26"/>
      <c r="BL1181" s="26"/>
      <c r="BS1181" s="20"/>
      <c r="BT1181" s="26"/>
      <c r="BV1181" s="381"/>
      <c r="BW1181" s="229"/>
    </row>
    <row r="1182" spans="33:75" x14ac:dyDescent="0.2">
      <c r="AG1182" s="294"/>
      <c r="AH1182" s="294"/>
      <c r="AI1182" s="294"/>
      <c r="AJ1182" s="26"/>
      <c r="AK1182" s="374"/>
      <c r="AL1182" s="374"/>
      <c r="AO1182" s="294"/>
      <c r="AR1182" s="374"/>
      <c r="AZ1182" s="374"/>
      <c r="BE1182" s="26"/>
      <c r="BF1182" s="26"/>
      <c r="BG1182" s="26"/>
      <c r="BH1182" s="26"/>
      <c r="BI1182" s="26"/>
      <c r="BJ1182" s="26"/>
      <c r="BK1182" s="26"/>
      <c r="BL1182" s="26"/>
      <c r="BS1182" s="20"/>
      <c r="BT1182" s="26"/>
      <c r="BV1182" s="381"/>
      <c r="BW1182" s="229"/>
    </row>
    <row r="1183" spans="33:75" x14ac:dyDescent="0.2">
      <c r="AG1183" s="294"/>
      <c r="AH1183" s="294"/>
      <c r="AI1183" s="294"/>
      <c r="AJ1183" s="26"/>
      <c r="AK1183" s="374"/>
      <c r="AL1183" s="374"/>
      <c r="AO1183" s="294"/>
      <c r="AR1183" s="374"/>
      <c r="AZ1183" s="374"/>
      <c r="BE1183" s="26"/>
      <c r="BF1183" s="26"/>
      <c r="BG1183" s="26"/>
      <c r="BH1183" s="26"/>
      <c r="BI1183" s="26"/>
      <c r="BJ1183" s="26"/>
      <c r="BK1183" s="26"/>
      <c r="BL1183" s="26"/>
      <c r="BS1183" s="20"/>
      <c r="BT1183" s="26"/>
      <c r="BV1183" s="381"/>
      <c r="BW1183" s="229"/>
    </row>
    <row r="1184" spans="33:75" x14ac:dyDescent="0.2">
      <c r="AG1184" s="294"/>
      <c r="AH1184" s="294"/>
      <c r="AI1184" s="294"/>
      <c r="AJ1184" s="26"/>
      <c r="AK1184" s="374"/>
      <c r="AL1184" s="374"/>
      <c r="AO1184" s="294"/>
      <c r="AR1184" s="374"/>
      <c r="AZ1184" s="374"/>
      <c r="BE1184" s="26"/>
      <c r="BF1184" s="26"/>
      <c r="BG1184" s="26"/>
      <c r="BH1184" s="26"/>
      <c r="BI1184" s="26"/>
      <c r="BJ1184" s="26"/>
      <c r="BK1184" s="26"/>
      <c r="BL1184" s="26"/>
      <c r="BS1184" s="20"/>
      <c r="BT1184" s="26"/>
      <c r="BV1184" s="381"/>
      <c r="BW1184" s="229"/>
    </row>
    <row r="1185" spans="33:75" x14ac:dyDescent="0.2">
      <c r="AG1185" s="294"/>
      <c r="AH1185" s="294"/>
      <c r="AI1185" s="294"/>
      <c r="AJ1185" s="26"/>
      <c r="AK1185" s="374"/>
      <c r="AL1185" s="374"/>
      <c r="AO1185" s="294"/>
      <c r="AR1185" s="374"/>
      <c r="AZ1185" s="374"/>
      <c r="BE1185" s="26"/>
      <c r="BF1185" s="26"/>
      <c r="BG1185" s="26"/>
      <c r="BH1185" s="26"/>
      <c r="BI1185" s="26"/>
      <c r="BJ1185" s="26"/>
      <c r="BK1185" s="26"/>
      <c r="BL1185" s="26"/>
      <c r="BS1185" s="20"/>
      <c r="BT1185" s="26"/>
      <c r="BV1185" s="381"/>
      <c r="BW1185" s="229"/>
    </row>
    <row r="1186" spans="33:75" x14ac:dyDescent="0.2">
      <c r="AG1186" s="294"/>
      <c r="AH1186" s="294"/>
      <c r="AI1186" s="294"/>
      <c r="AJ1186" s="26"/>
      <c r="AK1186" s="374"/>
      <c r="AL1186" s="374"/>
      <c r="AO1186" s="294"/>
      <c r="AR1186" s="374"/>
      <c r="AZ1186" s="374"/>
      <c r="BE1186" s="26"/>
      <c r="BF1186" s="26"/>
      <c r="BG1186" s="26"/>
      <c r="BH1186" s="26"/>
      <c r="BI1186" s="26"/>
      <c r="BJ1186" s="26"/>
      <c r="BK1186" s="26"/>
      <c r="BL1186" s="26"/>
      <c r="BS1186" s="20"/>
      <c r="BT1186" s="26"/>
      <c r="BV1186" s="381"/>
      <c r="BW1186" s="229"/>
    </row>
    <row r="1187" spans="33:75" x14ac:dyDescent="0.2">
      <c r="AG1187" s="294"/>
      <c r="AH1187" s="294"/>
      <c r="AI1187" s="294"/>
      <c r="AJ1187" s="26"/>
      <c r="AK1187" s="374"/>
      <c r="AL1187" s="374"/>
      <c r="AO1187" s="294"/>
      <c r="AR1187" s="374"/>
      <c r="AZ1187" s="374"/>
      <c r="BE1187" s="26"/>
      <c r="BF1187" s="26"/>
      <c r="BG1187" s="26"/>
      <c r="BH1187" s="26"/>
      <c r="BI1187" s="26"/>
      <c r="BJ1187" s="26"/>
      <c r="BK1187" s="26"/>
      <c r="BL1187" s="26"/>
      <c r="BS1187" s="20"/>
      <c r="BT1187" s="26"/>
      <c r="BV1187" s="381"/>
      <c r="BW1187" s="229"/>
    </row>
    <row r="1188" spans="33:75" x14ac:dyDescent="0.2">
      <c r="AG1188" s="294"/>
      <c r="AH1188" s="294"/>
      <c r="AI1188" s="294"/>
      <c r="AJ1188" s="26"/>
      <c r="AK1188" s="374"/>
      <c r="AL1188" s="374"/>
      <c r="AO1188" s="294"/>
      <c r="AR1188" s="374"/>
      <c r="AZ1188" s="374"/>
      <c r="BE1188" s="26"/>
      <c r="BF1188" s="26"/>
      <c r="BG1188" s="26"/>
      <c r="BH1188" s="26"/>
      <c r="BI1188" s="26"/>
      <c r="BJ1188" s="26"/>
      <c r="BK1188" s="26"/>
      <c r="BL1188" s="26"/>
      <c r="BS1188" s="20"/>
      <c r="BT1188" s="26"/>
      <c r="BV1188" s="381"/>
      <c r="BW1188" s="229"/>
    </row>
    <row r="1189" spans="33:75" x14ac:dyDescent="0.2">
      <c r="AG1189" s="294"/>
      <c r="AH1189" s="294"/>
      <c r="AI1189" s="294"/>
      <c r="AJ1189" s="26"/>
      <c r="AK1189" s="374"/>
      <c r="AL1189" s="374"/>
      <c r="AO1189" s="294"/>
      <c r="AR1189" s="374"/>
      <c r="AZ1189" s="374"/>
      <c r="BE1189" s="26"/>
      <c r="BF1189" s="26"/>
      <c r="BG1189" s="26"/>
      <c r="BH1189" s="26"/>
      <c r="BI1189" s="26"/>
      <c r="BJ1189" s="26"/>
      <c r="BK1189" s="26"/>
      <c r="BL1189" s="26"/>
      <c r="BS1189" s="20"/>
      <c r="BT1189" s="26"/>
      <c r="BV1189" s="381"/>
      <c r="BW1189" s="229"/>
    </row>
    <row r="1190" spans="33:75" x14ac:dyDescent="0.2">
      <c r="AG1190" s="294"/>
      <c r="AH1190" s="294"/>
      <c r="AI1190" s="294"/>
      <c r="AJ1190" s="26"/>
      <c r="AK1190" s="374"/>
      <c r="AL1190" s="374"/>
      <c r="AO1190" s="294"/>
      <c r="AR1190" s="374"/>
      <c r="AZ1190" s="374"/>
      <c r="BE1190" s="26"/>
      <c r="BF1190" s="26"/>
      <c r="BG1190" s="26"/>
      <c r="BH1190" s="26"/>
      <c r="BI1190" s="26"/>
      <c r="BJ1190" s="26"/>
      <c r="BK1190" s="26"/>
      <c r="BL1190" s="26"/>
      <c r="BS1190" s="20"/>
      <c r="BT1190" s="26"/>
      <c r="BV1190" s="381"/>
      <c r="BW1190" s="229"/>
    </row>
    <row r="1191" spans="33:75" x14ac:dyDescent="0.2">
      <c r="AG1191" s="294"/>
      <c r="AH1191" s="294"/>
      <c r="AI1191" s="294"/>
      <c r="AJ1191" s="26"/>
      <c r="AK1191" s="374"/>
      <c r="AL1191" s="374"/>
      <c r="AO1191" s="294"/>
      <c r="AR1191" s="374"/>
      <c r="AZ1191" s="374"/>
      <c r="BE1191" s="26"/>
      <c r="BF1191" s="26"/>
      <c r="BG1191" s="26"/>
      <c r="BH1191" s="26"/>
      <c r="BI1191" s="26"/>
      <c r="BJ1191" s="26"/>
      <c r="BK1191" s="26"/>
      <c r="BL1191" s="26"/>
      <c r="BS1191" s="20"/>
      <c r="BT1191" s="26"/>
      <c r="BV1191" s="381"/>
      <c r="BW1191" s="229"/>
    </row>
    <row r="1192" spans="33:75" x14ac:dyDescent="0.2">
      <c r="AG1192" s="294"/>
      <c r="AH1192" s="294"/>
      <c r="AI1192" s="294"/>
      <c r="AJ1192" s="26"/>
      <c r="AK1192" s="374"/>
      <c r="AL1192" s="374"/>
      <c r="AO1192" s="294"/>
      <c r="AR1192" s="374"/>
      <c r="AZ1192" s="374"/>
      <c r="BE1192" s="26"/>
      <c r="BF1192" s="26"/>
      <c r="BG1192" s="26"/>
      <c r="BH1192" s="26"/>
      <c r="BI1192" s="26"/>
      <c r="BJ1192" s="26"/>
      <c r="BK1192" s="26"/>
      <c r="BL1192" s="26"/>
      <c r="BS1192" s="20"/>
      <c r="BT1192" s="26"/>
      <c r="BV1192" s="381"/>
      <c r="BW1192" s="229"/>
    </row>
    <row r="1193" spans="33:75" x14ac:dyDescent="0.2">
      <c r="AG1193" s="294"/>
      <c r="AH1193" s="294"/>
      <c r="AI1193" s="294"/>
      <c r="AJ1193" s="26"/>
      <c r="AK1193" s="374"/>
      <c r="AL1193" s="374"/>
      <c r="AO1193" s="294"/>
      <c r="AR1193" s="374"/>
      <c r="AZ1193" s="374"/>
      <c r="BE1193" s="26"/>
      <c r="BF1193" s="26"/>
      <c r="BG1193" s="26"/>
      <c r="BH1193" s="26"/>
      <c r="BI1193" s="26"/>
      <c r="BJ1193" s="26"/>
      <c r="BK1193" s="26"/>
      <c r="BL1193" s="26"/>
      <c r="BS1193" s="20"/>
      <c r="BT1193" s="26"/>
      <c r="BV1193" s="381"/>
      <c r="BW1193" s="229"/>
    </row>
    <row r="1194" spans="33:75" x14ac:dyDescent="0.2">
      <c r="AG1194" s="294"/>
      <c r="AH1194" s="294"/>
      <c r="AI1194" s="294"/>
      <c r="AJ1194" s="26"/>
      <c r="AK1194" s="374"/>
      <c r="AL1194" s="374"/>
      <c r="AO1194" s="294"/>
      <c r="AR1194" s="374"/>
      <c r="AZ1194" s="374"/>
      <c r="BE1194" s="26"/>
      <c r="BF1194" s="26"/>
      <c r="BG1194" s="26"/>
      <c r="BH1194" s="26"/>
      <c r="BI1194" s="26"/>
      <c r="BJ1194" s="26"/>
      <c r="BK1194" s="26"/>
      <c r="BL1194" s="26"/>
      <c r="BS1194" s="20"/>
      <c r="BT1194" s="26"/>
      <c r="BV1194" s="381"/>
      <c r="BW1194" s="229"/>
    </row>
    <row r="1195" spans="33:75" x14ac:dyDescent="0.2">
      <c r="AG1195" s="294"/>
      <c r="AH1195" s="294"/>
      <c r="AI1195" s="294"/>
      <c r="AJ1195" s="26"/>
      <c r="AK1195" s="374"/>
      <c r="AL1195" s="374"/>
      <c r="AO1195" s="294"/>
      <c r="AR1195" s="374"/>
      <c r="AZ1195" s="374"/>
      <c r="BE1195" s="26"/>
      <c r="BF1195" s="26"/>
      <c r="BG1195" s="26"/>
      <c r="BH1195" s="26"/>
      <c r="BI1195" s="26"/>
      <c r="BJ1195" s="26"/>
      <c r="BK1195" s="26"/>
      <c r="BL1195" s="26"/>
      <c r="BS1195" s="20"/>
      <c r="BT1195" s="26"/>
      <c r="BV1195" s="381"/>
      <c r="BW1195" s="229"/>
    </row>
    <row r="1196" spans="33:75" x14ac:dyDescent="0.2">
      <c r="AG1196" s="294"/>
      <c r="AH1196" s="294"/>
      <c r="AI1196" s="294"/>
      <c r="AJ1196" s="26"/>
      <c r="AK1196" s="374"/>
      <c r="AL1196" s="374"/>
      <c r="AO1196" s="294"/>
      <c r="AR1196" s="374"/>
      <c r="AZ1196" s="374"/>
      <c r="BE1196" s="26"/>
      <c r="BF1196" s="26"/>
      <c r="BG1196" s="26"/>
      <c r="BH1196" s="26"/>
      <c r="BI1196" s="26"/>
      <c r="BJ1196" s="26"/>
      <c r="BK1196" s="26"/>
      <c r="BL1196" s="26"/>
      <c r="BS1196" s="20"/>
      <c r="BT1196" s="26"/>
      <c r="BV1196" s="381"/>
      <c r="BW1196" s="229"/>
    </row>
    <row r="1197" spans="33:75" x14ac:dyDescent="0.2">
      <c r="AG1197" s="294"/>
      <c r="AH1197" s="294"/>
      <c r="AI1197" s="294"/>
      <c r="AJ1197" s="26"/>
      <c r="AK1197" s="374"/>
      <c r="AL1197" s="374"/>
      <c r="AO1197" s="294"/>
      <c r="AR1197" s="374"/>
      <c r="AZ1197" s="374"/>
      <c r="BE1197" s="26"/>
      <c r="BF1197" s="26"/>
      <c r="BG1197" s="26"/>
      <c r="BH1197" s="26"/>
      <c r="BI1197" s="26"/>
      <c r="BJ1197" s="26"/>
      <c r="BK1197" s="26"/>
      <c r="BL1197" s="26"/>
      <c r="BS1197" s="20"/>
      <c r="BT1197" s="26"/>
      <c r="BV1197" s="381"/>
      <c r="BW1197" s="229"/>
    </row>
    <row r="1198" spans="33:75" x14ac:dyDescent="0.2">
      <c r="AG1198" s="294"/>
      <c r="AH1198" s="294"/>
      <c r="AI1198" s="294"/>
      <c r="AJ1198" s="26"/>
      <c r="AK1198" s="374"/>
      <c r="AL1198" s="374"/>
      <c r="AO1198" s="294"/>
      <c r="AR1198" s="374"/>
      <c r="AZ1198" s="374"/>
      <c r="BE1198" s="26"/>
      <c r="BF1198" s="26"/>
      <c r="BG1198" s="26"/>
      <c r="BH1198" s="26"/>
      <c r="BI1198" s="26"/>
      <c r="BJ1198" s="26"/>
      <c r="BK1198" s="26"/>
      <c r="BL1198" s="26"/>
      <c r="BS1198" s="20"/>
      <c r="BT1198" s="26"/>
      <c r="BV1198" s="381"/>
      <c r="BW1198" s="229"/>
    </row>
    <row r="1199" spans="33:75" x14ac:dyDescent="0.2">
      <c r="AG1199" s="294"/>
      <c r="AH1199" s="294"/>
      <c r="AI1199" s="294"/>
      <c r="AJ1199" s="26"/>
      <c r="AK1199" s="374"/>
      <c r="AL1199" s="374"/>
      <c r="AO1199" s="294"/>
      <c r="AR1199" s="374"/>
      <c r="AZ1199" s="374"/>
      <c r="BE1199" s="26"/>
      <c r="BF1199" s="26"/>
      <c r="BG1199" s="26"/>
      <c r="BH1199" s="26"/>
      <c r="BI1199" s="26"/>
      <c r="BJ1199" s="26"/>
      <c r="BK1199" s="26"/>
      <c r="BL1199" s="26"/>
      <c r="BS1199" s="20"/>
      <c r="BT1199" s="26"/>
      <c r="BV1199" s="381"/>
      <c r="BW1199" s="229"/>
    </row>
    <row r="1200" spans="33:75" x14ac:dyDescent="0.2">
      <c r="AG1200" s="294"/>
      <c r="AH1200" s="294"/>
      <c r="AI1200" s="294"/>
      <c r="AJ1200" s="26"/>
      <c r="AK1200" s="374"/>
      <c r="AL1200" s="374"/>
      <c r="AO1200" s="294"/>
      <c r="AR1200" s="374"/>
      <c r="AZ1200" s="374"/>
      <c r="BE1200" s="26"/>
      <c r="BF1200" s="26"/>
      <c r="BG1200" s="26"/>
      <c r="BH1200" s="26"/>
      <c r="BI1200" s="26"/>
      <c r="BJ1200" s="26"/>
      <c r="BK1200" s="26"/>
      <c r="BL1200" s="26"/>
      <c r="BS1200" s="20"/>
      <c r="BT1200" s="26"/>
      <c r="BV1200" s="381"/>
      <c r="BW1200" s="229"/>
    </row>
    <row r="1201" spans="33:75" x14ac:dyDescent="0.2">
      <c r="AG1201" s="294"/>
      <c r="AH1201" s="294"/>
      <c r="AI1201" s="294"/>
      <c r="AJ1201" s="26"/>
      <c r="AK1201" s="374"/>
      <c r="AL1201" s="374"/>
      <c r="AO1201" s="294"/>
      <c r="AR1201" s="374"/>
      <c r="AZ1201" s="374"/>
      <c r="BE1201" s="26"/>
      <c r="BF1201" s="26"/>
      <c r="BG1201" s="26"/>
      <c r="BH1201" s="26"/>
      <c r="BI1201" s="26"/>
      <c r="BJ1201" s="26"/>
      <c r="BK1201" s="26"/>
      <c r="BL1201" s="26"/>
      <c r="BS1201" s="20"/>
      <c r="BT1201" s="26"/>
      <c r="BV1201" s="381"/>
      <c r="BW1201" s="229"/>
    </row>
    <row r="1202" spans="33:75" x14ac:dyDescent="0.2">
      <c r="AG1202" s="294"/>
      <c r="AH1202" s="294"/>
      <c r="AI1202" s="294"/>
      <c r="AJ1202" s="26"/>
      <c r="AK1202" s="374"/>
      <c r="AL1202" s="374"/>
      <c r="AO1202" s="294"/>
      <c r="AR1202" s="374"/>
      <c r="AZ1202" s="374"/>
      <c r="BE1202" s="26"/>
      <c r="BF1202" s="26"/>
      <c r="BG1202" s="26"/>
      <c r="BH1202" s="26"/>
      <c r="BI1202" s="26"/>
      <c r="BJ1202" s="26"/>
      <c r="BK1202" s="26"/>
      <c r="BL1202" s="26"/>
      <c r="BS1202" s="20"/>
      <c r="BT1202" s="26"/>
      <c r="BV1202" s="381"/>
      <c r="BW1202" s="229"/>
    </row>
    <row r="1203" spans="33:75" x14ac:dyDescent="0.2">
      <c r="AG1203" s="294"/>
      <c r="AH1203" s="294"/>
      <c r="AI1203" s="294"/>
      <c r="AJ1203" s="26"/>
      <c r="AK1203" s="374"/>
      <c r="AL1203" s="374"/>
      <c r="AO1203" s="294"/>
      <c r="AR1203" s="374"/>
      <c r="AZ1203" s="374"/>
      <c r="BE1203" s="26"/>
      <c r="BF1203" s="26"/>
      <c r="BG1203" s="26"/>
      <c r="BH1203" s="26"/>
      <c r="BI1203" s="26"/>
      <c r="BJ1203" s="26"/>
      <c r="BK1203" s="26"/>
      <c r="BL1203" s="26"/>
      <c r="BS1203" s="20"/>
      <c r="BT1203" s="26"/>
      <c r="BV1203" s="381"/>
      <c r="BW1203" s="229"/>
    </row>
    <row r="1204" spans="33:75" x14ac:dyDescent="0.2">
      <c r="AG1204" s="294"/>
      <c r="AH1204" s="294"/>
      <c r="AI1204" s="294"/>
      <c r="AJ1204" s="26"/>
      <c r="AK1204" s="374"/>
      <c r="AL1204" s="374"/>
      <c r="AO1204" s="294"/>
      <c r="AR1204" s="374"/>
      <c r="AZ1204" s="374"/>
      <c r="BE1204" s="26"/>
      <c r="BF1204" s="26"/>
      <c r="BG1204" s="26"/>
      <c r="BH1204" s="26"/>
      <c r="BI1204" s="26"/>
      <c r="BJ1204" s="26"/>
      <c r="BK1204" s="26"/>
      <c r="BL1204" s="26"/>
      <c r="BS1204" s="20"/>
      <c r="BT1204" s="26"/>
      <c r="BV1204" s="381"/>
      <c r="BW1204" s="229"/>
    </row>
    <row r="1205" spans="33:75" x14ac:dyDescent="0.2">
      <c r="AG1205" s="294"/>
      <c r="AH1205" s="294"/>
      <c r="AI1205" s="294"/>
      <c r="AJ1205" s="26"/>
      <c r="AK1205" s="374"/>
      <c r="AL1205" s="374"/>
      <c r="AO1205" s="294"/>
      <c r="AR1205" s="374"/>
      <c r="AZ1205" s="374"/>
      <c r="BE1205" s="26"/>
      <c r="BF1205" s="26"/>
      <c r="BG1205" s="26"/>
      <c r="BH1205" s="26"/>
      <c r="BI1205" s="26"/>
      <c r="BJ1205" s="26"/>
      <c r="BK1205" s="26"/>
      <c r="BL1205" s="26"/>
      <c r="BS1205" s="20"/>
      <c r="BT1205" s="26"/>
      <c r="BV1205" s="381"/>
      <c r="BW1205" s="229"/>
    </row>
    <row r="1206" spans="33:75" x14ac:dyDescent="0.2">
      <c r="AG1206" s="294"/>
      <c r="AH1206" s="294"/>
      <c r="AI1206" s="294"/>
      <c r="AJ1206" s="26"/>
      <c r="AK1206" s="374"/>
      <c r="AL1206" s="374"/>
      <c r="AO1206" s="294"/>
      <c r="AR1206" s="374"/>
      <c r="AZ1206" s="374"/>
      <c r="BE1206" s="26"/>
      <c r="BF1206" s="26"/>
      <c r="BG1206" s="26"/>
      <c r="BH1206" s="26"/>
      <c r="BI1206" s="26"/>
      <c r="BJ1206" s="26"/>
      <c r="BK1206" s="26"/>
      <c r="BL1206" s="26"/>
      <c r="BS1206" s="20"/>
      <c r="BT1206" s="26"/>
      <c r="BV1206" s="381"/>
      <c r="BW1206" s="229"/>
    </row>
    <row r="1207" spans="33:75" x14ac:dyDescent="0.2">
      <c r="AG1207" s="294"/>
      <c r="AH1207" s="294"/>
      <c r="AI1207" s="294"/>
      <c r="AJ1207" s="26"/>
      <c r="AK1207" s="374"/>
      <c r="AL1207" s="374"/>
      <c r="AO1207" s="294"/>
      <c r="AR1207" s="374"/>
      <c r="AZ1207" s="374"/>
      <c r="BE1207" s="26"/>
      <c r="BF1207" s="26"/>
      <c r="BG1207" s="26"/>
      <c r="BH1207" s="26"/>
      <c r="BI1207" s="26"/>
      <c r="BJ1207" s="26"/>
      <c r="BK1207" s="26"/>
      <c r="BL1207" s="26"/>
      <c r="BS1207" s="20"/>
      <c r="BT1207" s="26"/>
      <c r="BV1207" s="381"/>
      <c r="BW1207" s="229"/>
    </row>
    <row r="1208" spans="33:75" x14ac:dyDescent="0.2">
      <c r="AG1208" s="294"/>
      <c r="AH1208" s="294"/>
      <c r="AI1208" s="294"/>
      <c r="AJ1208" s="26"/>
      <c r="AK1208" s="374"/>
      <c r="AL1208" s="374"/>
      <c r="AO1208" s="294"/>
      <c r="AR1208" s="374"/>
      <c r="AZ1208" s="374"/>
      <c r="BE1208" s="26"/>
      <c r="BF1208" s="26"/>
      <c r="BG1208" s="26"/>
      <c r="BH1208" s="26"/>
      <c r="BI1208" s="26"/>
      <c r="BJ1208" s="26"/>
      <c r="BK1208" s="26"/>
      <c r="BL1208" s="26"/>
      <c r="BS1208" s="20"/>
      <c r="BT1208" s="26"/>
      <c r="BV1208" s="381"/>
      <c r="BW1208" s="229"/>
    </row>
    <row r="1209" spans="33:75" x14ac:dyDescent="0.2">
      <c r="AG1209" s="294"/>
      <c r="AH1209" s="294"/>
      <c r="AI1209" s="294"/>
      <c r="AJ1209" s="26"/>
      <c r="AK1209" s="374"/>
      <c r="AL1209" s="374"/>
      <c r="AO1209" s="294"/>
      <c r="AR1209" s="374"/>
      <c r="AZ1209" s="374"/>
      <c r="BE1209" s="26"/>
      <c r="BF1209" s="26"/>
      <c r="BG1209" s="26"/>
      <c r="BH1209" s="26"/>
      <c r="BI1209" s="26"/>
      <c r="BJ1209" s="26"/>
      <c r="BK1209" s="26"/>
      <c r="BL1209" s="26"/>
      <c r="BS1209" s="20"/>
      <c r="BT1209" s="26"/>
      <c r="BV1209" s="381"/>
      <c r="BW1209" s="229"/>
    </row>
    <row r="1210" spans="33:75" x14ac:dyDescent="0.2">
      <c r="AG1210" s="294"/>
      <c r="AH1210" s="294"/>
      <c r="AI1210" s="294"/>
      <c r="AJ1210" s="26"/>
      <c r="AK1210" s="374"/>
      <c r="AL1210" s="374"/>
      <c r="AO1210" s="294"/>
      <c r="AR1210" s="374"/>
      <c r="AZ1210" s="374"/>
      <c r="BE1210" s="26"/>
      <c r="BF1210" s="26"/>
      <c r="BG1210" s="26"/>
      <c r="BH1210" s="26"/>
      <c r="BI1210" s="26"/>
      <c r="BJ1210" s="26"/>
      <c r="BK1210" s="26"/>
      <c r="BL1210" s="26"/>
      <c r="BS1210" s="20"/>
      <c r="BT1210" s="26"/>
      <c r="BV1210" s="381"/>
      <c r="BW1210" s="229"/>
    </row>
    <row r="1211" spans="33:75" x14ac:dyDescent="0.2">
      <c r="AG1211" s="294"/>
      <c r="AH1211" s="294"/>
      <c r="AI1211" s="294"/>
      <c r="AJ1211" s="26"/>
      <c r="AK1211" s="374"/>
      <c r="AL1211" s="374"/>
      <c r="AO1211" s="294"/>
      <c r="AR1211" s="374"/>
      <c r="AZ1211" s="374"/>
      <c r="BE1211" s="26"/>
      <c r="BF1211" s="26"/>
      <c r="BG1211" s="26"/>
      <c r="BH1211" s="26"/>
      <c r="BI1211" s="26"/>
      <c r="BJ1211" s="26"/>
      <c r="BK1211" s="26"/>
      <c r="BL1211" s="26"/>
      <c r="BS1211" s="20"/>
      <c r="BT1211" s="26"/>
      <c r="BV1211" s="381"/>
      <c r="BW1211" s="229"/>
    </row>
    <row r="1212" spans="33:75" x14ac:dyDescent="0.2">
      <c r="AG1212" s="294"/>
      <c r="AH1212" s="294"/>
      <c r="AI1212" s="294"/>
      <c r="AJ1212" s="26"/>
      <c r="AK1212" s="374"/>
      <c r="AL1212" s="374"/>
      <c r="AO1212" s="294"/>
      <c r="AR1212" s="374"/>
      <c r="AZ1212" s="374"/>
      <c r="BE1212" s="26"/>
      <c r="BF1212" s="26"/>
      <c r="BG1212" s="26"/>
      <c r="BH1212" s="26"/>
      <c r="BI1212" s="26"/>
      <c r="BJ1212" s="26"/>
      <c r="BK1212" s="26"/>
      <c r="BL1212" s="26"/>
      <c r="BS1212" s="20"/>
      <c r="BT1212" s="26"/>
      <c r="BV1212" s="381"/>
      <c r="BW1212" s="229"/>
    </row>
    <row r="1213" spans="33:75" x14ac:dyDescent="0.2">
      <c r="AG1213" s="294"/>
      <c r="AH1213" s="294"/>
      <c r="AI1213" s="294"/>
      <c r="AJ1213" s="26"/>
      <c r="AK1213" s="374"/>
      <c r="AL1213" s="374"/>
      <c r="AO1213" s="294"/>
      <c r="AR1213" s="374"/>
      <c r="AZ1213" s="374"/>
      <c r="BE1213" s="26"/>
      <c r="BF1213" s="26"/>
      <c r="BG1213" s="26"/>
      <c r="BH1213" s="26"/>
      <c r="BI1213" s="26"/>
      <c r="BJ1213" s="26"/>
      <c r="BK1213" s="26"/>
      <c r="BL1213" s="26"/>
      <c r="BS1213" s="20"/>
      <c r="BT1213" s="26"/>
      <c r="BV1213" s="381"/>
      <c r="BW1213" s="229"/>
    </row>
    <row r="1214" spans="33:75" x14ac:dyDescent="0.2">
      <c r="AG1214" s="294"/>
      <c r="AH1214" s="294"/>
      <c r="AI1214" s="294"/>
      <c r="AJ1214" s="26"/>
      <c r="AK1214" s="374"/>
      <c r="AL1214" s="374"/>
      <c r="AO1214" s="294"/>
      <c r="AR1214" s="374"/>
      <c r="AZ1214" s="374"/>
      <c r="BE1214" s="26"/>
      <c r="BF1214" s="26"/>
      <c r="BG1214" s="26"/>
      <c r="BH1214" s="26"/>
      <c r="BI1214" s="26"/>
      <c r="BJ1214" s="26"/>
      <c r="BK1214" s="26"/>
      <c r="BL1214" s="26"/>
      <c r="BS1214" s="20"/>
      <c r="BT1214" s="26"/>
      <c r="BV1214" s="381"/>
      <c r="BW1214" s="229"/>
    </row>
    <row r="1215" spans="33:75" x14ac:dyDescent="0.2">
      <c r="AG1215" s="294"/>
      <c r="AH1215" s="294"/>
      <c r="AI1215" s="294"/>
      <c r="AJ1215" s="26"/>
      <c r="AK1215" s="374"/>
      <c r="AL1215" s="374"/>
      <c r="AO1215" s="294"/>
      <c r="AR1215" s="374"/>
      <c r="AZ1215" s="374"/>
      <c r="BE1215" s="26"/>
      <c r="BF1215" s="26"/>
      <c r="BG1215" s="26"/>
      <c r="BH1215" s="26"/>
      <c r="BI1215" s="26"/>
      <c r="BJ1215" s="26"/>
      <c r="BK1215" s="26"/>
      <c r="BL1215" s="26"/>
      <c r="BS1215" s="20"/>
      <c r="BT1215" s="26"/>
      <c r="BV1215" s="381"/>
      <c r="BW1215" s="229"/>
    </row>
    <row r="1216" spans="33:75" x14ac:dyDescent="0.2">
      <c r="AG1216" s="294"/>
      <c r="AH1216" s="294"/>
      <c r="AI1216" s="294"/>
      <c r="AJ1216" s="26"/>
      <c r="AK1216" s="374"/>
      <c r="AL1216" s="374"/>
      <c r="AO1216" s="294"/>
      <c r="AR1216" s="374"/>
      <c r="AZ1216" s="374"/>
      <c r="BE1216" s="26"/>
      <c r="BF1216" s="26"/>
      <c r="BG1216" s="26"/>
      <c r="BH1216" s="26"/>
      <c r="BI1216" s="26"/>
      <c r="BJ1216" s="26"/>
      <c r="BK1216" s="26"/>
      <c r="BL1216" s="26"/>
      <c r="BS1216" s="20"/>
      <c r="BT1216" s="26"/>
      <c r="BV1216" s="381"/>
      <c r="BW1216" s="229"/>
    </row>
    <row r="1217" spans="33:128" x14ac:dyDescent="0.2">
      <c r="AG1217" s="294"/>
      <c r="AH1217" s="294"/>
      <c r="AI1217" s="294"/>
      <c r="AJ1217" s="26"/>
      <c r="AK1217" s="374"/>
      <c r="AL1217" s="374"/>
      <c r="AO1217" s="294"/>
      <c r="AR1217" s="374"/>
      <c r="AZ1217" s="374"/>
      <c r="BE1217" s="26"/>
      <c r="BF1217" s="26"/>
      <c r="BG1217" s="26"/>
      <c r="BH1217" s="26"/>
      <c r="BI1217" s="26"/>
      <c r="BJ1217" s="26"/>
      <c r="BK1217" s="26"/>
      <c r="BL1217" s="26"/>
      <c r="BS1217" s="20"/>
      <c r="BT1217" s="26"/>
      <c r="BV1217" s="381"/>
      <c r="BW1217" s="229"/>
    </row>
    <row r="1218" spans="33:128" x14ac:dyDescent="0.2">
      <c r="AG1218" s="294"/>
      <c r="AH1218" s="294"/>
      <c r="AI1218" s="294"/>
      <c r="AJ1218" s="26"/>
      <c r="AK1218" s="374"/>
      <c r="AL1218" s="374"/>
      <c r="AO1218" s="294"/>
      <c r="AR1218" s="374"/>
      <c r="AZ1218" s="374"/>
      <c r="BE1218" s="26"/>
      <c r="BF1218" s="26"/>
      <c r="BG1218" s="26"/>
      <c r="BH1218" s="26"/>
      <c r="BI1218" s="26"/>
      <c r="BJ1218" s="26"/>
      <c r="BK1218" s="26"/>
      <c r="BL1218" s="26"/>
      <c r="BS1218" s="20"/>
      <c r="BT1218" s="26"/>
      <c r="BV1218" s="381"/>
      <c r="BW1218" s="229"/>
    </row>
    <row r="1219" spans="33:128" x14ac:dyDescent="0.2">
      <c r="AG1219" s="294"/>
      <c r="AH1219" s="294"/>
      <c r="AI1219" s="294"/>
      <c r="AJ1219" s="26"/>
      <c r="AK1219" s="374"/>
      <c r="AL1219" s="374"/>
      <c r="AO1219" s="294"/>
      <c r="AR1219" s="374"/>
      <c r="AZ1219" s="374"/>
      <c r="BE1219" s="26"/>
      <c r="BF1219" s="26"/>
      <c r="BG1219" s="26"/>
      <c r="BH1219" s="26"/>
      <c r="BI1219" s="26"/>
      <c r="BJ1219" s="26"/>
      <c r="BK1219" s="26"/>
      <c r="BL1219" s="26"/>
      <c r="BS1219" s="20"/>
      <c r="BT1219" s="26"/>
      <c r="BV1219" s="381"/>
      <c r="BW1219" s="229"/>
    </row>
    <row r="1220" spans="33:128" x14ac:dyDescent="0.2">
      <c r="AG1220" s="294"/>
      <c r="AH1220" s="294"/>
      <c r="AI1220" s="294"/>
      <c r="AJ1220" s="26"/>
      <c r="AK1220" s="374"/>
      <c r="AL1220" s="374"/>
      <c r="AO1220" s="294"/>
      <c r="AR1220" s="374"/>
      <c r="AZ1220" s="374"/>
      <c r="BE1220" s="26"/>
      <c r="BF1220" s="26"/>
      <c r="BG1220" s="26"/>
      <c r="BH1220" s="26"/>
      <c r="BI1220" s="26"/>
      <c r="BJ1220" s="26"/>
      <c r="BK1220" s="26"/>
      <c r="BL1220" s="26"/>
      <c r="BS1220" s="20"/>
      <c r="BT1220" s="26"/>
      <c r="BV1220" s="381"/>
      <c r="BW1220" s="229"/>
    </row>
    <row r="1221" spans="33:128" x14ac:dyDescent="0.2">
      <c r="AG1221" s="294"/>
      <c r="AH1221" s="294"/>
      <c r="AI1221" s="294"/>
      <c r="AJ1221" s="26"/>
      <c r="AK1221" s="374"/>
      <c r="AL1221" s="374"/>
      <c r="AO1221" s="294"/>
      <c r="AR1221" s="374"/>
      <c r="AZ1221" s="374"/>
      <c r="BE1221" s="26"/>
      <c r="BF1221" s="26"/>
      <c r="BG1221" s="26"/>
      <c r="BH1221" s="26"/>
      <c r="BI1221" s="26"/>
      <c r="BJ1221" s="26"/>
      <c r="BK1221" s="26"/>
      <c r="BL1221" s="26"/>
      <c r="BS1221" s="20"/>
      <c r="BT1221" s="26"/>
      <c r="BV1221" s="381"/>
      <c r="BW1221" s="229"/>
    </row>
    <row r="1222" spans="33:128" x14ac:dyDescent="0.2">
      <c r="AG1222" s="294"/>
      <c r="AH1222" s="294"/>
      <c r="AI1222" s="294"/>
      <c r="AJ1222" s="26"/>
      <c r="AK1222" s="374"/>
      <c r="AL1222" s="374"/>
      <c r="AO1222" s="294"/>
      <c r="AR1222" s="374"/>
      <c r="AZ1222" s="374"/>
      <c r="BE1222" s="26"/>
      <c r="BF1222" s="26"/>
      <c r="BG1222" s="26"/>
      <c r="BH1222" s="26"/>
      <c r="BI1222" s="26"/>
      <c r="BJ1222" s="26"/>
      <c r="BK1222" s="26"/>
      <c r="BL1222" s="26"/>
      <c r="BS1222" s="20"/>
      <c r="BT1222" s="26"/>
      <c r="BV1222" s="381"/>
      <c r="BW1222" s="229"/>
    </row>
    <row r="1223" spans="33:128" x14ac:dyDescent="0.2">
      <c r="AG1223" s="294"/>
      <c r="AH1223" s="294"/>
      <c r="AI1223" s="294"/>
      <c r="AJ1223" s="26"/>
      <c r="AK1223" s="374"/>
      <c r="AL1223" s="374"/>
      <c r="AO1223" s="294"/>
      <c r="AR1223" s="374"/>
      <c r="AZ1223" s="374"/>
      <c r="BE1223" s="26"/>
      <c r="BF1223" s="26"/>
      <c r="BG1223" s="26"/>
      <c r="BH1223" s="26"/>
      <c r="BI1223" s="26"/>
      <c r="BJ1223" s="26"/>
      <c r="BK1223" s="26"/>
      <c r="BL1223" s="26"/>
      <c r="BS1223" s="20"/>
      <c r="BT1223" s="26"/>
      <c r="BV1223" s="381"/>
      <c r="BW1223" s="229"/>
    </row>
    <row r="1224" spans="33:128" x14ac:dyDescent="0.2">
      <c r="AG1224" s="294"/>
      <c r="AH1224" s="294"/>
      <c r="AI1224" s="294"/>
      <c r="AJ1224" s="26"/>
      <c r="AK1224" s="374"/>
      <c r="AL1224" s="374"/>
      <c r="AO1224" s="294"/>
      <c r="AR1224" s="374"/>
      <c r="AZ1224" s="374"/>
      <c r="BE1224" s="26"/>
      <c r="BF1224" s="26"/>
      <c r="BG1224" s="26"/>
      <c r="BH1224" s="26"/>
      <c r="BI1224" s="26"/>
      <c r="BJ1224" s="26"/>
      <c r="BK1224" s="26"/>
      <c r="BL1224" s="26"/>
      <c r="BS1224" s="20"/>
      <c r="BT1224" s="26"/>
      <c r="BV1224" s="381"/>
      <c r="BW1224" s="229"/>
      <c r="DA1224" s="312"/>
      <c r="DB1224" s="312"/>
      <c r="DC1224" s="312"/>
      <c r="DD1224" s="312"/>
      <c r="DE1224" s="312"/>
      <c r="DF1224" s="312"/>
      <c r="DG1224" s="312"/>
      <c r="DH1224" s="312"/>
      <c r="DI1224" s="312"/>
      <c r="DJ1224" s="312"/>
      <c r="DK1224" s="312"/>
      <c r="DL1224" s="312"/>
      <c r="DN1224" s="312"/>
      <c r="DO1224" s="312"/>
      <c r="DP1224" s="312"/>
      <c r="DQ1224" s="312"/>
      <c r="DR1224" s="312"/>
      <c r="DS1224" s="312"/>
      <c r="DT1224" s="312"/>
      <c r="DU1224" s="312"/>
      <c r="DV1224" s="312"/>
      <c r="DW1224" s="312"/>
      <c r="DX1224" s="312"/>
    </row>
    <row r="1225" spans="33:128" x14ac:dyDescent="0.2">
      <c r="AG1225" s="294"/>
      <c r="AH1225" s="294"/>
      <c r="AI1225" s="294"/>
      <c r="AJ1225" s="26"/>
      <c r="AK1225" s="374"/>
      <c r="AL1225" s="374"/>
      <c r="AO1225" s="294"/>
      <c r="AR1225" s="374"/>
      <c r="AZ1225" s="374"/>
      <c r="BE1225" s="26"/>
      <c r="BF1225" s="26"/>
      <c r="BG1225" s="26"/>
      <c r="BH1225" s="26"/>
      <c r="BI1225" s="26"/>
      <c r="BJ1225" s="26"/>
      <c r="BK1225" s="26"/>
      <c r="BL1225" s="26"/>
      <c r="BS1225" s="20"/>
      <c r="BT1225" s="26"/>
      <c r="BV1225" s="381"/>
      <c r="BW1225" s="229"/>
    </row>
    <row r="1226" spans="33:128" x14ac:dyDescent="0.2">
      <c r="AG1226" s="294"/>
      <c r="AH1226" s="294"/>
      <c r="AI1226" s="294"/>
      <c r="AJ1226" s="26"/>
      <c r="AK1226" s="374"/>
      <c r="AL1226" s="374"/>
      <c r="AO1226" s="294"/>
      <c r="AR1226" s="374"/>
      <c r="AZ1226" s="374"/>
      <c r="BE1226" s="26"/>
      <c r="BF1226" s="26"/>
      <c r="BG1226" s="26"/>
      <c r="BH1226" s="26"/>
      <c r="BI1226" s="26"/>
      <c r="BJ1226" s="26"/>
      <c r="BK1226" s="26"/>
      <c r="BL1226" s="26"/>
      <c r="BS1226" s="20"/>
      <c r="BT1226" s="26"/>
      <c r="BV1226" s="381"/>
      <c r="BW1226" s="229"/>
    </row>
    <row r="1227" spans="33:128" x14ac:dyDescent="0.2">
      <c r="AG1227" s="294"/>
      <c r="AH1227" s="294"/>
      <c r="AI1227" s="294"/>
      <c r="AJ1227" s="26"/>
      <c r="AK1227" s="374"/>
      <c r="AL1227" s="374"/>
      <c r="AO1227" s="294"/>
      <c r="AR1227" s="374"/>
      <c r="AZ1227" s="374"/>
      <c r="BE1227" s="26"/>
      <c r="BF1227" s="26"/>
      <c r="BG1227" s="26"/>
      <c r="BH1227" s="26"/>
      <c r="BI1227" s="26"/>
      <c r="BJ1227" s="26"/>
      <c r="BK1227" s="26"/>
      <c r="BL1227" s="26"/>
      <c r="BS1227" s="20"/>
      <c r="BT1227" s="26"/>
      <c r="BV1227" s="381"/>
      <c r="BW1227" s="229"/>
    </row>
    <row r="1228" spans="33:128" x14ac:dyDescent="0.2">
      <c r="AG1228" s="294"/>
      <c r="AH1228" s="294"/>
      <c r="AI1228" s="294"/>
      <c r="AJ1228" s="26"/>
      <c r="AK1228" s="374"/>
      <c r="AL1228" s="374"/>
      <c r="AO1228" s="294"/>
      <c r="AR1228" s="374"/>
      <c r="AZ1228" s="374"/>
      <c r="BE1228" s="26"/>
      <c r="BF1228" s="26"/>
      <c r="BG1228" s="26"/>
      <c r="BH1228" s="26"/>
      <c r="BI1228" s="26"/>
      <c r="BJ1228" s="26"/>
      <c r="BK1228" s="26"/>
      <c r="BL1228" s="26"/>
      <c r="BS1228" s="20"/>
      <c r="BT1228" s="26"/>
      <c r="BV1228" s="381"/>
      <c r="BW1228" s="229"/>
    </row>
    <row r="1229" spans="33:128" x14ac:dyDescent="0.2">
      <c r="AG1229" s="294"/>
      <c r="AH1229" s="294"/>
      <c r="AI1229" s="294"/>
      <c r="AJ1229" s="26"/>
      <c r="AK1229" s="374"/>
      <c r="AL1229" s="374"/>
      <c r="AO1229" s="294"/>
      <c r="AR1229" s="374"/>
      <c r="AZ1229" s="374"/>
      <c r="BE1229" s="26"/>
      <c r="BF1229" s="26"/>
      <c r="BG1229" s="26"/>
      <c r="BH1229" s="26"/>
      <c r="BI1229" s="26"/>
      <c r="BJ1229" s="26"/>
      <c r="BK1229" s="26"/>
      <c r="BL1229" s="26"/>
      <c r="BS1229" s="20"/>
      <c r="BT1229" s="26"/>
      <c r="BV1229" s="381"/>
      <c r="BW1229" s="229"/>
    </row>
    <row r="1230" spans="33:128" x14ac:dyDescent="0.2">
      <c r="AG1230" s="294"/>
      <c r="AH1230" s="294"/>
      <c r="AI1230" s="294"/>
      <c r="AJ1230" s="26"/>
      <c r="AK1230" s="374"/>
      <c r="AL1230" s="374"/>
      <c r="AO1230" s="294"/>
      <c r="AR1230" s="374"/>
      <c r="AZ1230" s="374"/>
      <c r="BE1230" s="26"/>
      <c r="BF1230" s="26"/>
      <c r="BG1230" s="26"/>
      <c r="BH1230" s="26"/>
      <c r="BI1230" s="26"/>
      <c r="BJ1230" s="26"/>
      <c r="BK1230" s="26"/>
      <c r="BL1230" s="26"/>
      <c r="BS1230" s="20"/>
      <c r="BT1230" s="26"/>
      <c r="BV1230" s="381"/>
      <c r="BW1230" s="229"/>
    </row>
    <row r="1231" spans="33:128" x14ac:dyDescent="0.2">
      <c r="AG1231" s="294"/>
      <c r="AH1231" s="294"/>
      <c r="AI1231" s="294"/>
      <c r="AJ1231" s="26"/>
      <c r="AK1231" s="374"/>
      <c r="AL1231" s="374"/>
      <c r="AO1231" s="294"/>
      <c r="AR1231" s="374"/>
      <c r="AZ1231" s="374"/>
      <c r="BE1231" s="26"/>
      <c r="BF1231" s="26"/>
      <c r="BG1231" s="26"/>
      <c r="BH1231" s="26"/>
      <c r="BI1231" s="26"/>
      <c r="BJ1231" s="26"/>
      <c r="BK1231" s="26"/>
      <c r="BL1231" s="26"/>
      <c r="BS1231" s="20"/>
      <c r="BT1231" s="26"/>
      <c r="BV1231" s="381"/>
      <c r="BW1231" s="229"/>
    </row>
    <row r="1232" spans="33:128" x14ac:dyDescent="0.2">
      <c r="AG1232" s="294"/>
      <c r="AH1232" s="294"/>
      <c r="AI1232" s="294"/>
      <c r="AJ1232" s="26"/>
      <c r="AK1232" s="374"/>
      <c r="AL1232" s="374"/>
      <c r="AO1232" s="294"/>
      <c r="AR1232" s="374"/>
      <c r="AZ1232" s="374"/>
      <c r="BE1232" s="26"/>
      <c r="BF1232" s="26"/>
      <c r="BG1232" s="26"/>
      <c r="BH1232" s="26"/>
      <c r="BI1232" s="26"/>
      <c r="BJ1232" s="26"/>
      <c r="BK1232" s="26"/>
      <c r="BL1232" s="26"/>
      <c r="BS1232" s="20"/>
      <c r="BT1232" s="26"/>
      <c r="BV1232" s="381"/>
      <c r="BW1232" s="229"/>
    </row>
    <row r="1233" spans="33:104" x14ac:dyDescent="0.2">
      <c r="AG1233" s="294"/>
      <c r="AH1233" s="294"/>
      <c r="AI1233" s="294"/>
      <c r="AJ1233" s="26"/>
      <c r="AK1233" s="374"/>
      <c r="AL1233" s="374"/>
      <c r="AO1233" s="294"/>
      <c r="AR1233" s="374"/>
      <c r="AZ1233" s="374"/>
      <c r="BE1233" s="26"/>
      <c r="BF1233" s="26"/>
      <c r="BG1233" s="26"/>
      <c r="BH1233" s="26"/>
      <c r="BI1233" s="26"/>
      <c r="BJ1233" s="26"/>
      <c r="BK1233" s="26"/>
      <c r="BL1233" s="26"/>
      <c r="BS1233" s="20"/>
      <c r="BT1233" s="26"/>
      <c r="BV1233" s="381"/>
      <c r="BW1233" s="229"/>
    </row>
    <row r="1234" spans="33:104" x14ac:dyDescent="0.2">
      <c r="AG1234" s="294"/>
      <c r="AH1234" s="294"/>
      <c r="AI1234" s="294"/>
      <c r="AJ1234" s="26"/>
      <c r="AK1234" s="374"/>
      <c r="AL1234" s="374"/>
      <c r="AO1234" s="294"/>
      <c r="AR1234" s="374"/>
      <c r="AZ1234" s="374"/>
      <c r="BE1234" s="26"/>
      <c r="BF1234" s="26"/>
      <c r="BG1234" s="26"/>
      <c r="BH1234" s="26"/>
      <c r="BI1234" s="26"/>
      <c r="BJ1234" s="26"/>
      <c r="BK1234" s="26"/>
      <c r="BL1234" s="26"/>
      <c r="BS1234" s="20"/>
      <c r="BT1234" s="26"/>
      <c r="BV1234" s="381"/>
      <c r="BW1234" s="229"/>
    </row>
    <row r="1235" spans="33:104" x14ac:dyDescent="0.2">
      <c r="AG1235" s="294"/>
      <c r="AH1235" s="294"/>
      <c r="AI1235" s="294"/>
      <c r="AJ1235" s="26"/>
      <c r="AK1235" s="374"/>
      <c r="AL1235" s="374"/>
      <c r="AO1235" s="294"/>
      <c r="AR1235" s="374"/>
      <c r="AZ1235" s="374"/>
      <c r="BE1235" s="26"/>
      <c r="BF1235" s="26"/>
      <c r="BG1235" s="26"/>
      <c r="BH1235" s="26"/>
      <c r="BI1235" s="26"/>
      <c r="BJ1235" s="26"/>
      <c r="BK1235" s="26"/>
      <c r="BL1235" s="26"/>
      <c r="BS1235" s="20"/>
      <c r="BT1235" s="26"/>
      <c r="BV1235" s="381"/>
      <c r="BW1235" s="229"/>
    </row>
    <row r="1236" spans="33:104" x14ac:dyDescent="0.2">
      <c r="AG1236" s="294"/>
      <c r="AH1236" s="294"/>
      <c r="AI1236" s="294"/>
      <c r="AJ1236" s="26"/>
      <c r="AK1236" s="374"/>
      <c r="AL1236" s="374"/>
      <c r="AO1236" s="294"/>
      <c r="AR1236" s="374"/>
      <c r="AZ1236" s="374"/>
      <c r="BE1236" s="26"/>
      <c r="BF1236" s="26"/>
      <c r="BG1236" s="26"/>
      <c r="BH1236" s="26"/>
      <c r="BI1236" s="26"/>
      <c r="BJ1236" s="26"/>
      <c r="BK1236" s="26"/>
      <c r="BL1236" s="26"/>
      <c r="BS1236" s="20"/>
      <c r="BT1236" s="26"/>
      <c r="BV1236" s="381"/>
      <c r="BW1236" s="229"/>
    </row>
    <row r="1237" spans="33:104" x14ac:dyDescent="0.2">
      <c r="AG1237" s="294"/>
      <c r="AH1237" s="294"/>
      <c r="AI1237" s="294"/>
      <c r="AJ1237" s="26"/>
      <c r="AK1237" s="374"/>
      <c r="AL1237" s="374"/>
      <c r="AO1237" s="294"/>
      <c r="AR1237" s="374"/>
      <c r="AZ1237" s="374"/>
      <c r="BE1237" s="26"/>
      <c r="BF1237" s="26"/>
      <c r="BG1237" s="26"/>
      <c r="BH1237" s="26"/>
      <c r="BI1237" s="26"/>
      <c r="BJ1237" s="26"/>
      <c r="BK1237" s="26"/>
      <c r="BL1237" s="26"/>
      <c r="BS1237" s="20"/>
      <c r="BT1237" s="26"/>
      <c r="BV1237" s="381"/>
      <c r="BW1237" s="229"/>
    </row>
    <row r="1238" spans="33:104" x14ac:dyDescent="0.2">
      <c r="AG1238" s="294"/>
      <c r="AH1238" s="294"/>
      <c r="AI1238" s="294"/>
      <c r="AJ1238" s="26"/>
      <c r="AK1238" s="374"/>
      <c r="AL1238" s="374"/>
      <c r="AO1238" s="294"/>
      <c r="AR1238" s="374"/>
      <c r="AZ1238" s="374"/>
      <c r="BE1238" s="26"/>
      <c r="BF1238" s="26"/>
      <c r="BG1238" s="26"/>
      <c r="BH1238" s="26"/>
      <c r="BI1238" s="26"/>
      <c r="BJ1238" s="26"/>
      <c r="BK1238" s="26"/>
      <c r="BL1238" s="26"/>
      <c r="BS1238" s="20"/>
      <c r="BT1238" s="26"/>
      <c r="BV1238" s="381"/>
      <c r="BW1238" s="229"/>
    </row>
    <row r="1239" spans="33:104" x14ac:dyDescent="0.2">
      <c r="AG1239" s="294"/>
      <c r="AH1239" s="294"/>
      <c r="AI1239" s="294"/>
      <c r="AJ1239" s="26"/>
      <c r="AK1239" s="374"/>
      <c r="AL1239" s="374"/>
      <c r="AO1239" s="294"/>
      <c r="AR1239" s="374"/>
      <c r="AZ1239" s="374"/>
      <c r="BE1239" s="26"/>
      <c r="BF1239" s="26"/>
      <c r="BG1239" s="26"/>
      <c r="BH1239" s="26"/>
      <c r="BI1239" s="26"/>
      <c r="BJ1239" s="26"/>
      <c r="BK1239" s="26"/>
      <c r="BL1239" s="26"/>
      <c r="BS1239" s="20"/>
      <c r="BT1239" s="26"/>
      <c r="BV1239" s="381"/>
      <c r="BW1239" s="229"/>
    </row>
    <row r="1240" spans="33:104" x14ac:dyDescent="0.2">
      <c r="AG1240" s="294"/>
      <c r="AH1240" s="294"/>
      <c r="AI1240" s="294"/>
      <c r="AJ1240" s="26"/>
      <c r="AK1240" s="374"/>
      <c r="AL1240" s="374"/>
      <c r="AO1240" s="294"/>
      <c r="AR1240" s="374"/>
      <c r="AZ1240" s="374"/>
      <c r="BE1240" s="26"/>
      <c r="BF1240" s="26"/>
      <c r="BG1240" s="26"/>
      <c r="BH1240" s="26"/>
      <c r="BI1240" s="26"/>
      <c r="BJ1240" s="26"/>
      <c r="BK1240" s="26"/>
      <c r="BL1240" s="26"/>
      <c r="BS1240" s="20"/>
      <c r="BT1240" s="26"/>
      <c r="BV1240" s="381"/>
      <c r="BW1240" s="229"/>
      <c r="CO1240" s="311"/>
      <c r="CP1240" s="312"/>
      <c r="CQ1240" s="312"/>
      <c r="CR1240" s="312"/>
      <c r="CS1240" s="312"/>
      <c r="CT1240" s="312"/>
      <c r="CU1240" s="312"/>
      <c r="CV1240" s="312"/>
      <c r="CW1240" s="312"/>
      <c r="CX1240" s="312"/>
      <c r="CY1240" s="312"/>
      <c r="CZ1240" s="312"/>
    </row>
    <row r="1241" spans="33:104" x14ac:dyDescent="0.2">
      <c r="AG1241" s="294"/>
      <c r="AH1241" s="294"/>
      <c r="AI1241" s="294"/>
      <c r="AJ1241" s="26"/>
      <c r="AK1241" s="374"/>
      <c r="AL1241" s="374"/>
      <c r="AO1241" s="294"/>
      <c r="AR1241" s="374"/>
      <c r="AZ1241" s="374"/>
      <c r="BE1241" s="26"/>
      <c r="BF1241" s="26"/>
      <c r="BG1241" s="26"/>
      <c r="BH1241" s="26"/>
      <c r="BI1241" s="26"/>
      <c r="BJ1241" s="26"/>
      <c r="BK1241" s="26"/>
      <c r="BL1241" s="26"/>
      <c r="BS1241" s="20"/>
      <c r="BT1241" s="26"/>
      <c r="BV1241" s="381"/>
      <c r="BW1241" s="229"/>
    </row>
    <row r="1242" spans="33:104" x14ac:dyDescent="0.2">
      <c r="AG1242" s="294"/>
      <c r="AH1242" s="294"/>
      <c r="AI1242" s="294"/>
      <c r="AJ1242" s="26"/>
      <c r="AK1242" s="374"/>
      <c r="AL1242" s="374"/>
      <c r="AO1242" s="294"/>
      <c r="AR1242" s="374"/>
      <c r="AZ1242" s="374"/>
      <c r="BE1242" s="26"/>
      <c r="BF1242" s="26"/>
      <c r="BG1242" s="26"/>
      <c r="BH1242" s="26"/>
      <c r="BI1242" s="26"/>
      <c r="BJ1242" s="26"/>
      <c r="BK1242" s="26"/>
      <c r="BL1242" s="26"/>
      <c r="BS1242" s="20"/>
      <c r="BT1242" s="26"/>
      <c r="BV1242" s="381"/>
      <c r="BW1242" s="229"/>
    </row>
    <row r="1243" spans="33:104" x14ac:dyDescent="0.2">
      <c r="AG1243" s="294"/>
      <c r="AH1243" s="294"/>
      <c r="AI1243" s="294"/>
      <c r="AJ1243" s="26"/>
      <c r="AK1243" s="374"/>
      <c r="AL1243" s="374"/>
      <c r="AO1243" s="294"/>
      <c r="AR1243" s="374"/>
      <c r="AZ1243" s="374"/>
      <c r="BE1243" s="26"/>
      <c r="BF1243" s="26"/>
      <c r="BG1243" s="26"/>
      <c r="BH1243" s="26"/>
      <c r="BI1243" s="26"/>
      <c r="BJ1243" s="26"/>
      <c r="BK1243" s="26"/>
      <c r="BL1243" s="26"/>
      <c r="BS1243" s="20"/>
      <c r="BT1243" s="26"/>
      <c r="BV1243" s="381"/>
      <c r="BW1243" s="229"/>
    </row>
    <row r="1244" spans="33:104" x14ac:dyDescent="0.2">
      <c r="AG1244" s="294"/>
      <c r="AH1244" s="294"/>
      <c r="AI1244" s="294"/>
      <c r="AJ1244" s="26"/>
      <c r="AK1244" s="374"/>
      <c r="AL1244" s="374"/>
      <c r="AO1244" s="294"/>
      <c r="AR1244" s="374"/>
      <c r="AZ1244" s="374"/>
      <c r="BE1244" s="26"/>
      <c r="BF1244" s="26"/>
      <c r="BG1244" s="26"/>
      <c r="BH1244" s="26"/>
      <c r="BI1244" s="26"/>
      <c r="BJ1244" s="26"/>
      <c r="BK1244" s="26"/>
      <c r="BL1244" s="26"/>
      <c r="BS1244" s="20"/>
      <c r="BT1244" s="26"/>
      <c r="BV1244" s="381"/>
      <c r="BW1244" s="229"/>
    </row>
    <row r="1245" spans="33:104" x14ac:dyDescent="0.2">
      <c r="AG1245" s="294"/>
      <c r="AH1245" s="294"/>
      <c r="AI1245" s="294"/>
      <c r="AJ1245" s="26"/>
      <c r="AK1245" s="374"/>
      <c r="AL1245" s="374"/>
      <c r="AO1245" s="294"/>
      <c r="AR1245" s="374"/>
      <c r="AZ1245" s="374"/>
      <c r="BE1245" s="26"/>
      <c r="BF1245" s="26"/>
      <c r="BG1245" s="26"/>
      <c r="BH1245" s="26"/>
      <c r="BI1245" s="26"/>
      <c r="BJ1245" s="26"/>
      <c r="BK1245" s="26"/>
      <c r="BL1245" s="26"/>
      <c r="BS1245" s="20"/>
      <c r="BT1245" s="26"/>
      <c r="BV1245" s="381"/>
      <c r="BW1245" s="229"/>
    </row>
    <row r="1246" spans="33:104" x14ac:dyDescent="0.2">
      <c r="AG1246" s="294"/>
      <c r="AH1246" s="294"/>
      <c r="AI1246" s="294"/>
      <c r="AJ1246" s="26"/>
      <c r="AK1246" s="374"/>
      <c r="AL1246" s="374"/>
      <c r="AO1246" s="294"/>
      <c r="AR1246" s="374"/>
      <c r="AZ1246" s="374"/>
      <c r="BE1246" s="26"/>
      <c r="BF1246" s="26"/>
      <c r="BG1246" s="26"/>
      <c r="BH1246" s="26"/>
      <c r="BI1246" s="26"/>
      <c r="BJ1246" s="26"/>
      <c r="BK1246" s="26"/>
      <c r="BL1246" s="26"/>
      <c r="BS1246" s="20"/>
      <c r="BT1246" s="26"/>
      <c r="BV1246" s="381"/>
      <c r="BW1246" s="229"/>
    </row>
    <row r="1247" spans="33:104" x14ac:dyDescent="0.2">
      <c r="AG1247" s="294"/>
      <c r="AH1247" s="294"/>
      <c r="AI1247" s="294"/>
      <c r="AJ1247" s="26"/>
      <c r="AK1247" s="374"/>
      <c r="AL1247" s="374"/>
      <c r="AO1247" s="294"/>
      <c r="AR1247" s="374"/>
      <c r="AZ1247" s="374"/>
      <c r="BE1247" s="26"/>
      <c r="BF1247" s="26"/>
      <c r="BG1247" s="26"/>
      <c r="BH1247" s="26"/>
      <c r="BI1247" s="26"/>
      <c r="BJ1247" s="26"/>
      <c r="BK1247" s="26"/>
      <c r="BL1247" s="26"/>
      <c r="BS1247" s="20"/>
      <c r="BT1247" s="26"/>
      <c r="BV1247" s="381"/>
      <c r="BW1247" s="229"/>
    </row>
    <row r="1248" spans="33:104" x14ac:dyDescent="0.2">
      <c r="AG1248" s="294"/>
      <c r="AH1248" s="294"/>
      <c r="AI1248" s="294"/>
      <c r="AJ1248" s="26"/>
      <c r="AK1248" s="374"/>
      <c r="AL1248" s="374"/>
      <c r="AO1248" s="294"/>
      <c r="AR1248" s="374"/>
      <c r="AZ1248" s="374"/>
      <c r="BE1248" s="26"/>
      <c r="BF1248" s="26"/>
      <c r="BG1248" s="26"/>
      <c r="BH1248" s="26"/>
      <c r="BI1248" s="26"/>
      <c r="BJ1248" s="26"/>
      <c r="BK1248" s="26"/>
      <c r="BL1248" s="26"/>
      <c r="BS1248" s="20"/>
      <c r="BT1248" s="26"/>
      <c r="BV1248" s="381"/>
      <c r="BW1248" s="229"/>
    </row>
    <row r="1249" spans="28:92" x14ac:dyDescent="0.2">
      <c r="AG1249" s="294"/>
      <c r="AH1249" s="294"/>
      <c r="AI1249" s="294"/>
      <c r="AJ1249" s="26"/>
      <c r="AK1249" s="374"/>
      <c r="AL1249" s="374"/>
      <c r="AO1249" s="294"/>
      <c r="AR1249" s="374"/>
      <c r="AZ1249" s="374"/>
      <c r="BE1249" s="26"/>
      <c r="BF1249" s="26"/>
      <c r="BG1249" s="26"/>
      <c r="BH1249" s="26"/>
      <c r="BI1249" s="26"/>
      <c r="BJ1249" s="26"/>
      <c r="BK1249" s="26"/>
      <c r="BL1249" s="26"/>
      <c r="BS1249" s="20"/>
      <c r="BT1249" s="26"/>
      <c r="BV1249" s="381"/>
      <c r="BW1249" s="229"/>
    </row>
    <row r="1250" spans="28:92" x14ac:dyDescent="0.2">
      <c r="AG1250" s="294"/>
      <c r="AH1250" s="294"/>
      <c r="AI1250" s="294"/>
      <c r="AJ1250" s="26"/>
      <c r="AK1250" s="374"/>
      <c r="AL1250" s="374"/>
      <c r="AO1250" s="294"/>
      <c r="AR1250" s="374"/>
      <c r="AZ1250" s="374"/>
      <c r="BE1250" s="26"/>
      <c r="BF1250" s="26"/>
      <c r="BG1250" s="26"/>
      <c r="BH1250" s="26"/>
      <c r="BI1250" s="26"/>
      <c r="BJ1250" s="26"/>
      <c r="BK1250" s="26"/>
      <c r="BL1250" s="26"/>
      <c r="BS1250" s="20"/>
      <c r="BT1250" s="26"/>
      <c r="BV1250" s="381"/>
      <c r="BW1250" s="229"/>
    </row>
    <row r="1251" spans="28:92" x14ac:dyDescent="0.2">
      <c r="AB1251" s="312"/>
      <c r="AC1251" s="312"/>
      <c r="AD1251" s="312"/>
      <c r="AE1251" s="312"/>
      <c r="AF1251" s="311"/>
      <c r="AG1251" s="316"/>
      <c r="AH1251" s="316"/>
      <c r="AI1251" s="316"/>
      <c r="AJ1251" s="313"/>
      <c r="AK1251" s="378"/>
      <c r="AL1251" s="378"/>
      <c r="AM1251" s="312"/>
      <c r="AN1251" s="312"/>
      <c r="AO1251" s="316"/>
      <c r="AP1251" s="312"/>
      <c r="AQ1251" s="312"/>
      <c r="AR1251" s="378"/>
      <c r="AS1251" s="312"/>
      <c r="AT1251" s="312"/>
      <c r="AU1251" s="312"/>
      <c r="AV1251" s="312"/>
      <c r="AW1251" s="312"/>
      <c r="AX1251" s="312"/>
      <c r="AY1251" s="314"/>
      <c r="AZ1251" s="374"/>
      <c r="BA1251" s="312"/>
      <c r="BB1251" s="312"/>
      <c r="BC1251" s="312"/>
      <c r="BD1251" s="312"/>
      <c r="BE1251" s="313"/>
      <c r="BF1251" s="313"/>
      <c r="BG1251" s="313"/>
      <c r="BH1251" s="313"/>
      <c r="BI1251" s="313"/>
      <c r="BJ1251" s="313"/>
      <c r="BK1251" s="313"/>
      <c r="BL1251" s="313"/>
      <c r="BM1251" s="312"/>
      <c r="BN1251" s="312"/>
      <c r="BO1251" s="312"/>
      <c r="BP1251" s="312"/>
      <c r="BQ1251" s="312"/>
      <c r="BR1251" s="312"/>
      <c r="BS1251" s="315"/>
      <c r="BT1251" s="313"/>
      <c r="BU1251" s="313"/>
      <c r="BV1251" s="383"/>
      <c r="BW1251" s="318"/>
      <c r="BX1251" s="317"/>
      <c r="BY1251" s="311"/>
      <c r="BZ1251" s="311"/>
      <c r="CA1251" s="318"/>
      <c r="CB1251" s="311"/>
      <c r="CC1251" s="312"/>
      <c r="CD1251" s="312"/>
      <c r="CE1251" s="312"/>
      <c r="CF1251" s="312"/>
      <c r="CG1251" s="312"/>
      <c r="CH1251" s="312"/>
      <c r="CI1251" s="312"/>
      <c r="CJ1251" s="312"/>
      <c r="CK1251" s="312"/>
      <c r="CL1251" s="312"/>
      <c r="CM1251" s="311"/>
      <c r="CN1251" s="311"/>
    </row>
    <row r="1252" spans="28:92" x14ac:dyDescent="0.2">
      <c r="AG1252" s="294"/>
      <c r="AH1252" s="294"/>
      <c r="AI1252" s="294"/>
      <c r="AJ1252" s="26"/>
      <c r="AK1252" s="374"/>
      <c r="AL1252" s="374"/>
      <c r="AO1252" s="294"/>
      <c r="AR1252" s="374"/>
      <c r="AZ1252" s="374"/>
      <c r="BE1252" s="26"/>
      <c r="BF1252" s="26"/>
      <c r="BG1252" s="26"/>
      <c r="BH1252" s="26"/>
      <c r="BI1252" s="26"/>
      <c r="BJ1252" s="26"/>
      <c r="BK1252" s="26"/>
      <c r="BL1252" s="26"/>
      <c r="BS1252" s="20"/>
      <c r="BT1252" s="26"/>
      <c r="BV1252" s="381"/>
      <c r="BW1252" s="229"/>
    </row>
    <row r="1253" spans="28:92" x14ac:dyDescent="0.2">
      <c r="AG1253" s="294"/>
      <c r="AH1253" s="294"/>
      <c r="AI1253" s="294"/>
      <c r="AJ1253" s="26"/>
      <c r="AK1253" s="374"/>
      <c r="AL1253" s="374"/>
      <c r="AO1253" s="294"/>
      <c r="AR1253" s="374"/>
      <c r="AZ1253" s="374"/>
      <c r="BE1253" s="26"/>
      <c r="BF1253" s="26"/>
      <c r="BG1253" s="26"/>
      <c r="BH1253" s="26"/>
      <c r="BI1253" s="26"/>
      <c r="BJ1253" s="26"/>
      <c r="BK1253" s="26"/>
      <c r="BL1253" s="26"/>
      <c r="BS1253" s="20"/>
      <c r="BT1253" s="26"/>
      <c r="BV1253" s="381"/>
      <c r="BW1253" s="229"/>
    </row>
    <row r="1254" spans="28:92" x14ac:dyDescent="0.2">
      <c r="AG1254" s="294"/>
      <c r="AH1254" s="294"/>
      <c r="AI1254" s="294"/>
      <c r="AJ1254" s="26"/>
      <c r="AK1254" s="374"/>
      <c r="AL1254" s="374"/>
      <c r="AO1254" s="294"/>
      <c r="AR1254" s="374"/>
      <c r="AZ1254" s="374"/>
      <c r="BE1254" s="26"/>
      <c r="BF1254" s="26"/>
      <c r="BG1254" s="26"/>
      <c r="BH1254" s="26"/>
      <c r="BI1254" s="26"/>
      <c r="BJ1254" s="26"/>
      <c r="BK1254" s="26"/>
      <c r="BL1254" s="26"/>
      <c r="BS1254" s="20"/>
      <c r="BT1254" s="26"/>
      <c r="BV1254" s="381"/>
      <c r="BW1254" s="229"/>
    </row>
    <row r="1255" spans="28:92" x14ac:dyDescent="0.2">
      <c r="AG1255" s="294"/>
      <c r="AH1255" s="294"/>
      <c r="AI1255" s="294"/>
      <c r="AJ1255" s="26"/>
      <c r="AK1255" s="374"/>
      <c r="AL1255" s="374"/>
      <c r="AO1255" s="294"/>
      <c r="AR1255" s="374"/>
      <c r="AZ1255" s="374"/>
      <c r="BE1255" s="26"/>
      <c r="BF1255" s="26"/>
      <c r="BG1255" s="26"/>
      <c r="BH1255" s="26"/>
      <c r="BI1255" s="26"/>
      <c r="BJ1255" s="26"/>
      <c r="BK1255" s="26"/>
      <c r="BL1255" s="26"/>
      <c r="BS1255" s="20"/>
      <c r="BT1255" s="26"/>
      <c r="BV1255" s="381"/>
      <c r="BW1255" s="229"/>
    </row>
    <row r="1256" spans="28:92" x14ac:dyDescent="0.2">
      <c r="AG1256" s="294"/>
      <c r="AH1256" s="294"/>
      <c r="AI1256" s="294"/>
      <c r="AJ1256" s="26"/>
      <c r="AK1256" s="374"/>
      <c r="AL1256" s="374"/>
      <c r="AO1256" s="294"/>
      <c r="AR1256" s="374"/>
      <c r="AZ1256" s="374"/>
      <c r="BE1256" s="26"/>
      <c r="BF1256" s="26"/>
      <c r="BG1256" s="26"/>
      <c r="BH1256" s="26"/>
      <c r="BI1256" s="26"/>
      <c r="BJ1256" s="26"/>
      <c r="BK1256" s="26"/>
      <c r="BL1256" s="26"/>
      <c r="BS1256" s="20"/>
      <c r="BT1256" s="26"/>
      <c r="BV1256" s="381"/>
      <c r="BW1256" s="229"/>
    </row>
    <row r="1257" spans="28:92" x14ac:dyDescent="0.2">
      <c r="AG1257" s="294"/>
      <c r="AH1257" s="294"/>
      <c r="AI1257" s="294"/>
      <c r="AJ1257" s="26"/>
      <c r="AK1257" s="374"/>
      <c r="AL1257" s="374"/>
      <c r="AO1257" s="294"/>
      <c r="AR1257" s="374"/>
      <c r="AZ1257" s="374"/>
      <c r="BE1257" s="26"/>
      <c r="BF1257" s="26"/>
      <c r="BG1257" s="26"/>
      <c r="BH1257" s="26"/>
      <c r="BI1257" s="26"/>
      <c r="BJ1257" s="26"/>
      <c r="BK1257" s="26"/>
      <c r="BL1257" s="26"/>
      <c r="BS1257" s="20"/>
      <c r="BT1257" s="26"/>
      <c r="BV1257" s="381"/>
      <c r="BW1257" s="229"/>
    </row>
    <row r="1258" spans="28:92" x14ac:dyDescent="0.2">
      <c r="AG1258" s="294"/>
      <c r="AH1258" s="294"/>
      <c r="AI1258" s="294"/>
      <c r="AJ1258" s="26"/>
      <c r="AK1258" s="374"/>
      <c r="AL1258" s="374"/>
      <c r="AO1258" s="294"/>
      <c r="AR1258" s="374"/>
      <c r="AZ1258" s="374"/>
      <c r="BE1258" s="26"/>
      <c r="BF1258" s="26"/>
      <c r="BG1258" s="26"/>
      <c r="BH1258" s="26"/>
      <c r="BI1258" s="26"/>
      <c r="BJ1258" s="26"/>
      <c r="BK1258" s="26"/>
      <c r="BL1258" s="26"/>
      <c r="BS1258" s="20"/>
      <c r="BT1258" s="26"/>
      <c r="BV1258" s="381"/>
      <c r="BW1258" s="229"/>
    </row>
    <row r="1259" spans="28:92" x14ac:dyDescent="0.2">
      <c r="AG1259" s="294"/>
      <c r="AH1259" s="294"/>
      <c r="AI1259" s="294"/>
      <c r="AJ1259" s="26"/>
      <c r="AK1259" s="374"/>
      <c r="AL1259" s="374"/>
      <c r="AO1259" s="294"/>
      <c r="AR1259" s="374"/>
      <c r="AZ1259" s="374"/>
      <c r="BE1259" s="26"/>
      <c r="BF1259" s="26"/>
      <c r="BG1259" s="26"/>
      <c r="BH1259" s="26"/>
      <c r="BI1259" s="26"/>
      <c r="BJ1259" s="26"/>
      <c r="BK1259" s="26"/>
      <c r="BL1259" s="26"/>
      <c r="BS1259" s="20"/>
      <c r="BT1259" s="26"/>
      <c r="BV1259" s="381"/>
      <c r="BW1259" s="229"/>
    </row>
    <row r="1260" spans="28:92" x14ac:dyDescent="0.2">
      <c r="AG1260" s="294"/>
      <c r="AH1260" s="294"/>
      <c r="AI1260" s="294"/>
      <c r="AJ1260" s="26"/>
      <c r="AK1260" s="374"/>
      <c r="AL1260" s="374"/>
      <c r="AO1260" s="294"/>
      <c r="AR1260" s="374"/>
      <c r="AZ1260" s="374"/>
      <c r="BE1260" s="26"/>
      <c r="BF1260" s="26"/>
      <c r="BG1260" s="26"/>
      <c r="BH1260" s="26"/>
      <c r="BI1260" s="26"/>
      <c r="BJ1260" s="26"/>
      <c r="BK1260" s="26"/>
      <c r="BL1260" s="26"/>
      <c r="BS1260" s="20"/>
      <c r="BT1260" s="26"/>
      <c r="BV1260" s="381"/>
      <c r="BW1260" s="229"/>
    </row>
    <row r="1261" spans="28:92" x14ac:dyDescent="0.2">
      <c r="AG1261" s="294"/>
      <c r="AH1261" s="294"/>
      <c r="AI1261" s="294"/>
      <c r="AJ1261" s="26"/>
      <c r="AK1261" s="374"/>
      <c r="AL1261" s="374"/>
      <c r="AO1261" s="294"/>
      <c r="AR1261" s="374"/>
      <c r="AZ1261" s="374"/>
      <c r="BE1261" s="26"/>
      <c r="BF1261" s="26"/>
      <c r="BG1261" s="26"/>
      <c r="BH1261" s="26"/>
      <c r="BI1261" s="26"/>
      <c r="BJ1261" s="26"/>
      <c r="BK1261" s="26"/>
      <c r="BL1261" s="26"/>
      <c r="BS1261" s="20"/>
      <c r="BT1261" s="26"/>
      <c r="BV1261" s="381"/>
      <c r="BW1261" s="229"/>
    </row>
    <row r="1262" spans="28:92" x14ac:dyDescent="0.2">
      <c r="AG1262" s="294"/>
      <c r="AH1262" s="294"/>
      <c r="AI1262" s="294"/>
      <c r="AJ1262" s="26"/>
      <c r="AK1262" s="374"/>
      <c r="AL1262" s="374"/>
      <c r="AO1262" s="294"/>
      <c r="AR1262" s="374"/>
      <c r="AZ1262" s="374"/>
      <c r="BE1262" s="26"/>
      <c r="BF1262" s="26"/>
      <c r="BG1262" s="26"/>
      <c r="BH1262" s="26"/>
      <c r="BI1262" s="26"/>
      <c r="BJ1262" s="26"/>
      <c r="BK1262" s="26"/>
      <c r="BL1262" s="26"/>
      <c r="BS1262" s="20"/>
      <c r="BT1262" s="26"/>
      <c r="BV1262" s="381"/>
      <c r="BW1262" s="229"/>
    </row>
    <row r="1263" spans="28:92" x14ac:dyDescent="0.2">
      <c r="AG1263" s="294"/>
      <c r="AH1263" s="294"/>
      <c r="AI1263" s="294"/>
      <c r="AJ1263" s="26"/>
      <c r="AK1263" s="374"/>
      <c r="AL1263" s="374"/>
      <c r="AO1263" s="294"/>
      <c r="AR1263" s="374"/>
      <c r="AZ1263" s="374"/>
      <c r="BE1263" s="26"/>
      <c r="BF1263" s="26"/>
      <c r="BG1263" s="26"/>
      <c r="BH1263" s="26"/>
      <c r="BI1263" s="26"/>
      <c r="BJ1263" s="26"/>
      <c r="BK1263" s="26"/>
      <c r="BL1263" s="26"/>
      <c r="BS1263" s="20"/>
      <c r="BT1263" s="26"/>
      <c r="BV1263" s="381"/>
      <c r="BW1263" s="229"/>
    </row>
    <row r="1264" spans="28:92" x14ac:dyDescent="0.2">
      <c r="AG1264" s="294"/>
      <c r="AH1264" s="294"/>
      <c r="AI1264" s="294"/>
      <c r="AJ1264" s="26"/>
      <c r="AK1264" s="374"/>
      <c r="AL1264" s="374"/>
      <c r="AO1264" s="294"/>
      <c r="AR1264" s="374"/>
      <c r="AZ1264" s="374"/>
      <c r="BE1264" s="26"/>
      <c r="BF1264" s="26"/>
      <c r="BG1264" s="26"/>
      <c r="BH1264" s="26"/>
      <c r="BI1264" s="26"/>
      <c r="BJ1264" s="26"/>
      <c r="BK1264" s="26"/>
      <c r="BL1264" s="26"/>
      <c r="BS1264" s="20"/>
      <c r="BT1264" s="26"/>
      <c r="BV1264" s="381"/>
      <c r="BW1264" s="229"/>
    </row>
    <row r="1265" spans="33:75" x14ac:dyDescent="0.2">
      <c r="AG1265" s="294"/>
      <c r="AH1265" s="294"/>
      <c r="AI1265" s="294"/>
      <c r="AJ1265" s="26"/>
      <c r="AK1265" s="374"/>
      <c r="AL1265" s="374"/>
      <c r="AO1265" s="294"/>
      <c r="AR1265" s="374"/>
      <c r="AZ1265" s="374"/>
      <c r="BE1265" s="26"/>
      <c r="BF1265" s="26"/>
      <c r="BG1265" s="26"/>
      <c r="BH1265" s="26"/>
      <c r="BI1265" s="26"/>
      <c r="BJ1265" s="26"/>
      <c r="BK1265" s="26"/>
      <c r="BL1265" s="26"/>
      <c r="BS1265" s="20"/>
      <c r="BT1265" s="26"/>
      <c r="BV1265" s="381"/>
      <c r="BW1265" s="229"/>
    </row>
    <row r="1266" spans="33:75" x14ac:dyDescent="0.2">
      <c r="AG1266" s="294"/>
      <c r="AH1266" s="294"/>
      <c r="AI1266" s="294"/>
      <c r="AJ1266" s="26"/>
      <c r="AK1266" s="374"/>
      <c r="AL1266" s="374"/>
      <c r="AO1266" s="294"/>
      <c r="AR1266" s="374"/>
      <c r="AZ1266" s="374"/>
      <c r="BE1266" s="26"/>
      <c r="BF1266" s="26"/>
      <c r="BG1266" s="26"/>
      <c r="BH1266" s="26"/>
      <c r="BI1266" s="26"/>
      <c r="BJ1266" s="26"/>
      <c r="BK1266" s="26"/>
      <c r="BL1266" s="26"/>
      <c r="BS1266" s="20"/>
      <c r="BT1266" s="26"/>
      <c r="BV1266" s="381"/>
      <c r="BW1266" s="229"/>
    </row>
    <row r="1267" spans="33:75" x14ac:dyDescent="0.2">
      <c r="AG1267" s="294"/>
      <c r="AH1267" s="294"/>
      <c r="AI1267" s="294"/>
      <c r="AJ1267" s="26"/>
      <c r="AK1267" s="374"/>
      <c r="AL1267" s="374"/>
      <c r="AO1267" s="294"/>
      <c r="AR1267" s="374"/>
      <c r="AZ1267" s="374"/>
      <c r="BE1267" s="26"/>
      <c r="BF1267" s="26"/>
      <c r="BG1267" s="26"/>
      <c r="BH1267" s="26"/>
      <c r="BI1267" s="26"/>
      <c r="BJ1267" s="26"/>
      <c r="BK1267" s="26"/>
      <c r="BL1267" s="26"/>
      <c r="BS1267" s="20"/>
      <c r="BT1267" s="26"/>
      <c r="BV1267" s="381"/>
      <c r="BW1267" s="229"/>
    </row>
    <row r="1268" spans="33:75" x14ac:dyDescent="0.2">
      <c r="AG1268" s="294"/>
      <c r="AH1268" s="294"/>
      <c r="AI1268" s="294"/>
      <c r="AJ1268" s="26"/>
      <c r="AK1268" s="374"/>
      <c r="AL1268" s="374"/>
      <c r="AO1268" s="294"/>
      <c r="AR1268" s="374"/>
      <c r="AZ1268" s="374"/>
      <c r="BE1268" s="26"/>
      <c r="BF1268" s="26"/>
      <c r="BG1268" s="26"/>
      <c r="BH1268" s="26"/>
      <c r="BI1268" s="26"/>
      <c r="BJ1268" s="26"/>
      <c r="BK1268" s="26"/>
      <c r="BL1268" s="26"/>
      <c r="BS1268" s="20"/>
      <c r="BT1268" s="26"/>
      <c r="BV1268" s="381"/>
      <c r="BW1268" s="229"/>
    </row>
    <row r="1269" spans="33:75" x14ac:dyDescent="0.2">
      <c r="AG1269" s="294"/>
      <c r="AH1269" s="294"/>
      <c r="AI1269" s="294"/>
      <c r="AJ1269" s="26"/>
      <c r="AK1269" s="374"/>
      <c r="AL1269" s="374"/>
      <c r="AO1269" s="294"/>
      <c r="AR1269" s="374"/>
      <c r="AZ1269" s="374"/>
      <c r="BE1269" s="26"/>
      <c r="BF1269" s="26"/>
      <c r="BG1269" s="26"/>
      <c r="BH1269" s="26"/>
      <c r="BI1269" s="26"/>
      <c r="BJ1269" s="26"/>
      <c r="BK1269" s="26"/>
      <c r="BL1269" s="26"/>
      <c r="BS1269" s="20"/>
      <c r="BT1269" s="26"/>
      <c r="BV1269" s="381"/>
      <c r="BW1269" s="229"/>
    </row>
    <row r="1270" spans="33:75" x14ac:dyDescent="0.2">
      <c r="AG1270" s="294"/>
      <c r="AH1270" s="294"/>
      <c r="AI1270" s="294"/>
      <c r="AJ1270" s="26"/>
      <c r="AK1270" s="374"/>
      <c r="AL1270" s="374"/>
      <c r="AO1270" s="294"/>
      <c r="AR1270" s="374"/>
      <c r="AZ1270" s="374"/>
      <c r="BE1270" s="26"/>
      <c r="BF1270" s="26"/>
      <c r="BG1270" s="26"/>
      <c r="BH1270" s="26"/>
      <c r="BI1270" s="26"/>
      <c r="BJ1270" s="26"/>
      <c r="BK1270" s="26"/>
      <c r="BL1270" s="26"/>
      <c r="BS1270" s="20"/>
      <c r="BT1270" s="26"/>
      <c r="BV1270" s="381"/>
      <c r="BW1270" s="229"/>
    </row>
    <row r="1271" spans="33:75" x14ac:dyDescent="0.2">
      <c r="AG1271" s="294"/>
      <c r="AH1271" s="294"/>
      <c r="AI1271" s="294"/>
      <c r="AJ1271" s="26"/>
      <c r="AK1271" s="374"/>
      <c r="AL1271" s="374"/>
      <c r="AO1271" s="294"/>
      <c r="AR1271" s="374"/>
      <c r="AZ1271" s="374"/>
      <c r="BE1271" s="26"/>
      <c r="BF1271" s="26"/>
      <c r="BG1271" s="26"/>
      <c r="BH1271" s="26"/>
      <c r="BI1271" s="26"/>
      <c r="BJ1271" s="26"/>
      <c r="BK1271" s="26"/>
      <c r="BL1271" s="26"/>
      <c r="BS1271" s="20"/>
      <c r="BT1271" s="26"/>
      <c r="BV1271" s="381"/>
      <c r="BW1271" s="229"/>
    </row>
    <row r="1272" spans="33:75" x14ac:dyDescent="0.2">
      <c r="AG1272" s="294"/>
      <c r="AH1272" s="294"/>
      <c r="AI1272" s="294"/>
      <c r="AJ1272" s="26"/>
      <c r="AK1272" s="374"/>
      <c r="AL1272" s="374"/>
      <c r="AO1272" s="294"/>
      <c r="AR1272" s="374"/>
      <c r="AZ1272" s="374"/>
      <c r="BE1272" s="26"/>
      <c r="BF1272" s="26"/>
      <c r="BG1272" s="26"/>
      <c r="BH1272" s="26"/>
      <c r="BI1272" s="26"/>
      <c r="BJ1272" s="26"/>
      <c r="BK1272" s="26"/>
      <c r="BL1272" s="26"/>
      <c r="BS1272" s="20"/>
      <c r="BT1272" s="26"/>
      <c r="BV1272" s="381"/>
      <c r="BW1272" s="229"/>
    </row>
    <row r="1273" spans="33:75" x14ac:dyDescent="0.2">
      <c r="AG1273" s="294"/>
      <c r="AH1273" s="294"/>
      <c r="AI1273" s="294"/>
      <c r="AJ1273" s="26"/>
      <c r="AK1273" s="374"/>
      <c r="AL1273" s="374"/>
      <c r="AO1273" s="294"/>
      <c r="AR1273" s="374"/>
      <c r="AZ1273" s="374"/>
      <c r="BE1273" s="26"/>
      <c r="BF1273" s="26"/>
      <c r="BG1273" s="26"/>
      <c r="BH1273" s="26"/>
      <c r="BI1273" s="26"/>
      <c r="BJ1273" s="26"/>
      <c r="BK1273" s="26"/>
      <c r="BL1273" s="26"/>
      <c r="BS1273" s="20"/>
      <c r="BT1273" s="26"/>
      <c r="BV1273" s="381"/>
      <c r="BW1273" s="229"/>
    </row>
    <row r="1274" spans="33:75" x14ac:dyDescent="0.2">
      <c r="AG1274" s="294"/>
      <c r="AH1274" s="294"/>
      <c r="AI1274" s="294"/>
      <c r="AJ1274" s="26"/>
      <c r="AK1274" s="374"/>
      <c r="AL1274" s="374"/>
      <c r="AO1274" s="294"/>
      <c r="AR1274" s="374"/>
      <c r="AZ1274" s="374"/>
      <c r="BE1274" s="26"/>
      <c r="BF1274" s="26"/>
      <c r="BG1274" s="26"/>
      <c r="BH1274" s="26"/>
      <c r="BI1274" s="26"/>
      <c r="BJ1274" s="26"/>
      <c r="BK1274" s="26"/>
      <c r="BL1274" s="26"/>
      <c r="BS1274" s="20"/>
      <c r="BT1274" s="26"/>
      <c r="BV1274" s="381"/>
      <c r="BW1274" s="229"/>
    </row>
    <row r="1275" spans="33:75" x14ac:dyDescent="0.2">
      <c r="AG1275" s="294"/>
      <c r="AH1275" s="294"/>
      <c r="AI1275" s="294"/>
      <c r="AJ1275" s="26"/>
      <c r="AK1275" s="374"/>
      <c r="AL1275" s="374"/>
      <c r="AO1275" s="294"/>
      <c r="AR1275" s="374"/>
      <c r="AZ1275" s="374"/>
      <c r="BE1275" s="26"/>
      <c r="BF1275" s="26"/>
      <c r="BG1275" s="26"/>
      <c r="BH1275" s="26"/>
      <c r="BI1275" s="26"/>
      <c r="BJ1275" s="26"/>
      <c r="BK1275" s="26"/>
      <c r="BL1275" s="26"/>
      <c r="BS1275" s="20"/>
      <c r="BT1275" s="26"/>
      <c r="BV1275" s="381"/>
      <c r="BW1275" s="229"/>
    </row>
    <row r="1276" spans="33:75" x14ac:dyDescent="0.2">
      <c r="AG1276" s="294"/>
      <c r="AH1276" s="294"/>
      <c r="AI1276" s="294"/>
      <c r="AJ1276" s="26"/>
      <c r="AK1276" s="374"/>
      <c r="AL1276" s="374"/>
      <c r="AO1276" s="294"/>
      <c r="AR1276" s="374"/>
      <c r="AZ1276" s="374"/>
      <c r="BE1276" s="26"/>
      <c r="BF1276" s="26"/>
      <c r="BG1276" s="26"/>
      <c r="BH1276" s="26"/>
      <c r="BI1276" s="26"/>
      <c r="BJ1276" s="26"/>
      <c r="BK1276" s="26"/>
      <c r="BL1276" s="26"/>
      <c r="BS1276" s="20"/>
      <c r="BT1276" s="26"/>
      <c r="BV1276" s="381"/>
      <c r="BW1276" s="229"/>
    </row>
    <row r="1277" spans="33:75" x14ac:dyDescent="0.2">
      <c r="AG1277" s="294"/>
      <c r="AH1277" s="294"/>
      <c r="AI1277" s="294"/>
      <c r="AJ1277" s="26"/>
      <c r="AK1277" s="374"/>
      <c r="AL1277" s="374"/>
      <c r="AO1277" s="294"/>
      <c r="AR1277" s="374"/>
      <c r="AZ1277" s="374"/>
      <c r="BE1277" s="26"/>
      <c r="BF1277" s="26"/>
      <c r="BG1277" s="26"/>
      <c r="BH1277" s="26"/>
      <c r="BI1277" s="26"/>
      <c r="BJ1277" s="26"/>
      <c r="BK1277" s="26"/>
      <c r="BL1277" s="26"/>
      <c r="BS1277" s="20"/>
      <c r="BT1277" s="26"/>
      <c r="BV1277" s="381"/>
      <c r="BW1277" s="229"/>
    </row>
    <row r="1278" spans="33:75" x14ac:dyDescent="0.2">
      <c r="AG1278" s="294"/>
      <c r="AH1278" s="294"/>
      <c r="AI1278" s="294"/>
      <c r="AJ1278" s="26"/>
      <c r="AK1278" s="374"/>
      <c r="AL1278" s="374"/>
      <c r="AO1278" s="294"/>
      <c r="AR1278" s="374"/>
      <c r="AZ1278" s="374"/>
      <c r="BE1278" s="26"/>
      <c r="BF1278" s="26"/>
      <c r="BG1278" s="26"/>
      <c r="BH1278" s="26"/>
      <c r="BI1278" s="26"/>
      <c r="BJ1278" s="26"/>
      <c r="BK1278" s="26"/>
      <c r="BL1278" s="26"/>
      <c r="BS1278" s="20"/>
      <c r="BT1278" s="26"/>
      <c r="BV1278" s="381"/>
      <c r="BW1278" s="229"/>
    </row>
    <row r="1279" spans="33:75" x14ac:dyDescent="0.2">
      <c r="AG1279" s="294"/>
      <c r="AH1279" s="294"/>
      <c r="AI1279" s="294"/>
      <c r="AJ1279" s="26"/>
      <c r="AK1279" s="374"/>
      <c r="AL1279" s="374"/>
      <c r="AO1279" s="294"/>
      <c r="AR1279" s="374"/>
      <c r="AZ1279" s="374"/>
      <c r="BE1279" s="26"/>
      <c r="BF1279" s="26"/>
      <c r="BG1279" s="26"/>
      <c r="BH1279" s="26"/>
      <c r="BI1279" s="26"/>
      <c r="BJ1279" s="26"/>
      <c r="BK1279" s="26"/>
      <c r="BL1279" s="26"/>
      <c r="BS1279" s="20"/>
      <c r="BT1279" s="26"/>
      <c r="BV1279" s="381"/>
      <c r="BW1279" s="229"/>
    </row>
    <row r="1280" spans="33:75" x14ac:dyDescent="0.2">
      <c r="AG1280" s="294"/>
      <c r="AH1280" s="294"/>
      <c r="AI1280" s="294"/>
      <c r="AJ1280" s="26"/>
      <c r="AK1280" s="374"/>
      <c r="AL1280" s="374"/>
      <c r="AO1280" s="294"/>
      <c r="AR1280" s="374"/>
      <c r="AZ1280" s="374"/>
      <c r="BE1280" s="26"/>
      <c r="BF1280" s="26"/>
      <c r="BG1280" s="26"/>
      <c r="BH1280" s="26"/>
      <c r="BI1280" s="26"/>
      <c r="BJ1280" s="26"/>
      <c r="BK1280" s="26"/>
      <c r="BL1280" s="26"/>
      <c r="BS1280" s="20"/>
      <c r="BT1280" s="26"/>
      <c r="BV1280" s="381"/>
      <c r="BW1280" s="229"/>
    </row>
    <row r="1281" spans="33:75" x14ac:dyDescent="0.2">
      <c r="AG1281" s="294"/>
      <c r="AH1281" s="294"/>
      <c r="AI1281" s="294"/>
      <c r="AJ1281" s="26"/>
      <c r="AK1281" s="374"/>
      <c r="AL1281" s="374"/>
      <c r="AO1281" s="294"/>
      <c r="AR1281" s="374"/>
      <c r="AZ1281" s="374"/>
      <c r="BE1281" s="26"/>
      <c r="BF1281" s="26"/>
      <c r="BG1281" s="26"/>
      <c r="BH1281" s="26"/>
      <c r="BI1281" s="26"/>
      <c r="BJ1281" s="26"/>
      <c r="BK1281" s="26"/>
      <c r="BL1281" s="26"/>
      <c r="BS1281" s="20"/>
      <c r="BT1281" s="26"/>
      <c r="BV1281" s="381"/>
      <c r="BW1281" s="229"/>
    </row>
    <row r="1282" spans="33:75" x14ac:dyDescent="0.2">
      <c r="AG1282" s="294"/>
      <c r="AH1282" s="294"/>
      <c r="AI1282" s="294"/>
      <c r="AJ1282" s="26"/>
      <c r="AK1282" s="374"/>
      <c r="AL1282" s="374"/>
      <c r="AO1282" s="294"/>
      <c r="AR1282" s="374"/>
      <c r="AZ1282" s="374"/>
      <c r="BE1282" s="26"/>
      <c r="BF1282" s="26"/>
      <c r="BG1282" s="26"/>
      <c r="BH1282" s="26"/>
      <c r="BI1282" s="26"/>
      <c r="BJ1282" s="26"/>
      <c r="BK1282" s="26"/>
      <c r="BL1282" s="26"/>
      <c r="BS1282" s="20"/>
      <c r="BT1282" s="26"/>
      <c r="BV1282" s="381"/>
      <c r="BW1282" s="229"/>
    </row>
    <row r="1283" spans="33:75" x14ac:dyDescent="0.2">
      <c r="AG1283" s="294"/>
      <c r="AH1283" s="294"/>
      <c r="AI1283" s="294"/>
      <c r="AJ1283" s="26"/>
      <c r="AK1283" s="374"/>
      <c r="AL1283" s="374"/>
      <c r="AO1283" s="294"/>
      <c r="AR1283" s="374"/>
      <c r="AZ1283" s="374"/>
      <c r="BE1283" s="26"/>
      <c r="BF1283" s="26"/>
      <c r="BG1283" s="26"/>
      <c r="BH1283" s="26"/>
      <c r="BI1283" s="26"/>
      <c r="BJ1283" s="26"/>
      <c r="BK1283" s="26"/>
      <c r="BL1283" s="26"/>
      <c r="BS1283" s="20"/>
      <c r="BT1283" s="26"/>
      <c r="BV1283" s="381"/>
      <c r="BW1283" s="229"/>
    </row>
    <row r="1284" spans="33:75" x14ac:dyDescent="0.2">
      <c r="AG1284" s="294"/>
      <c r="AH1284" s="294"/>
      <c r="AI1284" s="294"/>
      <c r="AJ1284" s="26"/>
      <c r="AK1284" s="374"/>
      <c r="AL1284" s="374"/>
      <c r="AO1284" s="294"/>
      <c r="AR1284" s="374"/>
      <c r="AZ1284" s="374"/>
      <c r="BE1284" s="26"/>
      <c r="BF1284" s="26"/>
      <c r="BG1284" s="26"/>
      <c r="BH1284" s="26"/>
      <c r="BI1284" s="26"/>
      <c r="BJ1284" s="26"/>
      <c r="BK1284" s="26"/>
      <c r="BL1284" s="26"/>
      <c r="BS1284" s="20"/>
      <c r="BT1284" s="26"/>
      <c r="BV1284" s="381"/>
      <c r="BW1284" s="229"/>
    </row>
    <row r="1285" spans="33:75" x14ac:dyDescent="0.2">
      <c r="AG1285" s="294"/>
      <c r="AH1285" s="294"/>
      <c r="AI1285" s="294"/>
      <c r="AJ1285" s="26"/>
      <c r="AK1285" s="374"/>
      <c r="AL1285" s="374"/>
      <c r="AO1285" s="294"/>
      <c r="AR1285" s="374"/>
      <c r="AZ1285" s="374"/>
      <c r="BE1285" s="26"/>
      <c r="BF1285" s="26"/>
      <c r="BG1285" s="26"/>
      <c r="BH1285" s="26"/>
      <c r="BI1285" s="26"/>
      <c r="BJ1285" s="26"/>
      <c r="BK1285" s="26"/>
      <c r="BL1285" s="26"/>
      <c r="BS1285" s="20"/>
      <c r="BT1285" s="26"/>
      <c r="BV1285" s="381"/>
      <c r="BW1285" s="229"/>
    </row>
    <row r="1286" spans="33:75" x14ac:dyDescent="0.2">
      <c r="AG1286" s="294"/>
      <c r="AH1286" s="294"/>
      <c r="AI1286" s="294"/>
      <c r="AJ1286" s="26"/>
      <c r="AK1286" s="374"/>
      <c r="AL1286" s="374"/>
      <c r="AO1286" s="294"/>
      <c r="AR1286" s="374"/>
      <c r="AZ1286" s="374"/>
      <c r="BE1286" s="26"/>
      <c r="BF1286" s="26"/>
      <c r="BG1286" s="26"/>
      <c r="BH1286" s="26"/>
      <c r="BI1286" s="26"/>
      <c r="BJ1286" s="26"/>
      <c r="BK1286" s="26"/>
      <c r="BL1286" s="26"/>
      <c r="BS1286" s="20"/>
      <c r="BT1286" s="26"/>
      <c r="BV1286" s="381"/>
      <c r="BW1286" s="229"/>
    </row>
    <row r="1287" spans="33:75" x14ac:dyDescent="0.2">
      <c r="AG1287" s="294"/>
      <c r="AH1287" s="294"/>
      <c r="AI1287" s="294"/>
      <c r="AJ1287" s="26"/>
      <c r="AK1287" s="374"/>
      <c r="AL1287" s="374"/>
      <c r="AO1287" s="294"/>
      <c r="AR1287" s="374"/>
      <c r="AZ1287" s="374"/>
      <c r="BE1287" s="26"/>
      <c r="BF1287" s="26"/>
      <c r="BG1287" s="26"/>
      <c r="BH1287" s="26"/>
      <c r="BI1287" s="26"/>
      <c r="BJ1287" s="26"/>
      <c r="BK1287" s="26"/>
      <c r="BL1287" s="26"/>
      <c r="BS1287" s="20"/>
      <c r="BT1287" s="26"/>
      <c r="BV1287" s="381"/>
      <c r="BW1287" s="229"/>
    </row>
    <row r="1288" spans="33:75" x14ac:dyDescent="0.2">
      <c r="AG1288" s="294"/>
      <c r="AH1288" s="294"/>
      <c r="AI1288" s="294"/>
      <c r="AJ1288" s="26"/>
      <c r="AK1288" s="374"/>
      <c r="AL1288" s="374"/>
      <c r="AO1288" s="294"/>
      <c r="AR1288" s="374"/>
      <c r="AZ1288" s="374"/>
      <c r="BE1288" s="26"/>
      <c r="BF1288" s="26"/>
      <c r="BG1288" s="26"/>
      <c r="BH1288" s="26"/>
      <c r="BI1288" s="26"/>
      <c r="BJ1288" s="26"/>
      <c r="BK1288" s="26"/>
      <c r="BL1288" s="26"/>
      <c r="BS1288" s="20"/>
      <c r="BT1288" s="26"/>
      <c r="BV1288" s="381"/>
      <c r="BW1288" s="229"/>
    </row>
    <row r="1289" spans="33:75" x14ac:dyDescent="0.2">
      <c r="AG1289" s="294"/>
      <c r="AH1289" s="294"/>
      <c r="AI1289" s="294"/>
      <c r="AJ1289" s="26"/>
      <c r="AK1289" s="374"/>
      <c r="AL1289" s="374"/>
      <c r="AO1289" s="294"/>
      <c r="AR1289" s="374"/>
      <c r="AZ1289" s="374"/>
      <c r="BE1289" s="26"/>
      <c r="BF1289" s="26"/>
      <c r="BG1289" s="26"/>
      <c r="BH1289" s="26"/>
      <c r="BI1289" s="26"/>
      <c r="BJ1289" s="26"/>
      <c r="BK1289" s="26"/>
      <c r="BL1289" s="26"/>
      <c r="BS1289" s="20"/>
      <c r="BT1289" s="26"/>
      <c r="BV1289" s="381"/>
      <c r="BW1289" s="229"/>
    </row>
    <row r="1290" spans="33:75" x14ac:dyDescent="0.2">
      <c r="AG1290" s="294"/>
      <c r="AH1290" s="294"/>
      <c r="AI1290" s="294"/>
      <c r="AJ1290" s="26"/>
      <c r="AK1290" s="374"/>
      <c r="AL1290" s="374"/>
      <c r="AO1290" s="294"/>
      <c r="AR1290" s="374"/>
      <c r="AZ1290" s="374"/>
      <c r="BE1290" s="26"/>
      <c r="BF1290" s="26"/>
      <c r="BG1290" s="26"/>
      <c r="BH1290" s="26"/>
      <c r="BI1290" s="26"/>
      <c r="BJ1290" s="26"/>
      <c r="BK1290" s="26"/>
      <c r="BL1290" s="26"/>
      <c r="BS1290" s="20"/>
      <c r="BT1290" s="26"/>
      <c r="BV1290" s="381"/>
      <c r="BW1290" s="229"/>
    </row>
    <row r="1291" spans="33:75" x14ac:dyDescent="0.2">
      <c r="AG1291" s="294"/>
      <c r="AH1291" s="294"/>
      <c r="AI1291" s="294"/>
      <c r="AJ1291" s="26"/>
      <c r="AK1291" s="374"/>
      <c r="AL1291" s="374"/>
      <c r="AO1291" s="294"/>
      <c r="AR1291" s="374"/>
      <c r="AZ1291" s="374"/>
      <c r="BE1291" s="26"/>
      <c r="BF1291" s="26"/>
      <c r="BG1291" s="26"/>
      <c r="BH1291" s="26"/>
      <c r="BI1291" s="26"/>
      <c r="BJ1291" s="26"/>
      <c r="BK1291" s="26"/>
      <c r="BL1291" s="26"/>
      <c r="BS1291" s="20"/>
      <c r="BT1291" s="26"/>
      <c r="BV1291" s="381"/>
      <c r="BW1291" s="229"/>
    </row>
    <row r="1292" spans="33:75" x14ac:dyDescent="0.2">
      <c r="AG1292" s="294"/>
      <c r="AH1292" s="294"/>
      <c r="AI1292" s="294"/>
      <c r="AJ1292" s="26"/>
      <c r="AK1292" s="374"/>
      <c r="AL1292" s="374"/>
      <c r="AO1292" s="294"/>
      <c r="AR1292" s="374"/>
      <c r="AZ1292" s="374"/>
      <c r="BE1292" s="26"/>
      <c r="BF1292" s="26"/>
      <c r="BG1292" s="26"/>
      <c r="BH1292" s="26"/>
      <c r="BI1292" s="26"/>
      <c r="BJ1292" s="26"/>
      <c r="BK1292" s="26"/>
      <c r="BL1292" s="26"/>
      <c r="BS1292" s="20"/>
      <c r="BT1292" s="26"/>
      <c r="BV1292" s="381"/>
      <c r="BW1292" s="229"/>
    </row>
    <row r="1293" spans="33:75" x14ac:dyDescent="0.2">
      <c r="AG1293" s="294"/>
      <c r="AH1293" s="294"/>
      <c r="AI1293" s="294"/>
      <c r="AJ1293" s="26"/>
      <c r="AK1293" s="374"/>
      <c r="AL1293" s="374"/>
      <c r="AO1293" s="294"/>
      <c r="AR1293" s="374"/>
      <c r="AZ1293" s="374"/>
      <c r="BE1293" s="26"/>
      <c r="BF1293" s="26"/>
      <c r="BG1293" s="26"/>
      <c r="BH1293" s="26"/>
      <c r="BI1293" s="26"/>
      <c r="BJ1293" s="26"/>
      <c r="BK1293" s="26"/>
      <c r="BL1293" s="26"/>
      <c r="BS1293" s="20"/>
      <c r="BT1293" s="26"/>
      <c r="BV1293" s="381"/>
      <c r="BW1293" s="229"/>
    </row>
    <row r="1294" spans="33:75" x14ac:dyDescent="0.2">
      <c r="AG1294" s="294"/>
      <c r="AH1294" s="294"/>
      <c r="AI1294" s="294"/>
      <c r="AJ1294" s="26"/>
      <c r="AK1294" s="374"/>
      <c r="AL1294" s="374"/>
      <c r="AO1294" s="294"/>
      <c r="AR1294" s="374"/>
      <c r="AZ1294" s="374"/>
      <c r="BE1294" s="26"/>
      <c r="BF1294" s="26"/>
      <c r="BG1294" s="26"/>
      <c r="BH1294" s="26"/>
      <c r="BI1294" s="26"/>
      <c r="BJ1294" s="26"/>
      <c r="BK1294" s="26"/>
      <c r="BL1294" s="26"/>
      <c r="BS1294" s="20"/>
      <c r="BT1294" s="26"/>
      <c r="BV1294" s="381"/>
      <c r="BW1294" s="229"/>
    </row>
    <row r="1295" spans="33:75" x14ac:dyDescent="0.2">
      <c r="AG1295" s="294"/>
      <c r="AH1295" s="294"/>
      <c r="AI1295" s="294"/>
      <c r="AJ1295" s="26"/>
      <c r="AK1295" s="374"/>
      <c r="AL1295" s="374"/>
      <c r="AO1295" s="294"/>
      <c r="AR1295" s="374"/>
      <c r="AZ1295" s="374"/>
      <c r="BE1295" s="26"/>
      <c r="BF1295" s="26"/>
      <c r="BG1295" s="26"/>
      <c r="BH1295" s="26"/>
      <c r="BI1295" s="26"/>
      <c r="BJ1295" s="26"/>
      <c r="BK1295" s="26"/>
      <c r="BL1295" s="26"/>
      <c r="BS1295" s="20"/>
      <c r="BT1295" s="26"/>
      <c r="BV1295" s="381"/>
      <c r="BW1295" s="229"/>
    </row>
    <row r="1296" spans="33:75" x14ac:dyDescent="0.2">
      <c r="AG1296" s="294"/>
      <c r="AH1296" s="294"/>
      <c r="AI1296" s="294"/>
      <c r="AJ1296" s="26"/>
      <c r="AK1296" s="374"/>
      <c r="AL1296" s="374"/>
      <c r="AO1296" s="294"/>
      <c r="AR1296" s="374"/>
      <c r="AZ1296" s="374"/>
      <c r="BE1296" s="26"/>
      <c r="BF1296" s="26"/>
      <c r="BG1296" s="26"/>
      <c r="BH1296" s="26"/>
      <c r="BI1296" s="26"/>
      <c r="BJ1296" s="26"/>
      <c r="BK1296" s="26"/>
      <c r="BL1296" s="26"/>
      <c r="BS1296" s="20"/>
      <c r="BT1296" s="26"/>
      <c r="BV1296" s="381"/>
      <c r="BW1296" s="229"/>
    </row>
    <row r="1297" spans="33:75" x14ac:dyDescent="0.2">
      <c r="AG1297" s="294"/>
      <c r="AH1297" s="294"/>
      <c r="AI1297" s="294"/>
      <c r="AJ1297" s="26"/>
      <c r="AK1297" s="374"/>
      <c r="AL1297" s="374"/>
      <c r="AO1297" s="294"/>
      <c r="AR1297" s="374"/>
      <c r="AZ1297" s="374"/>
      <c r="BE1297" s="26"/>
      <c r="BF1297" s="26"/>
      <c r="BG1297" s="26"/>
      <c r="BH1297" s="26"/>
      <c r="BI1297" s="26"/>
      <c r="BJ1297" s="26"/>
      <c r="BK1297" s="26"/>
      <c r="BL1297" s="26"/>
      <c r="BS1297" s="20"/>
      <c r="BT1297" s="26"/>
      <c r="BV1297" s="381"/>
      <c r="BW1297" s="229"/>
    </row>
    <row r="1298" spans="33:75" x14ac:dyDescent="0.2">
      <c r="AG1298" s="294"/>
      <c r="AH1298" s="294"/>
      <c r="AI1298" s="294"/>
      <c r="AJ1298" s="26"/>
      <c r="AK1298" s="374"/>
      <c r="AL1298" s="374"/>
      <c r="AO1298" s="294"/>
      <c r="AR1298" s="374"/>
      <c r="AZ1298" s="374"/>
      <c r="BE1298" s="26"/>
      <c r="BF1298" s="26"/>
      <c r="BG1298" s="26"/>
      <c r="BH1298" s="26"/>
      <c r="BI1298" s="26"/>
      <c r="BJ1298" s="26"/>
      <c r="BK1298" s="26"/>
      <c r="BL1298" s="26"/>
      <c r="BS1298" s="20"/>
      <c r="BT1298" s="26"/>
      <c r="BV1298" s="381"/>
      <c r="BW1298" s="229"/>
    </row>
    <row r="1299" spans="33:75" x14ac:dyDescent="0.2">
      <c r="AG1299" s="294"/>
      <c r="AH1299" s="294"/>
      <c r="AI1299" s="294"/>
      <c r="AJ1299" s="26"/>
      <c r="AK1299" s="374"/>
      <c r="AL1299" s="374"/>
      <c r="AO1299" s="294"/>
      <c r="AR1299" s="374"/>
      <c r="AZ1299" s="374"/>
      <c r="BE1299" s="26"/>
      <c r="BF1299" s="26"/>
      <c r="BG1299" s="26"/>
      <c r="BH1299" s="26"/>
      <c r="BI1299" s="26"/>
      <c r="BJ1299" s="26"/>
      <c r="BK1299" s="26"/>
      <c r="BL1299" s="26"/>
      <c r="BS1299" s="20"/>
      <c r="BT1299" s="26"/>
      <c r="BV1299" s="381"/>
      <c r="BW1299" s="229"/>
    </row>
    <row r="1300" spans="33:75" x14ac:dyDescent="0.2">
      <c r="AG1300" s="294"/>
      <c r="AH1300" s="294"/>
      <c r="AI1300" s="294"/>
      <c r="AJ1300" s="26"/>
      <c r="AK1300" s="374"/>
      <c r="AL1300" s="374"/>
      <c r="AO1300" s="294"/>
      <c r="AR1300" s="374"/>
      <c r="AZ1300" s="374"/>
      <c r="BE1300" s="26"/>
      <c r="BF1300" s="26"/>
      <c r="BG1300" s="26"/>
      <c r="BH1300" s="26"/>
      <c r="BI1300" s="26"/>
      <c r="BJ1300" s="26"/>
      <c r="BK1300" s="26"/>
      <c r="BL1300" s="26"/>
      <c r="BS1300" s="20"/>
      <c r="BT1300" s="26"/>
      <c r="BV1300" s="381"/>
      <c r="BW1300" s="229"/>
    </row>
    <row r="1301" spans="33:75" x14ac:dyDescent="0.2">
      <c r="AG1301" s="294"/>
      <c r="AH1301" s="294"/>
      <c r="AI1301" s="294"/>
      <c r="AJ1301" s="26"/>
      <c r="AK1301" s="374"/>
      <c r="AL1301" s="374"/>
      <c r="AO1301" s="294"/>
      <c r="AR1301" s="374"/>
      <c r="AZ1301" s="374"/>
      <c r="BE1301" s="26"/>
      <c r="BF1301" s="26"/>
      <c r="BG1301" s="26"/>
      <c r="BH1301" s="26"/>
      <c r="BI1301" s="26"/>
      <c r="BJ1301" s="26"/>
      <c r="BK1301" s="26"/>
      <c r="BL1301" s="26"/>
      <c r="BS1301" s="20"/>
      <c r="BT1301" s="26"/>
      <c r="BV1301" s="381"/>
      <c r="BW1301" s="229"/>
    </row>
    <row r="1302" spans="33:75" x14ac:dyDescent="0.2">
      <c r="AG1302" s="294"/>
      <c r="AH1302" s="294"/>
      <c r="AI1302" s="294"/>
      <c r="AJ1302" s="26"/>
      <c r="AK1302" s="374"/>
      <c r="AL1302" s="374"/>
      <c r="AO1302" s="294"/>
      <c r="AR1302" s="374"/>
      <c r="AZ1302" s="374"/>
      <c r="BE1302" s="26"/>
      <c r="BF1302" s="26"/>
      <c r="BG1302" s="26"/>
      <c r="BH1302" s="26"/>
      <c r="BI1302" s="26"/>
      <c r="BJ1302" s="26"/>
      <c r="BK1302" s="26"/>
      <c r="BL1302" s="26"/>
      <c r="BS1302" s="20"/>
      <c r="BT1302" s="26"/>
      <c r="BV1302" s="381"/>
      <c r="BW1302" s="229"/>
    </row>
    <row r="1303" spans="33:75" x14ac:dyDescent="0.2">
      <c r="AG1303" s="294"/>
      <c r="AH1303" s="294"/>
      <c r="AI1303" s="294"/>
      <c r="AJ1303" s="26"/>
      <c r="AK1303" s="374"/>
      <c r="AL1303" s="374"/>
      <c r="AO1303" s="294"/>
      <c r="AR1303" s="374"/>
      <c r="AZ1303" s="374"/>
      <c r="BE1303" s="26"/>
      <c r="BF1303" s="26"/>
      <c r="BG1303" s="26"/>
      <c r="BH1303" s="26"/>
      <c r="BI1303" s="26"/>
      <c r="BJ1303" s="26"/>
      <c r="BK1303" s="26"/>
      <c r="BL1303" s="26"/>
      <c r="BS1303" s="20"/>
      <c r="BT1303" s="26"/>
      <c r="BV1303" s="381"/>
      <c r="BW1303" s="229"/>
    </row>
    <row r="1304" spans="33:75" x14ac:dyDescent="0.2">
      <c r="AG1304" s="294"/>
      <c r="AH1304" s="294"/>
      <c r="AI1304" s="294"/>
      <c r="AJ1304" s="26"/>
      <c r="AK1304" s="374"/>
      <c r="AL1304" s="374"/>
      <c r="AO1304" s="294"/>
      <c r="AR1304" s="374"/>
      <c r="AZ1304" s="374"/>
      <c r="BE1304" s="26"/>
      <c r="BF1304" s="26"/>
      <c r="BG1304" s="26"/>
      <c r="BH1304" s="26"/>
      <c r="BI1304" s="26"/>
      <c r="BJ1304" s="26"/>
      <c r="BK1304" s="26"/>
      <c r="BL1304" s="26"/>
      <c r="BS1304" s="20"/>
      <c r="BT1304" s="26"/>
      <c r="BV1304" s="381"/>
      <c r="BW1304" s="229"/>
    </row>
    <row r="1305" spans="33:75" x14ac:dyDescent="0.2">
      <c r="AG1305" s="294"/>
      <c r="AH1305" s="294"/>
      <c r="AI1305" s="294"/>
      <c r="AJ1305" s="26"/>
      <c r="AK1305" s="374"/>
      <c r="AL1305" s="374"/>
      <c r="AO1305" s="294"/>
      <c r="AR1305" s="374"/>
      <c r="AZ1305" s="374"/>
      <c r="BE1305" s="26"/>
      <c r="BF1305" s="26"/>
      <c r="BG1305" s="26"/>
      <c r="BH1305" s="26"/>
      <c r="BI1305" s="26"/>
      <c r="BJ1305" s="26"/>
      <c r="BK1305" s="26"/>
      <c r="BL1305" s="26"/>
      <c r="BS1305" s="20"/>
      <c r="BT1305" s="26"/>
      <c r="BV1305" s="381"/>
      <c r="BW1305" s="229"/>
    </row>
    <row r="1306" spans="33:75" x14ac:dyDescent="0.2">
      <c r="AG1306" s="294"/>
      <c r="AH1306" s="294"/>
      <c r="AI1306" s="294"/>
      <c r="AJ1306" s="26"/>
      <c r="AK1306" s="374"/>
      <c r="AL1306" s="374"/>
      <c r="AO1306" s="294"/>
      <c r="AR1306" s="374"/>
      <c r="AZ1306" s="374"/>
      <c r="BE1306" s="26"/>
      <c r="BF1306" s="26"/>
      <c r="BG1306" s="26"/>
      <c r="BH1306" s="26"/>
      <c r="BI1306" s="26"/>
      <c r="BJ1306" s="26"/>
      <c r="BK1306" s="26"/>
      <c r="BL1306" s="26"/>
      <c r="BS1306" s="20"/>
      <c r="BT1306" s="26"/>
      <c r="BV1306" s="381"/>
      <c r="BW1306" s="229"/>
    </row>
    <row r="1307" spans="33:75" x14ac:dyDescent="0.2">
      <c r="AG1307" s="294"/>
      <c r="AH1307" s="294"/>
      <c r="AI1307" s="294"/>
      <c r="AJ1307" s="26"/>
      <c r="AK1307" s="374"/>
      <c r="AL1307" s="374"/>
      <c r="AO1307" s="294"/>
      <c r="AR1307" s="374"/>
      <c r="AZ1307" s="374"/>
      <c r="BE1307" s="26"/>
      <c r="BF1307" s="26"/>
      <c r="BG1307" s="26"/>
      <c r="BH1307" s="26"/>
      <c r="BI1307" s="26"/>
      <c r="BJ1307" s="26"/>
      <c r="BK1307" s="26"/>
      <c r="BL1307" s="26"/>
      <c r="BS1307" s="20"/>
      <c r="BT1307" s="26"/>
      <c r="BV1307" s="381"/>
      <c r="BW1307" s="229"/>
    </row>
    <row r="1308" spans="33:75" x14ac:dyDescent="0.2">
      <c r="AG1308" s="294"/>
      <c r="AH1308" s="294"/>
      <c r="AI1308" s="294"/>
      <c r="AJ1308" s="26"/>
      <c r="AK1308" s="374"/>
      <c r="AL1308" s="374"/>
      <c r="AO1308" s="294"/>
      <c r="AR1308" s="374"/>
      <c r="AZ1308" s="374"/>
      <c r="BE1308" s="26"/>
      <c r="BF1308" s="26"/>
      <c r="BG1308" s="26"/>
      <c r="BH1308" s="26"/>
      <c r="BI1308" s="26"/>
      <c r="BJ1308" s="26"/>
      <c r="BK1308" s="26"/>
      <c r="BL1308" s="26"/>
      <c r="BS1308" s="20"/>
      <c r="BT1308" s="26"/>
      <c r="BV1308" s="381"/>
      <c r="BW1308" s="229"/>
    </row>
    <row r="1309" spans="33:75" x14ac:dyDescent="0.2">
      <c r="AG1309" s="294"/>
      <c r="AH1309" s="294"/>
      <c r="AI1309" s="294"/>
      <c r="AJ1309" s="26"/>
      <c r="AK1309" s="374"/>
      <c r="AL1309" s="374"/>
      <c r="AO1309" s="294"/>
      <c r="AR1309" s="374"/>
      <c r="AZ1309" s="374"/>
      <c r="BE1309" s="26"/>
      <c r="BF1309" s="26"/>
      <c r="BG1309" s="26"/>
      <c r="BH1309" s="26"/>
      <c r="BI1309" s="26"/>
      <c r="BJ1309" s="26"/>
      <c r="BK1309" s="26"/>
      <c r="BL1309" s="26"/>
      <c r="BS1309" s="20"/>
      <c r="BT1309" s="26"/>
      <c r="BV1309" s="381"/>
      <c r="BW1309" s="229"/>
    </row>
    <row r="1310" spans="33:75" x14ac:dyDescent="0.2">
      <c r="AG1310" s="294"/>
      <c r="AH1310" s="294"/>
      <c r="AI1310" s="294"/>
      <c r="AJ1310" s="26"/>
      <c r="AK1310" s="374"/>
      <c r="AL1310" s="374"/>
      <c r="AO1310" s="294"/>
      <c r="AR1310" s="374"/>
      <c r="AZ1310" s="374"/>
      <c r="BE1310" s="26"/>
      <c r="BF1310" s="26"/>
      <c r="BG1310" s="26"/>
      <c r="BH1310" s="26"/>
      <c r="BI1310" s="26"/>
      <c r="BJ1310" s="26"/>
      <c r="BK1310" s="26"/>
      <c r="BL1310" s="26"/>
      <c r="BS1310" s="20"/>
      <c r="BT1310" s="26"/>
      <c r="BV1310" s="381"/>
      <c r="BW1310" s="229"/>
    </row>
    <row r="1311" spans="33:75" x14ac:dyDescent="0.2">
      <c r="AG1311" s="294"/>
      <c r="AH1311" s="294"/>
      <c r="AI1311" s="294"/>
      <c r="AJ1311" s="26"/>
      <c r="AK1311" s="374"/>
      <c r="AL1311" s="374"/>
      <c r="AO1311" s="294"/>
      <c r="AR1311" s="374"/>
      <c r="AZ1311" s="374"/>
      <c r="BE1311" s="26"/>
      <c r="BF1311" s="26"/>
      <c r="BG1311" s="26"/>
      <c r="BH1311" s="26"/>
      <c r="BI1311" s="26"/>
      <c r="BJ1311" s="26"/>
      <c r="BK1311" s="26"/>
      <c r="BL1311" s="26"/>
      <c r="BS1311" s="20"/>
      <c r="BT1311" s="26"/>
      <c r="BV1311" s="381"/>
      <c r="BW1311" s="229"/>
    </row>
    <row r="1312" spans="33:75" x14ac:dyDescent="0.2">
      <c r="AG1312" s="294"/>
      <c r="AH1312" s="294"/>
      <c r="AI1312" s="294"/>
      <c r="AJ1312" s="26"/>
      <c r="AK1312" s="374"/>
      <c r="AL1312" s="374"/>
      <c r="AO1312" s="294"/>
      <c r="AR1312" s="374"/>
      <c r="AZ1312" s="374"/>
      <c r="BE1312" s="26"/>
      <c r="BF1312" s="26"/>
      <c r="BG1312" s="26"/>
      <c r="BH1312" s="26"/>
      <c r="BI1312" s="26"/>
      <c r="BJ1312" s="26"/>
      <c r="BK1312" s="26"/>
      <c r="BL1312" s="26"/>
      <c r="BS1312" s="20"/>
      <c r="BT1312" s="26"/>
      <c r="BV1312" s="381"/>
      <c r="BW1312" s="229"/>
    </row>
    <row r="1313" spans="33:75" x14ac:dyDescent="0.2">
      <c r="AG1313" s="294"/>
      <c r="AH1313" s="294"/>
      <c r="AI1313" s="294"/>
      <c r="AJ1313" s="26"/>
      <c r="AK1313" s="374"/>
      <c r="AL1313" s="374"/>
      <c r="AO1313" s="294"/>
      <c r="AR1313" s="374"/>
      <c r="AZ1313" s="374"/>
      <c r="BE1313" s="26"/>
      <c r="BF1313" s="26"/>
      <c r="BG1313" s="26"/>
      <c r="BH1313" s="26"/>
      <c r="BI1313" s="26"/>
      <c r="BJ1313" s="26"/>
      <c r="BK1313" s="26"/>
      <c r="BL1313" s="26"/>
      <c r="BS1313" s="20"/>
      <c r="BT1313" s="26"/>
      <c r="BV1313" s="381"/>
      <c r="BW1313" s="229"/>
    </row>
    <row r="1314" spans="33:75" x14ac:dyDescent="0.2">
      <c r="AG1314" s="294"/>
      <c r="AH1314" s="294"/>
      <c r="AI1314" s="294"/>
      <c r="AJ1314" s="26"/>
      <c r="AK1314" s="374"/>
      <c r="AL1314" s="374"/>
      <c r="AO1314" s="294"/>
      <c r="AR1314" s="374"/>
      <c r="AZ1314" s="374"/>
      <c r="BE1314" s="26"/>
      <c r="BF1314" s="26"/>
      <c r="BG1314" s="26"/>
      <c r="BH1314" s="26"/>
      <c r="BI1314" s="26"/>
      <c r="BJ1314" s="26"/>
      <c r="BK1314" s="26"/>
      <c r="BL1314" s="26"/>
      <c r="BS1314" s="20"/>
      <c r="BT1314" s="26"/>
      <c r="BV1314" s="381"/>
      <c r="BW1314" s="229"/>
    </row>
    <row r="1315" spans="33:75" x14ac:dyDescent="0.2">
      <c r="AG1315" s="294"/>
      <c r="AH1315" s="294"/>
      <c r="AI1315" s="294"/>
      <c r="AJ1315" s="26"/>
      <c r="AK1315" s="374"/>
      <c r="AL1315" s="374"/>
      <c r="AO1315" s="294"/>
      <c r="AR1315" s="374"/>
      <c r="AZ1315" s="374"/>
      <c r="BE1315" s="26"/>
      <c r="BF1315" s="26"/>
      <c r="BG1315" s="26"/>
      <c r="BH1315" s="26"/>
      <c r="BI1315" s="26"/>
      <c r="BJ1315" s="26"/>
      <c r="BK1315" s="26"/>
      <c r="BL1315" s="26"/>
      <c r="BS1315" s="20"/>
      <c r="BT1315" s="26"/>
      <c r="BV1315" s="381"/>
      <c r="BW1315" s="229"/>
    </row>
    <row r="1316" spans="33:75" x14ac:dyDescent="0.2">
      <c r="AG1316" s="294"/>
      <c r="AH1316" s="294"/>
      <c r="AI1316" s="294"/>
      <c r="AJ1316" s="26"/>
      <c r="AK1316" s="374"/>
      <c r="AL1316" s="374"/>
      <c r="AO1316" s="294"/>
      <c r="AR1316" s="374"/>
      <c r="AZ1316" s="374"/>
      <c r="BE1316" s="26"/>
      <c r="BF1316" s="26"/>
      <c r="BG1316" s="26"/>
      <c r="BH1316" s="26"/>
      <c r="BI1316" s="26"/>
      <c r="BJ1316" s="26"/>
      <c r="BK1316" s="26"/>
      <c r="BL1316" s="26"/>
      <c r="BS1316" s="20"/>
      <c r="BT1316" s="26"/>
      <c r="BV1316" s="381"/>
      <c r="BW1316" s="229"/>
    </row>
    <row r="1317" spans="33:75" x14ac:dyDescent="0.2">
      <c r="AG1317" s="294"/>
      <c r="AH1317" s="294"/>
      <c r="AI1317" s="294"/>
      <c r="AJ1317" s="26"/>
      <c r="AK1317" s="374"/>
      <c r="AL1317" s="374"/>
      <c r="AO1317" s="294"/>
      <c r="AR1317" s="374"/>
      <c r="AZ1317" s="374"/>
      <c r="BE1317" s="26"/>
      <c r="BF1317" s="26"/>
      <c r="BG1317" s="26"/>
      <c r="BH1317" s="26"/>
      <c r="BI1317" s="26"/>
      <c r="BJ1317" s="26"/>
      <c r="BK1317" s="26"/>
      <c r="BL1317" s="26"/>
      <c r="BS1317" s="20"/>
      <c r="BT1317" s="26"/>
      <c r="BV1317" s="381"/>
      <c r="BW1317" s="229"/>
    </row>
    <row r="1318" spans="33:75" x14ac:dyDescent="0.2">
      <c r="AG1318" s="294"/>
      <c r="AH1318" s="294"/>
      <c r="AI1318" s="294"/>
      <c r="AJ1318" s="26"/>
      <c r="AK1318" s="374"/>
      <c r="AL1318" s="374"/>
      <c r="AO1318" s="294"/>
      <c r="AR1318" s="374"/>
      <c r="AZ1318" s="374"/>
      <c r="BE1318" s="26"/>
      <c r="BF1318" s="26"/>
      <c r="BG1318" s="26"/>
      <c r="BH1318" s="26"/>
      <c r="BI1318" s="26"/>
      <c r="BJ1318" s="26"/>
      <c r="BK1318" s="26"/>
      <c r="BL1318" s="26"/>
      <c r="BS1318" s="20"/>
      <c r="BT1318" s="26"/>
      <c r="BV1318" s="381"/>
      <c r="BW1318" s="229"/>
    </row>
    <row r="1319" spans="33:75" x14ac:dyDescent="0.2">
      <c r="AG1319" s="294"/>
      <c r="AH1319" s="294"/>
      <c r="AI1319" s="294"/>
      <c r="AJ1319" s="26"/>
      <c r="AK1319" s="374"/>
      <c r="AL1319" s="374"/>
      <c r="AO1319" s="294"/>
      <c r="AR1319" s="374"/>
      <c r="AZ1319" s="374"/>
      <c r="BE1319" s="26"/>
      <c r="BF1319" s="26"/>
      <c r="BG1319" s="26"/>
      <c r="BH1319" s="26"/>
      <c r="BI1319" s="26"/>
      <c r="BJ1319" s="26"/>
      <c r="BK1319" s="26"/>
      <c r="BL1319" s="26"/>
      <c r="BS1319" s="20"/>
      <c r="BT1319" s="26"/>
      <c r="BV1319" s="381"/>
      <c r="BW1319" s="229"/>
    </row>
    <row r="1320" spans="33:75" x14ac:dyDescent="0.2">
      <c r="AG1320" s="294"/>
      <c r="AH1320" s="294"/>
      <c r="AI1320" s="294"/>
      <c r="AJ1320" s="26"/>
      <c r="AK1320" s="374"/>
      <c r="AL1320" s="374"/>
      <c r="AO1320" s="294"/>
      <c r="AR1320" s="374"/>
      <c r="AZ1320" s="374"/>
      <c r="BE1320" s="26"/>
      <c r="BF1320" s="26"/>
      <c r="BG1320" s="26"/>
      <c r="BH1320" s="26"/>
      <c r="BI1320" s="26"/>
      <c r="BJ1320" s="26"/>
      <c r="BK1320" s="26"/>
      <c r="BL1320" s="26"/>
      <c r="BS1320" s="20"/>
      <c r="BT1320" s="26"/>
      <c r="BV1320" s="381"/>
      <c r="BW1320" s="229"/>
    </row>
    <row r="1321" spans="33:75" x14ac:dyDescent="0.2">
      <c r="AG1321" s="294"/>
      <c r="AH1321" s="294"/>
      <c r="AI1321" s="294"/>
      <c r="AJ1321" s="26"/>
      <c r="AK1321" s="374"/>
      <c r="AL1321" s="374"/>
      <c r="AO1321" s="294"/>
      <c r="AR1321" s="374"/>
      <c r="AZ1321" s="374"/>
      <c r="BE1321" s="26"/>
      <c r="BF1321" s="26"/>
      <c r="BG1321" s="26"/>
      <c r="BH1321" s="26"/>
      <c r="BI1321" s="26"/>
      <c r="BJ1321" s="26"/>
      <c r="BK1321" s="26"/>
      <c r="BL1321" s="26"/>
      <c r="BS1321" s="20"/>
      <c r="BT1321" s="26"/>
      <c r="BV1321" s="381"/>
      <c r="BW1321" s="229"/>
    </row>
    <row r="1322" spans="33:75" x14ac:dyDescent="0.2">
      <c r="AG1322" s="294"/>
      <c r="AH1322" s="294"/>
      <c r="AI1322" s="294"/>
      <c r="AJ1322" s="26"/>
      <c r="AK1322" s="374"/>
      <c r="AL1322" s="374"/>
      <c r="AO1322" s="294"/>
      <c r="AR1322" s="374"/>
      <c r="AZ1322" s="374"/>
      <c r="BE1322" s="26"/>
      <c r="BF1322" s="26"/>
      <c r="BG1322" s="26"/>
      <c r="BH1322" s="26"/>
      <c r="BI1322" s="26"/>
      <c r="BJ1322" s="26"/>
      <c r="BK1322" s="26"/>
      <c r="BL1322" s="26"/>
      <c r="BS1322" s="20"/>
      <c r="BT1322" s="26"/>
      <c r="BV1322" s="381"/>
      <c r="BW1322" s="229"/>
    </row>
    <row r="1323" spans="33:75" x14ac:dyDescent="0.2">
      <c r="AG1323" s="294"/>
      <c r="AH1323" s="294"/>
      <c r="AI1323" s="294"/>
      <c r="AJ1323" s="26"/>
      <c r="AK1323" s="374"/>
      <c r="AL1323" s="374"/>
      <c r="AO1323" s="294"/>
      <c r="AR1323" s="374"/>
      <c r="AZ1323" s="374"/>
      <c r="BE1323" s="26"/>
      <c r="BF1323" s="26"/>
      <c r="BG1323" s="26"/>
      <c r="BH1323" s="26"/>
      <c r="BI1323" s="26"/>
      <c r="BJ1323" s="26"/>
      <c r="BK1323" s="26"/>
      <c r="BL1323" s="26"/>
      <c r="BS1323" s="20"/>
      <c r="BT1323" s="26"/>
      <c r="BV1323" s="381"/>
      <c r="BW1323" s="229"/>
    </row>
    <row r="1324" spans="33:75" x14ac:dyDescent="0.2">
      <c r="AG1324" s="294"/>
      <c r="AH1324" s="294"/>
      <c r="AI1324" s="294"/>
      <c r="AJ1324" s="26"/>
      <c r="AK1324" s="374"/>
      <c r="AL1324" s="374"/>
      <c r="AO1324" s="294"/>
      <c r="AR1324" s="374"/>
      <c r="AZ1324" s="374"/>
      <c r="BE1324" s="26"/>
      <c r="BF1324" s="26"/>
      <c r="BG1324" s="26"/>
      <c r="BH1324" s="26"/>
      <c r="BI1324" s="26"/>
      <c r="BJ1324" s="26"/>
      <c r="BK1324" s="26"/>
      <c r="BL1324" s="26"/>
      <c r="BS1324" s="20"/>
      <c r="BT1324" s="26"/>
      <c r="BV1324" s="381"/>
      <c r="BW1324" s="229"/>
    </row>
    <row r="1325" spans="33:75" x14ac:dyDescent="0.2">
      <c r="AG1325" s="294"/>
      <c r="AH1325" s="294"/>
      <c r="AI1325" s="294"/>
      <c r="AJ1325" s="26"/>
      <c r="AK1325" s="374"/>
      <c r="AL1325" s="374"/>
      <c r="AO1325" s="294"/>
      <c r="AR1325" s="374"/>
      <c r="AZ1325" s="374"/>
      <c r="BE1325" s="26"/>
      <c r="BF1325" s="26"/>
      <c r="BG1325" s="26"/>
      <c r="BH1325" s="26"/>
      <c r="BI1325" s="26"/>
      <c r="BJ1325" s="26"/>
      <c r="BK1325" s="26"/>
      <c r="BL1325" s="26"/>
      <c r="BS1325" s="20"/>
      <c r="BT1325" s="26"/>
      <c r="BV1325" s="381"/>
      <c r="BW1325" s="229"/>
    </row>
    <row r="1326" spans="33:75" x14ac:dyDescent="0.2">
      <c r="AG1326" s="294"/>
      <c r="AH1326" s="294"/>
      <c r="AI1326" s="294"/>
      <c r="AJ1326" s="26"/>
      <c r="AK1326" s="374"/>
      <c r="AL1326" s="374"/>
      <c r="AO1326" s="294"/>
      <c r="AR1326" s="374"/>
      <c r="AZ1326" s="374"/>
      <c r="BE1326" s="26"/>
      <c r="BF1326" s="26"/>
      <c r="BG1326" s="26"/>
      <c r="BH1326" s="26"/>
      <c r="BI1326" s="26"/>
      <c r="BJ1326" s="26"/>
      <c r="BK1326" s="26"/>
      <c r="BL1326" s="26"/>
      <c r="BS1326" s="20"/>
      <c r="BT1326" s="26"/>
      <c r="BV1326" s="381"/>
      <c r="BW1326" s="229"/>
    </row>
    <row r="1327" spans="33:75" x14ac:dyDescent="0.2">
      <c r="AG1327" s="294"/>
      <c r="AH1327" s="294"/>
      <c r="AI1327" s="294"/>
      <c r="AJ1327" s="26"/>
      <c r="AK1327" s="374"/>
      <c r="AL1327" s="374"/>
      <c r="AO1327" s="294"/>
      <c r="AR1327" s="374"/>
      <c r="AZ1327" s="374"/>
      <c r="BE1327" s="26"/>
      <c r="BF1327" s="26"/>
      <c r="BG1327" s="26"/>
      <c r="BH1327" s="26"/>
      <c r="BI1327" s="26"/>
      <c r="BJ1327" s="26"/>
      <c r="BK1327" s="26"/>
      <c r="BL1327" s="26"/>
      <c r="BS1327" s="20"/>
      <c r="BT1327" s="26"/>
      <c r="BV1327" s="381"/>
      <c r="BW1327" s="229"/>
    </row>
    <row r="1328" spans="33:75" x14ac:dyDescent="0.2">
      <c r="AG1328" s="294"/>
      <c r="AH1328" s="294"/>
      <c r="AI1328" s="294"/>
      <c r="AJ1328" s="26"/>
      <c r="AK1328" s="374"/>
      <c r="AL1328" s="374"/>
      <c r="AO1328" s="294"/>
      <c r="AR1328" s="374"/>
      <c r="AZ1328" s="374"/>
      <c r="BE1328" s="26"/>
      <c r="BF1328" s="26"/>
      <c r="BG1328" s="26"/>
      <c r="BH1328" s="26"/>
      <c r="BI1328" s="26"/>
      <c r="BJ1328" s="26"/>
      <c r="BK1328" s="26"/>
      <c r="BL1328" s="26"/>
      <c r="BS1328" s="20"/>
      <c r="BT1328" s="26"/>
      <c r="BV1328" s="381"/>
      <c r="BW1328" s="229"/>
    </row>
    <row r="1329" spans="33:75" x14ac:dyDescent="0.2">
      <c r="AG1329" s="294"/>
      <c r="AH1329" s="294"/>
      <c r="AI1329" s="294"/>
      <c r="AJ1329" s="26"/>
      <c r="AK1329" s="374"/>
      <c r="AL1329" s="374"/>
      <c r="AO1329" s="294"/>
      <c r="AR1329" s="374"/>
      <c r="AZ1329" s="374"/>
      <c r="BE1329" s="26"/>
      <c r="BF1329" s="26"/>
      <c r="BG1329" s="26"/>
      <c r="BH1329" s="26"/>
      <c r="BI1329" s="26"/>
      <c r="BJ1329" s="26"/>
      <c r="BK1329" s="26"/>
      <c r="BL1329" s="26"/>
      <c r="BS1329" s="20"/>
      <c r="BT1329" s="26"/>
      <c r="BV1329" s="381"/>
      <c r="BW1329" s="229"/>
    </row>
    <row r="1330" spans="33:75" x14ac:dyDescent="0.2">
      <c r="AG1330" s="294"/>
      <c r="AH1330" s="294"/>
      <c r="AI1330" s="294"/>
      <c r="AJ1330" s="26"/>
      <c r="AK1330" s="374"/>
      <c r="AL1330" s="374"/>
      <c r="AO1330" s="294"/>
      <c r="AR1330" s="374"/>
      <c r="AZ1330" s="374"/>
      <c r="BE1330" s="26"/>
      <c r="BF1330" s="26"/>
      <c r="BG1330" s="26"/>
      <c r="BH1330" s="26"/>
      <c r="BI1330" s="26"/>
      <c r="BJ1330" s="26"/>
      <c r="BK1330" s="26"/>
      <c r="BL1330" s="26"/>
      <c r="BS1330" s="20"/>
      <c r="BT1330" s="26"/>
      <c r="BV1330" s="381"/>
      <c r="BW1330" s="229"/>
    </row>
    <row r="1331" spans="33:75" x14ac:dyDescent="0.2">
      <c r="AG1331" s="294"/>
      <c r="AH1331" s="294"/>
      <c r="AI1331" s="294"/>
      <c r="AJ1331" s="26"/>
      <c r="AK1331" s="374"/>
      <c r="AL1331" s="374"/>
      <c r="AO1331" s="294"/>
      <c r="AR1331" s="374"/>
      <c r="AZ1331" s="374"/>
      <c r="BE1331" s="26"/>
      <c r="BF1331" s="26"/>
      <c r="BG1331" s="26"/>
      <c r="BH1331" s="26"/>
      <c r="BI1331" s="26"/>
      <c r="BJ1331" s="26"/>
      <c r="BK1331" s="26"/>
      <c r="BL1331" s="26"/>
      <c r="BS1331" s="20"/>
      <c r="BT1331" s="26"/>
      <c r="BV1331" s="381"/>
      <c r="BW1331" s="229"/>
    </row>
    <row r="1332" spans="33:75" x14ac:dyDescent="0.2">
      <c r="AG1332" s="294"/>
      <c r="AH1332" s="294"/>
      <c r="AI1332" s="294"/>
      <c r="AJ1332" s="26"/>
      <c r="AK1332" s="374"/>
      <c r="AL1332" s="374"/>
      <c r="AO1332" s="294"/>
      <c r="AR1332" s="374"/>
      <c r="AZ1332" s="374"/>
      <c r="BE1332" s="26"/>
      <c r="BF1332" s="26"/>
      <c r="BG1332" s="26"/>
      <c r="BH1332" s="26"/>
      <c r="BI1332" s="26"/>
      <c r="BJ1332" s="26"/>
      <c r="BK1332" s="26"/>
      <c r="BL1332" s="26"/>
      <c r="BS1332" s="20"/>
      <c r="BT1332" s="26"/>
      <c r="BV1332" s="381"/>
      <c r="BW1332" s="229"/>
    </row>
    <row r="1333" spans="33:75" x14ac:dyDescent="0.2">
      <c r="AG1333" s="294"/>
      <c r="AH1333" s="294"/>
      <c r="AI1333" s="294"/>
      <c r="AJ1333" s="26"/>
      <c r="AK1333" s="374"/>
      <c r="AL1333" s="374"/>
      <c r="AO1333" s="294"/>
      <c r="AR1333" s="374"/>
      <c r="AZ1333" s="374"/>
      <c r="BE1333" s="26"/>
      <c r="BF1333" s="26"/>
      <c r="BG1333" s="26"/>
      <c r="BH1333" s="26"/>
      <c r="BI1333" s="26"/>
      <c r="BJ1333" s="26"/>
      <c r="BK1333" s="26"/>
      <c r="BL1333" s="26"/>
      <c r="BS1333" s="20"/>
      <c r="BT1333" s="26"/>
      <c r="BV1333" s="381"/>
      <c r="BW1333" s="229"/>
    </row>
    <row r="1334" spans="33:75" x14ac:dyDescent="0.2">
      <c r="AG1334" s="294"/>
      <c r="AH1334" s="294"/>
      <c r="AI1334" s="294"/>
      <c r="AJ1334" s="26"/>
      <c r="AK1334" s="374"/>
      <c r="AL1334" s="374"/>
      <c r="AO1334" s="294"/>
      <c r="AR1334" s="374"/>
      <c r="AZ1334" s="374"/>
      <c r="BE1334" s="26"/>
      <c r="BF1334" s="26"/>
      <c r="BG1334" s="26"/>
      <c r="BH1334" s="26"/>
      <c r="BI1334" s="26"/>
      <c r="BJ1334" s="26"/>
      <c r="BK1334" s="26"/>
      <c r="BL1334" s="26"/>
      <c r="BS1334" s="20"/>
      <c r="BT1334" s="26"/>
      <c r="BV1334" s="381"/>
      <c r="BW1334" s="229"/>
    </row>
    <row r="1335" spans="33:75" x14ac:dyDescent="0.2">
      <c r="AG1335" s="294"/>
      <c r="AH1335" s="294"/>
      <c r="AI1335" s="294"/>
      <c r="AJ1335" s="26"/>
      <c r="AK1335" s="374"/>
      <c r="AL1335" s="374"/>
      <c r="AO1335" s="294"/>
      <c r="AR1335" s="374"/>
      <c r="AZ1335" s="374"/>
      <c r="BE1335" s="26"/>
      <c r="BF1335" s="26"/>
      <c r="BG1335" s="26"/>
      <c r="BH1335" s="26"/>
      <c r="BI1335" s="26"/>
      <c r="BJ1335" s="26"/>
      <c r="BK1335" s="26"/>
      <c r="BL1335" s="26"/>
      <c r="BS1335" s="20"/>
      <c r="BT1335" s="26"/>
      <c r="BV1335" s="381"/>
      <c r="BW1335" s="229"/>
    </row>
    <row r="1336" spans="33:75" x14ac:dyDescent="0.2">
      <c r="AG1336" s="294"/>
      <c r="AH1336" s="294"/>
      <c r="AI1336" s="294"/>
      <c r="AJ1336" s="26"/>
      <c r="AK1336" s="374"/>
      <c r="AL1336" s="374"/>
      <c r="AO1336" s="294"/>
      <c r="AR1336" s="374"/>
      <c r="AZ1336" s="374"/>
      <c r="BE1336" s="26"/>
      <c r="BF1336" s="26"/>
      <c r="BG1336" s="26"/>
      <c r="BH1336" s="26"/>
      <c r="BI1336" s="26"/>
      <c r="BJ1336" s="26"/>
      <c r="BK1336" s="26"/>
      <c r="BL1336" s="26"/>
      <c r="BS1336" s="20"/>
      <c r="BT1336" s="26"/>
      <c r="BV1336" s="381"/>
      <c r="BW1336" s="229"/>
    </row>
    <row r="1337" spans="33:75" x14ac:dyDescent="0.2">
      <c r="AG1337" s="294"/>
      <c r="AH1337" s="294"/>
      <c r="AI1337" s="294"/>
      <c r="AJ1337" s="26"/>
      <c r="AK1337" s="374"/>
      <c r="AL1337" s="374"/>
      <c r="AO1337" s="294"/>
      <c r="AR1337" s="374"/>
      <c r="AZ1337" s="374"/>
      <c r="BE1337" s="26"/>
      <c r="BF1337" s="26"/>
      <c r="BG1337" s="26"/>
      <c r="BH1337" s="26"/>
      <c r="BI1337" s="26"/>
      <c r="BJ1337" s="26"/>
      <c r="BK1337" s="26"/>
      <c r="BL1337" s="26"/>
      <c r="BS1337" s="20"/>
      <c r="BT1337" s="26"/>
      <c r="BV1337" s="381"/>
      <c r="BW1337" s="229"/>
    </row>
    <row r="1338" spans="33:75" x14ac:dyDescent="0.2">
      <c r="AG1338" s="294"/>
      <c r="AH1338" s="294"/>
      <c r="AI1338" s="294"/>
      <c r="AJ1338" s="26"/>
      <c r="AK1338" s="374"/>
      <c r="AL1338" s="374"/>
      <c r="AO1338" s="294"/>
      <c r="AR1338" s="374"/>
      <c r="AZ1338" s="374"/>
      <c r="BE1338" s="26"/>
      <c r="BF1338" s="26"/>
      <c r="BG1338" s="26"/>
      <c r="BH1338" s="26"/>
      <c r="BI1338" s="26"/>
      <c r="BJ1338" s="26"/>
      <c r="BK1338" s="26"/>
      <c r="BL1338" s="26"/>
      <c r="BS1338" s="20"/>
      <c r="BT1338" s="26"/>
      <c r="BV1338" s="381"/>
      <c r="BW1338" s="229"/>
    </row>
    <row r="1339" spans="33:75" x14ac:dyDescent="0.2">
      <c r="AG1339" s="294"/>
      <c r="AH1339" s="294"/>
      <c r="AI1339" s="294"/>
      <c r="AJ1339" s="26"/>
      <c r="AK1339" s="374"/>
      <c r="AL1339" s="374"/>
      <c r="AO1339" s="294"/>
      <c r="AR1339" s="374"/>
      <c r="AZ1339" s="374"/>
      <c r="BE1339" s="26"/>
      <c r="BF1339" s="26"/>
      <c r="BG1339" s="26"/>
      <c r="BH1339" s="26"/>
      <c r="BI1339" s="26"/>
      <c r="BJ1339" s="26"/>
      <c r="BK1339" s="26"/>
      <c r="BL1339" s="26"/>
      <c r="BS1339" s="20"/>
      <c r="BT1339" s="26"/>
      <c r="BV1339" s="381"/>
      <c r="BW1339" s="229"/>
    </row>
    <row r="1340" spans="33:75" x14ac:dyDescent="0.2">
      <c r="AG1340" s="294"/>
      <c r="AH1340" s="294"/>
      <c r="AI1340" s="294"/>
      <c r="AJ1340" s="26"/>
      <c r="AK1340" s="374"/>
      <c r="AL1340" s="374"/>
      <c r="AO1340" s="294"/>
      <c r="AR1340" s="374"/>
      <c r="AZ1340" s="374"/>
      <c r="BE1340" s="26"/>
      <c r="BF1340" s="26"/>
      <c r="BG1340" s="26"/>
      <c r="BH1340" s="26"/>
      <c r="BI1340" s="26"/>
      <c r="BJ1340" s="26"/>
      <c r="BK1340" s="26"/>
      <c r="BL1340" s="26"/>
      <c r="BS1340" s="20"/>
      <c r="BT1340" s="26"/>
      <c r="BV1340" s="381"/>
      <c r="BW1340" s="229"/>
    </row>
    <row r="1341" spans="33:75" x14ac:dyDescent="0.2">
      <c r="AG1341" s="294"/>
      <c r="AH1341" s="294"/>
      <c r="AI1341" s="294"/>
      <c r="AJ1341" s="26"/>
      <c r="AK1341" s="374"/>
      <c r="AL1341" s="374"/>
      <c r="AO1341" s="294"/>
      <c r="AR1341" s="374"/>
      <c r="AZ1341" s="374"/>
      <c r="BE1341" s="26"/>
      <c r="BF1341" s="26"/>
      <c r="BG1341" s="26"/>
      <c r="BH1341" s="26"/>
      <c r="BI1341" s="26"/>
      <c r="BJ1341" s="26"/>
      <c r="BK1341" s="26"/>
      <c r="BL1341" s="26"/>
      <c r="BS1341" s="20"/>
      <c r="BT1341" s="26"/>
      <c r="BV1341" s="381"/>
      <c r="BW1341" s="229"/>
    </row>
    <row r="1342" spans="33:75" x14ac:dyDescent="0.2">
      <c r="AG1342" s="294"/>
      <c r="AH1342" s="294"/>
      <c r="AI1342" s="294"/>
      <c r="AJ1342" s="26"/>
      <c r="AK1342" s="374"/>
      <c r="AL1342" s="374"/>
      <c r="AO1342" s="294"/>
      <c r="AR1342" s="374"/>
      <c r="AZ1342" s="374"/>
      <c r="BE1342" s="26"/>
      <c r="BF1342" s="26"/>
      <c r="BG1342" s="26"/>
      <c r="BH1342" s="26"/>
      <c r="BI1342" s="26"/>
      <c r="BJ1342" s="26"/>
      <c r="BK1342" s="26"/>
      <c r="BL1342" s="26"/>
      <c r="BS1342" s="20"/>
      <c r="BT1342" s="26"/>
      <c r="BV1342" s="381"/>
      <c r="BW1342" s="229"/>
    </row>
    <row r="1343" spans="33:75" x14ac:dyDescent="0.2">
      <c r="AG1343" s="294"/>
      <c r="AH1343" s="294"/>
      <c r="AI1343" s="294"/>
      <c r="AJ1343" s="26"/>
      <c r="AK1343" s="374"/>
      <c r="AL1343" s="374"/>
      <c r="AO1343" s="294"/>
      <c r="AR1343" s="374"/>
      <c r="AZ1343" s="374"/>
      <c r="BE1343" s="26"/>
      <c r="BF1343" s="26"/>
      <c r="BG1343" s="26"/>
      <c r="BH1343" s="26"/>
      <c r="BI1343" s="26"/>
      <c r="BJ1343" s="26"/>
      <c r="BK1343" s="26"/>
      <c r="BL1343" s="26"/>
      <c r="BS1343" s="20"/>
      <c r="BT1343" s="26"/>
      <c r="BV1343" s="381"/>
      <c r="BW1343" s="229"/>
    </row>
    <row r="1344" spans="33:75" x14ac:dyDescent="0.2">
      <c r="AG1344" s="294"/>
      <c r="AH1344" s="294"/>
      <c r="AI1344" s="294"/>
      <c r="AJ1344" s="26"/>
      <c r="AK1344" s="374"/>
      <c r="AL1344" s="374"/>
      <c r="AO1344" s="294"/>
      <c r="AR1344" s="374"/>
      <c r="AZ1344" s="374"/>
      <c r="BE1344" s="26"/>
      <c r="BF1344" s="26"/>
      <c r="BG1344" s="26"/>
      <c r="BH1344" s="26"/>
      <c r="BI1344" s="26"/>
      <c r="BJ1344" s="26"/>
      <c r="BK1344" s="26"/>
      <c r="BL1344" s="26"/>
      <c r="BS1344" s="20"/>
      <c r="BT1344" s="26"/>
      <c r="BV1344" s="381"/>
      <c r="BW1344" s="229"/>
    </row>
    <row r="1345" spans="33:75" x14ac:dyDescent="0.2">
      <c r="AG1345" s="294"/>
      <c r="AH1345" s="294"/>
      <c r="AI1345" s="294"/>
      <c r="AJ1345" s="26"/>
      <c r="AK1345" s="374"/>
      <c r="AL1345" s="374"/>
      <c r="AO1345" s="294"/>
      <c r="AR1345" s="374"/>
      <c r="AZ1345" s="374"/>
      <c r="BE1345" s="26"/>
      <c r="BF1345" s="26"/>
      <c r="BG1345" s="26"/>
      <c r="BH1345" s="26"/>
      <c r="BI1345" s="26"/>
      <c r="BJ1345" s="26"/>
      <c r="BK1345" s="26"/>
      <c r="BL1345" s="26"/>
      <c r="BS1345" s="20"/>
      <c r="BT1345" s="26"/>
      <c r="BV1345" s="381"/>
      <c r="BW1345" s="229"/>
    </row>
    <row r="1346" spans="33:75" x14ac:dyDescent="0.2">
      <c r="AG1346" s="294"/>
      <c r="AH1346" s="294"/>
      <c r="AI1346" s="294"/>
      <c r="AJ1346" s="26"/>
      <c r="AK1346" s="374"/>
      <c r="AL1346" s="374"/>
      <c r="AO1346" s="294"/>
      <c r="AR1346" s="374"/>
      <c r="AZ1346" s="374"/>
      <c r="BE1346" s="26"/>
      <c r="BF1346" s="26"/>
      <c r="BG1346" s="26"/>
      <c r="BH1346" s="26"/>
      <c r="BI1346" s="26"/>
      <c r="BJ1346" s="26"/>
      <c r="BK1346" s="26"/>
      <c r="BL1346" s="26"/>
      <c r="BS1346" s="20"/>
      <c r="BT1346" s="26"/>
      <c r="BV1346" s="381"/>
      <c r="BW1346" s="229"/>
    </row>
    <row r="1347" spans="33:75" x14ac:dyDescent="0.2">
      <c r="AG1347" s="294"/>
      <c r="AH1347" s="294"/>
      <c r="AI1347" s="294"/>
      <c r="AJ1347" s="26"/>
      <c r="AK1347" s="374"/>
      <c r="AL1347" s="374"/>
      <c r="AO1347" s="294"/>
      <c r="AR1347" s="374"/>
      <c r="AZ1347" s="374"/>
      <c r="BE1347" s="26"/>
      <c r="BF1347" s="26"/>
      <c r="BG1347" s="26"/>
      <c r="BH1347" s="26"/>
      <c r="BI1347" s="26"/>
      <c r="BJ1347" s="26"/>
      <c r="BK1347" s="26"/>
      <c r="BL1347" s="26"/>
      <c r="BS1347" s="20"/>
      <c r="BT1347" s="26"/>
      <c r="BV1347" s="381"/>
      <c r="BW1347" s="229"/>
    </row>
    <row r="1348" spans="33:75" x14ac:dyDescent="0.2">
      <c r="AG1348" s="294"/>
      <c r="AH1348" s="294"/>
      <c r="AI1348" s="294"/>
      <c r="AJ1348" s="26"/>
      <c r="AK1348" s="374"/>
      <c r="AL1348" s="374"/>
      <c r="AO1348" s="294"/>
      <c r="AR1348" s="374"/>
      <c r="AZ1348" s="374"/>
      <c r="BE1348" s="26"/>
      <c r="BF1348" s="26"/>
      <c r="BG1348" s="26"/>
      <c r="BH1348" s="26"/>
      <c r="BI1348" s="26"/>
      <c r="BJ1348" s="26"/>
      <c r="BK1348" s="26"/>
      <c r="BL1348" s="26"/>
      <c r="BS1348" s="20"/>
      <c r="BT1348" s="26"/>
      <c r="BV1348" s="381"/>
      <c r="BW1348" s="229"/>
    </row>
    <row r="1349" spans="33:75" x14ac:dyDescent="0.2">
      <c r="AG1349" s="294"/>
      <c r="AH1349" s="294"/>
      <c r="AI1349" s="294"/>
      <c r="AJ1349" s="26"/>
      <c r="AK1349" s="374"/>
      <c r="AL1349" s="374"/>
      <c r="AO1349" s="294"/>
      <c r="AR1349" s="374"/>
      <c r="AZ1349" s="374"/>
      <c r="BE1349" s="26"/>
      <c r="BF1349" s="26"/>
      <c r="BG1349" s="26"/>
      <c r="BH1349" s="26"/>
      <c r="BI1349" s="26"/>
      <c r="BJ1349" s="26"/>
      <c r="BK1349" s="26"/>
      <c r="BL1349" s="26"/>
      <c r="BS1349" s="20"/>
      <c r="BT1349" s="26"/>
      <c r="BV1349" s="381"/>
      <c r="BW1349" s="229"/>
    </row>
    <row r="1350" spans="33:75" x14ac:dyDescent="0.2">
      <c r="AG1350" s="294"/>
      <c r="AH1350" s="294"/>
      <c r="AI1350" s="294"/>
      <c r="AJ1350" s="26"/>
      <c r="AK1350" s="374"/>
      <c r="AL1350" s="374"/>
      <c r="AO1350" s="294"/>
      <c r="AR1350" s="374"/>
      <c r="AZ1350" s="374"/>
      <c r="BE1350" s="26"/>
      <c r="BF1350" s="26"/>
      <c r="BG1350" s="26"/>
      <c r="BH1350" s="26"/>
      <c r="BI1350" s="26"/>
      <c r="BJ1350" s="26"/>
      <c r="BK1350" s="26"/>
      <c r="BL1350" s="26"/>
      <c r="BS1350" s="20"/>
      <c r="BT1350" s="26"/>
      <c r="BV1350" s="381"/>
      <c r="BW1350" s="229"/>
    </row>
    <row r="1351" spans="33:75" x14ac:dyDescent="0.2">
      <c r="AG1351" s="294"/>
      <c r="AH1351" s="294"/>
      <c r="AI1351" s="294"/>
      <c r="AJ1351" s="26"/>
      <c r="AK1351" s="374"/>
      <c r="AL1351" s="374"/>
      <c r="AO1351" s="294"/>
      <c r="AR1351" s="374"/>
      <c r="AZ1351" s="374"/>
      <c r="BE1351" s="26"/>
      <c r="BF1351" s="26"/>
      <c r="BG1351" s="26"/>
      <c r="BH1351" s="26"/>
      <c r="BI1351" s="26"/>
      <c r="BJ1351" s="26"/>
      <c r="BK1351" s="26"/>
      <c r="BL1351" s="26"/>
      <c r="BS1351" s="20"/>
      <c r="BT1351" s="26"/>
      <c r="BV1351" s="381"/>
      <c r="BW1351" s="229"/>
    </row>
    <row r="1352" spans="33:75" x14ac:dyDescent="0.2">
      <c r="AG1352" s="294"/>
      <c r="AH1352" s="294"/>
      <c r="AI1352" s="294"/>
      <c r="AJ1352" s="26"/>
      <c r="AK1352" s="374"/>
      <c r="AL1352" s="374"/>
      <c r="AO1352" s="294"/>
      <c r="AR1352" s="374"/>
      <c r="AZ1352" s="374"/>
      <c r="BE1352" s="26"/>
      <c r="BF1352" s="26"/>
      <c r="BG1352" s="26"/>
      <c r="BH1352" s="26"/>
      <c r="BI1352" s="26"/>
      <c r="BJ1352" s="26"/>
      <c r="BK1352" s="26"/>
      <c r="BL1352" s="26"/>
      <c r="BS1352" s="20"/>
      <c r="BT1352" s="26"/>
      <c r="BV1352" s="381"/>
      <c r="BW1352" s="229"/>
    </row>
    <row r="1353" spans="33:75" x14ac:dyDescent="0.2">
      <c r="AG1353" s="294"/>
      <c r="AH1353" s="294"/>
      <c r="AI1353" s="294"/>
      <c r="AJ1353" s="26"/>
      <c r="AK1353" s="374"/>
      <c r="AL1353" s="374"/>
      <c r="AO1353" s="294"/>
      <c r="AR1353" s="374"/>
      <c r="AZ1353" s="374"/>
      <c r="BE1353" s="26"/>
      <c r="BF1353" s="26"/>
      <c r="BG1353" s="26"/>
      <c r="BH1353" s="26"/>
      <c r="BI1353" s="26"/>
      <c r="BJ1353" s="26"/>
      <c r="BK1353" s="26"/>
      <c r="BL1353" s="26"/>
      <c r="BS1353" s="20"/>
      <c r="BT1353" s="26"/>
      <c r="BV1353" s="381"/>
      <c r="BW1353" s="229"/>
    </row>
    <row r="1354" spans="33:75" x14ac:dyDescent="0.2">
      <c r="AG1354" s="294"/>
      <c r="AH1354" s="294"/>
      <c r="AI1354" s="294"/>
      <c r="AJ1354" s="26"/>
      <c r="AK1354" s="374"/>
      <c r="AL1354" s="374"/>
      <c r="AO1354" s="294"/>
      <c r="AR1354" s="374"/>
      <c r="AZ1354" s="374"/>
      <c r="BE1354" s="26"/>
      <c r="BF1354" s="26"/>
      <c r="BG1354" s="26"/>
      <c r="BH1354" s="26"/>
      <c r="BI1354" s="26"/>
      <c r="BJ1354" s="26"/>
      <c r="BK1354" s="26"/>
      <c r="BL1354" s="26"/>
      <c r="BS1354" s="20"/>
      <c r="BT1354" s="26"/>
      <c r="BV1354" s="381"/>
      <c r="BW1354" s="229"/>
    </row>
    <row r="1355" spans="33:75" x14ac:dyDescent="0.2">
      <c r="AG1355" s="294"/>
      <c r="AH1355" s="294"/>
      <c r="AI1355" s="294"/>
      <c r="AJ1355" s="26"/>
      <c r="AK1355" s="374"/>
      <c r="AL1355" s="374"/>
      <c r="AO1355" s="294"/>
      <c r="AR1355" s="374"/>
      <c r="AZ1355" s="374"/>
      <c r="BE1355" s="26"/>
      <c r="BF1355" s="26"/>
      <c r="BG1355" s="26"/>
      <c r="BH1355" s="26"/>
      <c r="BI1355" s="26"/>
      <c r="BJ1355" s="26"/>
      <c r="BK1355" s="26"/>
      <c r="BL1355" s="26"/>
      <c r="BS1355" s="20"/>
      <c r="BT1355" s="26"/>
      <c r="BV1355" s="381"/>
      <c r="BW1355" s="229"/>
    </row>
    <row r="1356" spans="33:75" x14ac:dyDescent="0.2">
      <c r="AG1356" s="294"/>
      <c r="AH1356" s="294"/>
      <c r="AI1356" s="294"/>
      <c r="AJ1356" s="26"/>
      <c r="AK1356" s="374"/>
      <c r="AL1356" s="374"/>
      <c r="AO1356" s="294"/>
      <c r="AR1356" s="374"/>
      <c r="AZ1356" s="374"/>
      <c r="BE1356" s="26"/>
      <c r="BF1356" s="26"/>
      <c r="BG1356" s="26"/>
      <c r="BH1356" s="26"/>
      <c r="BI1356" s="26"/>
      <c r="BJ1356" s="26"/>
      <c r="BK1356" s="26"/>
      <c r="BL1356" s="26"/>
      <c r="BS1356" s="20"/>
      <c r="BT1356" s="26"/>
      <c r="BV1356" s="381"/>
      <c r="BW1356" s="229"/>
    </row>
    <row r="1357" spans="33:75" x14ac:dyDescent="0.2">
      <c r="AG1357" s="294"/>
      <c r="AH1357" s="294"/>
      <c r="AI1357" s="294"/>
      <c r="AJ1357" s="26"/>
      <c r="AK1357" s="374"/>
      <c r="AL1357" s="374"/>
      <c r="AO1357" s="294"/>
      <c r="AR1357" s="374"/>
      <c r="AZ1357" s="374"/>
      <c r="BE1357" s="26"/>
      <c r="BF1357" s="26"/>
      <c r="BG1357" s="26"/>
      <c r="BH1357" s="26"/>
      <c r="BI1357" s="26"/>
      <c r="BJ1357" s="26"/>
      <c r="BK1357" s="26"/>
      <c r="BL1357" s="26"/>
      <c r="BS1357" s="20"/>
      <c r="BT1357" s="26"/>
      <c r="BV1357" s="381"/>
      <c r="BW1357" s="229"/>
    </row>
    <row r="1358" spans="33:75" x14ac:dyDescent="0.2">
      <c r="AG1358" s="294"/>
      <c r="AH1358" s="294"/>
      <c r="AI1358" s="294"/>
      <c r="AJ1358" s="26"/>
      <c r="AK1358" s="374"/>
      <c r="AL1358" s="374"/>
      <c r="AO1358" s="294"/>
      <c r="AR1358" s="374"/>
      <c r="AZ1358" s="374"/>
      <c r="BE1358" s="26"/>
      <c r="BF1358" s="26"/>
      <c r="BG1358" s="26"/>
      <c r="BH1358" s="26"/>
      <c r="BI1358" s="26"/>
      <c r="BJ1358" s="26"/>
      <c r="BK1358" s="26"/>
      <c r="BL1358" s="26"/>
      <c r="BS1358" s="20"/>
      <c r="BT1358" s="26"/>
      <c r="BV1358" s="381"/>
      <c r="BW1358" s="229"/>
    </row>
    <row r="1359" spans="33:75" x14ac:dyDescent="0.2">
      <c r="AG1359" s="294"/>
      <c r="AH1359" s="294"/>
      <c r="AI1359" s="294"/>
      <c r="AJ1359" s="26"/>
      <c r="AK1359" s="374"/>
      <c r="AL1359" s="374"/>
      <c r="AO1359" s="294"/>
      <c r="AR1359" s="374"/>
      <c r="AZ1359" s="374"/>
      <c r="BE1359" s="26"/>
      <c r="BF1359" s="26"/>
      <c r="BG1359" s="26"/>
      <c r="BH1359" s="26"/>
      <c r="BI1359" s="26"/>
      <c r="BJ1359" s="26"/>
      <c r="BK1359" s="26"/>
      <c r="BL1359" s="26"/>
      <c r="BS1359" s="20"/>
      <c r="BT1359" s="26"/>
      <c r="BV1359" s="381"/>
      <c r="BW1359" s="229"/>
    </row>
    <row r="1360" spans="33:75" x14ac:dyDescent="0.2">
      <c r="AG1360" s="294"/>
      <c r="AH1360" s="294"/>
      <c r="AI1360" s="294"/>
      <c r="AJ1360" s="26"/>
      <c r="AK1360" s="374"/>
      <c r="AL1360" s="374"/>
      <c r="AO1360" s="294"/>
      <c r="AR1360" s="374"/>
      <c r="AZ1360" s="374"/>
      <c r="BE1360" s="26"/>
      <c r="BF1360" s="26"/>
      <c r="BG1360" s="26"/>
      <c r="BH1360" s="26"/>
      <c r="BI1360" s="26"/>
      <c r="BJ1360" s="26"/>
      <c r="BK1360" s="26"/>
      <c r="BL1360" s="26"/>
      <c r="BS1360" s="20"/>
      <c r="BT1360" s="26"/>
      <c r="BV1360" s="381"/>
      <c r="BW1360" s="229"/>
    </row>
    <row r="1361" spans="33:75" x14ac:dyDescent="0.2">
      <c r="AG1361" s="294"/>
      <c r="AH1361" s="294"/>
      <c r="AI1361" s="294"/>
      <c r="AJ1361" s="26"/>
      <c r="AK1361" s="374"/>
      <c r="AL1361" s="374"/>
      <c r="AO1361" s="294"/>
      <c r="AR1361" s="374"/>
      <c r="AZ1361" s="374"/>
      <c r="BE1361" s="26"/>
      <c r="BF1361" s="26"/>
      <c r="BG1361" s="26"/>
      <c r="BH1361" s="26"/>
      <c r="BI1361" s="26"/>
      <c r="BJ1361" s="26"/>
      <c r="BK1361" s="26"/>
      <c r="BL1361" s="26"/>
      <c r="BS1361" s="20"/>
      <c r="BT1361" s="26"/>
      <c r="BV1361" s="381"/>
      <c r="BW1361" s="229"/>
    </row>
    <row r="1362" spans="33:75" x14ac:dyDescent="0.2">
      <c r="AG1362" s="294"/>
      <c r="AH1362" s="294"/>
      <c r="AI1362" s="294"/>
      <c r="AJ1362" s="26"/>
      <c r="AK1362" s="374"/>
      <c r="AL1362" s="374"/>
      <c r="AO1362" s="294"/>
      <c r="AR1362" s="374"/>
      <c r="AZ1362" s="374"/>
      <c r="BE1362" s="26"/>
      <c r="BF1362" s="26"/>
      <c r="BG1362" s="26"/>
      <c r="BH1362" s="26"/>
      <c r="BI1362" s="26"/>
      <c r="BJ1362" s="26"/>
      <c r="BK1362" s="26"/>
      <c r="BL1362" s="26"/>
      <c r="BS1362" s="20"/>
      <c r="BT1362" s="26"/>
      <c r="BV1362" s="381"/>
      <c r="BW1362" s="229"/>
    </row>
    <row r="1363" spans="33:75" x14ac:dyDescent="0.2">
      <c r="AG1363" s="294"/>
      <c r="AH1363" s="294"/>
      <c r="AI1363" s="294"/>
      <c r="AJ1363" s="26"/>
      <c r="AK1363" s="374"/>
      <c r="AL1363" s="374"/>
      <c r="AO1363" s="294"/>
      <c r="AR1363" s="374"/>
      <c r="AZ1363" s="374"/>
      <c r="BE1363" s="26"/>
      <c r="BF1363" s="26"/>
      <c r="BG1363" s="26"/>
      <c r="BH1363" s="26"/>
      <c r="BI1363" s="26"/>
      <c r="BJ1363" s="26"/>
      <c r="BK1363" s="26"/>
      <c r="BL1363" s="26"/>
      <c r="BS1363" s="20"/>
      <c r="BT1363" s="26"/>
      <c r="BV1363" s="381"/>
      <c r="BW1363" s="229"/>
    </row>
    <row r="1364" spans="33:75" x14ac:dyDescent="0.2">
      <c r="AG1364" s="294"/>
      <c r="AH1364" s="294"/>
      <c r="AI1364" s="294"/>
      <c r="AJ1364" s="26"/>
      <c r="AK1364" s="374"/>
      <c r="AL1364" s="374"/>
      <c r="AO1364" s="294"/>
      <c r="AR1364" s="374"/>
      <c r="AZ1364" s="374"/>
      <c r="BE1364" s="26"/>
      <c r="BF1364" s="26"/>
      <c r="BG1364" s="26"/>
      <c r="BH1364" s="26"/>
      <c r="BI1364" s="26"/>
      <c r="BJ1364" s="26"/>
      <c r="BK1364" s="26"/>
      <c r="BL1364" s="26"/>
      <c r="BS1364" s="20"/>
      <c r="BT1364" s="26"/>
      <c r="BV1364" s="381"/>
      <c r="BW1364" s="229"/>
    </row>
    <row r="1365" spans="33:75" x14ac:dyDescent="0.2">
      <c r="AG1365" s="294"/>
      <c r="AH1365" s="294"/>
      <c r="AI1365" s="294"/>
      <c r="AJ1365" s="26"/>
      <c r="AK1365" s="374"/>
      <c r="AL1365" s="374"/>
      <c r="AO1365" s="294"/>
      <c r="AR1365" s="374"/>
      <c r="AZ1365" s="374"/>
      <c r="BE1365" s="26"/>
      <c r="BF1365" s="26"/>
      <c r="BG1365" s="26"/>
      <c r="BH1365" s="26"/>
      <c r="BI1365" s="26"/>
      <c r="BJ1365" s="26"/>
      <c r="BK1365" s="26"/>
      <c r="BL1365" s="26"/>
      <c r="BS1365" s="20"/>
      <c r="BT1365" s="26"/>
      <c r="BV1365" s="381"/>
      <c r="BW1365" s="229"/>
    </row>
    <row r="1366" spans="33:75" x14ac:dyDescent="0.2">
      <c r="AG1366" s="294"/>
      <c r="AH1366" s="294"/>
      <c r="AI1366" s="294"/>
      <c r="AJ1366" s="26"/>
      <c r="AK1366" s="374"/>
      <c r="AL1366" s="374"/>
      <c r="AO1366" s="294"/>
      <c r="AR1366" s="374"/>
      <c r="AZ1366" s="374"/>
      <c r="BE1366" s="26"/>
      <c r="BF1366" s="26"/>
      <c r="BG1366" s="26"/>
      <c r="BH1366" s="26"/>
      <c r="BI1366" s="26"/>
      <c r="BJ1366" s="26"/>
      <c r="BK1366" s="26"/>
      <c r="BL1366" s="26"/>
      <c r="BS1366" s="20"/>
      <c r="BT1366" s="26"/>
      <c r="BV1366" s="381"/>
      <c r="BW1366" s="229"/>
    </row>
    <row r="1367" spans="33:75" x14ac:dyDescent="0.2">
      <c r="AG1367" s="294"/>
      <c r="AH1367" s="294"/>
      <c r="AI1367" s="294"/>
      <c r="AJ1367" s="26"/>
      <c r="AK1367" s="374"/>
      <c r="AL1367" s="374"/>
      <c r="AO1367" s="294"/>
      <c r="AR1367" s="374"/>
      <c r="AZ1367" s="374"/>
      <c r="BE1367" s="26"/>
      <c r="BF1367" s="26"/>
      <c r="BG1367" s="26"/>
      <c r="BH1367" s="26"/>
      <c r="BI1367" s="26"/>
      <c r="BJ1367" s="26"/>
      <c r="BK1367" s="26"/>
      <c r="BL1367" s="26"/>
      <c r="BS1367" s="20"/>
      <c r="BT1367" s="26"/>
      <c r="BV1367" s="381"/>
      <c r="BW1367" s="229"/>
    </row>
    <row r="1368" spans="33:75" x14ac:dyDescent="0.2">
      <c r="AG1368" s="294"/>
      <c r="AH1368" s="294"/>
      <c r="AI1368" s="294"/>
      <c r="AJ1368" s="26"/>
      <c r="AK1368" s="374"/>
      <c r="AL1368" s="374"/>
      <c r="AO1368" s="294"/>
      <c r="AR1368" s="374"/>
      <c r="AZ1368" s="374"/>
      <c r="BE1368" s="26"/>
      <c r="BF1368" s="26"/>
      <c r="BG1368" s="26"/>
      <c r="BH1368" s="26"/>
      <c r="BI1368" s="26"/>
      <c r="BJ1368" s="26"/>
      <c r="BK1368" s="26"/>
      <c r="BL1368" s="26"/>
      <c r="BS1368" s="20"/>
      <c r="BT1368" s="26"/>
      <c r="BV1368" s="381"/>
      <c r="BW1368" s="229"/>
    </row>
    <row r="1369" spans="33:75" x14ac:dyDescent="0.2">
      <c r="AG1369" s="294"/>
      <c r="AH1369" s="294"/>
      <c r="AI1369" s="294"/>
      <c r="AJ1369" s="26"/>
      <c r="AK1369" s="374"/>
      <c r="AL1369" s="374"/>
      <c r="AO1369" s="294"/>
      <c r="AR1369" s="374"/>
      <c r="AZ1369" s="374"/>
      <c r="BE1369" s="26"/>
      <c r="BF1369" s="26"/>
      <c r="BG1369" s="26"/>
      <c r="BH1369" s="26"/>
      <c r="BI1369" s="26"/>
      <c r="BJ1369" s="26"/>
      <c r="BK1369" s="26"/>
      <c r="BL1369" s="26"/>
      <c r="BS1369" s="20"/>
      <c r="BT1369" s="26"/>
      <c r="BV1369" s="381"/>
      <c r="BW1369" s="229"/>
    </row>
    <row r="1370" spans="33:75" x14ac:dyDescent="0.2">
      <c r="AG1370" s="294"/>
      <c r="AH1370" s="294"/>
      <c r="AI1370" s="294"/>
      <c r="AJ1370" s="26"/>
      <c r="AK1370" s="374"/>
      <c r="AL1370" s="374"/>
      <c r="AO1370" s="294"/>
      <c r="AR1370" s="374"/>
      <c r="AZ1370" s="374"/>
      <c r="BE1370" s="26"/>
      <c r="BF1370" s="26"/>
      <c r="BG1370" s="26"/>
      <c r="BH1370" s="26"/>
      <c r="BI1370" s="26"/>
      <c r="BJ1370" s="26"/>
      <c r="BK1370" s="26"/>
      <c r="BL1370" s="26"/>
      <c r="BS1370" s="20"/>
      <c r="BT1370" s="26"/>
      <c r="BV1370" s="381"/>
      <c r="BW1370" s="229"/>
    </row>
    <row r="1371" spans="33:75" x14ac:dyDescent="0.2">
      <c r="AG1371" s="294"/>
      <c r="AH1371" s="294"/>
      <c r="AI1371" s="294"/>
      <c r="AJ1371" s="26"/>
      <c r="AK1371" s="374"/>
      <c r="AL1371" s="374"/>
      <c r="AO1371" s="294"/>
      <c r="AR1371" s="374"/>
      <c r="AZ1371" s="374"/>
      <c r="BE1371" s="26"/>
      <c r="BF1371" s="26"/>
      <c r="BG1371" s="26"/>
      <c r="BH1371" s="26"/>
      <c r="BI1371" s="26"/>
      <c r="BJ1371" s="26"/>
      <c r="BK1371" s="26"/>
      <c r="BL1371" s="26"/>
      <c r="BS1371" s="20"/>
      <c r="BT1371" s="26"/>
      <c r="BV1371" s="381"/>
      <c r="BW1371" s="229"/>
    </row>
    <row r="1372" spans="33:75" x14ac:dyDescent="0.2">
      <c r="AG1372" s="294"/>
      <c r="AH1372" s="294"/>
      <c r="AI1372" s="294"/>
      <c r="AJ1372" s="26"/>
      <c r="AK1372" s="374"/>
      <c r="AL1372" s="374"/>
      <c r="AO1372" s="294"/>
      <c r="AR1372" s="374"/>
      <c r="AZ1372" s="374"/>
      <c r="BE1372" s="26"/>
      <c r="BF1372" s="26"/>
      <c r="BG1372" s="26"/>
      <c r="BH1372" s="26"/>
      <c r="BI1372" s="26"/>
      <c r="BJ1372" s="26"/>
      <c r="BK1372" s="26"/>
      <c r="BL1372" s="26"/>
      <c r="BS1372" s="20"/>
      <c r="BT1372" s="26"/>
      <c r="BV1372" s="381"/>
      <c r="BW1372" s="229"/>
    </row>
    <row r="1373" spans="33:75" x14ac:dyDescent="0.2">
      <c r="AG1373" s="294"/>
      <c r="AH1373" s="294"/>
      <c r="AI1373" s="294"/>
      <c r="AJ1373" s="26"/>
      <c r="AK1373" s="374"/>
      <c r="AL1373" s="374"/>
      <c r="AO1373" s="294"/>
      <c r="AR1373" s="374"/>
      <c r="AZ1373" s="374"/>
      <c r="BE1373" s="26"/>
      <c r="BF1373" s="26"/>
      <c r="BG1373" s="26"/>
      <c r="BH1373" s="26"/>
      <c r="BI1373" s="26"/>
      <c r="BJ1373" s="26"/>
      <c r="BK1373" s="26"/>
      <c r="BL1373" s="26"/>
      <c r="BS1373" s="20"/>
      <c r="BT1373" s="26"/>
      <c r="BV1373" s="381"/>
      <c r="BW1373" s="229"/>
    </row>
    <row r="1374" spans="33:75" x14ac:dyDescent="0.2">
      <c r="AG1374" s="294"/>
      <c r="AH1374" s="294"/>
      <c r="AI1374" s="294"/>
      <c r="AJ1374" s="26"/>
      <c r="AK1374" s="374"/>
      <c r="AL1374" s="374"/>
      <c r="AO1374" s="294"/>
      <c r="AR1374" s="374"/>
      <c r="AZ1374" s="374"/>
      <c r="BE1374" s="26"/>
      <c r="BF1374" s="26"/>
      <c r="BG1374" s="26"/>
      <c r="BH1374" s="26"/>
      <c r="BI1374" s="26"/>
      <c r="BJ1374" s="26"/>
      <c r="BK1374" s="26"/>
      <c r="BL1374" s="26"/>
      <c r="BS1374" s="20"/>
      <c r="BT1374" s="26"/>
      <c r="BV1374" s="381"/>
      <c r="BW1374" s="229"/>
    </row>
    <row r="1375" spans="33:75" x14ac:dyDescent="0.2">
      <c r="AG1375" s="294"/>
      <c r="AH1375" s="294"/>
      <c r="AI1375" s="294"/>
      <c r="AJ1375" s="26"/>
      <c r="AK1375" s="374"/>
      <c r="AL1375" s="374"/>
      <c r="AO1375" s="294"/>
      <c r="AR1375" s="374"/>
      <c r="AZ1375" s="374"/>
      <c r="BE1375" s="26"/>
      <c r="BF1375" s="26"/>
      <c r="BG1375" s="26"/>
      <c r="BH1375" s="26"/>
      <c r="BI1375" s="26"/>
      <c r="BJ1375" s="26"/>
      <c r="BK1375" s="26"/>
      <c r="BL1375" s="26"/>
      <c r="BS1375" s="20"/>
      <c r="BT1375" s="26"/>
      <c r="BV1375" s="381"/>
      <c r="BW1375" s="229"/>
    </row>
    <row r="1376" spans="33:75" x14ac:dyDescent="0.2">
      <c r="AG1376" s="294"/>
      <c r="AH1376" s="294"/>
      <c r="AI1376" s="294"/>
      <c r="AJ1376" s="26"/>
      <c r="AK1376" s="374"/>
      <c r="AL1376" s="374"/>
      <c r="AO1376" s="294"/>
      <c r="AR1376" s="374"/>
      <c r="AZ1376" s="374"/>
      <c r="BE1376" s="26"/>
      <c r="BF1376" s="26"/>
      <c r="BG1376" s="26"/>
      <c r="BH1376" s="26"/>
      <c r="BI1376" s="26"/>
      <c r="BJ1376" s="26"/>
      <c r="BK1376" s="26"/>
      <c r="BL1376" s="26"/>
      <c r="BS1376" s="20"/>
      <c r="BT1376" s="26"/>
      <c r="BV1376" s="381"/>
      <c r="BW1376" s="229"/>
    </row>
    <row r="1377" spans="33:75" x14ac:dyDescent="0.2">
      <c r="AG1377" s="294"/>
      <c r="AH1377" s="294"/>
      <c r="AI1377" s="294"/>
      <c r="AJ1377" s="26"/>
      <c r="AK1377" s="374"/>
      <c r="AL1377" s="374"/>
      <c r="AO1377" s="294"/>
      <c r="AR1377" s="374"/>
      <c r="AZ1377" s="374"/>
      <c r="BE1377" s="26"/>
      <c r="BF1377" s="26"/>
      <c r="BG1377" s="26"/>
      <c r="BH1377" s="26"/>
      <c r="BI1377" s="26"/>
      <c r="BJ1377" s="26"/>
      <c r="BK1377" s="26"/>
      <c r="BL1377" s="26"/>
      <c r="BS1377" s="20"/>
      <c r="BT1377" s="26"/>
      <c r="BV1377" s="381"/>
      <c r="BW1377" s="229"/>
    </row>
    <row r="1378" spans="33:75" x14ac:dyDescent="0.2">
      <c r="AG1378" s="294"/>
      <c r="AH1378" s="294"/>
      <c r="AI1378" s="294"/>
      <c r="AJ1378" s="26"/>
      <c r="AK1378" s="374"/>
      <c r="AL1378" s="374"/>
      <c r="AO1378" s="294"/>
      <c r="AR1378" s="374"/>
      <c r="AZ1378" s="374"/>
      <c r="BE1378" s="26"/>
      <c r="BF1378" s="26"/>
      <c r="BG1378" s="26"/>
      <c r="BH1378" s="26"/>
      <c r="BI1378" s="26"/>
      <c r="BJ1378" s="26"/>
      <c r="BK1378" s="26"/>
      <c r="BL1378" s="26"/>
      <c r="BS1378" s="20"/>
      <c r="BT1378" s="26"/>
      <c r="BV1378" s="381"/>
      <c r="BW1378" s="229"/>
    </row>
    <row r="1379" spans="33:75" x14ac:dyDescent="0.2">
      <c r="AG1379" s="294"/>
      <c r="AH1379" s="294"/>
      <c r="AI1379" s="294"/>
      <c r="AJ1379" s="26"/>
      <c r="AK1379" s="374"/>
      <c r="AL1379" s="374"/>
      <c r="AO1379" s="294"/>
      <c r="AR1379" s="374"/>
      <c r="AZ1379" s="374"/>
      <c r="BE1379" s="26"/>
      <c r="BF1379" s="26"/>
      <c r="BG1379" s="26"/>
      <c r="BH1379" s="26"/>
      <c r="BI1379" s="26"/>
      <c r="BJ1379" s="26"/>
      <c r="BK1379" s="26"/>
      <c r="BL1379" s="26"/>
      <c r="BS1379" s="20"/>
      <c r="BT1379" s="26"/>
      <c r="BV1379" s="381"/>
      <c r="BW1379" s="229"/>
    </row>
    <row r="1380" spans="33:75" x14ac:dyDescent="0.2">
      <c r="AG1380" s="294"/>
      <c r="AH1380" s="294"/>
      <c r="AI1380" s="294"/>
      <c r="AJ1380" s="26"/>
      <c r="AK1380" s="374"/>
      <c r="AL1380" s="374"/>
      <c r="AO1380" s="294"/>
      <c r="AR1380" s="374"/>
      <c r="AZ1380" s="374"/>
      <c r="BE1380" s="26"/>
      <c r="BF1380" s="26"/>
      <c r="BG1380" s="26"/>
      <c r="BH1380" s="26"/>
      <c r="BI1380" s="26"/>
      <c r="BJ1380" s="26"/>
      <c r="BK1380" s="26"/>
      <c r="BL1380" s="26"/>
      <c r="BS1380" s="20"/>
      <c r="BT1380" s="26"/>
      <c r="BV1380" s="381"/>
      <c r="BW1380" s="229"/>
    </row>
    <row r="1381" spans="33:75" x14ac:dyDescent="0.2">
      <c r="AG1381" s="294"/>
      <c r="AH1381" s="294"/>
      <c r="AI1381" s="294"/>
      <c r="AJ1381" s="26"/>
      <c r="AK1381" s="374"/>
      <c r="AL1381" s="374"/>
      <c r="AO1381" s="294"/>
      <c r="AR1381" s="374"/>
      <c r="AZ1381" s="374"/>
      <c r="BE1381" s="26"/>
      <c r="BF1381" s="26"/>
      <c r="BG1381" s="26"/>
      <c r="BH1381" s="26"/>
      <c r="BI1381" s="26"/>
      <c r="BJ1381" s="26"/>
      <c r="BK1381" s="26"/>
      <c r="BL1381" s="26"/>
      <c r="BS1381" s="20"/>
      <c r="BT1381" s="26"/>
      <c r="BV1381" s="381"/>
      <c r="BW1381" s="229"/>
    </row>
    <row r="1382" spans="33:75" x14ac:dyDescent="0.2">
      <c r="AG1382" s="294"/>
      <c r="AH1382" s="294"/>
      <c r="AI1382" s="294"/>
      <c r="AJ1382" s="26"/>
      <c r="AK1382" s="374"/>
      <c r="AL1382" s="374"/>
      <c r="AO1382" s="294"/>
      <c r="AR1382" s="374"/>
      <c r="AZ1382" s="374"/>
      <c r="BE1382" s="26"/>
      <c r="BF1382" s="26"/>
      <c r="BG1382" s="26"/>
      <c r="BH1382" s="26"/>
      <c r="BI1382" s="26"/>
      <c r="BJ1382" s="26"/>
      <c r="BK1382" s="26"/>
      <c r="BL1382" s="26"/>
      <c r="BS1382" s="20"/>
      <c r="BT1382" s="26"/>
      <c r="BV1382" s="381"/>
      <c r="BW1382" s="229"/>
    </row>
    <row r="1383" spans="33:75" x14ac:dyDescent="0.2">
      <c r="AG1383" s="294"/>
      <c r="AH1383" s="294"/>
      <c r="AI1383" s="294"/>
      <c r="AJ1383" s="26"/>
      <c r="AK1383" s="374"/>
      <c r="AL1383" s="374"/>
      <c r="AO1383" s="294"/>
      <c r="AR1383" s="374"/>
      <c r="AZ1383" s="374"/>
      <c r="BE1383" s="26"/>
      <c r="BF1383" s="26"/>
      <c r="BG1383" s="26"/>
      <c r="BH1383" s="26"/>
      <c r="BI1383" s="26"/>
      <c r="BJ1383" s="26"/>
      <c r="BK1383" s="26"/>
      <c r="BL1383" s="26"/>
      <c r="BS1383" s="20"/>
      <c r="BT1383" s="26"/>
      <c r="BV1383" s="381"/>
      <c r="BW1383" s="229"/>
    </row>
    <row r="1384" spans="33:75" x14ac:dyDescent="0.2">
      <c r="AG1384" s="294"/>
      <c r="AH1384" s="294"/>
      <c r="AI1384" s="294"/>
      <c r="AJ1384" s="26"/>
      <c r="AK1384" s="374"/>
      <c r="AL1384" s="374"/>
      <c r="AO1384" s="294"/>
      <c r="AR1384" s="374"/>
      <c r="AZ1384" s="374"/>
      <c r="BE1384" s="26"/>
      <c r="BF1384" s="26"/>
      <c r="BG1384" s="26"/>
      <c r="BH1384" s="26"/>
      <c r="BI1384" s="26"/>
      <c r="BJ1384" s="26"/>
      <c r="BK1384" s="26"/>
      <c r="BL1384" s="26"/>
      <c r="BS1384" s="20"/>
      <c r="BT1384" s="26"/>
      <c r="BV1384" s="381"/>
      <c r="BW1384" s="229"/>
    </row>
    <row r="1385" spans="33:75" x14ac:dyDescent="0.2">
      <c r="AG1385" s="294"/>
      <c r="AH1385" s="294"/>
      <c r="AI1385" s="294"/>
      <c r="AJ1385" s="26"/>
      <c r="AK1385" s="374"/>
      <c r="AL1385" s="374"/>
      <c r="AO1385" s="294"/>
      <c r="AR1385" s="374"/>
      <c r="AZ1385" s="374"/>
      <c r="BE1385" s="26"/>
      <c r="BF1385" s="26"/>
      <c r="BG1385" s="26"/>
      <c r="BH1385" s="26"/>
      <c r="BI1385" s="26"/>
      <c r="BJ1385" s="26"/>
      <c r="BK1385" s="26"/>
      <c r="BL1385" s="26"/>
      <c r="BS1385" s="20"/>
      <c r="BT1385" s="26"/>
      <c r="BV1385" s="381"/>
      <c r="BW1385" s="229"/>
    </row>
    <row r="1386" spans="33:75" x14ac:dyDescent="0.2">
      <c r="AG1386" s="294"/>
      <c r="AH1386" s="294"/>
      <c r="AI1386" s="294"/>
      <c r="AJ1386" s="26"/>
      <c r="AK1386" s="374"/>
      <c r="AL1386" s="374"/>
      <c r="AO1386" s="294"/>
      <c r="AR1386" s="374"/>
      <c r="AZ1386" s="374"/>
      <c r="BE1386" s="26"/>
      <c r="BF1386" s="26"/>
      <c r="BG1386" s="26"/>
      <c r="BH1386" s="26"/>
      <c r="BI1386" s="26"/>
      <c r="BJ1386" s="26"/>
      <c r="BK1386" s="26"/>
      <c r="BL1386" s="26"/>
      <c r="BS1386" s="20"/>
      <c r="BT1386" s="26"/>
      <c r="BV1386" s="381"/>
      <c r="BW1386" s="229"/>
    </row>
    <row r="1387" spans="33:75" x14ac:dyDescent="0.2">
      <c r="AG1387" s="294"/>
      <c r="AH1387" s="294"/>
      <c r="AI1387" s="294"/>
      <c r="AJ1387" s="26"/>
      <c r="AK1387" s="374"/>
      <c r="AL1387" s="374"/>
      <c r="AO1387" s="294"/>
      <c r="AR1387" s="374"/>
      <c r="AZ1387" s="374"/>
      <c r="BE1387" s="26"/>
      <c r="BF1387" s="26"/>
      <c r="BG1387" s="26"/>
      <c r="BH1387" s="26"/>
      <c r="BI1387" s="26"/>
      <c r="BJ1387" s="26"/>
      <c r="BK1387" s="26"/>
      <c r="BL1387" s="26"/>
      <c r="BS1387" s="20"/>
      <c r="BT1387" s="26"/>
      <c r="BV1387" s="381"/>
      <c r="BW1387" s="229"/>
    </row>
    <row r="1388" spans="33:75" x14ac:dyDescent="0.2">
      <c r="AG1388" s="294"/>
      <c r="AH1388" s="294"/>
      <c r="AI1388" s="294"/>
      <c r="AJ1388" s="26"/>
      <c r="AK1388" s="374"/>
      <c r="AL1388" s="374"/>
      <c r="AO1388" s="294"/>
      <c r="AR1388" s="374"/>
      <c r="AZ1388" s="374"/>
      <c r="BE1388" s="26"/>
      <c r="BF1388" s="26"/>
      <c r="BG1388" s="26"/>
      <c r="BH1388" s="26"/>
      <c r="BI1388" s="26"/>
      <c r="BJ1388" s="26"/>
      <c r="BK1388" s="26"/>
      <c r="BL1388" s="26"/>
      <c r="BS1388" s="20"/>
      <c r="BT1388" s="26"/>
      <c r="BV1388" s="381"/>
      <c r="BW1388" s="229"/>
    </row>
    <row r="1389" spans="33:75" x14ac:dyDescent="0.2">
      <c r="AG1389" s="294"/>
      <c r="AH1389" s="294"/>
      <c r="AI1389" s="294"/>
      <c r="AJ1389" s="26"/>
      <c r="AK1389" s="374"/>
      <c r="AL1389" s="374"/>
      <c r="AO1389" s="294"/>
      <c r="AR1389" s="374"/>
      <c r="AZ1389" s="374"/>
      <c r="BE1389" s="26"/>
      <c r="BF1389" s="26"/>
      <c r="BG1389" s="26"/>
      <c r="BH1389" s="26"/>
      <c r="BI1389" s="26"/>
      <c r="BJ1389" s="26"/>
      <c r="BK1389" s="26"/>
      <c r="BL1389" s="26"/>
      <c r="BS1389" s="20"/>
      <c r="BT1389" s="26"/>
      <c r="BV1389" s="381"/>
      <c r="BW1389" s="229"/>
    </row>
    <row r="1390" spans="33:75" x14ac:dyDescent="0.2">
      <c r="AG1390" s="294"/>
      <c r="AH1390" s="294"/>
      <c r="AI1390" s="294"/>
      <c r="AJ1390" s="26"/>
      <c r="AK1390" s="374"/>
      <c r="AL1390" s="374"/>
      <c r="AO1390" s="294"/>
      <c r="AR1390" s="374"/>
      <c r="AZ1390" s="374"/>
      <c r="BE1390" s="26"/>
      <c r="BF1390" s="26"/>
      <c r="BG1390" s="26"/>
      <c r="BH1390" s="26"/>
      <c r="BI1390" s="26"/>
      <c r="BJ1390" s="26"/>
      <c r="BK1390" s="26"/>
      <c r="BL1390" s="26"/>
      <c r="BS1390" s="20"/>
      <c r="BT1390" s="26"/>
      <c r="BV1390" s="381"/>
      <c r="BW1390" s="229"/>
    </row>
    <row r="1391" spans="33:75" x14ac:dyDescent="0.2">
      <c r="AG1391" s="294"/>
      <c r="AH1391" s="294"/>
      <c r="AI1391" s="294"/>
      <c r="AJ1391" s="26"/>
      <c r="AK1391" s="374"/>
      <c r="AL1391" s="374"/>
      <c r="AO1391" s="294"/>
      <c r="AR1391" s="374"/>
      <c r="AZ1391" s="374"/>
      <c r="BE1391" s="26"/>
      <c r="BF1391" s="26"/>
      <c r="BG1391" s="26"/>
      <c r="BH1391" s="26"/>
      <c r="BI1391" s="26"/>
      <c r="BJ1391" s="26"/>
      <c r="BK1391" s="26"/>
      <c r="BL1391" s="26"/>
      <c r="BS1391" s="20"/>
      <c r="BT1391" s="26"/>
      <c r="BV1391" s="381"/>
      <c r="BW1391" s="229"/>
    </row>
    <row r="1392" spans="33:75" x14ac:dyDescent="0.2">
      <c r="AG1392" s="294"/>
      <c r="AH1392" s="294"/>
      <c r="AI1392" s="294"/>
      <c r="AJ1392" s="26"/>
      <c r="AK1392" s="374"/>
      <c r="AL1392" s="374"/>
      <c r="AO1392" s="294"/>
      <c r="AR1392" s="374"/>
      <c r="AZ1392" s="374"/>
      <c r="BE1392" s="26"/>
      <c r="BF1392" s="26"/>
      <c r="BG1392" s="26"/>
      <c r="BH1392" s="26"/>
      <c r="BI1392" s="26"/>
      <c r="BJ1392" s="26"/>
      <c r="BK1392" s="26"/>
      <c r="BL1392" s="26"/>
      <c r="BS1392" s="20"/>
      <c r="BT1392" s="26"/>
      <c r="BV1392" s="381"/>
      <c r="BW1392" s="229"/>
    </row>
    <row r="1393" spans="33:75" x14ac:dyDescent="0.2">
      <c r="AG1393" s="294"/>
      <c r="AH1393" s="294"/>
      <c r="AI1393" s="294"/>
      <c r="AJ1393" s="26"/>
      <c r="AK1393" s="374"/>
      <c r="AL1393" s="374"/>
      <c r="AO1393" s="294"/>
      <c r="AR1393" s="374"/>
      <c r="AZ1393" s="374"/>
      <c r="BE1393" s="26"/>
      <c r="BF1393" s="26"/>
      <c r="BG1393" s="26"/>
      <c r="BH1393" s="26"/>
      <c r="BI1393" s="26"/>
      <c r="BJ1393" s="26"/>
      <c r="BK1393" s="26"/>
      <c r="BL1393" s="26"/>
      <c r="BS1393" s="20"/>
      <c r="BT1393" s="26"/>
      <c r="BV1393" s="381"/>
      <c r="BW1393" s="229"/>
    </row>
    <row r="1394" spans="33:75" x14ac:dyDescent="0.2">
      <c r="AG1394" s="294"/>
      <c r="AH1394" s="294"/>
      <c r="AI1394" s="294"/>
      <c r="AJ1394" s="26"/>
      <c r="AK1394" s="374"/>
      <c r="AL1394" s="374"/>
      <c r="AO1394" s="294"/>
      <c r="AR1394" s="374"/>
      <c r="AZ1394" s="374"/>
      <c r="BE1394" s="26"/>
      <c r="BF1394" s="26"/>
      <c r="BG1394" s="26"/>
      <c r="BH1394" s="26"/>
      <c r="BI1394" s="26"/>
      <c r="BJ1394" s="26"/>
      <c r="BK1394" s="26"/>
      <c r="BL1394" s="26"/>
      <c r="BS1394" s="20"/>
      <c r="BT1394" s="26"/>
      <c r="BV1394" s="381"/>
      <c r="BW1394" s="229"/>
    </row>
    <row r="1395" spans="33:75" x14ac:dyDescent="0.2">
      <c r="AG1395" s="294"/>
      <c r="AH1395" s="294"/>
      <c r="AI1395" s="294"/>
      <c r="AJ1395" s="26"/>
      <c r="AK1395" s="374"/>
      <c r="AL1395" s="374"/>
      <c r="AO1395" s="294"/>
      <c r="AR1395" s="374"/>
      <c r="AZ1395" s="374"/>
      <c r="BE1395" s="26"/>
      <c r="BF1395" s="26"/>
      <c r="BG1395" s="26"/>
      <c r="BH1395" s="26"/>
      <c r="BI1395" s="26"/>
      <c r="BJ1395" s="26"/>
      <c r="BK1395" s="26"/>
      <c r="BL1395" s="26"/>
      <c r="BS1395" s="20"/>
      <c r="BT1395" s="26"/>
      <c r="BV1395" s="381"/>
      <c r="BW1395" s="229"/>
    </row>
    <row r="1396" spans="33:75" x14ac:dyDescent="0.2">
      <c r="AG1396" s="294"/>
      <c r="AH1396" s="294"/>
      <c r="AI1396" s="294"/>
      <c r="AJ1396" s="26"/>
      <c r="AK1396" s="374"/>
      <c r="AL1396" s="374"/>
      <c r="AO1396" s="294"/>
      <c r="AR1396" s="374"/>
      <c r="AZ1396" s="374"/>
      <c r="BE1396" s="26"/>
      <c r="BF1396" s="26"/>
      <c r="BG1396" s="26"/>
      <c r="BH1396" s="26"/>
      <c r="BI1396" s="26"/>
      <c r="BJ1396" s="26"/>
      <c r="BK1396" s="26"/>
      <c r="BL1396" s="26"/>
      <c r="BS1396" s="20"/>
      <c r="BT1396" s="26"/>
      <c r="BV1396" s="381"/>
      <c r="BW1396" s="229"/>
    </row>
    <row r="1397" spans="33:75" x14ac:dyDescent="0.2">
      <c r="AG1397" s="294"/>
      <c r="AH1397" s="294"/>
      <c r="AI1397" s="294"/>
      <c r="AJ1397" s="26"/>
      <c r="AK1397" s="374"/>
      <c r="AL1397" s="374"/>
      <c r="AO1397" s="294"/>
      <c r="AR1397" s="374"/>
      <c r="AZ1397" s="374"/>
      <c r="BE1397" s="26"/>
      <c r="BF1397" s="26"/>
      <c r="BG1397" s="26"/>
      <c r="BH1397" s="26"/>
      <c r="BI1397" s="26"/>
      <c r="BJ1397" s="26"/>
      <c r="BK1397" s="26"/>
      <c r="BL1397" s="26"/>
      <c r="BS1397" s="20"/>
      <c r="BT1397" s="26"/>
      <c r="BV1397" s="381"/>
      <c r="BW1397" s="229"/>
    </row>
    <row r="1398" spans="33:75" x14ac:dyDescent="0.2">
      <c r="AG1398" s="294"/>
      <c r="AH1398" s="294"/>
      <c r="AI1398" s="294"/>
      <c r="AJ1398" s="26"/>
      <c r="AK1398" s="374"/>
      <c r="AL1398" s="374"/>
      <c r="AO1398" s="294"/>
      <c r="AR1398" s="374"/>
      <c r="AZ1398" s="374"/>
      <c r="BE1398" s="26"/>
      <c r="BF1398" s="26"/>
      <c r="BG1398" s="26"/>
      <c r="BH1398" s="26"/>
      <c r="BI1398" s="26"/>
      <c r="BJ1398" s="26"/>
      <c r="BK1398" s="26"/>
      <c r="BL1398" s="26"/>
      <c r="BS1398" s="20"/>
      <c r="BT1398" s="26"/>
      <c r="BV1398" s="381"/>
      <c r="BW1398" s="229"/>
    </row>
    <row r="1399" spans="33:75" x14ac:dyDescent="0.2">
      <c r="AG1399" s="294"/>
      <c r="AH1399" s="294"/>
      <c r="AI1399" s="294"/>
      <c r="AJ1399" s="26"/>
      <c r="AK1399" s="374"/>
      <c r="AL1399" s="374"/>
      <c r="AO1399" s="294"/>
      <c r="AR1399" s="374"/>
      <c r="AZ1399" s="374"/>
      <c r="BE1399" s="26"/>
      <c r="BF1399" s="26"/>
      <c r="BG1399" s="26"/>
      <c r="BH1399" s="26"/>
      <c r="BI1399" s="26"/>
      <c r="BJ1399" s="26"/>
      <c r="BK1399" s="26"/>
      <c r="BL1399" s="26"/>
      <c r="BS1399" s="20"/>
      <c r="BT1399" s="26"/>
      <c r="BV1399" s="381"/>
      <c r="BW1399" s="229"/>
    </row>
    <row r="1400" spans="33:75" x14ac:dyDescent="0.2">
      <c r="AG1400" s="294"/>
      <c r="AH1400" s="294"/>
      <c r="AI1400" s="294"/>
      <c r="AJ1400" s="26"/>
      <c r="AK1400" s="374"/>
      <c r="AL1400" s="374"/>
      <c r="AO1400" s="294"/>
      <c r="AR1400" s="374"/>
      <c r="AZ1400" s="374"/>
      <c r="BE1400" s="26"/>
      <c r="BF1400" s="26"/>
      <c r="BG1400" s="26"/>
      <c r="BH1400" s="26"/>
      <c r="BI1400" s="26"/>
      <c r="BJ1400" s="26"/>
      <c r="BK1400" s="26"/>
      <c r="BL1400" s="26"/>
      <c r="BS1400" s="20"/>
      <c r="BT1400" s="26"/>
      <c r="BV1400" s="381"/>
      <c r="BW1400" s="229"/>
    </row>
    <row r="1401" spans="33:75" x14ac:dyDescent="0.2">
      <c r="AG1401" s="294"/>
      <c r="AH1401" s="294"/>
      <c r="AI1401" s="294"/>
      <c r="AJ1401" s="26"/>
      <c r="AK1401" s="374"/>
      <c r="AL1401" s="374"/>
      <c r="AO1401" s="294"/>
      <c r="AR1401" s="374"/>
      <c r="AZ1401" s="374"/>
      <c r="BE1401" s="26"/>
      <c r="BF1401" s="26"/>
      <c r="BG1401" s="26"/>
      <c r="BH1401" s="26"/>
      <c r="BI1401" s="26"/>
      <c r="BJ1401" s="26"/>
      <c r="BK1401" s="26"/>
      <c r="BL1401" s="26"/>
      <c r="BS1401" s="20"/>
      <c r="BT1401" s="26"/>
      <c r="BV1401" s="381"/>
      <c r="BW1401" s="229"/>
    </row>
    <row r="1402" spans="33:75" x14ac:dyDescent="0.2">
      <c r="AG1402" s="294"/>
      <c r="AH1402" s="294"/>
      <c r="AI1402" s="294"/>
      <c r="AJ1402" s="26"/>
      <c r="AK1402" s="374"/>
      <c r="AL1402" s="374"/>
      <c r="AO1402" s="294"/>
      <c r="AR1402" s="374"/>
      <c r="AZ1402" s="374"/>
      <c r="BE1402" s="26"/>
      <c r="BF1402" s="26"/>
      <c r="BG1402" s="26"/>
      <c r="BH1402" s="26"/>
      <c r="BI1402" s="26"/>
      <c r="BJ1402" s="26"/>
      <c r="BK1402" s="26"/>
      <c r="BL1402" s="26"/>
      <c r="BS1402" s="20"/>
      <c r="BT1402" s="26"/>
      <c r="BV1402" s="381"/>
      <c r="BW1402" s="229"/>
    </row>
    <row r="1403" spans="33:75" x14ac:dyDescent="0.2">
      <c r="AG1403" s="294"/>
      <c r="AH1403" s="294"/>
      <c r="AI1403" s="294"/>
      <c r="AJ1403" s="26"/>
      <c r="AK1403" s="374"/>
      <c r="AL1403" s="374"/>
      <c r="AO1403" s="294"/>
      <c r="AR1403" s="374"/>
      <c r="AZ1403" s="374"/>
      <c r="BE1403" s="26"/>
      <c r="BF1403" s="26"/>
      <c r="BG1403" s="26"/>
      <c r="BH1403" s="26"/>
      <c r="BI1403" s="26"/>
      <c r="BJ1403" s="26"/>
      <c r="BK1403" s="26"/>
      <c r="BL1403" s="26"/>
      <c r="BS1403" s="20"/>
      <c r="BT1403" s="26"/>
      <c r="BV1403" s="381"/>
      <c r="BW1403" s="229"/>
    </row>
    <row r="1404" spans="33:75" x14ac:dyDescent="0.2">
      <c r="AG1404" s="294"/>
      <c r="AH1404" s="294"/>
      <c r="AI1404" s="294"/>
      <c r="AJ1404" s="26"/>
      <c r="AK1404" s="374"/>
      <c r="AL1404" s="374"/>
      <c r="AO1404" s="294"/>
      <c r="AR1404" s="374"/>
      <c r="AZ1404" s="374"/>
      <c r="BE1404" s="26"/>
      <c r="BF1404" s="26"/>
      <c r="BG1404" s="26"/>
      <c r="BH1404" s="26"/>
      <c r="BI1404" s="26"/>
      <c r="BJ1404" s="26"/>
      <c r="BK1404" s="26"/>
      <c r="BL1404" s="26"/>
      <c r="BS1404" s="20"/>
      <c r="BT1404" s="26"/>
      <c r="BV1404" s="381"/>
      <c r="BW1404" s="229"/>
    </row>
    <row r="1405" spans="33:75" x14ac:dyDescent="0.2">
      <c r="AG1405" s="294"/>
      <c r="AH1405" s="294"/>
      <c r="AI1405" s="294"/>
      <c r="AJ1405" s="26"/>
      <c r="AK1405" s="374"/>
      <c r="AL1405" s="374"/>
      <c r="AO1405" s="294"/>
      <c r="AR1405" s="374"/>
      <c r="AZ1405" s="374"/>
      <c r="BE1405" s="26"/>
      <c r="BF1405" s="26"/>
      <c r="BG1405" s="26"/>
      <c r="BH1405" s="26"/>
      <c r="BI1405" s="26"/>
      <c r="BJ1405" s="26"/>
      <c r="BK1405" s="26"/>
      <c r="BL1405" s="26"/>
      <c r="BS1405" s="20"/>
      <c r="BT1405" s="26"/>
      <c r="BV1405" s="381"/>
      <c r="BW1405" s="229"/>
    </row>
    <row r="1406" spans="33:75" x14ac:dyDescent="0.2">
      <c r="AG1406" s="294"/>
      <c r="AH1406" s="294"/>
      <c r="AI1406" s="294"/>
      <c r="AJ1406" s="26"/>
      <c r="AK1406" s="374"/>
      <c r="AL1406" s="374"/>
      <c r="AO1406" s="294"/>
      <c r="AR1406" s="374"/>
      <c r="AZ1406" s="374"/>
      <c r="BE1406" s="26"/>
      <c r="BF1406" s="26"/>
      <c r="BG1406" s="26"/>
      <c r="BH1406" s="26"/>
      <c r="BI1406" s="26"/>
      <c r="BJ1406" s="26"/>
      <c r="BK1406" s="26"/>
      <c r="BL1406" s="26"/>
      <c r="BS1406" s="20"/>
      <c r="BT1406" s="26"/>
      <c r="BV1406" s="381"/>
      <c r="BW1406" s="229"/>
    </row>
    <row r="1407" spans="33:75" x14ac:dyDescent="0.2">
      <c r="AG1407" s="294"/>
      <c r="AH1407" s="294"/>
      <c r="AI1407" s="294"/>
      <c r="AJ1407" s="26"/>
      <c r="AK1407" s="374"/>
      <c r="AL1407" s="374"/>
      <c r="AO1407" s="294"/>
      <c r="AR1407" s="374"/>
      <c r="AZ1407" s="374"/>
      <c r="BE1407" s="26"/>
      <c r="BF1407" s="26"/>
      <c r="BG1407" s="26"/>
      <c r="BH1407" s="26"/>
      <c r="BI1407" s="26"/>
      <c r="BJ1407" s="26"/>
      <c r="BK1407" s="26"/>
      <c r="BL1407" s="26"/>
      <c r="BS1407" s="20"/>
      <c r="BT1407" s="26"/>
      <c r="BV1407" s="381"/>
      <c r="BW1407" s="229"/>
    </row>
    <row r="1408" spans="33:75" x14ac:dyDescent="0.2">
      <c r="AG1408" s="294"/>
      <c r="AH1408" s="294"/>
      <c r="AI1408" s="294"/>
      <c r="AJ1408" s="26"/>
      <c r="AK1408" s="374"/>
      <c r="AL1408" s="374"/>
      <c r="AO1408" s="294"/>
      <c r="AR1408" s="374"/>
      <c r="AZ1408" s="374"/>
      <c r="BE1408" s="26"/>
      <c r="BF1408" s="26"/>
      <c r="BG1408" s="26"/>
      <c r="BH1408" s="26"/>
      <c r="BI1408" s="26"/>
      <c r="BJ1408" s="26"/>
      <c r="BK1408" s="26"/>
      <c r="BL1408" s="26"/>
      <c r="BS1408" s="20"/>
      <c r="BT1408" s="26"/>
      <c r="BV1408" s="381"/>
      <c r="BW1408" s="229"/>
    </row>
    <row r="1409" spans="33:75" x14ac:dyDescent="0.2">
      <c r="AG1409" s="294"/>
      <c r="AH1409" s="294"/>
      <c r="AI1409" s="294"/>
      <c r="AJ1409" s="26"/>
      <c r="AK1409" s="374"/>
      <c r="AL1409" s="374"/>
      <c r="AO1409" s="294"/>
      <c r="AR1409" s="374"/>
      <c r="AZ1409" s="374"/>
      <c r="BE1409" s="26"/>
      <c r="BF1409" s="26"/>
      <c r="BG1409" s="26"/>
      <c r="BH1409" s="26"/>
      <c r="BI1409" s="26"/>
      <c r="BJ1409" s="26"/>
      <c r="BK1409" s="26"/>
      <c r="BL1409" s="26"/>
      <c r="BS1409" s="20"/>
      <c r="BT1409" s="26"/>
      <c r="BV1409" s="381"/>
      <c r="BW1409" s="229"/>
    </row>
    <row r="1410" spans="33:75" x14ac:dyDescent="0.2">
      <c r="AG1410" s="294"/>
      <c r="AH1410" s="294"/>
      <c r="AI1410" s="294"/>
      <c r="AJ1410" s="26"/>
      <c r="AK1410" s="374"/>
      <c r="AL1410" s="374"/>
      <c r="AO1410" s="294"/>
      <c r="AR1410" s="374"/>
      <c r="AZ1410" s="374"/>
      <c r="BE1410" s="26"/>
      <c r="BF1410" s="26"/>
      <c r="BG1410" s="26"/>
      <c r="BH1410" s="26"/>
      <c r="BI1410" s="26"/>
      <c r="BJ1410" s="26"/>
      <c r="BK1410" s="26"/>
      <c r="BL1410" s="26"/>
      <c r="BS1410" s="20"/>
      <c r="BT1410" s="26"/>
      <c r="BV1410" s="381"/>
      <c r="BW1410" s="229"/>
    </row>
    <row r="1411" spans="33:75" x14ac:dyDescent="0.2">
      <c r="AG1411" s="294"/>
      <c r="AH1411" s="294"/>
      <c r="AI1411" s="294"/>
      <c r="AJ1411" s="26"/>
      <c r="AK1411" s="374"/>
      <c r="AL1411" s="374"/>
      <c r="AO1411" s="294"/>
      <c r="AR1411" s="374"/>
      <c r="AZ1411" s="374"/>
      <c r="BE1411" s="26"/>
      <c r="BF1411" s="26"/>
      <c r="BG1411" s="26"/>
      <c r="BH1411" s="26"/>
      <c r="BI1411" s="26"/>
      <c r="BJ1411" s="26"/>
      <c r="BK1411" s="26"/>
      <c r="BL1411" s="26"/>
      <c r="BS1411" s="20"/>
      <c r="BT1411" s="26"/>
      <c r="BV1411" s="381"/>
      <c r="BW1411" s="229"/>
    </row>
    <row r="1412" spans="33:75" x14ac:dyDescent="0.2">
      <c r="AG1412" s="294"/>
      <c r="AH1412" s="294"/>
      <c r="AI1412" s="294"/>
      <c r="AJ1412" s="26"/>
      <c r="AK1412" s="374"/>
      <c r="AL1412" s="374"/>
      <c r="AO1412" s="294"/>
      <c r="AR1412" s="374"/>
      <c r="AZ1412" s="374"/>
      <c r="BE1412" s="26"/>
      <c r="BF1412" s="26"/>
      <c r="BG1412" s="26"/>
      <c r="BH1412" s="26"/>
      <c r="BI1412" s="26"/>
      <c r="BJ1412" s="26"/>
      <c r="BK1412" s="26"/>
      <c r="BL1412" s="26"/>
      <c r="BS1412" s="20"/>
      <c r="BT1412" s="26"/>
      <c r="BV1412" s="381"/>
      <c r="BW1412" s="229"/>
    </row>
    <row r="1413" spans="33:75" x14ac:dyDescent="0.2">
      <c r="AG1413" s="294"/>
      <c r="AH1413" s="294"/>
      <c r="AI1413" s="294"/>
      <c r="AJ1413" s="26"/>
      <c r="AK1413" s="374"/>
      <c r="AL1413" s="374"/>
      <c r="AO1413" s="294"/>
      <c r="AR1413" s="374"/>
      <c r="AZ1413" s="374"/>
      <c r="BE1413" s="26"/>
      <c r="BF1413" s="26"/>
      <c r="BG1413" s="26"/>
      <c r="BH1413" s="26"/>
      <c r="BI1413" s="26"/>
      <c r="BJ1413" s="26"/>
      <c r="BK1413" s="26"/>
      <c r="BL1413" s="26"/>
      <c r="BS1413" s="20"/>
      <c r="BT1413" s="26"/>
      <c r="BV1413" s="381"/>
      <c r="BW1413" s="229"/>
    </row>
    <row r="1414" spans="33:75" x14ac:dyDescent="0.2">
      <c r="AG1414" s="294"/>
      <c r="AH1414" s="294"/>
      <c r="AI1414" s="294"/>
      <c r="AJ1414" s="26"/>
      <c r="AK1414" s="374"/>
      <c r="AL1414" s="374"/>
      <c r="AO1414" s="294"/>
      <c r="AR1414" s="374"/>
      <c r="AZ1414" s="374"/>
      <c r="BE1414" s="26"/>
      <c r="BF1414" s="26"/>
      <c r="BG1414" s="26"/>
      <c r="BH1414" s="26"/>
      <c r="BI1414" s="26"/>
      <c r="BJ1414" s="26"/>
      <c r="BK1414" s="26"/>
      <c r="BL1414" s="26"/>
      <c r="BS1414" s="20"/>
      <c r="BT1414" s="26"/>
      <c r="BV1414" s="381"/>
      <c r="BW1414" s="229"/>
    </row>
    <row r="1415" spans="33:75" x14ac:dyDescent="0.2">
      <c r="AG1415" s="294"/>
      <c r="AH1415" s="294"/>
      <c r="AI1415" s="294"/>
      <c r="AJ1415" s="26"/>
      <c r="AK1415" s="374"/>
      <c r="AL1415" s="374"/>
      <c r="AO1415" s="294"/>
      <c r="AR1415" s="374"/>
      <c r="AZ1415" s="374"/>
      <c r="BE1415" s="26"/>
      <c r="BF1415" s="26"/>
      <c r="BG1415" s="26"/>
      <c r="BH1415" s="26"/>
      <c r="BI1415" s="26"/>
      <c r="BJ1415" s="26"/>
      <c r="BK1415" s="26"/>
      <c r="BL1415" s="26"/>
      <c r="BS1415" s="20"/>
      <c r="BT1415" s="26"/>
      <c r="BV1415" s="381"/>
      <c r="BW1415" s="229"/>
    </row>
    <row r="1416" spans="33:75" x14ac:dyDescent="0.2">
      <c r="AG1416" s="294"/>
      <c r="AH1416" s="294"/>
      <c r="AI1416" s="294"/>
      <c r="AJ1416" s="26"/>
      <c r="AK1416" s="374"/>
      <c r="AL1416" s="374"/>
      <c r="AO1416" s="294"/>
      <c r="AR1416" s="374"/>
      <c r="AZ1416" s="374"/>
      <c r="BE1416" s="26"/>
      <c r="BF1416" s="26"/>
      <c r="BG1416" s="26"/>
      <c r="BH1416" s="26"/>
      <c r="BI1416" s="26"/>
      <c r="BJ1416" s="26"/>
      <c r="BK1416" s="26"/>
      <c r="BL1416" s="26"/>
      <c r="BS1416" s="20"/>
      <c r="BT1416" s="26"/>
      <c r="BV1416" s="381"/>
      <c r="BW1416" s="229"/>
    </row>
    <row r="1417" spans="33:75" x14ac:dyDescent="0.2">
      <c r="AG1417" s="294"/>
      <c r="AH1417" s="294"/>
      <c r="AI1417" s="294"/>
      <c r="AJ1417" s="26"/>
      <c r="AK1417" s="374"/>
      <c r="AL1417" s="374"/>
      <c r="AO1417" s="294"/>
      <c r="AR1417" s="374"/>
      <c r="AZ1417" s="374"/>
      <c r="BE1417" s="26"/>
      <c r="BF1417" s="26"/>
      <c r="BG1417" s="26"/>
      <c r="BH1417" s="26"/>
      <c r="BI1417" s="26"/>
      <c r="BJ1417" s="26"/>
      <c r="BK1417" s="26"/>
      <c r="BL1417" s="26"/>
      <c r="BS1417" s="20"/>
      <c r="BT1417" s="26"/>
      <c r="BV1417" s="381"/>
      <c r="BW1417" s="229"/>
    </row>
    <row r="1418" spans="33:75" x14ac:dyDescent="0.2">
      <c r="AG1418" s="294"/>
      <c r="AH1418" s="294"/>
      <c r="AI1418" s="294"/>
      <c r="AJ1418" s="26"/>
      <c r="AK1418" s="374"/>
      <c r="AL1418" s="374"/>
      <c r="AO1418" s="294"/>
      <c r="AR1418" s="374"/>
      <c r="AZ1418" s="374"/>
      <c r="BE1418" s="26"/>
      <c r="BF1418" s="26"/>
      <c r="BG1418" s="26"/>
      <c r="BH1418" s="26"/>
      <c r="BI1418" s="26"/>
      <c r="BJ1418" s="26"/>
      <c r="BK1418" s="26"/>
      <c r="BL1418" s="26"/>
      <c r="BS1418" s="20"/>
      <c r="BT1418" s="26"/>
      <c r="BV1418" s="381"/>
      <c r="BW1418" s="229"/>
    </row>
    <row r="1419" spans="33:75" x14ac:dyDescent="0.2">
      <c r="AG1419" s="294"/>
      <c r="AH1419" s="294"/>
      <c r="AI1419" s="294"/>
      <c r="AJ1419" s="26"/>
      <c r="AK1419" s="374"/>
      <c r="AL1419" s="374"/>
      <c r="AO1419" s="294"/>
      <c r="AR1419" s="374"/>
      <c r="AZ1419" s="374"/>
      <c r="BE1419" s="26"/>
      <c r="BF1419" s="26"/>
      <c r="BG1419" s="26"/>
      <c r="BH1419" s="26"/>
      <c r="BI1419" s="26"/>
      <c r="BJ1419" s="26"/>
      <c r="BK1419" s="26"/>
      <c r="BL1419" s="26"/>
      <c r="BS1419" s="20"/>
      <c r="BT1419" s="26"/>
      <c r="BV1419" s="381"/>
      <c r="BW1419" s="229"/>
    </row>
    <row r="1420" spans="33:75" x14ac:dyDescent="0.2">
      <c r="AG1420" s="294"/>
      <c r="AH1420" s="294"/>
      <c r="AI1420" s="294"/>
      <c r="AJ1420" s="26"/>
      <c r="AK1420" s="374"/>
      <c r="AL1420" s="374"/>
      <c r="AO1420" s="294"/>
      <c r="AR1420" s="374"/>
      <c r="AZ1420" s="374"/>
      <c r="BE1420" s="26"/>
      <c r="BF1420" s="26"/>
      <c r="BG1420" s="26"/>
      <c r="BH1420" s="26"/>
      <c r="BI1420" s="26"/>
      <c r="BJ1420" s="26"/>
      <c r="BK1420" s="26"/>
      <c r="BL1420" s="26"/>
      <c r="BS1420" s="20"/>
      <c r="BT1420" s="26"/>
      <c r="BV1420" s="381"/>
      <c r="BW1420" s="229"/>
    </row>
    <row r="1421" spans="33:75" x14ac:dyDescent="0.2">
      <c r="AG1421" s="294"/>
      <c r="AH1421" s="294"/>
      <c r="AI1421" s="294"/>
      <c r="AJ1421" s="26"/>
      <c r="AK1421" s="374"/>
      <c r="AL1421" s="374"/>
      <c r="AO1421" s="294"/>
      <c r="AR1421" s="374"/>
      <c r="AZ1421" s="374"/>
      <c r="BE1421" s="26"/>
      <c r="BF1421" s="26"/>
      <c r="BG1421" s="26"/>
      <c r="BH1421" s="26"/>
      <c r="BI1421" s="26"/>
      <c r="BJ1421" s="26"/>
      <c r="BK1421" s="26"/>
      <c r="BL1421" s="26"/>
      <c r="BS1421" s="20"/>
      <c r="BT1421" s="26"/>
      <c r="BV1421" s="381"/>
      <c r="BW1421" s="229"/>
    </row>
    <row r="1422" spans="33:75" x14ac:dyDescent="0.2">
      <c r="AG1422" s="294"/>
      <c r="AH1422" s="294"/>
      <c r="AI1422" s="294"/>
      <c r="AJ1422" s="26"/>
      <c r="AK1422" s="374"/>
      <c r="AL1422" s="374"/>
      <c r="AO1422" s="294"/>
      <c r="AR1422" s="374"/>
      <c r="AZ1422" s="374"/>
      <c r="BE1422" s="26"/>
      <c r="BF1422" s="26"/>
      <c r="BG1422" s="26"/>
      <c r="BH1422" s="26"/>
      <c r="BI1422" s="26"/>
      <c r="BJ1422" s="26"/>
      <c r="BK1422" s="26"/>
      <c r="BL1422" s="26"/>
      <c r="BS1422" s="20"/>
      <c r="BT1422" s="26"/>
      <c r="BV1422" s="381"/>
      <c r="BW1422" s="229"/>
    </row>
    <row r="1423" spans="33:75" x14ac:dyDescent="0.2">
      <c r="AG1423" s="294"/>
      <c r="AH1423" s="294"/>
      <c r="AI1423" s="294"/>
      <c r="AJ1423" s="26"/>
      <c r="AK1423" s="374"/>
      <c r="AL1423" s="374"/>
      <c r="AO1423" s="294"/>
      <c r="AR1423" s="374"/>
      <c r="AZ1423" s="374"/>
      <c r="BE1423" s="26"/>
      <c r="BF1423" s="26"/>
      <c r="BG1423" s="26"/>
      <c r="BH1423" s="26"/>
      <c r="BI1423" s="26"/>
      <c r="BJ1423" s="26"/>
      <c r="BK1423" s="26"/>
      <c r="BL1423" s="26"/>
      <c r="BS1423" s="20"/>
      <c r="BT1423" s="26"/>
      <c r="BV1423" s="381"/>
      <c r="BW1423" s="229"/>
    </row>
    <row r="1424" spans="33:75" x14ac:dyDescent="0.2">
      <c r="AG1424" s="294"/>
      <c r="AH1424" s="294"/>
      <c r="AI1424" s="294"/>
      <c r="AJ1424" s="26"/>
      <c r="AK1424" s="374"/>
      <c r="AL1424" s="374"/>
      <c r="AO1424" s="294"/>
      <c r="AR1424" s="374"/>
      <c r="AZ1424" s="374"/>
      <c r="BE1424" s="26"/>
      <c r="BF1424" s="26"/>
      <c r="BG1424" s="26"/>
      <c r="BH1424" s="26"/>
      <c r="BI1424" s="26"/>
      <c r="BJ1424" s="26"/>
      <c r="BK1424" s="26"/>
      <c r="BL1424" s="26"/>
      <c r="BS1424" s="20"/>
      <c r="BT1424" s="26"/>
      <c r="BV1424" s="381"/>
      <c r="BW1424" s="229"/>
    </row>
    <row r="1425" spans="33:75" x14ac:dyDescent="0.2">
      <c r="AG1425" s="294"/>
      <c r="AH1425" s="294"/>
      <c r="AI1425" s="294"/>
      <c r="AJ1425" s="26"/>
      <c r="AK1425" s="374"/>
      <c r="AL1425" s="374"/>
      <c r="AO1425" s="294"/>
      <c r="AR1425" s="374"/>
      <c r="AZ1425" s="374"/>
      <c r="BE1425" s="26"/>
      <c r="BF1425" s="26"/>
      <c r="BG1425" s="26"/>
      <c r="BH1425" s="26"/>
      <c r="BI1425" s="26"/>
      <c r="BJ1425" s="26"/>
      <c r="BK1425" s="26"/>
      <c r="BL1425" s="26"/>
      <c r="BS1425" s="20"/>
      <c r="BT1425" s="26"/>
      <c r="BV1425" s="381"/>
      <c r="BW1425" s="229"/>
    </row>
    <row r="1426" spans="33:75" x14ac:dyDescent="0.2">
      <c r="AG1426" s="294"/>
      <c r="AH1426" s="294"/>
      <c r="AI1426" s="294"/>
      <c r="AJ1426" s="26"/>
      <c r="AK1426" s="374"/>
      <c r="AL1426" s="374"/>
      <c r="AO1426" s="294"/>
      <c r="AR1426" s="374"/>
      <c r="AZ1426" s="374"/>
      <c r="BE1426" s="26"/>
      <c r="BF1426" s="26"/>
      <c r="BG1426" s="26"/>
      <c r="BH1426" s="26"/>
      <c r="BI1426" s="26"/>
      <c r="BJ1426" s="26"/>
      <c r="BK1426" s="26"/>
      <c r="BL1426" s="26"/>
      <c r="BS1426" s="20"/>
      <c r="BT1426" s="26"/>
      <c r="BV1426" s="381"/>
      <c r="BW1426" s="229"/>
    </row>
    <row r="1427" spans="33:75" x14ac:dyDescent="0.2">
      <c r="AG1427" s="294"/>
      <c r="AH1427" s="294"/>
      <c r="AI1427" s="294"/>
      <c r="AJ1427" s="26"/>
      <c r="AK1427" s="374"/>
      <c r="AL1427" s="374"/>
      <c r="AO1427" s="294"/>
      <c r="AR1427" s="374"/>
      <c r="AZ1427" s="374"/>
      <c r="BE1427" s="26"/>
      <c r="BF1427" s="26"/>
      <c r="BG1427" s="26"/>
      <c r="BH1427" s="26"/>
      <c r="BI1427" s="26"/>
      <c r="BJ1427" s="26"/>
      <c r="BK1427" s="26"/>
      <c r="BL1427" s="26"/>
      <c r="BS1427" s="20"/>
      <c r="BT1427" s="26"/>
      <c r="BV1427" s="381"/>
      <c r="BW1427" s="229"/>
    </row>
    <row r="1428" spans="33:75" x14ac:dyDescent="0.2">
      <c r="AG1428" s="294"/>
      <c r="AH1428" s="294"/>
      <c r="AI1428" s="294"/>
      <c r="AJ1428" s="26"/>
      <c r="AK1428" s="374"/>
      <c r="AL1428" s="374"/>
      <c r="AO1428" s="294"/>
      <c r="AR1428" s="374"/>
      <c r="AZ1428" s="374"/>
      <c r="BE1428" s="26"/>
      <c r="BF1428" s="26"/>
      <c r="BG1428" s="26"/>
      <c r="BH1428" s="26"/>
      <c r="BI1428" s="26"/>
      <c r="BJ1428" s="26"/>
      <c r="BK1428" s="26"/>
      <c r="BL1428" s="26"/>
      <c r="BS1428" s="20"/>
      <c r="BT1428" s="26"/>
      <c r="BV1428" s="381"/>
      <c r="BW1428" s="229"/>
    </row>
    <row r="1429" spans="33:75" x14ac:dyDescent="0.2">
      <c r="AG1429" s="294"/>
      <c r="AH1429" s="294"/>
      <c r="AI1429" s="294"/>
      <c r="AJ1429" s="26"/>
      <c r="AK1429" s="374"/>
      <c r="AL1429" s="374"/>
      <c r="AO1429" s="294"/>
      <c r="AR1429" s="374"/>
      <c r="AZ1429" s="374"/>
      <c r="BE1429" s="26"/>
      <c r="BF1429" s="26"/>
      <c r="BG1429" s="26"/>
      <c r="BH1429" s="26"/>
      <c r="BI1429" s="26"/>
      <c r="BJ1429" s="26"/>
      <c r="BK1429" s="26"/>
      <c r="BL1429" s="26"/>
      <c r="BS1429" s="20"/>
      <c r="BT1429" s="26"/>
      <c r="BV1429" s="381"/>
      <c r="BW1429" s="229"/>
    </row>
    <row r="1430" spans="33:75" x14ac:dyDescent="0.2">
      <c r="AG1430" s="294"/>
      <c r="AH1430" s="294"/>
      <c r="AI1430" s="294"/>
      <c r="AJ1430" s="26"/>
      <c r="AK1430" s="374"/>
      <c r="AL1430" s="374"/>
      <c r="AO1430" s="294"/>
      <c r="AR1430" s="374"/>
      <c r="AZ1430" s="374"/>
      <c r="BE1430" s="26"/>
      <c r="BF1430" s="26"/>
      <c r="BG1430" s="26"/>
      <c r="BH1430" s="26"/>
      <c r="BI1430" s="26"/>
      <c r="BJ1430" s="26"/>
      <c r="BK1430" s="26"/>
      <c r="BL1430" s="26"/>
      <c r="BS1430" s="20"/>
      <c r="BT1430" s="26"/>
      <c r="BV1430" s="381"/>
      <c r="BW1430" s="229"/>
    </row>
    <row r="1431" spans="33:75" x14ac:dyDescent="0.2">
      <c r="AG1431" s="294"/>
      <c r="AH1431" s="294"/>
      <c r="AI1431" s="294"/>
      <c r="AJ1431" s="26"/>
      <c r="AK1431" s="374"/>
      <c r="AL1431" s="374"/>
      <c r="AO1431" s="294"/>
      <c r="AR1431" s="374"/>
      <c r="AZ1431" s="374"/>
      <c r="BE1431" s="26"/>
      <c r="BF1431" s="26"/>
      <c r="BG1431" s="26"/>
      <c r="BH1431" s="26"/>
      <c r="BI1431" s="26"/>
      <c r="BJ1431" s="26"/>
      <c r="BK1431" s="26"/>
      <c r="BL1431" s="26"/>
      <c r="BS1431" s="20"/>
      <c r="BT1431" s="26"/>
      <c r="BV1431" s="381"/>
      <c r="BW1431" s="229"/>
    </row>
    <row r="1432" spans="33:75" x14ac:dyDescent="0.2">
      <c r="AG1432" s="294"/>
      <c r="AH1432" s="294"/>
      <c r="AI1432" s="294"/>
      <c r="AJ1432" s="26"/>
      <c r="AK1432" s="374"/>
      <c r="AL1432" s="374"/>
      <c r="AO1432" s="294"/>
      <c r="AR1432" s="374"/>
      <c r="AZ1432" s="374"/>
      <c r="BE1432" s="26"/>
      <c r="BF1432" s="26"/>
      <c r="BG1432" s="26"/>
      <c r="BH1432" s="26"/>
      <c r="BI1432" s="26"/>
      <c r="BJ1432" s="26"/>
      <c r="BK1432" s="26"/>
      <c r="BL1432" s="26"/>
      <c r="BS1432" s="20"/>
      <c r="BT1432" s="26"/>
      <c r="BV1432" s="381"/>
      <c r="BW1432" s="229"/>
    </row>
    <row r="1433" spans="33:75" x14ac:dyDescent="0.2">
      <c r="AG1433" s="294"/>
      <c r="AH1433" s="294"/>
      <c r="AI1433" s="294"/>
      <c r="AJ1433" s="26"/>
      <c r="AK1433" s="374"/>
      <c r="AL1433" s="374"/>
      <c r="AO1433" s="294"/>
      <c r="AR1433" s="374"/>
      <c r="AZ1433" s="374"/>
      <c r="BE1433" s="26"/>
      <c r="BF1433" s="26"/>
      <c r="BG1433" s="26"/>
      <c r="BH1433" s="26"/>
      <c r="BI1433" s="26"/>
      <c r="BJ1433" s="26"/>
      <c r="BK1433" s="26"/>
      <c r="BL1433" s="26"/>
      <c r="BS1433" s="20"/>
      <c r="BT1433" s="26"/>
      <c r="BV1433" s="381"/>
      <c r="BW1433" s="229"/>
    </row>
    <row r="1434" spans="33:75" x14ac:dyDescent="0.2">
      <c r="AG1434" s="294"/>
      <c r="AH1434" s="294"/>
      <c r="AI1434" s="294"/>
      <c r="AJ1434" s="26"/>
      <c r="AK1434" s="374"/>
      <c r="AL1434" s="374"/>
      <c r="AO1434" s="294"/>
      <c r="AR1434" s="374"/>
      <c r="AZ1434" s="374"/>
      <c r="BE1434" s="26"/>
      <c r="BF1434" s="26"/>
      <c r="BG1434" s="26"/>
      <c r="BH1434" s="26"/>
      <c r="BI1434" s="26"/>
      <c r="BJ1434" s="26"/>
      <c r="BK1434" s="26"/>
      <c r="BL1434" s="26"/>
      <c r="BS1434" s="20"/>
      <c r="BT1434" s="26"/>
      <c r="BV1434" s="381"/>
      <c r="BW1434" s="229"/>
    </row>
    <row r="1435" spans="33:75" x14ac:dyDescent="0.2">
      <c r="AG1435" s="294"/>
      <c r="AH1435" s="294"/>
      <c r="AI1435" s="294"/>
      <c r="AJ1435" s="26"/>
      <c r="AK1435" s="374"/>
      <c r="AL1435" s="374"/>
      <c r="AO1435" s="294"/>
      <c r="AR1435" s="374"/>
      <c r="AZ1435" s="374"/>
      <c r="BE1435" s="26"/>
      <c r="BF1435" s="26"/>
      <c r="BG1435" s="26"/>
      <c r="BH1435" s="26"/>
      <c r="BI1435" s="26"/>
      <c r="BJ1435" s="26"/>
      <c r="BK1435" s="26"/>
      <c r="BL1435" s="26"/>
      <c r="BS1435" s="20"/>
      <c r="BT1435" s="26"/>
      <c r="BV1435" s="381"/>
      <c r="BW1435" s="229"/>
    </row>
    <row r="1436" spans="33:75" x14ac:dyDescent="0.2">
      <c r="AG1436" s="294"/>
      <c r="AH1436" s="294"/>
      <c r="AI1436" s="294"/>
      <c r="AJ1436" s="26"/>
      <c r="AK1436" s="374"/>
      <c r="AL1436" s="374"/>
      <c r="AO1436" s="294"/>
      <c r="AR1436" s="374"/>
      <c r="AZ1436" s="374"/>
      <c r="BE1436" s="26"/>
      <c r="BF1436" s="26"/>
      <c r="BG1436" s="26"/>
      <c r="BH1436" s="26"/>
      <c r="BI1436" s="26"/>
      <c r="BJ1436" s="26"/>
      <c r="BK1436" s="26"/>
      <c r="BL1436" s="26"/>
      <c r="BS1436" s="20"/>
      <c r="BT1436" s="26"/>
      <c r="BV1436" s="381"/>
      <c r="BW1436" s="229"/>
    </row>
    <row r="1437" spans="33:75" x14ac:dyDescent="0.2">
      <c r="AG1437" s="294"/>
      <c r="AH1437" s="294"/>
      <c r="AI1437" s="294"/>
      <c r="AJ1437" s="26"/>
      <c r="AK1437" s="374"/>
      <c r="AL1437" s="374"/>
      <c r="AO1437" s="294"/>
      <c r="AR1437" s="374"/>
      <c r="AZ1437" s="374"/>
      <c r="BE1437" s="26"/>
      <c r="BF1437" s="26"/>
      <c r="BG1437" s="26"/>
      <c r="BH1437" s="26"/>
      <c r="BI1437" s="26"/>
      <c r="BJ1437" s="26"/>
      <c r="BK1437" s="26"/>
      <c r="BL1437" s="26"/>
      <c r="BS1437" s="20"/>
      <c r="BT1437" s="26"/>
      <c r="BV1437" s="381"/>
      <c r="BW1437" s="229"/>
    </row>
    <row r="1438" spans="33:75" x14ac:dyDescent="0.2">
      <c r="AG1438" s="294"/>
      <c r="AH1438" s="294"/>
      <c r="AI1438" s="294"/>
      <c r="AJ1438" s="26"/>
      <c r="AK1438" s="374"/>
      <c r="AL1438" s="374"/>
      <c r="AO1438" s="294"/>
      <c r="AR1438" s="374"/>
      <c r="AZ1438" s="374"/>
      <c r="BE1438" s="26"/>
      <c r="BF1438" s="26"/>
      <c r="BG1438" s="26"/>
      <c r="BH1438" s="26"/>
      <c r="BI1438" s="26"/>
      <c r="BJ1438" s="26"/>
      <c r="BK1438" s="26"/>
      <c r="BL1438" s="26"/>
      <c r="BS1438" s="20"/>
      <c r="BT1438" s="26"/>
      <c r="BV1438" s="381"/>
      <c r="BW1438" s="229"/>
    </row>
    <row r="1439" spans="33:75" x14ac:dyDescent="0.2">
      <c r="AG1439" s="294"/>
      <c r="AH1439" s="294"/>
      <c r="AI1439" s="294"/>
      <c r="AJ1439" s="26"/>
      <c r="AK1439" s="374"/>
      <c r="AL1439" s="374"/>
      <c r="AO1439" s="294"/>
      <c r="AR1439" s="374"/>
      <c r="AZ1439" s="374"/>
      <c r="BE1439" s="26"/>
      <c r="BF1439" s="26"/>
      <c r="BG1439" s="26"/>
      <c r="BH1439" s="26"/>
      <c r="BI1439" s="26"/>
      <c r="BJ1439" s="26"/>
      <c r="BK1439" s="26"/>
      <c r="BL1439" s="26"/>
      <c r="BS1439" s="20"/>
      <c r="BT1439" s="26"/>
      <c r="BV1439" s="381"/>
      <c r="BW1439" s="229"/>
    </row>
    <row r="1440" spans="33:75" x14ac:dyDescent="0.2">
      <c r="AG1440" s="294"/>
      <c r="AH1440" s="294"/>
      <c r="AI1440" s="294"/>
      <c r="AJ1440" s="26"/>
      <c r="AK1440" s="374"/>
      <c r="AL1440" s="374"/>
      <c r="AO1440" s="294"/>
      <c r="AR1440" s="374"/>
      <c r="AZ1440" s="374"/>
      <c r="BE1440" s="26"/>
      <c r="BF1440" s="26"/>
      <c r="BG1440" s="26"/>
      <c r="BH1440" s="26"/>
      <c r="BI1440" s="26"/>
      <c r="BJ1440" s="26"/>
      <c r="BK1440" s="26"/>
      <c r="BL1440" s="26"/>
      <c r="BS1440" s="20"/>
      <c r="BT1440" s="26"/>
      <c r="BV1440" s="381"/>
      <c r="BW1440" s="229"/>
    </row>
    <row r="1441" spans="33:75" x14ac:dyDescent="0.2">
      <c r="AG1441" s="294"/>
      <c r="AH1441" s="294"/>
      <c r="AI1441" s="294"/>
      <c r="AJ1441" s="26"/>
      <c r="AK1441" s="374"/>
      <c r="AL1441" s="374"/>
      <c r="AO1441" s="294"/>
      <c r="AR1441" s="374"/>
      <c r="AZ1441" s="374"/>
      <c r="BE1441" s="26"/>
      <c r="BF1441" s="26"/>
      <c r="BG1441" s="26"/>
      <c r="BH1441" s="26"/>
      <c r="BI1441" s="26"/>
      <c r="BJ1441" s="26"/>
      <c r="BK1441" s="26"/>
      <c r="BL1441" s="26"/>
      <c r="BS1441" s="20"/>
      <c r="BT1441" s="26"/>
      <c r="BV1441" s="381"/>
      <c r="BW1441" s="229"/>
    </row>
    <row r="1442" spans="33:75" x14ac:dyDescent="0.2">
      <c r="AG1442" s="294"/>
      <c r="AH1442" s="294"/>
      <c r="AI1442" s="294"/>
      <c r="AJ1442" s="26"/>
      <c r="AK1442" s="374"/>
      <c r="AL1442" s="374"/>
      <c r="AO1442" s="294"/>
      <c r="AR1442" s="374"/>
      <c r="AZ1442" s="374"/>
      <c r="BE1442" s="26"/>
      <c r="BF1442" s="26"/>
      <c r="BG1442" s="26"/>
      <c r="BH1442" s="26"/>
      <c r="BI1442" s="26"/>
      <c r="BJ1442" s="26"/>
      <c r="BK1442" s="26"/>
      <c r="BL1442" s="26"/>
      <c r="BS1442" s="20"/>
      <c r="BT1442" s="26"/>
      <c r="BV1442" s="381"/>
      <c r="BW1442" s="229"/>
    </row>
    <row r="1443" spans="33:75" x14ac:dyDescent="0.2">
      <c r="AG1443" s="294"/>
      <c r="AH1443" s="294"/>
      <c r="AI1443" s="294"/>
      <c r="AJ1443" s="26"/>
      <c r="AK1443" s="374"/>
      <c r="AL1443" s="374"/>
      <c r="AO1443" s="294"/>
      <c r="AR1443" s="374"/>
      <c r="AZ1443" s="374"/>
      <c r="BE1443" s="26"/>
      <c r="BF1443" s="26"/>
      <c r="BG1443" s="26"/>
      <c r="BH1443" s="26"/>
      <c r="BI1443" s="26"/>
      <c r="BJ1443" s="26"/>
      <c r="BK1443" s="26"/>
      <c r="BL1443" s="26"/>
      <c r="BS1443" s="20"/>
      <c r="BT1443" s="26"/>
      <c r="BV1443" s="381"/>
      <c r="BW1443" s="229"/>
    </row>
    <row r="1444" spans="33:75" x14ac:dyDescent="0.2">
      <c r="AG1444" s="294"/>
      <c r="AH1444" s="294"/>
      <c r="AI1444" s="294"/>
      <c r="AJ1444" s="26"/>
      <c r="AK1444" s="374"/>
      <c r="AL1444" s="374"/>
      <c r="AO1444" s="294"/>
      <c r="AR1444" s="374"/>
      <c r="AZ1444" s="374"/>
      <c r="BE1444" s="26"/>
      <c r="BF1444" s="26"/>
      <c r="BG1444" s="26"/>
      <c r="BH1444" s="26"/>
      <c r="BI1444" s="26"/>
      <c r="BJ1444" s="26"/>
      <c r="BK1444" s="26"/>
      <c r="BL1444" s="26"/>
      <c r="BS1444" s="20"/>
      <c r="BT1444" s="26"/>
      <c r="BV1444" s="381"/>
      <c r="BW1444" s="229"/>
    </row>
    <row r="1445" spans="33:75" x14ac:dyDescent="0.2">
      <c r="AG1445" s="294"/>
      <c r="AH1445" s="294"/>
      <c r="AI1445" s="294"/>
      <c r="AJ1445" s="26"/>
      <c r="AK1445" s="374"/>
      <c r="AL1445" s="374"/>
      <c r="AO1445" s="294"/>
      <c r="AR1445" s="374"/>
      <c r="AZ1445" s="374"/>
      <c r="BE1445" s="26"/>
      <c r="BF1445" s="26"/>
      <c r="BG1445" s="26"/>
      <c r="BH1445" s="26"/>
      <c r="BI1445" s="26"/>
      <c r="BJ1445" s="26"/>
      <c r="BK1445" s="26"/>
      <c r="BL1445" s="26"/>
      <c r="BS1445" s="20"/>
      <c r="BT1445" s="26"/>
      <c r="BV1445" s="381"/>
      <c r="BW1445" s="229"/>
    </row>
    <row r="1446" spans="33:75" x14ac:dyDescent="0.2">
      <c r="AG1446" s="294"/>
      <c r="AH1446" s="294"/>
      <c r="AI1446" s="294"/>
      <c r="AJ1446" s="26"/>
      <c r="AK1446" s="374"/>
      <c r="AL1446" s="374"/>
      <c r="AO1446" s="294"/>
      <c r="AR1446" s="374"/>
      <c r="AZ1446" s="374"/>
      <c r="BE1446" s="26"/>
      <c r="BF1446" s="26"/>
      <c r="BG1446" s="26"/>
      <c r="BH1446" s="26"/>
      <c r="BI1446" s="26"/>
      <c r="BJ1446" s="26"/>
      <c r="BK1446" s="26"/>
      <c r="BL1446" s="26"/>
      <c r="BS1446" s="20"/>
      <c r="BT1446" s="26"/>
      <c r="BV1446" s="381"/>
      <c r="BW1446" s="229"/>
    </row>
    <row r="1447" spans="33:75" x14ac:dyDescent="0.2">
      <c r="AG1447" s="294"/>
      <c r="AH1447" s="294"/>
      <c r="AI1447" s="294"/>
      <c r="AJ1447" s="26"/>
      <c r="AK1447" s="374"/>
      <c r="AL1447" s="374"/>
      <c r="AO1447" s="294"/>
      <c r="AR1447" s="374"/>
      <c r="AZ1447" s="374"/>
      <c r="BE1447" s="26"/>
      <c r="BF1447" s="26"/>
      <c r="BG1447" s="26"/>
      <c r="BH1447" s="26"/>
      <c r="BI1447" s="26"/>
      <c r="BJ1447" s="26"/>
      <c r="BK1447" s="26"/>
      <c r="BL1447" s="26"/>
      <c r="BS1447" s="20"/>
      <c r="BT1447" s="26"/>
      <c r="BV1447" s="381"/>
      <c r="BW1447" s="229"/>
    </row>
    <row r="1448" spans="33:75" x14ac:dyDescent="0.2">
      <c r="AG1448" s="294"/>
      <c r="AH1448" s="294"/>
      <c r="AI1448" s="294"/>
      <c r="AJ1448" s="26"/>
      <c r="AK1448" s="374"/>
      <c r="AL1448" s="374"/>
      <c r="AO1448" s="294"/>
      <c r="AR1448" s="374"/>
      <c r="AZ1448" s="374"/>
      <c r="BE1448" s="26"/>
      <c r="BF1448" s="26"/>
      <c r="BG1448" s="26"/>
      <c r="BH1448" s="26"/>
      <c r="BI1448" s="26"/>
      <c r="BJ1448" s="26"/>
      <c r="BK1448" s="26"/>
      <c r="BL1448" s="26"/>
      <c r="BS1448" s="20"/>
      <c r="BT1448" s="26"/>
      <c r="BV1448" s="381"/>
      <c r="BW1448" s="229"/>
    </row>
    <row r="1449" spans="33:75" x14ac:dyDescent="0.2">
      <c r="AG1449" s="294"/>
      <c r="AH1449" s="294"/>
      <c r="AI1449" s="294"/>
      <c r="AJ1449" s="26"/>
      <c r="AK1449" s="374"/>
      <c r="AL1449" s="374"/>
      <c r="AO1449" s="294"/>
      <c r="AR1449" s="374"/>
      <c r="AZ1449" s="374"/>
      <c r="BE1449" s="26"/>
      <c r="BF1449" s="26"/>
      <c r="BG1449" s="26"/>
      <c r="BH1449" s="26"/>
      <c r="BI1449" s="26"/>
      <c r="BJ1449" s="26"/>
      <c r="BK1449" s="26"/>
      <c r="BL1449" s="26"/>
      <c r="BS1449" s="20"/>
      <c r="BT1449" s="26"/>
      <c r="BV1449" s="381"/>
      <c r="BW1449" s="229"/>
    </row>
    <row r="1450" spans="33:75" x14ac:dyDescent="0.2">
      <c r="AG1450" s="294"/>
      <c r="AH1450" s="294"/>
      <c r="AI1450" s="294"/>
      <c r="AJ1450" s="26"/>
      <c r="AK1450" s="374"/>
      <c r="AL1450" s="374"/>
      <c r="AO1450" s="294"/>
      <c r="AR1450" s="374"/>
      <c r="AZ1450" s="374"/>
      <c r="BE1450" s="26"/>
      <c r="BF1450" s="26"/>
      <c r="BG1450" s="26"/>
      <c r="BH1450" s="26"/>
      <c r="BI1450" s="26"/>
      <c r="BJ1450" s="26"/>
      <c r="BK1450" s="26"/>
      <c r="BL1450" s="26"/>
      <c r="BS1450" s="20"/>
      <c r="BT1450" s="26"/>
      <c r="BV1450" s="381"/>
      <c r="BW1450" s="229"/>
    </row>
    <row r="1451" spans="33:75" x14ac:dyDescent="0.2">
      <c r="AG1451" s="294"/>
      <c r="AH1451" s="294"/>
      <c r="AI1451" s="294"/>
      <c r="AJ1451" s="26"/>
      <c r="AK1451" s="374"/>
      <c r="AL1451" s="374"/>
      <c r="AO1451" s="294"/>
      <c r="AR1451" s="374"/>
      <c r="AZ1451" s="374"/>
      <c r="BE1451" s="26"/>
      <c r="BF1451" s="26"/>
      <c r="BG1451" s="26"/>
      <c r="BH1451" s="26"/>
      <c r="BI1451" s="26"/>
      <c r="BJ1451" s="26"/>
      <c r="BK1451" s="26"/>
      <c r="BL1451" s="26"/>
      <c r="BS1451" s="20"/>
      <c r="BT1451" s="26"/>
      <c r="BV1451" s="381"/>
      <c r="BW1451" s="229"/>
    </row>
    <row r="1452" spans="33:75" x14ac:dyDescent="0.2">
      <c r="AG1452" s="294"/>
      <c r="AH1452" s="294"/>
      <c r="AI1452" s="294"/>
      <c r="AJ1452" s="26"/>
      <c r="AK1452" s="374"/>
      <c r="AL1452" s="374"/>
      <c r="AO1452" s="294"/>
      <c r="AR1452" s="374"/>
      <c r="AZ1452" s="374"/>
      <c r="BE1452" s="26"/>
      <c r="BF1452" s="26"/>
      <c r="BG1452" s="26"/>
      <c r="BH1452" s="26"/>
      <c r="BI1452" s="26"/>
      <c r="BJ1452" s="26"/>
      <c r="BK1452" s="26"/>
      <c r="BL1452" s="26"/>
      <c r="BS1452" s="20"/>
      <c r="BT1452" s="26"/>
      <c r="BV1452" s="381"/>
      <c r="BW1452" s="229"/>
    </row>
    <row r="1453" spans="33:75" x14ac:dyDescent="0.2">
      <c r="AG1453" s="294"/>
      <c r="AH1453" s="294"/>
      <c r="AI1453" s="294"/>
      <c r="AJ1453" s="26"/>
      <c r="AK1453" s="374"/>
      <c r="AL1453" s="374"/>
      <c r="AO1453" s="294"/>
      <c r="AR1453" s="374"/>
      <c r="AZ1453" s="374"/>
      <c r="BE1453" s="26"/>
      <c r="BF1453" s="26"/>
      <c r="BG1453" s="26"/>
      <c r="BH1453" s="26"/>
      <c r="BI1453" s="26"/>
      <c r="BJ1453" s="26"/>
      <c r="BK1453" s="26"/>
      <c r="BL1453" s="26"/>
      <c r="BS1453" s="20"/>
      <c r="BT1453" s="26"/>
      <c r="BV1453" s="381"/>
      <c r="BW1453" s="229"/>
    </row>
    <row r="1454" spans="33:75" x14ac:dyDescent="0.2">
      <c r="AG1454" s="294"/>
      <c r="AH1454" s="294"/>
      <c r="AI1454" s="294"/>
      <c r="AJ1454" s="26"/>
      <c r="AK1454" s="374"/>
      <c r="AL1454" s="374"/>
      <c r="AO1454" s="294"/>
      <c r="AR1454" s="374"/>
      <c r="AZ1454" s="374"/>
      <c r="BE1454" s="26"/>
      <c r="BF1454" s="26"/>
      <c r="BG1454" s="26"/>
      <c r="BH1454" s="26"/>
      <c r="BI1454" s="26"/>
      <c r="BJ1454" s="26"/>
      <c r="BK1454" s="26"/>
      <c r="BL1454" s="26"/>
      <c r="BS1454" s="20"/>
      <c r="BT1454" s="26"/>
      <c r="BV1454" s="381"/>
      <c r="BW1454" s="229"/>
    </row>
    <row r="1455" spans="33:75" x14ac:dyDescent="0.2">
      <c r="AG1455" s="294"/>
      <c r="AH1455" s="294"/>
      <c r="AI1455" s="294"/>
      <c r="AJ1455" s="26"/>
      <c r="AK1455" s="374"/>
      <c r="AL1455" s="374"/>
      <c r="AO1455" s="294"/>
      <c r="AR1455" s="374"/>
      <c r="AZ1455" s="374"/>
      <c r="BE1455" s="26"/>
      <c r="BF1455" s="26"/>
      <c r="BG1455" s="26"/>
      <c r="BH1455" s="26"/>
      <c r="BI1455" s="26"/>
      <c r="BJ1455" s="26"/>
      <c r="BK1455" s="26"/>
      <c r="BL1455" s="26"/>
      <c r="BS1455" s="20"/>
      <c r="BT1455" s="26"/>
      <c r="BV1455" s="381"/>
      <c r="BW1455" s="229"/>
    </row>
    <row r="1456" spans="33:75" x14ac:dyDescent="0.2">
      <c r="AG1456" s="294"/>
      <c r="AH1456" s="294"/>
      <c r="AI1456" s="294"/>
      <c r="AJ1456" s="26"/>
      <c r="AK1456" s="374"/>
      <c r="AL1456" s="374"/>
      <c r="AO1456" s="294"/>
      <c r="AR1456" s="374"/>
      <c r="AZ1456" s="374"/>
      <c r="BE1456" s="26"/>
      <c r="BF1456" s="26"/>
      <c r="BG1456" s="26"/>
      <c r="BH1456" s="26"/>
      <c r="BI1456" s="26"/>
      <c r="BJ1456" s="26"/>
      <c r="BK1456" s="26"/>
      <c r="BL1456" s="26"/>
      <c r="BS1456" s="20"/>
      <c r="BT1456" s="26"/>
      <c r="BV1456" s="381"/>
      <c r="BW1456" s="229"/>
    </row>
    <row r="1457" spans="33:75" x14ac:dyDescent="0.2">
      <c r="AG1457" s="294"/>
      <c r="AH1457" s="294"/>
      <c r="AI1457" s="294"/>
      <c r="AJ1457" s="26"/>
      <c r="AK1457" s="374"/>
      <c r="AL1457" s="374"/>
      <c r="AO1457" s="294"/>
      <c r="AR1457" s="374"/>
      <c r="AZ1457" s="374"/>
      <c r="BE1457" s="26"/>
      <c r="BF1457" s="26"/>
      <c r="BG1457" s="26"/>
      <c r="BH1457" s="26"/>
      <c r="BI1457" s="26"/>
      <c r="BJ1457" s="26"/>
      <c r="BK1457" s="26"/>
      <c r="BL1457" s="26"/>
      <c r="BS1457" s="20"/>
      <c r="BT1457" s="26"/>
      <c r="BV1457" s="381"/>
      <c r="BW1457" s="229"/>
    </row>
    <row r="1458" spans="33:75" x14ac:dyDescent="0.2">
      <c r="AG1458" s="294"/>
      <c r="AH1458" s="294"/>
      <c r="AI1458" s="294"/>
      <c r="AJ1458" s="26"/>
      <c r="AK1458" s="374"/>
      <c r="AL1458" s="374"/>
      <c r="AO1458" s="294"/>
      <c r="AR1458" s="374"/>
      <c r="AZ1458" s="374"/>
      <c r="BE1458" s="26"/>
      <c r="BF1458" s="26"/>
      <c r="BG1458" s="26"/>
      <c r="BH1458" s="26"/>
      <c r="BI1458" s="26"/>
      <c r="BJ1458" s="26"/>
      <c r="BK1458" s="26"/>
      <c r="BL1458" s="26"/>
      <c r="BS1458" s="20"/>
      <c r="BT1458" s="26"/>
      <c r="BV1458" s="381"/>
      <c r="BW1458" s="229"/>
    </row>
    <row r="1459" spans="33:75" x14ac:dyDescent="0.2">
      <c r="AG1459" s="294"/>
      <c r="AH1459" s="294"/>
      <c r="AI1459" s="294"/>
      <c r="AJ1459" s="26"/>
      <c r="AK1459" s="374"/>
      <c r="AL1459" s="374"/>
      <c r="AO1459" s="294"/>
      <c r="AR1459" s="374"/>
      <c r="AZ1459" s="374"/>
      <c r="BE1459" s="26"/>
      <c r="BF1459" s="26"/>
      <c r="BG1459" s="26"/>
      <c r="BH1459" s="26"/>
      <c r="BI1459" s="26"/>
      <c r="BJ1459" s="26"/>
      <c r="BK1459" s="26"/>
      <c r="BL1459" s="26"/>
      <c r="BS1459" s="20"/>
      <c r="BT1459" s="26"/>
      <c r="BV1459" s="381"/>
      <c r="BW1459" s="229"/>
    </row>
    <row r="1460" spans="33:75" x14ac:dyDescent="0.2">
      <c r="AG1460" s="294"/>
      <c r="AH1460" s="294"/>
      <c r="AI1460" s="294"/>
      <c r="AJ1460" s="26"/>
      <c r="AK1460" s="374"/>
      <c r="AL1460" s="374"/>
      <c r="AO1460" s="294"/>
      <c r="AR1460" s="374"/>
      <c r="AZ1460" s="374"/>
      <c r="BE1460" s="26"/>
      <c r="BF1460" s="26"/>
      <c r="BG1460" s="26"/>
      <c r="BH1460" s="26"/>
      <c r="BI1460" s="26"/>
      <c r="BJ1460" s="26"/>
      <c r="BK1460" s="26"/>
      <c r="BL1460" s="26"/>
      <c r="BS1460" s="20"/>
      <c r="BT1460" s="26"/>
      <c r="BV1460" s="381"/>
      <c r="BW1460" s="229"/>
    </row>
    <row r="1461" spans="33:75" x14ac:dyDescent="0.2">
      <c r="AG1461" s="294"/>
      <c r="AH1461" s="294"/>
      <c r="AI1461" s="294"/>
      <c r="AJ1461" s="26"/>
      <c r="AK1461" s="374"/>
      <c r="AL1461" s="374"/>
      <c r="AO1461" s="294"/>
      <c r="AR1461" s="374"/>
      <c r="AZ1461" s="374"/>
      <c r="BE1461" s="26"/>
      <c r="BF1461" s="26"/>
      <c r="BG1461" s="26"/>
      <c r="BH1461" s="26"/>
      <c r="BI1461" s="26"/>
      <c r="BJ1461" s="26"/>
      <c r="BK1461" s="26"/>
      <c r="BL1461" s="26"/>
      <c r="BS1461" s="20"/>
      <c r="BT1461" s="26"/>
      <c r="BV1461" s="381"/>
      <c r="BW1461" s="229"/>
    </row>
    <row r="1462" spans="33:75" x14ac:dyDescent="0.2">
      <c r="AG1462" s="294"/>
      <c r="AH1462" s="294"/>
      <c r="AI1462" s="294"/>
      <c r="AJ1462" s="26"/>
      <c r="AK1462" s="374"/>
      <c r="AL1462" s="374"/>
      <c r="AO1462" s="294"/>
      <c r="AR1462" s="374"/>
      <c r="AZ1462" s="374"/>
      <c r="BE1462" s="26"/>
      <c r="BF1462" s="26"/>
      <c r="BG1462" s="26"/>
      <c r="BH1462" s="26"/>
      <c r="BI1462" s="26"/>
      <c r="BJ1462" s="26"/>
      <c r="BK1462" s="26"/>
      <c r="BL1462" s="26"/>
      <c r="BS1462" s="20"/>
      <c r="BT1462" s="26"/>
      <c r="BV1462" s="381"/>
      <c r="BW1462" s="229"/>
    </row>
    <row r="1463" spans="33:75" x14ac:dyDescent="0.2">
      <c r="AG1463" s="294"/>
      <c r="AH1463" s="294"/>
      <c r="AI1463" s="294"/>
      <c r="AJ1463" s="26"/>
      <c r="AK1463" s="374"/>
      <c r="AL1463" s="374"/>
      <c r="AO1463" s="294"/>
      <c r="AR1463" s="374"/>
      <c r="AZ1463" s="374"/>
      <c r="BE1463" s="26"/>
      <c r="BF1463" s="26"/>
      <c r="BG1463" s="26"/>
      <c r="BH1463" s="26"/>
      <c r="BI1463" s="26"/>
      <c r="BJ1463" s="26"/>
      <c r="BK1463" s="26"/>
      <c r="BL1463" s="26"/>
      <c r="BS1463" s="20"/>
      <c r="BT1463" s="26"/>
      <c r="BV1463" s="381"/>
      <c r="BW1463" s="229"/>
    </row>
    <row r="1464" spans="33:75" x14ac:dyDescent="0.2">
      <c r="AG1464" s="294"/>
      <c r="AH1464" s="294"/>
      <c r="AI1464" s="294"/>
      <c r="AJ1464" s="26"/>
      <c r="AK1464" s="374"/>
      <c r="AL1464" s="374"/>
      <c r="AO1464" s="294"/>
      <c r="AR1464" s="374"/>
      <c r="AZ1464" s="374"/>
      <c r="BE1464" s="26"/>
      <c r="BF1464" s="26"/>
      <c r="BG1464" s="26"/>
      <c r="BH1464" s="26"/>
      <c r="BI1464" s="26"/>
      <c r="BJ1464" s="26"/>
      <c r="BK1464" s="26"/>
      <c r="BL1464" s="26"/>
      <c r="BS1464" s="20"/>
      <c r="BT1464" s="26"/>
      <c r="BV1464" s="381"/>
      <c r="BW1464" s="229"/>
    </row>
    <row r="1465" spans="33:75" x14ac:dyDescent="0.2">
      <c r="AG1465" s="294"/>
      <c r="AH1465" s="294"/>
      <c r="AI1465" s="294"/>
      <c r="AJ1465" s="26"/>
      <c r="AK1465" s="374"/>
      <c r="AL1465" s="374"/>
      <c r="AO1465" s="294"/>
      <c r="AR1465" s="374"/>
      <c r="AZ1465" s="374"/>
      <c r="BE1465" s="26"/>
      <c r="BF1465" s="26"/>
      <c r="BG1465" s="26"/>
      <c r="BH1465" s="26"/>
      <c r="BI1465" s="26"/>
      <c r="BJ1465" s="26"/>
      <c r="BK1465" s="26"/>
      <c r="BL1465" s="26"/>
      <c r="BS1465" s="20"/>
      <c r="BT1465" s="26"/>
      <c r="BV1465" s="381"/>
      <c r="BW1465" s="229"/>
    </row>
    <row r="1466" spans="33:75" x14ac:dyDescent="0.2">
      <c r="AG1466" s="294"/>
      <c r="AH1466" s="294"/>
      <c r="AI1466" s="294"/>
      <c r="AJ1466" s="26"/>
      <c r="AK1466" s="374"/>
      <c r="AL1466" s="374"/>
      <c r="AO1466" s="294"/>
      <c r="AR1466" s="374"/>
      <c r="AZ1466" s="374"/>
      <c r="BE1466" s="26"/>
      <c r="BF1466" s="26"/>
      <c r="BG1466" s="26"/>
      <c r="BH1466" s="26"/>
      <c r="BI1466" s="26"/>
      <c r="BJ1466" s="26"/>
      <c r="BK1466" s="26"/>
      <c r="BL1466" s="26"/>
      <c r="BS1466" s="20"/>
      <c r="BT1466" s="26"/>
      <c r="BV1466" s="381"/>
      <c r="BW1466" s="229"/>
    </row>
    <row r="1467" spans="33:75" x14ac:dyDescent="0.2">
      <c r="AG1467" s="294"/>
      <c r="AH1467" s="294"/>
      <c r="AI1467" s="294"/>
      <c r="AJ1467" s="26"/>
      <c r="AK1467" s="374"/>
      <c r="AL1467" s="374"/>
      <c r="AO1467" s="294"/>
      <c r="AR1467" s="374"/>
      <c r="AZ1467" s="374"/>
      <c r="BE1467" s="26"/>
      <c r="BF1467" s="26"/>
      <c r="BG1467" s="26"/>
      <c r="BH1467" s="26"/>
      <c r="BI1467" s="26"/>
      <c r="BJ1467" s="26"/>
      <c r="BK1467" s="26"/>
      <c r="BL1467" s="26"/>
      <c r="BS1467" s="20"/>
      <c r="BT1467" s="26"/>
      <c r="BV1467" s="381"/>
      <c r="BW1467" s="229"/>
    </row>
    <row r="1468" spans="33:75" x14ac:dyDescent="0.2">
      <c r="AG1468" s="294"/>
      <c r="AH1468" s="294"/>
      <c r="AI1468" s="294"/>
      <c r="AJ1468" s="26"/>
      <c r="AK1468" s="374"/>
      <c r="AL1468" s="374"/>
      <c r="AO1468" s="294"/>
      <c r="AR1468" s="374"/>
      <c r="AZ1468" s="374"/>
      <c r="BE1468" s="26"/>
      <c r="BF1468" s="26"/>
      <c r="BG1468" s="26"/>
      <c r="BH1468" s="26"/>
      <c r="BI1468" s="26"/>
      <c r="BJ1468" s="26"/>
      <c r="BK1468" s="26"/>
      <c r="BL1468" s="26"/>
      <c r="BS1468" s="20"/>
      <c r="BT1468" s="26"/>
      <c r="BV1468" s="381"/>
      <c r="BW1468" s="229"/>
    </row>
    <row r="1469" spans="33:75" x14ac:dyDescent="0.2">
      <c r="AG1469" s="294"/>
      <c r="AH1469" s="294"/>
      <c r="AI1469" s="294"/>
      <c r="AJ1469" s="26"/>
      <c r="AK1469" s="374"/>
      <c r="AL1469" s="374"/>
      <c r="AO1469" s="294"/>
      <c r="AR1469" s="374"/>
      <c r="AZ1469" s="374"/>
      <c r="BE1469" s="26"/>
      <c r="BF1469" s="26"/>
      <c r="BG1469" s="26"/>
      <c r="BH1469" s="26"/>
      <c r="BI1469" s="26"/>
      <c r="BJ1469" s="26"/>
      <c r="BK1469" s="26"/>
      <c r="BL1469" s="26"/>
      <c r="BS1469" s="20"/>
      <c r="BT1469" s="26"/>
      <c r="BV1469" s="381"/>
      <c r="BW1469" s="229"/>
    </row>
    <row r="1470" spans="33:75" x14ac:dyDescent="0.2">
      <c r="AG1470" s="294"/>
      <c r="AH1470" s="294"/>
      <c r="AI1470" s="294"/>
      <c r="AJ1470" s="26"/>
      <c r="AK1470" s="374"/>
      <c r="AL1470" s="374"/>
      <c r="AO1470" s="294"/>
      <c r="AR1470" s="374"/>
      <c r="AZ1470" s="374"/>
      <c r="BE1470" s="26"/>
      <c r="BF1470" s="26"/>
      <c r="BG1470" s="26"/>
      <c r="BH1470" s="26"/>
      <c r="BI1470" s="26"/>
      <c r="BJ1470" s="26"/>
      <c r="BK1470" s="26"/>
      <c r="BL1470" s="26"/>
      <c r="BS1470" s="20"/>
      <c r="BT1470" s="26"/>
      <c r="BV1470" s="381"/>
      <c r="BW1470" s="229"/>
    </row>
    <row r="1471" spans="33:75" x14ac:dyDescent="0.2">
      <c r="AG1471" s="294"/>
      <c r="AH1471" s="294"/>
      <c r="AI1471" s="294"/>
      <c r="AJ1471" s="26"/>
      <c r="AK1471" s="374"/>
      <c r="AL1471" s="374"/>
      <c r="AO1471" s="294"/>
      <c r="AR1471" s="374"/>
      <c r="AZ1471" s="374"/>
      <c r="BE1471" s="26"/>
      <c r="BF1471" s="26"/>
      <c r="BG1471" s="26"/>
      <c r="BH1471" s="26"/>
      <c r="BI1471" s="26"/>
      <c r="BJ1471" s="26"/>
      <c r="BK1471" s="26"/>
      <c r="BL1471" s="26"/>
      <c r="BS1471" s="20"/>
      <c r="BT1471" s="26"/>
      <c r="BV1471" s="381"/>
      <c r="BW1471" s="229"/>
    </row>
    <row r="1472" spans="33:75" x14ac:dyDescent="0.2">
      <c r="AG1472" s="294"/>
      <c r="AH1472" s="294"/>
      <c r="AI1472" s="294"/>
      <c r="AJ1472" s="26"/>
      <c r="AK1472" s="374"/>
      <c r="AL1472" s="374"/>
      <c r="AO1472" s="294"/>
      <c r="AR1472" s="374"/>
      <c r="AZ1472" s="374"/>
      <c r="BE1472" s="26"/>
      <c r="BF1472" s="26"/>
      <c r="BG1472" s="26"/>
      <c r="BH1472" s="26"/>
      <c r="BI1472" s="26"/>
      <c r="BJ1472" s="26"/>
      <c r="BK1472" s="26"/>
      <c r="BL1472" s="26"/>
      <c r="BS1472" s="20"/>
      <c r="BT1472" s="26"/>
      <c r="BV1472" s="381"/>
      <c r="BW1472" s="229"/>
    </row>
    <row r="1473" spans="33:75" x14ac:dyDescent="0.2">
      <c r="AG1473" s="294"/>
      <c r="AH1473" s="294"/>
      <c r="AI1473" s="294"/>
      <c r="AJ1473" s="26"/>
      <c r="AK1473" s="374"/>
      <c r="AL1473" s="374"/>
      <c r="AO1473" s="294"/>
      <c r="AR1473" s="374"/>
      <c r="AZ1473" s="374"/>
      <c r="BE1473" s="26"/>
      <c r="BF1473" s="26"/>
      <c r="BG1473" s="26"/>
      <c r="BH1473" s="26"/>
      <c r="BI1473" s="26"/>
      <c r="BJ1473" s="26"/>
      <c r="BK1473" s="26"/>
      <c r="BL1473" s="26"/>
      <c r="BS1473" s="20"/>
      <c r="BT1473" s="26"/>
      <c r="BV1473" s="381"/>
      <c r="BW1473" s="229"/>
    </row>
    <row r="1474" spans="33:75" x14ac:dyDescent="0.2">
      <c r="AG1474" s="294"/>
      <c r="AH1474" s="294"/>
      <c r="AI1474" s="294"/>
      <c r="AJ1474" s="26"/>
      <c r="AK1474" s="374"/>
      <c r="AL1474" s="374"/>
      <c r="AO1474" s="294"/>
      <c r="AR1474" s="374"/>
      <c r="AZ1474" s="374"/>
      <c r="BE1474" s="26"/>
      <c r="BF1474" s="26"/>
      <c r="BG1474" s="26"/>
      <c r="BH1474" s="26"/>
      <c r="BI1474" s="26"/>
      <c r="BJ1474" s="26"/>
      <c r="BK1474" s="26"/>
      <c r="BL1474" s="26"/>
      <c r="BS1474" s="20"/>
      <c r="BT1474" s="26"/>
      <c r="BV1474" s="381"/>
      <c r="BW1474" s="229"/>
    </row>
    <row r="1475" spans="33:75" x14ac:dyDescent="0.2">
      <c r="AG1475" s="294"/>
      <c r="AH1475" s="294"/>
      <c r="AI1475" s="294"/>
      <c r="AJ1475" s="26"/>
      <c r="AK1475" s="374"/>
      <c r="AL1475" s="374"/>
      <c r="AO1475" s="294"/>
      <c r="AR1475" s="374"/>
      <c r="AZ1475" s="374"/>
      <c r="BE1475" s="26"/>
      <c r="BF1475" s="26"/>
      <c r="BG1475" s="26"/>
      <c r="BH1475" s="26"/>
      <c r="BI1475" s="26"/>
      <c r="BJ1475" s="26"/>
      <c r="BK1475" s="26"/>
      <c r="BL1475" s="26"/>
      <c r="BS1475" s="20"/>
      <c r="BT1475" s="26"/>
      <c r="BV1475" s="381"/>
      <c r="BW1475" s="229"/>
    </row>
    <row r="1476" spans="33:75" x14ac:dyDescent="0.2">
      <c r="AG1476" s="294"/>
      <c r="AH1476" s="294"/>
      <c r="AI1476" s="294"/>
      <c r="AJ1476" s="26"/>
      <c r="AK1476" s="374"/>
      <c r="AL1476" s="374"/>
      <c r="AO1476" s="294"/>
      <c r="AR1476" s="374"/>
      <c r="AZ1476" s="374"/>
      <c r="BE1476" s="26"/>
      <c r="BF1476" s="26"/>
      <c r="BG1476" s="26"/>
      <c r="BH1476" s="26"/>
      <c r="BI1476" s="26"/>
      <c r="BJ1476" s="26"/>
      <c r="BK1476" s="26"/>
      <c r="BL1476" s="26"/>
      <c r="BS1476" s="20"/>
      <c r="BT1476" s="26"/>
      <c r="BV1476" s="381"/>
      <c r="BW1476" s="229"/>
    </row>
    <row r="1477" spans="33:75" x14ac:dyDescent="0.2">
      <c r="AG1477" s="294"/>
      <c r="AH1477" s="294"/>
      <c r="AI1477" s="294"/>
      <c r="AJ1477" s="26"/>
      <c r="AK1477" s="374"/>
      <c r="AL1477" s="374"/>
      <c r="AO1477" s="294"/>
      <c r="AR1477" s="374"/>
      <c r="AZ1477" s="374"/>
      <c r="BE1477" s="26"/>
      <c r="BF1477" s="26"/>
      <c r="BG1477" s="26"/>
      <c r="BH1477" s="26"/>
      <c r="BI1477" s="26"/>
      <c r="BJ1477" s="26"/>
      <c r="BK1477" s="26"/>
      <c r="BL1477" s="26"/>
      <c r="BS1477" s="20"/>
      <c r="BT1477" s="26"/>
      <c r="BV1477" s="381"/>
      <c r="BW1477" s="229"/>
    </row>
    <row r="1478" spans="33:75" x14ac:dyDescent="0.2">
      <c r="AG1478" s="294"/>
      <c r="AH1478" s="294"/>
      <c r="AI1478" s="294"/>
      <c r="AJ1478" s="26"/>
      <c r="AK1478" s="374"/>
      <c r="AL1478" s="374"/>
      <c r="AO1478" s="294"/>
      <c r="AR1478" s="374"/>
      <c r="AZ1478" s="374"/>
      <c r="BE1478" s="26"/>
      <c r="BF1478" s="26"/>
      <c r="BG1478" s="26"/>
      <c r="BH1478" s="26"/>
      <c r="BI1478" s="26"/>
      <c r="BJ1478" s="26"/>
      <c r="BK1478" s="26"/>
      <c r="BL1478" s="26"/>
      <c r="BS1478" s="20"/>
      <c r="BT1478" s="26"/>
      <c r="BV1478" s="381"/>
      <c r="BW1478" s="229"/>
    </row>
    <row r="1479" spans="33:75" x14ac:dyDescent="0.2">
      <c r="AG1479" s="294"/>
      <c r="AH1479" s="294"/>
      <c r="AI1479" s="294"/>
      <c r="AJ1479" s="26"/>
      <c r="AK1479" s="374"/>
      <c r="AL1479" s="374"/>
      <c r="AO1479" s="294"/>
      <c r="AR1479" s="374"/>
      <c r="AZ1479" s="374"/>
      <c r="BE1479" s="26"/>
      <c r="BF1479" s="26"/>
      <c r="BG1479" s="26"/>
      <c r="BH1479" s="26"/>
      <c r="BI1479" s="26"/>
      <c r="BJ1479" s="26"/>
      <c r="BK1479" s="26"/>
      <c r="BL1479" s="26"/>
      <c r="BS1479" s="20"/>
      <c r="BT1479" s="26"/>
      <c r="BV1479" s="381"/>
      <c r="BW1479" s="229"/>
    </row>
    <row r="1480" spans="33:75" x14ac:dyDescent="0.2">
      <c r="AG1480" s="294"/>
      <c r="AH1480" s="294"/>
      <c r="AI1480" s="294"/>
      <c r="AJ1480" s="26"/>
      <c r="AK1480" s="374"/>
      <c r="AL1480" s="374"/>
      <c r="AO1480" s="294"/>
      <c r="AR1480" s="374"/>
      <c r="AZ1480" s="374"/>
      <c r="BE1480" s="26"/>
      <c r="BF1480" s="26"/>
      <c r="BG1480" s="26"/>
      <c r="BH1480" s="26"/>
      <c r="BI1480" s="26"/>
      <c r="BJ1480" s="26"/>
      <c r="BK1480" s="26"/>
      <c r="BL1480" s="26"/>
      <c r="BS1480" s="20"/>
      <c r="BT1480" s="26"/>
      <c r="BV1480" s="381"/>
      <c r="BW1480" s="229"/>
    </row>
    <row r="1481" spans="33:75" x14ac:dyDescent="0.2">
      <c r="AG1481" s="294"/>
      <c r="AH1481" s="294"/>
      <c r="AI1481" s="294"/>
      <c r="AJ1481" s="26"/>
      <c r="AK1481" s="374"/>
      <c r="AL1481" s="374"/>
      <c r="AO1481" s="294"/>
      <c r="AR1481" s="374"/>
      <c r="AZ1481" s="374"/>
      <c r="BE1481" s="26"/>
      <c r="BF1481" s="26"/>
      <c r="BG1481" s="26"/>
      <c r="BH1481" s="26"/>
      <c r="BI1481" s="26"/>
      <c r="BJ1481" s="26"/>
      <c r="BK1481" s="26"/>
      <c r="BL1481" s="26"/>
      <c r="BS1481" s="20"/>
      <c r="BT1481" s="26"/>
      <c r="BV1481" s="381"/>
      <c r="BW1481" s="229"/>
    </row>
    <row r="1482" spans="33:75" x14ac:dyDescent="0.2">
      <c r="AG1482" s="294"/>
      <c r="AH1482" s="294"/>
      <c r="AI1482" s="294"/>
      <c r="AJ1482" s="26"/>
      <c r="AK1482" s="374"/>
      <c r="AL1482" s="374"/>
      <c r="AO1482" s="294"/>
      <c r="AR1482" s="374"/>
      <c r="AZ1482" s="374"/>
      <c r="BE1482" s="26"/>
      <c r="BF1482" s="26"/>
      <c r="BG1482" s="26"/>
      <c r="BH1482" s="26"/>
      <c r="BI1482" s="26"/>
      <c r="BJ1482" s="26"/>
      <c r="BK1482" s="26"/>
      <c r="BL1482" s="26"/>
      <c r="BS1482" s="20"/>
      <c r="BT1482" s="26"/>
      <c r="BV1482" s="381"/>
      <c r="BW1482" s="229"/>
    </row>
    <row r="1483" spans="33:75" x14ac:dyDescent="0.2">
      <c r="AG1483" s="294"/>
      <c r="AH1483" s="294"/>
      <c r="AI1483" s="294"/>
      <c r="AJ1483" s="26"/>
      <c r="AK1483" s="374"/>
      <c r="AL1483" s="374"/>
      <c r="AO1483" s="294"/>
      <c r="AR1483" s="374"/>
      <c r="AZ1483" s="374"/>
      <c r="BE1483" s="26"/>
      <c r="BF1483" s="26"/>
      <c r="BG1483" s="26"/>
      <c r="BH1483" s="26"/>
      <c r="BI1483" s="26"/>
      <c r="BJ1483" s="26"/>
      <c r="BK1483" s="26"/>
      <c r="BL1483" s="26"/>
      <c r="BS1483" s="20"/>
      <c r="BT1483" s="26"/>
      <c r="BV1483" s="381"/>
      <c r="BW1483" s="229"/>
    </row>
    <row r="1484" spans="33:75" x14ac:dyDescent="0.2">
      <c r="AG1484" s="294"/>
      <c r="AH1484" s="294"/>
      <c r="AI1484" s="294"/>
      <c r="AJ1484" s="26"/>
      <c r="AK1484" s="374"/>
      <c r="AL1484" s="374"/>
      <c r="AO1484" s="294"/>
      <c r="AR1484" s="374"/>
      <c r="AZ1484" s="374"/>
      <c r="BE1484" s="26"/>
      <c r="BF1484" s="26"/>
      <c r="BG1484" s="26"/>
      <c r="BH1484" s="26"/>
      <c r="BI1484" s="26"/>
      <c r="BJ1484" s="26"/>
      <c r="BK1484" s="26"/>
      <c r="BL1484" s="26"/>
      <c r="BS1484" s="20"/>
      <c r="BT1484" s="26"/>
      <c r="BV1484" s="381"/>
      <c r="BW1484" s="229"/>
    </row>
    <row r="1485" spans="33:75" x14ac:dyDescent="0.2">
      <c r="AG1485" s="294"/>
      <c r="AH1485" s="294"/>
      <c r="AI1485" s="294"/>
      <c r="AJ1485" s="26"/>
      <c r="AK1485" s="374"/>
      <c r="AL1485" s="374"/>
      <c r="AO1485" s="294"/>
      <c r="AR1485" s="374"/>
      <c r="AZ1485" s="374"/>
      <c r="BE1485" s="26"/>
      <c r="BF1485" s="26"/>
      <c r="BG1485" s="26"/>
      <c r="BH1485" s="26"/>
      <c r="BI1485" s="26"/>
      <c r="BJ1485" s="26"/>
      <c r="BK1485" s="26"/>
      <c r="BL1485" s="26"/>
      <c r="BS1485" s="20"/>
      <c r="BT1485" s="26"/>
      <c r="BV1485" s="381"/>
      <c r="BW1485" s="229"/>
    </row>
    <row r="1486" spans="33:75" x14ac:dyDescent="0.2">
      <c r="AG1486" s="294"/>
      <c r="AH1486" s="294"/>
      <c r="AI1486" s="294"/>
      <c r="AJ1486" s="26"/>
      <c r="AK1486" s="374"/>
      <c r="AL1486" s="374"/>
      <c r="AO1486" s="294"/>
      <c r="AR1486" s="374"/>
      <c r="AZ1486" s="374"/>
      <c r="BE1486" s="26"/>
      <c r="BF1486" s="26"/>
      <c r="BG1486" s="26"/>
      <c r="BH1486" s="26"/>
      <c r="BI1486" s="26"/>
      <c r="BJ1486" s="26"/>
      <c r="BK1486" s="26"/>
      <c r="BL1486" s="26"/>
      <c r="BS1486" s="20"/>
      <c r="BT1486" s="26"/>
      <c r="BV1486" s="381"/>
      <c r="BW1486" s="229"/>
    </row>
    <row r="1487" spans="33:75" x14ac:dyDescent="0.2">
      <c r="AG1487" s="294"/>
      <c r="AH1487" s="294"/>
      <c r="AI1487" s="294"/>
      <c r="AJ1487" s="26"/>
      <c r="AK1487" s="374"/>
      <c r="AL1487" s="374"/>
      <c r="AO1487" s="294"/>
      <c r="AR1487" s="374"/>
      <c r="AZ1487" s="374"/>
      <c r="BE1487" s="26"/>
      <c r="BF1487" s="26"/>
      <c r="BG1487" s="26"/>
      <c r="BH1487" s="26"/>
      <c r="BI1487" s="26"/>
      <c r="BJ1487" s="26"/>
      <c r="BK1487" s="26"/>
      <c r="BL1487" s="26"/>
      <c r="BS1487" s="20"/>
      <c r="BT1487" s="26"/>
      <c r="BV1487" s="381"/>
      <c r="BW1487" s="229"/>
    </row>
    <row r="1488" spans="33:75" x14ac:dyDescent="0.2">
      <c r="AG1488" s="294"/>
      <c r="AH1488" s="294"/>
      <c r="AI1488" s="294"/>
      <c r="AJ1488" s="26"/>
      <c r="AK1488" s="374"/>
      <c r="AL1488" s="374"/>
      <c r="AO1488" s="294"/>
      <c r="AR1488" s="374"/>
      <c r="AZ1488" s="374"/>
      <c r="BE1488" s="26"/>
      <c r="BF1488" s="26"/>
      <c r="BG1488" s="26"/>
      <c r="BH1488" s="26"/>
      <c r="BI1488" s="26"/>
      <c r="BJ1488" s="26"/>
      <c r="BK1488" s="26"/>
      <c r="BL1488" s="26"/>
      <c r="BS1488" s="20"/>
      <c r="BT1488" s="26"/>
      <c r="BV1488" s="381"/>
      <c r="BW1488" s="229"/>
    </row>
    <row r="1489" spans="33:75" x14ac:dyDescent="0.2">
      <c r="AG1489" s="294"/>
      <c r="AH1489" s="294"/>
      <c r="AI1489" s="294"/>
      <c r="AJ1489" s="26"/>
      <c r="AK1489" s="374"/>
      <c r="AL1489" s="374"/>
      <c r="AO1489" s="294"/>
      <c r="AR1489" s="374"/>
      <c r="AZ1489" s="374"/>
      <c r="BE1489" s="26"/>
      <c r="BF1489" s="26"/>
      <c r="BG1489" s="26"/>
      <c r="BH1489" s="26"/>
      <c r="BI1489" s="26"/>
      <c r="BJ1489" s="26"/>
      <c r="BK1489" s="26"/>
      <c r="BL1489" s="26"/>
      <c r="BS1489" s="20"/>
      <c r="BT1489" s="26"/>
      <c r="BV1489" s="381"/>
      <c r="BW1489" s="229"/>
    </row>
    <row r="1490" spans="33:75" x14ac:dyDescent="0.2">
      <c r="AG1490" s="294"/>
      <c r="AH1490" s="294"/>
      <c r="AI1490" s="294"/>
      <c r="AJ1490" s="26"/>
      <c r="AK1490" s="374"/>
      <c r="AL1490" s="374"/>
      <c r="AO1490" s="294"/>
      <c r="AR1490" s="374"/>
      <c r="AZ1490" s="374"/>
      <c r="BE1490" s="26"/>
      <c r="BF1490" s="26"/>
      <c r="BG1490" s="26"/>
      <c r="BH1490" s="26"/>
      <c r="BI1490" s="26"/>
      <c r="BJ1490" s="26"/>
      <c r="BK1490" s="26"/>
      <c r="BL1490" s="26"/>
      <c r="BS1490" s="20"/>
      <c r="BT1490" s="26"/>
      <c r="BV1490" s="381"/>
      <c r="BW1490" s="229"/>
    </row>
    <row r="1491" spans="33:75" x14ac:dyDescent="0.2">
      <c r="AG1491" s="294"/>
      <c r="AH1491" s="294"/>
      <c r="AI1491" s="294"/>
      <c r="AJ1491" s="26"/>
      <c r="AK1491" s="374"/>
      <c r="AL1491" s="374"/>
      <c r="AO1491" s="294"/>
      <c r="AR1491" s="374"/>
      <c r="AZ1491" s="374"/>
      <c r="BE1491" s="26"/>
      <c r="BF1491" s="26"/>
      <c r="BG1491" s="26"/>
      <c r="BH1491" s="26"/>
      <c r="BI1491" s="26"/>
      <c r="BJ1491" s="26"/>
      <c r="BK1491" s="26"/>
      <c r="BL1491" s="26"/>
      <c r="BS1491" s="20"/>
      <c r="BT1491" s="26"/>
      <c r="BV1491" s="381"/>
      <c r="BW1491" s="229"/>
    </row>
    <row r="1492" spans="33:75" x14ac:dyDescent="0.2">
      <c r="AG1492" s="294"/>
      <c r="AH1492" s="294"/>
      <c r="AI1492" s="294"/>
      <c r="AJ1492" s="26"/>
      <c r="AK1492" s="374"/>
      <c r="AL1492" s="374"/>
      <c r="AO1492" s="294"/>
      <c r="AR1492" s="374"/>
      <c r="AZ1492" s="374"/>
      <c r="BE1492" s="26"/>
      <c r="BF1492" s="26"/>
      <c r="BG1492" s="26"/>
      <c r="BH1492" s="26"/>
      <c r="BI1492" s="26"/>
      <c r="BJ1492" s="26"/>
      <c r="BK1492" s="26"/>
      <c r="BL1492" s="26"/>
      <c r="BS1492" s="20"/>
      <c r="BT1492" s="26"/>
      <c r="BV1492" s="381"/>
      <c r="BW1492" s="229"/>
    </row>
    <row r="1493" spans="33:75" x14ac:dyDescent="0.2">
      <c r="AG1493" s="294"/>
      <c r="AH1493" s="294"/>
      <c r="AI1493" s="294"/>
      <c r="AJ1493" s="26"/>
      <c r="AK1493" s="374"/>
      <c r="AL1493" s="374"/>
      <c r="AO1493" s="294"/>
      <c r="AR1493" s="374"/>
      <c r="AZ1493" s="374"/>
      <c r="BE1493" s="26"/>
      <c r="BF1493" s="26"/>
      <c r="BG1493" s="26"/>
      <c r="BH1493" s="26"/>
      <c r="BI1493" s="26"/>
      <c r="BJ1493" s="26"/>
      <c r="BK1493" s="26"/>
      <c r="BL1493" s="26"/>
      <c r="BS1493" s="20"/>
      <c r="BT1493" s="26"/>
      <c r="BV1493" s="381"/>
      <c r="BW1493" s="229"/>
    </row>
    <row r="1494" spans="33:75" x14ac:dyDescent="0.2">
      <c r="AG1494" s="294"/>
      <c r="AH1494" s="294"/>
      <c r="AI1494" s="294"/>
      <c r="AJ1494" s="26"/>
      <c r="AK1494" s="374"/>
      <c r="AL1494" s="374"/>
      <c r="AO1494" s="294"/>
      <c r="AR1494" s="374"/>
      <c r="AZ1494" s="374"/>
      <c r="BE1494" s="26"/>
      <c r="BF1494" s="26"/>
      <c r="BG1494" s="26"/>
      <c r="BH1494" s="26"/>
      <c r="BI1494" s="26"/>
      <c r="BJ1494" s="26"/>
      <c r="BK1494" s="26"/>
      <c r="BL1494" s="26"/>
      <c r="BS1494" s="20"/>
      <c r="BT1494" s="26"/>
      <c r="BV1494" s="381"/>
      <c r="BW1494" s="229"/>
    </row>
    <row r="1495" spans="33:75" x14ac:dyDescent="0.2">
      <c r="AG1495" s="294"/>
      <c r="AH1495" s="294"/>
      <c r="AI1495" s="294"/>
      <c r="AJ1495" s="26"/>
      <c r="AK1495" s="374"/>
      <c r="AL1495" s="374"/>
      <c r="AO1495" s="294"/>
      <c r="AR1495" s="374"/>
      <c r="AZ1495" s="374"/>
      <c r="BE1495" s="26"/>
      <c r="BF1495" s="26"/>
      <c r="BG1495" s="26"/>
      <c r="BH1495" s="26"/>
      <c r="BI1495" s="26"/>
      <c r="BJ1495" s="26"/>
      <c r="BK1495" s="26"/>
      <c r="BL1495" s="26"/>
      <c r="BS1495" s="20"/>
      <c r="BT1495" s="26"/>
      <c r="BV1495" s="381"/>
      <c r="BW1495" s="229"/>
    </row>
    <row r="1496" spans="33:75" x14ac:dyDescent="0.2">
      <c r="AG1496" s="294"/>
      <c r="AH1496" s="294"/>
      <c r="AI1496" s="294"/>
      <c r="AJ1496" s="26"/>
      <c r="AK1496" s="374"/>
      <c r="AL1496" s="374"/>
      <c r="AO1496" s="294"/>
      <c r="AR1496" s="374"/>
      <c r="AZ1496" s="374"/>
      <c r="BE1496" s="26"/>
      <c r="BF1496" s="26"/>
      <c r="BG1496" s="26"/>
      <c r="BH1496" s="26"/>
      <c r="BI1496" s="26"/>
      <c r="BJ1496" s="26"/>
      <c r="BK1496" s="26"/>
      <c r="BL1496" s="26"/>
      <c r="BS1496" s="20"/>
      <c r="BT1496" s="26"/>
      <c r="BV1496" s="381"/>
      <c r="BW1496" s="229"/>
    </row>
    <row r="1497" spans="33:75" x14ac:dyDescent="0.2">
      <c r="AG1497" s="294"/>
      <c r="AH1497" s="294"/>
      <c r="AI1497" s="294"/>
      <c r="AJ1497" s="26"/>
      <c r="AK1497" s="374"/>
      <c r="AL1497" s="374"/>
      <c r="AO1497" s="294"/>
      <c r="AR1497" s="374"/>
      <c r="AZ1497" s="374"/>
      <c r="BE1497" s="26"/>
      <c r="BF1497" s="26"/>
      <c r="BG1497" s="26"/>
      <c r="BH1497" s="26"/>
      <c r="BI1497" s="26"/>
      <c r="BJ1497" s="26"/>
      <c r="BK1497" s="26"/>
      <c r="BL1497" s="26"/>
      <c r="BS1497" s="20"/>
      <c r="BT1497" s="26"/>
      <c r="BV1497" s="381"/>
      <c r="BW1497" s="229"/>
    </row>
    <row r="1498" spans="33:75" x14ac:dyDescent="0.2">
      <c r="AG1498" s="294"/>
      <c r="AH1498" s="294"/>
      <c r="AI1498" s="294"/>
      <c r="AJ1498" s="26"/>
      <c r="AK1498" s="374"/>
      <c r="AL1498" s="374"/>
      <c r="AO1498" s="294"/>
      <c r="AR1498" s="374"/>
      <c r="AZ1498" s="374"/>
      <c r="BE1498" s="26"/>
      <c r="BF1498" s="26"/>
      <c r="BG1498" s="26"/>
      <c r="BH1498" s="26"/>
      <c r="BI1498" s="26"/>
      <c r="BJ1498" s="26"/>
      <c r="BK1498" s="26"/>
      <c r="BL1498" s="26"/>
      <c r="BS1498" s="20"/>
      <c r="BT1498" s="26"/>
      <c r="BV1498" s="381"/>
      <c r="BW1498" s="229"/>
    </row>
    <row r="1499" spans="33:75" x14ac:dyDescent="0.2">
      <c r="AG1499" s="294"/>
      <c r="AH1499" s="294"/>
      <c r="AI1499" s="294"/>
      <c r="AJ1499" s="26"/>
      <c r="AK1499" s="374"/>
      <c r="AL1499" s="374"/>
      <c r="AO1499" s="294"/>
      <c r="AR1499" s="374"/>
      <c r="AZ1499" s="374"/>
      <c r="BE1499" s="26"/>
      <c r="BF1499" s="26"/>
      <c r="BG1499" s="26"/>
      <c r="BH1499" s="26"/>
      <c r="BI1499" s="26"/>
      <c r="BJ1499" s="26"/>
      <c r="BK1499" s="26"/>
      <c r="BL1499" s="26"/>
      <c r="BS1499" s="20"/>
      <c r="BT1499" s="26"/>
      <c r="BV1499" s="381"/>
      <c r="BW1499" s="229"/>
    </row>
    <row r="1500" spans="33:75" x14ac:dyDescent="0.2">
      <c r="AG1500" s="294"/>
      <c r="AH1500" s="294"/>
      <c r="AI1500" s="294"/>
      <c r="AJ1500" s="26"/>
      <c r="AK1500" s="374"/>
      <c r="AL1500" s="374"/>
      <c r="AO1500" s="294"/>
      <c r="AR1500" s="374"/>
      <c r="AZ1500" s="374"/>
      <c r="BE1500" s="26"/>
      <c r="BF1500" s="26"/>
      <c r="BG1500" s="26"/>
      <c r="BH1500" s="26"/>
      <c r="BI1500" s="26"/>
      <c r="BJ1500" s="26"/>
      <c r="BK1500" s="26"/>
      <c r="BL1500" s="26"/>
      <c r="BS1500" s="20"/>
      <c r="BT1500" s="26"/>
      <c r="BV1500" s="381"/>
      <c r="BW1500" s="229"/>
    </row>
    <row r="1501" spans="33:75" x14ac:dyDescent="0.2">
      <c r="AG1501" s="294"/>
      <c r="AH1501" s="294"/>
      <c r="AI1501" s="294"/>
      <c r="AJ1501" s="26"/>
      <c r="AK1501" s="374"/>
      <c r="AL1501" s="374"/>
      <c r="AO1501" s="294"/>
      <c r="AR1501" s="374"/>
      <c r="AZ1501" s="374"/>
      <c r="BE1501" s="26"/>
      <c r="BF1501" s="26"/>
      <c r="BG1501" s="26"/>
      <c r="BH1501" s="26"/>
      <c r="BI1501" s="26"/>
      <c r="BJ1501" s="26"/>
      <c r="BK1501" s="26"/>
      <c r="BL1501" s="26"/>
      <c r="BS1501" s="20"/>
      <c r="BT1501" s="26"/>
      <c r="BV1501" s="381"/>
      <c r="BW1501" s="229"/>
    </row>
    <row r="1502" spans="33:75" x14ac:dyDescent="0.2">
      <c r="AG1502" s="294"/>
      <c r="AH1502" s="294"/>
      <c r="AI1502" s="294"/>
      <c r="AJ1502" s="26"/>
      <c r="AK1502" s="374"/>
      <c r="AL1502" s="374"/>
      <c r="AO1502" s="294"/>
      <c r="AR1502" s="374"/>
      <c r="AZ1502" s="374"/>
      <c r="BE1502" s="26"/>
      <c r="BF1502" s="26"/>
      <c r="BG1502" s="26"/>
      <c r="BH1502" s="26"/>
      <c r="BI1502" s="26"/>
      <c r="BJ1502" s="26"/>
      <c r="BK1502" s="26"/>
      <c r="BL1502" s="26"/>
      <c r="BS1502" s="20"/>
      <c r="BT1502" s="26"/>
      <c r="BV1502" s="381"/>
      <c r="BW1502" s="229"/>
    </row>
    <row r="1503" spans="33:75" x14ac:dyDescent="0.2">
      <c r="AG1503" s="294"/>
      <c r="AH1503" s="294"/>
      <c r="AI1503" s="294"/>
      <c r="AJ1503" s="26"/>
      <c r="AK1503" s="374"/>
      <c r="AL1503" s="374"/>
      <c r="AO1503" s="294"/>
      <c r="AR1503" s="374"/>
      <c r="AZ1503" s="374"/>
      <c r="BE1503" s="26"/>
      <c r="BF1503" s="26"/>
      <c r="BG1503" s="26"/>
      <c r="BH1503" s="26"/>
      <c r="BI1503" s="26"/>
      <c r="BJ1503" s="26"/>
      <c r="BK1503" s="26"/>
      <c r="BL1503" s="26"/>
      <c r="BS1503" s="20"/>
      <c r="BT1503" s="26"/>
      <c r="BV1503" s="381"/>
      <c r="BW1503" s="229"/>
    </row>
    <row r="1504" spans="33:75" x14ac:dyDescent="0.2">
      <c r="AG1504" s="294"/>
      <c r="AH1504" s="294"/>
      <c r="AI1504" s="294"/>
      <c r="AJ1504" s="26"/>
      <c r="AK1504" s="374"/>
      <c r="AL1504" s="374"/>
      <c r="AO1504" s="294"/>
      <c r="AR1504" s="374"/>
      <c r="AZ1504" s="374"/>
      <c r="BE1504" s="26"/>
      <c r="BF1504" s="26"/>
      <c r="BG1504" s="26"/>
      <c r="BH1504" s="26"/>
      <c r="BI1504" s="26"/>
      <c r="BJ1504" s="26"/>
      <c r="BK1504" s="26"/>
      <c r="BL1504" s="26"/>
      <c r="BS1504" s="20"/>
      <c r="BT1504" s="26"/>
      <c r="BV1504" s="381"/>
      <c r="BW1504" s="229"/>
    </row>
    <row r="1505" spans="33:75" x14ac:dyDescent="0.2">
      <c r="AG1505" s="294"/>
      <c r="AH1505" s="294"/>
      <c r="AI1505" s="294"/>
      <c r="AJ1505" s="26"/>
      <c r="AK1505" s="374"/>
      <c r="AL1505" s="374"/>
      <c r="AO1505" s="294"/>
      <c r="AR1505" s="374"/>
      <c r="AZ1505" s="374"/>
      <c r="BE1505" s="26"/>
      <c r="BF1505" s="26"/>
      <c r="BG1505" s="26"/>
      <c r="BH1505" s="26"/>
      <c r="BI1505" s="26"/>
      <c r="BJ1505" s="26"/>
      <c r="BK1505" s="26"/>
      <c r="BL1505" s="26"/>
      <c r="BS1505" s="20"/>
      <c r="BT1505" s="26"/>
      <c r="BU1505" s="381"/>
      <c r="BV1505" s="381"/>
      <c r="BW1505" s="229"/>
    </row>
    <row r="1506" spans="33:75" x14ac:dyDescent="0.2">
      <c r="AG1506" s="294"/>
      <c r="AH1506" s="294"/>
      <c r="AI1506" s="294"/>
      <c r="AJ1506" s="26"/>
      <c r="AK1506" s="374"/>
      <c r="AL1506" s="374"/>
      <c r="AO1506" s="294"/>
      <c r="AR1506" s="374"/>
      <c r="AZ1506" s="374"/>
      <c r="BE1506" s="26"/>
      <c r="BF1506" s="26"/>
      <c r="BG1506" s="26"/>
      <c r="BH1506" s="26"/>
      <c r="BI1506" s="26"/>
      <c r="BJ1506" s="26"/>
      <c r="BK1506" s="26"/>
      <c r="BL1506" s="26"/>
      <c r="BS1506" s="20"/>
      <c r="BT1506" s="26"/>
      <c r="BU1506" s="381"/>
      <c r="BV1506" s="381"/>
      <c r="BW1506" s="229"/>
    </row>
    <row r="1507" spans="33:75" x14ac:dyDescent="0.2">
      <c r="AG1507" s="294"/>
      <c r="AH1507" s="294"/>
      <c r="AI1507" s="294"/>
      <c r="AJ1507" s="26"/>
      <c r="AK1507" s="374"/>
      <c r="AL1507" s="374"/>
      <c r="AO1507" s="294"/>
      <c r="AR1507" s="374"/>
      <c r="AZ1507" s="374"/>
      <c r="BE1507" s="26"/>
      <c r="BF1507" s="26"/>
      <c r="BG1507" s="26"/>
      <c r="BH1507" s="26"/>
      <c r="BI1507" s="26"/>
      <c r="BJ1507" s="26"/>
      <c r="BK1507" s="26"/>
      <c r="BL1507" s="26"/>
      <c r="BS1507" s="20"/>
      <c r="BT1507" s="26"/>
      <c r="BU1507" s="381"/>
      <c r="BV1507" s="381"/>
      <c r="BW1507" s="229"/>
    </row>
    <row r="1508" spans="33:75" x14ac:dyDescent="0.2">
      <c r="AG1508" s="294"/>
      <c r="AH1508" s="294"/>
      <c r="AI1508" s="294"/>
      <c r="AJ1508" s="26"/>
      <c r="AK1508" s="374"/>
      <c r="AL1508" s="374"/>
      <c r="AO1508" s="294"/>
      <c r="AR1508" s="374"/>
      <c r="AZ1508" s="374"/>
      <c r="BE1508" s="26"/>
      <c r="BF1508" s="26"/>
      <c r="BG1508" s="26"/>
      <c r="BH1508" s="26"/>
      <c r="BI1508" s="26"/>
      <c r="BJ1508" s="26"/>
      <c r="BK1508" s="26"/>
      <c r="BL1508" s="26"/>
      <c r="BS1508" s="20"/>
      <c r="BT1508" s="26"/>
      <c r="BU1508" s="381"/>
      <c r="BV1508" s="381"/>
      <c r="BW1508" s="229"/>
    </row>
    <row r="1509" spans="33:75" x14ac:dyDescent="0.2">
      <c r="AG1509" s="294"/>
      <c r="AH1509" s="294"/>
      <c r="AI1509" s="294"/>
      <c r="AJ1509" s="26"/>
      <c r="AK1509" s="374"/>
      <c r="AL1509" s="374"/>
      <c r="AO1509" s="294"/>
      <c r="AR1509" s="374"/>
      <c r="AZ1509" s="374"/>
      <c r="BE1509" s="26"/>
      <c r="BF1509" s="26"/>
      <c r="BG1509" s="26"/>
      <c r="BH1509" s="26"/>
      <c r="BI1509" s="26"/>
      <c r="BJ1509" s="26"/>
      <c r="BK1509" s="26"/>
      <c r="BL1509" s="26"/>
      <c r="BS1509" s="20"/>
      <c r="BT1509" s="26"/>
      <c r="BU1509" s="381"/>
      <c r="BV1509" s="381"/>
      <c r="BW1509" s="229"/>
    </row>
    <row r="1510" spans="33:75" x14ac:dyDescent="0.2">
      <c r="AG1510" s="294"/>
      <c r="AH1510" s="294"/>
      <c r="AI1510" s="294"/>
      <c r="AJ1510" s="26"/>
      <c r="AK1510" s="374"/>
      <c r="AL1510" s="374"/>
      <c r="AO1510" s="294"/>
      <c r="AR1510" s="374"/>
      <c r="AZ1510" s="374"/>
      <c r="BE1510" s="26"/>
      <c r="BF1510" s="26"/>
      <c r="BG1510" s="26"/>
      <c r="BH1510" s="26"/>
      <c r="BI1510" s="26"/>
      <c r="BJ1510" s="26"/>
      <c r="BK1510" s="26"/>
      <c r="BL1510" s="26"/>
      <c r="BS1510" s="20"/>
      <c r="BT1510" s="26"/>
      <c r="BU1510" s="381"/>
      <c r="BV1510" s="381"/>
      <c r="BW1510" s="229"/>
    </row>
    <row r="1511" spans="33:75" x14ac:dyDescent="0.2">
      <c r="AG1511" s="294"/>
      <c r="AH1511" s="294"/>
      <c r="AI1511" s="294"/>
      <c r="AJ1511" s="26"/>
      <c r="AK1511" s="374"/>
      <c r="AL1511" s="374"/>
      <c r="AO1511" s="294"/>
      <c r="AR1511" s="374"/>
      <c r="AZ1511" s="374"/>
      <c r="BE1511" s="26"/>
      <c r="BF1511" s="26"/>
      <c r="BG1511" s="26"/>
      <c r="BH1511" s="26"/>
      <c r="BI1511" s="26"/>
      <c r="BJ1511" s="26"/>
      <c r="BK1511" s="26"/>
      <c r="BL1511" s="26"/>
      <c r="BS1511" s="20"/>
      <c r="BT1511" s="26"/>
      <c r="BU1511" s="381"/>
      <c r="BV1511" s="381"/>
      <c r="BW1511" s="229"/>
    </row>
    <row r="1512" spans="33:75" x14ac:dyDescent="0.2">
      <c r="AG1512" s="294"/>
      <c r="AH1512" s="294"/>
      <c r="AI1512" s="294"/>
      <c r="AJ1512" s="26"/>
      <c r="AK1512" s="374"/>
      <c r="AL1512" s="374"/>
      <c r="AO1512" s="294"/>
      <c r="AR1512" s="374"/>
      <c r="AZ1512" s="374"/>
      <c r="BE1512" s="26"/>
      <c r="BF1512" s="26"/>
      <c r="BG1512" s="26"/>
      <c r="BH1512" s="26"/>
      <c r="BI1512" s="26"/>
      <c r="BJ1512" s="26"/>
      <c r="BK1512" s="26"/>
      <c r="BL1512" s="26"/>
      <c r="BS1512" s="20"/>
      <c r="BT1512" s="26"/>
      <c r="BU1512" s="381"/>
      <c r="BV1512" s="381"/>
      <c r="BW1512" s="229"/>
    </row>
    <row r="1513" spans="33:75" x14ac:dyDescent="0.2">
      <c r="AG1513" s="294"/>
      <c r="AH1513" s="294"/>
      <c r="AI1513" s="294"/>
      <c r="AJ1513" s="26"/>
      <c r="AK1513" s="374"/>
      <c r="AL1513" s="374"/>
      <c r="AO1513" s="294"/>
      <c r="AR1513" s="374"/>
      <c r="AZ1513" s="374"/>
      <c r="BE1513" s="26"/>
      <c r="BF1513" s="26"/>
      <c r="BG1513" s="26"/>
      <c r="BH1513" s="26"/>
      <c r="BI1513" s="26"/>
      <c r="BJ1513" s="26"/>
      <c r="BK1513" s="26"/>
      <c r="BL1513" s="26"/>
      <c r="BS1513" s="20"/>
      <c r="BT1513" s="26"/>
      <c r="BU1513" s="381"/>
      <c r="BV1513" s="381"/>
      <c r="BW1513" s="229"/>
    </row>
    <row r="1514" spans="33:75" x14ac:dyDescent="0.2">
      <c r="AG1514" s="294"/>
      <c r="AH1514" s="294"/>
      <c r="AI1514" s="294"/>
      <c r="AJ1514" s="26"/>
      <c r="AK1514" s="374"/>
      <c r="AL1514" s="374"/>
      <c r="AO1514" s="294"/>
      <c r="AR1514" s="374"/>
      <c r="AZ1514" s="374"/>
      <c r="BE1514" s="26"/>
      <c r="BF1514" s="26"/>
      <c r="BG1514" s="26"/>
      <c r="BH1514" s="26"/>
      <c r="BI1514" s="26"/>
      <c r="BJ1514" s="26"/>
      <c r="BK1514" s="26"/>
      <c r="BL1514" s="26"/>
      <c r="BS1514" s="20"/>
      <c r="BT1514" s="26"/>
      <c r="BU1514" s="381"/>
      <c r="BV1514" s="381"/>
      <c r="BW1514" s="229"/>
    </row>
    <row r="1515" spans="33:75" x14ac:dyDescent="0.2">
      <c r="AG1515" s="294"/>
      <c r="AH1515" s="294"/>
      <c r="AI1515" s="294"/>
      <c r="AJ1515" s="26"/>
      <c r="AK1515" s="374"/>
      <c r="AL1515" s="374"/>
      <c r="AO1515" s="294"/>
      <c r="AR1515" s="374"/>
      <c r="AZ1515" s="374"/>
      <c r="BE1515" s="26"/>
      <c r="BF1515" s="26"/>
      <c r="BG1515" s="26"/>
      <c r="BH1515" s="26"/>
      <c r="BI1515" s="26"/>
      <c r="BJ1515" s="26"/>
      <c r="BK1515" s="26"/>
      <c r="BL1515" s="26"/>
      <c r="BS1515" s="20"/>
      <c r="BT1515" s="26"/>
      <c r="BU1515" s="381"/>
      <c r="BV1515" s="381"/>
      <c r="BW1515" s="229"/>
    </row>
    <row r="1516" spans="33:75" x14ac:dyDescent="0.2">
      <c r="AG1516" s="294"/>
      <c r="AH1516" s="294"/>
      <c r="AI1516" s="294"/>
      <c r="AJ1516" s="26"/>
      <c r="AK1516" s="374"/>
      <c r="AL1516" s="374"/>
      <c r="AO1516" s="294"/>
      <c r="AR1516" s="374"/>
      <c r="AZ1516" s="374"/>
      <c r="BE1516" s="26"/>
      <c r="BF1516" s="26"/>
      <c r="BG1516" s="26"/>
      <c r="BH1516" s="26"/>
      <c r="BI1516" s="26"/>
      <c r="BJ1516" s="26"/>
      <c r="BK1516" s="26"/>
      <c r="BL1516" s="26"/>
      <c r="BS1516" s="20"/>
      <c r="BT1516" s="26"/>
      <c r="BU1516" s="381"/>
      <c r="BV1516" s="381"/>
      <c r="BW1516" s="229"/>
    </row>
    <row r="1517" spans="33:75" x14ac:dyDescent="0.2">
      <c r="AG1517" s="294"/>
      <c r="AH1517" s="294"/>
      <c r="AI1517" s="294"/>
      <c r="AJ1517" s="26"/>
      <c r="AK1517" s="374"/>
      <c r="AL1517" s="374"/>
      <c r="AO1517" s="294"/>
      <c r="AR1517" s="374"/>
      <c r="AZ1517" s="374"/>
      <c r="BE1517" s="26"/>
      <c r="BF1517" s="26"/>
      <c r="BG1517" s="26"/>
      <c r="BH1517" s="26"/>
      <c r="BI1517" s="26"/>
      <c r="BJ1517" s="26"/>
      <c r="BK1517" s="26"/>
      <c r="BL1517" s="26"/>
      <c r="BS1517" s="20"/>
      <c r="BT1517" s="26"/>
      <c r="BU1517" s="381"/>
      <c r="BV1517" s="381"/>
      <c r="BW1517" s="229"/>
    </row>
    <row r="1518" spans="33:75" x14ac:dyDescent="0.2">
      <c r="AG1518" s="294"/>
      <c r="AH1518" s="294"/>
      <c r="AI1518" s="294"/>
      <c r="AJ1518" s="26"/>
      <c r="AK1518" s="374"/>
      <c r="AL1518" s="374"/>
      <c r="AO1518" s="294"/>
      <c r="AR1518" s="374"/>
      <c r="AZ1518" s="374"/>
      <c r="BE1518" s="26"/>
      <c r="BF1518" s="26"/>
      <c r="BG1518" s="26"/>
      <c r="BH1518" s="26"/>
      <c r="BI1518" s="26"/>
      <c r="BJ1518" s="26"/>
      <c r="BK1518" s="26"/>
      <c r="BL1518" s="26"/>
      <c r="BS1518" s="20"/>
      <c r="BT1518" s="26"/>
      <c r="BU1518" s="381"/>
      <c r="BV1518" s="381"/>
      <c r="BW1518" s="229"/>
    </row>
    <row r="1519" spans="33:75" x14ac:dyDescent="0.2">
      <c r="AG1519" s="294"/>
      <c r="AH1519" s="294"/>
      <c r="AI1519" s="294"/>
      <c r="AJ1519" s="26"/>
      <c r="AK1519" s="374"/>
      <c r="AL1519" s="374"/>
      <c r="AO1519" s="294"/>
      <c r="AR1519" s="374"/>
      <c r="AZ1519" s="374"/>
      <c r="BE1519" s="26"/>
      <c r="BF1519" s="26"/>
      <c r="BG1519" s="26"/>
      <c r="BH1519" s="26"/>
      <c r="BI1519" s="26"/>
      <c r="BJ1519" s="26"/>
      <c r="BK1519" s="26"/>
      <c r="BL1519" s="26"/>
      <c r="BS1519" s="20"/>
      <c r="BT1519" s="26"/>
      <c r="BU1519" s="381"/>
      <c r="BV1519" s="381"/>
      <c r="BW1519" s="229"/>
    </row>
    <row r="1520" spans="33:75" x14ac:dyDescent="0.2">
      <c r="AG1520" s="294"/>
      <c r="AH1520" s="294"/>
      <c r="AI1520" s="294"/>
      <c r="AJ1520" s="26"/>
      <c r="AK1520" s="374"/>
      <c r="AL1520" s="374"/>
      <c r="AO1520" s="294"/>
      <c r="AR1520" s="374"/>
      <c r="AZ1520" s="374"/>
      <c r="BE1520" s="26"/>
      <c r="BF1520" s="26"/>
      <c r="BG1520" s="26"/>
      <c r="BH1520" s="26"/>
      <c r="BI1520" s="26"/>
      <c r="BJ1520" s="26"/>
      <c r="BK1520" s="26"/>
      <c r="BL1520" s="26"/>
      <c r="BS1520" s="20"/>
      <c r="BT1520" s="26"/>
      <c r="BU1520" s="381"/>
      <c r="BV1520" s="381"/>
      <c r="BW1520" s="229"/>
    </row>
    <row r="1521" spans="33:75" x14ac:dyDescent="0.2">
      <c r="AG1521" s="294"/>
      <c r="AH1521" s="294"/>
      <c r="AI1521" s="294"/>
      <c r="AJ1521" s="26"/>
      <c r="AK1521" s="374"/>
      <c r="AL1521" s="374"/>
      <c r="AO1521" s="294"/>
      <c r="AR1521" s="374"/>
      <c r="AZ1521" s="374"/>
      <c r="BE1521" s="26"/>
      <c r="BF1521" s="26"/>
      <c r="BG1521" s="26"/>
      <c r="BH1521" s="26"/>
      <c r="BI1521" s="26"/>
      <c r="BJ1521" s="26"/>
      <c r="BK1521" s="26"/>
      <c r="BL1521" s="26"/>
      <c r="BS1521" s="20"/>
      <c r="BT1521" s="26"/>
      <c r="BU1521" s="381"/>
      <c r="BV1521" s="381"/>
      <c r="BW1521" s="229"/>
    </row>
    <row r="1522" spans="33:75" x14ac:dyDescent="0.2">
      <c r="AG1522" s="294"/>
      <c r="AH1522" s="294"/>
      <c r="AI1522" s="294"/>
      <c r="AJ1522" s="26"/>
      <c r="AK1522" s="374"/>
      <c r="AL1522" s="374"/>
      <c r="AO1522" s="294"/>
      <c r="AR1522" s="374"/>
      <c r="AZ1522" s="374"/>
      <c r="BE1522" s="26"/>
      <c r="BF1522" s="26"/>
      <c r="BG1522" s="26"/>
      <c r="BH1522" s="26"/>
      <c r="BI1522" s="26"/>
      <c r="BJ1522" s="26"/>
      <c r="BK1522" s="26"/>
      <c r="BL1522" s="26"/>
      <c r="BS1522" s="20"/>
      <c r="BT1522" s="26"/>
      <c r="BU1522" s="381"/>
      <c r="BV1522" s="381"/>
      <c r="BW1522" s="229"/>
    </row>
    <row r="1523" spans="33:75" x14ac:dyDescent="0.2">
      <c r="AG1523" s="294"/>
      <c r="AH1523" s="294"/>
      <c r="AI1523" s="294"/>
      <c r="AJ1523" s="26"/>
      <c r="AK1523" s="374"/>
      <c r="AL1523" s="374"/>
      <c r="AO1523" s="294"/>
      <c r="AR1523" s="374"/>
      <c r="AZ1523" s="374"/>
      <c r="BE1523" s="26"/>
      <c r="BF1523" s="26"/>
      <c r="BG1523" s="26"/>
      <c r="BH1523" s="26"/>
      <c r="BI1523" s="26"/>
      <c r="BJ1523" s="26"/>
      <c r="BK1523" s="26"/>
      <c r="BL1523" s="26"/>
      <c r="BS1523" s="20"/>
      <c r="BT1523" s="26"/>
      <c r="BU1523" s="381"/>
      <c r="BV1523" s="381"/>
      <c r="BW1523" s="229"/>
    </row>
    <row r="1524" spans="33:75" x14ac:dyDescent="0.2">
      <c r="AG1524" s="294"/>
      <c r="AH1524" s="294"/>
      <c r="AI1524" s="294"/>
      <c r="AJ1524" s="26"/>
      <c r="AK1524" s="374"/>
      <c r="AL1524" s="374"/>
      <c r="AO1524" s="294"/>
      <c r="AR1524" s="374"/>
      <c r="AZ1524" s="374"/>
      <c r="BE1524" s="26"/>
      <c r="BF1524" s="26"/>
      <c r="BG1524" s="26"/>
      <c r="BH1524" s="26"/>
      <c r="BI1524" s="26"/>
      <c r="BJ1524" s="26"/>
      <c r="BK1524" s="26"/>
      <c r="BL1524" s="26"/>
      <c r="BS1524" s="20"/>
      <c r="BT1524" s="26"/>
      <c r="BU1524" s="381"/>
      <c r="BV1524" s="381"/>
      <c r="BW1524" s="229"/>
    </row>
    <row r="1525" spans="33:75" x14ac:dyDescent="0.2">
      <c r="AG1525" s="294"/>
      <c r="AH1525" s="294"/>
      <c r="AI1525" s="294"/>
      <c r="AJ1525" s="26"/>
      <c r="AK1525" s="374"/>
      <c r="AL1525" s="374"/>
      <c r="AO1525" s="294"/>
      <c r="AR1525" s="374"/>
      <c r="AZ1525" s="374"/>
      <c r="BE1525" s="26"/>
      <c r="BF1525" s="26"/>
      <c r="BG1525" s="26"/>
      <c r="BH1525" s="26"/>
      <c r="BI1525" s="26"/>
      <c r="BJ1525" s="26"/>
      <c r="BK1525" s="26"/>
      <c r="BL1525" s="26"/>
      <c r="BS1525" s="20"/>
      <c r="BT1525" s="26"/>
      <c r="BU1525" s="381"/>
      <c r="BV1525" s="381"/>
      <c r="BW1525" s="229"/>
    </row>
    <row r="1526" spans="33:75" x14ac:dyDescent="0.2">
      <c r="AG1526" s="294"/>
      <c r="AH1526" s="294"/>
      <c r="AI1526" s="294"/>
      <c r="AJ1526" s="26"/>
      <c r="AK1526" s="374"/>
      <c r="AL1526" s="374"/>
      <c r="AO1526" s="294"/>
      <c r="AR1526" s="374"/>
      <c r="AZ1526" s="374"/>
      <c r="BE1526" s="26"/>
      <c r="BF1526" s="26"/>
      <c r="BG1526" s="26"/>
      <c r="BH1526" s="26"/>
      <c r="BI1526" s="26"/>
      <c r="BJ1526" s="26"/>
      <c r="BK1526" s="26"/>
      <c r="BL1526" s="26"/>
      <c r="BS1526" s="20"/>
      <c r="BT1526" s="26"/>
      <c r="BU1526" s="381"/>
      <c r="BV1526" s="381"/>
      <c r="BW1526" s="229"/>
    </row>
    <row r="1527" spans="33:75" x14ac:dyDescent="0.2">
      <c r="AG1527" s="294"/>
      <c r="AH1527" s="294"/>
      <c r="AI1527" s="294"/>
      <c r="AJ1527" s="26"/>
      <c r="AK1527" s="374"/>
      <c r="AL1527" s="374"/>
      <c r="AO1527" s="294"/>
      <c r="AR1527" s="374"/>
      <c r="AZ1527" s="374"/>
      <c r="BE1527" s="26"/>
      <c r="BF1527" s="26"/>
      <c r="BG1527" s="26"/>
      <c r="BH1527" s="26"/>
      <c r="BI1527" s="26"/>
      <c r="BJ1527" s="26"/>
      <c r="BK1527" s="26"/>
      <c r="BL1527" s="26"/>
      <c r="BS1527" s="20"/>
      <c r="BT1527" s="26"/>
      <c r="BU1527" s="381"/>
      <c r="BV1527" s="381"/>
      <c r="BW1527" s="229"/>
    </row>
    <row r="1528" spans="33:75" x14ac:dyDescent="0.2">
      <c r="AG1528" s="294"/>
      <c r="AH1528" s="294"/>
      <c r="AI1528" s="294"/>
      <c r="AJ1528" s="26"/>
      <c r="AK1528" s="374"/>
      <c r="AL1528" s="374"/>
      <c r="AO1528" s="294"/>
      <c r="AR1528" s="374"/>
      <c r="AZ1528" s="374"/>
      <c r="BE1528" s="26"/>
      <c r="BF1528" s="26"/>
      <c r="BG1528" s="26"/>
      <c r="BH1528" s="26"/>
      <c r="BI1528" s="26"/>
      <c r="BJ1528" s="26"/>
      <c r="BK1528" s="26"/>
      <c r="BL1528" s="26"/>
      <c r="BS1528" s="20"/>
      <c r="BT1528" s="26"/>
      <c r="BU1528" s="381"/>
      <c r="BV1528" s="381"/>
      <c r="BW1528" s="229"/>
    </row>
    <row r="1529" spans="33:75" x14ac:dyDescent="0.2">
      <c r="AG1529" s="294"/>
      <c r="AH1529" s="294"/>
      <c r="AI1529" s="294"/>
      <c r="AJ1529" s="26"/>
      <c r="AK1529" s="374"/>
      <c r="AL1529" s="374"/>
      <c r="AO1529" s="294"/>
      <c r="AR1529" s="374"/>
      <c r="AZ1529" s="374"/>
      <c r="BE1529" s="26"/>
      <c r="BF1529" s="26"/>
      <c r="BG1529" s="26"/>
      <c r="BH1529" s="26"/>
      <c r="BI1529" s="26"/>
      <c r="BJ1529" s="26"/>
      <c r="BK1529" s="26"/>
      <c r="BL1529" s="26"/>
      <c r="BS1529" s="20"/>
      <c r="BT1529" s="26"/>
      <c r="BU1529" s="381"/>
      <c r="BV1529" s="381"/>
      <c r="BW1529" s="229"/>
    </row>
    <row r="1530" spans="33:75" x14ac:dyDescent="0.2">
      <c r="AG1530" s="294"/>
      <c r="AH1530" s="294"/>
      <c r="AI1530" s="294"/>
      <c r="AJ1530" s="26"/>
      <c r="AK1530" s="374"/>
      <c r="AL1530" s="374"/>
      <c r="AO1530" s="294"/>
      <c r="AR1530" s="374"/>
      <c r="AZ1530" s="374"/>
      <c r="BE1530" s="26"/>
      <c r="BF1530" s="26"/>
      <c r="BG1530" s="26"/>
      <c r="BH1530" s="26"/>
      <c r="BI1530" s="26"/>
      <c r="BJ1530" s="26"/>
      <c r="BK1530" s="26"/>
      <c r="BL1530" s="26"/>
      <c r="BS1530" s="20"/>
      <c r="BT1530" s="26"/>
      <c r="BU1530" s="381"/>
      <c r="BV1530" s="381"/>
      <c r="BW1530" s="229"/>
    </row>
    <row r="1531" spans="33:75" x14ac:dyDescent="0.2">
      <c r="AG1531" s="294"/>
      <c r="AH1531" s="294"/>
      <c r="AI1531" s="294"/>
      <c r="AJ1531" s="26"/>
      <c r="AK1531" s="374"/>
      <c r="AL1531" s="374"/>
      <c r="AO1531" s="294"/>
      <c r="AR1531" s="374"/>
      <c r="AZ1531" s="374"/>
      <c r="BE1531" s="26"/>
      <c r="BF1531" s="26"/>
      <c r="BG1531" s="26"/>
      <c r="BH1531" s="26"/>
      <c r="BI1531" s="26"/>
      <c r="BJ1531" s="26"/>
      <c r="BK1531" s="26"/>
      <c r="BL1531" s="26"/>
      <c r="BS1531" s="20"/>
      <c r="BT1531" s="26"/>
      <c r="BU1531" s="381"/>
      <c r="BV1531" s="381"/>
      <c r="BW1531" s="229"/>
    </row>
    <row r="1532" spans="33:75" x14ac:dyDescent="0.2">
      <c r="AG1532" s="294"/>
      <c r="AH1532" s="294"/>
      <c r="AI1532" s="294"/>
      <c r="AJ1532" s="26"/>
      <c r="AK1532" s="374"/>
      <c r="AL1532" s="374"/>
      <c r="AO1532" s="294"/>
      <c r="AR1532" s="374"/>
      <c r="AZ1532" s="374"/>
      <c r="BE1532" s="26"/>
      <c r="BF1532" s="26"/>
      <c r="BG1532" s="26"/>
      <c r="BH1532" s="26"/>
      <c r="BI1532" s="26"/>
      <c r="BJ1532" s="26"/>
      <c r="BK1532" s="26"/>
      <c r="BL1532" s="26"/>
      <c r="BS1532" s="20"/>
      <c r="BT1532" s="26"/>
      <c r="BU1532" s="381"/>
      <c r="BV1532" s="381"/>
      <c r="BW1532" s="229"/>
    </row>
    <row r="1533" spans="33:75" x14ac:dyDescent="0.2">
      <c r="AG1533" s="294"/>
      <c r="AH1533" s="294"/>
      <c r="AI1533" s="294"/>
      <c r="AJ1533" s="26"/>
      <c r="AK1533" s="374"/>
      <c r="AL1533" s="374"/>
      <c r="AO1533" s="294"/>
      <c r="AR1533" s="374"/>
      <c r="AZ1533" s="374"/>
      <c r="BE1533" s="26"/>
      <c r="BF1533" s="26"/>
      <c r="BG1533" s="26"/>
      <c r="BH1533" s="26"/>
      <c r="BI1533" s="26"/>
      <c r="BJ1533" s="26"/>
      <c r="BK1533" s="26"/>
      <c r="BL1533" s="26"/>
      <c r="BS1533" s="20"/>
      <c r="BT1533" s="26"/>
      <c r="BU1533" s="381"/>
      <c r="BV1533" s="381"/>
      <c r="BW1533" s="229"/>
    </row>
    <row r="1534" spans="33:75" x14ac:dyDescent="0.2">
      <c r="AG1534" s="294"/>
      <c r="AH1534" s="294"/>
      <c r="AI1534" s="294"/>
      <c r="AJ1534" s="26"/>
      <c r="AK1534" s="374"/>
      <c r="AL1534" s="374"/>
      <c r="AO1534" s="294"/>
      <c r="AR1534" s="374"/>
      <c r="AZ1534" s="374"/>
      <c r="BE1534" s="26"/>
      <c r="BF1534" s="26"/>
      <c r="BG1534" s="26"/>
      <c r="BH1534" s="26"/>
      <c r="BI1534" s="26"/>
      <c r="BJ1534" s="26"/>
      <c r="BK1534" s="26"/>
      <c r="BL1534" s="26"/>
      <c r="BS1534" s="20"/>
      <c r="BT1534" s="26"/>
      <c r="BU1534" s="381"/>
      <c r="BV1534" s="381"/>
      <c r="BW1534" s="229"/>
    </row>
    <row r="1535" spans="33:75" x14ac:dyDescent="0.2">
      <c r="AG1535" s="294"/>
      <c r="AH1535" s="294"/>
      <c r="AI1535" s="294"/>
      <c r="AJ1535" s="26"/>
      <c r="AK1535" s="374"/>
      <c r="AL1535" s="374"/>
      <c r="AO1535" s="294"/>
      <c r="AR1535" s="374"/>
      <c r="AZ1535" s="374"/>
      <c r="BE1535" s="26"/>
      <c r="BF1535" s="26"/>
      <c r="BG1535" s="26"/>
      <c r="BH1535" s="26"/>
      <c r="BI1535" s="26"/>
      <c r="BJ1535" s="26"/>
      <c r="BK1535" s="26"/>
      <c r="BL1535" s="26"/>
      <c r="BS1535" s="20"/>
      <c r="BT1535" s="26"/>
      <c r="BU1535" s="381"/>
      <c r="BV1535" s="381"/>
      <c r="BW1535" s="229"/>
    </row>
    <row r="1536" spans="33:75" x14ac:dyDescent="0.2">
      <c r="AG1536" s="294"/>
      <c r="AH1536" s="294"/>
      <c r="AI1536" s="294"/>
      <c r="AJ1536" s="26"/>
      <c r="AK1536" s="374"/>
      <c r="AL1536" s="374"/>
      <c r="AO1536" s="294"/>
      <c r="AR1536" s="374"/>
      <c r="AZ1536" s="374"/>
      <c r="BE1536" s="26"/>
      <c r="BF1536" s="26"/>
      <c r="BG1536" s="26"/>
      <c r="BH1536" s="26"/>
      <c r="BI1536" s="26"/>
      <c r="BJ1536" s="26"/>
      <c r="BK1536" s="26"/>
      <c r="BL1536" s="26"/>
      <c r="BS1536" s="20"/>
      <c r="BT1536" s="26"/>
      <c r="BU1536" s="381"/>
      <c r="BV1536" s="381"/>
      <c r="BW1536" s="229"/>
    </row>
    <row r="1537" spans="33:75" x14ac:dyDescent="0.2">
      <c r="AG1537" s="294"/>
      <c r="AH1537" s="294"/>
      <c r="AI1537" s="294"/>
      <c r="AJ1537" s="26"/>
      <c r="AK1537" s="374"/>
      <c r="AL1537" s="374"/>
      <c r="AO1537" s="294"/>
      <c r="AR1537" s="374"/>
      <c r="AZ1537" s="374"/>
      <c r="BE1537" s="26"/>
      <c r="BF1537" s="26"/>
      <c r="BG1537" s="26"/>
      <c r="BH1537" s="26"/>
      <c r="BI1537" s="26"/>
      <c r="BJ1537" s="26"/>
      <c r="BK1537" s="26"/>
      <c r="BL1537" s="26"/>
      <c r="BS1537" s="20"/>
      <c r="BT1537" s="26"/>
      <c r="BU1537" s="381"/>
      <c r="BV1537" s="381"/>
      <c r="BW1537" s="229"/>
    </row>
    <row r="1538" spans="33:75" x14ac:dyDescent="0.2">
      <c r="AG1538" s="294"/>
      <c r="AH1538" s="294"/>
      <c r="AI1538" s="294"/>
      <c r="AJ1538" s="26"/>
      <c r="AK1538" s="374"/>
      <c r="AL1538" s="374"/>
      <c r="AO1538" s="294"/>
      <c r="AR1538" s="374"/>
      <c r="AZ1538" s="374"/>
      <c r="BE1538" s="26"/>
      <c r="BF1538" s="26"/>
      <c r="BG1538" s="26"/>
      <c r="BH1538" s="26"/>
      <c r="BI1538" s="26"/>
      <c r="BJ1538" s="26"/>
      <c r="BK1538" s="26"/>
      <c r="BL1538" s="26"/>
      <c r="BS1538" s="20"/>
      <c r="BT1538" s="26"/>
      <c r="BU1538" s="381"/>
      <c r="BV1538" s="381"/>
      <c r="BW1538" s="229"/>
    </row>
    <row r="1539" spans="33:75" x14ac:dyDescent="0.2">
      <c r="AG1539" s="294"/>
      <c r="AH1539" s="294"/>
      <c r="AI1539" s="294"/>
      <c r="AJ1539" s="26"/>
      <c r="AK1539" s="374"/>
      <c r="AL1539" s="374"/>
      <c r="AO1539" s="294"/>
      <c r="AR1539" s="374"/>
      <c r="AZ1539" s="374"/>
      <c r="BE1539" s="26"/>
      <c r="BF1539" s="26"/>
      <c r="BG1539" s="26"/>
      <c r="BH1539" s="26"/>
      <c r="BI1539" s="26"/>
      <c r="BJ1539" s="26"/>
      <c r="BK1539" s="26"/>
      <c r="BL1539" s="26"/>
      <c r="BS1539" s="20"/>
      <c r="BT1539" s="26"/>
      <c r="BU1539" s="381"/>
      <c r="BV1539" s="381"/>
      <c r="BW1539" s="229"/>
    </row>
    <row r="1540" spans="33:75" x14ac:dyDescent="0.2">
      <c r="AG1540" s="294"/>
      <c r="AH1540" s="294"/>
      <c r="AI1540" s="294"/>
      <c r="AJ1540" s="26"/>
      <c r="AK1540" s="374"/>
      <c r="AL1540" s="374"/>
      <c r="AO1540" s="294"/>
      <c r="AR1540" s="374"/>
      <c r="AZ1540" s="374"/>
      <c r="BE1540" s="26"/>
      <c r="BF1540" s="26"/>
      <c r="BG1540" s="26"/>
      <c r="BH1540" s="26"/>
      <c r="BI1540" s="26"/>
      <c r="BJ1540" s="26"/>
      <c r="BK1540" s="26"/>
      <c r="BL1540" s="26"/>
      <c r="BS1540" s="20"/>
      <c r="BT1540" s="26"/>
      <c r="BU1540" s="381"/>
      <c r="BV1540" s="381"/>
      <c r="BW1540" s="229"/>
    </row>
    <row r="1541" spans="33:75" x14ac:dyDescent="0.2">
      <c r="AG1541" s="294"/>
      <c r="AH1541" s="294"/>
      <c r="AI1541" s="294"/>
      <c r="AJ1541" s="26"/>
      <c r="AK1541" s="374"/>
      <c r="AL1541" s="374"/>
      <c r="AO1541" s="294"/>
      <c r="AR1541" s="374"/>
      <c r="AZ1541" s="374"/>
      <c r="BE1541" s="26"/>
      <c r="BF1541" s="26"/>
      <c r="BG1541" s="26"/>
      <c r="BH1541" s="26"/>
      <c r="BI1541" s="26"/>
      <c r="BJ1541" s="26"/>
      <c r="BK1541" s="26"/>
      <c r="BL1541" s="26"/>
      <c r="BS1541" s="20"/>
      <c r="BT1541" s="26"/>
      <c r="BU1541" s="381"/>
      <c r="BV1541" s="381"/>
      <c r="BW1541" s="229"/>
    </row>
    <row r="1542" spans="33:75" x14ac:dyDescent="0.2">
      <c r="AG1542" s="294"/>
      <c r="AH1542" s="294"/>
      <c r="AI1542" s="294"/>
      <c r="AJ1542" s="26"/>
      <c r="AK1542" s="374"/>
      <c r="AL1542" s="374"/>
      <c r="AO1542" s="294"/>
      <c r="AR1542" s="374"/>
      <c r="AZ1542" s="374"/>
      <c r="BE1542" s="26"/>
      <c r="BF1542" s="26"/>
      <c r="BG1542" s="26"/>
      <c r="BH1542" s="26"/>
      <c r="BI1542" s="26"/>
      <c r="BJ1542" s="26"/>
      <c r="BK1542" s="26"/>
      <c r="BL1542" s="26"/>
      <c r="BS1542" s="20"/>
      <c r="BT1542" s="26"/>
      <c r="BU1542" s="381"/>
      <c r="BV1542" s="381"/>
      <c r="BW1542" s="229"/>
    </row>
    <row r="1543" spans="33:75" x14ac:dyDescent="0.2">
      <c r="AG1543" s="294"/>
      <c r="AH1543" s="294"/>
      <c r="AI1543" s="294"/>
      <c r="AJ1543" s="26"/>
      <c r="AK1543" s="374"/>
      <c r="AL1543" s="374"/>
      <c r="AO1543" s="294"/>
      <c r="AR1543" s="374"/>
      <c r="AZ1543" s="374"/>
      <c r="BE1543" s="26"/>
      <c r="BF1543" s="26"/>
      <c r="BG1543" s="26"/>
      <c r="BH1543" s="26"/>
      <c r="BI1543" s="26"/>
      <c r="BJ1543" s="26"/>
      <c r="BK1543" s="26"/>
      <c r="BL1543" s="26"/>
      <c r="BS1543" s="20"/>
      <c r="BT1543" s="26"/>
      <c r="BU1543" s="381"/>
      <c r="BV1543" s="381"/>
      <c r="BW1543" s="229"/>
    </row>
    <row r="1544" spans="33:75" x14ac:dyDescent="0.2">
      <c r="AG1544" s="294"/>
      <c r="AH1544" s="294"/>
      <c r="AI1544" s="294"/>
      <c r="AJ1544" s="26"/>
      <c r="AK1544" s="374"/>
      <c r="AL1544" s="374"/>
      <c r="AO1544" s="294"/>
      <c r="AR1544" s="374"/>
      <c r="AZ1544" s="374"/>
      <c r="BE1544" s="26"/>
      <c r="BF1544" s="26"/>
      <c r="BG1544" s="26"/>
      <c r="BH1544" s="26"/>
      <c r="BI1544" s="26"/>
      <c r="BJ1544" s="26"/>
      <c r="BK1544" s="26"/>
      <c r="BL1544" s="26"/>
      <c r="BS1544" s="20"/>
      <c r="BT1544" s="26"/>
      <c r="BU1544" s="381"/>
      <c r="BV1544" s="381"/>
      <c r="BW1544" s="229"/>
    </row>
    <row r="1545" spans="33:75" x14ac:dyDescent="0.2">
      <c r="AG1545" s="294"/>
      <c r="AH1545" s="294"/>
      <c r="AI1545" s="294"/>
      <c r="AJ1545" s="26"/>
      <c r="AK1545" s="374"/>
      <c r="AL1545" s="374"/>
      <c r="AO1545" s="294"/>
      <c r="AR1545" s="374"/>
      <c r="AZ1545" s="374"/>
      <c r="BE1545" s="26"/>
      <c r="BF1545" s="26"/>
      <c r="BG1545" s="26"/>
      <c r="BH1545" s="26"/>
      <c r="BI1545" s="26"/>
      <c r="BJ1545" s="26"/>
      <c r="BK1545" s="26"/>
      <c r="BL1545" s="26"/>
      <c r="BS1545" s="20"/>
      <c r="BT1545" s="26"/>
      <c r="BU1545" s="381"/>
      <c r="BV1545" s="381"/>
      <c r="BW1545" s="229"/>
    </row>
    <row r="1546" spans="33:75" x14ac:dyDescent="0.2">
      <c r="AG1546" s="294"/>
      <c r="AH1546" s="294"/>
      <c r="AI1546" s="294"/>
      <c r="AJ1546" s="26"/>
      <c r="AK1546" s="374"/>
      <c r="AL1546" s="374"/>
      <c r="AO1546" s="294"/>
      <c r="AR1546" s="374"/>
      <c r="AZ1546" s="374"/>
      <c r="BE1546" s="26"/>
      <c r="BF1546" s="26"/>
      <c r="BG1546" s="26"/>
      <c r="BH1546" s="26"/>
      <c r="BI1546" s="26"/>
      <c r="BJ1546" s="26"/>
      <c r="BK1546" s="26"/>
      <c r="BL1546" s="26"/>
      <c r="BS1546" s="20"/>
      <c r="BT1546" s="26"/>
      <c r="BU1546" s="381"/>
      <c r="BV1546" s="381"/>
      <c r="BW1546" s="229"/>
    </row>
    <row r="1547" spans="33:75" x14ac:dyDescent="0.2">
      <c r="AG1547" s="294"/>
      <c r="AH1547" s="294"/>
      <c r="AI1547" s="294"/>
      <c r="AJ1547" s="26"/>
      <c r="AK1547" s="374"/>
      <c r="AL1547" s="374"/>
      <c r="AO1547" s="294"/>
      <c r="AR1547" s="374"/>
      <c r="AZ1547" s="374"/>
      <c r="BE1547" s="26"/>
      <c r="BF1547" s="26"/>
      <c r="BG1547" s="26"/>
      <c r="BH1547" s="26"/>
      <c r="BI1547" s="26"/>
      <c r="BJ1547" s="26"/>
      <c r="BK1547" s="26"/>
      <c r="BL1547" s="26"/>
      <c r="BS1547" s="20"/>
      <c r="BT1547" s="26"/>
      <c r="BU1547" s="381"/>
      <c r="BV1547" s="381"/>
      <c r="BW1547" s="229"/>
    </row>
    <row r="1548" spans="33:75" x14ac:dyDescent="0.2">
      <c r="AG1548" s="294"/>
      <c r="AH1548" s="294"/>
      <c r="AI1548" s="294"/>
      <c r="AJ1548" s="26"/>
      <c r="AK1548" s="374"/>
      <c r="AL1548" s="374"/>
      <c r="AO1548" s="294"/>
      <c r="AR1548" s="374"/>
      <c r="AZ1548" s="374"/>
      <c r="BE1548" s="26"/>
      <c r="BF1548" s="26"/>
      <c r="BG1548" s="26"/>
      <c r="BH1548" s="26"/>
      <c r="BI1548" s="26"/>
      <c r="BJ1548" s="26"/>
      <c r="BK1548" s="26"/>
      <c r="BL1548" s="26"/>
      <c r="BS1548" s="20"/>
      <c r="BT1548" s="26"/>
      <c r="BU1548" s="381"/>
      <c r="BV1548" s="381"/>
      <c r="BW1548" s="229"/>
    </row>
    <row r="1549" spans="33:75" x14ac:dyDescent="0.2">
      <c r="AG1549" s="294"/>
      <c r="AH1549" s="294"/>
      <c r="AI1549" s="294"/>
      <c r="AJ1549" s="26"/>
      <c r="AK1549" s="374"/>
      <c r="AL1549" s="374"/>
      <c r="AO1549" s="294"/>
      <c r="AR1549" s="374"/>
      <c r="AZ1549" s="374"/>
      <c r="BE1549" s="26"/>
      <c r="BF1549" s="26"/>
      <c r="BG1549" s="26"/>
      <c r="BH1549" s="26"/>
      <c r="BI1549" s="26"/>
      <c r="BJ1549" s="26"/>
      <c r="BK1549" s="26"/>
      <c r="BL1549" s="26"/>
      <c r="BS1549" s="20"/>
      <c r="BT1549" s="26"/>
      <c r="BU1549" s="381"/>
      <c r="BV1549" s="381"/>
      <c r="BW1549" s="229"/>
    </row>
    <row r="1550" spans="33:75" x14ac:dyDescent="0.2">
      <c r="AG1550" s="294"/>
      <c r="AH1550" s="294"/>
      <c r="AI1550" s="294"/>
      <c r="AJ1550" s="26"/>
      <c r="AK1550" s="374"/>
      <c r="AL1550" s="374"/>
      <c r="AO1550" s="294"/>
      <c r="AR1550" s="374"/>
      <c r="AZ1550" s="374"/>
      <c r="BE1550" s="26"/>
      <c r="BF1550" s="26"/>
      <c r="BG1550" s="26"/>
      <c r="BH1550" s="26"/>
      <c r="BI1550" s="26"/>
      <c r="BJ1550" s="26"/>
      <c r="BK1550" s="26"/>
      <c r="BL1550" s="26"/>
      <c r="BS1550" s="20"/>
      <c r="BT1550" s="26"/>
      <c r="BU1550" s="381"/>
      <c r="BV1550" s="381"/>
      <c r="BW1550" s="229"/>
    </row>
    <row r="1551" spans="33:75" x14ac:dyDescent="0.2">
      <c r="AG1551" s="294"/>
      <c r="AH1551" s="294"/>
      <c r="AI1551" s="294"/>
      <c r="AJ1551" s="26"/>
      <c r="AK1551" s="374"/>
      <c r="AL1551" s="374"/>
      <c r="AO1551" s="294"/>
      <c r="AR1551" s="374"/>
      <c r="AZ1551" s="374"/>
      <c r="BE1551" s="26"/>
      <c r="BF1551" s="26"/>
      <c r="BG1551" s="26"/>
      <c r="BH1551" s="26"/>
      <c r="BI1551" s="26"/>
      <c r="BJ1551" s="26"/>
      <c r="BK1551" s="26"/>
      <c r="BL1551" s="26"/>
      <c r="BS1551" s="20"/>
      <c r="BT1551" s="26"/>
      <c r="BU1551" s="381"/>
      <c r="BV1551" s="381"/>
      <c r="BW1551" s="229"/>
    </row>
    <row r="1552" spans="33:75" x14ac:dyDescent="0.2">
      <c r="AG1552" s="294"/>
      <c r="AH1552" s="294"/>
      <c r="AI1552" s="294"/>
      <c r="AJ1552" s="26"/>
      <c r="AK1552" s="374"/>
      <c r="AL1552" s="374"/>
      <c r="AO1552" s="294"/>
      <c r="AR1552" s="374"/>
      <c r="AZ1552" s="374"/>
      <c r="BE1552" s="26"/>
      <c r="BF1552" s="26"/>
      <c r="BG1552" s="26"/>
      <c r="BH1552" s="26"/>
      <c r="BI1552" s="26"/>
      <c r="BJ1552" s="26"/>
      <c r="BK1552" s="26"/>
      <c r="BL1552" s="26"/>
      <c r="BS1552" s="20"/>
      <c r="BT1552" s="26"/>
      <c r="BU1552" s="381"/>
      <c r="BV1552" s="381"/>
      <c r="BW1552" s="229"/>
    </row>
    <row r="1553" spans="33:75" x14ac:dyDescent="0.2">
      <c r="AG1553" s="294"/>
      <c r="AH1553" s="294"/>
      <c r="AI1553" s="294"/>
      <c r="AJ1553" s="26"/>
      <c r="AK1553" s="374"/>
      <c r="AL1553" s="374"/>
      <c r="AO1553" s="294"/>
      <c r="AR1553" s="374"/>
      <c r="AZ1553" s="374"/>
      <c r="BE1553" s="26"/>
      <c r="BF1553" s="26"/>
      <c r="BG1553" s="26"/>
      <c r="BH1553" s="26"/>
      <c r="BI1553" s="26"/>
      <c r="BJ1553" s="26"/>
      <c r="BK1553" s="26"/>
      <c r="BL1553" s="26"/>
      <c r="BS1553" s="20"/>
      <c r="BT1553" s="26"/>
      <c r="BU1553" s="381"/>
      <c r="BV1553" s="381"/>
      <c r="BW1553" s="229"/>
    </row>
    <row r="1554" spans="33:75" x14ac:dyDescent="0.2">
      <c r="AG1554" s="294"/>
      <c r="AH1554" s="294"/>
      <c r="AI1554" s="294"/>
      <c r="AJ1554" s="26"/>
      <c r="AK1554" s="374"/>
      <c r="AL1554" s="374"/>
      <c r="AO1554" s="294"/>
      <c r="AR1554" s="374"/>
      <c r="AZ1554" s="374"/>
      <c r="BE1554" s="26"/>
      <c r="BF1554" s="26"/>
      <c r="BG1554" s="26"/>
      <c r="BH1554" s="26"/>
      <c r="BI1554" s="26"/>
      <c r="BJ1554" s="26"/>
      <c r="BK1554" s="26"/>
      <c r="BL1554" s="26"/>
      <c r="BS1554" s="20"/>
      <c r="BT1554" s="26"/>
      <c r="BU1554" s="381"/>
      <c r="BV1554" s="381"/>
      <c r="BW1554" s="229"/>
    </row>
    <row r="1555" spans="33:75" x14ac:dyDescent="0.2">
      <c r="AG1555" s="294"/>
      <c r="AH1555" s="294"/>
      <c r="AI1555" s="294"/>
      <c r="AJ1555" s="26"/>
      <c r="AK1555" s="374"/>
      <c r="AL1555" s="374"/>
      <c r="AO1555" s="294"/>
      <c r="AR1555" s="374"/>
      <c r="AZ1555" s="374"/>
      <c r="BE1555" s="26"/>
      <c r="BF1555" s="26"/>
      <c r="BG1555" s="26"/>
      <c r="BH1555" s="26"/>
      <c r="BI1555" s="26"/>
      <c r="BJ1555" s="26"/>
      <c r="BK1555" s="26"/>
      <c r="BL1555" s="26"/>
      <c r="BS1555" s="20"/>
      <c r="BT1555" s="26"/>
      <c r="BU1555" s="381"/>
      <c r="BV1555" s="381"/>
      <c r="BW1555" s="229"/>
    </row>
    <row r="1556" spans="33:75" x14ac:dyDescent="0.2">
      <c r="AG1556" s="294"/>
      <c r="AH1556" s="294"/>
      <c r="AI1556" s="294"/>
      <c r="AJ1556" s="26"/>
      <c r="AK1556" s="374"/>
      <c r="AL1556" s="374"/>
      <c r="AO1556" s="294"/>
      <c r="AR1556" s="374"/>
      <c r="AZ1556" s="374"/>
      <c r="BE1556" s="26"/>
      <c r="BF1556" s="26"/>
      <c r="BG1556" s="26"/>
      <c r="BH1556" s="26"/>
      <c r="BI1556" s="26"/>
      <c r="BJ1556" s="26"/>
      <c r="BK1556" s="26"/>
      <c r="BL1556" s="26"/>
      <c r="BS1556" s="20"/>
      <c r="BT1556" s="26"/>
      <c r="BU1556" s="381"/>
      <c r="BV1556" s="381"/>
      <c r="BW1556" s="229"/>
    </row>
    <row r="1557" spans="33:75" x14ac:dyDescent="0.2">
      <c r="AG1557" s="294"/>
      <c r="AH1557" s="294"/>
      <c r="AI1557" s="294"/>
      <c r="AJ1557" s="26"/>
      <c r="AK1557" s="374"/>
      <c r="AL1557" s="374"/>
      <c r="AO1557" s="294"/>
      <c r="AR1557" s="374"/>
      <c r="AZ1557" s="374"/>
      <c r="BE1557" s="26"/>
      <c r="BF1557" s="26"/>
      <c r="BG1557" s="26"/>
      <c r="BH1557" s="26"/>
      <c r="BI1557" s="26"/>
      <c r="BJ1557" s="26"/>
      <c r="BK1557" s="26"/>
      <c r="BL1557" s="26"/>
      <c r="BS1557" s="20"/>
      <c r="BT1557" s="26"/>
      <c r="BU1557" s="381"/>
      <c r="BV1557" s="381"/>
      <c r="BW1557" s="229"/>
    </row>
    <row r="1558" spans="33:75" x14ac:dyDescent="0.2">
      <c r="AG1558" s="294"/>
      <c r="AH1558" s="294"/>
      <c r="AI1558" s="294"/>
      <c r="AJ1558" s="26"/>
      <c r="AK1558" s="374"/>
      <c r="AL1558" s="374"/>
      <c r="AO1558" s="294"/>
      <c r="AR1558" s="374"/>
      <c r="AZ1558" s="374"/>
      <c r="BE1558" s="26"/>
      <c r="BF1558" s="26"/>
      <c r="BG1558" s="26"/>
      <c r="BH1558" s="26"/>
      <c r="BI1558" s="26"/>
      <c r="BJ1558" s="26"/>
      <c r="BK1558" s="26"/>
      <c r="BL1558" s="26"/>
      <c r="BS1558" s="20"/>
      <c r="BT1558" s="26"/>
      <c r="BU1558" s="381"/>
      <c r="BV1558" s="381"/>
      <c r="BW1558" s="229"/>
    </row>
    <row r="1559" spans="33:75" x14ac:dyDescent="0.2">
      <c r="AG1559" s="294"/>
      <c r="AH1559" s="294"/>
      <c r="AI1559" s="294"/>
      <c r="AJ1559" s="26"/>
      <c r="AK1559" s="374"/>
      <c r="AL1559" s="374"/>
      <c r="AO1559" s="294"/>
      <c r="AR1559" s="374"/>
      <c r="AZ1559" s="374"/>
      <c r="BE1559" s="26"/>
      <c r="BF1559" s="26"/>
      <c r="BG1559" s="26"/>
      <c r="BH1559" s="26"/>
      <c r="BI1559" s="26"/>
      <c r="BJ1559" s="26"/>
      <c r="BK1559" s="26"/>
      <c r="BL1559" s="26"/>
      <c r="BS1559" s="20"/>
      <c r="BT1559" s="26"/>
      <c r="BU1559" s="381"/>
      <c r="BV1559" s="381"/>
      <c r="BW1559" s="229"/>
    </row>
    <row r="1560" spans="33:75" x14ac:dyDescent="0.2">
      <c r="AG1560" s="294"/>
      <c r="AH1560" s="294"/>
      <c r="AI1560" s="294"/>
      <c r="AJ1560" s="26"/>
      <c r="AK1560" s="374"/>
      <c r="AL1560" s="374"/>
      <c r="AO1560" s="294"/>
      <c r="AR1560" s="374"/>
      <c r="AZ1560" s="374"/>
      <c r="BE1560" s="26"/>
      <c r="BF1560" s="26"/>
      <c r="BG1560" s="26"/>
      <c r="BH1560" s="26"/>
      <c r="BI1560" s="26"/>
      <c r="BJ1560" s="26"/>
      <c r="BK1560" s="26"/>
      <c r="BL1560" s="26"/>
      <c r="BS1560" s="20"/>
      <c r="BT1560" s="26"/>
      <c r="BU1560" s="381"/>
      <c r="BV1560" s="381"/>
      <c r="BW1560" s="229"/>
    </row>
    <row r="1561" spans="33:75" x14ac:dyDescent="0.2">
      <c r="AG1561" s="294"/>
      <c r="AH1561" s="294"/>
      <c r="AI1561" s="294"/>
      <c r="AJ1561" s="26"/>
      <c r="AK1561" s="374"/>
      <c r="AL1561" s="374"/>
      <c r="AO1561" s="294"/>
      <c r="AR1561" s="374"/>
      <c r="AZ1561" s="374"/>
      <c r="BE1561" s="26"/>
      <c r="BF1561" s="26"/>
      <c r="BG1561" s="26"/>
      <c r="BH1561" s="26"/>
      <c r="BI1561" s="26"/>
      <c r="BJ1561" s="26"/>
      <c r="BK1561" s="26"/>
      <c r="BL1561" s="26"/>
      <c r="BS1561" s="20"/>
      <c r="BT1561" s="26"/>
      <c r="BU1561" s="381"/>
      <c r="BV1561" s="381"/>
      <c r="BW1561" s="229"/>
    </row>
    <row r="1562" spans="33:75" x14ac:dyDescent="0.2">
      <c r="AG1562" s="294"/>
      <c r="AH1562" s="294"/>
      <c r="AI1562" s="294"/>
      <c r="AJ1562" s="26"/>
      <c r="AK1562" s="374"/>
      <c r="AL1562" s="374"/>
      <c r="AO1562" s="294"/>
      <c r="AR1562" s="374"/>
      <c r="AZ1562" s="374"/>
      <c r="BE1562" s="26"/>
      <c r="BF1562" s="26"/>
      <c r="BG1562" s="26"/>
      <c r="BH1562" s="26"/>
      <c r="BI1562" s="26"/>
      <c r="BJ1562" s="26"/>
      <c r="BK1562" s="26"/>
      <c r="BL1562" s="26"/>
      <c r="BS1562" s="20"/>
      <c r="BT1562" s="26"/>
      <c r="BU1562" s="381"/>
      <c r="BV1562" s="381"/>
      <c r="BW1562" s="229"/>
    </row>
    <row r="1563" spans="33:75" x14ac:dyDescent="0.2">
      <c r="AG1563" s="294"/>
      <c r="AH1563" s="294"/>
      <c r="AI1563" s="294"/>
      <c r="AJ1563" s="26"/>
      <c r="AK1563" s="374"/>
      <c r="AL1563" s="374"/>
      <c r="AO1563" s="294"/>
      <c r="AR1563" s="374"/>
      <c r="AZ1563" s="374"/>
      <c r="BE1563" s="26"/>
      <c r="BF1563" s="26"/>
      <c r="BG1563" s="26"/>
      <c r="BH1563" s="26"/>
      <c r="BI1563" s="26"/>
      <c r="BJ1563" s="26"/>
      <c r="BK1563" s="26"/>
      <c r="BL1563" s="26"/>
      <c r="BS1563" s="20"/>
      <c r="BT1563" s="26"/>
      <c r="BU1563" s="381"/>
      <c r="BV1563" s="381"/>
      <c r="BW1563" s="229"/>
    </row>
    <row r="1564" spans="33:75" x14ac:dyDescent="0.2">
      <c r="AG1564" s="294"/>
      <c r="AH1564" s="294"/>
      <c r="AI1564" s="294"/>
      <c r="AJ1564" s="26"/>
      <c r="AK1564" s="374"/>
      <c r="AL1564" s="374"/>
      <c r="AO1564" s="294"/>
      <c r="AR1564" s="374"/>
      <c r="AZ1564" s="374"/>
      <c r="BE1564" s="26"/>
      <c r="BF1564" s="26"/>
      <c r="BG1564" s="26"/>
      <c r="BH1564" s="26"/>
      <c r="BI1564" s="26"/>
      <c r="BJ1564" s="26"/>
      <c r="BK1564" s="26"/>
      <c r="BL1564" s="26"/>
      <c r="BS1564" s="20"/>
      <c r="BT1564" s="26"/>
      <c r="BU1564" s="381"/>
      <c r="BV1564" s="381"/>
      <c r="BW1564" s="229"/>
    </row>
    <row r="1565" spans="33:75" x14ac:dyDescent="0.2">
      <c r="AG1565" s="294"/>
      <c r="AH1565" s="294"/>
      <c r="AI1565" s="294"/>
      <c r="AJ1565" s="26"/>
      <c r="AK1565" s="374"/>
      <c r="AL1565" s="374"/>
      <c r="AO1565" s="294"/>
      <c r="AR1565" s="374"/>
      <c r="AZ1565" s="374"/>
      <c r="BE1565" s="26"/>
      <c r="BF1565" s="26"/>
      <c r="BG1565" s="26"/>
      <c r="BH1565" s="26"/>
      <c r="BI1565" s="26"/>
      <c r="BJ1565" s="26"/>
      <c r="BK1565" s="26"/>
      <c r="BL1565" s="26"/>
      <c r="BS1565" s="20"/>
      <c r="BT1565" s="26"/>
      <c r="BU1565" s="381"/>
      <c r="BV1565" s="381"/>
      <c r="BW1565" s="229"/>
    </row>
    <row r="1566" spans="33:75" x14ac:dyDescent="0.2">
      <c r="AG1566" s="294"/>
      <c r="AH1566" s="294"/>
      <c r="AI1566" s="294"/>
      <c r="AJ1566" s="26"/>
      <c r="AK1566" s="374"/>
      <c r="AL1566" s="374"/>
      <c r="AO1566" s="294"/>
      <c r="AR1566" s="374"/>
      <c r="AZ1566" s="374"/>
      <c r="BE1566" s="26"/>
      <c r="BF1566" s="26"/>
      <c r="BG1566" s="26"/>
      <c r="BH1566" s="26"/>
      <c r="BI1566" s="26"/>
      <c r="BJ1566" s="26"/>
      <c r="BK1566" s="26"/>
      <c r="BL1566" s="26"/>
      <c r="BS1566" s="20"/>
      <c r="BT1566" s="26"/>
      <c r="BU1566" s="381"/>
      <c r="BV1566" s="381"/>
      <c r="BW1566" s="229"/>
    </row>
    <row r="1567" spans="33:75" x14ac:dyDescent="0.2">
      <c r="AG1567" s="294"/>
      <c r="AH1567" s="294"/>
      <c r="AI1567" s="294"/>
      <c r="AJ1567" s="26"/>
      <c r="AK1567" s="374"/>
      <c r="AL1567" s="374"/>
      <c r="AO1567" s="294"/>
      <c r="AR1567" s="374"/>
      <c r="AZ1567" s="374"/>
      <c r="BE1567" s="26"/>
      <c r="BF1567" s="26"/>
      <c r="BG1567" s="26"/>
      <c r="BH1567" s="26"/>
      <c r="BI1567" s="26"/>
      <c r="BJ1567" s="26"/>
      <c r="BK1567" s="26"/>
      <c r="BL1567" s="26"/>
      <c r="BS1567" s="20"/>
      <c r="BT1567" s="26"/>
      <c r="BU1567" s="381"/>
      <c r="BV1567" s="381"/>
      <c r="BW1567" s="229"/>
    </row>
    <row r="1568" spans="33:75" x14ac:dyDescent="0.2">
      <c r="AG1568" s="294"/>
      <c r="AH1568" s="294"/>
      <c r="AI1568" s="294"/>
      <c r="AJ1568" s="26"/>
      <c r="AK1568" s="374"/>
      <c r="AL1568" s="374"/>
      <c r="AO1568" s="294"/>
      <c r="AR1568" s="374"/>
      <c r="AZ1568" s="374"/>
      <c r="BE1568" s="26"/>
      <c r="BF1568" s="26"/>
      <c r="BG1568" s="26"/>
      <c r="BH1568" s="26"/>
      <c r="BI1568" s="26"/>
      <c r="BJ1568" s="26"/>
      <c r="BK1568" s="26"/>
      <c r="BL1568" s="26"/>
      <c r="BS1568" s="20"/>
      <c r="BT1568" s="26"/>
      <c r="BU1568" s="381"/>
      <c r="BV1568" s="381"/>
      <c r="BW1568" s="229"/>
    </row>
    <row r="1569" spans="33:75" x14ac:dyDescent="0.2">
      <c r="AG1569" s="294"/>
      <c r="AH1569" s="294"/>
      <c r="AI1569" s="294"/>
      <c r="AJ1569" s="26"/>
      <c r="AK1569" s="374"/>
      <c r="AL1569" s="374"/>
      <c r="AO1569" s="294"/>
      <c r="AR1569" s="374"/>
      <c r="AZ1569" s="374"/>
      <c r="BE1569" s="26"/>
      <c r="BF1569" s="26"/>
      <c r="BG1569" s="26"/>
      <c r="BH1569" s="26"/>
      <c r="BI1569" s="26"/>
      <c r="BJ1569" s="26"/>
      <c r="BK1569" s="26"/>
      <c r="BL1569" s="26"/>
      <c r="BS1569" s="20"/>
      <c r="BT1569" s="26"/>
      <c r="BU1569" s="381"/>
      <c r="BV1569" s="381"/>
      <c r="BW1569" s="229"/>
    </row>
    <row r="1570" spans="33:75" x14ac:dyDescent="0.2">
      <c r="AG1570" s="294"/>
      <c r="AH1570" s="294"/>
      <c r="AI1570" s="294"/>
      <c r="AJ1570" s="26"/>
      <c r="AK1570" s="374"/>
      <c r="AL1570" s="374"/>
      <c r="AO1570" s="294"/>
      <c r="AR1570" s="374"/>
      <c r="AZ1570" s="374"/>
      <c r="BE1570" s="26"/>
      <c r="BF1570" s="26"/>
      <c r="BG1570" s="26"/>
      <c r="BH1570" s="26"/>
      <c r="BI1570" s="26"/>
      <c r="BJ1570" s="26"/>
      <c r="BK1570" s="26"/>
      <c r="BL1570" s="26"/>
      <c r="BS1570" s="20"/>
      <c r="BT1570" s="26"/>
      <c r="BU1570" s="381"/>
      <c r="BV1570" s="381"/>
      <c r="BW1570" s="229"/>
    </row>
    <row r="1571" spans="33:75" x14ac:dyDescent="0.2">
      <c r="AG1571" s="294"/>
      <c r="AH1571" s="294"/>
      <c r="AI1571" s="294"/>
      <c r="AJ1571" s="26"/>
      <c r="AK1571" s="374"/>
      <c r="AL1571" s="374"/>
      <c r="AO1571" s="294"/>
      <c r="AR1571" s="374"/>
      <c r="AZ1571" s="374"/>
      <c r="BE1571" s="26"/>
      <c r="BF1571" s="26"/>
      <c r="BG1571" s="26"/>
      <c r="BH1571" s="26"/>
      <c r="BI1571" s="26"/>
      <c r="BJ1571" s="26"/>
      <c r="BK1571" s="26"/>
      <c r="BL1571" s="26"/>
      <c r="BS1571" s="20"/>
      <c r="BT1571" s="26"/>
      <c r="BU1571" s="381"/>
      <c r="BV1571" s="381"/>
      <c r="BW1571" s="229"/>
    </row>
    <row r="1572" spans="33:75" x14ac:dyDescent="0.2">
      <c r="AG1572" s="294"/>
      <c r="AH1572" s="294"/>
      <c r="AI1572" s="294"/>
      <c r="AJ1572" s="26"/>
      <c r="AK1572" s="374"/>
      <c r="AL1572" s="374"/>
      <c r="AO1572" s="294"/>
      <c r="AR1572" s="374"/>
      <c r="AZ1572" s="374"/>
      <c r="BE1572" s="26"/>
      <c r="BF1572" s="26"/>
      <c r="BG1572" s="26"/>
      <c r="BH1572" s="26"/>
      <c r="BI1572" s="26"/>
      <c r="BJ1572" s="26"/>
      <c r="BK1572" s="26"/>
      <c r="BL1572" s="26"/>
      <c r="BS1572" s="20"/>
      <c r="BT1572" s="26"/>
      <c r="BU1572" s="381"/>
      <c r="BV1572" s="381"/>
      <c r="BW1572" s="229"/>
    </row>
    <row r="1573" spans="33:75" x14ac:dyDescent="0.2">
      <c r="AG1573" s="294"/>
      <c r="AH1573" s="294"/>
      <c r="AI1573" s="294"/>
      <c r="AJ1573" s="26"/>
      <c r="AK1573" s="374"/>
      <c r="AL1573" s="374"/>
      <c r="AO1573" s="294"/>
      <c r="AR1573" s="374"/>
      <c r="AZ1573" s="374"/>
      <c r="BE1573" s="26"/>
      <c r="BF1573" s="26"/>
      <c r="BG1573" s="26"/>
      <c r="BH1573" s="26"/>
      <c r="BI1573" s="26"/>
      <c r="BJ1573" s="26"/>
      <c r="BK1573" s="26"/>
      <c r="BL1573" s="26"/>
      <c r="BS1573" s="20"/>
      <c r="BT1573" s="26"/>
      <c r="BU1573" s="381"/>
      <c r="BV1573" s="381"/>
      <c r="BW1573" s="229"/>
    </row>
    <row r="1574" spans="33:75" x14ac:dyDescent="0.2">
      <c r="AG1574" s="294"/>
      <c r="AH1574" s="294"/>
      <c r="AI1574" s="294"/>
      <c r="AJ1574" s="26"/>
      <c r="AK1574" s="374"/>
      <c r="AL1574" s="374"/>
      <c r="AO1574" s="294"/>
      <c r="AR1574" s="374"/>
      <c r="AZ1574" s="374"/>
      <c r="BE1574" s="26"/>
      <c r="BF1574" s="26"/>
      <c r="BG1574" s="26"/>
      <c r="BH1574" s="26"/>
      <c r="BI1574" s="26"/>
      <c r="BJ1574" s="26"/>
      <c r="BK1574" s="26"/>
      <c r="BL1574" s="26"/>
      <c r="BS1574" s="20"/>
      <c r="BT1574" s="26"/>
      <c r="BU1574" s="381"/>
      <c r="BV1574" s="381"/>
      <c r="BW1574" s="229"/>
    </row>
    <row r="1575" spans="33:75" x14ac:dyDescent="0.2">
      <c r="AG1575" s="294"/>
      <c r="AH1575" s="294"/>
      <c r="AI1575" s="294"/>
      <c r="AJ1575" s="26"/>
      <c r="AK1575" s="374"/>
      <c r="AL1575" s="374"/>
      <c r="AO1575" s="294"/>
      <c r="AR1575" s="374"/>
      <c r="AZ1575" s="374"/>
      <c r="BE1575" s="26"/>
      <c r="BF1575" s="26"/>
      <c r="BG1575" s="26"/>
      <c r="BH1575" s="26"/>
      <c r="BI1575" s="26"/>
      <c r="BJ1575" s="26"/>
      <c r="BK1575" s="26"/>
      <c r="BL1575" s="26"/>
      <c r="BS1575" s="20"/>
      <c r="BT1575" s="26"/>
      <c r="BU1575" s="381"/>
      <c r="BV1575" s="381"/>
      <c r="BW1575" s="229"/>
    </row>
    <row r="1576" spans="33:75" x14ac:dyDescent="0.2">
      <c r="AG1576" s="294"/>
      <c r="AH1576" s="294"/>
      <c r="AI1576" s="294"/>
      <c r="AJ1576" s="26"/>
      <c r="AK1576" s="374"/>
      <c r="AL1576" s="374"/>
      <c r="AO1576" s="294"/>
      <c r="AR1576" s="374"/>
      <c r="AZ1576" s="374"/>
      <c r="BE1576" s="26"/>
      <c r="BF1576" s="26"/>
      <c r="BG1576" s="26"/>
      <c r="BH1576" s="26"/>
      <c r="BI1576" s="26"/>
      <c r="BJ1576" s="26"/>
      <c r="BK1576" s="26"/>
      <c r="BL1576" s="26"/>
      <c r="BS1576" s="20"/>
      <c r="BT1576" s="26"/>
      <c r="BU1576" s="381"/>
      <c r="BV1576" s="381"/>
      <c r="BW1576" s="229"/>
    </row>
    <row r="1577" spans="33:75" x14ac:dyDescent="0.2">
      <c r="AG1577" s="294"/>
      <c r="AH1577" s="294"/>
      <c r="AI1577" s="294"/>
      <c r="AJ1577" s="26"/>
      <c r="AK1577" s="374"/>
      <c r="AL1577" s="374"/>
      <c r="AO1577" s="294"/>
      <c r="AR1577" s="374"/>
      <c r="AZ1577" s="374"/>
      <c r="BE1577" s="26"/>
      <c r="BF1577" s="26"/>
      <c r="BG1577" s="26"/>
      <c r="BH1577" s="26"/>
      <c r="BI1577" s="26"/>
      <c r="BJ1577" s="26"/>
      <c r="BK1577" s="26"/>
      <c r="BL1577" s="26"/>
      <c r="BS1577" s="20"/>
      <c r="BT1577" s="26"/>
      <c r="BU1577" s="381"/>
      <c r="BV1577" s="381"/>
      <c r="BW1577" s="229"/>
    </row>
    <row r="1578" spans="33:75" x14ac:dyDescent="0.2">
      <c r="AG1578" s="294"/>
      <c r="AH1578" s="294"/>
      <c r="AI1578" s="294"/>
      <c r="AJ1578" s="26"/>
      <c r="AK1578" s="374"/>
      <c r="AL1578" s="374"/>
      <c r="AO1578" s="294"/>
      <c r="AR1578" s="374"/>
      <c r="AZ1578" s="374"/>
      <c r="BE1578" s="26"/>
      <c r="BF1578" s="26"/>
      <c r="BG1578" s="26"/>
      <c r="BH1578" s="26"/>
      <c r="BI1578" s="26"/>
      <c r="BJ1578" s="26"/>
      <c r="BK1578" s="26"/>
      <c r="BL1578" s="26"/>
      <c r="BS1578" s="20"/>
      <c r="BT1578" s="26"/>
      <c r="BU1578" s="381"/>
      <c r="BV1578" s="381"/>
      <c r="BW1578" s="229"/>
    </row>
    <row r="1579" spans="33:75" x14ac:dyDescent="0.2">
      <c r="AG1579" s="294"/>
      <c r="AH1579" s="294"/>
      <c r="AI1579" s="294"/>
      <c r="AJ1579" s="26"/>
      <c r="AK1579" s="374"/>
      <c r="AL1579" s="374"/>
      <c r="AO1579" s="294"/>
      <c r="AR1579" s="374"/>
      <c r="AZ1579" s="374"/>
      <c r="BE1579" s="26"/>
      <c r="BF1579" s="26"/>
      <c r="BG1579" s="26"/>
      <c r="BH1579" s="26"/>
      <c r="BI1579" s="26"/>
      <c r="BJ1579" s="26"/>
      <c r="BK1579" s="26"/>
      <c r="BL1579" s="26"/>
      <c r="BS1579" s="20"/>
      <c r="BT1579" s="26"/>
      <c r="BU1579" s="381"/>
      <c r="BV1579" s="381"/>
      <c r="BW1579" s="229"/>
    </row>
    <row r="1580" spans="33:75" x14ac:dyDescent="0.2">
      <c r="AG1580" s="294"/>
      <c r="AH1580" s="294"/>
      <c r="AI1580" s="294"/>
      <c r="AJ1580" s="26"/>
      <c r="AK1580" s="374"/>
      <c r="AL1580" s="374"/>
      <c r="AO1580" s="294"/>
      <c r="AR1580" s="374"/>
      <c r="AZ1580" s="374"/>
      <c r="BE1580" s="26"/>
      <c r="BF1580" s="26"/>
      <c r="BG1580" s="26"/>
      <c r="BH1580" s="26"/>
      <c r="BI1580" s="26"/>
      <c r="BJ1580" s="26"/>
      <c r="BK1580" s="26"/>
      <c r="BL1580" s="26"/>
      <c r="BS1580" s="20"/>
      <c r="BT1580" s="26"/>
      <c r="BU1580" s="381"/>
      <c r="BV1580" s="381"/>
      <c r="BW1580" s="229"/>
    </row>
    <row r="1581" spans="33:75" x14ac:dyDescent="0.2">
      <c r="AG1581" s="294"/>
      <c r="AH1581" s="294"/>
      <c r="AI1581" s="294"/>
      <c r="AJ1581" s="26"/>
      <c r="AK1581" s="374"/>
      <c r="AL1581" s="374"/>
      <c r="AO1581" s="294"/>
      <c r="AR1581" s="374"/>
      <c r="AZ1581" s="374"/>
      <c r="BE1581" s="26"/>
      <c r="BF1581" s="26"/>
      <c r="BG1581" s="26"/>
      <c r="BH1581" s="26"/>
      <c r="BI1581" s="26"/>
      <c r="BJ1581" s="26"/>
      <c r="BK1581" s="26"/>
      <c r="BL1581" s="26"/>
      <c r="BS1581" s="20"/>
      <c r="BT1581" s="26"/>
      <c r="BU1581" s="381"/>
      <c r="BV1581" s="381"/>
      <c r="BW1581" s="229"/>
    </row>
    <row r="1582" spans="33:75" x14ac:dyDescent="0.2">
      <c r="AG1582" s="294"/>
      <c r="AH1582" s="294"/>
      <c r="AI1582" s="294"/>
      <c r="AJ1582" s="26"/>
      <c r="AK1582" s="374"/>
      <c r="AL1582" s="374"/>
      <c r="AO1582" s="294"/>
      <c r="AR1582" s="374"/>
      <c r="AZ1582" s="374"/>
      <c r="BE1582" s="26"/>
      <c r="BF1582" s="26"/>
      <c r="BG1582" s="26"/>
      <c r="BH1582" s="26"/>
      <c r="BI1582" s="26"/>
      <c r="BJ1582" s="26"/>
      <c r="BK1582" s="26"/>
      <c r="BL1582" s="26"/>
      <c r="BS1582" s="20"/>
      <c r="BT1582" s="26"/>
      <c r="BU1582" s="381"/>
      <c r="BV1582" s="381"/>
      <c r="BW1582" s="229"/>
    </row>
    <row r="1583" spans="33:75" x14ac:dyDescent="0.2">
      <c r="AG1583" s="294"/>
      <c r="AH1583" s="294"/>
      <c r="AI1583" s="294"/>
      <c r="AJ1583" s="26"/>
      <c r="AK1583" s="374"/>
      <c r="AL1583" s="374"/>
      <c r="AO1583" s="294"/>
      <c r="AR1583" s="374"/>
      <c r="AZ1583" s="374"/>
      <c r="BE1583" s="26"/>
      <c r="BF1583" s="26"/>
      <c r="BG1583" s="26"/>
      <c r="BH1583" s="26"/>
      <c r="BI1583" s="26"/>
      <c r="BJ1583" s="26"/>
      <c r="BK1583" s="26"/>
      <c r="BL1583" s="26"/>
      <c r="BS1583" s="20"/>
      <c r="BT1583" s="26"/>
      <c r="BU1583" s="381"/>
      <c r="BV1583" s="381"/>
      <c r="BW1583" s="229"/>
    </row>
    <row r="1584" spans="33:75" x14ac:dyDescent="0.2">
      <c r="AG1584" s="294"/>
      <c r="AH1584" s="294"/>
      <c r="AI1584" s="294"/>
      <c r="AJ1584" s="26"/>
      <c r="AK1584" s="374"/>
      <c r="AL1584" s="374"/>
      <c r="AO1584" s="294"/>
      <c r="AR1584" s="374"/>
      <c r="AZ1584" s="374"/>
      <c r="BE1584" s="26"/>
      <c r="BF1584" s="26"/>
      <c r="BG1584" s="26"/>
      <c r="BH1584" s="26"/>
      <c r="BI1584" s="26"/>
      <c r="BJ1584" s="26"/>
      <c r="BK1584" s="26"/>
      <c r="BL1584" s="26"/>
      <c r="BS1584" s="20"/>
      <c r="BT1584" s="26"/>
      <c r="BU1584" s="381"/>
      <c r="BV1584" s="381"/>
      <c r="BW1584" s="229"/>
    </row>
    <row r="1585" spans="33:75" x14ac:dyDescent="0.2">
      <c r="AG1585" s="294"/>
      <c r="AH1585" s="294"/>
      <c r="AI1585" s="294"/>
      <c r="AJ1585" s="26"/>
      <c r="AK1585" s="374"/>
      <c r="AL1585" s="374"/>
      <c r="AO1585" s="294"/>
      <c r="AR1585" s="374"/>
      <c r="AZ1585" s="374"/>
      <c r="BE1585" s="26"/>
      <c r="BF1585" s="26"/>
      <c r="BG1585" s="26"/>
      <c r="BH1585" s="26"/>
      <c r="BI1585" s="26"/>
      <c r="BJ1585" s="26"/>
      <c r="BK1585" s="26"/>
      <c r="BL1585" s="26"/>
      <c r="BS1585" s="20"/>
      <c r="BT1585" s="26"/>
      <c r="BU1585" s="381"/>
      <c r="BV1585" s="381"/>
      <c r="BW1585" s="229"/>
    </row>
    <row r="1586" spans="33:75" x14ac:dyDescent="0.2">
      <c r="AG1586" s="294"/>
      <c r="AH1586" s="294"/>
      <c r="AI1586" s="294"/>
      <c r="AJ1586" s="26"/>
      <c r="AK1586" s="374"/>
      <c r="AL1586" s="374"/>
      <c r="AO1586" s="294"/>
      <c r="AR1586" s="374"/>
      <c r="AZ1586" s="374"/>
      <c r="BE1586" s="26"/>
      <c r="BF1586" s="26"/>
      <c r="BG1586" s="26"/>
      <c r="BH1586" s="26"/>
      <c r="BI1586" s="26"/>
      <c r="BJ1586" s="26"/>
      <c r="BK1586" s="26"/>
      <c r="BL1586" s="26"/>
      <c r="BS1586" s="20"/>
      <c r="BT1586" s="26"/>
      <c r="BU1586" s="381"/>
      <c r="BV1586" s="381"/>
      <c r="BW1586" s="229"/>
    </row>
    <row r="1587" spans="33:75" x14ac:dyDescent="0.2">
      <c r="AG1587" s="294"/>
      <c r="AH1587" s="294"/>
      <c r="AI1587" s="294"/>
      <c r="AJ1587" s="26"/>
      <c r="AK1587" s="374"/>
      <c r="AL1587" s="374"/>
      <c r="AO1587" s="294"/>
      <c r="AR1587" s="374"/>
      <c r="AZ1587" s="374"/>
      <c r="BE1587" s="26"/>
      <c r="BF1587" s="26"/>
      <c r="BG1587" s="26"/>
      <c r="BH1587" s="26"/>
      <c r="BI1587" s="26"/>
      <c r="BJ1587" s="26"/>
      <c r="BK1587" s="26"/>
      <c r="BL1587" s="26"/>
      <c r="BS1587" s="20"/>
      <c r="BT1587" s="26"/>
      <c r="BU1587" s="381"/>
      <c r="BV1587" s="381"/>
      <c r="BW1587" s="229"/>
    </row>
    <row r="1588" spans="33:75" x14ac:dyDescent="0.2">
      <c r="AG1588" s="294"/>
      <c r="AH1588" s="294"/>
      <c r="AI1588" s="294"/>
      <c r="AJ1588" s="26"/>
      <c r="AK1588" s="374"/>
      <c r="AL1588" s="374"/>
      <c r="AO1588" s="294"/>
      <c r="AR1588" s="374"/>
      <c r="AZ1588" s="374"/>
      <c r="BE1588" s="26"/>
      <c r="BF1588" s="26"/>
      <c r="BG1588" s="26"/>
      <c r="BH1588" s="26"/>
      <c r="BI1588" s="26"/>
      <c r="BJ1588" s="26"/>
      <c r="BK1588" s="26"/>
      <c r="BL1588" s="26"/>
      <c r="BS1588" s="20"/>
      <c r="BT1588" s="26"/>
      <c r="BU1588" s="381"/>
      <c r="BV1588" s="381"/>
      <c r="BW1588" s="229"/>
    </row>
    <row r="1589" spans="33:75" x14ac:dyDescent="0.2">
      <c r="AG1589" s="294"/>
      <c r="AH1589" s="294"/>
      <c r="AI1589" s="294"/>
      <c r="AJ1589" s="26"/>
      <c r="AK1589" s="374"/>
      <c r="AL1589" s="374"/>
      <c r="AO1589" s="294"/>
      <c r="AR1589" s="374"/>
      <c r="AZ1589" s="374"/>
      <c r="BE1589" s="26"/>
      <c r="BF1589" s="26"/>
      <c r="BG1589" s="26"/>
      <c r="BH1589" s="26"/>
      <c r="BI1589" s="26"/>
      <c r="BJ1589" s="26"/>
      <c r="BK1589" s="26"/>
      <c r="BL1589" s="26"/>
      <c r="BS1589" s="20"/>
      <c r="BT1589" s="26"/>
      <c r="BU1589" s="381"/>
      <c r="BV1589" s="381"/>
      <c r="BW1589" s="229"/>
    </row>
    <row r="1590" spans="33:75" x14ac:dyDescent="0.2">
      <c r="AG1590" s="294"/>
      <c r="AH1590" s="294"/>
      <c r="AI1590" s="294"/>
      <c r="AJ1590" s="26"/>
      <c r="AK1590" s="374"/>
      <c r="AL1590" s="374"/>
      <c r="AO1590" s="294"/>
      <c r="AR1590" s="374"/>
      <c r="AZ1590" s="374"/>
      <c r="BE1590" s="26"/>
      <c r="BF1590" s="26"/>
      <c r="BG1590" s="26"/>
      <c r="BH1590" s="26"/>
      <c r="BI1590" s="26"/>
      <c r="BJ1590" s="26"/>
      <c r="BK1590" s="26"/>
      <c r="BL1590" s="26"/>
      <c r="BS1590" s="20"/>
      <c r="BT1590" s="26"/>
      <c r="BU1590" s="381"/>
      <c r="BV1590" s="381"/>
      <c r="BW1590" s="229"/>
    </row>
    <row r="1591" spans="33:75" x14ac:dyDescent="0.2">
      <c r="AG1591" s="294"/>
      <c r="AH1591" s="294"/>
      <c r="AI1591" s="294"/>
      <c r="AJ1591" s="26"/>
      <c r="AK1591" s="374"/>
      <c r="AL1591" s="374"/>
      <c r="AO1591" s="294"/>
      <c r="AR1591" s="374"/>
      <c r="AZ1591" s="374"/>
      <c r="BE1591" s="26"/>
      <c r="BF1591" s="26"/>
      <c r="BG1591" s="26"/>
      <c r="BH1591" s="26"/>
      <c r="BI1591" s="26"/>
      <c r="BJ1591" s="26"/>
      <c r="BK1591" s="26"/>
      <c r="BL1591" s="26"/>
      <c r="BS1591" s="20"/>
      <c r="BT1591" s="26"/>
      <c r="BU1591" s="381"/>
      <c r="BV1591" s="381"/>
      <c r="BW1591" s="229"/>
    </row>
    <row r="1592" spans="33:75" x14ac:dyDescent="0.2">
      <c r="AG1592" s="294"/>
      <c r="AH1592" s="294"/>
      <c r="AI1592" s="294"/>
      <c r="AJ1592" s="26"/>
      <c r="AK1592" s="374"/>
      <c r="AL1592" s="374"/>
      <c r="AO1592" s="294"/>
      <c r="AR1592" s="374"/>
      <c r="AZ1592" s="374"/>
      <c r="BE1592" s="26"/>
      <c r="BF1592" s="26"/>
      <c r="BG1592" s="26"/>
      <c r="BH1592" s="26"/>
      <c r="BI1592" s="26"/>
      <c r="BJ1592" s="26"/>
      <c r="BK1592" s="26"/>
      <c r="BL1592" s="26"/>
      <c r="BS1592" s="20"/>
      <c r="BT1592" s="26"/>
      <c r="BU1592" s="381"/>
      <c r="BV1592" s="381"/>
      <c r="BW1592" s="229"/>
    </row>
    <row r="1593" spans="33:75" x14ac:dyDescent="0.2">
      <c r="AG1593" s="294"/>
      <c r="AH1593" s="294"/>
      <c r="AI1593" s="294"/>
      <c r="AJ1593" s="26"/>
      <c r="AK1593" s="374"/>
      <c r="AL1593" s="374"/>
      <c r="AO1593" s="294"/>
      <c r="AR1593" s="374"/>
      <c r="AZ1593" s="374"/>
      <c r="BE1593" s="26"/>
      <c r="BF1593" s="26"/>
      <c r="BG1593" s="26"/>
      <c r="BH1593" s="26"/>
      <c r="BI1593" s="26"/>
      <c r="BJ1593" s="26"/>
      <c r="BK1593" s="26"/>
      <c r="BL1593" s="26"/>
      <c r="BS1593" s="20"/>
      <c r="BT1593" s="26"/>
      <c r="BU1593" s="381"/>
      <c r="BV1593" s="381"/>
      <c r="BW1593" s="229"/>
    </row>
    <row r="1594" spans="33:75" x14ac:dyDescent="0.2">
      <c r="AG1594" s="294"/>
      <c r="AH1594" s="294"/>
      <c r="AI1594" s="294"/>
      <c r="AJ1594" s="26"/>
      <c r="AK1594" s="374"/>
      <c r="AL1594" s="374"/>
      <c r="AO1594" s="294"/>
      <c r="AR1594" s="374"/>
      <c r="AZ1594" s="374"/>
      <c r="BE1594" s="26"/>
      <c r="BF1594" s="26"/>
      <c r="BG1594" s="26"/>
      <c r="BH1594" s="26"/>
      <c r="BI1594" s="26"/>
      <c r="BJ1594" s="26"/>
      <c r="BK1594" s="26"/>
      <c r="BL1594" s="26"/>
      <c r="BS1594" s="20"/>
      <c r="BT1594" s="26"/>
      <c r="BU1594" s="381"/>
      <c r="BV1594" s="381"/>
      <c r="BW1594" s="229"/>
    </row>
    <row r="1595" spans="33:75" x14ac:dyDescent="0.2">
      <c r="AG1595" s="294"/>
      <c r="AH1595" s="294"/>
      <c r="AI1595" s="294"/>
      <c r="AJ1595" s="26"/>
      <c r="AK1595" s="374"/>
      <c r="AL1595" s="374"/>
      <c r="AO1595" s="294"/>
      <c r="AR1595" s="374"/>
      <c r="AZ1595" s="374"/>
      <c r="BE1595" s="26"/>
      <c r="BF1595" s="26"/>
      <c r="BG1595" s="26"/>
      <c r="BH1595" s="26"/>
      <c r="BI1595" s="26"/>
      <c r="BJ1595" s="26"/>
      <c r="BK1595" s="26"/>
      <c r="BL1595" s="26"/>
      <c r="BS1595" s="20"/>
      <c r="BT1595" s="26"/>
      <c r="BU1595" s="381"/>
      <c r="BV1595" s="381"/>
      <c r="BW1595" s="229"/>
    </row>
    <row r="1596" spans="33:75" x14ac:dyDescent="0.2">
      <c r="AG1596" s="294"/>
      <c r="AH1596" s="294"/>
      <c r="AI1596" s="294"/>
      <c r="AJ1596" s="26"/>
      <c r="AK1596" s="374"/>
      <c r="AL1596" s="374"/>
      <c r="AO1596" s="294"/>
      <c r="AR1596" s="374"/>
      <c r="AZ1596" s="374"/>
      <c r="BE1596" s="26"/>
      <c r="BF1596" s="26"/>
      <c r="BG1596" s="26"/>
      <c r="BH1596" s="26"/>
      <c r="BI1596" s="26"/>
      <c r="BJ1596" s="26"/>
      <c r="BK1596" s="26"/>
      <c r="BL1596" s="26"/>
      <c r="BS1596" s="20"/>
      <c r="BT1596" s="26"/>
      <c r="BU1596" s="381"/>
      <c r="BV1596" s="381"/>
      <c r="BW1596" s="229"/>
    </row>
    <row r="1597" spans="33:75" x14ac:dyDescent="0.2">
      <c r="AG1597" s="294"/>
      <c r="AH1597" s="294"/>
      <c r="AI1597" s="294"/>
      <c r="AJ1597" s="26"/>
      <c r="AK1597" s="374"/>
      <c r="AL1597" s="374"/>
      <c r="AO1597" s="294"/>
      <c r="AR1597" s="374"/>
      <c r="AZ1597" s="374"/>
      <c r="BE1597" s="26"/>
      <c r="BF1597" s="26"/>
      <c r="BG1597" s="26"/>
      <c r="BH1597" s="26"/>
      <c r="BI1597" s="26"/>
      <c r="BJ1597" s="26"/>
      <c r="BK1597" s="26"/>
      <c r="BL1597" s="26"/>
      <c r="BS1597" s="20"/>
      <c r="BT1597" s="26"/>
      <c r="BU1597" s="381"/>
      <c r="BV1597" s="381"/>
      <c r="BW1597" s="229"/>
    </row>
    <row r="1598" spans="33:75" x14ac:dyDescent="0.2">
      <c r="AG1598" s="294"/>
      <c r="AH1598" s="294"/>
      <c r="AI1598" s="294"/>
      <c r="AJ1598" s="26"/>
      <c r="AK1598" s="374"/>
      <c r="AL1598" s="374"/>
      <c r="AO1598" s="294"/>
      <c r="AR1598" s="374"/>
      <c r="AZ1598" s="374"/>
      <c r="BE1598" s="26"/>
      <c r="BF1598" s="26"/>
      <c r="BG1598" s="26"/>
      <c r="BH1598" s="26"/>
      <c r="BI1598" s="26"/>
      <c r="BJ1598" s="26"/>
      <c r="BK1598" s="26"/>
      <c r="BL1598" s="26"/>
      <c r="BS1598" s="20"/>
      <c r="BT1598" s="26"/>
      <c r="BU1598" s="381"/>
      <c r="BV1598" s="381"/>
      <c r="BW1598" s="229"/>
    </row>
    <row r="1599" spans="33:75" x14ac:dyDescent="0.2">
      <c r="AG1599" s="294"/>
      <c r="AH1599" s="294"/>
      <c r="AI1599" s="294"/>
      <c r="AJ1599" s="26"/>
      <c r="AK1599" s="374"/>
      <c r="AL1599" s="374"/>
      <c r="AO1599" s="294"/>
      <c r="AR1599" s="374"/>
      <c r="AZ1599" s="374"/>
      <c r="BE1599" s="26"/>
      <c r="BF1599" s="26"/>
      <c r="BG1599" s="26"/>
      <c r="BH1599" s="26"/>
      <c r="BI1599" s="26"/>
      <c r="BJ1599" s="26"/>
      <c r="BK1599" s="26"/>
      <c r="BL1599" s="26"/>
      <c r="BS1599" s="20"/>
      <c r="BT1599" s="26"/>
      <c r="BU1599" s="381"/>
      <c r="BV1599" s="381"/>
      <c r="BW1599" s="229"/>
    </row>
    <row r="1600" spans="33:75" x14ac:dyDescent="0.2">
      <c r="AG1600" s="294"/>
      <c r="AH1600" s="294"/>
      <c r="AI1600" s="294"/>
      <c r="AJ1600" s="26"/>
      <c r="AK1600" s="374"/>
      <c r="AL1600" s="374"/>
      <c r="AO1600" s="294"/>
      <c r="AR1600" s="374"/>
      <c r="AZ1600" s="374"/>
      <c r="BE1600" s="26"/>
      <c r="BF1600" s="26"/>
      <c r="BG1600" s="26"/>
      <c r="BH1600" s="26"/>
      <c r="BI1600" s="26"/>
      <c r="BJ1600" s="26"/>
      <c r="BK1600" s="26"/>
      <c r="BL1600" s="26"/>
      <c r="BS1600" s="20"/>
      <c r="BT1600" s="26"/>
      <c r="BU1600" s="381"/>
      <c r="BV1600" s="381"/>
      <c r="BW1600" s="229"/>
    </row>
    <row r="1601" spans="33:75" x14ac:dyDescent="0.2">
      <c r="AG1601" s="294"/>
      <c r="AH1601" s="294"/>
      <c r="AI1601" s="294"/>
      <c r="AJ1601" s="26"/>
      <c r="AK1601" s="374"/>
      <c r="AL1601" s="374"/>
      <c r="AO1601" s="294"/>
      <c r="AR1601" s="374"/>
      <c r="AZ1601" s="374"/>
      <c r="BE1601" s="26"/>
      <c r="BF1601" s="26"/>
      <c r="BG1601" s="26"/>
      <c r="BH1601" s="26"/>
      <c r="BI1601" s="26"/>
      <c r="BJ1601" s="26"/>
      <c r="BK1601" s="26"/>
      <c r="BL1601" s="26"/>
      <c r="BS1601" s="20"/>
      <c r="BT1601" s="26"/>
      <c r="BU1601" s="381"/>
      <c r="BV1601" s="381"/>
      <c r="BW1601" s="229"/>
    </row>
    <row r="1602" spans="33:75" x14ac:dyDescent="0.2">
      <c r="AG1602" s="294"/>
      <c r="AH1602" s="294"/>
      <c r="AI1602" s="294"/>
      <c r="AJ1602" s="26"/>
      <c r="AK1602" s="374"/>
      <c r="AL1602" s="374"/>
      <c r="AO1602" s="294"/>
      <c r="AR1602" s="374"/>
      <c r="AZ1602" s="374"/>
      <c r="BE1602" s="26"/>
      <c r="BF1602" s="26"/>
      <c r="BG1602" s="26"/>
      <c r="BH1602" s="26"/>
      <c r="BI1602" s="26"/>
      <c r="BJ1602" s="26"/>
      <c r="BK1602" s="26"/>
      <c r="BL1602" s="26"/>
      <c r="BS1602" s="20"/>
      <c r="BT1602" s="26"/>
      <c r="BU1602" s="381"/>
      <c r="BV1602" s="381"/>
      <c r="BW1602" s="229"/>
    </row>
    <row r="1603" spans="33:75" x14ac:dyDescent="0.2">
      <c r="AG1603" s="294"/>
      <c r="AH1603" s="294"/>
      <c r="AI1603" s="294"/>
      <c r="AJ1603" s="26"/>
      <c r="AK1603" s="374"/>
      <c r="AL1603" s="374"/>
      <c r="AO1603" s="294"/>
      <c r="AR1603" s="374"/>
      <c r="AZ1603" s="374"/>
      <c r="BE1603" s="26"/>
      <c r="BF1603" s="26"/>
      <c r="BG1603" s="26"/>
      <c r="BH1603" s="26"/>
      <c r="BI1603" s="26"/>
      <c r="BJ1603" s="26"/>
      <c r="BK1603" s="26"/>
      <c r="BL1603" s="26"/>
      <c r="BS1603" s="20"/>
      <c r="BT1603" s="26"/>
      <c r="BU1603" s="381"/>
      <c r="BV1603" s="381"/>
      <c r="BW1603" s="229"/>
    </row>
    <row r="1604" spans="33:75" x14ac:dyDescent="0.2">
      <c r="AG1604" s="294"/>
      <c r="AH1604" s="294"/>
      <c r="AI1604" s="294"/>
      <c r="AJ1604" s="26"/>
      <c r="AK1604" s="374"/>
      <c r="AL1604" s="374"/>
      <c r="AO1604" s="294"/>
      <c r="AR1604" s="374"/>
      <c r="AZ1604" s="374"/>
      <c r="BE1604" s="26"/>
      <c r="BF1604" s="26"/>
      <c r="BG1604" s="26"/>
      <c r="BH1604" s="26"/>
      <c r="BI1604" s="26"/>
      <c r="BJ1604" s="26"/>
      <c r="BK1604" s="26"/>
      <c r="BL1604" s="26"/>
      <c r="BS1604" s="20"/>
      <c r="BT1604" s="26"/>
      <c r="BU1604" s="381"/>
      <c r="BV1604" s="381"/>
      <c r="BW1604" s="229"/>
    </row>
    <row r="1605" spans="33:75" x14ac:dyDescent="0.2">
      <c r="AG1605" s="294"/>
      <c r="AH1605" s="294"/>
      <c r="AI1605" s="294"/>
      <c r="AJ1605" s="26"/>
      <c r="AK1605" s="374"/>
      <c r="AL1605" s="374"/>
      <c r="AO1605" s="294"/>
      <c r="AR1605" s="374"/>
      <c r="AZ1605" s="374"/>
      <c r="BE1605" s="26"/>
      <c r="BF1605" s="26"/>
      <c r="BG1605" s="26"/>
      <c r="BH1605" s="26"/>
      <c r="BI1605" s="26"/>
      <c r="BJ1605" s="26"/>
      <c r="BK1605" s="26"/>
      <c r="BL1605" s="26"/>
      <c r="BS1605" s="20"/>
      <c r="BT1605" s="26"/>
      <c r="BU1605" s="381"/>
      <c r="BV1605" s="381"/>
      <c r="BW1605" s="229"/>
    </row>
    <row r="1606" spans="33:75" x14ac:dyDescent="0.2">
      <c r="AG1606" s="294"/>
      <c r="AH1606" s="294"/>
      <c r="AI1606" s="294"/>
      <c r="AJ1606" s="26"/>
      <c r="AK1606" s="374"/>
      <c r="AL1606" s="374"/>
      <c r="AO1606" s="294"/>
      <c r="AR1606" s="374"/>
      <c r="AZ1606" s="374"/>
      <c r="BE1606" s="26"/>
      <c r="BF1606" s="26"/>
      <c r="BG1606" s="26"/>
      <c r="BH1606" s="26"/>
      <c r="BI1606" s="26"/>
      <c r="BJ1606" s="26"/>
      <c r="BK1606" s="26"/>
      <c r="BL1606" s="26"/>
      <c r="BS1606" s="20"/>
      <c r="BT1606" s="26"/>
      <c r="BU1606" s="381"/>
      <c r="BV1606" s="381"/>
      <c r="BW1606" s="229"/>
    </row>
    <row r="1607" spans="33:75" x14ac:dyDescent="0.2">
      <c r="AG1607" s="294"/>
      <c r="AH1607" s="294"/>
      <c r="AI1607" s="294"/>
      <c r="AJ1607" s="26"/>
      <c r="AK1607" s="374"/>
      <c r="AL1607" s="374"/>
      <c r="AO1607" s="294"/>
      <c r="AR1607" s="374"/>
      <c r="AZ1607" s="374"/>
      <c r="BE1607" s="26"/>
      <c r="BF1607" s="26"/>
      <c r="BG1607" s="26"/>
      <c r="BH1607" s="26"/>
      <c r="BI1607" s="26"/>
      <c r="BJ1607" s="26"/>
      <c r="BK1607" s="26"/>
      <c r="BL1607" s="26"/>
      <c r="BS1607" s="20"/>
      <c r="BT1607" s="26"/>
      <c r="BU1607" s="381"/>
      <c r="BV1607" s="381"/>
      <c r="BW1607" s="229"/>
    </row>
    <row r="1608" spans="33:75" x14ac:dyDescent="0.2">
      <c r="AG1608" s="294"/>
      <c r="AH1608" s="294"/>
      <c r="AI1608" s="294"/>
      <c r="AJ1608" s="26"/>
      <c r="AK1608" s="374"/>
      <c r="AL1608" s="374"/>
      <c r="AO1608" s="294"/>
      <c r="AR1608" s="374"/>
      <c r="AZ1608" s="374"/>
      <c r="BE1608" s="26"/>
      <c r="BF1608" s="26"/>
      <c r="BG1608" s="26"/>
      <c r="BH1608" s="26"/>
      <c r="BI1608" s="26"/>
      <c r="BJ1608" s="26"/>
      <c r="BK1608" s="26"/>
      <c r="BL1608" s="26"/>
      <c r="BS1608" s="20"/>
      <c r="BT1608" s="26"/>
      <c r="BU1608" s="381"/>
      <c r="BV1608" s="381"/>
      <c r="BW1608" s="229"/>
    </row>
    <row r="1609" spans="33:75" x14ac:dyDescent="0.2">
      <c r="AG1609" s="294"/>
      <c r="AH1609" s="294"/>
      <c r="AI1609" s="294"/>
      <c r="AJ1609" s="26"/>
      <c r="AK1609" s="374"/>
      <c r="AL1609" s="374"/>
      <c r="AO1609" s="294"/>
      <c r="AR1609" s="374"/>
      <c r="AZ1609" s="374"/>
      <c r="BE1609" s="26"/>
      <c r="BF1609" s="26"/>
      <c r="BG1609" s="26"/>
      <c r="BH1609" s="26"/>
      <c r="BI1609" s="26"/>
      <c r="BJ1609" s="26"/>
      <c r="BK1609" s="26"/>
      <c r="BL1609" s="26"/>
      <c r="BS1609" s="20"/>
      <c r="BT1609" s="26"/>
      <c r="BU1609" s="381"/>
      <c r="BV1609" s="381"/>
      <c r="BW1609" s="229"/>
    </row>
    <row r="1610" spans="33:75" x14ac:dyDescent="0.2">
      <c r="AG1610" s="294"/>
      <c r="AH1610" s="294"/>
      <c r="AI1610" s="294"/>
      <c r="AJ1610" s="26"/>
      <c r="AK1610" s="374"/>
      <c r="AL1610" s="374"/>
      <c r="AO1610" s="294"/>
      <c r="AR1610" s="374"/>
      <c r="AZ1610" s="374"/>
      <c r="BE1610" s="26"/>
      <c r="BF1610" s="26"/>
      <c r="BG1610" s="26"/>
      <c r="BH1610" s="26"/>
      <c r="BI1610" s="26"/>
      <c r="BJ1610" s="26"/>
      <c r="BK1610" s="26"/>
      <c r="BL1610" s="26"/>
      <c r="BS1610" s="20"/>
      <c r="BT1610" s="26"/>
      <c r="BU1610" s="381"/>
      <c r="BV1610" s="381"/>
      <c r="BW1610" s="229"/>
    </row>
    <row r="1611" spans="33:75" x14ac:dyDescent="0.2">
      <c r="AG1611" s="294"/>
      <c r="AH1611" s="294"/>
      <c r="AI1611" s="294"/>
      <c r="AJ1611" s="26"/>
      <c r="AK1611" s="374"/>
      <c r="AL1611" s="374"/>
      <c r="AO1611" s="294"/>
      <c r="AR1611" s="374"/>
      <c r="AZ1611" s="374"/>
      <c r="BE1611" s="26"/>
      <c r="BF1611" s="26"/>
      <c r="BG1611" s="26"/>
      <c r="BH1611" s="26"/>
      <c r="BI1611" s="26"/>
      <c r="BJ1611" s="26"/>
      <c r="BK1611" s="26"/>
      <c r="BL1611" s="26"/>
      <c r="BS1611" s="20"/>
      <c r="BT1611" s="26"/>
      <c r="BU1611" s="381"/>
      <c r="BV1611" s="381"/>
      <c r="BW1611" s="229"/>
    </row>
    <row r="1612" spans="33:75" x14ac:dyDescent="0.2">
      <c r="AG1612" s="294"/>
      <c r="AH1612" s="294"/>
      <c r="AI1612" s="294"/>
      <c r="AJ1612" s="26"/>
      <c r="AK1612" s="374"/>
      <c r="AL1612" s="374"/>
      <c r="AO1612" s="294"/>
      <c r="AR1612" s="374"/>
      <c r="AZ1612" s="374"/>
      <c r="BE1612" s="26"/>
      <c r="BF1612" s="26"/>
      <c r="BG1612" s="26"/>
      <c r="BH1612" s="26"/>
      <c r="BI1612" s="26"/>
      <c r="BJ1612" s="26"/>
      <c r="BK1612" s="26"/>
      <c r="BL1612" s="26"/>
      <c r="BS1612" s="20"/>
      <c r="BT1612" s="26"/>
      <c r="BU1612" s="381"/>
      <c r="BV1612" s="381"/>
      <c r="BW1612" s="229"/>
    </row>
    <row r="1613" spans="33:75" x14ac:dyDescent="0.2">
      <c r="AG1613" s="294"/>
      <c r="AH1613" s="294"/>
      <c r="AI1613" s="294"/>
      <c r="AJ1613" s="26"/>
      <c r="AK1613" s="374"/>
      <c r="AL1613" s="374"/>
      <c r="AO1613" s="294"/>
      <c r="AR1613" s="374"/>
      <c r="AZ1613" s="374"/>
      <c r="BE1613" s="26"/>
      <c r="BF1613" s="26"/>
      <c r="BG1613" s="26"/>
      <c r="BH1613" s="26"/>
      <c r="BI1613" s="26"/>
      <c r="BJ1613" s="26"/>
      <c r="BK1613" s="26"/>
      <c r="BL1613" s="26"/>
      <c r="BS1613" s="20"/>
      <c r="BT1613" s="26"/>
      <c r="BU1613" s="381"/>
      <c r="BV1613" s="381"/>
      <c r="BW1613" s="229"/>
    </row>
    <row r="1614" spans="33:75" x14ac:dyDescent="0.2">
      <c r="AG1614" s="294"/>
      <c r="AH1614" s="294"/>
      <c r="AI1614" s="294"/>
      <c r="AJ1614" s="26"/>
      <c r="AK1614" s="374"/>
      <c r="AL1614" s="374"/>
      <c r="AO1614" s="294"/>
      <c r="AR1614" s="374"/>
      <c r="AZ1614" s="374"/>
      <c r="BE1614" s="26"/>
      <c r="BF1614" s="26"/>
      <c r="BG1614" s="26"/>
      <c r="BH1614" s="26"/>
      <c r="BI1614" s="26"/>
      <c r="BJ1614" s="26"/>
      <c r="BK1614" s="26"/>
      <c r="BL1614" s="26"/>
      <c r="BS1614" s="20"/>
      <c r="BT1614" s="26"/>
      <c r="BU1614" s="381"/>
      <c r="BV1614" s="381"/>
      <c r="BW1614" s="229"/>
    </row>
    <row r="1615" spans="33:75" x14ac:dyDescent="0.2">
      <c r="AG1615" s="294"/>
      <c r="AH1615" s="294"/>
      <c r="AI1615" s="294"/>
      <c r="AJ1615" s="26"/>
      <c r="AK1615" s="374"/>
      <c r="AL1615" s="374"/>
      <c r="AO1615" s="294"/>
      <c r="AR1615" s="374"/>
      <c r="AZ1615" s="374"/>
      <c r="BE1615" s="26"/>
      <c r="BF1615" s="26"/>
      <c r="BG1615" s="26"/>
      <c r="BH1615" s="26"/>
      <c r="BI1615" s="26"/>
      <c r="BJ1615" s="26"/>
      <c r="BK1615" s="26"/>
      <c r="BL1615" s="26"/>
      <c r="BS1615" s="20"/>
      <c r="BT1615" s="26"/>
      <c r="BU1615" s="381"/>
      <c r="BV1615" s="381"/>
      <c r="BW1615" s="229"/>
    </row>
    <row r="1616" spans="33:75" x14ac:dyDescent="0.2">
      <c r="AG1616" s="294"/>
      <c r="AH1616" s="294"/>
      <c r="AI1616" s="294"/>
      <c r="AJ1616" s="26"/>
      <c r="AK1616" s="374"/>
      <c r="AL1616" s="374"/>
      <c r="AO1616" s="294"/>
      <c r="AR1616" s="374"/>
      <c r="AZ1616" s="374"/>
      <c r="BE1616" s="26"/>
      <c r="BF1616" s="26"/>
      <c r="BG1616" s="26"/>
      <c r="BH1616" s="26"/>
      <c r="BI1616" s="26"/>
      <c r="BJ1616" s="26"/>
      <c r="BK1616" s="26"/>
      <c r="BL1616" s="26"/>
      <c r="BS1616" s="20"/>
      <c r="BT1616" s="26"/>
      <c r="BU1616" s="381"/>
      <c r="BV1616" s="381"/>
      <c r="BW1616" s="229"/>
    </row>
    <row r="1617" spans="33:75" x14ac:dyDescent="0.2">
      <c r="AG1617" s="294"/>
      <c r="AH1617" s="294"/>
      <c r="AI1617" s="294"/>
      <c r="AJ1617" s="26"/>
      <c r="AK1617" s="374"/>
      <c r="AL1617" s="374"/>
      <c r="AO1617" s="294"/>
      <c r="AR1617" s="374"/>
      <c r="AZ1617" s="374"/>
      <c r="BE1617" s="26"/>
      <c r="BF1617" s="26"/>
      <c r="BG1617" s="26"/>
      <c r="BH1617" s="26"/>
      <c r="BI1617" s="26"/>
      <c r="BJ1617" s="26"/>
      <c r="BK1617" s="26"/>
      <c r="BL1617" s="26"/>
      <c r="BS1617" s="20"/>
      <c r="BT1617" s="26"/>
      <c r="BU1617" s="381"/>
      <c r="BV1617" s="381"/>
      <c r="BW1617" s="229"/>
    </row>
    <row r="1618" spans="33:75" x14ac:dyDescent="0.2">
      <c r="AG1618" s="294"/>
      <c r="AH1618" s="294"/>
      <c r="AI1618" s="294"/>
      <c r="AJ1618" s="26"/>
      <c r="AK1618" s="374"/>
      <c r="AL1618" s="374"/>
      <c r="AO1618" s="294"/>
      <c r="AR1618" s="374"/>
      <c r="AZ1618" s="374"/>
      <c r="BE1618" s="26"/>
      <c r="BF1618" s="26"/>
      <c r="BG1618" s="26"/>
      <c r="BH1618" s="26"/>
      <c r="BI1618" s="26"/>
      <c r="BJ1618" s="26"/>
      <c r="BK1618" s="26"/>
      <c r="BL1618" s="26"/>
      <c r="BS1618" s="20"/>
      <c r="BT1618" s="26"/>
      <c r="BU1618" s="381"/>
      <c r="BV1618" s="381"/>
      <c r="BW1618" s="229"/>
    </row>
    <row r="1619" spans="33:75" x14ac:dyDescent="0.2">
      <c r="AG1619" s="294"/>
      <c r="AH1619" s="294"/>
      <c r="AI1619" s="294"/>
      <c r="AJ1619" s="26"/>
      <c r="AK1619" s="374"/>
      <c r="AL1619" s="374"/>
      <c r="AO1619" s="294"/>
      <c r="AR1619" s="374"/>
      <c r="AZ1619" s="374"/>
      <c r="BE1619" s="26"/>
      <c r="BF1619" s="26"/>
      <c r="BG1619" s="26"/>
      <c r="BH1619" s="26"/>
      <c r="BI1619" s="26"/>
      <c r="BJ1619" s="26"/>
      <c r="BK1619" s="26"/>
      <c r="BL1619" s="26"/>
      <c r="BS1619" s="20"/>
      <c r="BT1619" s="26"/>
      <c r="BU1619" s="381"/>
      <c r="BV1619" s="381"/>
      <c r="BW1619" s="229"/>
    </row>
    <row r="1620" spans="33:75" x14ac:dyDescent="0.2">
      <c r="AG1620" s="294"/>
      <c r="AH1620" s="294"/>
      <c r="AI1620" s="294"/>
      <c r="AJ1620" s="26"/>
      <c r="AK1620" s="374"/>
      <c r="AL1620" s="374"/>
      <c r="AO1620" s="294"/>
      <c r="AR1620" s="374"/>
      <c r="AZ1620" s="374"/>
      <c r="BE1620" s="26"/>
      <c r="BF1620" s="26"/>
      <c r="BG1620" s="26"/>
      <c r="BH1620" s="26"/>
      <c r="BI1620" s="26"/>
      <c r="BJ1620" s="26"/>
      <c r="BK1620" s="26"/>
      <c r="BL1620" s="26"/>
      <c r="BS1620" s="20"/>
      <c r="BT1620" s="26"/>
      <c r="BU1620" s="381"/>
      <c r="BV1620" s="381"/>
      <c r="BW1620" s="229"/>
    </row>
    <row r="1621" spans="33:75" x14ac:dyDescent="0.2">
      <c r="AG1621" s="294"/>
      <c r="AH1621" s="294"/>
      <c r="AI1621" s="294"/>
      <c r="AJ1621" s="26"/>
      <c r="AK1621" s="374"/>
      <c r="AL1621" s="374"/>
      <c r="AO1621" s="294"/>
      <c r="AR1621" s="374"/>
      <c r="AZ1621" s="374"/>
      <c r="BE1621" s="26"/>
      <c r="BF1621" s="26"/>
      <c r="BG1621" s="26"/>
      <c r="BH1621" s="26"/>
      <c r="BI1621" s="26"/>
      <c r="BJ1621" s="26"/>
      <c r="BK1621" s="26"/>
      <c r="BL1621" s="26"/>
      <c r="BS1621" s="20"/>
      <c r="BT1621" s="26"/>
      <c r="BU1621" s="381"/>
      <c r="BV1621" s="381"/>
      <c r="BW1621" s="229"/>
    </row>
    <row r="1622" spans="33:75" x14ac:dyDescent="0.2">
      <c r="AG1622" s="294"/>
      <c r="AH1622" s="294"/>
      <c r="AI1622" s="294"/>
      <c r="AJ1622" s="26"/>
      <c r="AK1622" s="374"/>
      <c r="AL1622" s="374"/>
      <c r="AO1622" s="294"/>
      <c r="AR1622" s="374"/>
      <c r="AZ1622" s="374"/>
      <c r="BE1622" s="26"/>
      <c r="BF1622" s="26"/>
      <c r="BG1622" s="26"/>
      <c r="BH1622" s="26"/>
      <c r="BI1622" s="26"/>
      <c r="BJ1622" s="26"/>
      <c r="BK1622" s="26"/>
      <c r="BL1622" s="26"/>
      <c r="BS1622" s="20"/>
      <c r="BT1622" s="26"/>
      <c r="BU1622" s="381"/>
      <c r="BV1622" s="381"/>
      <c r="BW1622" s="229"/>
    </row>
    <row r="1623" spans="33:75" x14ac:dyDescent="0.2">
      <c r="AG1623" s="294"/>
      <c r="AH1623" s="294"/>
      <c r="AI1623" s="294"/>
      <c r="AJ1623" s="26"/>
      <c r="AK1623" s="374"/>
      <c r="AL1623" s="374"/>
      <c r="AO1623" s="294"/>
      <c r="AR1623" s="374"/>
      <c r="AZ1623" s="374"/>
      <c r="BE1623" s="26"/>
      <c r="BF1623" s="26"/>
      <c r="BG1623" s="26"/>
      <c r="BH1623" s="26"/>
      <c r="BI1623" s="26"/>
      <c r="BJ1623" s="26"/>
      <c r="BK1623" s="26"/>
      <c r="BL1623" s="26"/>
      <c r="BS1623" s="20"/>
      <c r="BT1623" s="26"/>
      <c r="BU1623" s="381"/>
      <c r="BV1623" s="381"/>
      <c r="BW1623" s="229"/>
    </row>
    <row r="1624" spans="33:75" x14ac:dyDescent="0.2">
      <c r="AG1624" s="294"/>
      <c r="AH1624" s="294"/>
      <c r="AI1624" s="294"/>
      <c r="AJ1624" s="26"/>
      <c r="AK1624" s="374"/>
      <c r="AL1624" s="374"/>
      <c r="AO1624" s="294"/>
      <c r="AR1624" s="374"/>
      <c r="AZ1624" s="374"/>
      <c r="BE1624" s="26"/>
      <c r="BF1624" s="26"/>
      <c r="BG1624" s="26"/>
      <c r="BH1624" s="26"/>
      <c r="BI1624" s="26"/>
      <c r="BJ1624" s="26"/>
      <c r="BK1624" s="26"/>
      <c r="BL1624" s="26"/>
      <c r="BS1624" s="20"/>
      <c r="BT1624" s="26"/>
      <c r="BU1624" s="381"/>
      <c r="BV1624" s="381"/>
      <c r="BW1624" s="229"/>
    </row>
    <row r="1625" spans="33:75" x14ac:dyDescent="0.2">
      <c r="AG1625" s="294"/>
      <c r="AH1625" s="294"/>
      <c r="AI1625" s="294"/>
      <c r="AJ1625" s="26"/>
      <c r="AK1625" s="374"/>
      <c r="AL1625" s="374"/>
      <c r="AO1625" s="294"/>
      <c r="AR1625" s="374"/>
      <c r="AZ1625" s="374"/>
      <c r="BE1625" s="26"/>
      <c r="BF1625" s="26"/>
      <c r="BG1625" s="26"/>
      <c r="BH1625" s="26"/>
      <c r="BI1625" s="26"/>
      <c r="BJ1625" s="26"/>
      <c r="BK1625" s="26"/>
      <c r="BL1625" s="26"/>
      <c r="BS1625" s="20"/>
      <c r="BT1625" s="26"/>
      <c r="BU1625" s="381"/>
      <c r="BV1625" s="381"/>
      <c r="BW1625" s="229"/>
    </row>
    <row r="1626" spans="33:75" x14ac:dyDescent="0.2">
      <c r="AG1626" s="294"/>
      <c r="AH1626" s="294"/>
      <c r="AI1626" s="294"/>
      <c r="AJ1626" s="26"/>
      <c r="AK1626" s="374"/>
      <c r="AL1626" s="374"/>
      <c r="AO1626" s="294"/>
      <c r="AR1626" s="374"/>
      <c r="AZ1626" s="374"/>
      <c r="BE1626" s="26"/>
      <c r="BF1626" s="26"/>
      <c r="BG1626" s="26"/>
      <c r="BH1626" s="26"/>
      <c r="BI1626" s="26"/>
      <c r="BJ1626" s="26"/>
      <c r="BK1626" s="26"/>
      <c r="BL1626" s="26"/>
      <c r="BS1626" s="20"/>
      <c r="BT1626" s="26"/>
      <c r="BU1626" s="381"/>
      <c r="BV1626" s="381"/>
      <c r="BW1626" s="229"/>
    </row>
    <row r="1627" spans="33:75" x14ac:dyDescent="0.2">
      <c r="AG1627" s="294"/>
      <c r="AH1627" s="294"/>
      <c r="AI1627" s="294"/>
      <c r="AJ1627" s="26"/>
      <c r="AK1627" s="374"/>
      <c r="AL1627" s="374"/>
      <c r="AO1627" s="294"/>
      <c r="AR1627" s="374"/>
      <c r="AZ1627" s="374"/>
      <c r="BE1627" s="26"/>
      <c r="BF1627" s="26"/>
      <c r="BG1627" s="26"/>
      <c r="BH1627" s="26"/>
      <c r="BI1627" s="26"/>
      <c r="BJ1627" s="26"/>
      <c r="BK1627" s="26"/>
      <c r="BL1627" s="26"/>
      <c r="BS1627" s="20"/>
      <c r="BT1627" s="26"/>
      <c r="BU1627" s="381"/>
      <c r="BV1627" s="381"/>
      <c r="BW1627" s="229"/>
    </row>
    <row r="1628" spans="33:75" x14ac:dyDescent="0.2">
      <c r="AG1628" s="294"/>
      <c r="AH1628" s="294"/>
      <c r="AI1628" s="294"/>
      <c r="AJ1628" s="26"/>
      <c r="AK1628" s="374"/>
      <c r="AL1628" s="374"/>
      <c r="AO1628" s="294"/>
      <c r="AR1628" s="374"/>
      <c r="AZ1628" s="374"/>
      <c r="BE1628" s="26"/>
      <c r="BF1628" s="26"/>
      <c r="BG1628" s="26"/>
      <c r="BH1628" s="26"/>
      <c r="BI1628" s="26"/>
      <c r="BJ1628" s="26"/>
      <c r="BK1628" s="26"/>
      <c r="BL1628" s="26"/>
      <c r="BS1628" s="20"/>
      <c r="BT1628" s="26"/>
      <c r="BU1628" s="381"/>
      <c r="BV1628" s="381"/>
      <c r="BW1628" s="229"/>
    </row>
    <row r="1629" spans="33:75" x14ac:dyDescent="0.2">
      <c r="AG1629" s="294"/>
      <c r="AH1629" s="294"/>
      <c r="AI1629" s="294"/>
      <c r="AJ1629" s="26"/>
      <c r="AK1629" s="374"/>
      <c r="AL1629" s="374"/>
      <c r="AO1629" s="294"/>
      <c r="AR1629" s="374"/>
      <c r="AZ1629" s="374"/>
      <c r="BE1629" s="26"/>
      <c r="BF1629" s="26"/>
      <c r="BG1629" s="26"/>
      <c r="BH1629" s="26"/>
      <c r="BI1629" s="26"/>
      <c r="BJ1629" s="26"/>
      <c r="BK1629" s="26"/>
      <c r="BL1629" s="26"/>
      <c r="BS1629" s="20"/>
      <c r="BT1629" s="26"/>
      <c r="BU1629" s="381"/>
      <c r="BV1629" s="381"/>
      <c r="BW1629" s="229"/>
    </row>
    <row r="1630" spans="33:75" x14ac:dyDescent="0.2">
      <c r="AG1630" s="294"/>
      <c r="AH1630" s="294"/>
      <c r="AI1630" s="294"/>
      <c r="AJ1630" s="26"/>
      <c r="AK1630" s="374"/>
      <c r="AL1630" s="374"/>
      <c r="AO1630" s="294"/>
      <c r="AR1630" s="374"/>
      <c r="AZ1630" s="374"/>
      <c r="BE1630" s="26"/>
      <c r="BF1630" s="26"/>
      <c r="BG1630" s="26"/>
      <c r="BH1630" s="26"/>
      <c r="BI1630" s="26"/>
      <c r="BJ1630" s="26"/>
      <c r="BK1630" s="26"/>
      <c r="BL1630" s="26"/>
      <c r="BS1630" s="20"/>
      <c r="BT1630" s="26"/>
      <c r="BU1630" s="381"/>
      <c r="BV1630" s="381"/>
      <c r="BW1630" s="229"/>
    </row>
    <row r="1631" spans="33:75" x14ac:dyDescent="0.2">
      <c r="AG1631" s="294"/>
      <c r="AH1631" s="294"/>
      <c r="AI1631" s="294"/>
      <c r="AJ1631" s="26"/>
      <c r="AK1631" s="374"/>
      <c r="AL1631" s="374"/>
      <c r="AO1631" s="294"/>
      <c r="AR1631" s="374"/>
      <c r="AZ1631" s="374"/>
      <c r="BE1631" s="26"/>
      <c r="BF1631" s="26"/>
      <c r="BG1631" s="26"/>
      <c r="BH1631" s="26"/>
      <c r="BI1631" s="26"/>
      <c r="BJ1631" s="26"/>
      <c r="BK1631" s="26"/>
      <c r="BL1631" s="26"/>
      <c r="BS1631" s="20"/>
      <c r="BT1631" s="26"/>
      <c r="BU1631" s="381"/>
      <c r="BV1631" s="381"/>
      <c r="BW1631" s="229"/>
    </row>
    <row r="1632" spans="33:75" x14ac:dyDescent="0.2">
      <c r="AG1632" s="294"/>
      <c r="AH1632" s="294"/>
      <c r="AI1632" s="294"/>
      <c r="AJ1632" s="26"/>
      <c r="AK1632" s="374"/>
      <c r="AL1632" s="374"/>
      <c r="AO1632" s="294"/>
      <c r="AR1632" s="374"/>
      <c r="AZ1632" s="374"/>
      <c r="BE1632" s="26"/>
      <c r="BF1632" s="26"/>
      <c r="BG1632" s="26"/>
      <c r="BH1632" s="26"/>
      <c r="BI1632" s="26"/>
      <c r="BJ1632" s="26"/>
      <c r="BK1632" s="26"/>
      <c r="BL1632" s="26"/>
      <c r="BS1632" s="20"/>
      <c r="BT1632" s="26"/>
      <c r="BU1632" s="381"/>
      <c r="BV1632" s="381"/>
      <c r="BW1632" s="229"/>
    </row>
    <row r="1633" spans="33:75" x14ac:dyDescent="0.2">
      <c r="AG1633" s="294"/>
      <c r="AH1633" s="294"/>
      <c r="AI1633" s="294"/>
      <c r="AJ1633" s="26"/>
      <c r="AK1633" s="374"/>
      <c r="AL1633" s="374"/>
      <c r="AO1633" s="294"/>
      <c r="AR1633" s="374"/>
      <c r="AZ1633" s="374"/>
      <c r="BE1633" s="26"/>
      <c r="BF1633" s="26"/>
      <c r="BG1633" s="26"/>
      <c r="BH1633" s="26"/>
      <c r="BI1633" s="26"/>
      <c r="BJ1633" s="26"/>
      <c r="BK1633" s="26"/>
      <c r="BL1633" s="26"/>
      <c r="BS1633" s="20"/>
      <c r="BT1633" s="26"/>
      <c r="BU1633" s="381"/>
      <c r="BV1633" s="381"/>
      <c r="BW1633" s="229"/>
    </row>
    <row r="1634" spans="33:75" x14ac:dyDescent="0.2">
      <c r="AG1634" s="294"/>
      <c r="AH1634" s="294"/>
      <c r="AI1634" s="294"/>
      <c r="AJ1634" s="26"/>
      <c r="AK1634" s="374"/>
      <c r="AL1634" s="374"/>
      <c r="AO1634" s="294"/>
      <c r="AR1634" s="374"/>
      <c r="AZ1634" s="374"/>
      <c r="BE1634" s="26"/>
      <c r="BF1634" s="26"/>
      <c r="BG1634" s="26"/>
      <c r="BH1634" s="26"/>
      <c r="BI1634" s="26"/>
      <c r="BJ1634" s="26"/>
      <c r="BK1634" s="26"/>
      <c r="BL1634" s="26"/>
      <c r="BS1634" s="20"/>
      <c r="BT1634" s="26"/>
      <c r="BU1634" s="381"/>
      <c r="BV1634" s="381"/>
      <c r="BW1634" s="229"/>
    </row>
    <row r="1635" spans="33:75" x14ac:dyDescent="0.2">
      <c r="AG1635" s="294"/>
      <c r="AH1635" s="294"/>
      <c r="AI1635" s="294"/>
      <c r="AJ1635" s="26"/>
      <c r="AK1635" s="374"/>
      <c r="AL1635" s="374"/>
      <c r="AO1635" s="294"/>
      <c r="AR1635" s="374"/>
      <c r="AZ1635" s="374"/>
      <c r="BE1635" s="26"/>
      <c r="BF1635" s="26"/>
      <c r="BG1635" s="26"/>
      <c r="BH1635" s="26"/>
      <c r="BI1635" s="26"/>
      <c r="BJ1635" s="26"/>
      <c r="BK1635" s="26"/>
      <c r="BL1635" s="26"/>
      <c r="BS1635" s="20"/>
      <c r="BT1635" s="26"/>
      <c r="BU1635" s="381"/>
      <c r="BV1635" s="381"/>
      <c r="BW1635" s="229"/>
    </row>
    <row r="1636" spans="33:75" x14ac:dyDescent="0.2">
      <c r="AG1636" s="294"/>
      <c r="AH1636" s="294"/>
      <c r="AI1636" s="294"/>
      <c r="AJ1636" s="26"/>
      <c r="AK1636" s="374"/>
      <c r="AL1636" s="374"/>
      <c r="AO1636" s="294"/>
      <c r="AR1636" s="374"/>
      <c r="AZ1636" s="374"/>
      <c r="BE1636" s="26"/>
      <c r="BF1636" s="26"/>
      <c r="BG1636" s="26"/>
      <c r="BH1636" s="26"/>
      <c r="BI1636" s="26"/>
      <c r="BJ1636" s="26"/>
      <c r="BK1636" s="26"/>
      <c r="BL1636" s="26"/>
      <c r="BS1636" s="20"/>
      <c r="BT1636" s="26"/>
      <c r="BU1636" s="381"/>
      <c r="BV1636" s="381"/>
      <c r="BW1636" s="229"/>
    </row>
    <row r="1637" spans="33:75" x14ac:dyDescent="0.2">
      <c r="AG1637" s="294"/>
      <c r="AH1637" s="294"/>
      <c r="AI1637" s="294"/>
      <c r="AJ1637" s="26"/>
      <c r="AK1637" s="374"/>
      <c r="AL1637" s="374"/>
      <c r="AO1637" s="294"/>
      <c r="AR1637" s="374"/>
      <c r="AZ1637" s="374"/>
      <c r="BE1637" s="26"/>
      <c r="BF1637" s="26"/>
      <c r="BG1637" s="26"/>
      <c r="BH1637" s="26"/>
      <c r="BI1637" s="26"/>
      <c r="BJ1637" s="26"/>
      <c r="BK1637" s="26"/>
      <c r="BL1637" s="26"/>
      <c r="BS1637" s="20"/>
      <c r="BT1637" s="26"/>
      <c r="BU1637" s="381"/>
      <c r="BV1637" s="381"/>
      <c r="BW1637" s="229"/>
    </row>
    <row r="1638" spans="33:75" x14ac:dyDescent="0.2">
      <c r="AG1638" s="294"/>
      <c r="AH1638" s="294"/>
      <c r="AI1638" s="294"/>
      <c r="AJ1638" s="26"/>
      <c r="AK1638" s="374"/>
      <c r="AL1638" s="374"/>
      <c r="AO1638" s="294"/>
      <c r="AR1638" s="374"/>
      <c r="AZ1638" s="374"/>
      <c r="BE1638" s="26"/>
      <c r="BF1638" s="26"/>
      <c r="BG1638" s="26"/>
      <c r="BH1638" s="26"/>
      <c r="BI1638" s="26"/>
      <c r="BJ1638" s="26"/>
      <c r="BK1638" s="26"/>
      <c r="BL1638" s="26"/>
      <c r="BS1638" s="20"/>
      <c r="BT1638" s="26"/>
      <c r="BU1638" s="381"/>
      <c r="BV1638" s="381"/>
      <c r="BW1638" s="229"/>
    </row>
    <row r="1639" spans="33:75" x14ac:dyDescent="0.2">
      <c r="AG1639" s="294"/>
      <c r="AH1639" s="294"/>
      <c r="AI1639" s="294"/>
      <c r="AJ1639" s="26"/>
      <c r="AK1639" s="374"/>
      <c r="AL1639" s="374"/>
      <c r="AO1639" s="294"/>
      <c r="AR1639" s="374"/>
      <c r="AZ1639" s="374"/>
      <c r="BE1639" s="26"/>
      <c r="BF1639" s="26"/>
      <c r="BG1639" s="26"/>
      <c r="BH1639" s="26"/>
      <c r="BI1639" s="26"/>
      <c r="BJ1639" s="26"/>
      <c r="BK1639" s="26"/>
      <c r="BL1639" s="26"/>
      <c r="BS1639" s="20"/>
      <c r="BT1639" s="26"/>
      <c r="BU1639" s="381"/>
      <c r="BV1639" s="381"/>
      <c r="BW1639" s="229"/>
    </row>
    <row r="1640" spans="33:75" x14ac:dyDescent="0.2">
      <c r="AG1640" s="294"/>
      <c r="AH1640" s="294"/>
      <c r="AI1640" s="294"/>
      <c r="AJ1640" s="26"/>
      <c r="AK1640" s="374"/>
      <c r="AL1640" s="374"/>
      <c r="AO1640" s="294"/>
      <c r="AR1640" s="374"/>
      <c r="AZ1640" s="374"/>
      <c r="BE1640" s="26"/>
      <c r="BF1640" s="26"/>
      <c r="BG1640" s="26"/>
      <c r="BH1640" s="26"/>
      <c r="BI1640" s="26"/>
      <c r="BJ1640" s="26"/>
      <c r="BK1640" s="26"/>
      <c r="BL1640" s="26"/>
      <c r="BS1640" s="20"/>
      <c r="BT1640" s="26"/>
      <c r="BU1640" s="381"/>
      <c r="BV1640" s="381"/>
      <c r="BW1640" s="229"/>
    </row>
    <row r="1641" spans="33:75" x14ac:dyDescent="0.2">
      <c r="AG1641" s="294"/>
      <c r="AH1641" s="294"/>
      <c r="AI1641" s="294"/>
      <c r="AJ1641" s="26"/>
      <c r="AK1641" s="374"/>
      <c r="AL1641" s="374"/>
      <c r="AO1641" s="294"/>
      <c r="AR1641" s="374"/>
      <c r="AZ1641" s="374"/>
      <c r="BE1641" s="26"/>
      <c r="BF1641" s="26"/>
      <c r="BG1641" s="26"/>
      <c r="BH1641" s="26"/>
      <c r="BI1641" s="26"/>
      <c r="BJ1641" s="26"/>
      <c r="BK1641" s="26"/>
      <c r="BL1641" s="26"/>
      <c r="BS1641" s="20"/>
      <c r="BT1641" s="26"/>
      <c r="BU1641" s="381"/>
      <c r="BV1641" s="381"/>
      <c r="BW1641" s="229"/>
    </row>
    <row r="1642" spans="33:75" x14ac:dyDescent="0.2">
      <c r="AG1642" s="294"/>
      <c r="AH1642" s="294"/>
      <c r="AI1642" s="294"/>
      <c r="AJ1642" s="26"/>
      <c r="AK1642" s="374"/>
      <c r="AL1642" s="374"/>
      <c r="AO1642" s="294"/>
      <c r="AR1642" s="374"/>
      <c r="AZ1642" s="374"/>
      <c r="BE1642" s="26"/>
      <c r="BF1642" s="26"/>
      <c r="BG1642" s="26"/>
      <c r="BH1642" s="26"/>
      <c r="BI1642" s="26"/>
      <c r="BJ1642" s="26"/>
      <c r="BK1642" s="26"/>
      <c r="BL1642" s="26"/>
      <c r="BS1642" s="20"/>
      <c r="BT1642" s="26"/>
      <c r="BU1642" s="381"/>
      <c r="BV1642" s="381"/>
      <c r="BW1642" s="229"/>
    </row>
    <row r="1643" spans="33:75" x14ac:dyDescent="0.2">
      <c r="AG1643" s="294"/>
      <c r="AH1643" s="294"/>
      <c r="AI1643" s="294"/>
      <c r="AJ1643" s="26"/>
      <c r="AK1643" s="374"/>
      <c r="AL1643" s="374"/>
      <c r="AO1643" s="294"/>
      <c r="AR1643" s="374"/>
      <c r="AZ1643" s="374"/>
      <c r="BE1643" s="26"/>
      <c r="BF1643" s="26"/>
      <c r="BG1643" s="26"/>
      <c r="BH1643" s="26"/>
      <c r="BI1643" s="26"/>
      <c r="BJ1643" s="26"/>
      <c r="BK1643" s="26"/>
      <c r="BL1643" s="26"/>
      <c r="BS1643" s="20"/>
      <c r="BT1643" s="26"/>
      <c r="BU1643" s="381"/>
      <c r="BV1643" s="381"/>
      <c r="BW1643" s="229"/>
    </row>
    <row r="1644" spans="33:75" x14ac:dyDescent="0.2">
      <c r="AG1644" s="294"/>
      <c r="AH1644" s="294"/>
      <c r="AI1644" s="294"/>
      <c r="AJ1644" s="26"/>
      <c r="AK1644" s="374"/>
      <c r="AL1644" s="374"/>
      <c r="AO1644" s="294"/>
      <c r="AR1644" s="374"/>
      <c r="AZ1644" s="374"/>
      <c r="BE1644" s="26"/>
      <c r="BF1644" s="26"/>
      <c r="BG1644" s="26"/>
      <c r="BH1644" s="26"/>
      <c r="BI1644" s="26"/>
      <c r="BJ1644" s="26"/>
      <c r="BK1644" s="26"/>
      <c r="BL1644" s="26"/>
      <c r="BS1644" s="20"/>
      <c r="BT1644" s="26"/>
      <c r="BU1644" s="381"/>
      <c r="BV1644" s="381"/>
      <c r="BW1644" s="229"/>
    </row>
    <row r="1645" spans="33:75" x14ac:dyDescent="0.2">
      <c r="AG1645" s="294"/>
      <c r="AH1645" s="294"/>
      <c r="AI1645" s="294"/>
      <c r="AJ1645" s="26"/>
      <c r="AK1645" s="374"/>
      <c r="AL1645" s="374"/>
      <c r="AO1645" s="294"/>
      <c r="AR1645" s="374"/>
      <c r="AZ1645" s="374"/>
      <c r="BE1645" s="26"/>
      <c r="BF1645" s="26"/>
      <c r="BG1645" s="26"/>
      <c r="BH1645" s="26"/>
      <c r="BI1645" s="26"/>
      <c r="BJ1645" s="26"/>
      <c r="BK1645" s="26"/>
      <c r="BL1645" s="26"/>
      <c r="BS1645" s="20"/>
      <c r="BT1645" s="26"/>
      <c r="BU1645" s="381"/>
      <c r="BV1645" s="381"/>
      <c r="BW1645" s="229"/>
    </row>
    <row r="1646" spans="33:75" x14ac:dyDescent="0.2">
      <c r="AG1646" s="294"/>
      <c r="AH1646" s="294"/>
      <c r="AI1646" s="294"/>
      <c r="AJ1646" s="26"/>
      <c r="AK1646" s="374"/>
      <c r="AL1646" s="374"/>
      <c r="AO1646" s="294"/>
      <c r="AR1646" s="374"/>
      <c r="AZ1646" s="374"/>
      <c r="BE1646" s="26"/>
      <c r="BF1646" s="26"/>
      <c r="BG1646" s="26"/>
      <c r="BH1646" s="26"/>
      <c r="BI1646" s="26"/>
      <c r="BJ1646" s="26"/>
      <c r="BK1646" s="26"/>
      <c r="BL1646" s="26"/>
      <c r="BS1646" s="20"/>
      <c r="BT1646" s="26"/>
      <c r="BU1646" s="381"/>
      <c r="BV1646" s="381"/>
      <c r="BW1646" s="229"/>
    </row>
    <row r="1647" spans="33:75" x14ac:dyDescent="0.2">
      <c r="AG1647" s="294"/>
      <c r="AH1647" s="294"/>
      <c r="AI1647" s="294"/>
      <c r="AJ1647" s="26"/>
      <c r="AK1647" s="374"/>
      <c r="AL1647" s="374"/>
      <c r="AO1647" s="294"/>
      <c r="AR1647" s="374"/>
      <c r="AZ1647" s="374"/>
      <c r="BE1647" s="26"/>
      <c r="BF1647" s="26"/>
      <c r="BG1647" s="26"/>
      <c r="BH1647" s="26"/>
      <c r="BI1647" s="26"/>
      <c r="BJ1647" s="26"/>
      <c r="BK1647" s="26"/>
      <c r="BL1647" s="26"/>
      <c r="BS1647" s="20"/>
      <c r="BT1647" s="26"/>
      <c r="BU1647" s="381"/>
      <c r="BV1647" s="381"/>
      <c r="BW1647" s="229"/>
    </row>
    <row r="1648" spans="33:75" x14ac:dyDescent="0.2">
      <c r="AG1648" s="294"/>
      <c r="AH1648" s="294"/>
      <c r="AI1648" s="294"/>
      <c r="AJ1648" s="26"/>
      <c r="AK1648" s="374"/>
      <c r="AL1648" s="374"/>
      <c r="AO1648" s="294"/>
      <c r="AR1648" s="374"/>
      <c r="AZ1648" s="374"/>
      <c r="BE1648" s="26"/>
      <c r="BF1648" s="26"/>
      <c r="BG1648" s="26"/>
      <c r="BH1648" s="26"/>
      <c r="BI1648" s="26"/>
      <c r="BJ1648" s="26"/>
      <c r="BK1648" s="26"/>
      <c r="BL1648" s="26"/>
      <c r="BS1648" s="20"/>
      <c r="BT1648" s="26"/>
      <c r="BU1648" s="381"/>
      <c r="BV1648" s="381"/>
      <c r="BW1648" s="229"/>
    </row>
    <row r="1649" spans="33:75" x14ac:dyDescent="0.2">
      <c r="AG1649" s="294"/>
      <c r="AH1649" s="294"/>
      <c r="AI1649" s="294"/>
      <c r="AJ1649" s="26"/>
      <c r="AK1649" s="374"/>
      <c r="AL1649" s="374"/>
      <c r="AO1649" s="294"/>
      <c r="AR1649" s="374"/>
      <c r="AZ1649" s="374"/>
      <c r="BE1649" s="26"/>
      <c r="BF1649" s="26"/>
      <c r="BG1649" s="26"/>
      <c r="BH1649" s="26"/>
      <c r="BI1649" s="26"/>
      <c r="BJ1649" s="26"/>
      <c r="BK1649" s="26"/>
      <c r="BL1649" s="26"/>
      <c r="BS1649" s="20"/>
      <c r="BT1649" s="26"/>
      <c r="BU1649" s="381"/>
      <c r="BV1649" s="381"/>
      <c r="BW1649" s="229"/>
    </row>
    <row r="1650" spans="33:75" x14ac:dyDescent="0.2">
      <c r="AG1650" s="294"/>
      <c r="AH1650" s="294"/>
      <c r="AI1650" s="294"/>
      <c r="AJ1650" s="26"/>
      <c r="AK1650" s="374"/>
      <c r="AL1650" s="374"/>
      <c r="AO1650" s="294"/>
      <c r="AR1650" s="374"/>
      <c r="AZ1650" s="374"/>
      <c r="BE1650" s="26"/>
      <c r="BF1650" s="26"/>
      <c r="BG1650" s="26"/>
      <c r="BH1650" s="26"/>
      <c r="BI1650" s="26"/>
      <c r="BJ1650" s="26"/>
      <c r="BK1650" s="26"/>
      <c r="BL1650" s="26"/>
      <c r="BS1650" s="20"/>
      <c r="BT1650" s="26"/>
      <c r="BU1650" s="381"/>
      <c r="BV1650" s="381"/>
      <c r="BW1650" s="229"/>
    </row>
    <row r="1651" spans="33:75" x14ac:dyDescent="0.2">
      <c r="AG1651" s="294"/>
      <c r="AH1651" s="294"/>
      <c r="AI1651" s="294"/>
      <c r="AJ1651" s="26"/>
      <c r="AK1651" s="374"/>
      <c r="AL1651" s="374"/>
      <c r="AO1651" s="294"/>
      <c r="AR1651" s="374"/>
      <c r="AZ1651" s="374"/>
      <c r="BE1651" s="26"/>
      <c r="BF1651" s="26"/>
      <c r="BG1651" s="26"/>
      <c r="BH1651" s="26"/>
      <c r="BI1651" s="26"/>
      <c r="BJ1651" s="26"/>
      <c r="BK1651" s="26"/>
      <c r="BL1651" s="26"/>
      <c r="BS1651" s="20"/>
      <c r="BT1651" s="26"/>
      <c r="BU1651" s="381"/>
      <c r="BV1651" s="381"/>
      <c r="BW1651" s="229"/>
    </row>
    <row r="1652" spans="33:75" x14ac:dyDescent="0.2">
      <c r="AG1652" s="294"/>
      <c r="AH1652" s="294"/>
      <c r="AI1652" s="294"/>
      <c r="AJ1652" s="26"/>
      <c r="AK1652" s="374"/>
      <c r="AL1652" s="374"/>
      <c r="AO1652" s="294"/>
      <c r="AR1652" s="374"/>
      <c r="AZ1652" s="374"/>
      <c r="BE1652" s="26"/>
      <c r="BF1652" s="26"/>
      <c r="BG1652" s="26"/>
      <c r="BH1652" s="26"/>
      <c r="BI1652" s="26"/>
      <c r="BJ1652" s="26"/>
      <c r="BK1652" s="26"/>
      <c r="BL1652" s="26"/>
      <c r="BS1652" s="20"/>
      <c r="BT1652" s="26"/>
      <c r="BU1652" s="381"/>
      <c r="BV1652" s="381"/>
      <c r="BW1652" s="229"/>
    </row>
    <row r="1653" spans="33:75" x14ac:dyDescent="0.2">
      <c r="AG1653" s="294"/>
      <c r="AH1653" s="294"/>
      <c r="AI1653" s="294"/>
      <c r="AJ1653" s="26"/>
      <c r="AK1653" s="374"/>
      <c r="AL1653" s="374"/>
      <c r="AO1653" s="294"/>
      <c r="AR1653" s="374"/>
      <c r="AZ1653" s="374"/>
      <c r="BE1653" s="26"/>
      <c r="BF1653" s="26"/>
      <c r="BG1653" s="26"/>
      <c r="BH1653" s="26"/>
      <c r="BI1653" s="26"/>
      <c r="BJ1653" s="26"/>
      <c r="BK1653" s="26"/>
      <c r="BL1653" s="26"/>
      <c r="BS1653" s="20"/>
      <c r="BT1653" s="26"/>
      <c r="BU1653" s="381"/>
      <c r="BV1653" s="381"/>
      <c r="BW1653" s="229"/>
    </row>
    <row r="1654" spans="33:75" x14ac:dyDescent="0.2">
      <c r="AG1654" s="294"/>
      <c r="AH1654" s="294"/>
      <c r="AI1654" s="294"/>
      <c r="AJ1654" s="26"/>
      <c r="AK1654" s="374"/>
      <c r="AL1654" s="374"/>
      <c r="AO1654" s="294"/>
      <c r="AR1654" s="374"/>
      <c r="AZ1654" s="374"/>
      <c r="BE1654" s="26"/>
      <c r="BF1654" s="26"/>
      <c r="BG1654" s="26"/>
      <c r="BH1654" s="26"/>
      <c r="BI1654" s="26"/>
      <c r="BJ1654" s="26"/>
      <c r="BK1654" s="26"/>
      <c r="BL1654" s="26"/>
      <c r="BS1654" s="20"/>
      <c r="BT1654" s="26"/>
      <c r="BU1654" s="381"/>
      <c r="BV1654" s="381"/>
      <c r="BW1654" s="229"/>
    </row>
    <row r="1655" spans="33:75" x14ac:dyDescent="0.2">
      <c r="AG1655" s="294"/>
      <c r="AH1655" s="294"/>
      <c r="AI1655" s="294"/>
      <c r="AJ1655" s="26"/>
      <c r="AK1655" s="374"/>
      <c r="AL1655" s="374"/>
      <c r="AO1655" s="294"/>
      <c r="AR1655" s="374"/>
      <c r="AZ1655" s="374"/>
      <c r="BE1655" s="26"/>
      <c r="BF1655" s="26"/>
      <c r="BG1655" s="26"/>
      <c r="BH1655" s="26"/>
      <c r="BI1655" s="26"/>
      <c r="BJ1655" s="26"/>
      <c r="BK1655" s="26"/>
      <c r="BL1655" s="26"/>
      <c r="BS1655" s="20"/>
      <c r="BT1655" s="26"/>
      <c r="BU1655" s="381"/>
      <c r="BV1655" s="381"/>
      <c r="BW1655" s="229"/>
    </row>
    <row r="1656" spans="33:75" x14ac:dyDescent="0.2">
      <c r="AG1656" s="294"/>
      <c r="AH1656" s="294"/>
      <c r="AI1656" s="294"/>
      <c r="AJ1656" s="26"/>
      <c r="AK1656" s="374"/>
      <c r="AL1656" s="374"/>
      <c r="AO1656" s="294"/>
      <c r="AR1656" s="374"/>
      <c r="AZ1656" s="374"/>
      <c r="BE1656" s="26"/>
      <c r="BF1656" s="26"/>
      <c r="BG1656" s="26"/>
      <c r="BH1656" s="26"/>
      <c r="BI1656" s="26"/>
      <c r="BJ1656" s="26"/>
      <c r="BK1656" s="26"/>
      <c r="BL1656" s="26"/>
      <c r="BS1656" s="20"/>
      <c r="BT1656" s="26"/>
      <c r="BU1656" s="381"/>
      <c r="BV1656" s="381"/>
      <c r="BW1656" s="229"/>
    </row>
    <row r="1657" spans="33:75" x14ac:dyDescent="0.2">
      <c r="AG1657" s="294"/>
      <c r="AH1657" s="294"/>
      <c r="AI1657" s="294"/>
      <c r="AJ1657" s="26"/>
      <c r="AK1657" s="374"/>
      <c r="AL1657" s="374"/>
      <c r="AO1657" s="294"/>
      <c r="AR1657" s="374"/>
      <c r="AZ1657" s="374"/>
      <c r="BE1657" s="26"/>
      <c r="BF1657" s="26"/>
      <c r="BG1657" s="26"/>
      <c r="BH1657" s="26"/>
      <c r="BI1657" s="26"/>
      <c r="BJ1657" s="26"/>
      <c r="BK1657" s="26"/>
      <c r="BL1657" s="26"/>
      <c r="BS1657" s="20"/>
      <c r="BT1657" s="26"/>
      <c r="BU1657" s="381"/>
      <c r="BV1657" s="381"/>
      <c r="BW1657" s="229"/>
    </row>
    <row r="1658" spans="33:75" x14ac:dyDescent="0.2">
      <c r="AG1658" s="294"/>
      <c r="AH1658" s="294"/>
      <c r="AI1658" s="294"/>
      <c r="AJ1658" s="26"/>
      <c r="AK1658" s="374"/>
      <c r="AL1658" s="374"/>
      <c r="AO1658" s="294"/>
      <c r="AR1658" s="374"/>
      <c r="AZ1658" s="374"/>
      <c r="BE1658" s="26"/>
      <c r="BF1658" s="26"/>
      <c r="BG1658" s="26"/>
      <c r="BH1658" s="26"/>
      <c r="BI1658" s="26"/>
      <c r="BJ1658" s="26"/>
      <c r="BK1658" s="26"/>
      <c r="BL1658" s="26"/>
      <c r="BS1658" s="20"/>
      <c r="BT1658" s="26"/>
      <c r="BU1658" s="381"/>
      <c r="BV1658" s="381"/>
      <c r="BW1658" s="229"/>
    </row>
    <row r="1659" spans="33:75" x14ac:dyDescent="0.2">
      <c r="AG1659" s="294"/>
      <c r="AH1659" s="294"/>
      <c r="AI1659" s="294"/>
      <c r="AJ1659" s="26"/>
      <c r="AK1659" s="374"/>
      <c r="AL1659" s="374"/>
      <c r="AO1659" s="294"/>
      <c r="AR1659" s="374"/>
      <c r="AZ1659" s="374"/>
      <c r="BE1659" s="26"/>
      <c r="BF1659" s="26"/>
      <c r="BG1659" s="26"/>
      <c r="BH1659" s="26"/>
      <c r="BI1659" s="26"/>
      <c r="BJ1659" s="26"/>
      <c r="BK1659" s="26"/>
      <c r="BL1659" s="26"/>
      <c r="BS1659" s="20"/>
      <c r="BT1659" s="26"/>
      <c r="BU1659" s="381"/>
      <c r="BV1659" s="381"/>
      <c r="BW1659" s="229"/>
    </row>
    <row r="1660" spans="33:75" x14ac:dyDescent="0.2">
      <c r="AG1660" s="294"/>
      <c r="AH1660" s="294"/>
      <c r="AI1660" s="294"/>
      <c r="AJ1660" s="26"/>
      <c r="AK1660" s="374"/>
      <c r="AL1660" s="374"/>
      <c r="AO1660" s="294"/>
      <c r="AR1660" s="374"/>
      <c r="AZ1660" s="374"/>
      <c r="BE1660" s="26"/>
      <c r="BF1660" s="26"/>
      <c r="BG1660" s="26"/>
      <c r="BH1660" s="26"/>
      <c r="BI1660" s="26"/>
      <c r="BJ1660" s="26"/>
      <c r="BK1660" s="26"/>
      <c r="BL1660" s="26"/>
      <c r="BS1660" s="20"/>
      <c r="BT1660" s="26"/>
      <c r="BU1660" s="381"/>
      <c r="BV1660" s="381"/>
      <c r="BW1660" s="229"/>
    </row>
    <row r="1661" spans="33:75" x14ac:dyDescent="0.2">
      <c r="AG1661" s="294"/>
      <c r="AH1661" s="294"/>
      <c r="AI1661" s="294"/>
      <c r="AJ1661" s="26"/>
      <c r="AK1661" s="374"/>
      <c r="AL1661" s="374"/>
      <c r="AO1661" s="294"/>
      <c r="AR1661" s="374"/>
      <c r="AZ1661" s="374"/>
      <c r="BE1661" s="26"/>
      <c r="BF1661" s="26"/>
      <c r="BG1661" s="26"/>
      <c r="BH1661" s="26"/>
      <c r="BI1661" s="26"/>
      <c r="BJ1661" s="26"/>
      <c r="BK1661" s="26"/>
      <c r="BL1661" s="26"/>
      <c r="BS1661" s="20"/>
      <c r="BT1661" s="26"/>
      <c r="BU1661" s="381"/>
      <c r="BV1661" s="381"/>
      <c r="BW1661" s="229"/>
    </row>
    <row r="1662" spans="33:75" x14ac:dyDescent="0.2">
      <c r="AG1662" s="294"/>
      <c r="AH1662" s="294"/>
      <c r="AI1662" s="294"/>
      <c r="AJ1662" s="26"/>
      <c r="AK1662" s="374"/>
      <c r="AL1662" s="374"/>
      <c r="AO1662" s="294"/>
      <c r="AR1662" s="374"/>
      <c r="AZ1662" s="374"/>
      <c r="BE1662" s="26"/>
      <c r="BF1662" s="26"/>
      <c r="BG1662" s="26"/>
      <c r="BH1662" s="26"/>
      <c r="BI1662" s="26"/>
      <c r="BJ1662" s="26"/>
      <c r="BK1662" s="26"/>
      <c r="BL1662" s="26"/>
      <c r="BS1662" s="20"/>
      <c r="BT1662" s="26"/>
      <c r="BU1662" s="381"/>
      <c r="BV1662" s="381"/>
      <c r="BW1662" s="229"/>
    </row>
    <row r="1663" spans="33:75" x14ac:dyDescent="0.2">
      <c r="AG1663" s="294"/>
      <c r="AH1663" s="294"/>
      <c r="AI1663" s="294"/>
      <c r="AJ1663" s="26"/>
      <c r="AK1663" s="374"/>
      <c r="AL1663" s="374"/>
      <c r="AO1663" s="294"/>
      <c r="AR1663" s="374"/>
      <c r="AZ1663" s="374"/>
      <c r="BE1663" s="26"/>
      <c r="BF1663" s="26"/>
      <c r="BG1663" s="26"/>
      <c r="BH1663" s="26"/>
      <c r="BI1663" s="26"/>
      <c r="BJ1663" s="26"/>
      <c r="BK1663" s="26"/>
      <c r="BL1663" s="26"/>
      <c r="BS1663" s="20"/>
      <c r="BT1663" s="26"/>
      <c r="BU1663" s="381"/>
      <c r="BV1663" s="381"/>
      <c r="BW1663" s="229"/>
    </row>
    <row r="1664" spans="33:75" x14ac:dyDescent="0.2">
      <c r="AG1664" s="294"/>
      <c r="AH1664" s="294"/>
      <c r="AI1664" s="294"/>
      <c r="AJ1664" s="26"/>
      <c r="AK1664" s="374"/>
      <c r="AL1664" s="374"/>
      <c r="AO1664" s="294"/>
      <c r="AR1664" s="374"/>
      <c r="AZ1664" s="374"/>
      <c r="BE1664" s="26"/>
      <c r="BF1664" s="26"/>
      <c r="BG1664" s="26"/>
      <c r="BH1664" s="26"/>
      <c r="BI1664" s="26"/>
      <c r="BJ1664" s="26"/>
      <c r="BK1664" s="26"/>
      <c r="BL1664" s="26"/>
      <c r="BS1664" s="20"/>
      <c r="BT1664" s="26"/>
      <c r="BU1664" s="381"/>
      <c r="BV1664" s="381"/>
      <c r="BW1664" s="229"/>
    </row>
    <row r="1665" spans="33:75" x14ac:dyDescent="0.2">
      <c r="AG1665" s="294"/>
      <c r="AH1665" s="294"/>
      <c r="AI1665" s="294"/>
      <c r="AJ1665" s="26"/>
      <c r="AK1665" s="374"/>
      <c r="AL1665" s="374"/>
      <c r="AO1665" s="294"/>
      <c r="AR1665" s="374"/>
      <c r="AZ1665" s="374"/>
      <c r="BE1665" s="26"/>
      <c r="BF1665" s="26"/>
      <c r="BG1665" s="26"/>
      <c r="BH1665" s="26"/>
      <c r="BI1665" s="26"/>
      <c r="BJ1665" s="26"/>
      <c r="BK1665" s="26"/>
      <c r="BL1665" s="26"/>
      <c r="BS1665" s="20"/>
      <c r="BT1665" s="26"/>
      <c r="BU1665" s="381"/>
      <c r="BV1665" s="381"/>
      <c r="BW1665" s="229"/>
    </row>
    <row r="1666" spans="33:75" x14ac:dyDescent="0.2">
      <c r="AG1666" s="294"/>
      <c r="AH1666" s="294"/>
      <c r="AI1666" s="294"/>
      <c r="AJ1666" s="26"/>
      <c r="AK1666" s="374"/>
      <c r="AL1666" s="374"/>
      <c r="AO1666" s="294"/>
      <c r="AR1666" s="374"/>
      <c r="AZ1666" s="374"/>
      <c r="BE1666" s="26"/>
      <c r="BF1666" s="26"/>
      <c r="BG1666" s="26"/>
      <c r="BH1666" s="26"/>
      <c r="BI1666" s="26"/>
      <c r="BJ1666" s="26"/>
      <c r="BK1666" s="26"/>
      <c r="BL1666" s="26"/>
      <c r="BS1666" s="20"/>
      <c r="BT1666" s="26"/>
      <c r="BU1666" s="381"/>
      <c r="BV1666" s="381"/>
      <c r="BW1666" s="229"/>
    </row>
    <row r="1667" spans="33:75" x14ac:dyDescent="0.2">
      <c r="AG1667" s="294"/>
      <c r="AH1667" s="294"/>
      <c r="AI1667" s="294"/>
      <c r="AJ1667" s="26"/>
      <c r="AK1667" s="374"/>
      <c r="AL1667" s="374"/>
      <c r="AO1667" s="294"/>
      <c r="AR1667" s="374"/>
      <c r="AZ1667" s="374"/>
      <c r="BE1667" s="26"/>
      <c r="BF1667" s="26"/>
      <c r="BG1667" s="26"/>
      <c r="BH1667" s="26"/>
      <c r="BI1667" s="26"/>
      <c r="BJ1667" s="26"/>
      <c r="BK1667" s="26"/>
      <c r="BL1667" s="26"/>
      <c r="BS1667" s="20"/>
      <c r="BT1667" s="26"/>
      <c r="BU1667" s="381"/>
      <c r="BV1667" s="381"/>
      <c r="BW1667" s="229"/>
    </row>
    <row r="1668" spans="33:75" x14ac:dyDescent="0.2">
      <c r="AG1668" s="294"/>
      <c r="AH1668" s="294"/>
      <c r="AI1668" s="294"/>
      <c r="AJ1668" s="26"/>
      <c r="AK1668" s="374"/>
      <c r="AL1668" s="374"/>
      <c r="AO1668" s="294"/>
      <c r="AR1668" s="374"/>
      <c r="AZ1668" s="374"/>
      <c r="BE1668" s="26"/>
      <c r="BF1668" s="26"/>
      <c r="BG1668" s="26"/>
      <c r="BH1668" s="26"/>
      <c r="BI1668" s="26"/>
      <c r="BJ1668" s="26"/>
      <c r="BK1668" s="26"/>
      <c r="BL1668" s="26"/>
      <c r="BS1668" s="20"/>
      <c r="BT1668" s="26"/>
      <c r="BU1668" s="381"/>
      <c r="BV1668" s="381"/>
      <c r="BW1668" s="229"/>
    </row>
    <row r="1669" spans="33:75" x14ac:dyDescent="0.2">
      <c r="AG1669" s="294"/>
      <c r="AH1669" s="294"/>
      <c r="AI1669" s="294"/>
      <c r="AJ1669" s="26"/>
      <c r="AK1669" s="374"/>
      <c r="AL1669" s="374"/>
      <c r="AO1669" s="294"/>
      <c r="AR1669" s="374"/>
      <c r="AZ1669" s="374"/>
      <c r="BE1669" s="26"/>
      <c r="BF1669" s="26"/>
      <c r="BG1669" s="26"/>
      <c r="BH1669" s="26"/>
      <c r="BI1669" s="26"/>
      <c r="BJ1669" s="26"/>
      <c r="BK1669" s="26"/>
      <c r="BL1669" s="26"/>
      <c r="BS1669" s="20"/>
      <c r="BT1669" s="26"/>
      <c r="BU1669" s="381"/>
      <c r="BV1669" s="381"/>
      <c r="BW1669" s="229"/>
    </row>
    <row r="1670" spans="33:75" x14ac:dyDescent="0.2">
      <c r="AG1670" s="294"/>
      <c r="AH1670" s="294"/>
      <c r="AI1670" s="294"/>
      <c r="AJ1670" s="26"/>
      <c r="AK1670" s="374"/>
      <c r="AL1670" s="374"/>
      <c r="AO1670" s="294"/>
      <c r="AR1670" s="374"/>
      <c r="AZ1670" s="374"/>
      <c r="BE1670" s="26"/>
      <c r="BF1670" s="26"/>
      <c r="BG1670" s="26"/>
      <c r="BH1670" s="26"/>
      <c r="BI1670" s="26"/>
      <c r="BJ1670" s="26"/>
      <c r="BK1670" s="26"/>
      <c r="BL1670" s="26"/>
      <c r="BS1670" s="20"/>
      <c r="BT1670" s="26"/>
      <c r="BU1670" s="381"/>
      <c r="BV1670" s="381"/>
      <c r="BW1670" s="229"/>
    </row>
    <row r="1671" spans="33:75" x14ac:dyDescent="0.2">
      <c r="AG1671" s="294"/>
      <c r="AH1671" s="294"/>
      <c r="AI1671" s="294"/>
      <c r="AJ1671" s="26"/>
      <c r="AK1671" s="374"/>
      <c r="AL1671" s="374"/>
      <c r="AO1671" s="294"/>
      <c r="AR1671" s="374"/>
      <c r="AZ1671" s="374"/>
      <c r="BE1671" s="26"/>
      <c r="BF1671" s="26"/>
      <c r="BG1671" s="26"/>
      <c r="BH1671" s="26"/>
      <c r="BI1671" s="26"/>
      <c r="BJ1671" s="26"/>
      <c r="BK1671" s="26"/>
      <c r="BL1671" s="26"/>
      <c r="BS1671" s="20"/>
      <c r="BT1671" s="26"/>
      <c r="BU1671" s="381"/>
      <c r="BV1671" s="381"/>
      <c r="BW1671" s="229"/>
    </row>
    <row r="1672" spans="33:75" x14ac:dyDescent="0.2">
      <c r="AG1672" s="294"/>
      <c r="AH1672" s="294"/>
      <c r="AI1672" s="294"/>
      <c r="AJ1672" s="26"/>
      <c r="AK1672" s="374"/>
      <c r="AL1672" s="374"/>
      <c r="AO1672" s="294"/>
      <c r="AR1672" s="374"/>
      <c r="AZ1672" s="374"/>
      <c r="BE1672" s="26"/>
      <c r="BF1672" s="26"/>
      <c r="BG1672" s="26"/>
      <c r="BH1672" s="26"/>
      <c r="BI1672" s="26"/>
      <c r="BJ1672" s="26"/>
      <c r="BK1672" s="26"/>
      <c r="BL1672" s="26"/>
      <c r="BS1672" s="20"/>
      <c r="BT1672" s="26"/>
      <c r="BU1672" s="381"/>
      <c r="BV1672" s="381"/>
      <c r="BW1672" s="229"/>
    </row>
    <row r="1673" spans="33:75" x14ac:dyDescent="0.2">
      <c r="AG1673" s="294"/>
      <c r="AH1673" s="294"/>
      <c r="AI1673" s="294"/>
      <c r="AJ1673" s="26"/>
      <c r="AK1673" s="374"/>
      <c r="AL1673" s="374"/>
      <c r="AO1673" s="294"/>
      <c r="AR1673" s="374"/>
      <c r="AZ1673" s="374"/>
      <c r="BE1673" s="26"/>
      <c r="BF1673" s="26"/>
      <c r="BG1673" s="26"/>
      <c r="BH1673" s="26"/>
      <c r="BI1673" s="26"/>
      <c r="BJ1673" s="26"/>
      <c r="BK1673" s="26"/>
      <c r="BL1673" s="26"/>
      <c r="BS1673" s="20"/>
      <c r="BT1673" s="26"/>
      <c r="BU1673" s="381"/>
      <c r="BV1673" s="381"/>
      <c r="BW1673" s="229"/>
    </row>
    <row r="1674" spans="33:75" x14ac:dyDescent="0.2">
      <c r="AG1674" s="294"/>
      <c r="AH1674" s="294"/>
      <c r="AI1674" s="294"/>
      <c r="AJ1674" s="26"/>
      <c r="AK1674" s="374"/>
      <c r="AL1674" s="374"/>
      <c r="AO1674" s="294"/>
      <c r="AR1674" s="374"/>
      <c r="AZ1674" s="374"/>
      <c r="BE1674" s="26"/>
      <c r="BF1674" s="26"/>
      <c r="BG1674" s="26"/>
      <c r="BH1674" s="26"/>
      <c r="BI1674" s="26"/>
      <c r="BJ1674" s="26"/>
      <c r="BK1674" s="26"/>
      <c r="BL1674" s="26"/>
      <c r="BS1674" s="20"/>
      <c r="BT1674" s="26"/>
      <c r="BU1674" s="381"/>
      <c r="BV1674" s="381"/>
      <c r="BW1674" s="229"/>
    </row>
    <row r="1675" spans="33:75" x14ac:dyDescent="0.2">
      <c r="AG1675" s="294"/>
      <c r="AH1675" s="294"/>
      <c r="AI1675" s="294"/>
      <c r="AJ1675" s="26"/>
      <c r="AK1675" s="374"/>
      <c r="AL1675" s="374"/>
      <c r="AO1675" s="294"/>
      <c r="AR1675" s="374"/>
      <c r="AZ1675" s="374"/>
      <c r="BE1675" s="26"/>
      <c r="BF1675" s="26"/>
      <c r="BG1675" s="26"/>
      <c r="BH1675" s="26"/>
      <c r="BI1675" s="26"/>
      <c r="BJ1675" s="26"/>
      <c r="BK1675" s="26"/>
      <c r="BL1675" s="26"/>
      <c r="BS1675" s="20"/>
      <c r="BT1675" s="26"/>
      <c r="BU1675" s="381"/>
      <c r="BV1675" s="381"/>
      <c r="BW1675" s="229"/>
    </row>
    <row r="1676" spans="33:75" x14ac:dyDescent="0.2">
      <c r="AG1676" s="294"/>
      <c r="AH1676" s="294"/>
      <c r="AI1676" s="294"/>
      <c r="AJ1676" s="26"/>
      <c r="AK1676" s="374"/>
      <c r="AL1676" s="374"/>
      <c r="AO1676" s="294"/>
      <c r="AR1676" s="374"/>
      <c r="AZ1676" s="374"/>
      <c r="BE1676" s="26"/>
      <c r="BF1676" s="26"/>
      <c r="BG1676" s="26"/>
      <c r="BH1676" s="26"/>
      <c r="BI1676" s="26"/>
      <c r="BJ1676" s="26"/>
      <c r="BK1676" s="26"/>
      <c r="BL1676" s="26"/>
      <c r="BS1676" s="20"/>
      <c r="BT1676" s="26"/>
      <c r="BU1676" s="381"/>
      <c r="BV1676" s="381"/>
      <c r="BW1676" s="229"/>
    </row>
    <row r="1677" spans="33:75" x14ac:dyDescent="0.2">
      <c r="AG1677" s="294"/>
      <c r="AH1677" s="294"/>
      <c r="AI1677" s="294"/>
      <c r="AJ1677" s="26"/>
      <c r="AK1677" s="374"/>
      <c r="AL1677" s="374"/>
      <c r="AO1677" s="294"/>
      <c r="AR1677" s="374"/>
      <c r="AZ1677" s="374"/>
      <c r="BE1677" s="26"/>
      <c r="BF1677" s="26"/>
      <c r="BG1677" s="26"/>
      <c r="BH1677" s="26"/>
      <c r="BI1677" s="26"/>
      <c r="BJ1677" s="26"/>
      <c r="BK1677" s="26"/>
      <c r="BL1677" s="26"/>
      <c r="BS1677" s="20"/>
      <c r="BT1677" s="26"/>
      <c r="BU1677" s="381"/>
      <c r="BV1677" s="381"/>
      <c r="BW1677" s="229"/>
    </row>
    <row r="1678" spans="33:75" x14ac:dyDescent="0.2">
      <c r="AG1678" s="294"/>
      <c r="AH1678" s="294"/>
      <c r="AI1678" s="294"/>
      <c r="AJ1678" s="26"/>
      <c r="AK1678" s="374"/>
      <c r="AL1678" s="374"/>
      <c r="AO1678" s="294"/>
      <c r="AR1678" s="374"/>
      <c r="AZ1678" s="374"/>
      <c r="BE1678" s="26"/>
      <c r="BF1678" s="26"/>
      <c r="BG1678" s="26"/>
      <c r="BH1678" s="26"/>
      <c r="BI1678" s="26"/>
      <c r="BJ1678" s="26"/>
      <c r="BK1678" s="26"/>
      <c r="BL1678" s="26"/>
      <c r="BS1678" s="20"/>
      <c r="BT1678" s="26"/>
      <c r="BU1678" s="381"/>
      <c r="BV1678" s="381"/>
      <c r="BW1678" s="229"/>
    </row>
    <row r="1679" spans="33:75" x14ac:dyDescent="0.2">
      <c r="AG1679" s="294"/>
      <c r="AH1679" s="294"/>
      <c r="AI1679" s="294"/>
      <c r="AJ1679" s="26"/>
      <c r="AK1679" s="374"/>
      <c r="AL1679" s="374"/>
      <c r="AO1679" s="294"/>
      <c r="AR1679" s="374"/>
      <c r="AZ1679" s="374"/>
      <c r="BE1679" s="26"/>
      <c r="BF1679" s="26"/>
      <c r="BG1679" s="26"/>
      <c r="BH1679" s="26"/>
      <c r="BI1679" s="26"/>
      <c r="BJ1679" s="26"/>
      <c r="BK1679" s="26"/>
      <c r="BL1679" s="26"/>
      <c r="BS1679" s="20"/>
      <c r="BT1679" s="26"/>
      <c r="BU1679" s="381"/>
      <c r="BV1679" s="381"/>
      <c r="BW1679" s="229"/>
    </row>
    <row r="1680" spans="33:75" x14ac:dyDescent="0.2">
      <c r="AG1680" s="294"/>
      <c r="AH1680" s="294"/>
      <c r="AI1680" s="294"/>
      <c r="AJ1680" s="26"/>
      <c r="AK1680" s="374"/>
      <c r="AL1680" s="374"/>
      <c r="AO1680" s="294"/>
      <c r="AR1680" s="374"/>
      <c r="AZ1680" s="374"/>
      <c r="BE1680" s="26"/>
      <c r="BF1680" s="26"/>
      <c r="BG1680" s="26"/>
      <c r="BH1680" s="26"/>
      <c r="BI1680" s="26"/>
      <c r="BJ1680" s="26"/>
      <c r="BK1680" s="26"/>
      <c r="BL1680" s="26"/>
      <c r="BS1680" s="20"/>
      <c r="BT1680" s="26"/>
      <c r="BU1680" s="381"/>
      <c r="BV1680" s="381"/>
      <c r="BW1680" s="229"/>
    </row>
    <row r="1681" spans="33:75" x14ac:dyDescent="0.2">
      <c r="AG1681" s="294"/>
      <c r="AH1681" s="294"/>
      <c r="AI1681" s="294"/>
      <c r="AJ1681" s="26"/>
      <c r="AK1681" s="374"/>
      <c r="AL1681" s="374"/>
      <c r="AO1681" s="294"/>
      <c r="AR1681" s="374"/>
      <c r="AZ1681" s="374"/>
      <c r="BE1681" s="26"/>
      <c r="BF1681" s="26"/>
      <c r="BG1681" s="26"/>
      <c r="BH1681" s="26"/>
      <c r="BI1681" s="26"/>
      <c r="BJ1681" s="26"/>
      <c r="BK1681" s="26"/>
      <c r="BL1681" s="26"/>
      <c r="BS1681" s="20"/>
      <c r="BT1681" s="26"/>
      <c r="BU1681" s="381"/>
      <c r="BV1681" s="381"/>
      <c r="BW1681" s="229"/>
    </row>
    <row r="1682" spans="33:75" x14ac:dyDescent="0.2">
      <c r="AG1682" s="294"/>
      <c r="AH1682" s="294"/>
      <c r="AI1682" s="294"/>
      <c r="AJ1682" s="26"/>
      <c r="AK1682" s="374"/>
      <c r="AL1682" s="374"/>
      <c r="AO1682" s="294"/>
      <c r="AR1682" s="374"/>
      <c r="AZ1682" s="374"/>
      <c r="BE1682" s="26"/>
      <c r="BF1682" s="26"/>
      <c r="BG1682" s="26"/>
      <c r="BH1682" s="26"/>
      <c r="BI1682" s="26"/>
      <c r="BJ1682" s="26"/>
      <c r="BK1682" s="26"/>
      <c r="BL1682" s="26"/>
      <c r="BS1682" s="20"/>
      <c r="BT1682" s="26"/>
      <c r="BU1682" s="381"/>
      <c r="BV1682" s="381"/>
      <c r="BW1682" s="229"/>
    </row>
    <row r="1683" spans="33:75" x14ac:dyDescent="0.2">
      <c r="AG1683" s="294"/>
      <c r="AH1683" s="294"/>
      <c r="AI1683" s="294"/>
      <c r="AJ1683" s="26"/>
      <c r="AK1683" s="374"/>
      <c r="AL1683" s="374"/>
      <c r="AO1683" s="294"/>
      <c r="AR1683" s="374"/>
      <c r="AZ1683" s="374"/>
      <c r="BE1683" s="26"/>
      <c r="BF1683" s="26"/>
      <c r="BG1683" s="26"/>
      <c r="BH1683" s="26"/>
      <c r="BI1683" s="26"/>
      <c r="BJ1683" s="26"/>
      <c r="BK1683" s="26"/>
      <c r="BL1683" s="26"/>
      <c r="BS1683" s="20"/>
      <c r="BT1683" s="26"/>
      <c r="BU1683" s="381"/>
      <c r="BV1683" s="381"/>
      <c r="BW1683" s="229"/>
    </row>
    <row r="1684" spans="33:75" x14ac:dyDescent="0.2">
      <c r="AG1684" s="294"/>
      <c r="AH1684" s="294"/>
      <c r="AI1684" s="294"/>
      <c r="AJ1684" s="26"/>
      <c r="AK1684" s="374"/>
      <c r="AL1684" s="374"/>
      <c r="AO1684" s="294"/>
      <c r="AR1684" s="374"/>
      <c r="AZ1684" s="374"/>
      <c r="BE1684" s="26"/>
      <c r="BF1684" s="26"/>
      <c r="BG1684" s="26"/>
      <c r="BH1684" s="26"/>
      <c r="BI1684" s="26"/>
      <c r="BJ1684" s="26"/>
      <c r="BK1684" s="26"/>
      <c r="BL1684" s="26"/>
      <c r="BS1684" s="20"/>
      <c r="BT1684" s="26"/>
      <c r="BU1684" s="381"/>
      <c r="BV1684" s="381"/>
      <c r="BW1684" s="229"/>
    </row>
    <row r="1685" spans="33:75" x14ac:dyDescent="0.2">
      <c r="AG1685" s="294"/>
      <c r="AH1685" s="294"/>
      <c r="AI1685" s="294"/>
      <c r="AJ1685" s="26"/>
      <c r="AK1685" s="374"/>
      <c r="AL1685" s="374"/>
      <c r="AO1685" s="294"/>
      <c r="AR1685" s="374"/>
      <c r="AZ1685" s="374"/>
      <c r="BE1685" s="26"/>
      <c r="BF1685" s="26"/>
      <c r="BG1685" s="26"/>
      <c r="BH1685" s="26"/>
      <c r="BI1685" s="26"/>
      <c r="BJ1685" s="26"/>
      <c r="BK1685" s="26"/>
      <c r="BL1685" s="26"/>
      <c r="BS1685" s="20"/>
      <c r="BT1685" s="26"/>
      <c r="BU1685" s="381"/>
      <c r="BV1685" s="381"/>
      <c r="BW1685" s="229"/>
    </row>
    <row r="1686" spans="33:75" x14ac:dyDescent="0.2">
      <c r="AG1686" s="294"/>
      <c r="AH1686" s="294"/>
      <c r="AI1686" s="294"/>
      <c r="AJ1686" s="26"/>
      <c r="AK1686" s="374"/>
      <c r="AL1686" s="374"/>
      <c r="AO1686" s="294"/>
      <c r="AR1686" s="374"/>
      <c r="AZ1686" s="374"/>
      <c r="BE1686" s="26"/>
      <c r="BF1686" s="26"/>
      <c r="BG1686" s="26"/>
      <c r="BH1686" s="26"/>
      <c r="BI1686" s="26"/>
      <c r="BJ1686" s="26"/>
      <c r="BK1686" s="26"/>
      <c r="BL1686" s="26"/>
      <c r="BS1686" s="20"/>
      <c r="BT1686" s="26"/>
      <c r="BU1686" s="381"/>
      <c r="BV1686" s="381"/>
      <c r="BW1686" s="229"/>
    </row>
    <row r="1687" spans="33:75" x14ac:dyDescent="0.2">
      <c r="AG1687" s="294"/>
      <c r="AH1687" s="294"/>
      <c r="AI1687" s="294"/>
      <c r="AJ1687" s="26"/>
      <c r="AK1687" s="374"/>
      <c r="AL1687" s="374"/>
      <c r="AO1687" s="294"/>
      <c r="AR1687" s="374"/>
      <c r="AZ1687" s="374"/>
      <c r="BE1687" s="26"/>
      <c r="BF1687" s="26"/>
      <c r="BG1687" s="26"/>
      <c r="BH1687" s="26"/>
      <c r="BI1687" s="26"/>
      <c r="BJ1687" s="26"/>
      <c r="BK1687" s="26"/>
      <c r="BL1687" s="26"/>
      <c r="BS1687" s="20"/>
      <c r="BT1687" s="26"/>
      <c r="BU1687" s="381"/>
      <c r="BV1687" s="381"/>
      <c r="BW1687" s="229"/>
    </row>
    <row r="1688" spans="33:75" x14ac:dyDescent="0.2">
      <c r="AG1688" s="294"/>
      <c r="AH1688" s="294"/>
      <c r="AI1688" s="294"/>
      <c r="AJ1688" s="26"/>
      <c r="AK1688" s="374"/>
      <c r="AL1688" s="374"/>
      <c r="AO1688" s="294"/>
      <c r="AR1688" s="374"/>
      <c r="AZ1688" s="374"/>
      <c r="BE1688" s="26"/>
      <c r="BF1688" s="26"/>
      <c r="BG1688" s="26"/>
      <c r="BH1688" s="26"/>
      <c r="BI1688" s="26"/>
      <c r="BJ1688" s="26"/>
      <c r="BK1688" s="26"/>
      <c r="BL1688" s="26"/>
      <c r="BS1688" s="20"/>
      <c r="BT1688" s="26"/>
      <c r="BU1688" s="381"/>
      <c r="BV1688" s="381"/>
      <c r="BW1688" s="229"/>
    </row>
    <row r="1689" spans="33:75" x14ac:dyDescent="0.2">
      <c r="AG1689" s="294"/>
      <c r="AH1689" s="294"/>
      <c r="AI1689" s="294"/>
      <c r="AJ1689" s="26"/>
      <c r="AK1689" s="374"/>
      <c r="AL1689" s="374"/>
      <c r="AO1689" s="294"/>
      <c r="AR1689" s="374"/>
      <c r="AZ1689" s="374"/>
      <c r="BE1689" s="26"/>
      <c r="BF1689" s="26"/>
      <c r="BG1689" s="26"/>
      <c r="BH1689" s="26"/>
      <c r="BI1689" s="26"/>
      <c r="BJ1689" s="26"/>
      <c r="BK1689" s="26"/>
      <c r="BL1689" s="26"/>
      <c r="BS1689" s="20"/>
      <c r="BT1689" s="26"/>
      <c r="BU1689" s="381"/>
      <c r="BV1689" s="381"/>
      <c r="BW1689" s="229"/>
    </row>
    <row r="1690" spans="33:75" x14ac:dyDescent="0.2">
      <c r="AG1690" s="294"/>
      <c r="AH1690" s="294"/>
      <c r="AI1690" s="294"/>
      <c r="AJ1690" s="26"/>
      <c r="AK1690" s="374"/>
      <c r="AL1690" s="374"/>
      <c r="AO1690" s="294"/>
      <c r="AR1690" s="374"/>
      <c r="AZ1690" s="374"/>
      <c r="BF1690" s="26"/>
      <c r="BG1690" s="26"/>
      <c r="BH1690" s="26"/>
      <c r="BI1690" s="26"/>
      <c r="BJ1690" s="26"/>
      <c r="BK1690" s="26"/>
      <c r="BL1690" s="26"/>
      <c r="BS1690" s="20"/>
      <c r="BT1690" s="26"/>
      <c r="BU1690" s="381"/>
      <c r="BV1690" s="381"/>
      <c r="BW1690" s="229"/>
    </row>
    <row r="1691" spans="33:75" x14ac:dyDescent="0.2">
      <c r="AG1691" s="294"/>
      <c r="AH1691" s="294"/>
      <c r="AI1691" s="294"/>
      <c r="AJ1691" s="26"/>
      <c r="AK1691" s="374"/>
      <c r="AL1691" s="374"/>
      <c r="AO1691" s="294"/>
      <c r="AR1691" s="374"/>
      <c r="AZ1691" s="374"/>
      <c r="BF1691" s="26"/>
      <c r="BG1691" s="26"/>
      <c r="BH1691" s="26"/>
      <c r="BI1691" s="26"/>
      <c r="BJ1691" s="26"/>
      <c r="BK1691" s="26"/>
      <c r="BL1691" s="26"/>
      <c r="BS1691" s="20"/>
      <c r="BT1691" s="26"/>
      <c r="BU1691" s="381"/>
      <c r="BV1691" s="381"/>
      <c r="BW1691" s="229"/>
    </row>
    <row r="1692" spans="33:75" x14ac:dyDescent="0.2">
      <c r="AG1692" s="294"/>
      <c r="AH1692" s="294"/>
      <c r="AI1692" s="294"/>
      <c r="AJ1692" s="26"/>
      <c r="AK1692" s="374"/>
      <c r="AL1692" s="374"/>
      <c r="AO1692" s="294"/>
      <c r="AR1692" s="374"/>
      <c r="AZ1692" s="374"/>
      <c r="BF1692" s="26"/>
      <c r="BG1692" s="26"/>
      <c r="BH1692" s="26"/>
      <c r="BI1692" s="26"/>
      <c r="BJ1692" s="26"/>
      <c r="BK1692" s="26"/>
      <c r="BL1692" s="26"/>
      <c r="BS1692" s="20"/>
      <c r="BT1692" s="26"/>
      <c r="BU1692" s="381"/>
      <c r="BV1692" s="381"/>
      <c r="BW1692" s="229"/>
    </row>
    <row r="1693" spans="33:75" x14ac:dyDescent="0.2">
      <c r="AG1693" s="294"/>
      <c r="AH1693" s="294"/>
      <c r="AI1693" s="294"/>
      <c r="AJ1693" s="26"/>
      <c r="AK1693" s="374"/>
      <c r="AL1693" s="374"/>
      <c r="AO1693" s="294"/>
      <c r="AR1693" s="374"/>
      <c r="AZ1693" s="374"/>
      <c r="BF1693" s="26"/>
      <c r="BG1693" s="26"/>
      <c r="BH1693" s="26"/>
      <c r="BI1693" s="26"/>
      <c r="BJ1693" s="26"/>
      <c r="BK1693" s="26"/>
      <c r="BL1693" s="26"/>
      <c r="BS1693" s="20"/>
      <c r="BT1693" s="26"/>
      <c r="BU1693" s="381"/>
      <c r="BV1693" s="381"/>
      <c r="BW1693" s="229"/>
    </row>
    <row r="1694" spans="33:75" x14ac:dyDescent="0.2">
      <c r="AG1694" s="294"/>
      <c r="AH1694" s="294"/>
      <c r="AI1694" s="294"/>
      <c r="AJ1694" s="26"/>
      <c r="AK1694" s="374"/>
      <c r="AL1694" s="374"/>
      <c r="AO1694" s="294"/>
      <c r="AR1694" s="374"/>
      <c r="AZ1694" s="374"/>
      <c r="BF1694" s="26"/>
      <c r="BG1694" s="26"/>
      <c r="BH1694" s="26"/>
      <c r="BI1694" s="26"/>
      <c r="BJ1694" s="26"/>
      <c r="BK1694" s="26"/>
      <c r="BL1694" s="26"/>
      <c r="BS1694" s="20"/>
      <c r="BT1694" s="26"/>
      <c r="BU1694" s="381"/>
      <c r="BV1694" s="381"/>
      <c r="BW1694" s="229"/>
    </row>
    <row r="1695" spans="33:75" x14ac:dyDescent="0.2">
      <c r="AG1695" s="294"/>
      <c r="AH1695" s="294"/>
      <c r="AI1695" s="294"/>
      <c r="AJ1695" s="26"/>
      <c r="AK1695" s="374"/>
      <c r="AL1695" s="374"/>
      <c r="AO1695" s="294"/>
      <c r="AR1695" s="374"/>
      <c r="AZ1695" s="374"/>
      <c r="BF1695" s="26"/>
      <c r="BG1695" s="26"/>
      <c r="BH1695" s="26"/>
      <c r="BI1695" s="26"/>
      <c r="BJ1695" s="26"/>
      <c r="BK1695" s="26"/>
      <c r="BL1695" s="26"/>
      <c r="BS1695" s="20"/>
      <c r="BT1695" s="26"/>
      <c r="BU1695" s="381"/>
      <c r="BV1695" s="381"/>
      <c r="BW1695" s="229"/>
    </row>
    <row r="1696" spans="33:75" x14ac:dyDescent="0.2">
      <c r="AG1696" s="294"/>
      <c r="AH1696" s="294"/>
      <c r="AI1696" s="294"/>
      <c r="AJ1696" s="26"/>
      <c r="AK1696" s="374"/>
      <c r="AL1696" s="374"/>
      <c r="AO1696" s="294"/>
      <c r="AR1696" s="374"/>
      <c r="AZ1696" s="374"/>
      <c r="BF1696" s="26"/>
      <c r="BG1696" s="26"/>
      <c r="BH1696" s="26"/>
      <c r="BI1696" s="26"/>
      <c r="BJ1696" s="26"/>
      <c r="BK1696" s="26"/>
      <c r="BL1696" s="26"/>
      <c r="BS1696" s="20"/>
      <c r="BT1696" s="26"/>
      <c r="BU1696" s="381"/>
      <c r="BV1696" s="381"/>
      <c r="BW1696" s="229"/>
    </row>
    <row r="1697" spans="33:75" x14ac:dyDescent="0.2">
      <c r="AG1697" s="294"/>
      <c r="AH1697" s="294"/>
      <c r="AI1697" s="294"/>
      <c r="AJ1697" s="26"/>
      <c r="AK1697" s="374"/>
      <c r="AL1697" s="374"/>
      <c r="AO1697" s="294"/>
      <c r="AR1697" s="374"/>
      <c r="AZ1697" s="374"/>
      <c r="BF1697" s="26"/>
      <c r="BG1697" s="26"/>
      <c r="BH1697" s="26"/>
      <c r="BI1697" s="26"/>
      <c r="BJ1697" s="26"/>
      <c r="BK1697" s="26"/>
      <c r="BL1697" s="26"/>
      <c r="BS1697" s="20"/>
      <c r="BT1697" s="26"/>
      <c r="BU1697" s="381"/>
      <c r="BV1697" s="381"/>
      <c r="BW1697" s="229"/>
    </row>
    <row r="1698" spans="33:75" x14ac:dyDescent="0.2">
      <c r="AG1698" s="294"/>
      <c r="AH1698" s="294"/>
      <c r="AI1698" s="294"/>
      <c r="AJ1698" s="26"/>
      <c r="AK1698" s="374"/>
      <c r="AL1698" s="374"/>
      <c r="AO1698" s="294"/>
      <c r="AR1698" s="374"/>
      <c r="AZ1698" s="374"/>
      <c r="BF1698" s="26"/>
      <c r="BG1698" s="26"/>
      <c r="BH1698" s="26"/>
      <c r="BI1698" s="26"/>
      <c r="BJ1698" s="26"/>
      <c r="BK1698" s="26"/>
      <c r="BL1698" s="26"/>
      <c r="BS1698" s="20"/>
      <c r="BT1698" s="26"/>
      <c r="BU1698" s="381"/>
      <c r="BV1698" s="381"/>
      <c r="BW1698" s="229"/>
    </row>
    <row r="1699" spans="33:75" x14ac:dyDescent="0.2">
      <c r="AG1699" s="294"/>
      <c r="AH1699" s="294"/>
      <c r="AI1699" s="294"/>
      <c r="AJ1699" s="26"/>
      <c r="AK1699" s="374"/>
      <c r="AL1699" s="374"/>
      <c r="AO1699" s="294"/>
      <c r="AR1699" s="374"/>
      <c r="AZ1699" s="374"/>
      <c r="BF1699" s="26"/>
      <c r="BG1699" s="26"/>
      <c r="BH1699" s="26"/>
      <c r="BI1699" s="26"/>
      <c r="BJ1699" s="26"/>
      <c r="BK1699" s="26"/>
      <c r="BL1699" s="26"/>
      <c r="BS1699" s="20"/>
      <c r="BT1699" s="26"/>
      <c r="BU1699" s="381"/>
      <c r="BV1699" s="381"/>
      <c r="BW1699" s="229"/>
    </row>
    <row r="1700" spans="33:75" x14ac:dyDescent="0.2">
      <c r="AG1700" s="294"/>
      <c r="AH1700" s="294"/>
      <c r="AI1700" s="294"/>
      <c r="AJ1700" s="26"/>
      <c r="AK1700" s="374"/>
      <c r="AL1700" s="374"/>
      <c r="AO1700" s="294"/>
      <c r="AR1700" s="374"/>
      <c r="AZ1700" s="374"/>
      <c r="BF1700" s="26"/>
      <c r="BG1700" s="26"/>
      <c r="BH1700" s="26"/>
      <c r="BI1700" s="26"/>
      <c r="BJ1700" s="26"/>
      <c r="BK1700" s="26"/>
      <c r="BL1700" s="26"/>
      <c r="BS1700" s="20"/>
      <c r="BT1700" s="26"/>
      <c r="BU1700" s="381"/>
      <c r="BV1700" s="381"/>
      <c r="BW1700" s="229"/>
    </row>
    <row r="1701" spans="33:75" x14ac:dyDescent="0.2">
      <c r="AG1701" s="294"/>
      <c r="AH1701" s="294"/>
      <c r="AI1701" s="294"/>
      <c r="AJ1701" s="26"/>
      <c r="AK1701" s="374"/>
      <c r="AL1701" s="374"/>
      <c r="AO1701" s="294"/>
      <c r="AR1701" s="374"/>
      <c r="AZ1701" s="374"/>
      <c r="BF1701" s="26"/>
      <c r="BG1701" s="26"/>
      <c r="BH1701" s="26"/>
      <c r="BI1701" s="26"/>
      <c r="BJ1701" s="26"/>
      <c r="BK1701" s="26"/>
      <c r="BL1701" s="26"/>
      <c r="BS1701" s="20"/>
      <c r="BT1701" s="26"/>
      <c r="BU1701" s="381"/>
      <c r="BV1701" s="381"/>
      <c r="BW1701" s="229"/>
    </row>
    <row r="1702" spans="33:75" x14ac:dyDescent="0.2">
      <c r="AG1702" s="294"/>
      <c r="AH1702" s="294"/>
      <c r="AI1702" s="294"/>
      <c r="AJ1702" s="26"/>
      <c r="AK1702" s="374"/>
      <c r="AL1702" s="374"/>
      <c r="AO1702" s="294"/>
      <c r="AR1702" s="374"/>
      <c r="AZ1702" s="374"/>
      <c r="BF1702" s="26"/>
      <c r="BG1702" s="26"/>
      <c r="BH1702" s="26"/>
      <c r="BI1702" s="26"/>
      <c r="BJ1702" s="26"/>
      <c r="BK1702" s="26"/>
      <c r="BL1702" s="26"/>
      <c r="BS1702" s="20"/>
      <c r="BT1702" s="26"/>
      <c r="BU1702" s="381"/>
      <c r="BV1702" s="381"/>
      <c r="BW1702" s="229"/>
    </row>
    <row r="1703" spans="33:75" x14ac:dyDescent="0.2">
      <c r="AG1703" s="294"/>
      <c r="AH1703" s="294"/>
      <c r="AI1703" s="294"/>
      <c r="AJ1703" s="26"/>
      <c r="AK1703" s="374"/>
      <c r="AL1703" s="374"/>
      <c r="AO1703" s="294"/>
      <c r="AR1703" s="374"/>
      <c r="AZ1703" s="374"/>
      <c r="BF1703" s="26"/>
      <c r="BG1703" s="26"/>
      <c r="BH1703" s="26"/>
      <c r="BI1703" s="26"/>
      <c r="BJ1703" s="26"/>
      <c r="BK1703" s="26"/>
      <c r="BL1703" s="26"/>
      <c r="BS1703" s="20"/>
      <c r="BT1703" s="26"/>
      <c r="BU1703" s="381"/>
      <c r="BV1703" s="381"/>
      <c r="BW1703" s="229"/>
    </row>
    <row r="1704" spans="33:75" x14ac:dyDescent="0.2">
      <c r="AG1704" s="294"/>
      <c r="AH1704" s="294"/>
      <c r="AI1704" s="294"/>
      <c r="AJ1704" s="26"/>
      <c r="AK1704" s="374"/>
      <c r="AL1704" s="374"/>
      <c r="AO1704" s="294"/>
      <c r="AR1704" s="374"/>
      <c r="AZ1704" s="374"/>
      <c r="BF1704" s="26"/>
      <c r="BG1704" s="26"/>
      <c r="BH1704" s="26"/>
      <c r="BI1704" s="26"/>
      <c r="BJ1704" s="26"/>
      <c r="BK1704" s="26"/>
      <c r="BL1704" s="26"/>
      <c r="BS1704" s="20"/>
      <c r="BT1704" s="26"/>
      <c r="BU1704" s="381"/>
      <c r="BV1704" s="381"/>
      <c r="BW1704" s="229"/>
    </row>
    <row r="1705" spans="33:75" x14ac:dyDescent="0.2">
      <c r="AG1705" s="294"/>
      <c r="AH1705" s="294"/>
      <c r="AI1705" s="294"/>
      <c r="AJ1705" s="26"/>
      <c r="AK1705" s="374"/>
      <c r="AL1705" s="374"/>
      <c r="AO1705" s="294"/>
      <c r="AR1705" s="374"/>
      <c r="AZ1705" s="374"/>
      <c r="BF1705" s="26"/>
      <c r="BG1705" s="26"/>
      <c r="BH1705" s="26"/>
      <c r="BI1705" s="26"/>
      <c r="BJ1705" s="26"/>
      <c r="BK1705" s="26"/>
      <c r="BL1705" s="26"/>
      <c r="BS1705" s="20"/>
      <c r="BT1705" s="26"/>
      <c r="BU1705" s="381"/>
      <c r="BV1705" s="381"/>
      <c r="BW1705" s="229"/>
    </row>
    <row r="1706" spans="33:75" x14ac:dyDescent="0.2">
      <c r="AG1706" s="294"/>
      <c r="AH1706" s="294"/>
      <c r="AI1706" s="294"/>
      <c r="AJ1706" s="26"/>
      <c r="AK1706" s="374"/>
      <c r="AL1706" s="374"/>
      <c r="AO1706" s="294"/>
      <c r="AR1706" s="374"/>
      <c r="AZ1706" s="374"/>
      <c r="BF1706" s="26"/>
      <c r="BG1706" s="26"/>
      <c r="BH1706" s="26"/>
      <c r="BI1706" s="26"/>
      <c r="BJ1706" s="26"/>
      <c r="BK1706" s="26"/>
      <c r="BL1706" s="26"/>
      <c r="BS1706" s="20"/>
      <c r="BT1706" s="26"/>
      <c r="BU1706" s="381"/>
      <c r="BV1706" s="381"/>
      <c r="BW1706" s="229"/>
    </row>
    <row r="1707" spans="33:75" x14ac:dyDescent="0.2">
      <c r="AG1707" s="294"/>
      <c r="AH1707" s="294"/>
      <c r="AI1707" s="294"/>
      <c r="AJ1707" s="26"/>
      <c r="AK1707" s="374"/>
      <c r="AL1707" s="374"/>
      <c r="AO1707" s="294"/>
      <c r="AR1707" s="374"/>
      <c r="AZ1707" s="374"/>
      <c r="BF1707" s="26"/>
      <c r="BG1707" s="26"/>
      <c r="BH1707" s="26"/>
      <c r="BI1707" s="26"/>
      <c r="BJ1707" s="26"/>
      <c r="BK1707" s="26"/>
      <c r="BL1707" s="26"/>
      <c r="BS1707" s="20"/>
      <c r="BT1707" s="26"/>
      <c r="BU1707" s="381"/>
      <c r="BV1707" s="381"/>
      <c r="BW1707" s="229"/>
    </row>
    <row r="1708" spans="33:75" x14ac:dyDescent="0.2">
      <c r="AG1708" s="294"/>
      <c r="AH1708" s="294"/>
      <c r="AI1708" s="294"/>
      <c r="AJ1708" s="26"/>
      <c r="AK1708" s="374"/>
      <c r="AL1708" s="374"/>
      <c r="AO1708" s="294"/>
      <c r="AR1708" s="374"/>
      <c r="AZ1708" s="374"/>
      <c r="BF1708" s="26"/>
      <c r="BG1708" s="26"/>
      <c r="BH1708" s="26"/>
      <c r="BI1708" s="26"/>
      <c r="BJ1708" s="26"/>
      <c r="BK1708" s="26"/>
      <c r="BL1708" s="26"/>
      <c r="BS1708" s="20"/>
      <c r="BT1708" s="26"/>
      <c r="BU1708" s="381"/>
      <c r="BV1708" s="381"/>
      <c r="BW1708" s="229"/>
    </row>
    <row r="1709" spans="33:75" x14ac:dyDescent="0.2">
      <c r="AG1709" s="294"/>
      <c r="AH1709" s="294"/>
      <c r="AI1709" s="294"/>
      <c r="AJ1709" s="26"/>
      <c r="AK1709" s="374"/>
      <c r="AL1709" s="374"/>
      <c r="AO1709" s="294"/>
      <c r="AR1709" s="374"/>
      <c r="AZ1709" s="374"/>
      <c r="BF1709" s="26"/>
      <c r="BG1709" s="26"/>
      <c r="BH1709" s="26"/>
      <c r="BI1709" s="26"/>
      <c r="BJ1709" s="26"/>
      <c r="BK1709" s="26"/>
      <c r="BL1709" s="26"/>
      <c r="BS1709" s="20"/>
      <c r="BT1709" s="26"/>
      <c r="BU1709" s="381"/>
      <c r="BV1709" s="381"/>
      <c r="BW1709" s="229"/>
    </row>
    <row r="1710" spans="33:75" x14ac:dyDescent="0.2">
      <c r="AG1710" s="294"/>
      <c r="AH1710" s="294"/>
      <c r="AI1710" s="294"/>
      <c r="AJ1710" s="26"/>
      <c r="AK1710" s="374"/>
      <c r="AL1710" s="374"/>
      <c r="AO1710" s="294"/>
      <c r="AR1710" s="374"/>
      <c r="AZ1710" s="374"/>
      <c r="BF1710" s="26"/>
      <c r="BG1710" s="26"/>
      <c r="BH1710" s="26"/>
      <c r="BI1710" s="26"/>
      <c r="BJ1710" s="26"/>
      <c r="BK1710" s="26"/>
      <c r="BL1710" s="26"/>
      <c r="BS1710" s="20"/>
      <c r="BT1710" s="26"/>
      <c r="BU1710" s="381"/>
      <c r="BV1710" s="381"/>
      <c r="BW1710" s="229"/>
    </row>
    <row r="1711" spans="33:75" x14ac:dyDescent="0.2">
      <c r="AG1711" s="294"/>
      <c r="AH1711" s="294"/>
      <c r="AI1711" s="294"/>
      <c r="AJ1711" s="26"/>
      <c r="AK1711" s="374"/>
      <c r="AL1711" s="374"/>
      <c r="AO1711" s="294"/>
      <c r="AR1711" s="374"/>
      <c r="AZ1711" s="374"/>
      <c r="BF1711" s="26"/>
      <c r="BG1711" s="26"/>
      <c r="BH1711" s="26"/>
      <c r="BI1711" s="26"/>
      <c r="BJ1711" s="26"/>
      <c r="BK1711" s="26"/>
      <c r="BL1711" s="26"/>
      <c r="BS1711" s="20"/>
      <c r="BT1711" s="26"/>
      <c r="BU1711" s="381"/>
      <c r="BV1711" s="381"/>
      <c r="BW1711" s="229"/>
    </row>
    <row r="1712" spans="33:75" x14ac:dyDescent="0.2">
      <c r="AG1712" s="294"/>
      <c r="AH1712" s="294"/>
      <c r="AI1712" s="294"/>
      <c r="AJ1712" s="26"/>
      <c r="AK1712" s="374"/>
      <c r="AL1712" s="374"/>
      <c r="AO1712" s="294"/>
      <c r="AR1712" s="374"/>
      <c r="AZ1712" s="374"/>
      <c r="BF1712" s="26"/>
      <c r="BG1712" s="26"/>
      <c r="BH1712" s="26"/>
      <c r="BI1712" s="26"/>
      <c r="BJ1712" s="26"/>
      <c r="BK1712" s="26"/>
      <c r="BL1712" s="26"/>
      <c r="BS1712" s="20"/>
      <c r="BT1712" s="26"/>
      <c r="BU1712" s="381"/>
      <c r="BV1712" s="381"/>
      <c r="BW1712" s="229"/>
    </row>
    <row r="1713" spans="33:75" x14ac:dyDescent="0.2">
      <c r="AG1713" s="294"/>
      <c r="AH1713" s="294"/>
      <c r="AI1713" s="294"/>
      <c r="AJ1713" s="26"/>
      <c r="AK1713" s="374"/>
      <c r="AL1713" s="374"/>
      <c r="AO1713" s="294"/>
      <c r="AR1713" s="374"/>
      <c r="AZ1713" s="374"/>
      <c r="BF1713" s="26"/>
      <c r="BG1713" s="26"/>
      <c r="BH1713" s="26"/>
      <c r="BI1713" s="26"/>
      <c r="BJ1713" s="26"/>
      <c r="BK1713" s="26"/>
      <c r="BL1713" s="26"/>
      <c r="BS1713" s="20"/>
      <c r="BT1713" s="26"/>
      <c r="BU1713" s="381"/>
      <c r="BV1713" s="381"/>
      <c r="BW1713" s="229"/>
    </row>
    <row r="1714" spans="33:75" x14ac:dyDescent="0.2">
      <c r="AG1714" s="294"/>
      <c r="AH1714" s="294"/>
      <c r="AI1714" s="294"/>
      <c r="AJ1714" s="26"/>
      <c r="AK1714" s="374"/>
      <c r="AL1714" s="374"/>
      <c r="AO1714" s="294"/>
      <c r="AR1714" s="374"/>
      <c r="AZ1714" s="374"/>
      <c r="BF1714" s="26"/>
      <c r="BG1714" s="26"/>
      <c r="BH1714" s="26"/>
      <c r="BI1714" s="26"/>
      <c r="BJ1714" s="26"/>
      <c r="BK1714" s="26"/>
      <c r="BL1714" s="26"/>
      <c r="BS1714" s="20"/>
      <c r="BT1714" s="26"/>
      <c r="BU1714" s="381"/>
      <c r="BV1714" s="381"/>
      <c r="BW1714" s="229"/>
    </row>
    <row r="1715" spans="33:75" x14ac:dyDescent="0.2">
      <c r="AG1715" s="294"/>
      <c r="AH1715" s="294"/>
      <c r="AI1715" s="294"/>
      <c r="AJ1715" s="26"/>
      <c r="AK1715" s="374"/>
      <c r="AL1715" s="374"/>
      <c r="AO1715" s="294"/>
      <c r="AR1715" s="374"/>
      <c r="AZ1715" s="374"/>
      <c r="BF1715" s="26"/>
      <c r="BG1715" s="26"/>
      <c r="BH1715" s="26"/>
      <c r="BI1715" s="26"/>
      <c r="BJ1715" s="26"/>
      <c r="BK1715" s="26"/>
      <c r="BL1715" s="26"/>
      <c r="BS1715" s="20"/>
      <c r="BT1715" s="26"/>
      <c r="BU1715" s="381"/>
      <c r="BV1715" s="381"/>
      <c r="BW1715" s="229"/>
    </row>
    <row r="1716" spans="33:75" x14ac:dyDescent="0.2">
      <c r="AG1716" s="294"/>
      <c r="AH1716" s="294"/>
      <c r="AI1716" s="294"/>
      <c r="AJ1716" s="26"/>
      <c r="AK1716" s="374"/>
      <c r="AL1716" s="374"/>
      <c r="AO1716" s="294"/>
      <c r="AR1716" s="374"/>
      <c r="AZ1716" s="374"/>
      <c r="BF1716" s="26"/>
      <c r="BG1716" s="26"/>
      <c r="BH1716" s="26"/>
      <c r="BI1716" s="26"/>
      <c r="BJ1716" s="26"/>
      <c r="BK1716" s="26"/>
      <c r="BL1716" s="26"/>
      <c r="BS1716" s="20"/>
      <c r="BT1716" s="26"/>
      <c r="BU1716" s="381"/>
      <c r="BV1716" s="381"/>
      <c r="BW1716" s="229"/>
    </row>
    <row r="1717" spans="33:75" x14ac:dyDescent="0.2">
      <c r="AG1717" s="294"/>
      <c r="AH1717" s="294"/>
      <c r="AI1717" s="294"/>
      <c r="AJ1717" s="26"/>
      <c r="AK1717" s="374"/>
      <c r="AL1717" s="374"/>
      <c r="AO1717" s="294"/>
      <c r="AR1717" s="374"/>
      <c r="AZ1717" s="374"/>
      <c r="BF1717" s="26"/>
      <c r="BG1717" s="26"/>
      <c r="BH1717" s="26"/>
      <c r="BI1717" s="26"/>
      <c r="BJ1717" s="26"/>
      <c r="BK1717" s="26"/>
      <c r="BL1717" s="26"/>
      <c r="BS1717" s="20"/>
      <c r="BT1717" s="26"/>
      <c r="BU1717" s="381"/>
      <c r="BV1717" s="381"/>
      <c r="BW1717" s="229"/>
    </row>
    <row r="1718" spans="33:75" x14ac:dyDescent="0.2">
      <c r="AG1718" s="294"/>
      <c r="AH1718" s="294"/>
      <c r="AI1718" s="294"/>
      <c r="AJ1718" s="26"/>
      <c r="AK1718" s="374"/>
      <c r="AL1718" s="374"/>
      <c r="AO1718" s="294"/>
      <c r="AR1718" s="374"/>
      <c r="AZ1718" s="374"/>
      <c r="BF1718" s="26"/>
      <c r="BG1718" s="26"/>
      <c r="BH1718" s="26"/>
      <c r="BI1718" s="26"/>
      <c r="BJ1718" s="26"/>
      <c r="BK1718" s="26"/>
      <c r="BL1718" s="26"/>
      <c r="BS1718" s="20"/>
      <c r="BT1718" s="26"/>
      <c r="BU1718" s="381"/>
      <c r="BV1718" s="381"/>
      <c r="BW1718" s="229"/>
    </row>
    <row r="1719" spans="33:75" x14ac:dyDescent="0.2">
      <c r="AG1719" s="294"/>
      <c r="AH1719" s="294"/>
      <c r="AI1719" s="294"/>
      <c r="AJ1719" s="26"/>
      <c r="AK1719" s="374"/>
      <c r="AL1719" s="374"/>
      <c r="AO1719" s="294"/>
      <c r="AR1719" s="374"/>
      <c r="AZ1719" s="374"/>
      <c r="BF1719" s="26"/>
      <c r="BG1719" s="26"/>
      <c r="BH1719" s="26"/>
      <c r="BI1719" s="26"/>
      <c r="BJ1719" s="26"/>
      <c r="BK1719" s="26"/>
      <c r="BL1719" s="26"/>
      <c r="BS1719" s="20"/>
      <c r="BT1719" s="26"/>
      <c r="BU1719" s="381"/>
      <c r="BV1719" s="381"/>
      <c r="BW1719" s="229"/>
    </row>
    <row r="1720" spans="33:75" x14ac:dyDescent="0.2">
      <c r="AG1720" s="294"/>
      <c r="AH1720" s="294"/>
      <c r="AI1720" s="294"/>
      <c r="AJ1720" s="26"/>
      <c r="AK1720" s="374"/>
      <c r="AL1720" s="374"/>
      <c r="AO1720" s="294"/>
      <c r="AR1720" s="374"/>
      <c r="AZ1720" s="374"/>
      <c r="BF1720" s="26"/>
      <c r="BG1720" s="26"/>
      <c r="BH1720" s="26"/>
      <c r="BI1720" s="26"/>
      <c r="BJ1720" s="26"/>
      <c r="BK1720" s="26"/>
      <c r="BL1720" s="26"/>
      <c r="BS1720" s="20"/>
      <c r="BT1720" s="26"/>
      <c r="BU1720" s="381"/>
      <c r="BV1720" s="381"/>
      <c r="BW1720" s="229"/>
    </row>
    <row r="1721" spans="33:75" x14ac:dyDescent="0.2">
      <c r="AG1721" s="294"/>
      <c r="AH1721" s="294"/>
      <c r="AI1721" s="294"/>
      <c r="AJ1721" s="26"/>
      <c r="AK1721" s="374"/>
      <c r="AL1721" s="374"/>
      <c r="AO1721" s="294"/>
      <c r="AR1721" s="374"/>
      <c r="AZ1721" s="374"/>
      <c r="BF1721" s="26"/>
      <c r="BG1721" s="26"/>
      <c r="BH1721" s="26"/>
      <c r="BI1721" s="26"/>
      <c r="BJ1721" s="26"/>
      <c r="BK1721" s="26"/>
      <c r="BL1721" s="26"/>
      <c r="BS1721" s="20"/>
      <c r="BT1721" s="26"/>
      <c r="BU1721" s="381"/>
      <c r="BV1721" s="381"/>
      <c r="BW1721" s="229"/>
    </row>
    <row r="1722" spans="33:75" x14ac:dyDescent="0.2">
      <c r="AG1722" s="294"/>
      <c r="AH1722" s="294"/>
      <c r="AI1722" s="294"/>
      <c r="AJ1722" s="26"/>
      <c r="AK1722" s="374"/>
      <c r="AL1722" s="374"/>
      <c r="AO1722" s="294"/>
      <c r="AR1722" s="374"/>
      <c r="AZ1722" s="374"/>
      <c r="BF1722" s="26"/>
      <c r="BG1722" s="26"/>
      <c r="BH1722" s="26"/>
      <c r="BI1722" s="26"/>
      <c r="BJ1722" s="26"/>
      <c r="BK1722" s="26"/>
      <c r="BL1722" s="26"/>
      <c r="BS1722" s="20"/>
      <c r="BT1722" s="26"/>
      <c r="BU1722" s="381"/>
      <c r="BV1722" s="381"/>
      <c r="BW1722" s="229"/>
    </row>
    <row r="1723" spans="33:75" x14ac:dyDescent="0.2">
      <c r="AG1723" s="294"/>
      <c r="AH1723" s="294"/>
      <c r="AI1723" s="294"/>
      <c r="AJ1723" s="26"/>
      <c r="AK1723" s="374"/>
      <c r="AL1723" s="374"/>
      <c r="AO1723" s="294"/>
      <c r="AR1723" s="374"/>
      <c r="AZ1723" s="374"/>
      <c r="BF1723" s="26"/>
      <c r="BG1723" s="26"/>
      <c r="BH1723" s="26"/>
      <c r="BI1723" s="26"/>
      <c r="BJ1723" s="26"/>
      <c r="BK1723" s="26"/>
      <c r="BL1723" s="26"/>
      <c r="BS1723" s="20"/>
      <c r="BT1723" s="26"/>
      <c r="BU1723" s="381"/>
      <c r="BV1723" s="381"/>
      <c r="BW1723" s="229"/>
    </row>
    <row r="1724" spans="33:75" x14ac:dyDescent="0.2">
      <c r="AG1724" s="294"/>
      <c r="AH1724" s="294"/>
      <c r="AI1724" s="294"/>
      <c r="AJ1724" s="26"/>
      <c r="AK1724" s="374"/>
      <c r="AL1724" s="374"/>
      <c r="AO1724" s="294"/>
      <c r="AR1724" s="374"/>
      <c r="AZ1724" s="374"/>
      <c r="BF1724" s="26"/>
      <c r="BG1724" s="26"/>
      <c r="BH1724" s="26"/>
      <c r="BI1724" s="26"/>
      <c r="BJ1724" s="26"/>
      <c r="BK1724" s="26"/>
      <c r="BL1724" s="26"/>
      <c r="BS1724" s="20"/>
      <c r="BT1724" s="26"/>
      <c r="BU1724" s="381"/>
      <c r="BV1724" s="381"/>
      <c r="BW1724" s="229"/>
    </row>
    <row r="1725" spans="33:75" x14ac:dyDescent="0.2">
      <c r="AG1725" s="294"/>
      <c r="AH1725" s="294"/>
      <c r="AI1725" s="294"/>
      <c r="AJ1725" s="26"/>
      <c r="AK1725" s="374"/>
      <c r="AL1725" s="374"/>
      <c r="AO1725" s="294"/>
      <c r="AR1725" s="374"/>
      <c r="AZ1725" s="374"/>
      <c r="BF1725" s="26"/>
      <c r="BG1725" s="26"/>
      <c r="BH1725" s="26"/>
      <c r="BI1725" s="26"/>
      <c r="BJ1725" s="26"/>
      <c r="BK1725" s="26"/>
      <c r="BL1725" s="26"/>
      <c r="BS1725" s="20"/>
      <c r="BT1725" s="26"/>
      <c r="BU1725" s="381"/>
      <c r="BV1725" s="381"/>
      <c r="BW1725" s="229"/>
    </row>
    <row r="1726" spans="33:75" x14ac:dyDescent="0.2">
      <c r="AG1726" s="294"/>
      <c r="AH1726" s="294"/>
      <c r="AI1726" s="294"/>
      <c r="AJ1726" s="26"/>
      <c r="AK1726" s="374"/>
      <c r="AL1726" s="374"/>
      <c r="AO1726" s="294"/>
      <c r="AR1726" s="374"/>
      <c r="AZ1726" s="374"/>
      <c r="BF1726" s="26"/>
      <c r="BG1726" s="26"/>
      <c r="BH1726" s="26"/>
      <c r="BI1726" s="26"/>
      <c r="BJ1726" s="26"/>
      <c r="BK1726" s="26"/>
      <c r="BL1726" s="26"/>
      <c r="BS1726" s="20"/>
      <c r="BT1726" s="26"/>
      <c r="BU1726" s="381"/>
      <c r="BV1726" s="381"/>
      <c r="BW1726" s="229"/>
    </row>
    <row r="1727" spans="33:75" x14ac:dyDescent="0.2">
      <c r="AG1727" s="294"/>
      <c r="AH1727" s="294"/>
      <c r="AI1727" s="294"/>
      <c r="AJ1727" s="26"/>
      <c r="AK1727" s="374"/>
      <c r="AL1727" s="374"/>
      <c r="AO1727" s="294"/>
      <c r="AR1727" s="374"/>
      <c r="AZ1727" s="374"/>
      <c r="BF1727" s="26"/>
      <c r="BG1727" s="26"/>
      <c r="BH1727" s="26"/>
      <c r="BI1727" s="26"/>
      <c r="BJ1727" s="26"/>
      <c r="BK1727" s="26"/>
      <c r="BL1727" s="26"/>
      <c r="BS1727" s="20"/>
      <c r="BT1727" s="26"/>
      <c r="BU1727" s="381"/>
      <c r="BV1727" s="381"/>
      <c r="BW1727" s="229"/>
    </row>
    <row r="1728" spans="33:75" x14ac:dyDescent="0.2">
      <c r="AG1728" s="294"/>
      <c r="AH1728" s="294"/>
      <c r="AI1728" s="294"/>
      <c r="AJ1728" s="26"/>
      <c r="AK1728" s="374"/>
      <c r="AL1728" s="374"/>
      <c r="AO1728" s="294"/>
      <c r="AR1728" s="374"/>
      <c r="AZ1728" s="374"/>
      <c r="BF1728" s="26"/>
      <c r="BG1728" s="26"/>
      <c r="BH1728" s="26"/>
      <c r="BI1728" s="26"/>
      <c r="BJ1728" s="26"/>
      <c r="BK1728" s="26"/>
      <c r="BL1728" s="26"/>
      <c r="BS1728" s="20"/>
      <c r="BT1728" s="26"/>
      <c r="BU1728" s="381"/>
      <c r="BV1728" s="381"/>
      <c r="BW1728" s="229"/>
    </row>
    <row r="1729" spans="33:75" x14ac:dyDescent="0.2">
      <c r="AG1729" s="294"/>
      <c r="AH1729" s="294"/>
      <c r="AI1729" s="294"/>
      <c r="AJ1729" s="26"/>
      <c r="AK1729" s="374"/>
      <c r="AL1729" s="374"/>
      <c r="AO1729" s="294"/>
      <c r="AR1729" s="374"/>
      <c r="AZ1729" s="374"/>
      <c r="BF1729" s="26"/>
      <c r="BG1729" s="26"/>
      <c r="BH1729" s="26"/>
      <c r="BI1729" s="26"/>
      <c r="BJ1729" s="26"/>
      <c r="BK1729" s="26"/>
      <c r="BL1729" s="26"/>
      <c r="BS1729" s="20"/>
      <c r="BT1729" s="26"/>
      <c r="BU1729" s="381"/>
      <c r="BV1729" s="381"/>
      <c r="BW1729" s="229"/>
    </row>
    <row r="1730" spans="33:75" x14ac:dyDescent="0.2">
      <c r="AG1730" s="294"/>
      <c r="AH1730" s="294"/>
      <c r="AI1730" s="294"/>
      <c r="AJ1730" s="26"/>
      <c r="AK1730" s="374"/>
      <c r="AL1730" s="374"/>
      <c r="AO1730" s="294"/>
      <c r="AR1730" s="374"/>
      <c r="AZ1730" s="374"/>
      <c r="BF1730" s="26"/>
      <c r="BG1730" s="26"/>
      <c r="BH1730" s="26"/>
      <c r="BI1730" s="26"/>
      <c r="BJ1730" s="26"/>
      <c r="BK1730" s="26"/>
      <c r="BL1730" s="26"/>
      <c r="BS1730" s="20"/>
      <c r="BT1730" s="26"/>
      <c r="BU1730" s="381"/>
      <c r="BV1730" s="381"/>
      <c r="BW1730" s="229"/>
    </row>
    <row r="1731" spans="33:75" x14ac:dyDescent="0.2">
      <c r="AG1731" s="294"/>
      <c r="AH1731" s="294"/>
      <c r="AI1731" s="294"/>
      <c r="AJ1731" s="26"/>
      <c r="AK1731" s="374"/>
      <c r="AL1731" s="374"/>
      <c r="AO1731" s="294"/>
      <c r="AR1731" s="374"/>
      <c r="AZ1731" s="374"/>
      <c r="BF1731" s="26"/>
      <c r="BG1731" s="26"/>
      <c r="BH1731" s="26"/>
      <c r="BI1731" s="26"/>
      <c r="BJ1731" s="26"/>
      <c r="BK1731" s="26"/>
      <c r="BL1731" s="26"/>
      <c r="BS1731" s="20"/>
      <c r="BT1731" s="26"/>
      <c r="BU1731" s="381"/>
      <c r="BV1731" s="381"/>
      <c r="BW1731" s="229"/>
    </row>
    <row r="1732" spans="33:75" x14ac:dyDescent="0.2">
      <c r="AG1732" s="294"/>
      <c r="AH1732" s="294"/>
      <c r="AI1732" s="294"/>
      <c r="AJ1732" s="26"/>
      <c r="AK1732" s="374"/>
      <c r="AL1732" s="374"/>
      <c r="AO1732" s="294"/>
      <c r="AR1732" s="374"/>
      <c r="AZ1732" s="374"/>
      <c r="BF1732" s="26"/>
      <c r="BG1732" s="26"/>
      <c r="BH1732" s="26"/>
      <c r="BI1732" s="26"/>
      <c r="BJ1732" s="26"/>
      <c r="BK1732" s="26"/>
      <c r="BL1732" s="26"/>
      <c r="BS1732" s="20"/>
      <c r="BT1732" s="26"/>
      <c r="BU1732" s="381"/>
      <c r="BV1732" s="381"/>
      <c r="BW1732" s="229"/>
    </row>
    <row r="1733" spans="33:75" x14ac:dyDescent="0.2">
      <c r="AG1733" s="294"/>
      <c r="AH1733" s="294"/>
      <c r="AI1733" s="294"/>
      <c r="AJ1733" s="26"/>
      <c r="AK1733" s="374"/>
      <c r="AL1733" s="374"/>
      <c r="AO1733" s="294"/>
      <c r="AR1733" s="374"/>
      <c r="AZ1733" s="374"/>
      <c r="BF1733" s="26"/>
      <c r="BG1733" s="26"/>
      <c r="BH1733" s="26"/>
      <c r="BI1733" s="26"/>
      <c r="BJ1733" s="26"/>
      <c r="BK1733" s="26"/>
      <c r="BL1733" s="26"/>
      <c r="BS1733" s="20"/>
      <c r="BT1733" s="26"/>
      <c r="BU1733" s="381"/>
      <c r="BV1733" s="381"/>
      <c r="BW1733" s="229"/>
    </row>
    <row r="1734" spans="33:75" x14ac:dyDescent="0.2">
      <c r="AG1734" s="294"/>
      <c r="AH1734" s="294"/>
      <c r="AI1734" s="294"/>
      <c r="AJ1734" s="26"/>
      <c r="AK1734" s="374"/>
      <c r="AL1734" s="374"/>
      <c r="AO1734" s="294"/>
      <c r="AR1734" s="374"/>
      <c r="AZ1734" s="374"/>
      <c r="BF1734" s="26"/>
      <c r="BG1734" s="26"/>
      <c r="BH1734" s="26"/>
      <c r="BI1734" s="26"/>
      <c r="BJ1734" s="26"/>
      <c r="BK1734" s="26"/>
      <c r="BL1734" s="26"/>
      <c r="BS1734" s="20"/>
      <c r="BT1734" s="26"/>
      <c r="BU1734" s="381"/>
      <c r="BV1734" s="381"/>
      <c r="BW1734" s="229"/>
    </row>
    <row r="1735" spans="33:75" x14ac:dyDescent="0.2">
      <c r="AG1735" s="294"/>
      <c r="AH1735" s="294"/>
      <c r="AI1735" s="294"/>
      <c r="AJ1735" s="26"/>
      <c r="AK1735" s="374"/>
      <c r="AL1735" s="374"/>
      <c r="AO1735" s="294"/>
      <c r="AR1735" s="374"/>
      <c r="AZ1735" s="374"/>
      <c r="BF1735" s="26"/>
      <c r="BG1735" s="26"/>
      <c r="BH1735" s="26"/>
      <c r="BI1735" s="26"/>
      <c r="BJ1735" s="26"/>
      <c r="BK1735" s="26"/>
      <c r="BL1735" s="26"/>
      <c r="BS1735" s="20"/>
      <c r="BT1735" s="26"/>
      <c r="BU1735" s="381"/>
      <c r="BV1735" s="381"/>
      <c r="BW1735" s="229"/>
    </row>
    <row r="1736" spans="33:75" x14ac:dyDescent="0.2">
      <c r="AG1736" s="294"/>
      <c r="AH1736" s="294"/>
      <c r="AI1736" s="294"/>
      <c r="AJ1736" s="26"/>
      <c r="AK1736" s="374"/>
      <c r="AL1736" s="374"/>
      <c r="AO1736" s="294"/>
      <c r="AR1736" s="374"/>
      <c r="AZ1736" s="374"/>
      <c r="BF1736" s="26"/>
      <c r="BG1736" s="26"/>
      <c r="BH1736" s="26"/>
      <c r="BI1736" s="26"/>
      <c r="BJ1736" s="26"/>
      <c r="BK1736" s="26"/>
      <c r="BL1736" s="26"/>
      <c r="BS1736" s="20"/>
      <c r="BT1736" s="26"/>
      <c r="BU1736" s="381"/>
      <c r="BV1736" s="381"/>
      <c r="BW1736" s="229"/>
    </row>
    <row r="1737" spans="33:75" x14ac:dyDescent="0.2">
      <c r="AG1737" s="294"/>
      <c r="AH1737" s="294"/>
      <c r="AI1737" s="294"/>
      <c r="AJ1737" s="26"/>
      <c r="AK1737" s="374"/>
      <c r="AL1737" s="374"/>
      <c r="AO1737" s="294"/>
      <c r="AR1737" s="374"/>
      <c r="AZ1737" s="374"/>
      <c r="BF1737" s="26"/>
      <c r="BG1737" s="26"/>
      <c r="BH1737" s="26"/>
      <c r="BI1737" s="26"/>
      <c r="BJ1737" s="26"/>
      <c r="BK1737" s="26"/>
      <c r="BL1737" s="26"/>
      <c r="BS1737" s="20"/>
      <c r="BT1737" s="26"/>
      <c r="BU1737" s="381"/>
      <c r="BV1737" s="381"/>
      <c r="BW1737" s="229"/>
    </row>
    <row r="1738" spans="33:75" x14ac:dyDescent="0.2">
      <c r="AG1738" s="294"/>
      <c r="AH1738" s="294"/>
      <c r="AI1738" s="294"/>
      <c r="AJ1738" s="26"/>
      <c r="AK1738" s="374"/>
      <c r="AL1738" s="374"/>
      <c r="AO1738" s="294"/>
      <c r="AR1738" s="374"/>
      <c r="AZ1738" s="374"/>
      <c r="BF1738" s="26"/>
      <c r="BG1738" s="26"/>
      <c r="BH1738" s="26"/>
      <c r="BI1738" s="26"/>
      <c r="BJ1738" s="26"/>
      <c r="BK1738" s="26"/>
      <c r="BL1738" s="26"/>
      <c r="BS1738" s="20"/>
      <c r="BT1738" s="26"/>
      <c r="BU1738" s="381"/>
      <c r="BV1738" s="381"/>
      <c r="BW1738" s="229"/>
    </row>
    <row r="1739" spans="33:75" x14ac:dyDescent="0.2">
      <c r="AG1739" s="294"/>
      <c r="AH1739" s="294"/>
      <c r="AI1739" s="294"/>
      <c r="AJ1739" s="26"/>
      <c r="AK1739" s="374"/>
      <c r="AL1739" s="374"/>
      <c r="AO1739" s="294"/>
      <c r="AR1739" s="374"/>
      <c r="AZ1739" s="374"/>
      <c r="BF1739" s="26"/>
      <c r="BG1739" s="26"/>
      <c r="BH1739" s="26"/>
      <c r="BI1739" s="26"/>
      <c r="BJ1739" s="26"/>
      <c r="BK1739" s="26"/>
      <c r="BL1739" s="26"/>
      <c r="BS1739" s="20"/>
      <c r="BT1739" s="26"/>
      <c r="BU1739" s="381"/>
      <c r="BV1739" s="381"/>
      <c r="BW1739" s="229"/>
    </row>
    <row r="1740" spans="33:75" x14ac:dyDescent="0.2">
      <c r="AG1740" s="294"/>
      <c r="AH1740" s="294"/>
      <c r="AI1740" s="294"/>
      <c r="AJ1740" s="26"/>
      <c r="AK1740" s="374"/>
      <c r="AL1740" s="374"/>
      <c r="AO1740" s="294"/>
      <c r="AR1740" s="374"/>
      <c r="AZ1740" s="374"/>
      <c r="BF1740" s="26"/>
      <c r="BG1740" s="26"/>
      <c r="BH1740" s="26"/>
      <c r="BI1740" s="26"/>
      <c r="BJ1740" s="26"/>
      <c r="BK1740" s="26"/>
      <c r="BL1740" s="26"/>
      <c r="BS1740" s="20"/>
      <c r="BT1740" s="26"/>
      <c r="BU1740" s="381"/>
      <c r="BV1740" s="381"/>
      <c r="BW1740" s="229"/>
    </row>
    <row r="1741" spans="33:75" x14ac:dyDescent="0.2">
      <c r="AG1741" s="294"/>
      <c r="AH1741" s="294"/>
      <c r="AI1741" s="294"/>
      <c r="AJ1741" s="26"/>
      <c r="AK1741" s="374"/>
      <c r="AL1741" s="374"/>
      <c r="AO1741" s="294"/>
      <c r="AR1741" s="374"/>
      <c r="AZ1741" s="374"/>
      <c r="BF1741" s="26"/>
      <c r="BG1741" s="26"/>
      <c r="BH1741" s="26"/>
      <c r="BI1741" s="26"/>
      <c r="BJ1741" s="26"/>
      <c r="BK1741" s="26"/>
      <c r="BL1741" s="26"/>
      <c r="BS1741" s="20"/>
      <c r="BT1741" s="26"/>
      <c r="BU1741" s="381"/>
      <c r="BV1741" s="381"/>
      <c r="BW1741" s="229"/>
    </row>
    <row r="1742" spans="33:75" x14ac:dyDescent="0.2">
      <c r="AG1742" s="294"/>
      <c r="AH1742" s="294"/>
      <c r="AI1742" s="294"/>
      <c r="AJ1742" s="26"/>
      <c r="AK1742" s="374"/>
      <c r="AL1742" s="374"/>
      <c r="AO1742" s="294"/>
      <c r="AR1742" s="374"/>
      <c r="AZ1742" s="374"/>
      <c r="BF1742" s="26"/>
      <c r="BG1742" s="26"/>
      <c r="BH1742" s="26"/>
      <c r="BI1742" s="26"/>
      <c r="BJ1742" s="26"/>
      <c r="BK1742" s="26"/>
      <c r="BL1742" s="26"/>
      <c r="BS1742" s="20"/>
      <c r="BT1742" s="26"/>
      <c r="BU1742" s="381"/>
      <c r="BV1742" s="381"/>
      <c r="BW1742" s="229"/>
    </row>
    <row r="1743" spans="33:75" x14ac:dyDescent="0.2">
      <c r="AG1743" s="294"/>
      <c r="AH1743" s="294"/>
      <c r="AI1743" s="294"/>
      <c r="AJ1743" s="26"/>
      <c r="AK1743" s="374"/>
      <c r="AL1743" s="374"/>
      <c r="AO1743" s="294"/>
      <c r="AR1743" s="374"/>
      <c r="AZ1743" s="374"/>
      <c r="BF1743" s="26"/>
      <c r="BG1743" s="26"/>
      <c r="BH1743" s="26"/>
      <c r="BI1743" s="26"/>
      <c r="BJ1743" s="26"/>
      <c r="BK1743" s="26"/>
      <c r="BL1743" s="26"/>
      <c r="BS1743" s="20"/>
      <c r="BT1743" s="26"/>
      <c r="BU1743" s="381"/>
      <c r="BV1743" s="381"/>
      <c r="BW1743" s="229"/>
    </row>
    <row r="1744" spans="33:75" x14ac:dyDescent="0.2">
      <c r="AG1744" s="294"/>
      <c r="AH1744" s="294"/>
      <c r="AI1744" s="294"/>
      <c r="AJ1744" s="26"/>
      <c r="AK1744" s="374"/>
      <c r="AL1744" s="374"/>
      <c r="AO1744" s="294"/>
      <c r="AR1744" s="374"/>
      <c r="AZ1744" s="374"/>
      <c r="BF1744" s="26"/>
      <c r="BG1744" s="26"/>
      <c r="BH1744" s="26"/>
      <c r="BI1744" s="26"/>
      <c r="BJ1744" s="26"/>
      <c r="BK1744" s="26"/>
      <c r="BL1744" s="26"/>
      <c r="BS1744" s="20"/>
      <c r="BT1744" s="26"/>
      <c r="BU1744" s="381"/>
      <c r="BV1744" s="381"/>
      <c r="BW1744" s="229"/>
    </row>
    <row r="1745" spans="33:75" x14ac:dyDescent="0.2">
      <c r="AG1745" s="294"/>
      <c r="AH1745" s="294"/>
      <c r="AI1745" s="294"/>
      <c r="AJ1745" s="26"/>
      <c r="AK1745" s="374"/>
      <c r="AL1745" s="374"/>
      <c r="AO1745" s="294"/>
      <c r="AR1745" s="374"/>
      <c r="AZ1745" s="374"/>
      <c r="BF1745" s="26"/>
      <c r="BG1745" s="26"/>
      <c r="BH1745" s="26"/>
      <c r="BI1745" s="26"/>
      <c r="BJ1745" s="26"/>
      <c r="BK1745" s="26"/>
      <c r="BL1745" s="26"/>
      <c r="BS1745" s="20"/>
      <c r="BT1745" s="26"/>
      <c r="BU1745" s="381"/>
      <c r="BV1745" s="381"/>
      <c r="BW1745" s="229"/>
    </row>
    <row r="1746" spans="33:75" x14ac:dyDescent="0.2">
      <c r="AG1746" s="294"/>
      <c r="AH1746" s="294"/>
      <c r="AI1746" s="294"/>
      <c r="AJ1746" s="26"/>
      <c r="AK1746" s="374"/>
      <c r="AL1746" s="374"/>
      <c r="AO1746" s="294"/>
      <c r="AR1746" s="374"/>
      <c r="AZ1746" s="374"/>
      <c r="BF1746" s="26"/>
      <c r="BG1746" s="26"/>
      <c r="BH1746" s="26"/>
      <c r="BI1746" s="26"/>
      <c r="BJ1746" s="26"/>
      <c r="BK1746" s="26"/>
      <c r="BL1746" s="26"/>
      <c r="BS1746" s="20"/>
      <c r="BT1746" s="26"/>
      <c r="BU1746" s="381"/>
      <c r="BV1746" s="381"/>
      <c r="BW1746" s="229"/>
    </row>
    <row r="1747" spans="33:75" x14ac:dyDescent="0.2">
      <c r="AG1747" s="294"/>
      <c r="AH1747" s="294"/>
      <c r="AI1747" s="294"/>
      <c r="AJ1747" s="26"/>
      <c r="AK1747" s="374"/>
      <c r="AL1747" s="374"/>
      <c r="AO1747" s="294"/>
      <c r="AR1747" s="374"/>
      <c r="AZ1747" s="374"/>
      <c r="BF1747" s="26"/>
      <c r="BG1747" s="26"/>
      <c r="BH1747" s="26"/>
      <c r="BI1747" s="26"/>
      <c r="BJ1747" s="26"/>
      <c r="BK1747" s="26"/>
      <c r="BL1747" s="26"/>
      <c r="BS1747" s="20"/>
      <c r="BT1747" s="26"/>
      <c r="BU1747" s="381"/>
      <c r="BV1747" s="381"/>
      <c r="BW1747" s="229"/>
    </row>
    <row r="1748" spans="33:75" x14ac:dyDescent="0.2">
      <c r="AG1748" s="294"/>
      <c r="AH1748" s="294"/>
      <c r="AI1748" s="294"/>
      <c r="AJ1748" s="26"/>
      <c r="AK1748" s="374"/>
      <c r="AL1748" s="374"/>
      <c r="AO1748" s="294"/>
      <c r="AR1748" s="374"/>
      <c r="AZ1748" s="374"/>
      <c r="BF1748" s="26"/>
      <c r="BG1748" s="26"/>
      <c r="BH1748" s="26"/>
      <c r="BI1748" s="26"/>
      <c r="BJ1748" s="26"/>
      <c r="BK1748" s="26"/>
      <c r="BL1748" s="26"/>
      <c r="BS1748" s="20"/>
      <c r="BT1748" s="26"/>
      <c r="BU1748" s="381"/>
      <c r="BV1748" s="381"/>
      <c r="BW1748" s="229"/>
    </row>
    <row r="1749" spans="33:75" x14ac:dyDescent="0.2">
      <c r="AG1749" s="294"/>
      <c r="AH1749" s="294"/>
      <c r="AI1749" s="294"/>
      <c r="AJ1749" s="26"/>
      <c r="AK1749" s="374"/>
      <c r="AL1749" s="374"/>
      <c r="AO1749" s="294"/>
      <c r="AR1749" s="374"/>
      <c r="AZ1749" s="374"/>
      <c r="BF1749" s="26"/>
      <c r="BG1749" s="26"/>
      <c r="BH1749" s="26"/>
      <c r="BI1749" s="26"/>
      <c r="BJ1749" s="26"/>
      <c r="BK1749" s="26"/>
      <c r="BL1749" s="26"/>
      <c r="BS1749" s="20"/>
      <c r="BT1749" s="26"/>
      <c r="BU1749" s="381"/>
      <c r="BV1749" s="381"/>
      <c r="BW1749" s="229"/>
    </row>
    <row r="1750" spans="33:75" x14ac:dyDescent="0.2">
      <c r="AG1750" s="294"/>
      <c r="AH1750" s="294"/>
      <c r="AI1750" s="294"/>
      <c r="AJ1750" s="26"/>
      <c r="AK1750" s="374"/>
      <c r="AL1750" s="374"/>
      <c r="AO1750" s="294"/>
      <c r="AR1750" s="374"/>
      <c r="AZ1750" s="374"/>
      <c r="BF1750" s="26"/>
      <c r="BG1750" s="26"/>
      <c r="BH1750" s="26"/>
      <c r="BI1750" s="26"/>
      <c r="BJ1750" s="26"/>
      <c r="BK1750" s="26"/>
      <c r="BL1750" s="26"/>
      <c r="BS1750" s="20"/>
      <c r="BT1750" s="26"/>
      <c r="BU1750" s="381"/>
      <c r="BV1750" s="381"/>
      <c r="BW1750" s="229"/>
    </row>
    <row r="1751" spans="33:75" x14ac:dyDescent="0.2">
      <c r="AG1751" s="294"/>
      <c r="AH1751" s="294"/>
      <c r="AI1751" s="294"/>
      <c r="AJ1751" s="26"/>
      <c r="AK1751" s="374"/>
      <c r="AL1751" s="374"/>
      <c r="AO1751" s="294"/>
      <c r="AR1751" s="374"/>
      <c r="AZ1751" s="374"/>
      <c r="BF1751" s="26"/>
      <c r="BG1751" s="26"/>
      <c r="BH1751" s="26"/>
      <c r="BI1751" s="26"/>
      <c r="BJ1751" s="26"/>
      <c r="BK1751" s="26"/>
      <c r="BL1751" s="26"/>
      <c r="BS1751" s="20"/>
      <c r="BT1751" s="26"/>
      <c r="BU1751" s="381"/>
      <c r="BV1751" s="381"/>
      <c r="BW1751" s="229"/>
    </row>
    <row r="1752" spans="33:75" x14ac:dyDescent="0.2">
      <c r="AG1752" s="294"/>
      <c r="AH1752" s="294"/>
      <c r="AI1752" s="294"/>
      <c r="AJ1752" s="26"/>
      <c r="AK1752" s="374"/>
      <c r="AL1752" s="374"/>
      <c r="AO1752" s="294"/>
      <c r="AR1752" s="374"/>
      <c r="AZ1752" s="374"/>
      <c r="BF1752" s="26"/>
      <c r="BG1752" s="26"/>
      <c r="BH1752" s="26"/>
      <c r="BI1752" s="26"/>
      <c r="BJ1752" s="26"/>
      <c r="BK1752" s="26"/>
      <c r="BL1752" s="26"/>
      <c r="BS1752" s="20"/>
      <c r="BT1752" s="26"/>
      <c r="BU1752" s="381"/>
      <c r="BV1752" s="381"/>
      <c r="BW1752" s="229"/>
    </row>
    <row r="1753" spans="33:75" x14ac:dyDescent="0.2">
      <c r="AG1753" s="294"/>
      <c r="AH1753" s="294"/>
      <c r="AI1753" s="294"/>
      <c r="AJ1753" s="26"/>
      <c r="AK1753" s="374"/>
      <c r="AL1753" s="374"/>
      <c r="AO1753" s="294"/>
      <c r="AR1753" s="374"/>
      <c r="AZ1753" s="374"/>
      <c r="BF1753" s="26"/>
      <c r="BG1753" s="26"/>
      <c r="BH1753" s="26"/>
      <c r="BI1753" s="26"/>
      <c r="BJ1753" s="26"/>
      <c r="BK1753" s="26"/>
      <c r="BL1753" s="26"/>
      <c r="BS1753" s="20"/>
      <c r="BT1753" s="26"/>
      <c r="BU1753" s="381"/>
      <c r="BV1753" s="381"/>
      <c r="BW1753" s="229"/>
    </row>
    <row r="1754" spans="33:75" x14ac:dyDescent="0.2">
      <c r="AG1754" s="294"/>
      <c r="AH1754" s="294"/>
      <c r="AI1754" s="294"/>
      <c r="AJ1754" s="26"/>
      <c r="AK1754" s="374"/>
      <c r="AL1754" s="374"/>
      <c r="AO1754" s="294"/>
      <c r="AR1754" s="374"/>
      <c r="AZ1754" s="374"/>
      <c r="BF1754" s="26"/>
      <c r="BG1754" s="26"/>
      <c r="BH1754" s="26"/>
      <c r="BI1754" s="26"/>
      <c r="BJ1754" s="26"/>
      <c r="BK1754" s="26"/>
      <c r="BL1754" s="26"/>
      <c r="BS1754" s="20"/>
      <c r="BT1754" s="26"/>
      <c r="BU1754" s="381"/>
      <c r="BV1754" s="381"/>
      <c r="BW1754" s="229"/>
    </row>
    <row r="1755" spans="33:75" x14ac:dyDescent="0.2">
      <c r="AG1755" s="294"/>
      <c r="AH1755" s="294"/>
      <c r="AI1755" s="294"/>
      <c r="AJ1755" s="26"/>
      <c r="AK1755" s="374"/>
      <c r="AL1755" s="374"/>
      <c r="AO1755" s="294"/>
      <c r="AR1755" s="374"/>
      <c r="AZ1755" s="374"/>
      <c r="BF1755" s="26"/>
      <c r="BG1755" s="26"/>
      <c r="BH1755" s="26"/>
      <c r="BI1755" s="26"/>
      <c r="BJ1755" s="26"/>
      <c r="BK1755" s="26"/>
      <c r="BL1755" s="26"/>
      <c r="BS1755" s="20"/>
      <c r="BT1755" s="26"/>
      <c r="BU1755" s="381"/>
      <c r="BV1755" s="381"/>
      <c r="BW1755" s="229"/>
    </row>
    <row r="1756" spans="33:75" x14ac:dyDescent="0.2">
      <c r="AG1756" s="294"/>
      <c r="AH1756" s="294"/>
      <c r="AI1756" s="294"/>
      <c r="AJ1756" s="26"/>
      <c r="AK1756" s="374"/>
      <c r="AL1756" s="374"/>
      <c r="AO1756" s="294"/>
      <c r="AR1756" s="374"/>
      <c r="AZ1756" s="374"/>
      <c r="BF1756" s="26"/>
      <c r="BG1756" s="26"/>
      <c r="BH1756" s="26"/>
      <c r="BI1756" s="26"/>
      <c r="BJ1756" s="26"/>
      <c r="BK1756" s="26"/>
      <c r="BL1756" s="26"/>
      <c r="BS1756" s="20"/>
      <c r="BT1756" s="26"/>
      <c r="BU1756" s="381"/>
      <c r="BV1756" s="381"/>
      <c r="BW1756" s="229"/>
    </row>
    <row r="1757" spans="33:75" x14ac:dyDescent="0.2">
      <c r="AG1757" s="294"/>
      <c r="AH1757" s="294"/>
      <c r="AI1757" s="294"/>
      <c r="AJ1757" s="26"/>
      <c r="AK1757" s="374"/>
      <c r="AL1757" s="374"/>
      <c r="AO1757" s="294"/>
      <c r="AR1757" s="374"/>
      <c r="AZ1757" s="374"/>
      <c r="BF1757" s="26"/>
      <c r="BG1757" s="26"/>
      <c r="BH1757" s="26"/>
      <c r="BI1757" s="26"/>
      <c r="BJ1757" s="26"/>
      <c r="BK1757" s="26"/>
      <c r="BL1757" s="26"/>
      <c r="BS1757" s="20"/>
      <c r="BT1757" s="26"/>
      <c r="BU1757" s="381"/>
      <c r="BV1757" s="381"/>
      <c r="BW1757" s="229"/>
    </row>
    <row r="1758" spans="33:75" x14ac:dyDescent="0.2">
      <c r="AG1758" s="294"/>
      <c r="AH1758" s="294"/>
      <c r="AI1758" s="294"/>
      <c r="AJ1758" s="26"/>
      <c r="AK1758" s="374"/>
      <c r="AL1758" s="374"/>
      <c r="AO1758" s="294"/>
      <c r="AR1758" s="374"/>
      <c r="AZ1758" s="374"/>
      <c r="BF1758" s="26"/>
      <c r="BG1758" s="26"/>
      <c r="BH1758" s="26"/>
      <c r="BI1758" s="26"/>
      <c r="BJ1758" s="26"/>
      <c r="BK1758" s="26"/>
      <c r="BL1758" s="26"/>
      <c r="BS1758" s="20"/>
      <c r="BT1758" s="26"/>
      <c r="BU1758" s="381"/>
      <c r="BV1758" s="381"/>
      <c r="BW1758" s="229"/>
    </row>
    <row r="1759" spans="33:75" x14ac:dyDescent="0.2">
      <c r="AG1759" s="294"/>
      <c r="AH1759" s="294"/>
      <c r="AI1759" s="294"/>
      <c r="AJ1759" s="26"/>
      <c r="AK1759" s="374"/>
      <c r="AL1759" s="374"/>
      <c r="AO1759" s="294"/>
      <c r="AR1759" s="374"/>
      <c r="AZ1759" s="374"/>
      <c r="BF1759" s="26"/>
      <c r="BG1759" s="26"/>
      <c r="BH1759" s="26"/>
      <c r="BI1759" s="26"/>
      <c r="BJ1759" s="26"/>
      <c r="BK1759" s="26"/>
      <c r="BL1759" s="26"/>
      <c r="BS1759" s="20"/>
      <c r="BT1759" s="26"/>
      <c r="BU1759" s="381"/>
      <c r="BV1759" s="381"/>
      <c r="BW1759" s="229"/>
    </row>
    <row r="1760" spans="33:75" x14ac:dyDescent="0.2">
      <c r="AG1760" s="294"/>
      <c r="AH1760" s="294"/>
      <c r="AI1760" s="294"/>
      <c r="AJ1760" s="26"/>
      <c r="AK1760" s="374"/>
      <c r="AL1760" s="374"/>
      <c r="AO1760" s="294"/>
      <c r="AR1760" s="374"/>
      <c r="AZ1760" s="374"/>
      <c r="BF1760" s="26"/>
      <c r="BG1760" s="26"/>
      <c r="BH1760" s="26"/>
      <c r="BI1760" s="26"/>
      <c r="BJ1760" s="26"/>
      <c r="BK1760" s="26"/>
      <c r="BL1760" s="26"/>
      <c r="BS1760" s="20"/>
      <c r="BT1760" s="26"/>
      <c r="BU1760" s="381"/>
      <c r="BV1760" s="381"/>
      <c r="BW1760" s="229"/>
    </row>
    <row r="1761" spans="33:75" x14ac:dyDescent="0.2">
      <c r="AG1761" s="294"/>
      <c r="AH1761" s="294"/>
      <c r="AI1761" s="294"/>
      <c r="AJ1761" s="26"/>
      <c r="AK1761" s="374"/>
      <c r="AL1761" s="374"/>
      <c r="AO1761" s="294"/>
      <c r="AR1761" s="374"/>
      <c r="AZ1761" s="374"/>
      <c r="BF1761" s="26"/>
      <c r="BG1761" s="26"/>
      <c r="BH1761" s="26"/>
      <c r="BI1761" s="26"/>
      <c r="BJ1761" s="26"/>
      <c r="BK1761" s="26"/>
      <c r="BL1761" s="26"/>
      <c r="BS1761" s="20"/>
      <c r="BT1761" s="26"/>
      <c r="BU1761" s="381"/>
      <c r="BV1761" s="381"/>
      <c r="BW1761" s="229"/>
    </row>
    <row r="1762" spans="33:75" x14ac:dyDescent="0.2">
      <c r="AG1762" s="294"/>
      <c r="AH1762" s="294"/>
      <c r="AI1762" s="294"/>
      <c r="AJ1762" s="26"/>
      <c r="AK1762" s="374"/>
      <c r="AL1762" s="374"/>
      <c r="AO1762" s="294"/>
      <c r="AR1762" s="374"/>
      <c r="AZ1762" s="374"/>
      <c r="BF1762" s="26"/>
      <c r="BG1762" s="26"/>
      <c r="BH1762" s="26"/>
      <c r="BI1762" s="26"/>
      <c r="BJ1762" s="26"/>
      <c r="BK1762" s="26"/>
      <c r="BL1762" s="26"/>
      <c r="BS1762" s="20"/>
      <c r="BT1762" s="26"/>
      <c r="BU1762" s="381"/>
      <c r="BV1762" s="381"/>
      <c r="BW1762" s="229"/>
    </row>
    <row r="1763" spans="33:75" x14ac:dyDescent="0.2">
      <c r="AG1763" s="294"/>
      <c r="AH1763" s="294"/>
      <c r="AI1763" s="294"/>
      <c r="AJ1763" s="26"/>
      <c r="AK1763" s="374"/>
      <c r="AL1763" s="374"/>
      <c r="AO1763" s="294"/>
      <c r="AR1763" s="374"/>
      <c r="AZ1763" s="374"/>
      <c r="BF1763" s="26"/>
      <c r="BG1763" s="26"/>
      <c r="BH1763" s="26"/>
      <c r="BI1763" s="26"/>
      <c r="BJ1763" s="26"/>
      <c r="BK1763" s="26"/>
      <c r="BL1763" s="26"/>
      <c r="BS1763" s="20"/>
      <c r="BT1763" s="26"/>
      <c r="BU1763" s="381"/>
      <c r="BV1763" s="381"/>
      <c r="BW1763" s="229"/>
    </row>
    <row r="1764" spans="33:75" x14ac:dyDescent="0.2">
      <c r="AG1764" s="294"/>
      <c r="AH1764" s="294"/>
      <c r="AI1764" s="294"/>
      <c r="AJ1764" s="26"/>
      <c r="AK1764" s="374"/>
      <c r="AL1764" s="374"/>
      <c r="AO1764" s="294"/>
      <c r="AR1764" s="374"/>
      <c r="AZ1764" s="374"/>
      <c r="BF1764" s="26"/>
      <c r="BG1764" s="26"/>
      <c r="BH1764" s="26"/>
      <c r="BI1764" s="26"/>
      <c r="BJ1764" s="26"/>
      <c r="BK1764" s="26"/>
      <c r="BL1764" s="26"/>
      <c r="BS1764" s="20"/>
      <c r="BT1764" s="26"/>
      <c r="BU1764" s="381"/>
      <c r="BV1764" s="381"/>
      <c r="BW1764" s="229"/>
    </row>
    <row r="1765" spans="33:75" x14ac:dyDescent="0.2">
      <c r="AG1765" s="294"/>
      <c r="AH1765" s="294"/>
      <c r="AI1765" s="294"/>
      <c r="AJ1765" s="26"/>
      <c r="AK1765" s="374"/>
      <c r="AL1765" s="374"/>
      <c r="AO1765" s="294"/>
      <c r="AR1765" s="374"/>
      <c r="AZ1765" s="374"/>
      <c r="BF1765" s="26"/>
      <c r="BG1765" s="26"/>
      <c r="BH1765" s="26"/>
      <c r="BI1765" s="26"/>
      <c r="BJ1765" s="26"/>
      <c r="BK1765" s="26"/>
      <c r="BL1765" s="26"/>
      <c r="BS1765" s="20"/>
      <c r="BT1765" s="26"/>
      <c r="BU1765" s="381"/>
      <c r="BV1765" s="381"/>
      <c r="BW1765" s="229"/>
    </row>
    <row r="1766" spans="33:75" x14ac:dyDescent="0.2">
      <c r="AG1766" s="294"/>
      <c r="AH1766" s="294"/>
      <c r="AI1766" s="294"/>
      <c r="AJ1766" s="26"/>
      <c r="AK1766" s="374"/>
      <c r="AL1766" s="374"/>
      <c r="AO1766" s="294"/>
      <c r="AR1766" s="374"/>
      <c r="AZ1766" s="374"/>
      <c r="BF1766" s="26"/>
      <c r="BG1766" s="26"/>
      <c r="BH1766" s="26"/>
      <c r="BI1766" s="26"/>
      <c r="BJ1766" s="26"/>
      <c r="BK1766" s="26"/>
      <c r="BL1766" s="26"/>
      <c r="BS1766" s="20"/>
      <c r="BT1766" s="26"/>
      <c r="BU1766" s="381"/>
      <c r="BV1766" s="381"/>
      <c r="BW1766" s="229"/>
    </row>
    <row r="1767" spans="33:75" x14ac:dyDescent="0.2">
      <c r="AG1767" s="294"/>
      <c r="AH1767" s="294"/>
      <c r="AI1767" s="294"/>
      <c r="AJ1767" s="26"/>
      <c r="AK1767" s="374"/>
      <c r="AL1767" s="374"/>
      <c r="AO1767" s="294"/>
      <c r="AR1767" s="374"/>
      <c r="AZ1767" s="374"/>
      <c r="BF1767" s="26"/>
      <c r="BG1767" s="26"/>
      <c r="BH1767" s="26"/>
      <c r="BI1767" s="26"/>
      <c r="BJ1767" s="26"/>
      <c r="BK1767" s="26"/>
      <c r="BL1767" s="26"/>
      <c r="BS1767" s="20"/>
      <c r="BT1767" s="26"/>
      <c r="BU1767" s="381"/>
      <c r="BV1767" s="381"/>
      <c r="BW1767" s="229"/>
    </row>
    <row r="1768" spans="33:75" x14ac:dyDescent="0.2">
      <c r="AG1768" s="294"/>
      <c r="AH1768" s="294"/>
      <c r="AI1768" s="294"/>
      <c r="AJ1768" s="26"/>
      <c r="AK1768" s="374"/>
      <c r="AL1768" s="374"/>
      <c r="AO1768" s="294"/>
      <c r="AR1768" s="374"/>
      <c r="AZ1768" s="374"/>
      <c r="BF1768" s="26"/>
      <c r="BG1768" s="26"/>
      <c r="BH1768" s="26"/>
      <c r="BI1768" s="26"/>
      <c r="BJ1768" s="26"/>
      <c r="BK1768" s="26"/>
      <c r="BL1768" s="26"/>
      <c r="BS1768" s="20"/>
      <c r="BT1768" s="26"/>
      <c r="BU1768" s="381"/>
      <c r="BV1768" s="381"/>
      <c r="BW1768" s="229"/>
    </row>
    <row r="1769" spans="33:75" x14ac:dyDescent="0.2">
      <c r="AG1769" s="294"/>
      <c r="AH1769" s="294"/>
      <c r="AI1769" s="294"/>
      <c r="AJ1769" s="26"/>
      <c r="AK1769" s="374"/>
      <c r="AL1769" s="374"/>
      <c r="AO1769" s="294"/>
      <c r="AR1769" s="374"/>
      <c r="AZ1769" s="374"/>
      <c r="BF1769" s="26"/>
      <c r="BG1769" s="26"/>
      <c r="BH1769" s="26"/>
      <c r="BI1769" s="26"/>
      <c r="BJ1769" s="26"/>
      <c r="BK1769" s="26"/>
      <c r="BL1769" s="26"/>
      <c r="BS1769" s="20"/>
      <c r="BT1769" s="26"/>
      <c r="BU1769" s="381"/>
      <c r="BV1769" s="381"/>
      <c r="BW1769" s="229"/>
    </row>
    <row r="1770" spans="33:75" x14ac:dyDescent="0.2">
      <c r="AG1770" s="294"/>
      <c r="AH1770" s="294"/>
      <c r="AI1770" s="294"/>
      <c r="AJ1770" s="26"/>
      <c r="AK1770" s="374"/>
      <c r="AL1770" s="374"/>
      <c r="AO1770" s="294"/>
      <c r="AR1770" s="374"/>
      <c r="AZ1770" s="374"/>
      <c r="BF1770" s="26"/>
      <c r="BG1770" s="26"/>
      <c r="BH1770" s="26"/>
      <c r="BI1770" s="26"/>
      <c r="BJ1770" s="26"/>
      <c r="BK1770" s="26"/>
      <c r="BL1770" s="26"/>
      <c r="BS1770" s="20"/>
      <c r="BT1770" s="26"/>
      <c r="BU1770" s="381"/>
      <c r="BV1770" s="381"/>
      <c r="BW1770" s="229"/>
    </row>
    <row r="1771" spans="33:75" x14ac:dyDescent="0.2">
      <c r="AG1771" s="294"/>
      <c r="AH1771" s="294"/>
      <c r="AI1771" s="294"/>
      <c r="AJ1771" s="26"/>
      <c r="AK1771" s="374"/>
      <c r="AL1771" s="374"/>
      <c r="AO1771" s="294"/>
      <c r="AR1771" s="374"/>
      <c r="AZ1771" s="374"/>
      <c r="BF1771" s="26"/>
      <c r="BG1771" s="26"/>
      <c r="BH1771" s="26"/>
      <c r="BI1771" s="26"/>
      <c r="BJ1771" s="26"/>
      <c r="BK1771" s="26"/>
      <c r="BL1771" s="26"/>
      <c r="BS1771" s="20"/>
      <c r="BT1771" s="26"/>
      <c r="BU1771" s="381"/>
      <c r="BV1771" s="381"/>
      <c r="BW1771" s="229"/>
    </row>
    <row r="1772" spans="33:75" x14ac:dyDescent="0.2">
      <c r="AG1772" s="294"/>
      <c r="AH1772" s="294"/>
      <c r="AI1772" s="294"/>
      <c r="AJ1772" s="26"/>
      <c r="AK1772" s="374"/>
      <c r="AL1772" s="374"/>
      <c r="AO1772" s="294"/>
      <c r="AR1772" s="374"/>
      <c r="AZ1772" s="374"/>
      <c r="BF1772" s="26"/>
      <c r="BG1772" s="26"/>
      <c r="BH1772" s="26"/>
      <c r="BI1772" s="26"/>
      <c r="BJ1772" s="26"/>
      <c r="BK1772" s="26"/>
      <c r="BL1772" s="26"/>
      <c r="BS1772" s="20"/>
      <c r="BT1772" s="26"/>
      <c r="BU1772" s="381"/>
      <c r="BV1772" s="381"/>
      <c r="BW1772" s="229"/>
    </row>
    <row r="1773" spans="33:75" x14ac:dyDescent="0.2">
      <c r="AG1773" s="294"/>
      <c r="AH1773" s="294"/>
      <c r="AI1773" s="294"/>
      <c r="AJ1773" s="26"/>
      <c r="AK1773" s="374"/>
      <c r="AL1773" s="374"/>
      <c r="AO1773" s="294"/>
      <c r="AR1773" s="374"/>
      <c r="AZ1773" s="374"/>
      <c r="BF1773" s="26"/>
      <c r="BG1773" s="26"/>
      <c r="BH1773" s="26"/>
      <c r="BI1773" s="26"/>
      <c r="BJ1773" s="26"/>
      <c r="BK1773" s="26"/>
      <c r="BL1773" s="26"/>
      <c r="BS1773" s="20"/>
      <c r="BT1773" s="26"/>
      <c r="BU1773" s="381"/>
      <c r="BV1773" s="381"/>
      <c r="BW1773" s="229"/>
    </row>
    <row r="1774" spans="33:75" x14ac:dyDescent="0.2">
      <c r="AG1774" s="294"/>
      <c r="AH1774" s="294"/>
      <c r="AI1774" s="294"/>
      <c r="AJ1774" s="26"/>
      <c r="AK1774" s="374"/>
      <c r="AL1774" s="374"/>
      <c r="AO1774" s="294"/>
      <c r="AR1774" s="374"/>
      <c r="AZ1774" s="374"/>
      <c r="BF1774" s="26"/>
      <c r="BG1774" s="26"/>
      <c r="BH1774" s="26"/>
      <c r="BI1774" s="26"/>
      <c r="BJ1774" s="26"/>
      <c r="BK1774" s="26"/>
      <c r="BL1774" s="26"/>
      <c r="BS1774" s="20"/>
      <c r="BT1774" s="26"/>
      <c r="BU1774" s="381"/>
      <c r="BV1774" s="381"/>
      <c r="BW1774" s="229"/>
    </row>
    <row r="1775" spans="33:75" x14ac:dyDescent="0.2">
      <c r="AG1775" s="294"/>
      <c r="AH1775" s="294"/>
      <c r="AI1775" s="294"/>
      <c r="AJ1775" s="26"/>
      <c r="AK1775" s="374"/>
      <c r="AL1775" s="374"/>
      <c r="AO1775" s="294"/>
      <c r="AR1775" s="374"/>
      <c r="AZ1775" s="374"/>
      <c r="BF1775" s="26"/>
      <c r="BG1775" s="26"/>
      <c r="BH1775" s="26"/>
      <c r="BI1775" s="26"/>
      <c r="BJ1775" s="26"/>
      <c r="BK1775" s="26"/>
      <c r="BL1775" s="26"/>
      <c r="BS1775" s="20"/>
      <c r="BT1775" s="26"/>
      <c r="BU1775" s="381"/>
      <c r="BV1775" s="381"/>
      <c r="BW1775" s="229"/>
    </row>
    <row r="1776" spans="33:75" x14ac:dyDescent="0.2">
      <c r="AG1776" s="294"/>
      <c r="AH1776" s="294"/>
      <c r="AI1776" s="294"/>
      <c r="AJ1776" s="26"/>
      <c r="AK1776" s="374"/>
      <c r="AL1776" s="374"/>
      <c r="AO1776" s="294"/>
      <c r="AR1776" s="374"/>
      <c r="AZ1776" s="374"/>
      <c r="BF1776" s="26"/>
      <c r="BG1776" s="26"/>
      <c r="BH1776" s="26"/>
      <c r="BI1776" s="26"/>
      <c r="BJ1776" s="26"/>
      <c r="BK1776" s="26"/>
      <c r="BL1776" s="26"/>
      <c r="BS1776" s="20"/>
      <c r="BT1776" s="26"/>
      <c r="BU1776" s="381"/>
      <c r="BV1776" s="381"/>
      <c r="BW1776" s="229"/>
    </row>
    <row r="1777" spans="33:75" x14ac:dyDescent="0.2">
      <c r="AG1777" s="294"/>
      <c r="AH1777" s="294"/>
      <c r="AI1777" s="294"/>
      <c r="AJ1777" s="26"/>
      <c r="AK1777" s="374"/>
      <c r="AL1777" s="374"/>
      <c r="AO1777" s="294"/>
      <c r="AR1777" s="374"/>
      <c r="AZ1777" s="374"/>
      <c r="BF1777" s="26"/>
      <c r="BG1777" s="26"/>
      <c r="BH1777" s="26"/>
      <c r="BI1777" s="26"/>
      <c r="BJ1777" s="26"/>
      <c r="BK1777" s="26"/>
      <c r="BL1777" s="26"/>
      <c r="BS1777" s="20"/>
      <c r="BT1777" s="26"/>
      <c r="BU1777" s="381"/>
      <c r="BV1777" s="381"/>
      <c r="BW1777" s="229"/>
    </row>
    <row r="1778" spans="33:75" x14ac:dyDescent="0.2">
      <c r="AG1778" s="294"/>
      <c r="AH1778" s="294"/>
      <c r="AI1778" s="294"/>
      <c r="AJ1778" s="26"/>
      <c r="AK1778" s="374"/>
      <c r="AL1778" s="374"/>
      <c r="AO1778" s="294"/>
      <c r="AR1778" s="374"/>
      <c r="AZ1778" s="374"/>
      <c r="BF1778" s="26"/>
      <c r="BG1778" s="26"/>
      <c r="BH1778" s="26"/>
      <c r="BI1778" s="26"/>
      <c r="BJ1778" s="26"/>
      <c r="BK1778" s="26"/>
      <c r="BL1778" s="26"/>
      <c r="BS1778" s="20"/>
      <c r="BT1778" s="26"/>
      <c r="BU1778" s="381"/>
      <c r="BV1778" s="381"/>
      <c r="BW1778" s="229"/>
    </row>
    <row r="1779" spans="33:75" x14ac:dyDescent="0.2">
      <c r="AG1779" s="294"/>
      <c r="AH1779" s="294"/>
      <c r="AI1779" s="294"/>
      <c r="AJ1779" s="26"/>
      <c r="AK1779" s="374"/>
      <c r="AL1779" s="374"/>
      <c r="AO1779" s="294"/>
      <c r="AR1779" s="374"/>
      <c r="AZ1779" s="374"/>
      <c r="BF1779" s="26"/>
      <c r="BG1779" s="26"/>
      <c r="BH1779" s="26"/>
      <c r="BI1779" s="26"/>
      <c r="BJ1779" s="26"/>
      <c r="BK1779" s="26"/>
      <c r="BL1779" s="26"/>
      <c r="BS1779" s="20"/>
      <c r="BT1779" s="26"/>
      <c r="BU1779" s="381"/>
      <c r="BV1779" s="381"/>
      <c r="BW1779" s="229"/>
    </row>
    <row r="1780" spans="33:75" x14ac:dyDescent="0.2">
      <c r="AG1780" s="294"/>
      <c r="AH1780" s="294"/>
      <c r="AI1780" s="294"/>
      <c r="AJ1780" s="26"/>
      <c r="AK1780" s="374"/>
      <c r="AL1780" s="374"/>
      <c r="AO1780" s="294"/>
      <c r="AR1780" s="374"/>
      <c r="AZ1780" s="374"/>
      <c r="BF1780" s="26"/>
      <c r="BG1780" s="26"/>
      <c r="BH1780" s="26"/>
      <c r="BI1780" s="26"/>
      <c r="BJ1780" s="26"/>
      <c r="BK1780" s="26"/>
      <c r="BL1780" s="26"/>
      <c r="BS1780" s="20"/>
      <c r="BT1780" s="26"/>
      <c r="BU1780" s="381"/>
      <c r="BV1780" s="381"/>
      <c r="BW1780" s="229"/>
    </row>
    <row r="1781" spans="33:75" x14ac:dyDescent="0.2">
      <c r="AG1781" s="294"/>
      <c r="AH1781" s="294"/>
      <c r="AI1781" s="294"/>
      <c r="AJ1781" s="26"/>
      <c r="AK1781" s="374"/>
      <c r="AL1781" s="374"/>
      <c r="AO1781" s="294"/>
      <c r="AR1781" s="374"/>
      <c r="AZ1781" s="374"/>
      <c r="BF1781" s="26"/>
      <c r="BG1781" s="26"/>
      <c r="BH1781" s="26"/>
      <c r="BI1781" s="26"/>
      <c r="BJ1781" s="26"/>
      <c r="BK1781" s="26"/>
      <c r="BL1781" s="26"/>
      <c r="BS1781" s="20"/>
      <c r="BT1781" s="26"/>
      <c r="BU1781" s="381"/>
      <c r="BV1781" s="381"/>
      <c r="BW1781" s="229"/>
    </row>
    <row r="1782" spans="33:75" x14ac:dyDescent="0.2">
      <c r="AG1782" s="294"/>
      <c r="AH1782" s="294"/>
      <c r="AI1782" s="294"/>
      <c r="AJ1782" s="26"/>
      <c r="AK1782" s="374"/>
      <c r="AL1782" s="374"/>
      <c r="AO1782" s="294"/>
      <c r="AR1782" s="374"/>
      <c r="AZ1782" s="374"/>
      <c r="BF1782" s="26"/>
      <c r="BG1782" s="26"/>
      <c r="BH1782" s="26"/>
      <c r="BI1782" s="26"/>
      <c r="BJ1782" s="26"/>
      <c r="BK1782" s="26"/>
      <c r="BL1782" s="26"/>
      <c r="BS1782" s="20"/>
      <c r="BT1782" s="26"/>
      <c r="BU1782" s="381"/>
      <c r="BV1782" s="381"/>
      <c r="BW1782" s="229"/>
    </row>
    <row r="1783" spans="33:75" x14ac:dyDescent="0.2">
      <c r="AG1783" s="294"/>
      <c r="AH1783" s="294"/>
      <c r="AI1783" s="294"/>
      <c r="AJ1783" s="26"/>
      <c r="AK1783" s="374"/>
      <c r="AL1783" s="374"/>
      <c r="AO1783" s="294"/>
      <c r="AR1783" s="374"/>
      <c r="AZ1783" s="374"/>
      <c r="BF1783" s="26"/>
      <c r="BG1783" s="26"/>
      <c r="BH1783" s="26"/>
      <c r="BI1783" s="26"/>
      <c r="BJ1783" s="26"/>
      <c r="BK1783" s="26"/>
      <c r="BL1783" s="26"/>
      <c r="BS1783" s="20"/>
      <c r="BT1783" s="26"/>
      <c r="BU1783" s="381"/>
      <c r="BV1783" s="381"/>
      <c r="BW1783" s="229"/>
    </row>
    <row r="1784" spans="33:75" x14ac:dyDescent="0.2">
      <c r="AG1784" s="294"/>
      <c r="AH1784" s="294"/>
      <c r="AI1784" s="294"/>
      <c r="AJ1784" s="26"/>
      <c r="AK1784" s="374"/>
      <c r="AL1784" s="374"/>
      <c r="AO1784" s="294"/>
      <c r="AR1784" s="374"/>
      <c r="AZ1784" s="374"/>
      <c r="BF1784" s="26"/>
      <c r="BG1784" s="26"/>
      <c r="BH1784" s="26"/>
      <c r="BI1784" s="26"/>
      <c r="BJ1784" s="26"/>
      <c r="BK1784" s="26"/>
      <c r="BL1784" s="26"/>
      <c r="BS1784" s="20"/>
      <c r="BT1784" s="26"/>
      <c r="BU1784" s="381"/>
      <c r="BV1784" s="381"/>
      <c r="BW1784" s="229"/>
    </row>
    <row r="1785" spans="33:75" x14ac:dyDescent="0.2">
      <c r="AG1785" s="294"/>
      <c r="AH1785" s="294"/>
      <c r="AI1785" s="294"/>
      <c r="AJ1785" s="26"/>
      <c r="AK1785" s="374"/>
      <c r="AL1785" s="374"/>
      <c r="AO1785" s="294"/>
      <c r="AR1785" s="374"/>
      <c r="AZ1785" s="374"/>
      <c r="BF1785" s="26"/>
      <c r="BG1785" s="26"/>
      <c r="BH1785" s="26"/>
      <c r="BI1785" s="26"/>
      <c r="BJ1785" s="26"/>
      <c r="BK1785" s="26"/>
      <c r="BL1785" s="26"/>
      <c r="BS1785" s="20"/>
      <c r="BT1785" s="26"/>
      <c r="BU1785" s="381"/>
      <c r="BV1785" s="381"/>
      <c r="BW1785" s="229"/>
    </row>
    <row r="1786" spans="33:75" x14ac:dyDescent="0.2">
      <c r="AG1786" s="294"/>
      <c r="AH1786" s="294"/>
      <c r="AI1786" s="294"/>
      <c r="AJ1786" s="26"/>
      <c r="AK1786" s="374"/>
      <c r="AL1786" s="374"/>
      <c r="AO1786" s="294"/>
      <c r="AR1786" s="374"/>
      <c r="AZ1786" s="374"/>
      <c r="BF1786" s="26"/>
      <c r="BG1786" s="26"/>
      <c r="BH1786" s="26"/>
      <c r="BI1786" s="26"/>
      <c r="BJ1786" s="26"/>
      <c r="BK1786" s="26"/>
      <c r="BL1786" s="26"/>
      <c r="BS1786" s="20"/>
      <c r="BT1786" s="26"/>
      <c r="BU1786" s="381"/>
      <c r="BV1786" s="381"/>
      <c r="BW1786" s="229"/>
    </row>
    <row r="1787" spans="33:75" x14ac:dyDescent="0.2">
      <c r="AG1787" s="294"/>
      <c r="AH1787" s="294"/>
      <c r="AI1787" s="294"/>
      <c r="AJ1787" s="26"/>
      <c r="AK1787" s="374"/>
      <c r="AL1787" s="374"/>
      <c r="AO1787" s="294"/>
      <c r="AR1787" s="374"/>
      <c r="AZ1787" s="374"/>
      <c r="BF1787" s="26"/>
      <c r="BG1787" s="26"/>
      <c r="BH1787" s="26"/>
      <c r="BI1787" s="26"/>
      <c r="BJ1787" s="26"/>
      <c r="BK1787" s="26"/>
      <c r="BL1787" s="26"/>
      <c r="BS1787" s="20"/>
      <c r="BT1787" s="26"/>
      <c r="BU1787" s="381"/>
      <c r="BV1787" s="381"/>
      <c r="BW1787" s="229"/>
    </row>
    <row r="1788" spans="33:75" x14ac:dyDescent="0.2">
      <c r="AG1788" s="294"/>
      <c r="AH1788" s="294"/>
      <c r="AI1788" s="294"/>
      <c r="AJ1788" s="26"/>
      <c r="AK1788" s="374"/>
      <c r="AL1788" s="374"/>
      <c r="AO1788" s="294"/>
      <c r="AR1788" s="374"/>
      <c r="AZ1788" s="374"/>
      <c r="BF1788" s="26"/>
      <c r="BG1788" s="26"/>
      <c r="BH1788" s="26"/>
      <c r="BI1788" s="26"/>
      <c r="BJ1788" s="26"/>
      <c r="BK1788" s="26"/>
      <c r="BL1788" s="26"/>
      <c r="BS1788" s="20"/>
      <c r="BT1788" s="26"/>
      <c r="BU1788" s="381"/>
      <c r="BV1788" s="381"/>
      <c r="BW1788" s="229"/>
    </row>
    <row r="1789" spans="33:75" x14ac:dyDescent="0.2">
      <c r="AG1789" s="294"/>
      <c r="AH1789" s="294"/>
      <c r="AI1789" s="294"/>
      <c r="AJ1789" s="26"/>
      <c r="AK1789" s="374"/>
      <c r="AL1789" s="374"/>
      <c r="AO1789" s="294"/>
      <c r="AR1789" s="374"/>
      <c r="AZ1789" s="374"/>
      <c r="BF1789" s="26"/>
      <c r="BG1789" s="26"/>
      <c r="BH1789" s="26"/>
      <c r="BI1789" s="26"/>
      <c r="BJ1789" s="26"/>
      <c r="BK1789" s="26"/>
      <c r="BL1789" s="26"/>
      <c r="BS1789" s="20"/>
      <c r="BT1789" s="26"/>
      <c r="BU1789" s="381"/>
      <c r="BV1789" s="381"/>
      <c r="BW1789" s="229"/>
    </row>
    <row r="1790" spans="33:75" x14ac:dyDescent="0.2">
      <c r="AG1790" s="294"/>
      <c r="AH1790" s="294"/>
      <c r="AI1790" s="294"/>
      <c r="AJ1790" s="26"/>
      <c r="AK1790" s="374"/>
      <c r="AL1790" s="374"/>
      <c r="AO1790" s="294"/>
      <c r="AR1790" s="374"/>
      <c r="AZ1790" s="374"/>
      <c r="BF1790" s="26"/>
      <c r="BG1790" s="26"/>
      <c r="BH1790" s="26"/>
      <c r="BI1790" s="26"/>
      <c r="BJ1790" s="26"/>
      <c r="BK1790" s="26"/>
      <c r="BL1790" s="26"/>
      <c r="BS1790" s="20"/>
      <c r="BT1790" s="26"/>
      <c r="BU1790" s="381"/>
      <c r="BV1790" s="381"/>
      <c r="BW1790" s="229"/>
    </row>
    <row r="1791" spans="33:75" x14ac:dyDescent="0.2">
      <c r="AG1791" s="294"/>
      <c r="AH1791" s="294"/>
      <c r="AI1791" s="294"/>
      <c r="AJ1791" s="26"/>
      <c r="AK1791" s="374"/>
      <c r="AL1791" s="374"/>
      <c r="AO1791" s="294"/>
      <c r="AR1791" s="374"/>
      <c r="AZ1791" s="374"/>
      <c r="BF1791" s="26"/>
      <c r="BG1791" s="26"/>
      <c r="BH1791" s="26"/>
      <c r="BI1791" s="26"/>
      <c r="BJ1791" s="26"/>
      <c r="BK1791" s="26"/>
      <c r="BL1791" s="26"/>
      <c r="BS1791" s="20"/>
      <c r="BT1791" s="26"/>
      <c r="BU1791" s="381"/>
      <c r="BV1791" s="381"/>
      <c r="BW1791" s="229"/>
    </row>
    <row r="1792" spans="33:75" x14ac:dyDescent="0.2">
      <c r="AG1792" s="294"/>
      <c r="AH1792" s="294"/>
      <c r="AI1792" s="294"/>
      <c r="AJ1792" s="26"/>
      <c r="AK1792" s="374"/>
      <c r="AL1792" s="374"/>
      <c r="AO1792" s="294"/>
      <c r="AR1792" s="374"/>
      <c r="AZ1792" s="374"/>
      <c r="BF1792" s="26"/>
      <c r="BG1792" s="26"/>
      <c r="BH1792" s="26"/>
      <c r="BI1792" s="26"/>
      <c r="BJ1792" s="26"/>
      <c r="BK1792" s="26"/>
      <c r="BL1792" s="26"/>
      <c r="BS1792" s="20"/>
      <c r="BT1792" s="26"/>
      <c r="BU1792" s="381"/>
      <c r="BV1792" s="381"/>
      <c r="BW1792" s="229"/>
    </row>
    <row r="1793" spans="33:75" x14ac:dyDescent="0.2">
      <c r="AG1793" s="294"/>
      <c r="AH1793" s="294"/>
      <c r="AI1793" s="294"/>
      <c r="AJ1793" s="26"/>
      <c r="AK1793" s="374"/>
      <c r="AL1793" s="374"/>
      <c r="AO1793" s="294"/>
      <c r="AR1793" s="374"/>
      <c r="AZ1793" s="374"/>
      <c r="BF1793" s="26"/>
      <c r="BG1793" s="26"/>
      <c r="BH1793" s="26"/>
      <c r="BI1793" s="26"/>
      <c r="BJ1793" s="26"/>
      <c r="BK1793" s="26"/>
      <c r="BL1793" s="26"/>
      <c r="BS1793" s="20"/>
      <c r="BT1793" s="26"/>
      <c r="BU1793" s="381"/>
      <c r="BV1793" s="381"/>
      <c r="BW1793" s="229"/>
    </row>
    <row r="1794" spans="33:75" x14ac:dyDescent="0.2">
      <c r="AG1794" s="294"/>
      <c r="AH1794" s="294"/>
      <c r="AI1794" s="294"/>
      <c r="AJ1794" s="26"/>
      <c r="AK1794" s="374"/>
      <c r="AL1794" s="374"/>
      <c r="AO1794" s="294"/>
      <c r="AR1794" s="374"/>
      <c r="AZ1794" s="374"/>
      <c r="BF1794" s="26"/>
      <c r="BG1794" s="26"/>
      <c r="BH1794" s="26"/>
      <c r="BI1794" s="26"/>
      <c r="BJ1794" s="26"/>
      <c r="BK1794" s="26"/>
      <c r="BL1794" s="26"/>
      <c r="BS1794" s="20"/>
      <c r="BT1794" s="26"/>
      <c r="BU1794" s="381"/>
      <c r="BV1794" s="381"/>
      <c r="BW1794" s="229"/>
    </row>
    <row r="1795" spans="33:75" x14ac:dyDescent="0.2">
      <c r="AG1795" s="294"/>
      <c r="AH1795" s="294"/>
      <c r="AI1795" s="294"/>
      <c r="AJ1795" s="26"/>
      <c r="AK1795" s="374"/>
      <c r="AL1795" s="374"/>
      <c r="AO1795" s="294"/>
      <c r="AR1795" s="374"/>
      <c r="AZ1795" s="374"/>
      <c r="BF1795" s="26"/>
      <c r="BG1795" s="26"/>
      <c r="BH1795" s="26"/>
      <c r="BI1795" s="26"/>
      <c r="BJ1795" s="26"/>
      <c r="BK1795" s="26"/>
      <c r="BL1795" s="26"/>
      <c r="BS1795" s="20"/>
      <c r="BT1795" s="26"/>
      <c r="BU1795" s="381"/>
      <c r="BV1795" s="381"/>
      <c r="BW1795" s="229"/>
    </row>
    <row r="1796" spans="33:75" x14ac:dyDescent="0.2">
      <c r="AG1796" s="294"/>
      <c r="AH1796" s="294"/>
      <c r="AI1796" s="294"/>
      <c r="AJ1796" s="26"/>
      <c r="AK1796" s="374"/>
      <c r="AL1796" s="374"/>
      <c r="AO1796" s="294"/>
      <c r="AR1796" s="374"/>
      <c r="AZ1796" s="374"/>
      <c r="BF1796" s="26"/>
      <c r="BG1796" s="26"/>
      <c r="BH1796" s="26"/>
      <c r="BI1796" s="26"/>
      <c r="BJ1796" s="26"/>
      <c r="BK1796" s="26"/>
      <c r="BL1796" s="26"/>
      <c r="BS1796" s="20"/>
      <c r="BT1796" s="26"/>
      <c r="BU1796" s="381"/>
      <c r="BV1796" s="381"/>
      <c r="BW1796" s="229"/>
    </row>
    <row r="1797" spans="33:75" x14ac:dyDescent="0.2">
      <c r="AG1797" s="294"/>
      <c r="AH1797" s="294"/>
      <c r="AI1797" s="294"/>
      <c r="AJ1797" s="26"/>
      <c r="AK1797" s="374"/>
      <c r="AL1797" s="374"/>
      <c r="AO1797" s="294"/>
      <c r="AR1797" s="374"/>
      <c r="AZ1797" s="374"/>
      <c r="BF1797" s="26"/>
      <c r="BG1797" s="26"/>
      <c r="BH1797" s="26"/>
      <c r="BI1797" s="26"/>
      <c r="BJ1797" s="26"/>
      <c r="BK1797" s="26"/>
      <c r="BL1797" s="26"/>
      <c r="BS1797" s="20"/>
      <c r="BT1797" s="26"/>
      <c r="BU1797" s="381"/>
      <c r="BV1797" s="381"/>
      <c r="BW1797" s="229"/>
    </row>
    <row r="1798" spans="33:75" x14ac:dyDescent="0.2">
      <c r="AG1798" s="294"/>
      <c r="AH1798" s="294"/>
      <c r="AI1798" s="294"/>
      <c r="AJ1798" s="26"/>
      <c r="AK1798" s="374"/>
      <c r="AL1798" s="374"/>
      <c r="AO1798" s="294"/>
      <c r="AR1798" s="374"/>
      <c r="AZ1798" s="374"/>
      <c r="BF1798" s="26"/>
      <c r="BG1798" s="26"/>
      <c r="BH1798" s="26"/>
      <c r="BI1798" s="26"/>
      <c r="BJ1798" s="26"/>
      <c r="BK1798" s="26"/>
      <c r="BL1798" s="26"/>
      <c r="BS1798" s="20"/>
      <c r="BT1798" s="26"/>
      <c r="BU1798" s="381"/>
      <c r="BV1798" s="381"/>
      <c r="BW1798" s="229"/>
    </row>
    <row r="1799" spans="33:75" x14ac:dyDescent="0.2">
      <c r="AG1799" s="294"/>
      <c r="AH1799" s="294"/>
      <c r="AI1799" s="294"/>
      <c r="AJ1799" s="26"/>
      <c r="AK1799" s="374"/>
      <c r="AL1799" s="374"/>
      <c r="AO1799" s="294"/>
      <c r="AR1799" s="374"/>
      <c r="AZ1799" s="374"/>
      <c r="BF1799" s="26"/>
      <c r="BG1799" s="26"/>
      <c r="BH1799" s="26"/>
      <c r="BI1799" s="26"/>
      <c r="BJ1799" s="26"/>
      <c r="BK1799" s="26"/>
      <c r="BL1799" s="26"/>
      <c r="BS1799" s="20"/>
      <c r="BT1799" s="26"/>
      <c r="BU1799" s="381"/>
      <c r="BV1799" s="381"/>
      <c r="BW1799" s="229"/>
    </row>
    <row r="1800" spans="33:75" x14ac:dyDescent="0.2">
      <c r="AG1800" s="294"/>
      <c r="AH1800" s="294"/>
      <c r="AI1800" s="294"/>
      <c r="AJ1800" s="26"/>
      <c r="AK1800" s="374"/>
      <c r="AL1800" s="374"/>
      <c r="AO1800" s="294"/>
      <c r="AR1800" s="374"/>
      <c r="AZ1800" s="374"/>
      <c r="BF1800" s="26"/>
      <c r="BG1800" s="26"/>
      <c r="BH1800" s="26"/>
      <c r="BI1800" s="26"/>
      <c r="BJ1800" s="26"/>
      <c r="BK1800" s="26"/>
      <c r="BL1800" s="26"/>
      <c r="BS1800" s="20"/>
      <c r="BT1800" s="26"/>
      <c r="BU1800" s="381"/>
      <c r="BV1800" s="381"/>
      <c r="BW1800" s="229"/>
    </row>
    <row r="1801" spans="33:75" x14ac:dyDescent="0.2">
      <c r="AG1801" s="294"/>
      <c r="AH1801" s="294"/>
      <c r="AI1801" s="294"/>
      <c r="AJ1801" s="26"/>
      <c r="AK1801" s="374"/>
      <c r="AL1801" s="374"/>
      <c r="AO1801" s="294"/>
      <c r="AR1801" s="374"/>
      <c r="AZ1801" s="374"/>
      <c r="BF1801" s="26"/>
      <c r="BG1801" s="26"/>
      <c r="BH1801" s="26"/>
      <c r="BI1801" s="26"/>
      <c r="BJ1801" s="26"/>
      <c r="BK1801" s="26"/>
      <c r="BL1801" s="26"/>
      <c r="BS1801" s="20"/>
      <c r="BT1801" s="26"/>
      <c r="BU1801" s="381"/>
      <c r="BV1801" s="381"/>
      <c r="BW1801" s="229"/>
    </row>
    <row r="1802" spans="33:75" x14ac:dyDescent="0.2">
      <c r="AG1802" s="294"/>
      <c r="AH1802" s="294"/>
      <c r="AI1802" s="294"/>
      <c r="AJ1802" s="26"/>
      <c r="AK1802" s="374"/>
      <c r="AL1802" s="374"/>
      <c r="AO1802" s="294"/>
      <c r="AR1802" s="374"/>
      <c r="AZ1802" s="374"/>
      <c r="BF1802" s="26"/>
      <c r="BG1802" s="26"/>
      <c r="BH1802" s="26"/>
      <c r="BI1802" s="26"/>
      <c r="BJ1802" s="26"/>
      <c r="BK1802" s="26"/>
      <c r="BL1802" s="26"/>
      <c r="BS1802" s="20"/>
      <c r="BT1802" s="26"/>
      <c r="BU1802" s="381"/>
      <c r="BV1802" s="381"/>
      <c r="BW1802" s="229"/>
    </row>
    <row r="1803" spans="33:75" x14ac:dyDescent="0.2">
      <c r="AG1803" s="294"/>
      <c r="AH1803" s="294"/>
      <c r="AI1803" s="294"/>
      <c r="AJ1803" s="26"/>
      <c r="AK1803" s="374"/>
      <c r="AL1803" s="374"/>
      <c r="AO1803" s="294"/>
      <c r="AR1803" s="374"/>
      <c r="AZ1803" s="374"/>
      <c r="BF1803" s="26"/>
      <c r="BG1803" s="26"/>
      <c r="BH1803" s="26"/>
      <c r="BI1803" s="26"/>
      <c r="BJ1803" s="26"/>
      <c r="BK1803" s="26"/>
      <c r="BL1803" s="26"/>
      <c r="BS1803" s="20"/>
      <c r="BT1803" s="26"/>
      <c r="BU1803" s="381"/>
      <c r="BV1803" s="381"/>
      <c r="BW1803" s="229"/>
    </row>
    <row r="1804" spans="33:75" x14ac:dyDescent="0.2">
      <c r="AG1804" s="294"/>
      <c r="AH1804" s="294"/>
      <c r="AI1804" s="294"/>
      <c r="AJ1804" s="26"/>
      <c r="AK1804" s="374"/>
      <c r="AL1804" s="374"/>
      <c r="AO1804" s="294"/>
      <c r="AR1804" s="374"/>
      <c r="AZ1804" s="374"/>
      <c r="BF1804" s="26"/>
      <c r="BG1804" s="26"/>
      <c r="BH1804" s="26"/>
      <c r="BI1804" s="26"/>
      <c r="BJ1804" s="26"/>
      <c r="BK1804" s="26"/>
      <c r="BL1804" s="26"/>
      <c r="BS1804" s="20"/>
      <c r="BT1804" s="26"/>
      <c r="BU1804" s="381"/>
      <c r="BV1804" s="381"/>
      <c r="BW1804" s="229"/>
    </row>
    <row r="1805" spans="33:75" x14ac:dyDescent="0.2">
      <c r="AG1805" s="294"/>
      <c r="AH1805" s="294"/>
      <c r="AI1805" s="294"/>
      <c r="AJ1805" s="26"/>
      <c r="AK1805" s="374"/>
      <c r="AL1805" s="374"/>
      <c r="AO1805" s="294"/>
      <c r="AR1805" s="374"/>
      <c r="AZ1805" s="374"/>
      <c r="BF1805" s="26"/>
      <c r="BG1805" s="26"/>
      <c r="BH1805" s="26"/>
      <c r="BI1805" s="26"/>
      <c r="BJ1805" s="26"/>
      <c r="BK1805" s="26"/>
      <c r="BL1805" s="26"/>
      <c r="BS1805" s="20"/>
      <c r="BT1805" s="26"/>
      <c r="BU1805" s="381"/>
      <c r="BV1805" s="381"/>
      <c r="BW1805" s="229"/>
    </row>
    <row r="1806" spans="33:75" x14ac:dyDescent="0.2">
      <c r="AG1806" s="294"/>
      <c r="AH1806" s="294"/>
      <c r="AI1806" s="294"/>
      <c r="AJ1806" s="26"/>
      <c r="AK1806" s="374"/>
      <c r="AL1806" s="374"/>
      <c r="AO1806" s="294"/>
      <c r="AR1806" s="374"/>
      <c r="AZ1806" s="374"/>
      <c r="BF1806" s="26"/>
      <c r="BG1806" s="26"/>
      <c r="BH1806" s="26"/>
      <c r="BI1806" s="26"/>
      <c r="BJ1806" s="26"/>
      <c r="BK1806" s="26"/>
      <c r="BL1806" s="26"/>
      <c r="BS1806" s="20"/>
      <c r="BT1806" s="26"/>
      <c r="BU1806" s="381"/>
      <c r="BV1806" s="381"/>
      <c r="BW1806" s="229"/>
    </row>
    <row r="1807" spans="33:75" x14ac:dyDescent="0.2">
      <c r="AG1807" s="294"/>
      <c r="AH1807" s="294"/>
      <c r="AI1807" s="294"/>
      <c r="AJ1807" s="26"/>
      <c r="AK1807" s="374"/>
      <c r="AL1807" s="374"/>
      <c r="AO1807" s="294"/>
      <c r="AR1807" s="374"/>
      <c r="AZ1807" s="374"/>
      <c r="BF1807" s="26"/>
      <c r="BG1807" s="26"/>
      <c r="BH1807" s="26"/>
      <c r="BI1807" s="26"/>
      <c r="BJ1807" s="26"/>
      <c r="BK1807" s="26"/>
      <c r="BL1807" s="26"/>
      <c r="BS1807" s="20"/>
      <c r="BT1807" s="26"/>
      <c r="BU1807" s="381"/>
      <c r="BV1807" s="381"/>
      <c r="BW1807" s="229"/>
    </row>
    <row r="1808" spans="33:75" x14ac:dyDescent="0.2">
      <c r="AG1808" s="294"/>
      <c r="AH1808" s="294"/>
      <c r="AI1808" s="294"/>
      <c r="AJ1808" s="26"/>
      <c r="AK1808" s="374"/>
      <c r="AL1808" s="374"/>
      <c r="AO1808" s="294"/>
      <c r="AR1808" s="374"/>
      <c r="AZ1808" s="374"/>
      <c r="BF1808" s="26"/>
      <c r="BG1808" s="26"/>
      <c r="BH1808" s="26"/>
      <c r="BI1808" s="26"/>
      <c r="BJ1808" s="26"/>
      <c r="BK1808" s="26"/>
      <c r="BL1808" s="26"/>
      <c r="BS1808" s="20"/>
      <c r="BT1808" s="26"/>
      <c r="BU1808" s="381"/>
      <c r="BV1808" s="381"/>
      <c r="BW1808" s="229"/>
    </row>
    <row r="1809" spans="33:75" x14ac:dyDescent="0.2">
      <c r="AG1809" s="294"/>
      <c r="AH1809" s="294"/>
      <c r="AI1809" s="294"/>
      <c r="AJ1809" s="26"/>
      <c r="AK1809" s="374"/>
      <c r="AL1809" s="374"/>
      <c r="AO1809" s="294"/>
      <c r="AR1809" s="374"/>
      <c r="AZ1809" s="374"/>
      <c r="BF1809" s="26"/>
      <c r="BG1809" s="26"/>
      <c r="BH1809" s="26"/>
      <c r="BI1809" s="26"/>
      <c r="BJ1809" s="26"/>
      <c r="BK1809" s="26"/>
      <c r="BL1809" s="26"/>
      <c r="BS1809" s="20"/>
      <c r="BT1809" s="26"/>
      <c r="BU1809" s="381"/>
      <c r="BV1809" s="381"/>
      <c r="BW1809" s="229"/>
    </row>
    <row r="1810" spans="33:75" x14ac:dyDescent="0.2">
      <c r="AG1810" s="294"/>
      <c r="AH1810" s="294"/>
      <c r="AI1810" s="294"/>
      <c r="AJ1810" s="26"/>
      <c r="AK1810" s="374"/>
      <c r="AL1810" s="374"/>
      <c r="AO1810" s="294"/>
      <c r="AR1810" s="374"/>
      <c r="AZ1810" s="374"/>
      <c r="BF1810" s="26"/>
      <c r="BG1810" s="26"/>
      <c r="BH1810" s="26"/>
      <c r="BI1810" s="26"/>
      <c r="BJ1810" s="26"/>
      <c r="BK1810" s="26"/>
      <c r="BL1810" s="26"/>
      <c r="BS1810" s="20"/>
      <c r="BT1810" s="26"/>
      <c r="BU1810" s="381"/>
      <c r="BV1810" s="381"/>
      <c r="BW1810" s="229"/>
    </row>
    <row r="1811" spans="33:75" x14ac:dyDescent="0.2">
      <c r="AG1811" s="294"/>
      <c r="AH1811" s="294"/>
      <c r="AI1811" s="294"/>
      <c r="AJ1811" s="26"/>
      <c r="AK1811" s="374"/>
      <c r="AL1811" s="374"/>
      <c r="AO1811" s="294"/>
      <c r="AR1811" s="374"/>
      <c r="AZ1811" s="374"/>
      <c r="BF1811" s="26"/>
      <c r="BG1811" s="26"/>
      <c r="BH1811" s="26"/>
      <c r="BI1811" s="26"/>
      <c r="BJ1811" s="26"/>
      <c r="BK1811" s="26"/>
      <c r="BL1811" s="26"/>
      <c r="BS1811" s="20"/>
      <c r="BT1811" s="26"/>
      <c r="BU1811" s="381"/>
      <c r="BV1811" s="381"/>
      <c r="BW1811" s="229"/>
    </row>
    <row r="1812" spans="33:75" x14ac:dyDescent="0.2">
      <c r="AG1812" s="294"/>
      <c r="AH1812" s="294"/>
      <c r="AI1812" s="294"/>
      <c r="AJ1812" s="26"/>
      <c r="AK1812" s="374"/>
      <c r="AL1812" s="374"/>
      <c r="AO1812" s="294"/>
      <c r="AR1812" s="374"/>
      <c r="AZ1812" s="374"/>
      <c r="BF1812" s="26"/>
      <c r="BG1812" s="26"/>
      <c r="BH1812" s="26"/>
      <c r="BI1812" s="26"/>
      <c r="BJ1812" s="26"/>
      <c r="BK1812" s="26"/>
      <c r="BL1812" s="26"/>
      <c r="BS1812" s="20"/>
      <c r="BT1812" s="26"/>
      <c r="BU1812" s="381"/>
      <c r="BV1812" s="381"/>
      <c r="BW1812" s="229"/>
    </row>
    <row r="1813" spans="33:75" x14ac:dyDescent="0.2">
      <c r="AG1813" s="294"/>
      <c r="AH1813" s="294"/>
      <c r="AI1813" s="294"/>
      <c r="AJ1813" s="26"/>
      <c r="AK1813" s="374"/>
      <c r="AL1813" s="374"/>
      <c r="AO1813" s="294"/>
      <c r="AR1813" s="374"/>
      <c r="AZ1813" s="374"/>
      <c r="BF1813" s="26"/>
      <c r="BG1813" s="26"/>
      <c r="BH1813" s="26"/>
      <c r="BI1813" s="26"/>
      <c r="BJ1813" s="26"/>
      <c r="BK1813" s="26"/>
      <c r="BL1813" s="26"/>
      <c r="BS1813" s="20"/>
      <c r="BT1813" s="26"/>
      <c r="BU1813" s="381"/>
      <c r="BV1813" s="381"/>
      <c r="BW1813" s="229"/>
    </row>
    <row r="1814" spans="33:75" x14ac:dyDescent="0.2">
      <c r="AG1814" s="294"/>
      <c r="AH1814" s="294"/>
      <c r="AI1814" s="294"/>
      <c r="AJ1814" s="26"/>
      <c r="AK1814" s="374"/>
      <c r="AL1814" s="374"/>
      <c r="AO1814" s="294"/>
      <c r="AR1814" s="374"/>
      <c r="AZ1814" s="374"/>
      <c r="BF1814" s="26"/>
      <c r="BG1814" s="26"/>
      <c r="BH1814" s="26"/>
      <c r="BI1814" s="26"/>
      <c r="BJ1814" s="26"/>
      <c r="BK1814" s="26"/>
      <c r="BL1814" s="26"/>
      <c r="BS1814" s="20"/>
      <c r="BT1814" s="26"/>
      <c r="BU1814" s="381"/>
      <c r="BV1814" s="381"/>
      <c r="BW1814" s="229"/>
    </row>
    <row r="1815" spans="33:75" x14ac:dyDescent="0.2">
      <c r="AG1815" s="294"/>
      <c r="AH1815" s="294"/>
      <c r="AI1815" s="294"/>
      <c r="AJ1815" s="26"/>
      <c r="AK1815" s="374"/>
      <c r="AL1815" s="374"/>
      <c r="AO1815" s="294"/>
      <c r="AR1815" s="374"/>
      <c r="AZ1815" s="374"/>
      <c r="BF1815" s="26"/>
      <c r="BG1815" s="26"/>
      <c r="BH1815" s="26"/>
      <c r="BI1815" s="26"/>
      <c r="BJ1815" s="26"/>
      <c r="BK1815" s="26"/>
      <c r="BL1815" s="26"/>
      <c r="BS1815" s="20"/>
      <c r="BT1815" s="26"/>
      <c r="BU1815" s="381"/>
      <c r="BV1815" s="381"/>
      <c r="BW1815" s="229"/>
    </row>
    <row r="1816" spans="33:75" x14ac:dyDescent="0.2">
      <c r="AG1816" s="294"/>
      <c r="AH1816" s="294"/>
      <c r="AI1816" s="294"/>
      <c r="AJ1816" s="26"/>
      <c r="AK1816" s="374"/>
      <c r="AL1816" s="374"/>
      <c r="AO1816" s="294"/>
      <c r="AR1816" s="374"/>
      <c r="AZ1816" s="374"/>
      <c r="BF1816" s="26"/>
      <c r="BG1816" s="26"/>
      <c r="BH1816" s="26"/>
      <c r="BI1816" s="26"/>
      <c r="BJ1816" s="26"/>
      <c r="BK1816" s="26"/>
      <c r="BL1816" s="26"/>
      <c r="BS1816" s="20"/>
      <c r="BT1816" s="26"/>
      <c r="BU1816" s="381"/>
      <c r="BV1816" s="381"/>
      <c r="BW1816" s="229"/>
    </row>
    <row r="1817" spans="33:75" x14ac:dyDescent="0.2">
      <c r="AG1817" s="294"/>
      <c r="AH1817" s="294"/>
      <c r="AI1817" s="294"/>
      <c r="AJ1817" s="26"/>
      <c r="AK1817" s="374"/>
      <c r="AL1817" s="374"/>
      <c r="AO1817" s="294"/>
      <c r="AR1817" s="374"/>
      <c r="AZ1817" s="374"/>
      <c r="BF1817" s="26"/>
      <c r="BG1817" s="26"/>
      <c r="BH1817" s="26"/>
      <c r="BI1817" s="26"/>
      <c r="BJ1817" s="26"/>
      <c r="BK1817" s="26"/>
      <c r="BL1817" s="26"/>
      <c r="BS1817" s="20"/>
      <c r="BT1817" s="26"/>
      <c r="BU1817" s="381"/>
      <c r="BV1817" s="381"/>
      <c r="BW1817" s="229"/>
    </row>
    <row r="1818" spans="33:75" x14ac:dyDescent="0.2">
      <c r="AG1818" s="294"/>
      <c r="AH1818" s="294"/>
      <c r="AI1818" s="294"/>
      <c r="AJ1818" s="26"/>
      <c r="AK1818" s="374"/>
      <c r="AL1818" s="374"/>
      <c r="AO1818" s="294"/>
      <c r="AR1818" s="374"/>
      <c r="AZ1818" s="374"/>
      <c r="BF1818" s="26"/>
      <c r="BG1818" s="26"/>
      <c r="BH1818" s="26"/>
      <c r="BI1818" s="26"/>
      <c r="BJ1818" s="26"/>
      <c r="BK1818" s="26"/>
      <c r="BL1818" s="26"/>
      <c r="BS1818" s="20"/>
      <c r="BT1818" s="26"/>
      <c r="BU1818" s="381"/>
      <c r="BV1818" s="381"/>
      <c r="BW1818" s="229"/>
    </row>
    <row r="1819" spans="33:75" x14ac:dyDescent="0.2">
      <c r="AG1819" s="294"/>
      <c r="AH1819" s="294"/>
      <c r="AI1819" s="294"/>
      <c r="AJ1819" s="26"/>
      <c r="AK1819" s="374"/>
      <c r="AL1819" s="374"/>
      <c r="AO1819" s="294"/>
      <c r="AR1819" s="374"/>
      <c r="AZ1819" s="374"/>
      <c r="BF1819" s="26"/>
      <c r="BG1819" s="26"/>
      <c r="BH1819" s="26"/>
      <c r="BI1819" s="26"/>
      <c r="BJ1819" s="26"/>
      <c r="BK1819" s="26"/>
      <c r="BL1819" s="26"/>
      <c r="BS1819" s="20"/>
      <c r="BT1819" s="26"/>
      <c r="BU1819" s="381"/>
      <c r="BV1819" s="381"/>
      <c r="BW1819" s="229"/>
    </row>
    <row r="1820" spans="33:75" x14ac:dyDescent="0.2">
      <c r="AG1820" s="294"/>
      <c r="AH1820" s="294"/>
      <c r="AI1820" s="294"/>
      <c r="AJ1820" s="26"/>
      <c r="AK1820" s="374"/>
      <c r="AL1820" s="374"/>
      <c r="AO1820" s="294"/>
      <c r="AR1820" s="374"/>
      <c r="AZ1820" s="374"/>
      <c r="BF1820" s="26"/>
      <c r="BG1820" s="26"/>
      <c r="BH1820" s="26"/>
      <c r="BI1820" s="26"/>
      <c r="BJ1820" s="26"/>
      <c r="BK1820" s="26"/>
      <c r="BL1820" s="26"/>
      <c r="BS1820" s="20"/>
      <c r="BT1820" s="26"/>
      <c r="BU1820" s="381"/>
      <c r="BV1820" s="381"/>
      <c r="BW1820" s="229"/>
    </row>
    <row r="1821" spans="33:75" x14ac:dyDescent="0.2">
      <c r="AG1821" s="294"/>
      <c r="AH1821" s="294"/>
      <c r="AI1821" s="294"/>
      <c r="AJ1821" s="26"/>
      <c r="AK1821" s="374"/>
      <c r="AL1821" s="374"/>
      <c r="AO1821" s="294"/>
      <c r="AR1821" s="374"/>
      <c r="AZ1821" s="374"/>
      <c r="BF1821" s="26"/>
      <c r="BG1821" s="26"/>
      <c r="BH1821" s="26"/>
      <c r="BI1821" s="26"/>
      <c r="BJ1821" s="26"/>
      <c r="BK1821" s="26"/>
      <c r="BL1821" s="26"/>
      <c r="BS1821" s="20"/>
      <c r="BT1821" s="26"/>
      <c r="BU1821" s="381"/>
      <c r="BV1821" s="381"/>
      <c r="BW1821" s="229"/>
    </row>
    <row r="1822" spans="33:75" x14ac:dyDescent="0.2">
      <c r="AG1822" s="294"/>
      <c r="AH1822" s="294"/>
      <c r="AI1822" s="294"/>
      <c r="AJ1822" s="26"/>
      <c r="AK1822" s="374"/>
      <c r="AL1822" s="374"/>
      <c r="AO1822" s="294"/>
      <c r="AR1822" s="374"/>
      <c r="AZ1822" s="374"/>
      <c r="BF1822" s="26"/>
      <c r="BG1822" s="26"/>
      <c r="BH1822" s="26"/>
      <c r="BI1822" s="26"/>
      <c r="BJ1822" s="26"/>
      <c r="BK1822" s="26"/>
      <c r="BL1822" s="26"/>
      <c r="BS1822" s="20"/>
      <c r="BT1822" s="26"/>
      <c r="BU1822" s="381"/>
      <c r="BV1822" s="381"/>
      <c r="BW1822" s="229"/>
    </row>
    <row r="1823" spans="33:75" x14ac:dyDescent="0.2">
      <c r="AG1823" s="294"/>
      <c r="AH1823" s="294"/>
      <c r="AI1823" s="294"/>
      <c r="AJ1823" s="26"/>
      <c r="AK1823" s="374"/>
      <c r="AL1823" s="374"/>
      <c r="AO1823" s="294"/>
      <c r="AR1823" s="374"/>
      <c r="AZ1823" s="374"/>
      <c r="BF1823" s="26"/>
      <c r="BG1823" s="26"/>
      <c r="BH1823" s="26"/>
      <c r="BI1823" s="26"/>
      <c r="BJ1823" s="26"/>
      <c r="BK1823" s="26"/>
      <c r="BL1823" s="26"/>
      <c r="BS1823" s="20"/>
      <c r="BT1823" s="26"/>
      <c r="BU1823" s="381"/>
      <c r="BV1823" s="381"/>
      <c r="BW1823" s="229"/>
    </row>
    <row r="1824" spans="33:75" x14ac:dyDescent="0.2">
      <c r="AG1824" s="294"/>
      <c r="AH1824" s="294"/>
      <c r="AI1824" s="294"/>
      <c r="AJ1824" s="26"/>
      <c r="AK1824" s="374"/>
      <c r="AL1824" s="374"/>
      <c r="AO1824" s="294"/>
      <c r="AR1824" s="374"/>
      <c r="AZ1824" s="374"/>
      <c r="BF1824" s="26"/>
      <c r="BG1824" s="26"/>
      <c r="BH1824" s="26"/>
      <c r="BI1824" s="26"/>
      <c r="BJ1824" s="26"/>
      <c r="BK1824" s="26"/>
      <c r="BL1824" s="26"/>
      <c r="BS1824" s="20"/>
      <c r="BT1824" s="26"/>
      <c r="BU1824" s="381"/>
      <c r="BV1824" s="381"/>
      <c r="BW1824" s="229"/>
    </row>
    <row r="1825" spans="33:75" x14ac:dyDescent="0.2">
      <c r="AG1825" s="294"/>
      <c r="AH1825" s="294"/>
      <c r="AI1825" s="294"/>
      <c r="AJ1825" s="26"/>
      <c r="AK1825" s="374"/>
      <c r="AL1825" s="374"/>
      <c r="AO1825" s="294"/>
      <c r="AR1825" s="374"/>
      <c r="AZ1825" s="374"/>
      <c r="BF1825" s="26"/>
      <c r="BG1825" s="26"/>
      <c r="BH1825" s="26"/>
      <c r="BI1825" s="26"/>
      <c r="BJ1825" s="26"/>
      <c r="BK1825" s="26"/>
      <c r="BL1825" s="26"/>
      <c r="BS1825" s="20"/>
      <c r="BT1825" s="26"/>
      <c r="BU1825" s="381"/>
      <c r="BV1825" s="381"/>
      <c r="BW1825" s="229"/>
    </row>
    <row r="1826" spans="33:75" x14ac:dyDescent="0.2">
      <c r="AG1826" s="294"/>
      <c r="AH1826" s="294"/>
      <c r="AI1826" s="294"/>
      <c r="AJ1826" s="26"/>
      <c r="AK1826" s="374"/>
      <c r="AL1826" s="374"/>
      <c r="AO1826" s="294"/>
      <c r="AR1826" s="374"/>
      <c r="AZ1826" s="374"/>
      <c r="BF1826" s="26"/>
      <c r="BG1826" s="26"/>
      <c r="BH1826" s="26"/>
      <c r="BI1826" s="26"/>
      <c r="BJ1826" s="26"/>
      <c r="BK1826" s="26"/>
      <c r="BL1826" s="26"/>
      <c r="BS1826" s="20"/>
      <c r="BT1826" s="26"/>
      <c r="BU1826" s="381"/>
      <c r="BV1826" s="381"/>
      <c r="BW1826" s="229"/>
    </row>
    <row r="1827" spans="33:75" x14ac:dyDescent="0.2">
      <c r="AG1827" s="294"/>
      <c r="AH1827" s="294"/>
      <c r="AI1827" s="294"/>
      <c r="AJ1827" s="26"/>
      <c r="AK1827" s="374"/>
      <c r="AL1827" s="374"/>
      <c r="AO1827" s="294"/>
      <c r="AR1827" s="374"/>
      <c r="AZ1827" s="374"/>
      <c r="BF1827" s="26"/>
      <c r="BG1827" s="26"/>
      <c r="BH1827" s="26"/>
      <c r="BI1827" s="26"/>
      <c r="BJ1827" s="26"/>
      <c r="BK1827" s="26"/>
      <c r="BL1827" s="26"/>
      <c r="BS1827" s="20"/>
      <c r="BT1827" s="26"/>
      <c r="BU1827" s="381"/>
      <c r="BV1827" s="381"/>
      <c r="BW1827" s="229"/>
    </row>
    <row r="1828" spans="33:75" x14ac:dyDescent="0.2">
      <c r="AG1828" s="294"/>
      <c r="AH1828" s="294"/>
      <c r="AI1828" s="294"/>
      <c r="AJ1828" s="26"/>
      <c r="AK1828" s="374"/>
      <c r="AL1828" s="374"/>
      <c r="AO1828" s="294"/>
      <c r="AR1828" s="374"/>
      <c r="AZ1828" s="374"/>
      <c r="BF1828" s="26"/>
      <c r="BG1828" s="26"/>
      <c r="BH1828" s="26"/>
      <c r="BI1828" s="26"/>
      <c r="BJ1828" s="26"/>
      <c r="BK1828" s="26"/>
      <c r="BL1828" s="26"/>
      <c r="BS1828" s="20"/>
      <c r="BT1828" s="26"/>
      <c r="BU1828" s="381"/>
      <c r="BV1828" s="381"/>
      <c r="BW1828" s="229"/>
    </row>
    <row r="1829" spans="33:75" x14ac:dyDescent="0.2">
      <c r="AG1829" s="294"/>
      <c r="AH1829" s="294"/>
      <c r="AI1829" s="294"/>
      <c r="AJ1829" s="26"/>
      <c r="AK1829" s="374"/>
      <c r="AL1829" s="374"/>
      <c r="AO1829" s="294"/>
      <c r="AR1829" s="374"/>
      <c r="AZ1829" s="374"/>
      <c r="BF1829" s="26"/>
      <c r="BG1829" s="26"/>
      <c r="BH1829" s="26"/>
      <c r="BI1829" s="26"/>
      <c r="BJ1829" s="26"/>
      <c r="BK1829" s="26"/>
      <c r="BL1829" s="26"/>
      <c r="BS1829" s="20"/>
      <c r="BT1829" s="26"/>
      <c r="BU1829" s="381"/>
      <c r="BV1829" s="381"/>
      <c r="BW1829" s="229"/>
    </row>
    <row r="1830" spans="33:75" x14ac:dyDescent="0.2">
      <c r="AG1830" s="294"/>
      <c r="AH1830" s="294"/>
      <c r="AI1830" s="294"/>
      <c r="AJ1830" s="26"/>
      <c r="AK1830" s="374"/>
      <c r="AL1830" s="374"/>
      <c r="AO1830" s="294"/>
      <c r="AR1830" s="374"/>
      <c r="AZ1830" s="374"/>
      <c r="BF1830" s="26"/>
      <c r="BG1830" s="26"/>
      <c r="BH1830" s="26"/>
      <c r="BI1830" s="26"/>
      <c r="BJ1830" s="26"/>
      <c r="BK1830" s="26"/>
      <c r="BL1830" s="26"/>
      <c r="BS1830" s="20"/>
      <c r="BT1830" s="26"/>
      <c r="BU1830" s="381"/>
      <c r="BV1830" s="381"/>
      <c r="BW1830" s="229"/>
    </row>
    <row r="1831" spans="33:75" x14ac:dyDescent="0.2">
      <c r="AG1831" s="294"/>
      <c r="AH1831" s="294"/>
      <c r="AI1831" s="294"/>
      <c r="AJ1831" s="26"/>
      <c r="AK1831" s="374"/>
      <c r="AL1831" s="374"/>
      <c r="AO1831" s="294"/>
      <c r="AR1831" s="374"/>
      <c r="AZ1831" s="374"/>
      <c r="BF1831" s="26"/>
      <c r="BG1831" s="26"/>
      <c r="BH1831" s="26"/>
      <c r="BI1831" s="26"/>
      <c r="BJ1831" s="26"/>
      <c r="BK1831" s="26"/>
      <c r="BL1831" s="26"/>
      <c r="BS1831" s="20"/>
      <c r="BT1831" s="26"/>
      <c r="BU1831" s="381"/>
      <c r="BV1831" s="381"/>
      <c r="BW1831" s="229"/>
    </row>
    <row r="1832" spans="33:75" x14ac:dyDescent="0.2">
      <c r="AG1832" s="294"/>
      <c r="AH1832" s="294"/>
      <c r="AI1832" s="294"/>
      <c r="AJ1832" s="26"/>
      <c r="AK1832" s="374"/>
      <c r="AL1832" s="374"/>
      <c r="AO1832" s="294"/>
      <c r="AR1832" s="374"/>
      <c r="AZ1832" s="374"/>
      <c r="BF1832" s="26"/>
      <c r="BG1832" s="26"/>
      <c r="BH1832" s="26"/>
      <c r="BI1832" s="26"/>
      <c r="BJ1832" s="26"/>
      <c r="BK1832" s="26"/>
      <c r="BL1832" s="26"/>
      <c r="BS1832" s="20"/>
      <c r="BT1832" s="26"/>
      <c r="BU1832" s="381"/>
      <c r="BV1832" s="381"/>
      <c r="BW1832" s="229"/>
    </row>
    <row r="1833" spans="33:75" x14ac:dyDescent="0.2">
      <c r="AG1833" s="294"/>
      <c r="AH1833" s="294"/>
      <c r="AI1833" s="294"/>
      <c r="AJ1833" s="26"/>
      <c r="AK1833" s="374"/>
      <c r="AL1833" s="374"/>
      <c r="AO1833" s="294"/>
      <c r="AR1833" s="374"/>
      <c r="AZ1833" s="374"/>
      <c r="BF1833" s="26"/>
      <c r="BG1833" s="26"/>
      <c r="BH1833" s="26"/>
      <c r="BI1833" s="26"/>
      <c r="BJ1833" s="26"/>
      <c r="BK1833" s="26"/>
      <c r="BL1833" s="26"/>
      <c r="BS1833" s="20"/>
      <c r="BT1833" s="26"/>
      <c r="BU1833" s="381"/>
      <c r="BV1833" s="381"/>
      <c r="BW1833" s="229"/>
    </row>
    <row r="1834" spans="33:75" x14ac:dyDescent="0.2">
      <c r="AG1834" s="294"/>
      <c r="AH1834" s="294"/>
      <c r="AI1834" s="294"/>
      <c r="AJ1834" s="26"/>
      <c r="AK1834" s="374"/>
      <c r="AL1834" s="374"/>
      <c r="AO1834" s="294"/>
      <c r="AR1834" s="374"/>
      <c r="AZ1834" s="374"/>
      <c r="BF1834" s="26"/>
      <c r="BG1834" s="26"/>
      <c r="BH1834" s="26"/>
      <c r="BI1834" s="26"/>
      <c r="BJ1834" s="26"/>
      <c r="BK1834" s="26"/>
      <c r="BL1834" s="26"/>
      <c r="BS1834" s="20"/>
      <c r="BT1834" s="26"/>
      <c r="BU1834" s="381"/>
      <c r="BV1834" s="381"/>
      <c r="BW1834" s="229"/>
    </row>
    <row r="1835" spans="33:75" x14ac:dyDescent="0.2">
      <c r="AG1835" s="294"/>
      <c r="AH1835" s="294"/>
      <c r="AI1835" s="294"/>
      <c r="AJ1835" s="26"/>
      <c r="AK1835" s="374"/>
      <c r="AL1835" s="374"/>
      <c r="AO1835" s="294"/>
      <c r="AR1835" s="374"/>
      <c r="AZ1835" s="374"/>
      <c r="BF1835" s="26"/>
      <c r="BG1835" s="26"/>
      <c r="BH1835" s="26"/>
      <c r="BI1835" s="26"/>
      <c r="BJ1835" s="26"/>
      <c r="BK1835" s="26"/>
      <c r="BL1835" s="26"/>
      <c r="BS1835" s="20"/>
      <c r="BT1835" s="26"/>
      <c r="BU1835" s="381"/>
      <c r="BV1835" s="381"/>
      <c r="BW1835" s="229"/>
    </row>
    <row r="1836" spans="33:75" x14ac:dyDescent="0.2">
      <c r="AG1836" s="294"/>
      <c r="AH1836" s="294"/>
      <c r="AI1836" s="294"/>
      <c r="AJ1836" s="26"/>
      <c r="AK1836" s="374"/>
      <c r="AL1836" s="374"/>
      <c r="AO1836" s="294"/>
      <c r="AR1836" s="374"/>
      <c r="AZ1836" s="374"/>
      <c r="BF1836" s="26"/>
      <c r="BG1836" s="26"/>
      <c r="BH1836" s="26"/>
      <c r="BI1836" s="26"/>
      <c r="BJ1836" s="26"/>
      <c r="BK1836" s="26"/>
      <c r="BL1836" s="26"/>
      <c r="BS1836" s="20"/>
      <c r="BT1836" s="26"/>
      <c r="BU1836" s="381"/>
      <c r="BV1836" s="381"/>
      <c r="BW1836" s="229"/>
    </row>
    <row r="1837" spans="33:75" x14ac:dyDescent="0.2">
      <c r="AG1837" s="294"/>
      <c r="AH1837" s="294"/>
      <c r="AI1837" s="294"/>
      <c r="AJ1837" s="26"/>
      <c r="AK1837" s="374"/>
      <c r="AL1837" s="374"/>
      <c r="AO1837" s="294"/>
      <c r="AR1837" s="374"/>
      <c r="AZ1837" s="374"/>
      <c r="BF1837" s="26"/>
      <c r="BG1837" s="26"/>
      <c r="BH1837" s="26"/>
      <c r="BI1837" s="26"/>
      <c r="BJ1837" s="26"/>
      <c r="BK1837" s="26"/>
      <c r="BL1837" s="26"/>
      <c r="BS1837" s="20"/>
      <c r="BT1837" s="26"/>
      <c r="BU1837" s="381"/>
      <c r="BV1837" s="381"/>
      <c r="BW1837" s="229"/>
    </row>
    <row r="1838" spans="33:75" x14ac:dyDescent="0.2">
      <c r="AG1838" s="294"/>
      <c r="AH1838" s="294"/>
      <c r="AI1838" s="294"/>
      <c r="AJ1838" s="26"/>
      <c r="AK1838" s="374"/>
      <c r="AL1838" s="374"/>
      <c r="AO1838" s="294"/>
      <c r="AR1838" s="374"/>
      <c r="AZ1838" s="374"/>
      <c r="BF1838" s="26"/>
      <c r="BG1838" s="26"/>
      <c r="BH1838" s="26"/>
      <c r="BI1838" s="26"/>
      <c r="BJ1838" s="26"/>
      <c r="BK1838" s="26"/>
      <c r="BL1838" s="26"/>
      <c r="BS1838" s="20"/>
      <c r="BT1838" s="26"/>
      <c r="BU1838" s="381"/>
      <c r="BV1838" s="381"/>
      <c r="BW1838" s="229"/>
    </row>
    <row r="1839" spans="33:75" x14ac:dyDescent="0.2">
      <c r="AG1839" s="294"/>
      <c r="AH1839" s="294"/>
      <c r="AI1839" s="294"/>
      <c r="AJ1839" s="26"/>
      <c r="AK1839" s="374"/>
      <c r="AL1839" s="374"/>
      <c r="AO1839" s="294"/>
      <c r="AR1839" s="374"/>
      <c r="AZ1839" s="374"/>
      <c r="BF1839" s="26"/>
      <c r="BG1839" s="26"/>
      <c r="BH1839" s="26"/>
      <c r="BI1839" s="26"/>
      <c r="BJ1839" s="26"/>
      <c r="BK1839" s="26"/>
      <c r="BL1839" s="26"/>
      <c r="BS1839" s="20"/>
      <c r="BT1839" s="26"/>
      <c r="BU1839" s="381"/>
      <c r="BV1839" s="381"/>
      <c r="BW1839" s="229"/>
    </row>
    <row r="1840" spans="33:75" x14ac:dyDescent="0.2">
      <c r="AG1840" s="294"/>
      <c r="AH1840" s="294"/>
      <c r="AI1840" s="294"/>
      <c r="AJ1840" s="26"/>
      <c r="AK1840" s="374"/>
      <c r="AL1840" s="374"/>
      <c r="AO1840" s="294"/>
      <c r="AR1840" s="374"/>
      <c r="BF1840" s="26"/>
      <c r="BG1840" s="26"/>
      <c r="BH1840" s="26"/>
      <c r="BI1840" s="26"/>
      <c r="BJ1840" s="26"/>
      <c r="BK1840" s="26"/>
      <c r="BL1840" s="26"/>
      <c r="BS1840" s="20"/>
      <c r="BT1840" s="26"/>
      <c r="BU1840" s="381"/>
      <c r="BV1840" s="381"/>
      <c r="BW1840" s="229"/>
    </row>
    <row r="1841" spans="33:75" x14ac:dyDescent="0.2">
      <c r="AG1841" s="294"/>
      <c r="AH1841" s="294"/>
      <c r="AI1841" s="294"/>
      <c r="AJ1841" s="26"/>
      <c r="AK1841" s="374"/>
      <c r="AL1841" s="374"/>
      <c r="AO1841" s="294"/>
      <c r="AR1841" s="374"/>
      <c r="BF1841" s="26"/>
      <c r="BG1841" s="26"/>
      <c r="BH1841" s="26"/>
      <c r="BI1841" s="26"/>
      <c r="BJ1841" s="26"/>
      <c r="BK1841" s="26"/>
      <c r="BL1841" s="26"/>
      <c r="BS1841" s="20"/>
      <c r="BT1841" s="26"/>
      <c r="BU1841" s="381"/>
      <c r="BV1841" s="381"/>
      <c r="BW1841" s="229"/>
    </row>
    <row r="1842" spans="33:75" x14ac:dyDescent="0.2">
      <c r="AG1842" s="294"/>
      <c r="AH1842" s="294"/>
      <c r="AI1842" s="294"/>
      <c r="AJ1842" s="26"/>
      <c r="AK1842" s="374"/>
      <c r="AL1842" s="374"/>
      <c r="AO1842" s="294"/>
      <c r="AR1842" s="374"/>
      <c r="BF1842" s="26"/>
      <c r="BG1842" s="26"/>
      <c r="BH1842" s="26"/>
      <c r="BI1842" s="26"/>
      <c r="BJ1842" s="26"/>
      <c r="BK1842" s="26"/>
      <c r="BL1842" s="26"/>
      <c r="BS1842" s="20"/>
      <c r="BT1842" s="26"/>
      <c r="BU1842" s="381"/>
      <c r="BV1842" s="381"/>
      <c r="BW1842" s="229"/>
    </row>
    <row r="1843" spans="33:75" x14ac:dyDescent="0.2">
      <c r="AG1843" s="294"/>
      <c r="AH1843" s="294"/>
      <c r="AI1843" s="294"/>
      <c r="AJ1843" s="26"/>
      <c r="AK1843" s="374"/>
      <c r="AL1843" s="374"/>
      <c r="AO1843" s="294"/>
      <c r="AR1843" s="374"/>
      <c r="BF1843" s="26"/>
      <c r="BG1843" s="26"/>
      <c r="BH1843" s="26"/>
      <c r="BI1843" s="26"/>
      <c r="BJ1843" s="26"/>
      <c r="BK1843" s="26"/>
      <c r="BL1843" s="26"/>
      <c r="BS1843" s="20"/>
      <c r="BT1843" s="26"/>
      <c r="BU1843" s="381"/>
      <c r="BV1843" s="381"/>
      <c r="BW1843" s="229"/>
    </row>
    <row r="1844" spans="33:75" x14ac:dyDescent="0.2">
      <c r="AG1844" s="294"/>
      <c r="AH1844" s="294"/>
      <c r="AI1844" s="294"/>
      <c r="AJ1844" s="26"/>
      <c r="AK1844" s="374"/>
      <c r="AL1844" s="374"/>
      <c r="AO1844" s="294"/>
      <c r="AR1844" s="374"/>
      <c r="BF1844" s="26"/>
      <c r="BG1844" s="26"/>
      <c r="BH1844" s="26"/>
      <c r="BI1844" s="26"/>
      <c r="BJ1844" s="26"/>
      <c r="BK1844" s="26"/>
      <c r="BL1844" s="26"/>
      <c r="BS1844" s="20"/>
      <c r="BT1844" s="26"/>
      <c r="BU1844" s="381"/>
      <c r="BV1844" s="381"/>
      <c r="BW1844" s="229"/>
    </row>
    <row r="1845" spans="33:75" x14ac:dyDescent="0.2">
      <c r="AG1845" s="294"/>
      <c r="AH1845" s="294"/>
      <c r="AI1845" s="294"/>
      <c r="AJ1845" s="26"/>
      <c r="AK1845" s="374"/>
      <c r="AL1845" s="374"/>
      <c r="AO1845" s="294"/>
      <c r="AR1845" s="374"/>
      <c r="BF1845" s="26"/>
      <c r="BG1845" s="26"/>
      <c r="BH1845" s="26"/>
      <c r="BI1845" s="26"/>
      <c r="BJ1845" s="26"/>
      <c r="BK1845" s="26"/>
      <c r="BL1845" s="26"/>
      <c r="BS1845" s="20"/>
      <c r="BT1845" s="26"/>
      <c r="BU1845" s="381"/>
      <c r="BV1845" s="381"/>
      <c r="BW1845" s="229"/>
    </row>
    <row r="1846" spans="33:75" x14ac:dyDescent="0.2">
      <c r="AG1846" s="294"/>
      <c r="AH1846" s="294"/>
      <c r="AI1846" s="294"/>
      <c r="AJ1846" s="26"/>
      <c r="AK1846" s="374"/>
      <c r="AL1846" s="374"/>
      <c r="AO1846" s="294"/>
      <c r="AR1846" s="374"/>
      <c r="BF1846" s="26"/>
      <c r="BG1846" s="26"/>
      <c r="BH1846" s="26"/>
      <c r="BI1846" s="26"/>
      <c r="BJ1846" s="26"/>
      <c r="BK1846" s="26"/>
      <c r="BL1846" s="26"/>
      <c r="BS1846" s="20"/>
      <c r="BT1846" s="26"/>
      <c r="BU1846" s="381"/>
      <c r="BV1846" s="381"/>
      <c r="BW1846" s="229"/>
    </row>
    <row r="1847" spans="33:75" x14ac:dyDescent="0.2">
      <c r="AG1847" s="294"/>
      <c r="AH1847" s="294"/>
      <c r="AI1847" s="294"/>
      <c r="AJ1847" s="26"/>
      <c r="AK1847" s="374"/>
      <c r="AL1847" s="374"/>
      <c r="AO1847" s="294"/>
      <c r="AR1847" s="374"/>
      <c r="BF1847" s="26"/>
      <c r="BG1847" s="26"/>
      <c r="BH1847" s="26"/>
      <c r="BI1847" s="26"/>
      <c r="BJ1847" s="26"/>
      <c r="BK1847" s="26"/>
      <c r="BL1847" s="26"/>
      <c r="BS1847" s="20"/>
      <c r="BT1847" s="26"/>
      <c r="BU1847" s="381"/>
      <c r="BV1847" s="381"/>
      <c r="BW1847" s="229"/>
    </row>
    <row r="1848" spans="33:75" x14ac:dyDescent="0.2">
      <c r="AG1848" s="294"/>
      <c r="AH1848" s="294"/>
      <c r="AI1848" s="294"/>
      <c r="AJ1848" s="26"/>
      <c r="AK1848" s="374"/>
      <c r="AL1848" s="374"/>
      <c r="AO1848" s="294"/>
      <c r="AR1848" s="374"/>
      <c r="BF1848" s="26"/>
      <c r="BG1848" s="26"/>
      <c r="BH1848" s="26"/>
      <c r="BI1848" s="26"/>
      <c r="BJ1848" s="26"/>
      <c r="BK1848" s="26"/>
      <c r="BL1848" s="26"/>
      <c r="BS1848" s="20"/>
      <c r="BT1848" s="26"/>
      <c r="BU1848" s="381"/>
      <c r="BV1848" s="381"/>
      <c r="BW1848" s="229"/>
    </row>
    <row r="1849" spans="33:75" x14ac:dyDescent="0.2">
      <c r="AG1849" s="294"/>
      <c r="AH1849" s="294"/>
      <c r="AI1849" s="294"/>
      <c r="AJ1849" s="26"/>
      <c r="AK1849" s="374"/>
      <c r="AL1849" s="374"/>
      <c r="AO1849" s="294"/>
      <c r="AR1849" s="374"/>
      <c r="BF1849" s="26"/>
      <c r="BG1849" s="26"/>
      <c r="BH1849" s="26"/>
      <c r="BI1849" s="26"/>
      <c r="BJ1849" s="26"/>
      <c r="BK1849" s="26"/>
      <c r="BL1849" s="26"/>
      <c r="BS1849" s="20"/>
      <c r="BT1849" s="26"/>
      <c r="BU1849" s="381"/>
      <c r="BV1849" s="381"/>
      <c r="BW1849" s="229"/>
    </row>
    <row r="1850" spans="33:75" x14ac:dyDescent="0.2">
      <c r="AG1850" s="294"/>
      <c r="AH1850" s="294"/>
      <c r="AI1850" s="294"/>
      <c r="AJ1850" s="26"/>
      <c r="AK1850" s="374"/>
      <c r="AL1850" s="374"/>
      <c r="AO1850" s="294"/>
      <c r="AR1850" s="374"/>
      <c r="BF1850" s="26"/>
      <c r="BG1850" s="26"/>
      <c r="BH1850" s="26"/>
      <c r="BI1850" s="26"/>
      <c r="BJ1850" s="26"/>
      <c r="BK1850" s="26"/>
      <c r="BL1850" s="26"/>
      <c r="BS1850" s="20"/>
      <c r="BT1850" s="26"/>
      <c r="BU1850" s="381"/>
      <c r="BV1850" s="381"/>
      <c r="BW1850" s="229"/>
    </row>
    <row r="1851" spans="33:75" x14ac:dyDescent="0.2">
      <c r="AG1851" s="294"/>
      <c r="AH1851" s="294"/>
      <c r="AI1851" s="294"/>
      <c r="AJ1851" s="26"/>
      <c r="AK1851" s="374"/>
      <c r="AL1851" s="374"/>
      <c r="AO1851" s="294"/>
      <c r="AR1851" s="374"/>
      <c r="BF1851" s="26"/>
      <c r="BG1851" s="26"/>
      <c r="BH1851" s="26"/>
      <c r="BI1851" s="26"/>
      <c r="BJ1851" s="26"/>
      <c r="BK1851" s="26"/>
      <c r="BL1851" s="26"/>
      <c r="BS1851" s="20"/>
      <c r="BT1851" s="26"/>
      <c r="BU1851" s="381"/>
      <c r="BV1851" s="381"/>
      <c r="BW1851" s="229"/>
    </row>
    <row r="1852" spans="33:75" x14ac:dyDescent="0.2">
      <c r="AG1852" s="294"/>
      <c r="AH1852" s="294"/>
      <c r="AI1852" s="294"/>
      <c r="AJ1852" s="26"/>
      <c r="AK1852" s="374"/>
      <c r="AL1852" s="374"/>
      <c r="AO1852" s="294"/>
      <c r="AR1852" s="374"/>
      <c r="BF1852" s="26"/>
      <c r="BG1852" s="26"/>
      <c r="BH1852" s="26"/>
      <c r="BI1852" s="26"/>
      <c r="BJ1852" s="26"/>
      <c r="BK1852" s="26"/>
      <c r="BL1852" s="26"/>
      <c r="BS1852" s="20"/>
      <c r="BT1852" s="26"/>
      <c r="BU1852" s="381"/>
      <c r="BV1852" s="381"/>
      <c r="BW1852" s="229"/>
    </row>
    <row r="1853" spans="33:75" x14ac:dyDescent="0.2">
      <c r="AG1853" s="294"/>
      <c r="AH1853" s="294"/>
      <c r="AI1853" s="294"/>
      <c r="AJ1853" s="26"/>
      <c r="AK1853" s="374"/>
      <c r="AL1853" s="374"/>
      <c r="AO1853" s="294"/>
      <c r="AR1853" s="374"/>
      <c r="BF1853" s="26"/>
      <c r="BG1853" s="26"/>
      <c r="BH1853" s="26"/>
      <c r="BI1853" s="26"/>
      <c r="BJ1853" s="26"/>
      <c r="BK1853" s="26"/>
      <c r="BL1853" s="26"/>
      <c r="BS1853" s="20"/>
      <c r="BT1853" s="26"/>
      <c r="BU1853" s="381"/>
      <c r="BV1853" s="381"/>
      <c r="BW1853" s="229"/>
    </row>
    <row r="1854" spans="33:75" x14ac:dyDescent="0.2">
      <c r="AG1854" s="294"/>
      <c r="AH1854" s="294"/>
      <c r="AI1854" s="294"/>
      <c r="AJ1854" s="26"/>
      <c r="AK1854" s="374"/>
      <c r="AL1854" s="374"/>
      <c r="AO1854" s="294"/>
      <c r="AR1854" s="374"/>
      <c r="BF1854" s="26"/>
      <c r="BG1854" s="26"/>
      <c r="BH1854" s="26"/>
      <c r="BI1854" s="26"/>
      <c r="BJ1854" s="26"/>
      <c r="BK1854" s="26"/>
      <c r="BL1854" s="26"/>
      <c r="BS1854" s="20"/>
      <c r="BT1854" s="26"/>
      <c r="BU1854" s="381"/>
      <c r="BV1854" s="381"/>
      <c r="BW1854" s="229"/>
    </row>
    <row r="1855" spans="33:75" x14ac:dyDescent="0.2">
      <c r="AG1855" s="294"/>
      <c r="AH1855" s="294"/>
      <c r="AI1855" s="294"/>
      <c r="AJ1855" s="26"/>
      <c r="AK1855" s="374"/>
      <c r="AL1855" s="374"/>
      <c r="AO1855" s="294"/>
      <c r="AR1855" s="374"/>
      <c r="BF1855" s="26"/>
      <c r="BG1855" s="26"/>
      <c r="BH1855" s="26"/>
      <c r="BI1855" s="26"/>
      <c r="BJ1855" s="26"/>
      <c r="BK1855" s="26"/>
      <c r="BL1855" s="26"/>
      <c r="BS1855" s="20"/>
      <c r="BT1855" s="26"/>
      <c r="BU1855" s="381"/>
      <c r="BV1855" s="381"/>
      <c r="BW1855" s="229"/>
    </row>
    <row r="1856" spans="33:75" x14ac:dyDescent="0.2">
      <c r="AG1856" s="294"/>
      <c r="AH1856" s="294"/>
      <c r="AI1856" s="294"/>
      <c r="AJ1856" s="26"/>
      <c r="AK1856" s="374"/>
      <c r="AL1856" s="374"/>
      <c r="AO1856" s="294"/>
      <c r="AR1856" s="374"/>
      <c r="BF1856" s="26"/>
      <c r="BG1856" s="26"/>
      <c r="BH1856" s="26"/>
      <c r="BI1856" s="26"/>
      <c r="BJ1856" s="26"/>
      <c r="BK1856" s="26"/>
      <c r="BL1856" s="26"/>
      <c r="BS1856" s="20"/>
      <c r="BT1856" s="26"/>
      <c r="BU1856" s="381"/>
      <c r="BV1856" s="381"/>
      <c r="BW1856" s="229"/>
    </row>
    <row r="1857" spans="33:75" x14ac:dyDescent="0.2">
      <c r="AG1857" s="294"/>
      <c r="AH1857" s="294"/>
      <c r="AI1857" s="294"/>
      <c r="AJ1857" s="26"/>
      <c r="AK1857" s="374"/>
      <c r="AL1857" s="374"/>
      <c r="AO1857" s="294"/>
      <c r="AR1857" s="374"/>
      <c r="BF1857" s="26"/>
      <c r="BG1857" s="26"/>
      <c r="BH1857" s="26"/>
      <c r="BI1857" s="26"/>
      <c r="BJ1857" s="26"/>
      <c r="BK1857" s="26"/>
      <c r="BL1857" s="26"/>
      <c r="BS1857" s="20"/>
      <c r="BT1857" s="26"/>
      <c r="BU1857" s="381"/>
      <c r="BV1857" s="381"/>
      <c r="BW1857" s="229"/>
    </row>
    <row r="1858" spans="33:75" x14ac:dyDescent="0.2">
      <c r="AG1858" s="294"/>
      <c r="AH1858" s="294"/>
      <c r="AI1858" s="294"/>
      <c r="AJ1858" s="26"/>
      <c r="AK1858" s="374"/>
      <c r="AL1858" s="374"/>
      <c r="AO1858" s="294"/>
      <c r="AR1858" s="374"/>
      <c r="BF1858" s="26"/>
      <c r="BG1858" s="26"/>
      <c r="BH1858" s="26"/>
      <c r="BI1858" s="26"/>
      <c r="BJ1858" s="26"/>
      <c r="BK1858" s="26"/>
      <c r="BL1858" s="26"/>
      <c r="BS1858" s="20"/>
      <c r="BT1858" s="26"/>
      <c r="BU1858" s="381"/>
      <c r="BV1858" s="381"/>
      <c r="BW1858" s="229"/>
    </row>
    <row r="1859" spans="33:75" x14ac:dyDescent="0.2">
      <c r="AG1859" s="294"/>
      <c r="AH1859" s="294"/>
      <c r="AI1859" s="294"/>
      <c r="AJ1859" s="26"/>
      <c r="AK1859" s="374"/>
      <c r="AL1859" s="374"/>
      <c r="AO1859" s="294"/>
      <c r="AR1859" s="374"/>
      <c r="BF1859" s="26"/>
      <c r="BG1859" s="26"/>
      <c r="BH1859" s="26"/>
      <c r="BI1859" s="26"/>
      <c r="BJ1859" s="26"/>
      <c r="BK1859" s="26"/>
      <c r="BL1859" s="26"/>
      <c r="BS1859" s="20"/>
      <c r="BT1859" s="26"/>
      <c r="BU1859" s="381"/>
      <c r="BV1859" s="381"/>
      <c r="BW1859" s="229"/>
    </row>
    <row r="1860" spans="33:75" x14ac:dyDescent="0.2">
      <c r="AG1860" s="294"/>
      <c r="AH1860" s="294"/>
      <c r="AI1860" s="294"/>
      <c r="AJ1860" s="26"/>
      <c r="AK1860" s="374"/>
      <c r="AL1860" s="374"/>
      <c r="AO1860" s="294"/>
      <c r="AR1860" s="374"/>
      <c r="BF1860" s="26"/>
      <c r="BG1860" s="26"/>
      <c r="BH1860" s="26"/>
      <c r="BI1860" s="26"/>
      <c r="BJ1860" s="26"/>
      <c r="BK1860" s="26"/>
      <c r="BL1860" s="26"/>
      <c r="BS1860" s="20"/>
      <c r="BT1860" s="26"/>
      <c r="BU1860" s="381"/>
      <c r="BV1860" s="381"/>
      <c r="BW1860" s="229"/>
    </row>
    <row r="1861" spans="33:75" x14ac:dyDescent="0.2">
      <c r="AG1861" s="294"/>
      <c r="AH1861" s="294"/>
      <c r="AI1861" s="294"/>
      <c r="AJ1861" s="26"/>
      <c r="AK1861" s="374"/>
      <c r="AL1861" s="374"/>
      <c r="AO1861" s="294"/>
      <c r="AR1861" s="374"/>
      <c r="BF1861" s="26"/>
      <c r="BG1861" s="26"/>
      <c r="BH1861" s="26"/>
      <c r="BI1861" s="26"/>
      <c r="BJ1861" s="26"/>
      <c r="BK1861" s="26"/>
      <c r="BL1861" s="26"/>
      <c r="BS1861" s="20"/>
      <c r="BT1861" s="26"/>
      <c r="BU1861" s="381"/>
      <c r="BV1861" s="381"/>
      <c r="BW1861" s="229"/>
    </row>
    <row r="1862" spans="33:75" x14ac:dyDescent="0.2">
      <c r="AG1862" s="294"/>
      <c r="AH1862" s="294"/>
      <c r="AI1862" s="294"/>
      <c r="AJ1862" s="26"/>
      <c r="AK1862" s="374"/>
      <c r="AL1862" s="374"/>
      <c r="AO1862" s="294"/>
      <c r="AR1862" s="374"/>
      <c r="BF1862" s="26"/>
      <c r="BG1862" s="26"/>
      <c r="BH1862" s="26"/>
      <c r="BI1862" s="26"/>
      <c r="BJ1862" s="26"/>
      <c r="BK1862" s="26"/>
      <c r="BL1862" s="26"/>
      <c r="BS1862" s="20"/>
      <c r="BT1862" s="26"/>
      <c r="BU1862" s="381"/>
      <c r="BV1862" s="381"/>
      <c r="BW1862" s="229"/>
    </row>
    <row r="1863" spans="33:75" x14ac:dyDescent="0.2">
      <c r="AG1863" s="294"/>
      <c r="AH1863" s="294"/>
      <c r="AI1863" s="294"/>
      <c r="AJ1863" s="26"/>
      <c r="AK1863" s="374"/>
      <c r="AL1863" s="374"/>
      <c r="AO1863" s="294"/>
      <c r="AR1863" s="374"/>
      <c r="BF1863" s="26"/>
      <c r="BG1863" s="26"/>
      <c r="BH1863" s="26"/>
      <c r="BI1863" s="26"/>
      <c r="BJ1863" s="26"/>
      <c r="BK1863" s="26"/>
      <c r="BL1863" s="26"/>
      <c r="BS1863" s="20"/>
      <c r="BT1863" s="26"/>
      <c r="BU1863" s="381"/>
      <c r="BV1863" s="381"/>
      <c r="BW1863" s="229"/>
    </row>
    <row r="1864" spans="33:75" x14ac:dyDescent="0.2">
      <c r="AG1864" s="294"/>
      <c r="AH1864" s="294"/>
      <c r="AI1864" s="294"/>
      <c r="AJ1864" s="26"/>
      <c r="AK1864" s="374"/>
      <c r="AL1864" s="374"/>
      <c r="AO1864" s="294"/>
      <c r="AR1864" s="374"/>
      <c r="BF1864" s="26"/>
      <c r="BG1864" s="26"/>
      <c r="BH1864" s="26"/>
      <c r="BI1864" s="26"/>
      <c r="BJ1864" s="26"/>
      <c r="BK1864" s="26"/>
      <c r="BL1864" s="26"/>
      <c r="BS1864" s="20"/>
      <c r="BT1864" s="26"/>
      <c r="BU1864" s="381"/>
      <c r="BV1864" s="381"/>
      <c r="BW1864" s="229"/>
    </row>
    <row r="1865" spans="33:75" x14ac:dyDescent="0.2">
      <c r="AG1865" s="294"/>
      <c r="AH1865" s="294"/>
      <c r="AI1865" s="294"/>
      <c r="AJ1865" s="26"/>
      <c r="AK1865" s="374"/>
      <c r="AL1865" s="374"/>
      <c r="AO1865" s="294"/>
      <c r="AR1865" s="374"/>
      <c r="BF1865" s="26"/>
      <c r="BG1865" s="26"/>
      <c r="BH1865" s="26"/>
      <c r="BI1865" s="26"/>
      <c r="BJ1865" s="26"/>
      <c r="BK1865" s="26"/>
      <c r="BL1865" s="26"/>
      <c r="BS1865" s="20"/>
      <c r="BT1865" s="26"/>
      <c r="BU1865" s="381"/>
      <c r="BV1865" s="381"/>
      <c r="BW1865" s="229"/>
    </row>
    <row r="1866" spans="33:75" x14ac:dyDescent="0.2">
      <c r="AG1866" s="294"/>
      <c r="AH1866" s="294"/>
      <c r="AI1866" s="294"/>
      <c r="AJ1866" s="26"/>
      <c r="AK1866" s="374"/>
      <c r="AL1866" s="374"/>
      <c r="AO1866" s="294"/>
      <c r="AR1866" s="374"/>
      <c r="BF1866" s="26"/>
      <c r="BG1866" s="26"/>
      <c r="BH1866" s="26"/>
      <c r="BI1866" s="26"/>
      <c r="BJ1866" s="26"/>
      <c r="BK1866" s="26"/>
      <c r="BL1866" s="26"/>
      <c r="BS1866" s="20"/>
      <c r="BT1866" s="26"/>
      <c r="BU1866" s="381"/>
      <c r="BV1866" s="381"/>
      <c r="BW1866" s="229"/>
    </row>
    <row r="1867" spans="33:75" x14ac:dyDescent="0.2">
      <c r="AG1867" s="294"/>
      <c r="AH1867" s="294"/>
      <c r="AI1867" s="294"/>
      <c r="AJ1867" s="26"/>
      <c r="AK1867" s="374"/>
      <c r="AL1867" s="374"/>
      <c r="AO1867" s="294"/>
      <c r="AR1867" s="374"/>
      <c r="BF1867" s="26"/>
      <c r="BG1867" s="26"/>
      <c r="BH1867" s="26"/>
      <c r="BI1867" s="26"/>
      <c r="BJ1867" s="26"/>
      <c r="BK1867" s="26"/>
      <c r="BL1867" s="26"/>
      <c r="BS1867" s="20"/>
      <c r="BT1867" s="26"/>
      <c r="BU1867" s="381"/>
      <c r="BV1867" s="381"/>
      <c r="BW1867" s="229"/>
    </row>
    <row r="1868" spans="33:75" x14ac:dyDescent="0.2">
      <c r="AG1868" s="294"/>
      <c r="AH1868" s="294"/>
      <c r="AI1868" s="294"/>
      <c r="AJ1868" s="26"/>
      <c r="AK1868" s="374"/>
      <c r="AL1868" s="374"/>
      <c r="AO1868" s="294"/>
      <c r="AR1868" s="374"/>
      <c r="BF1868" s="26"/>
      <c r="BG1868" s="26"/>
      <c r="BH1868" s="26"/>
      <c r="BI1868" s="26"/>
      <c r="BJ1868" s="26"/>
      <c r="BK1868" s="26"/>
      <c r="BL1868" s="26"/>
      <c r="BS1868" s="20"/>
      <c r="BT1868" s="26"/>
      <c r="BU1868" s="381"/>
      <c r="BV1868" s="381"/>
      <c r="BW1868" s="229"/>
    </row>
    <row r="1869" spans="33:75" x14ac:dyDescent="0.2">
      <c r="AG1869" s="294"/>
      <c r="AH1869" s="294"/>
      <c r="AI1869" s="294"/>
      <c r="AJ1869" s="26"/>
      <c r="AK1869" s="374"/>
      <c r="AL1869" s="374"/>
      <c r="AO1869" s="294"/>
      <c r="AR1869" s="374"/>
      <c r="BF1869" s="26"/>
      <c r="BG1869" s="26"/>
      <c r="BH1869" s="26"/>
      <c r="BI1869" s="26"/>
      <c r="BJ1869" s="26"/>
      <c r="BK1869" s="26"/>
      <c r="BL1869" s="26"/>
      <c r="BS1869" s="20"/>
      <c r="BT1869" s="26"/>
      <c r="BU1869" s="381"/>
      <c r="BV1869" s="381"/>
      <c r="BW1869" s="229"/>
    </row>
    <row r="1870" spans="33:75" x14ac:dyDescent="0.2">
      <c r="AG1870" s="294"/>
      <c r="AH1870" s="294"/>
      <c r="AI1870" s="294"/>
      <c r="AJ1870" s="26"/>
      <c r="AK1870" s="374"/>
      <c r="AL1870" s="374"/>
      <c r="AO1870" s="294"/>
      <c r="AR1870" s="374"/>
      <c r="BF1870" s="26"/>
      <c r="BG1870" s="26"/>
      <c r="BH1870" s="26"/>
      <c r="BI1870" s="26"/>
      <c r="BJ1870" s="26"/>
      <c r="BK1870" s="26"/>
      <c r="BL1870" s="26"/>
      <c r="BS1870" s="20"/>
      <c r="BT1870" s="26"/>
      <c r="BU1870" s="381"/>
      <c r="BV1870" s="381"/>
      <c r="BW1870" s="229"/>
    </row>
    <row r="1871" spans="33:75" x14ac:dyDescent="0.2">
      <c r="AG1871" s="294"/>
      <c r="AH1871" s="294"/>
      <c r="AI1871" s="294"/>
      <c r="AJ1871" s="26"/>
      <c r="AK1871" s="374"/>
      <c r="AL1871" s="374"/>
      <c r="AO1871" s="294"/>
      <c r="AR1871" s="374"/>
      <c r="BF1871" s="26"/>
      <c r="BG1871" s="26"/>
      <c r="BH1871" s="26"/>
      <c r="BI1871" s="26"/>
      <c r="BJ1871" s="26"/>
      <c r="BK1871" s="26"/>
      <c r="BL1871" s="26"/>
      <c r="BS1871" s="20"/>
      <c r="BT1871" s="26"/>
      <c r="BU1871" s="381"/>
      <c r="BV1871" s="381"/>
      <c r="BW1871" s="229"/>
    </row>
    <row r="1872" spans="33:75" x14ac:dyDescent="0.2">
      <c r="AG1872" s="294"/>
      <c r="AH1872" s="294"/>
      <c r="AI1872" s="294"/>
      <c r="AJ1872" s="26"/>
      <c r="AK1872" s="374"/>
      <c r="AL1872" s="374"/>
      <c r="AO1872" s="294"/>
      <c r="AR1872" s="374"/>
      <c r="BF1872" s="26"/>
      <c r="BG1872" s="26"/>
      <c r="BH1872" s="26"/>
      <c r="BI1872" s="26"/>
      <c r="BJ1872" s="26"/>
      <c r="BK1872" s="26"/>
      <c r="BL1872" s="26"/>
      <c r="BS1872" s="20"/>
      <c r="BT1872" s="26"/>
      <c r="BU1872" s="381"/>
      <c r="BV1872" s="381"/>
      <c r="BW1872" s="229"/>
    </row>
    <row r="1873" spans="33:75" x14ac:dyDescent="0.2">
      <c r="AG1873" s="294"/>
      <c r="AH1873" s="294"/>
      <c r="AI1873" s="294"/>
      <c r="AJ1873" s="26"/>
      <c r="AK1873" s="374"/>
      <c r="AL1873" s="374"/>
      <c r="AO1873" s="294"/>
      <c r="AR1873" s="374"/>
      <c r="BF1873" s="26"/>
      <c r="BG1873" s="26"/>
      <c r="BH1873" s="26"/>
      <c r="BI1873" s="26"/>
      <c r="BJ1873" s="26"/>
      <c r="BK1873" s="26"/>
      <c r="BL1873" s="26"/>
      <c r="BS1873" s="20"/>
      <c r="BT1873" s="26"/>
      <c r="BU1873" s="381"/>
      <c r="BV1873" s="381"/>
      <c r="BW1873" s="229"/>
    </row>
    <row r="1874" spans="33:75" x14ac:dyDescent="0.2">
      <c r="AG1874" s="294"/>
      <c r="AH1874" s="294"/>
      <c r="AI1874" s="294"/>
      <c r="AJ1874" s="26"/>
      <c r="AK1874" s="374"/>
      <c r="AL1874" s="374"/>
      <c r="AO1874" s="294"/>
      <c r="AR1874" s="374"/>
      <c r="BF1874" s="26"/>
      <c r="BG1874" s="26"/>
      <c r="BH1874" s="26"/>
      <c r="BI1874" s="26"/>
      <c r="BJ1874" s="26"/>
      <c r="BK1874" s="26"/>
      <c r="BL1874" s="26"/>
      <c r="BS1874" s="20"/>
      <c r="BT1874" s="26"/>
      <c r="BU1874" s="381"/>
      <c r="BV1874" s="381"/>
      <c r="BW1874" s="229"/>
    </row>
    <row r="1875" spans="33:75" x14ac:dyDescent="0.2">
      <c r="AG1875" s="294"/>
      <c r="AH1875" s="294"/>
      <c r="AI1875" s="294"/>
      <c r="AJ1875" s="26"/>
      <c r="AK1875" s="374"/>
      <c r="AL1875" s="374"/>
      <c r="AO1875" s="294"/>
      <c r="AR1875" s="374"/>
      <c r="BF1875" s="26"/>
      <c r="BG1875" s="26"/>
      <c r="BH1875" s="26"/>
      <c r="BI1875" s="26"/>
      <c r="BJ1875" s="26"/>
      <c r="BK1875" s="26"/>
      <c r="BL1875" s="26"/>
      <c r="BS1875" s="20"/>
      <c r="BT1875" s="26"/>
      <c r="BU1875" s="381"/>
      <c r="BV1875" s="381"/>
      <c r="BW1875" s="229"/>
    </row>
    <row r="1876" spans="33:75" x14ac:dyDescent="0.2">
      <c r="AG1876" s="294"/>
      <c r="AH1876" s="294"/>
      <c r="AI1876" s="294"/>
      <c r="AJ1876" s="26"/>
      <c r="AK1876" s="374"/>
      <c r="AL1876" s="374"/>
      <c r="AO1876" s="294"/>
      <c r="AR1876" s="374"/>
      <c r="BF1876" s="26"/>
      <c r="BG1876" s="26"/>
      <c r="BH1876" s="26"/>
      <c r="BI1876" s="26"/>
      <c r="BJ1876" s="26"/>
      <c r="BK1876" s="26"/>
      <c r="BL1876" s="26"/>
      <c r="BS1876" s="20"/>
      <c r="BT1876" s="26"/>
      <c r="BU1876" s="381"/>
      <c r="BV1876" s="381"/>
      <c r="BW1876" s="229"/>
    </row>
    <row r="1877" spans="33:75" x14ac:dyDescent="0.2">
      <c r="AG1877" s="294"/>
      <c r="AH1877" s="294"/>
      <c r="AI1877" s="294"/>
      <c r="AJ1877" s="26"/>
      <c r="AK1877" s="374"/>
      <c r="AL1877" s="374"/>
      <c r="AO1877" s="294"/>
      <c r="AR1877" s="374"/>
      <c r="BF1877" s="26"/>
      <c r="BG1877" s="26"/>
      <c r="BH1877" s="26"/>
      <c r="BI1877" s="26"/>
      <c r="BJ1877" s="26"/>
      <c r="BK1877" s="26"/>
      <c r="BL1877" s="26"/>
      <c r="BS1877" s="20"/>
      <c r="BT1877" s="26"/>
      <c r="BU1877" s="381"/>
      <c r="BV1877" s="381"/>
      <c r="BW1877" s="229"/>
    </row>
    <row r="1878" spans="33:75" x14ac:dyDescent="0.2">
      <c r="AG1878" s="294"/>
      <c r="AH1878" s="294"/>
      <c r="AI1878" s="294"/>
      <c r="AJ1878" s="26"/>
      <c r="AK1878" s="374"/>
      <c r="AL1878" s="374"/>
      <c r="AO1878" s="294"/>
      <c r="AR1878" s="374"/>
      <c r="BF1878" s="26"/>
      <c r="BG1878" s="26"/>
      <c r="BH1878" s="26"/>
      <c r="BI1878" s="26"/>
      <c r="BJ1878" s="26"/>
      <c r="BK1878" s="26"/>
      <c r="BL1878" s="26"/>
      <c r="BS1878" s="20"/>
      <c r="BT1878" s="26"/>
      <c r="BU1878" s="381"/>
      <c r="BV1878" s="381"/>
      <c r="BW1878" s="229"/>
    </row>
    <row r="1879" spans="33:75" x14ac:dyDescent="0.2">
      <c r="AG1879" s="294"/>
      <c r="AH1879" s="294"/>
      <c r="AI1879" s="294"/>
      <c r="AJ1879" s="26"/>
      <c r="AK1879" s="374"/>
      <c r="AL1879" s="374"/>
      <c r="AO1879" s="294"/>
      <c r="AR1879" s="374"/>
      <c r="BF1879" s="26"/>
      <c r="BG1879" s="26"/>
      <c r="BH1879" s="26"/>
      <c r="BI1879" s="26"/>
      <c r="BJ1879" s="26"/>
      <c r="BK1879" s="26"/>
      <c r="BL1879" s="26"/>
      <c r="BS1879" s="20"/>
      <c r="BT1879" s="26"/>
      <c r="BU1879" s="381"/>
      <c r="BV1879" s="381"/>
      <c r="BW1879" s="229"/>
    </row>
    <row r="1880" spans="33:75" x14ac:dyDescent="0.2">
      <c r="AG1880" s="294"/>
      <c r="AH1880" s="294"/>
      <c r="AI1880" s="294"/>
      <c r="AJ1880" s="26"/>
      <c r="AK1880" s="374"/>
      <c r="AL1880" s="374"/>
      <c r="AO1880" s="294"/>
      <c r="AR1880" s="374"/>
      <c r="BF1880" s="26"/>
      <c r="BG1880" s="26"/>
      <c r="BH1880" s="26"/>
      <c r="BI1880" s="26"/>
      <c r="BJ1880" s="26"/>
      <c r="BK1880" s="26"/>
      <c r="BL1880" s="26"/>
      <c r="BS1880" s="20"/>
      <c r="BT1880" s="26"/>
      <c r="BU1880" s="381"/>
      <c r="BV1880" s="381"/>
      <c r="BW1880" s="229"/>
    </row>
    <row r="1881" spans="33:75" x14ac:dyDescent="0.2">
      <c r="AG1881" s="294"/>
      <c r="AH1881" s="294"/>
      <c r="AI1881" s="294"/>
      <c r="AJ1881" s="26"/>
      <c r="AK1881" s="374"/>
      <c r="AL1881" s="374"/>
      <c r="AO1881" s="294"/>
      <c r="AR1881" s="374"/>
      <c r="BF1881" s="26"/>
      <c r="BG1881" s="26"/>
      <c r="BH1881" s="26"/>
      <c r="BI1881" s="26"/>
      <c r="BJ1881" s="26"/>
      <c r="BK1881" s="26"/>
      <c r="BL1881" s="26"/>
      <c r="BS1881" s="20"/>
      <c r="BT1881" s="26"/>
      <c r="BU1881" s="381"/>
      <c r="BV1881" s="381"/>
      <c r="BW1881" s="229"/>
    </row>
    <row r="1882" spans="33:75" x14ac:dyDescent="0.2">
      <c r="AG1882" s="294"/>
      <c r="AH1882" s="294"/>
      <c r="AI1882" s="294"/>
      <c r="AJ1882" s="26"/>
      <c r="AK1882" s="374"/>
      <c r="AL1882" s="374"/>
      <c r="AO1882" s="294"/>
      <c r="AR1882" s="374"/>
      <c r="BF1882" s="26"/>
      <c r="BG1882" s="26"/>
      <c r="BH1882" s="26"/>
      <c r="BI1882" s="26"/>
      <c r="BJ1882" s="26"/>
      <c r="BK1882" s="26"/>
      <c r="BL1882" s="26"/>
      <c r="BS1882" s="20"/>
      <c r="BT1882" s="26"/>
      <c r="BU1882" s="381"/>
      <c r="BV1882" s="381"/>
      <c r="BW1882" s="229"/>
    </row>
    <row r="1883" spans="33:75" x14ac:dyDescent="0.2">
      <c r="AG1883" s="294"/>
      <c r="AH1883" s="294"/>
      <c r="AI1883" s="294"/>
      <c r="AJ1883" s="26"/>
      <c r="AO1883" s="294"/>
      <c r="BF1883" s="26"/>
      <c r="BG1883" s="26"/>
      <c r="BH1883" s="26"/>
      <c r="BI1883" s="26"/>
      <c r="BJ1883" s="26"/>
      <c r="BK1883" s="26"/>
      <c r="BL1883" s="26"/>
      <c r="BS1883" s="20"/>
      <c r="BT1883" s="26"/>
      <c r="BU1883" s="381"/>
      <c r="BV1883" s="381"/>
      <c r="BW1883" s="229"/>
    </row>
    <row r="1884" spans="33:75" x14ac:dyDescent="0.2">
      <c r="AG1884" s="294"/>
      <c r="AH1884" s="294"/>
      <c r="AI1884" s="294"/>
      <c r="AJ1884" s="26"/>
      <c r="AO1884" s="294"/>
      <c r="BF1884" s="26"/>
      <c r="BG1884" s="26"/>
      <c r="BH1884" s="26"/>
      <c r="BI1884" s="26"/>
      <c r="BJ1884" s="26"/>
      <c r="BK1884" s="26"/>
      <c r="BL1884" s="26"/>
      <c r="BS1884" s="20"/>
      <c r="BT1884" s="26"/>
      <c r="BU1884" s="381"/>
      <c r="BV1884" s="381"/>
      <c r="BW1884" s="229"/>
    </row>
    <row r="1885" spans="33:75" x14ac:dyDescent="0.2">
      <c r="AG1885" s="294"/>
      <c r="AH1885" s="294"/>
      <c r="AI1885" s="294"/>
      <c r="AJ1885" s="26"/>
      <c r="AO1885" s="294"/>
      <c r="BF1885" s="26"/>
      <c r="BG1885" s="26"/>
      <c r="BH1885" s="26"/>
      <c r="BI1885" s="26"/>
      <c r="BJ1885" s="26"/>
      <c r="BK1885" s="26"/>
      <c r="BL1885" s="26"/>
      <c r="BS1885" s="20"/>
      <c r="BT1885" s="26"/>
      <c r="BU1885" s="381"/>
      <c r="BV1885" s="381"/>
      <c r="BW1885" s="229"/>
    </row>
    <row r="1886" spans="33:75" x14ac:dyDescent="0.2">
      <c r="AG1886" s="294"/>
      <c r="AH1886" s="294"/>
      <c r="AI1886" s="294"/>
      <c r="AJ1886" s="26"/>
      <c r="AO1886" s="294"/>
      <c r="BF1886" s="26"/>
      <c r="BG1886" s="26"/>
      <c r="BH1886" s="26"/>
      <c r="BI1886" s="26"/>
      <c r="BJ1886" s="26"/>
      <c r="BK1886" s="26"/>
      <c r="BL1886" s="26"/>
      <c r="BS1886" s="20"/>
      <c r="BT1886" s="26"/>
      <c r="BU1886" s="381"/>
      <c r="BV1886" s="381"/>
      <c r="BW1886" s="229"/>
    </row>
    <row r="1887" spans="33:75" x14ac:dyDescent="0.2">
      <c r="AG1887" s="294"/>
      <c r="AH1887" s="294"/>
      <c r="AI1887" s="294"/>
      <c r="AJ1887" s="26"/>
      <c r="AO1887" s="294"/>
      <c r="BF1887" s="26"/>
      <c r="BG1887" s="26"/>
      <c r="BH1887" s="26"/>
      <c r="BI1887" s="26"/>
      <c r="BJ1887" s="26"/>
      <c r="BK1887" s="26"/>
      <c r="BL1887" s="26"/>
      <c r="BS1887" s="20"/>
      <c r="BT1887" s="26"/>
      <c r="BU1887" s="381"/>
      <c r="BV1887" s="381"/>
      <c r="BW1887" s="229"/>
    </row>
    <row r="1888" spans="33:75" x14ac:dyDescent="0.2">
      <c r="AG1888" s="294"/>
      <c r="AH1888" s="294"/>
      <c r="AI1888" s="294"/>
      <c r="AJ1888" s="26"/>
      <c r="AO1888" s="294"/>
      <c r="BF1888" s="26"/>
      <c r="BG1888" s="26"/>
      <c r="BH1888" s="26"/>
      <c r="BI1888" s="26"/>
      <c r="BJ1888" s="26"/>
      <c r="BK1888" s="26"/>
      <c r="BL1888" s="26"/>
      <c r="BS1888" s="20"/>
      <c r="BT1888" s="26"/>
      <c r="BU1888" s="381"/>
      <c r="BV1888" s="381"/>
      <c r="BW1888" s="229"/>
    </row>
    <row r="1889" spans="33:75" x14ac:dyDescent="0.2">
      <c r="AG1889" s="294"/>
      <c r="AH1889" s="294"/>
      <c r="AI1889" s="294"/>
      <c r="AJ1889" s="26"/>
      <c r="AO1889" s="294"/>
      <c r="BF1889" s="26"/>
      <c r="BG1889" s="26"/>
      <c r="BH1889" s="26"/>
      <c r="BI1889" s="26"/>
      <c r="BJ1889" s="26"/>
      <c r="BK1889" s="26"/>
      <c r="BL1889" s="26"/>
      <c r="BS1889" s="20"/>
      <c r="BT1889" s="26"/>
      <c r="BU1889" s="381"/>
      <c r="BV1889" s="381"/>
      <c r="BW1889" s="229"/>
    </row>
    <row r="1890" spans="33:75" x14ac:dyDescent="0.2">
      <c r="AG1890" s="294"/>
      <c r="AH1890" s="294"/>
      <c r="AI1890" s="294"/>
      <c r="AJ1890" s="26"/>
      <c r="AO1890" s="294"/>
      <c r="BF1890" s="26"/>
      <c r="BG1890" s="26"/>
      <c r="BH1890" s="26"/>
      <c r="BI1890" s="26"/>
      <c r="BJ1890" s="26"/>
      <c r="BK1890" s="26"/>
      <c r="BL1890" s="26"/>
      <c r="BS1890" s="20"/>
      <c r="BT1890" s="26"/>
      <c r="BU1890" s="381"/>
      <c r="BV1890" s="381"/>
      <c r="BW1890" s="229"/>
    </row>
    <row r="1891" spans="33:75" x14ac:dyDescent="0.2">
      <c r="AG1891" s="294"/>
      <c r="AH1891" s="294"/>
      <c r="AI1891" s="294"/>
      <c r="AJ1891" s="26"/>
      <c r="AO1891" s="294"/>
      <c r="BF1891" s="26"/>
      <c r="BG1891" s="26"/>
      <c r="BH1891" s="26"/>
      <c r="BI1891" s="26"/>
      <c r="BJ1891" s="26"/>
      <c r="BK1891" s="26"/>
      <c r="BL1891" s="26"/>
      <c r="BS1891" s="20"/>
      <c r="BT1891" s="26"/>
      <c r="BU1891" s="381"/>
      <c r="BV1891" s="381"/>
      <c r="BW1891" s="229"/>
    </row>
    <row r="1892" spans="33:75" x14ac:dyDescent="0.2">
      <c r="AG1892" s="294"/>
      <c r="AH1892" s="294"/>
      <c r="AI1892" s="294"/>
      <c r="AJ1892" s="26"/>
      <c r="AO1892" s="294"/>
      <c r="BF1892" s="26"/>
      <c r="BG1892" s="26"/>
      <c r="BH1892" s="26"/>
      <c r="BI1892" s="26"/>
      <c r="BJ1892" s="26"/>
      <c r="BK1892" s="26"/>
      <c r="BL1892" s="26"/>
      <c r="BS1892" s="20"/>
      <c r="BT1892" s="26"/>
      <c r="BU1892" s="381"/>
      <c r="BV1892" s="381"/>
      <c r="BW1892" s="229"/>
    </row>
    <row r="1893" spans="33:75" x14ac:dyDescent="0.2">
      <c r="AG1893" s="294"/>
      <c r="AH1893" s="294"/>
      <c r="AI1893" s="294"/>
      <c r="AJ1893" s="26"/>
      <c r="AO1893" s="294"/>
      <c r="BF1893" s="26"/>
      <c r="BG1893" s="26"/>
      <c r="BH1893" s="26"/>
      <c r="BI1893" s="26"/>
      <c r="BJ1893" s="26"/>
      <c r="BK1893" s="26"/>
      <c r="BL1893" s="26"/>
      <c r="BS1893" s="20"/>
      <c r="BT1893" s="26"/>
      <c r="BU1893" s="381"/>
      <c r="BV1893" s="381"/>
      <c r="BW1893" s="229"/>
    </row>
    <row r="1894" spans="33:75" x14ac:dyDescent="0.2">
      <c r="AG1894" s="294"/>
      <c r="AH1894" s="294"/>
      <c r="AI1894" s="294"/>
      <c r="AJ1894" s="26"/>
      <c r="AO1894" s="294"/>
      <c r="BF1894" s="26"/>
      <c r="BG1894" s="26"/>
      <c r="BH1894" s="26"/>
      <c r="BI1894" s="26"/>
      <c r="BJ1894" s="26"/>
      <c r="BK1894" s="26"/>
      <c r="BL1894" s="26"/>
      <c r="BS1894" s="20"/>
      <c r="BT1894" s="26"/>
      <c r="BU1894" s="381"/>
      <c r="BV1894" s="381"/>
      <c r="BW1894" s="229"/>
    </row>
    <row r="1895" spans="33:75" x14ac:dyDescent="0.2">
      <c r="AG1895" s="294"/>
      <c r="AH1895" s="294"/>
      <c r="AI1895" s="294"/>
      <c r="AJ1895" s="26"/>
      <c r="AO1895" s="294"/>
      <c r="BF1895" s="26"/>
      <c r="BG1895" s="26"/>
      <c r="BH1895" s="26"/>
      <c r="BI1895" s="26"/>
      <c r="BJ1895" s="26"/>
      <c r="BK1895" s="26"/>
      <c r="BL1895" s="26"/>
      <c r="BS1895" s="20"/>
      <c r="BT1895" s="26"/>
      <c r="BU1895" s="381"/>
      <c r="BV1895" s="381"/>
      <c r="BW1895" s="229"/>
    </row>
    <row r="1896" spans="33:75" x14ac:dyDescent="0.2">
      <c r="AG1896" s="294"/>
      <c r="AH1896" s="294"/>
      <c r="AI1896" s="294"/>
      <c r="AJ1896" s="26"/>
      <c r="AO1896" s="294"/>
      <c r="BF1896" s="26"/>
      <c r="BG1896" s="26"/>
      <c r="BH1896" s="26"/>
      <c r="BI1896" s="26"/>
      <c r="BJ1896" s="26"/>
      <c r="BK1896" s="26"/>
      <c r="BL1896" s="26"/>
      <c r="BS1896" s="20"/>
      <c r="BT1896" s="26"/>
      <c r="BU1896" s="381"/>
      <c r="BV1896" s="381"/>
      <c r="BW1896" s="229"/>
    </row>
    <row r="1897" spans="33:75" x14ac:dyDescent="0.2">
      <c r="AG1897" s="294"/>
      <c r="AH1897" s="294"/>
      <c r="AI1897" s="294"/>
      <c r="AJ1897" s="26"/>
      <c r="AO1897" s="294"/>
      <c r="BF1897" s="26"/>
      <c r="BG1897" s="26"/>
      <c r="BH1897" s="26"/>
      <c r="BI1897" s="26"/>
      <c r="BJ1897" s="26"/>
      <c r="BK1897" s="26"/>
      <c r="BL1897" s="26"/>
      <c r="BS1897" s="20"/>
      <c r="BT1897" s="26"/>
      <c r="BU1897" s="381"/>
      <c r="BV1897" s="381"/>
      <c r="BW1897" s="229"/>
    </row>
    <row r="1898" spans="33:75" x14ac:dyDescent="0.2">
      <c r="AG1898" s="294"/>
      <c r="AH1898" s="294"/>
      <c r="AI1898" s="294"/>
      <c r="AJ1898" s="26"/>
      <c r="AO1898" s="294"/>
      <c r="BF1898" s="26"/>
      <c r="BG1898" s="26"/>
      <c r="BH1898" s="26"/>
      <c r="BI1898" s="26"/>
      <c r="BJ1898" s="26"/>
      <c r="BK1898" s="26"/>
      <c r="BL1898" s="26"/>
      <c r="BS1898" s="20"/>
      <c r="BT1898" s="26"/>
      <c r="BU1898" s="381"/>
      <c r="BV1898" s="381"/>
      <c r="BW1898" s="229"/>
    </row>
    <row r="1899" spans="33:75" x14ac:dyDescent="0.2">
      <c r="AG1899" s="294"/>
      <c r="AH1899" s="294"/>
      <c r="AI1899" s="294"/>
      <c r="AJ1899" s="26"/>
      <c r="AO1899" s="294"/>
      <c r="BF1899" s="26"/>
      <c r="BG1899" s="26"/>
      <c r="BH1899" s="26"/>
      <c r="BI1899" s="26"/>
      <c r="BJ1899" s="26"/>
      <c r="BK1899" s="26"/>
      <c r="BL1899" s="26"/>
      <c r="BS1899" s="20"/>
      <c r="BT1899" s="26"/>
      <c r="BU1899" s="381"/>
      <c r="BV1899" s="381"/>
      <c r="BW1899" s="229"/>
    </row>
    <row r="1900" spans="33:75" x14ac:dyDescent="0.2">
      <c r="AG1900" s="294"/>
      <c r="AH1900" s="294"/>
      <c r="AI1900" s="294"/>
      <c r="AJ1900" s="26"/>
      <c r="AO1900" s="294"/>
      <c r="BF1900" s="26"/>
      <c r="BG1900" s="26"/>
      <c r="BH1900" s="26"/>
      <c r="BI1900" s="26"/>
      <c r="BJ1900" s="26"/>
      <c r="BK1900" s="26"/>
      <c r="BL1900" s="26"/>
      <c r="BS1900" s="20"/>
      <c r="BT1900" s="26"/>
      <c r="BU1900" s="381"/>
      <c r="BV1900" s="381"/>
      <c r="BW1900" s="229"/>
    </row>
    <row r="1901" spans="33:75" x14ac:dyDescent="0.2">
      <c r="AG1901" s="294"/>
      <c r="AH1901" s="294"/>
      <c r="AI1901" s="294"/>
      <c r="AJ1901" s="26"/>
      <c r="AO1901" s="294"/>
      <c r="BF1901" s="26"/>
      <c r="BG1901" s="26"/>
      <c r="BH1901" s="26"/>
      <c r="BI1901" s="26"/>
      <c r="BJ1901" s="26"/>
      <c r="BK1901" s="26"/>
      <c r="BL1901" s="26"/>
      <c r="BS1901" s="20"/>
      <c r="BT1901" s="26"/>
      <c r="BU1901" s="381"/>
      <c r="BV1901" s="381"/>
      <c r="BW1901" s="229"/>
    </row>
    <row r="1902" spans="33:75" x14ac:dyDescent="0.2">
      <c r="AG1902" s="294"/>
      <c r="AH1902" s="294"/>
      <c r="AI1902" s="294"/>
      <c r="AJ1902" s="26"/>
      <c r="AO1902" s="294"/>
      <c r="BF1902" s="26"/>
      <c r="BG1902" s="26"/>
      <c r="BH1902" s="26"/>
      <c r="BI1902" s="26"/>
      <c r="BJ1902" s="26"/>
      <c r="BK1902" s="26"/>
      <c r="BL1902" s="26"/>
      <c r="BS1902" s="20"/>
      <c r="BT1902" s="26"/>
      <c r="BU1902" s="381"/>
      <c r="BV1902" s="381"/>
      <c r="BW1902" s="229"/>
    </row>
    <row r="1903" spans="33:75" x14ac:dyDescent="0.2">
      <c r="AG1903" s="294"/>
      <c r="AH1903" s="294"/>
      <c r="AI1903" s="294"/>
      <c r="AJ1903" s="26"/>
      <c r="AO1903" s="294"/>
      <c r="BF1903" s="26"/>
      <c r="BG1903" s="26"/>
      <c r="BH1903" s="26"/>
      <c r="BI1903" s="26"/>
      <c r="BJ1903" s="26"/>
      <c r="BK1903" s="26"/>
      <c r="BL1903" s="26"/>
      <c r="BS1903" s="20"/>
      <c r="BT1903" s="26"/>
      <c r="BU1903" s="381"/>
      <c r="BV1903" s="381"/>
      <c r="BW1903" s="229"/>
    </row>
    <row r="1904" spans="33:75" x14ac:dyDescent="0.2">
      <c r="AG1904" s="294"/>
      <c r="AH1904" s="294"/>
      <c r="AI1904" s="294"/>
      <c r="AJ1904" s="26"/>
      <c r="AO1904" s="294"/>
      <c r="BF1904" s="26"/>
      <c r="BG1904" s="26"/>
      <c r="BH1904" s="26"/>
      <c r="BI1904" s="26"/>
      <c r="BJ1904" s="26"/>
      <c r="BK1904" s="26"/>
      <c r="BL1904" s="26"/>
      <c r="BS1904" s="20"/>
      <c r="BT1904" s="26"/>
      <c r="BU1904" s="381"/>
      <c r="BV1904" s="381"/>
      <c r="BW1904" s="229"/>
    </row>
    <row r="1905" spans="33:75" x14ac:dyDescent="0.2">
      <c r="AG1905" s="294"/>
      <c r="AH1905" s="294"/>
      <c r="AI1905" s="294"/>
      <c r="AJ1905" s="26"/>
      <c r="AO1905" s="294"/>
      <c r="BF1905" s="26"/>
      <c r="BG1905" s="26"/>
      <c r="BH1905" s="26"/>
      <c r="BI1905" s="26"/>
      <c r="BJ1905" s="26"/>
      <c r="BK1905" s="26"/>
      <c r="BL1905" s="26"/>
      <c r="BS1905" s="20"/>
      <c r="BT1905" s="26"/>
      <c r="BU1905" s="381"/>
      <c r="BV1905" s="381"/>
      <c r="BW1905" s="229"/>
    </row>
    <row r="1906" spans="33:75" x14ac:dyDescent="0.2">
      <c r="AG1906" s="294"/>
      <c r="AH1906" s="294"/>
      <c r="AI1906" s="294"/>
      <c r="AJ1906" s="26"/>
      <c r="AO1906" s="294"/>
      <c r="BF1906" s="26"/>
      <c r="BG1906" s="26"/>
      <c r="BH1906" s="26"/>
      <c r="BI1906" s="26"/>
      <c r="BJ1906" s="26"/>
      <c r="BK1906" s="26"/>
      <c r="BL1906" s="26"/>
      <c r="BS1906" s="20"/>
      <c r="BT1906" s="26"/>
      <c r="BU1906" s="381"/>
      <c r="BV1906" s="381"/>
      <c r="BW1906" s="229"/>
    </row>
    <row r="1907" spans="33:75" x14ac:dyDescent="0.2">
      <c r="AG1907" s="294"/>
      <c r="AH1907" s="294"/>
      <c r="AI1907" s="294"/>
      <c r="AJ1907" s="26"/>
      <c r="AO1907" s="294"/>
      <c r="BF1907" s="26"/>
      <c r="BG1907" s="26"/>
      <c r="BH1907" s="26"/>
      <c r="BI1907" s="26"/>
      <c r="BJ1907" s="26"/>
      <c r="BK1907" s="26"/>
      <c r="BL1907" s="26"/>
      <c r="BS1907" s="20"/>
      <c r="BT1907" s="26"/>
      <c r="BU1907" s="381"/>
      <c r="BV1907" s="381"/>
      <c r="BW1907" s="229"/>
    </row>
    <row r="1908" spans="33:75" x14ac:dyDescent="0.2">
      <c r="AG1908" s="294"/>
      <c r="AH1908" s="294"/>
      <c r="AI1908" s="294"/>
      <c r="AJ1908" s="26"/>
      <c r="AO1908" s="294"/>
      <c r="BF1908" s="26"/>
      <c r="BG1908" s="26"/>
      <c r="BH1908" s="26"/>
      <c r="BI1908" s="26"/>
      <c r="BJ1908" s="26"/>
      <c r="BK1908" s="26"/>
      <c r="BL1908" s="26"/>
      <c r="BS1908" s="20"/>
      <c r="BT1908" s="26"/>
      <c r="BU1908" s="381"/>
      <c r="BV1908" s="381"/>
      <c r="BW1908" s="229"/>
    </row>
    <row r="1909" spans="33:75" x14ac:dyDescent="0.2">
      <c r="AG1909" s="294"/>
      <c r="AH1909" s="294"/>
      <c r="AI1909" s="294"/>
      <c r="AJ1909" s="26"/>
      <c r="AO1909" s="294"/>
      <c r="BF1909" s="26"/>
      <c r="BG1909" s="26"/>
      <c r="BH1909" s="26"/>
      <c r="BI1909" s="26"/>
      <c r="BJ1909" s="26"/>
      <c r="BK1909" s="26"/>
      <c r="BL1909" s="26"/>
      <c r="BS1909" s="20"/>
      <c r="BT1909" s="26"/>
      <c r="BU1909" s="381"/>
      <c r="BV1909" s="381"/>
      <c r="BW1909" s="229"/>
    </row>
    <row r="1910" spans="33:75" x14ac:dyDescent="0.2">
      <c r="AG1910" s="294"/>
      <c r="AH1910" s="294"/>
      <c r="AI1910" s="294"/>
      <c r="AJ1910" s="26"/>
      <c r="AO1910" s="294"/>
      <c r="BF1910" s="26"/>
      <c r="BG1910" s="26"/>
      <c r="BH1910" s="26"/>
      <c r="BI1910" s="26"/>
      <c r="BJ1910" s="26"/>
      <c r="BK1910" s="26"/>
      <c r="BL1910" s="26"/>
      <c r="BS1910" s="20"/>
      <c r="BT1910" s="26"/>
      <c r="BU1910" s="381"/>
      <c r="BV1910" s="381"/>
      <c r="BW1910" s="229"/>
    </row>
    <row r="1911" spans="33:75" x14ac:dyDescent="0.2">
      <c r="AG1911" s="294"/>
      <c r="AH1911" s="294"/>
      <c r="AI1911" s="294"/>
      <c r="AJ1911" s="26"/>
      <c r="AO1911" s="294"/>
      <c r="BF1911" s="26"/>
      <c r="BG1911" s="26"/>
      <c r="BH1911" s="26"/>
      <c r="BI1911" s="26"/>
      <c r="BJ1911" s="26"/>
      <c r="BK1911" s="26"/>
      <c r="BL1911" s="26"/>
      <c r="BS1911" s="20"/>
      <c r="BT1911" s="26"/>
      <c r="BU1911" s="381"/>
      <c r="BV1911" s="381"/>
      <c r="BW1911" s="229"/>
    </row>
    <row r="1912" spans="33:75" x14ac:dyDescent="0.2">
      <c r="AG1912" s="294"/>
      <c r="AH1912" s="294"/>
      <c r="AI1912" s="294"/>
      <c r="AJ1912" s="26"/>
      <c r="AO1912" s="294"/>
      <c r="BF1912" s="26"/>
      <c r="BG1912" s="26"/>
      <c r="BH1912" s="26"/>
      <c r="BI1912" s="26"/>
      <c r="BJ1912" s="26"/>
      <c r="BK1912" s="26"/>
      <c r="BL1912" s="26"/>
      <c r="BS1912" s="20"/>
      <c r="BT1912" s="26"/>
      <c r="BU1912" s="381"/>
      <c r="BV1912" s="381"/>
      <c r="BW1912" s="229"/>
    </row>
    <row r="1913" spans="33:75" x14ac:dyDescent="0.2">
      <c r="AG1913" s="294"/>
      <c r="AH1913" s="294"/>
      <c r="AI1913" s="294"/>
      <c r="AJ1913" s="26"/>
      <c r="AO1913" s="294"/>
      <c r="BF1913" s="26"/>
      <c r="BG1913" s="26"/>
      <c r="BH1913" s="26"/>
      <c r="BI1913" s="26"/>
      <c r="BJ1913" s="26"/>
      <c r="BK1913" s="26"/>
      <c r="BL1913" s="26"/>
      <c r="BS1913" s="20"/>
      <c r="BT1913" s="26"/>
      <c r="BU1913" s="381"/>
      <c r="BV1913" s="381"/>
      <c r="BW1913" s="229"/>
    </row>
    <row r="1914" spans="33:75" x14ac:dyDescent="0.2">
      <c r="AG1914" s="294"/>
      <c r="AH1914" s="294"/>
      <c r="AI1914" s="294"/>
      <c r="AJ1914" s="26"/>
      <c r="AO1914" s="294"/>
      <c r="BF1914" s="26"/>
      <c r="BG1914" s="26"/>
      <c r="BH1914" s="26"/>
      <c r="BI1914" s="26"/>
      <c r="BJ1914" s="26"/>
      <c r="BK1914" s="26"/>
      <c r="BL1914" s="26"/>
      <c r="BS1914" s="20"/>
      <c r="BT1914" s="26"/>
      <c r="BU1914" s="381"/>
      <c r="BV1914" s="381"/>
      <c r="BW1914" s="229"/>
    </row>
    <row r="1915" spans="33:75" x14ac:dyDescent="0.2">
      <c r="AG1915" s="294"/>
      <c r="AH1915" s="294"/>
      <c r="AI1915" s="294"/>
      <c r="AJ1915" s="26"/>
      <c r="AO1915" s="294"/>
      <c r="BF1915" s="26"/>
      <c r="BG1915" s="26"/>
      <c r="BH1915" s="26"/>
      <c r="BI1915" s="26"/>
      <c r="BJ1915" s="26"/>
      <c r="BK1915" s="26"/>
      <c r="BL1915" s="26"/>
      <c r="BS1915" s="20"/>
      <c r="BT1915" s="26"/>
      <c r="BU1915" s="381"/>
      <c r="BV1915" s="381"/>
      <c r="BW1915" s="229"/>
    </row>
    <row r="1916" spans="33:75" x14ac:dyDescent="0.2">
      <c r="AG1916" s="294"/>
      <c r="AH1916" s="294"/>
      <c r="AI1916" s="294"/>
      <c r="AJ1916" s="26"/>
      <c r="AO1916" s="294"/>
      <c r="BF1916" s="26"/>
      <c r="BG1916" s="26"/>
      <c r="BH1916" s="26"/>
      <c r="BI1916" s="26"/>
      <c r="BJ1916" s="26"/>
      <c r="BK1916" s="26"/>
      <c r="BL1916" s="26"/>
      <c r="BS1916" s="20"/>
      <c r="BT1916" s="26"/>
      <c r="BU1916" s="381"/>
      <c r="BV1916" s="381"/>
      <c r="BW1916" s="229"/>
    </row>
    <row r="1917" spans="33:75" x14ac:dyDescent="0.2">
      <c r="AG1917" s="294"/>
      <c r="AH1917" s="294"/>
      <c r="AI1917" s="294"/>
      <c r="AJ1917" s="26"/>
      <c r="AO1917" s="294"/>
      <c r="BF1917" s="26"/>
      <c r="BG1917" s="26"/>
      <c r="BH1917" s="26"/>
      <c r="BI1917" s="26"/>
      <c r="BJ1917" s="26"/>
      <c r="BK1917" s="26"/>
      <c r="BL1917" s="26"/>
      <c r="BS1917" s="20"/>
      <c r="BT1917" s="26"/>
      <c r="BU1917" s="381"/>
      <c r="BV1917" s="381"/>
      <c r="BW1917" s="229"/>
    </row>
    <row r="1918" spans="33:75" x14ac:dyDescent="0.2">
      <c r="AG1918" s="294"/>
      <c r="AH1918" s="294"/>
      <c r="AI1918" s="294"/>
      <c r="AJ1918" s="26"/>
      <c r="AO1918" s="294"/>
      <c r="BF1918" s="26"/>
      <c r="BG1918" s="26"/>
      <c r="BH1918" s="26"/>
      <c r="BI1918" s="26"/>
      <c r="BJ1918" s="26"/>
      <c r="BK1918" s="26"/>
      <c r="BL1918" s="26"/>
      <c r="BS1918" s="20"/>
      <c r="BT1918" s="26"/>
      <c r="BU1918" s="381"/>
      <c r="BV1918" s="381"/>
      <c r="BW1918" s="229"/>
    </row>
    <row r="1919" spans="33:75" x14ac:dyDescent="0.2">
      <c r="AG1919" s="294"/>
      <c r="AH1919" s="294"/>
      <c r="AI1919" s="294"/>
      <c r="AJ1919" s="26"/>
      <c r="AO1919" s="294"/>
      <c r="BF1919" s="26"/>
      <c r="BG1919" s="26"/>
      <c r="BH1919" s="26"/>
      <c r="BI1919" s="26"/>
      <c r="BJ1919" s="26"/>
      <c r="BK1919" s="26"/>
      <c r="BL1919" s="26"/>
      <c r="BS1919" s="20"/>
      <c r="BT1919" s="26"/>
      <c r="BU1919" s="381"/>
      <c r="BV1919" s="381"/>
      <c r="BW1919" s="229"/>
    </row>
    <row r="1920" spans="33:75" x14ac:dyDescent="0.2">
      <c r="AG1920" s="294"/>
      <c r="AH1920" s="294"/>
      <c r="AI1920" s="294"/>
      <c r="AJ1920" s="26"/>
      <c r="AO1920" s="294"/>
      <c r="BF1920" s="26"/>
      <c r="BG1920" s="26"/>
      <c r="BH1920" s="26"/>
      <c r="BI1920" s="26"/>
      <c r="BJ1920" s="26"/>
      <c r="BK1920" s="26"/>
      <c r="BL1920" s="26"/>
      <c r="BS1920" s="20"/>
      <c r="BT1920" s="26"/>
      <c r="BU1920" s="381"/>
      <c r="BV1920" s="381"/>
      <c r="BW1920" s="229"/>
    </row>
    <row r="1921" spans="33:75" x14ac:dyDescent="0.2">
      <c r="AG1921" s="294"/>
      <c r="AH1921" s="294"/>
      <c r="AI1921" s="294"/>
      <c r="AJ1921" s="26"/>
      <c r="AO1921" s="294"/>
      <c r="BF1921" s="26"/>
      <c r="BG1921" s="26"/>
      <c r="BH1921" s="26"/>
      <c r="BI1921" s="26"/>
      <c r="BJ1921" s="26"/>
      <c r="BK1921" s="26"/>
      <c r="BL1921" s="26"/>
      <c r="BS1921" s="20"/>
      <c r="BT1921" s="26"/>
      <c r="BU1921" s="381"/>
      <c r="BV1921" s="381"/>
      <c r="BW1921" s="229"/>
    </row>
    <row r="1922" spans="33:75" x14ac:dyDescent="0.2">
      <c r="AG1922" s="294"/>
      <c r="AH1922" s="294"/>
      <c r="AI1922" s="294"/>
      <c r="AJ1922" s="26"/>
      <c r="AO1922" s="294"/>
      <c r="BF1922" s="26"/>
      <c r="BG1922" s="26"/>
      <c r="BH1922" s="26"/>
      <c r="BI1922" s="26"/>
      <c r="BJ1922" s="26"/>
      <c r="BK1922" s="26"/>
      <c r="BL1922" s="26"/>
      <c r="BS1922" s="20"/>
      <c r="BT1922" s="26"/>
      <c r="BU1922" s="381"/>
      <c r="BV1922" s="381"/>
      <c r="BW1922" s="229"/>
    </row>
    <row r="1923" spans="33:75" x14ac:dyDescent="0.2">
      <c r="AG1923" s="294"/>
      <c r="AH1923" s="294"/>
      <c r="AI1923" s="294"/>
      <c r="AJ1923" s="26"/>
      <c r="AO1923" s="294"/>
      <c r="BF1923" s="26"/>
      <c r="BG1923" s="26"/>
      <c r="BH1923" s="26"/>
      <c r="BI1923" s="26"/>
      <c r="BJ1923" s="26"/>
      <c r="BK1923" s="26"/>
      <c r="BL1923" s="26"/>
      <c r="BS1923" s="20"/>
      <c r="BT1923" s="26"/>
      <c r="BU1923" s="381"/>
      <c r="BV1923" s="381"/>
      <c r="BW1923" s="229"/>
    </row>
    <row r="1924" spans="33:75" x14ac:dyDescent="0.2">
      <c r="AG1924" s="294"/>
      <c r="AH1924" s="294"/>
      <c r="AI1924" s="294"/>
      <c r="AJ1924" s="26"/>
      <c r="AO1924" s="294"/>
      <c r="BF1924" s="26"/>
      <c r="BG1924" s="26"/>
      <c r="BH1924" s="26"/>
      <c r="BI1924" s="26"/>
      <c r="BJ1924" s="26"/>
      <c r="BK1924" s="26"/>
      <c r="BL1924" s="26"/>
      <c r="BS1924" s="20"/>
      <c r="BT1924" s="26"/>
      <c r="BU1924" s="381"/>
      <c r="BV1924" s="381"/>
      <c r="BW1924" s="229"/>
    </row>
    <row r="1925" spans="33:75" x14ac:dyDescent="0.2">
      <c r="AG1925" s="294"/>
      <c r="AH1925" s="294"/>
      <c r="AI1925" s="294"/>
      <c r="AJ1925" s="26"/>
      <c r="AO1925" s="294"/>
      <c r="BF1925" s="26"/>
      <c r="BG1925" s="26"/>
      <c r="BH1925" s="26"/>
      <c r="BI1925" s="26"/>
      <c r="BJ1925" s="26"/>
      <c r="BK1925" s="26"/>
      <c r="BL1925" s="26"/>
      <c r="BS1925" s="20"/>
      <c r="BT1925" s="26"/>
      <c r="BU1925" s="381"/>
      <c r="BV1925" s="381"/>
      <c r="BW1925" s="229"/>
    </row>
    <row r="1926" spans="33:75" x14ac:dyDescent="0.2">
      <c r="AG1926" s="294"/>
      <c r="AH1926" s="294"/>
      <c r="AI1926" s="294"/>
      <c r="AJ1926" s="26"/>
      <c r="AO1926" s="294"/>
      <c r="BF1926" s="26"/>
      <c r="BG1926" s="26"/>
      <c r="BH1926" s="26"/>
      <c r="BI1926" s="26"/>
      <c r="BJ1926" s="26"/>
      <c r="BK1926" s="26"/>
      <c r="BL1926" s="26"/>
      <c r="BS1926" s="20"/>
      <c r="BV1926" s="381"/>
      <c r="BW1926" s="229"/>
    </row>
    <row r="1927" spans="33:75" x14ac:dyDescent="0.2">
      <c r="AG1927" s="294"/>
      <c r="AH1927" s="294"/>
      <c r="AI1927" s="294"/>
      <c r="AJ1927" s="26"/>
      <c r="AO1927" s="294"/>
      <c r="BF1927" s="26"/>
      <c r="BG1927" s="26"/>
      <c r="BH1927" s="26"/>
      <c r="BI1927" s="26"/>
      <c r="BJ1927" s="26"/>
      <c r="BK1927" s="26"/>
      <c r="BL1927" s="26"/>
      <c r="BS1927" s="20"/>
      <c r="BV1927" s="381"/>
      <c r="BW1927" s="229"/>
    </row>
    <row r="1928" spans="33:75" x14ac:dyDescent="0.2">
      <c r="AG1928" s="294"/>
      <c r="AH1928" s="294"/>
      <c r="AI1928" s="294"/>
      <c r="AJ1928" s="26"/>
      <c r="AO1928" s="294"/>
      <c r="BF1928" s="26"/>
      <c r="BG1928" s="26"/>
      <c r="BH1928" s="26"/>
      <c r="BI1928" s="26"/>
      <c r="BJ1928" s="26"/>
      <c r="BK1928" s="26"/>
      <c r="BL1928" s="26"/>
      <c r="BS1928" s="20"/>
      <c r="BV1928" s="381"/>
      <c r="BW1928" s="229"/>
    </row>
    <row r="1929" spans="33:75" x14ac:dyDescent="0.2">
      <c r="AG1929" s="294"/>
      <c r="AH1929" s="294"/>
      <c r="AI1929" s="294"/>
      <c r="AJ1929" s="26"/>
      <c r="AO1929" s="294"/>
      <c r="BF1929" s="26"/>
      <c r="BG1929" s="26"/>
      <c r="BH1929" s="26"/>
      <c r="BI1929" s="26"/>
      <c r="BJ1929" s="26"/>
      <c r="BK1929" s="26"/>
      <c r="BL1929" s="26"/>
      <c r="BS1929" s="20"/>
      <c r="BV1929" s="381"/>
      <c r="BW1929" s="229"/>
    </row>
    <row r="1930" spans="33:75" x14ac:dyDescent="0.2">
      <c r="AG1930" s="294"/>
      <c r="AH1930" s="294"/>
      <c r="AI1930" s="294"/>
      <c r="AJ1930" s="26"/>
      <c r="AO1930" s="294"/>
      <c r="BF1930" s="26"/>
      <c r="BG1930" s="26"/>
      <c r="BH1930" s="26"/>
      <c r="BI1930" s="26"/>
      <c r="BJ1930" s="26"/>
      <c r="BK1930" s="26"/>
      <c r="BL1930" s="26"/>
      <c r="BS1930" s="20"/>
      <c r="BV1930" s="381"/>
      <c r="BW1930" s="229"/>
    </row>
    <row r="1931" spans="33:75" x14ac:dyDescent="0.2">
      <c r="AG1931" s="294"/>
      <c r="AH1931" s="294"/>
      <c r="AI1931" s="294"/>
      <c r="AJ1931" s="26"/>
      <c r="AO1931" s="294"/>
      <c r="BF1931" s="26"/>
      <c r="BG1931" s="26"/>
      <c r="BH1931" s="26"/>
      <c r="BI1931" s="26"/>
      <c r="BJ1931" s="26"/>
      <c r="BK1931" s="26"/>
      <c r="BL1931" s="26"/>
      <c r="BS1931" s="20"/>
      <c r="BV1931" s="381"/>
      <c r="BW1931" s="229"/>
    </row>
    <row r="1932" spans="33:75" x14ac:dyDescent="0.2">
      <c r="AG1932" s="294"/>
      <c r="AH1932" s="294"/>
      <c r="AI1932" s="294"/>
      <c r="AJ1932" s="26"/>
      <c r="AO1932" s="294"/>
      <c r="BF1932" s="26"/>
      <c r="BG1932" s="26"/>
      <c r="BH1932" s="26"/>
      <c r="BI1932" s="26"/>
      <c r="BJ1932" s="26"/>
      <c r="BK1932" s="26"/>
      <c r="BL1932" s="26"/>
      <c r="BS1932" s="20"/>
      <c r="BV1932" s="381"/>
      <c r="BW1932" s="229"/>
    </row>
    <row r="1933" spans="33:75" x14ac:dyDescent="0.2">
      <c r="AG1933" s="294"/>
      <c r="AH1933" s="294"/>
      <c r="AI1933" s="294"/>
      <c r="AJ1933" s="26"/>
      <c r="AO1933" s="294"/>
      <c r="BF1933" s="26"/>
      <c r="BG1933" s="26"/>
      <c r="BH1933" s="26"/>
      <c r="BI1933" s="26"/>
      <c r="BJ1933" s="26"/>
      <c r="BK1933" s="26"/>
      <c r="BL1933" s="26"/>
      <c r="BS1933" s="20"/>
      <c r="BV1933" s="381"/>
      <c r="BW1933" s="229"/>
    </row>
    <row r="1934" spans="33:75" x14ac:dyDescent="0.2">
      <c r="AG1934" s="294"/>
      <c r="AH1934" s="294"/>
      <c r="AI1934" s="294"/>
      <c r="AJ1934" s="26"/>
      <c r="AO1934" s="294"/>
      <c r="BF1934" s="26"/>
      <c r="BG1934" s="26"/>
      <c r="BH1934" s="26"/>
      <c r="BI1934" s="26"/>
      <c r="BJ1934" s="26"/>
      <c r="BK1934" s="26"/>
      <c r="BL1934" s="26"/>
      <c r="BS1934" s="20"/>
      <c r="BV1934" s="381"/>
      <c r="BW1934" s="229"/>
    </row>
    <row r="1935" spans="33:75" x14ac:dyDescent="0.2">
      <c r="AG1935" s="294"/>
      <c r="AH1935" s="294"/>
      <c r="AI1935" s="294"/>
      <c r="AJ1935" s="26"/>
      <c r="AO1935" s="294"/>
      <c r="BF1935" s="26"/>
      <c r="BG1935" s="26"/>
      <c r="BH1935" s="26"/>
      <c r="BI1935" s="26"/>
      <c r="BJ1935" s="26"/>
      <c r="BK1935" s="26"/>
      <c r="BL1935" s="26"/>
      <c r="BS1935" s="20"/>
      <c r="BV1935" s="381"/>
      <c r="BW1935" s="229"/>
    </row>
    <row r="1936" spans="33:75" x14ac:dyDescent="0.2">
      <c r="AG1936" s="294"/>
      <c r="AH1936" s="294"/>
      <c r="AI1936" s="294"/>
      <c r="AJ1936" s="26"/>
      <c r="AO1936" s="294"/>
      <c r="BF1936" s="26"/>
      <c r="BG1936" s="26"/>
      <c r="BH1936" s="26"/>
      <c r="BI1936" s="26"/>
      <c r="BJ1936" s="26"/>
      <c r="BK1936" s="26"/>
      <c r="BL1936" s="26"/>
      <c r="BS1936" s="20"/>
      <c r="BV1936" s="381"/>
      <c r="BW1936" s="229"/>
    </row>
    <row r="1937" spans="33:75" x14ac:dyDescent="0.2">
      <c r="AG1937" s="294"/>
      <c r="AH1937" s="294"/>
      <c r="AI1937" s="294"/>
      <c r="AJ1937" s="26"/>
      <c r="AO1937" s="294"/>
      <c r="BF1937" s="26"/>
      <c r="BG1937" s="26"/>
      <c r="BH1937" s="26"/>
      <c r="BI1937" s="26"/>
      <c r="BJ1937" s="26"/>
      <c r="BK1937" s="26"/>
      <c r="BL1937" s="26"/>
      <c r="BS1937" s="20"/>
      <c r="BV1937" s="381"/>
      <c r="BW1937" s="229"/>
    </row>
    <row r="1938" spans="33:75" x14ac:dyDescent="0.2">
      <c r="AG1938" s="294"/>
      <c r="AH1938" s="294"/>
      <c r="AI1938" s="294"/>
      <c r="AJ1938" s="26"/>
      <c r="AO1938" s="294"/>
      <c r="BF1938" s="26"/>
      <c r="BG1938" s="26"/>
      <c r="BH1938" s="26"/>
      <c r="BI1938" s="26"/>
      <c r="BJ1938" s="26"/>
      <c r="BK1938" s="26"/>
      <c r="BL1938" s="26"/>
      <c r="BS1938" s="20"/>
      <c r="BV1938" s="381"/>
      <c r="BW1938" s="229"/>
    </row>
    <row r="1939" spans="33:75" x14ac:dyDescent="0.2">
      <c r="AG1939" s="294"/>
      <c r="AH1939" s="294"/>
      <c r="AI1939" s="294"/>
      <c r="AJ1939" s="26"/>
      <c r="AO1939" s="294"/>
      <c r="BF1939" s="26"/>
      <c r="BG1939" s="26"/>
      <c r="BH1939" s="26"/>
      <c r="BI1939" s="26"/>
      <c r="BJ1939" s="26"/>
      <c r="BK1939" s="26"/>
      <c r="BL1939" s="26"/>
      <c r="BS1939" s="20"/>
      <c r="BV1939" s="381"/>
      <c r="BW1939" s="229"/>
    </row>
    <row r="1940" spans="33:75" x14ac:dyDescent="0.2">
      <c r="AG1940" s="294"/>
      <c r="AH1940" s="294"/>
      <c r="AI1940" s="294"/>
      <c r="AJ1940" s="26"/>
      <c r="AO1940" s="294"/>
      <c r="BF1940" s="26"/>
      <c r="BG1940" s="26"/>
      <c r="BH1940" s="26"/>
      <c r="BI1940" s="26"/>
      <c r="BJ1940" s="26"/>
      <c r="BK1940" s="26"/>
      <c r="BL1940" s="26"/>
      <c r="BS1940" s="20"/>
      <c r="BV1940" s="381"/>
      <c r="BW1940" s="229"/>
    </row>
    <row r="1941" spans="33:75" x14ac:dyDescent="0.2">
      <c r="AG1941" s="294"/>
      <c r="AH1941" s="294"/>
      <c r="AI1941" s="294"/>
      <c r="AJ1941" s="26"/>
      <c r="AO1941" s="294"/>
      <c r="BF1941" s="26"/>
      <c r="BG1941" s="26"/>
      <c r="BH1941" s="26"/>
      <c r="BI1941" s="26"/>
      <c r="BJ1941" s="26"/>
      <c r="BK1941" s="26"/>
      <c r="BL1941" s="26"/>
      <c r="BS1941" s="20"/>
      <c r="BV1941" s="381"/>
      <c r="BW1941" s="229"/>
    </row>
    <row r="1942" spans="33:75" x14ac:dyDescent="0.2">
      <c r="AG1942" s="294"/>
      <c r="AH1942" s="294"/>
      <c r="AI1942" s="294"/>
      <c r="AJ1942" s="26"/>
      <c r="AO1942" s="294"/>
      <c r="BF1942" s="26"/>
      <c r="BG1942" s="26"/>
      <c r="BH1942" s="26"/>
      <c r="BI1942" s="26"/>
      <c r="BJ1942" s="26"/>
      <c r="BK1942" s="26"/>
      <c r="BL1942" s="26"/>
      <c r="BS1942" s="20"/>
      <c r="BV1942" s="381"/>
      <c r="BW1942" s="229"/>
    </row>
    <row r="1943" spans="33:75" x14ac:dyDescent="0.2">
      <c r="AG1943" s="294"/>
      <c r="AH1943" s="294"/>
      <c r="AI1943" s="294"/>
      <c r="AJ1943" s="26"/>
      <c r="AO1943" s="294"/>
      <c r="BF1943" s="26"/>
      <c r="BG1943" s="26"/>
      <c r="BH1943" s="26"/>
      <c r="BI1943" s="26"/>
      <c r="BJ1943" s="26"/>
      <c r="BK1943" s="26"/>
      <c r="BL1943" s="26"/>
      <c r="BS1943" s="20"/>
      <c r="BV1943" s="381"/>
      <c r="BW1943" s="229"/>
    </row>
    <row r="1944" spans="33:75" x14ac:dyDescent="0.2">
      <c r="AG1944" s="294"/>
      <c r="AH1944" s="294"/>
      <c r="AI1944" s="294"/>
      <c r="AJ1944" s="26"/>
      <c r="AO1944" s="294"/>
      <c r="BF1944" s="26"/>
      <c r="BG1944" s="26"/>
      <c r="BH1944" s="26"/>
      <c r="BI1944" s="26"/>
      <c r="BJ1944" s="26"/>
      <c r="BK1944" s="26"/>
      <c r="BL1944" s="26"/>
      <c r="BS1944" s="20"/>
      <c r="BV1944" s="381"/>
      <c r="BW1944" s="229"/>
    </row>
    <row r="1945" spans="33:75" x14ac:dyDescent="0.2">
      <c r="AG1945" s="294"/>
      <c r="AH1945" s="294"/>
      <c r="AI1945" s="294"/>
      <c r="AJ1945" s="26"/>
      <c r="AO1945" s="294"/>
      <c r="BF1945" s="26"/>
      <c r="BG1945" s="26"/>
      <c r="BH1945" s="26"/>
      <c r="BI1945" s="26"/>
      <c r="BJ1945" s="26"/>
      <c r="BK1945" s="26"/>
      <c r="BL1945" s="26"/>
      <c r="BS1945" s="20"/>
      <c r="BV1945" s="381"/>
      <c r="BW1945" s="229"/>
    </row>
    <row r="1946" spans="33:75" x14ac:dyDescent="0.2">
      <c r="AG1946" s="294"/>
      <c r="AH1946" s="294"/>
      <c r="AI1946" s="294"/>
      <c r="AJ1946" s="26"/>
      <c r="AO1946" s="294"/>
      <c r="BF1946" s="26"/>
      <c r="BG1946" s="26"/>
      <c r="BH1946" s="26"/>
      <c r="BI1946" s="26"/>
      <c r="BJ1946" s="26"/>
      <c r="BK1946" s="26"/>
      <c r="BL1946" s="26"/>
      <c r="BS1946" s="20"/>
      <c r="BV1946" s="381"/>
      <c r="BW1946" s="229"/>
    </row>
    <row r="1947" spans="33:75" x14ac:dyDescent="0.2">
      <c r="AG1947" s="294"/>
      <c r="AH1947" s="294"/>
      <c r="AI1947" s="294"/>
      <c r="AJ1947" s="26"/>
      <c r="AO1947" s="294"/>
      <c r="BF1947" s="26"/>
      <c r="BG1947" s="26"/>
      <c r="BH1947" s="26"/>
      <c r="BI1947" s="26"/>
      <c r="BJ1947" s="26"/>
      <c r="BK1947" s="26"/>
      <c r="BL1947" s="26"/>
      <c r="BS1947" s="20"/>
      <c r="BV1947" s="381"/>
      <c r="BW1947" s="229"/>
    </row>
    <row r="1948" spans="33:75" x14ac:dyDescent="0.2">
      <c r="AG1948" s="294"/>
      <c r="AH1948" s="294"/>
      <c r="AI1948" s="294"/>
      <c r="AJ1948" s="26"/>
      <c r="AO1948" s="294"/>
      <c r="BF1948" s="26"/>
      <c r="BG1948" s="26"/>
      <c r="BH1948" s="26"/>
      <c r="BI1948" s="26"/>
      <c r="BJ1948" s="26"/>
      <c r="BK1948" s="26"/>
      <c r="BL1948" s="26"/>
      <c r="BS1948" s="20"/>
      <c r="BV1948" s="381"/>
      <c r="BW1948" s="229"/>
    </row>
    <row r="1949" spans="33:75" x14ac:dyDescent="0.2">
      <c r="AG1949" s="294"/>
      <c r="AH1949" s="294"/>
      <c r="AI1949" s="294"/>
      <c r="AJ1949" s="26"/>
      <c r="AO1949" s="294"/>
      <c r="BF1949" s="26"/>
      <c r="BG1949" s="26"/>
      <c r="BH1949" s="26"/>
      <c r="BI1949" s="26"/>
      <c r="BJ1949" s="26"/>
      <c r="BK1949" s="26"/>
      <c r="BL1949" s="26"/>
      <c r="BS1949" s="20"/>
      <c r="BV1949" s="381"/>
      <c r="BW1949" s="229"/>
    </row>
    <row r="1950" spans="33:75" x14ac:dyDescent="0.2">
      <c r="AG1950" s="294"/>
      <c r="AH1950" s="294"/>
      <c r="AI1950" s="294"/>
      <c r="AJ1950" s="26"/>
      <c r="AO1950" s="294"/>
      <c r="BF1950" s="26"/>
      <c r="BG1950" s="26"/>
      <c r="BH1950" s="26"/>
      <c r="BI1950" s="26"/>
      <c r="BJ1950" s="26"/>
      <c r="BK1950" s="26"/>
      <c r="BL1950" s="26"/>
      <c r="BS1950" s="20"/>
      <c r="BV1950" s="381"/>
      <c r="BW1950" s="229"/>
    </row>
    <row r="1951" spans="33:75" x14ac:dyDescent="0.2">
      <c r="AG1951" s="294"/>
      <c r="AH1951" s="294"/>
      <c r="AI1951" s="294"/>
      <c r="AJ1951" s="26"/>
      <c r="AO1951" s="294"/>
      <c r="BF1951" s="26"/>
      <c r="BG1951" s="26"/>
      <c r="BH1951" s="26"/>
      <c r="BI1951" s="26"/>
      <c r="BJ1951" s="26"/>
      <c r="BK1951" s="26"/>
      <c r="BL1951" s="26"/>
      <c r="BS1951" s="20"/>
      <c r="BV1951" s="381"/>
      <c r="BW1951" s="229"/>
    </row>
    <row r="1952" spans="33:75" x14ac:dyDescent="0.2">
      <c r="AG1952" s="294"/>
      <c r="AH1952" s="294"/>
      <c r="AI1952" s="294"/>
      <c r="AJ1952" s="26"/>
      <c r="AO1952" s="294"/>
      <c r="BF1952" s="26"/>
      <c r="BG1952" s="26"/>
      <c r="BH1952" s="26"/>
      <c r="BI1952" s="26"/>
      <c r="BJ1952" s="26"/>
      <c r="BK1952" s="26"/>
      <c r="BL1952" s="26"/>
      <c r="BS1952" s="20"/>
      <c r="BV1952" s="381"/>
      <c r="BW1952" s="229"/>
    </row>
    <row r="1953" spans="33:75" x14ac:dyDescent="0.2">
      <c r="AG1953" s="294"/>
      <c r="AH1953" s="294"/>
      <c r="AI1953" s="294"/>
      <c r="AJ1953" s="26"/>
      <c r="AO1953" s="294"/>
      <c r="BF1953" s="26"/>
      <c r="BG1953" s="26"/>
      <c r="BH1953" s="26"/>
      <c r="BI1953" s="26"/>
      <c r="BJ1953" s="26"/>
      <c r="BK1953" s="26"/>
      <c r="BL1953" s="26"/>
      <c r="BS1953" s="20"/>
      <c r="BV1953" s="381"/>
      <c r="BW1953" s="229"/>
    </row>
    <row r="1954" spans="33:75" x14ac:dyDescent="0.2">
      <c r="AG1954" s="294"/>
      <c r="AH1954" s="294"/>
      <c r="AI1954" s="294"/>
      <c r="AJ1954" s="26"/>
      <c r="AO1954" s="294"/>
      <c r="BF1954" s="26"/>
      <c r="BG1954" s="26"/>
      <c r="BH1954" s="26"/>
      <c r="BI1954" s="26"/>
      <c r="BJ1954" s="26"/>
      <c r="BK1954" s="26"/>
      <c r="BL1954" s="26"/>
      <c r="BS1954" s="20"/>
      <c r="BV1954" s="381"/>
      <c r="BW1954" s="229"/>
    </row>
    <row r="1955" spans="33:75" x14ac:dyDescent="0.2">
      <c r="AG1955" s="294"/>
      <c r="AH1955" s="294"/>
      <c r="AI1955" s="294"/>
      <c r="AJ1955" s="26"/>
      <c r="AO1955" s="294"/>
      <c r="BF1955" s="26"/>
      <c r="BG1955" s="26"/>
      <c r="BH1955" s="26"/>
      <c r="BI1955" s="26"/>
      <c r="BJ1955" s="26"/>
      <c r="BK1955" s="26"/>
      <c r="BL1955" s="26"/>
      <c r="BS1955" s="20"/>
      <c r="BV1955" s="381"/>
      <c r="BW1955" s="229"/>
    </row>
    <row r="1956" spans="33:75" x14ac:dyDescent="0.2">
      <c r="AG1956" s="294"/>
      <c r="AH1956" s="294"/>
      <c r="AI1956" s="294"/>
      <c r="AJ1956" s="26"/>
      <c r="AO1956" s="294"/>
      <c r="BF1956" s="26"/>
      <c r="BG1956" s="26"/>
      <c r="BH1956" s="26"/>
      <c r="BI1956" s="26"/>
      <c r="BJ1956" s="26"/>
      <c r="BK1956" s="26"/>
      <c r="BL1956" s="26"/>
      <c r="BS1956" s="20"/>
      <c r="BV1956" s="381"/>
      <c r="BW1956" s="229"/>
    </row>
    <row r="1957" spans="33:75" x14ac:dyDescent="0.2">
      <c r="AG1957" s="294"/>
      <c r="AH1957" s="294"/>
      <c r="AI1957" s="294"/>
      <c r="AJ1957" s="26"/>
      <c r="AO1957" s="294"/>
      <c r="BF1957" s="26"/>
      <c r="BG1957" s="26"/>
      <c r="BH1957" s="26"/>
      <c r="BI1957" s="26"/>
      <c r="BJ1957" s="26"/>
      <c r="BK1957" s="26"/>
      <c r="BL1957" s="26"/>
      <c r="BS1957" s="20"/>
      <c r="BV1957" s="381"/>
      <c r="BW1957" s="229"/>
    </row>
    <row r="1958" spans="33:75" x14ac:dyDescent="0.2">
      <c r="AG1958" s="294"/>
      <c r="AH1958" s="294"/>
      <c r="AI1958" s="294"/>
      <c r="AJ1958" s="26"/>
      <c r="AO1958" s="294"/>
      <c r="BF1958" s="26"/>
      <c r="BG1958" s="26"/>
      <c r="BH1958" s="26"/>
      <c r="BI1958" s="26"/>
      <c r="BJ1958" s="26"/>
      <c r="BK1958" s="26"/>
      <c r="BL1958" s="26"/>
      <c r="BS1958" s="20"/>
      <c r="BV1958" s="381"/>
      <c r="BW1958" s="229"/>
    </row>
    <row r="1959" spans="33:75" x14ac:dyDescent="0.2">
      <c r="AG1959" s="294"/>
      <c r="AH1959" s="294"/>
      <c r="AI1959" s="294"/>
      <c r="AJ1959" s="26"/>
      <c r="AO1959" s="294"/>
      <c r="BF1959" s="26"/>
      <c r="BG1959" s="26"/>
      <c r="BH1959" s="26"/>
      <c r="BI1959" s="26"/>
      <c r="BJ1959" s="26"/>
      <c r="BK1959" s="26"/>
      <c r="BL1959" s="26"/>
      <c r="BS1959" s="20"/>
      <c r="BV1959" s="381"/>
      <c r="BW1959" s="229"/>
    </row>
    <row r="1960" spans="33:75" x14ac:dyDescent="0.2">
      <c r="AG1960" s="294"/>
      <c r="AH1960" s="294"/>
      <c r="AI1960" s="294"/>
      <c r="AJ1960" s="26"/>
      <c r="AO1960" s="294"/>
      <c r="BF1960" s="26"/>
      <c r="BG1960" s="26"/>
      <c r="BH1960" s="26"/>
      <c r="BI1960" s="26"/>
      <c r="BJ1960" s="26"/>
      <c r="BK1960" s="26"/>
      <c r="BL1960" s="26"/>
      <c r="BS1960" s="20"/>
      <c r="BV1960" s="381"/>
      <c r="BW1960" s="229"/>
    </row>
    <row r="1961" spans="33:75" x14ac:dyDescent="0.2">
      <c r="AG1961" s="294"/>
      <c r="AH1961" s="294"/>
      <c r="AI1961" s="294"/>
      <c r="AJ1961" s="26"/>
      <c r="AO1961" s="294"/>
      <c r="BF1961" s="26"/>
      <c r="BG1961" s="26"/>
      <c r="BH1961" s="26"/>
      <c r="BI1961" s="26"/>
      <c r="BJ1961" s="26"/>
      <c r="BK1961" s="26"/>
      <c r="BL1961" s="26"/>
      <c r="BS1961" s="20"/>
      <c r="BV1961" s="381"/>
      <c r="BW1961" s="229"/>
    </row>
    <row r="1962" spans="33:75" x14ac:dyDescent="0.2">
      <c r="AG1962" s="294"/>
      <c r="AH1962" s="294"/>
      <c r="AI1962" s="294"/>
      <c r="AJ1962" s="26"/>
      <c r="AO1962" s="294"/>
      <c r="BF1962" s="26"/>
      <c r="BG1962" s="26"/>
      <c r="BH1962" s="26"/>
      <c r="BI1962" s="26"/>
      <c r="BJ1962" s="26"/>
      <c r="BK1962" s="26"/>
      <c r="BL1962" s="26"/>
      <c r="BS1962" s="20"/>
      <c r="BV1962" s="381"/>
      <c r="BW1962" s="229"/>
    </row>
    <row r="1963" spans="33:75" x14ac:dyDescent="0.2">
      <c r="AG1963" s="294"/>
      <c r="AH1963" s="294"/>
      <c r="AI1963" s="294"/>
      <c r="AJ1963" s="26"/>
      <c r="AO1963" s="294"/>
      <c r="BF1963" s="26"/>
      <c r="BG1963" s="26"/>
      <c r="BH1963" s="26"/>
      <c r="BI1963" s="26"/>
      <c r="BJ1963" s="26"/>
      <c r="BK1963" s="26"/>
      <c r="BL1963" s="26"/>
      <c r="BS1963" s="20"/>
      <c r="BV1963" s="381"/>
      <c r="BW1963" s="229"/>
    </row>
    <row r="1964" spans="33:75" x14ac:dyDescent="0.2">
      <c r="AG1964" s="294"/>
      <c r="AH1964" s="294"/>
      <c r="AI1964" s="294"/>
      <c r="AJ1964" s="26"/>
      <c r="AO1964" s="294"/>
      <c r="BF1964" s="26"/>
      <c r="BG1964" s="26"/>
      <c r="BH1964" s="26"/>
      <c r="BI1964" s="26"/>
      <c r="BJ1964" s="26"/>
      <c r="BK1964" s="26"/>
      <c r="BL1964" s="26"/>
      <c r="BS1964" s="20"/>
      <c r="BV1964" s="381"/>
      <c r="BW1964" s="229"/>
    </row>
    <row r="1965" spans="33:75" x14ac:dyDescent="0.2">
      <c r="AG1965" s="294"/>
      <c r="AH1965" s="294"/>
      <c r="AI1965" s="294"/>
      <c r="AJ1965" s="26"/>
      <c r="AO1965" s="294"/>
      <c r="BF1965" s="26"/>
      <c r="BG1965" s="26"/>
      <c r="BH1965" s="26"/>
      <c r="BI1965" s="26"/>
      <c r="BJ1965" s="26"/>
      <c r="BK1965" s="26"/>
      <c r="BL1965" s="26"/>
      <c r="BS1965" s="20"/>
      <c r="BV1965" s="381"/>
      <c r="BW1965" s="229"/>
    </row>
    <row r="1966" spans="33:75" x14ac:dyDescent="0.2">
      <c r="AG1966" s="294"/>
      <c r="AH1966" s="294"/>
      <c r="AI1966" s="294"/>
      <c r="AJ1966" s="26"/>
      <c r="AO1966" s="294"/>
      <c r="BF1966" s="26"/>
      <c r="BG1966" s="26"/>
      <c r="BH1966" s="26"/>
      <c r="BI1966" s="26"/>
      <c r="BJ1966" s="26"/>
      <c r="BK1966" s="26"/>
      <c r="BL1966" s="26"/>
      <c r="BS1966" s="20"/>
      <c r="BV1966" s="381"/>
      <c r="BW1966" s="229"/>
    </row>
    <row r="1967" spans="33:75" x14ac:dyDescent="0.2">
      <c r="AG1967" s="294"/>
      <c r="AH1967" s="294"/>
      <c r="AI1967" s="294"/>
      <c r="AJ1967" s="26"/>
      <c r="AO1967" s="294"/>
      <c r="BF1967" s="26"/>
      <c r="BG1967" s="26"/>
      <c r="BH1967" s="26"/>
      <c r="BI1967" s="26"/>
      <c r="BJ1967" s="26"/>
      <c r="BK1967" s="26"/>
      <c r="BL1967" s="26"/>
      <c r="BS1967" s="20"/>
      <c r="BV1967" s="381"/>
      <c r="BW1967" s="229"/>
    </row>
    <row r="1968" spans="33:75" x14ac:dyDescent="0.2">
      <c r="AG1968" s="294"/>
      <c r="AH1968" s="294"/>
      <c r="AI1968" s="294"/>
      <c r="AJ1968" s="26"/>
      <c r="AO1968" s="294"/>
      <c r="BF1968" s="26"/>
      <c r="BG1968" s="26"/>
      <c r="BH1968" s="26"/>
      <c r="BI1968" s="26"/>
      <c r="BJ1968" s="26"/>
      <c r="BK1968" s="26"/>
      <c r="BL1968" s="26"/>
      <c r="BS1968" s="20"/>
      <c r="BV1968" s="381"/>
      <c r="BW1968" s="229"/>
    </row>
    <row r="1969" spans="33:75" x14ac:dyDescent="0.2">
      <c r="AG1969" s="294"/>
      <c r="AH1969" s="294"/>
      <c r="AI1969" s="294"/>
      <c r="AJ1969" s="26"/>
      <c r="AO1969" s="294"/>
      <c r="BF1969" s="26"/>
      <c r="BG1969" s="26"/>
      <c r="BH1969" s="26"/>
      <c r="BI1969" s="26"/>
      <c r="BJ1969" s="26"/>
      <c r="BK1969" s="26"/>
      <c r="BL1969" s="26"/>
      <c r="BV1969" s="381"/>
      <c r="BW1969" s="229"/>
    </row>
    <row r="1970" spans="33:75" x14ac:dyDescent="0.2">
      <c r="AG1970" s="294"/>
      <c r="AH1970" s="294"/>
      <c r="AI1970" s="294"/>
      <c r="AJ1970" s="26"/>
      <c r="AO1970" s="294"/>
      <c r="BF1970" s="26"/>
      <c r="BG1970" s="26"/>
      <c r="BH1970" s="26"/>
      <c r="BI1970" s="26"/>
      <c r="BJ1970" s="26"/>
      <c r="BK1970" s="26"/>
      <c r="BL1970" s="26"/>
      <c r="BV1970" s="381"/>
      <c r="BW1970" s="229"/>
    </row>
    <row r="1971" spans="33:75" x14ac:dyDescent="0.2">
      <c r="AG1971" s="294"/>
      <c r="AH1971" s="294"/>
      <c r="AI1971" s="294"/>
      <c r="AJ1971" s="26"/>
      <c r="AO1971" s="294"/>
      <c r="BF1971" s="26"/>
      <c r="BG1971" s="26"/>
      <c r="BH1971" s="26"/>
      <c r="BI1971" s="26"/>
      <c r="BJ1971" s="26"/>
      <c r="BK1971" s="26"/>
      <c r="BL1971" s="26"/>
      <c r="BV1971" s="381"/>
      <c r="BW1971" s="229"/>
    </row>
    <row r="1972" spans="33:75" x14ac:dyDescent="0.2">
      <c r="AG1972" s="294"/>
      <c r="AH1972" s="294"/>
      <c r="AI1972" s="294"/>
      <c r="AJ1972" s="26"/>
      <c r="AO1972" s="294"/>
      <c r="BF1972" s="26"/>
      <c r="BG1972" s="26"/>
      <c r="BH1972" s="26"/>
      <c r="BI1972" s="26"/>
      <c r="BJ1972" s="26"/>
      <c r="BK1972" s="26"/>
      <c r="BL1972" s="26"/>
      <c r="BV1972" s="381"/>
      <c r="BW1972" s="229"/>
    </row>
    <row r="1973" spans="33:75" x14ac:dyDescent="0.2">
      <c r="AG1973" s="294"/>
      <c r="AH1973" s="294"/>
      <c r="AI1973" s="294"/>
      <c r="AJ1973" s="26"/>
      <c r="AO1973" s="294"/>
      <c r="BF1973" s="26"/>
      <c r="BG1973" s="26"/>
      <c r="BH1973" s="26"/>
      <c r="BI1973" s="26"/>
      <c r="BJ1973" s="26"/>
      <c r="BK1973" s="26"/>
      <c r="BL1973" s="26"/>
      <c r="BV1973" s="381"/>
      <c r="BW1973" s="229"/>
    </row>
    <row r="1974" spans="33:75" x14ac:dyDescent="0.2">
      <c r="AG1974" s="294"/>
      <c r="AH1974" s="294"/>
      <c r="AI1974" s="294"/>
      <c r="AJ1974" s="26"/>
      <c r="AO1974" s="294"/>
      <c r="BF1974" s="26"/>
      <c r="BG1974" s="26"/>
      <c r="BH1974" s="26"/>
      <c r="BI1974" s="26"/>
      <c r="BJ1974" s="26"/>
      <c r="BK1974" s="26"/>
      <c r="BL1974" s="26"/>
      <c r="BV1974" s="381"/>
      <c r="BW1974" s="229"/>
    </row>
    <row r="1975" spans="33:75" x14ac:dyDescent="0.2">
      <c r="AG1975" s="294"/>
      <c r="AH1975" s="294"/>
      <c r="AI1975" s="294"/>
      <c r="AJ1975" s="26"/>
      <c r="AO1975" s="294"/>
      <c r="BF1975" s="26"/>
      <c r="BG1975" s="26"/>
      <c r="BH1975" s="26"/>
      <c r="BI1975" s="26"/>
      <c r="BJ1975" s="26"/>
      <c r="BK1975" s="26"/>
      <c r="BL1975" s="26"/>
      <c r="BV1975" s="381"/>
      <c r="BW1975" s="229"/>
    </row>
    <row r="1976" spans="33:75" x14ac:dyDescent="0.2">
      <c r="AG1976" s="294"/>
      <c r="AH1976" s="294"/>
      <c r="AI1976" s="294"/>
      <c r="AJ1976" s="26"/>
      <c r="AO1976" s="294"/>
      <c r="BF1976" s="26"/>
      <c r="BG1976" s="26"/>
      <c r="BH1976" s="26"/>
      <c r="BI1976" s="26"/>
      <c r="BJ1976" s="26"/>
      <c r="BK1976" s="26"/>
      <c r="BL1976" s="26"/>
      <c r="BV1976" s="381"/>
      <c r="BW1976" s="229"/>
    </row>
    <row r="1977" spans="33:75" x14ac:dyDescent="0.2">
      <c r="AG1977" s="294"/>
      <c r="AH1977" s="294"/>
      <c r="AI1977" s="294"/>
      <c r="AJ1977" s="26"/>
      <c r="AO1977" s="294"/>
      <c r="BF1977" s="26"/>
      <c r="BG1977" s="26"/>
      <c r="BH1977" s="26"/>
      <c r="BI1977" s="26"/>
      <c r="BJ1977" s="26"/>
      <c r="BK1977" s="26"/>
      <c r="BL1977" s="26"/>
      <c r="BV1977" s="381"/>
      <c r="BW1977" s="229"/>
    </row>
    <row r="1978" spans="33:75" x14ac:dyDescent="0.2">
      <c r="AG1978" s="294"/>
      <c r="AH1978" s="294"/>
      <c r="AI1978" s="294"/>
      <c r="AJ1978" s="26"/>
      <c r="AO1978" s="294"/>
      <c r="BF1978" s="26"/>
      <c r="BG1978" s="26"/>
      <c r="BH1978" s="26"/>
      <c r="BI1978" s="26"/>
      <c r="BJ1978" s="26"/>
      <c r="BK1978" s="26"/>
      <c r="BL1978" s="26"/>
      <c r="BV1978" s="381"/>
      <c r="BW1978" s="229"/>
    </row>
    <row r="1979" spans="33:75" x14ac:dyDescent="0.2">
      <c r="AG1979" s="294"/>
      <c r="AH1979" s="294"/>
      <c r="AI1979" s="294"/>
      <c r="AJ1979" s="26"/>
      <c r="AO1979" s="294"/>
      <c r="BF1979" s="26"/>
      <c r="BG1979" s="26"/>
      <c r="BH1979" s="26"/>
      <c r="BI1979" s="26"/>
      <c r="BJ1979" s="26"/>
      <c r="BK1979" s="26"/>
      <c r="BL1979" s="26"/>
      <c r="BV1979" s="381"/>
      <c r="BW1979" s="229"/>
    </row>
    <row r="1980" spans="33:75" x14ac:dyDescent="0.2">
      <c r="AG1980" s="294"/>
      <c r="AH1980" s="294"/>
      <c r="AI1980" s="294"/>
      <c r="AJ1980" s="26"/>
      <c r="AO1980" s="294"/>
      <c r="BF1980" s="26"/>
      <c r="BG1980" s="26"/>
      <c r="BH1980" s="26"/>
      <c r="BI1980" s="26"/>
      <c r="BJ1980" s="26"/>
      <c r="BK1980" s="26"/>
      <c r="BL1980" s="26"/>
      <c r="BV1980" s="381"/>
      <c r="BW1980" s="229"/>
    </row>
    <row r="1981" spans="33:75" x14ac:dyDescent="0.2">
      <c r="AG1981" s="294"/>
      <c r="AH1981" s="294"/>
      <c r="AI1981" s="294"/>
      <c r="AJ1981" s="26"/>
      <c r="AO1981" s="294"/>
      <c r="BF1981" s="26"/>
      <c r="BG1981" s="26"/>
      <c r="BH1981" s="26"/>
      <c r="BI1981" s="26"/>
      <c r="BJ1981" s="26"/>
      <c r="BK1981" s="26"/>
      <c r="BL1981" s="26"/>
      <c r="BV1981" s="381"/>
      <c r="BW1981" s="229"/>
    </row>
    <row r="1982" spans="33:75" x14ac:dyDescent="0.2">
      <c r="AG1982" s="294"/>
      <c r="AH1982" s="294"/>
      <c r="AI1982" s="294"/>
      <c r="AJ1982" s="26"/>
      <c r="AO1982" s="294"/>
      <c r="BF1982" s="26"/>
      <c r="BG1982" s="26"/>
      <c r="BH1982" s="26"/>
      <c r="BI1982" s="26"/>
      <c r="BJ1982" s="26"/>
      <c r="BK1982" s="26"/>
      <c r="BL1982" s="26"/>
      <c r="BV1982" s="381"/>
      <c r="BW1982" s="229"/>
    </row>
    <row r="1983" spans="33:75" x14ac:dyDescent="0.2">
      <c r="AG1983" s="294"/>
      <c r="AH1983" s="294"/>
      <c r="AI1983" s="294"/>
      <c r="AJ1983" s="26"/>
      <c r="AO1983" s="294"/>
      <c r="BF1983" s="26"/>
      <c r="BG1983" s="26"/>
      <c r="BH1983" s="26"/>
      <c r="BI1983" s="26"/>
      <c r="BJ1983" s="26"/>
      <c r="BK1983" s="26"/>
      <c r="BL1983" s="26"/>
      <c r="BV1983" s="381"/>
      <c r="BW1983" s="229"/>
    </row>
    <row r="1984" spans="33:75" x14ac:dyDescent="0.2">
      <c r="AG1984" s="294"/>
      <c r="AH1984" s="294"/>
      <c r="AI1984" s="294"/>
      <c r="AJ1984" s="26"/>
      <c r="AO1984" s="294"/>
      <c r="BF1984" s="26"/>
      <c r="BG1984" s="26"/>
      <c r="BH1984" s="26"/>
      <c r="BI1984" s="26"/>
      <c r="BJ1984" s="26"/>
      <c r="BK1984" s="26"/>
      <c r="BL1984" s="26"/>
      <c r="BV1984" s="381"/>
      <c r="BW1984" s="229"/>
    </row>
    <row r="1985" spans="33:75" x14ac:dyDescent="0.2">
      <c r="AG1985" s="294"/>
      <c r="AH1985" s="294"/>
      <c r="AI1985" s="294"/>
      <c r="AJ1985" s="26"/>
      <c r="AO1985" s="294"/>
      <c r="BF1985" s="26"/>
      <c r="BG1985" s="26"/>
      <c r="BH1985" s="26"/>
      <c r="BI1985" s="26"/>
      <c r="BJ1985" s="26"/>
      <c r="BK1985" s="26"/>
      <c r="BL1985" s="26"/>
      <c r="BV1985" s="381"/>
      <c r="BW1985" s="229"/>
    </row>
    <row r="1986" spans="33:75" x14ac:dyDescent="0.2">
      <c r="AG1986" s="294"/>
      <c r="AH1986" s="294"/>
      <c r="AI1986" s="294"/>
      <c r="AJ1986" s="26"/>
      <c r="AO1986" s="294"/>
      <c r="BF1986" s="26"/>
      <c r="BG1986" s="26"/>
      <c r="BH1986" s="26"/>
      <c r="BI1986" s="26"/>
      <c r="BJ1986" s="26"/>
      <c r="BK1986" s="26"/>
      <c r="BL1986" s="26"/>
      <c r="BV1986" s="381"/>
      <c r="BW1986" s="229"/>
    </row>
    <row r="1987" spans="33:75" x14ac:dyDescent="0.2">
      <c r="AG1987" s="294"/>
      <c r="AH1987" s="294"/>
      <c r="AI1987" s="294"/>
      <c r="AJ1987" s="26"/>
      <c r="AO1987" s="294"/>
      <c r="BF1987" s="26"/>
      <c r="BG1987" s="26"/>
      <c r="BH1987" s="26"/>
      <c r="BI1987" s="26"/>
      <c r="BJ1987" s="26"/>
      <c r="BK1987" s="26"/>
      <c r="BL1987" s="26"/>
      <c r="BV1987" s="381"/>
      <c r="BW1987" s="229"/>
    </row>
    <row r="1988" spans="33:75" x14ac:dyDescent="0.2">
      <c r="AG1988" s="294"/>
      <c r="AH1988" s="294"/>
      <c r="AI1988" s="294"/>
      <c r="AJ1988" s="26"/>
      <c r="AO1988" s="294"/>
      <c r="BF1988" s="26"/>
      <c r="BG1988" s="26"/>
      <c r="BH1988" s="26"/>
      <c r="BI1988" s="26"/>
      <c r="BJ1988" s="26"/>
      <c r="BK1988" s="26"/>
      <c r="BL1988" s="26"/>
      <c r="BV1988" s="381"/>
      <c r="BW1988" s="229"/>
    </row>
    <row r="1989" spans="33:75" x14ac:dyDescent="0.2">
      <c r="AG1989" s="294"/>
      <c r="AH1989" s="294"/>
      <c r="AI1989" s="294"/>
      <c r="AJ1989" s="26"/>
      <c r="AO1989" s="294"/>
      <c r="BF1989" s="26"/>
      <c r="BG1989" s="26"/>
      <c r="BH1989" s="26"/>
      <c r="BI1989" s="26"/>
      <c r="BJ1989" s="26"/>
      <c r="BK1989" s="26"/>
      <c r="BL1989" s="26"/>
      <c r="BV1989" s="381"/>
      <c r="BW1989" s="229"/>
    </row>
    <row r="1990" spans="33:75" x14ac:dyDescent="0.2">
      <c r="AG1990" s="294"/>
      <c r="AH1990" s="294"/>
      <c r="AI1990" s="294"/>
      <c r="AJ1990" s="26"/>
      <c r="AO1990" s="294"/>
      <c r="BF1990" s="26"/>
      <c r="BG1990" s="26"/>
      <c r="BH1990" s="26"/>
      <c r="BI1990" s="26"/>
      <c r="BJ1990" s="26"/>
      <c r="BK1990" s="26"/>
      <c r="BL1990" s="26"/>
      <c r="BV1990" s="381"/>
      <c r="BW1990" s="229"/>
    </row>
    <row r="1991" spans="33:75" x14ac:dyDescent="0.2">
      <c r="AG1991" s="294"/>
      <c r="AH1991" s="294"/>
      <c r="AI1991" s="294"/>
      <c r="AJ1991" s="26"/>
      <c r="AO1991" s="294"/>
      <c r="BF1991" s="26"/>
      <c r="BG1991" s="26"/>
      <c r="BH1991" s="26"/>
      <c r="BI1991" s="26"/>
      <c r="BJ1991" s="26"/>
      <c r="BK1991" s="26"/>
      <c r="BL1991" s="26"/>
      <c r="BV1991" s="381"/>
      <c r="BW1991" s="229"/>
    </row>
    <row r="1992" spans="33:75" x14ac:dyDescent="0.2">
      <c r="AG1992" s="294"/>
      <c r="AH1992" s="294"/>
      <c r="AI1992" s="294"/>
      <c r="AJ1992" s="26"/>
      <c r="AO1992" s="294"/>
      <c r="BF1992" s="26"/>
      <c r="BG1992" s="26"/>
      <c r="BH1992" s="26"/>
      <c r="BI1992" s="26"/>
      <c r="BJ1992" s="26"/>
      <c r="BK1992" s="26"/>
      <c r="BL1992" s="26"/>
      <c r="BV1992" s="381"/>
      <c r="BW1992" s="229"/>
    </row>
    <row r="1993" spans="33:75" x14ac:dyDescent="0.2">
      <c r="AG1993" s="294"/>
      <c r="AH1993" s="294"/>
      <c r="AI1993" s="294"/>
      <c r="AJ1993" s="26"/>
      <c r="AO1993" s="294"/>
      <c r="BF1993" s="26"/>
      <c r="BG1993" s="26"/>
      <c r="BH1993" s="26"/>
      <c r="BI1993" s="26"/>
      <c r="BJ1993" s="26"/>
      <c r="BK1993" s="26"/>
      <c r="BL1993" s="26"/>
      <c r="BV1993" s="381"/>
      <c r="BW1993" s="229"/>
    </row>
    <row r="1994" spans="33:75" x14ac:dyDescent="0.2">
      <c r="AG1994" s="294"/>
      <c r="AH1994" s="294"/>
      <c r="AI1994" s="294"/>
      <c r="AJ1994" s="26"/>
      <c r="AO1994" s="294"/>
      <c r="BF1994" s="26"/>
      <c r="BG1994" s="26"/>
      <c r="BH1994" s="26"/>
      <c r="BI1994" s="26"/>
      <c r="BJ1994" s="26"/>
      <c r="BK1994" s="26"/>
      <c r="BL1994" s="26"/>
      <c r="BV1994" s="381"/>
      <c r="BW1994" s="229"/>
    </row>
    <row r="1995" spans="33:75" x14ac:dyDescent="0.2">
      <c r="AG1995" s="294"/>
      <c r="AH1995" s="294"/>
      <c r="AI1995" s="294"/>
      <c r="AJ1995" s="26"/>
      <c r="AO1995" s="294"/>
      <c r="BF1995" s="26"/>
      <c r="BG1995" s="26"/>
      <c r="BH1995" s="26"/>
      <c r="BI1995" s="26"/>
      <c r="BJ1995" s="26"/>
      <c r="BK1995" s="26"/>
      <c r="BL1995" s="26"/>
      <c r="BV1995" s="381"/>
      <c r="BW1995" s="229"/>
    </row>
    <row r="1996" spans="33:75" x14ac:dyDescent="0.2">
      <c r="AG1996" s="294"/>
      <c r="AH1996" s="294"/>
      <c r="AI1996" s="294"/>
      <c r="AJ1996" s="26"/>
      <c r="AO1996" s="294"/>
      <c r="BF1996" s="26"/>
      <c r="BG1996" s="26"/>
      <c r="BH1996" s="26"/>
      <c r="BI1996" s="26"/>
      <c r="BJ1996" s="26"/>
      <c r="BK1996" s="26"/>
      <c r="BL1996" s="26"/>
      <c r="BV1996" s="381"/>
      <c r="BW1996" s="229"/>
    </row>
    <row r="1997" spans="33:75" x14ac:dyDescent="0.2">
      <c r="AG1997" s="294"/>
      <c r="AH1997" s="294"/>
      <c r="AI1997" s="294"/>
      <c r="AJ1997" s="26"/>
      <c r="AO1997" s="294"/>
      <c r="BF1997" s="26"/>
      <c r="BG1997" s="26"/>
      <c r="BH1997" s="26"/>
      <c r="BI1997" s="26"/>
      <c r="BJ1997" s="26"/>
      <c r="BK1997" s="26"/>
      <c r="BL1997" s="26"/>
      <c r="BV1997" s="381"/>
      <c r="BW1997" s="229"/>
    </row>
    <row r="1998" spans="33:75" x14ac:dyDescent="0.2">
      <c r="AG1998" s="294"/>
      <c r="AH1998" s="294"/>
      <c r="AI1998" s="294"/>
      <c r="AJ1998" s="26"/>
      <c r="AO1998" s="294"/>
      <c r="BF1998" s="26"/>
      <c r="BG1998" s="26"/>
      <c r="BH1998" s="26"/>
      <c r="BI1998" s="26"/>
      <c r="BJ1998" s="26"/>
      <c r="BK1998" s="26"/>
      <c r="BL1998" s="26"/>
      <c r="BV1998" s="381"/>
      <c r="BW1998" s="229"/>
    </row>
    <row r="1999" spans="33:75" x14ac:dyDescent="0.2">
      <c r="AG1999" s="294"/>
      <c r="AH1999" s="294"/>
      <c r="AI1999" s="294"/>
      <c r="AJ1999" s="26"/>
      <c r="AO1999" s="294"/>
      <c r="BF1999" s="26"/>
      <c r="BG1999" s="26"/>
      <c r="BH1999" s="26"/>
      <c r="BI1999" s="26"/>
      <c r="BJ1999" s="26"/>
      <c r="BK1999" s="26"/>
      <c r="BL1999" s="26"/>
      <c r="BV1999" s="381"/>
      <c r="BW1999" s="229"/>
    </row>
    <row r="2000" spans="33:75" x14ac:dyDescent="0.2">
      <c r="AG2000" s="294"/>
      <c r="AH2000" s="294"/>
      <c r="AI2000" s="294"/>
      <c r="AJ2000" s="26"/>
      <c r="AO2000" s="294"/>
      <c r="BF2000" s="26"/>
      <c r="BG2000" s="26"/>
      <c r="BH2000" s="26"/>
      <c r="BI2000" s="26"/>
      <c r="BJ2000" s="26"/>
      <c r="BK2000" s="26"/>
      <c r="BL2000" s="26"/>
      <c r="BV2000" s="381"/>
      <c r="BW2000" s="229"/>
    </row>
    <row r="2001" spans="33:75" x14ac:dyDescent="0.2">
      <c r="AG2001" s="294"/>
      <c r="AH2001" s="294"/>
      <c r="AI2001" s="294"/>
      <c r="AJ2001" s="26"/>
      <c r="AO2001" s="294"/>
      <c r="BF2001" s="26"/>
      <c r="BG2001" s="26"/>
      <c r="BH2001" s="26"/>
      <c r="BI2001" s="26"/>
      <c r="BJ2001" s="26"/>
      <c r="BK2001" s="26"/>
      <c r="BL2001" s="26"/>
      <c r="BV2001" s="381"/>
      <c r="BW2001" s="229"/>
    </row>
    <row r="2002" spans="33:75" x14ac:dyDescent="0.2">
      <c r="AG2002" s="294"/>
      <c r="AH2002" s="294"/>
      <c r="AI2002" s="294"/>
      <c r="AJ2002" s="26"/>
      <c r="AO2002" s="294"/>
      <c r="BF2002" s="26"/>
      <c r="BG2002" s="26"/>
      <c r="BH2002" s="26"/>
      <c r="BI2002" s="26"/>
      <c r="BJ2002" s="26"/>
      <c r="BK2002" s="26"/>
      <c r="BL2002" s="26"/>
      <c r="BV2002" s="381"/>
      <c r="BW2002" s="229"/>
    </row>
    <row r="2003" spans="33:75" x14ac:dyDescent="0.2">
      <c r="AG2003" s="294"/>
      <c r="AH2003" s="294"/>
      <c r="AI2003" s="294"/>
      <c r="AJ2003" s="26"/>
      <c r="AO2003" s="294"/>
      <c r="BF2003" s="26"/>
      <c r="BG2003" s="26"/>
      <c r="BH2003" s="26"/>
      <c r="BI2003" s="26"/>
      <c r="BJ2003" s="26"/>
      <c r="BK2003" s="26"/>
      <c r="BL2003" s="26"/>
      <c r="BV2003" s="381"/>
      <c r="BW2003" s="229"/>
    </row>
    <row r="2004" spans="33:75" x14ac:dyDescent="0.2">
      <c r="AG2004" s="294"/>
      <c r="AH2004" s="294"/>
      <c r="AI2004" s="294"/>
      <c r="AJ2004" s="26"/>
      <c r="AO2004" s="294"/>
      <c r="BF2004" s="26"/>
      <c r="BG2004" s="26"/>
      <c r="BH2004" s="26"/>
      <c r="BI2004" s="26"/>
      <c r="BJ2004" s="26"/>
      <c r="BK2004" s="26"/>
      <c r="BL2004" s="26"/>
      <c r="BV2004" s="381"/>
      <c r="BW2004" s="229"/>
    </row>
    <row r="2005" spans="33:75" x14ac:dyDescent="0.2">
      <c r="AG2005" s="294"/>
      <c r="AH2005" s="294"/>
      <c r="AI2005" s="294"/>
      <c r="AJ2005" s="26"/>
      <c r="AO2005" s="294"/>
      <c r="BF2005" s="26"/>
      <c r="BG2005" s="26"/>
      <c r="BH2005" s="26"/>
      <c r="BI2005" s="26"/>
      <c r="BJ2005" s="26"/>
      <c r="BK2005" s="26"/>
      <c r="BL2005" s="26"/>
      <c r="BV2005" s="381"/>
      <c r="BW2005" s="229"/>
    </row>
    <row r="2006" spans="33:75" x14ac:dyDescent="0.2">
      <c r="AG2006" s="294"/>
      <c r="AH2006" s="294"/>
      <c r="AI2006" s="294"/>
      <c r="AJ2006" s="26"/>
      <c r="AO2006" s="294"/>
      <c r="BF2006" s="26"/>
      <c r="BG2006" s="26"/>
      <c r="BH2006" s="26"/>
      <c r="BI2006" s="26"/>
      <c r="BJ2006" s="26"/>
      <c r="BK2006" s="26"/>
      <c r="BL2006" s="26"/>
      <c r="BV2006" s="381"/>
      <c r="BW2006" s="229"/>
    </row>
    <row r="2007" spans="33:75" x14ac:dyDescent="0.2">
      <c r="AG2007" s="294"/>
      <c r="AH2007" s="294"/>
      <c r="AI2007" s="294"/>
      <c r="AJ2007" s="26"/>
      <c r="AO2007" s="294"/>
      <c r="BF2007" s="26"/>
      <c r="BG2007" s="26"/>
      <c r="BH2007" s="26"/>
      <c r="BI2007" s="26"/>
      <c r="BJ2007" s="26"/>
      <c r="BK2007" s="26"/>
      <c r="BL2007" s="26"/>
      <c r="BV2007" s="381"/>
      <c r="BW2007" s="229"/>
    </row>
    <row r="2008" spans="33:75" x14ac:dyDescent="0.2">
      <c r="AG2008" s="294"/>
      <c r="AH2008" s="294"/>
      <c r="AI2008" s="294"/>
      <c r="AJ2008" s="26"/>
      <c r="AO2008" s="294"/>
      <c r="BF2008" s="26"/>
      <c r="BG2008" s="26"/>
      <c r="BH2008" s="26"/>
      <c r="BI2008" s="26"/>
      <c r="BJ2008" s="26"/>
      <c r="BK2008" s="26"/>
      <c r="BL2008" s="26"/>
      <c r="BV2008" s="381"/>
      <c r="BW2008" s="229"/>
    </row>
    <row r="2009" spans="33:75" x14ac:dyDescent="0.2">
      <c r="AG2009" s="294"/>
      <c r="AH2009" s="294"/>
      <c r="AI2009" s="294"/>
      <c r="AJ2009" s="26"/>
      <c r="AO2009" s="294"/>
      <c r="BF2009" s="26"/>
      <c r="BG2009" s="26"/>
      <c r="BH2009" s="26"/>
      <c r="BI2009" s="26"/>
      <c r="BJ2009" s="26"/>
      <c r="BK2009" s="26"/>
      <c r="BL2009" s="26"/>
      <c r="BV2009" s="381"/>
      <c r="BW2009" s="229"/>
    </row>
    <row r="2010" spans="33:75" x14ac:dyDescent="0.2">
      <c r="AG2010" s="294"/>
      <c r="AH2010" s="294"/>
      <c r="AI2010" s="294"/>
      <c r="AJ2010" s="26"/>
      <c r="AO2010" s="294"/>
      <c r="BF2010" s="26"/>
      <c r="BG2010" s="26"/>
      <c r="BH2010" s="26"/>
      <c r="BI2010" s="26"/>
      <c r="BJ2010" s="26"/>
      <c r="BK2010" s="26"/>
      <c r="BL2010" s="26"/>
      <c r="BV2010" s="381"/>
      <c r="BW2010" s="229"/>
    </row>
    <row r="2011" spans="33:75" x14ac:dyDescent="0.2">
      <c r="AG2011" s="294"/>
      <c r="AH2011" s="294"/>
      <c r="AI2011" s="294"/>
      <c r="AJ2011" s="26"/>
      <c r="AO2011" s="294"/>
      <c r="BF2011" s="26"/>
      <c r="BG2011" s="26"/>
      <c r="BH2011" s="26"/>
      <c r="BI2011" s="26"/>
      <c r="BJ2011" s="26"/>
      <c r="BK2011" s="26"/>
      <c r="BL2011" s="26"/>
      <c r="BV2011" s="381"/>
      <c r="BW2011" s="229"/>
    </row>
    <row r="2012" spans="33:75" x14ac:dyDescent="0.2">
      <c r="AG2012" s="294"/>
      <c r="AH2012" s="294"/>
      <c r="AI2012" s="294"/>
      <c r="AJ2012" s="26"/>
      <c r="AO2012" s="294"/>
      <c r="BV2012" s="381"/>
      <c r="BW2012" s="229"/>
    </row>
    <row r="2013" spans="33:75" x14ac:dyDescent="0.2">
      <c r="AG2013" s="294"/>
      <c r="AH2013" s="294"/>
      <c r="AI2013" s="294"/>
      <c r="AJ2013" s="26"/>
      <c r="AO2013" s="294"/>
      <c r="BV2013" s="381"/>
      <c r="BW2013" s="229"/>
    </row>
    <row r="2014" spans="33:75" x14ac:dyDescent="0.2">
      <c r="AG2014" s="294"/>
      <c r="AH2014" s="294"/>
      <c r="AI2014" s="294"/>
      <c r="AJ2014" s="26"/>
      <c r="AO2014" s="294"/>
      <c r="BV2014" s="381"/>
      <c r="BW2014" s="229"/>
    </row>
    <row r="2015" spans="33:75" x14ac:dyDescent="0.2">
      <c r="AG2015" s="294"/>
      <c r="AH2015" s="294"/>
      <c r="AI2015" s="294"/>
      <c r="AJ2015" s="26"/>
      <c r="AO2015" s="294"/>
      <c r="BV2015" s="381"/>
      <c r="BW2015" s="229"/>
    </row>
    <row r="2016" spans="33:75" x14ac:dyDescent="0.2">
      <c r="AG2016" s="294"/>
      <c r="AH2016" s="294"/>
      <c r="AI2016" s="294"/>
      <c r="AJ2016" s="26"/>
      <c r="AO2016" s="294"/>
      <c r="BV2016" s="381"/>
      <c r="BW2016" s="229"/>
    </row>
    <row r="2017" spans="33:75" x14ac:dyDescent="0.2">
      <c r="AG2017" s="294"/>
      <c r="AH2017" s="294"/>
      <c r="AI2017" s="294"/>
      <c r="AJ2017" s="26"/>
      <c r="AO2017" s="294"/>
      <c r="BV2017" s="381"/>
      <c r="BW2017" s="229"/>
    </row>
    <row r="2018" spans="33:75" x14ac:dyDescent="0.2">
      <c r="AG2018" s="294"/>
      <c r="AH2018" s="294"/>
      <c r="AI2018" s="294"/>
      <c r="AJ2018" s="26"/>
      <c r="AO2018" s="294"/>
      <c r="BV2018" s="381"/>
      <c r="BW2018" s="229"/>
    </row>
    <row r="2019" spans="33:75" x14ac:dyDescent="0.2">
      <c r="AG2019" s="294"/>
      <c r="AH2019" s="294"/>
      <c r="AI2019" s="294"/>
      <c r="AJ2019" s="26"/>
      <c r="AO2019" s="294"/>
      <c r="BV2019" s="381"/>
      <c r="BW2019" s="229"/>
    </row>
    <row r="2020" spans="33:75" x14ac:dyDescent="0.2">
      <c r="AG2020" s="294"/>
      <c r="AH2020" s="294"/>
      <c r="AI2020" s="294"/>
      <c r="AJ2020" s="26"/>
      <c r="AO2020" s="294"/>
      <c r="BV2020" s="381"/>
      <c r="BW2020" s="229"/>
    </row>
    <row r="2021" spans="33:75" x14ac:dyDescent="0.2">
      <c r="AJ2021" s="26"/>
      <c r="BV2021" s="381"/>
    </row>
    <row r="2022" spans="33:75" x14ac:dyDescent="0.2">
      <c r="AJ2022" s="26"/>
      <c r="BV2022" s="381"/>
    </row>
    <row r="2023" spans="33:75" x14ac:dyDescent="0.2">
      <c r="AJ2023" s="26"/>
      <c r="BV2023" s="381"/>
    </row>
    <row r="2024" spans="33:75" x14ac:dyDescent="0.2">
      <c r="AJ2024" s="26"/>
      <c r="BV2024" s="381"/>
    </row>
    <row r="2025" spans="33:75" x14ac:dyDescent="0.2">
      <c r="AJ2025" s="26"/>
      <c r="BV2025" s="381"/>
    </row>
    <row r="2026" spans="33:75" x14ac:dyDescent="0.2">
      <c r="AJ2026" s="26"/>
      <c r="BV2026" s="381"/>
    </row>
    <row r="2027" spans="33:75" x14ac:dyDescent="0.2">
      <c r="AJ2027" s="26"/>
      <c r="BV2027" s="381"/>
    </row>
    <row r="2028" spans="33:75" x14ac:dyDescent="0.2">
      <c r="AJ2028" s="26"/>
      <c r="BV2028" s="381"/>
    </row>
    <row r="2029" spans="33:75" x14ac:dyDescent="0.2">
      <c r="AJ2029" s="26"/>
      <c r="BV2029" s="381"/>
    </row>
    <row r="2030" spans="33:75" x14ac:dyDescent="0.2">
      <c r="AJ2030" s="26"/>
      <c r="BV2030" s="381"/>
    </row>
    <row r="2031" spans="33:75" x14ac:dyDescent="0.2">
      <c r="AJ2031" s="26"/>
      <c r="BV2031" s="381"/>
    </row>
    <row r="2032" spans="33:75" x14ac:dyDescent="0.2">
      <c r="AJ2032" s="26"/>
      <c r="BV2032" s="381"/>
    </row>
    <row r="2033" spans="36:74" x14ac:dyDescent="0.2">
      <c r="AJ2033" s="26"/>
      <c r="BV2033" s="381"/>
    </row>
    <row r="2034" spans="36:74" x14ac:dyDescent="0.2">
      <c r="AJ2034" s="26"/>
      <c r="BV2034" s="381"/>
    </row>
    <row r="2035" spans="36:74" x14ac:dyDescent="0.2">
      <c r="AJ2035" s="26"/>
      <c r="BV2035" s="381"/>
    </row>
    <row r="2036" spans="36:74" x14ac:dyDescent="0.2">
      <c r="AJ2036" s="26"/>
      <c r="BV2036" s="381"/>
    </row>
    <row r="2037" spans="36:74" x14ac:dyDescent="0.2">
      <c r="AJ2037" s="26"/>
      <c r="BV2037" s="381"/>
    </row>
    <row r="2038" spans="36:74" x14ac:dyDescent="0.2">
      <c r="AJ2038" s="26"/>
      <c r="BV2038" s="381"/>
    </row>
    <row r="2039" spans="36:74" x14ac:dyDescent="0.2">
      <c r="AJ2039" s="26"/>
      <c r="BV2039" s="381"/>
    </row>
    <row r="2040" spans="36:74" x14ac:dyDescent="0.2">
      <c r="AJ2040" s="26"/>
      <c r="BV2040" s="381"/>
    </row>
    <row r="2041" spans="36:74" x14ac:dyDescent="0.2">
      <c r="AJ2041" s="26"/>
      <c r="BV2041" s="381"/>
    </row>
    <row r="2042" spans="36:74" x14ac:dyDescent="0.2">
      <c r="AJ2042" s="26"/>
      <c r="BV2042" s="381"/>
    </row>
    <row r="2043" spans="36:74" x14ac:dyDescent="0.2">
      <c r="AJ2043" s="26"/>
      <c r="BV2043" s="381"/>
    </row>
    <row r="2044" spans="36:74" x14ac:dyDescent="0.2">
      <c r="AJ2044" s="26"/>
      <c r="BV2044" s="381"/>
    </row>
    <row r="2045" spans="36:74" x14ac:dyDescent="0.2">
      <c r="AJ2045" s="26"/>
      <c r="BV2045" s="381"/>
    </row>
    <row r="2046" spans="36:74" x14ac:dyDescent="0.2">
      <c r="AJ2046" s="26"/>
      <c r="BV2046" s="381"/>
    </row>
    <row r="2047" spans="36:74" x14ac:dyDescent="0.2">
      <c r="AJ2047" s="26"/>
      <c r="BV2047" s="381"/>
    </row>
    <row r="2048" spans="36:74" x14ac:dyDescent="0.2">
      <c r="AJ2048" s="26"/>
      <c r="BV2048" s="381"/>
    </row>
    <row r="2049" spans="36:74" x14ac:dyDescent="0.2">
      <c r="AJ2049" s="26"/>
      <c r="BV2049" s="381"/>
    </row>
    <row r="2050" spans="36:74" x14ac:dyDescent="0.2">
      <c r="AJ2050" s="26"/>
      <c r="BV2050" s="381"/>
    </row>
    <row r="2051" spans="36:74" x14ac:dyDescent="0.2">
      <c r="AJ2051" s="26"/>
      <c r="BV2051" s="381"/>
    </row>
    <row r="2052" spans="36:74" x14ac:dyDescent="0.2">
      <c r="AJ2052" s="26"/>
      <c r="BV2052" s="381"/>
    </row>
    <row r="2053" spans="36:74" x14ac:dyDescent="0.2">
      <c r="AJ2053" s="26"/>
      <c r="BV2053" s="381"/>
    </row>
    <row r="2054" spans="36:74" x14ac:dyDescent="0.2">
      <c r="AJ2054" s="26"/>
      <c r="BV2054" s="381"/>
    </row>
    <row r="2055" spans="36:74" x14ac:dyDescent="0.2">
      <c r="AJ2055" s="26"/>
      <c r="BV2055" s="381"/>
    </row>
    <row r="2056" spans="36:74" x14ac:dyDescent="0.2">
      <c r="AJ2056" s="26"/>
      <c r="BV2056" s="381"/>
    </row>
    <row r="2057" spans="36:74" x14ac:dyDescent="0.2">
      <c r="AJ2057" s="26"/>
      <c r="BV2057" s="381"/>
    </row>
    <row r="2058" spans="36:74" x14ac:dyDescent="0.2">
      <c r="AJ2058" s="26"/>
      <c r="BV2058" s="381"/>
    </row>
    <row r="2059" spans="36:74" x14ac:dyDescent="0.2">
      <c r="AJ2059" s="26"/>
      <c r="BV2059" s="381"/>
    </row>
    <row r="2060" spans="36:74" x14ac:dyDescent="0.2">
      <c r="AJ2060" s="26"/>
      <c r="BV2060" s="381"/>
    </row>
    <row r="2061" spans="36:74" x14ac:dyDescent="0.2">
      <c r="AJ2061" s="26"/>
      <c r="BV2061" s="381"/>
    </row>
    <row r="2062" spans="36:74" x14ac:dyDescent="0.2">
      <c r="AJ2062" s="26"/>
      <c r="BV2062" s="381"/>
    </row>
    <row r="2063" spans="36:74" x14ac:dyDescent="0.2">
      <c r="AJ2063" s="26"/>
      <c r="BV2063" s="381"/>
    </row>
    <row r="2064" spans="36:74" x14ac:dyDescent="0.2">
      <c r="BV2064" s="381"/>
    </row>
    <row r="2065" spans="74:74" x14ac:dyDescent="0.2">
      <c r="BV2065" s="381"/>
    </row>
    <row r="2066" spans="74:74" x14ac:dyDescent="0.2">
      <c r="BV2066" s="381"/>
    </row>
    <row r="2067" spans="74:74" x14ac:dyDescent="0.2">
      <c r="BV2067" s="381"/>
    </row>
    <row r="2068" spans="74:74" x14ac:dyDescent="0.2">
      <c r="BV2068" s="381"/>
    </row>
    <row r="2069" spans="74:74" x14ac:dyDescent="0.2">
      <c r="BV2069" s="381"/>
    </row>
    <row r="2070" spans="74:74" x14ac:dyDescent="0.2">
      <c r="BV2070" s="381"/>
    </row>
    <row r="2071" spans="74:74" x14ac:dyDescent="0.2">
      <c r="BV2071" s="381"/>
    </row>
    <row r="2072" spans="74:74" x14ac:dyDescent="0.2">
      <c r="BV2072" s="381"/>
    </row>
    <row r="2073" spans="74:74" x14ac:dyDescent="0.2">
      <c r="BV2073" s="381"/>
    </row>
    <row r="2074" spans="74:74" x14ac:dyDescent="0.2">
      <c r="BV2074" s="381"/>
    </row>
    <row r="2075" spans="74:74" x14ac:dyDescent="0.2">
      <c r="BV2075" s="381"/>
    </row>
    <row r="2076" spans="74:74" x14ac:dyDescent="0.2">
      <c r="BV2076" s="381"/>
    </row>
    <row r="2077" spans="74:74" x14ac:dyDescent="0.2">
      <c r="BV2077" s="381"/>
    </row>
    <row r="2078" spans="74:74" x14ac:dyDescent="0.2">
      <c r="BV2078" s="381"/>
    </row>
    <row r="2079" spans="74:74" x14ac:dyDescent="0.2">
      <c r="BV2079" s="381"/>
    </row>
    <row r="2080" spans="74:74" x14ac:dyDescent="0.2">
      <c r="BV2080" s="381"/>
    </row>
    <row r="2081" spans="74:74" x14ac:dyDescent="0.2">
      <c r="BV2081" s="381"/>
    </row>
    <row r="2082" spans="74:74" x14ac:dyDescent="0.2">
      <c r="BV2082" s="381"/>
    </row>
    <row r="2083" spans="74:74" x14ac:dyDescent="0.2">
      <c r="BV2083" s="381"/>
    </row>
    <row r="2084" spans="74:74" x14ac:dyDescent="0.2">
      <c r="BV2084" s="381"/>
    </row>
    <row r="2085" spans="74:74" x14ac:dyDescent="0.2">
      <c r="BV2085" s="381"/>
    </row>
    <row r="2086" spans="74:74" x14ac:dyDescent="0.2">
      <c r="BV2086" s="381"/>
    </row>
    <row r="2087" spans="74:74" x14ac:dyDescent="0.2">
      <c r="BV2087" s="381"/>
    </row>
    <row r="2088" spans="74:74" x14ac:dyDescent="0.2">
      <c r="BV2088" s="381"/>
    </row>
    <row r="2089" spans="74:74" x14ac:dyDescent="0.2">
      <c r="BV2089" s="381"/>
    </row>
    <row r="2090" spans="74:74" x14ac:dyDescent="0.2">
      <c r="BV2090" s="381"/>
    </row>
    <row r="2091" spans="74:74" x14ac:dyDescent="0.2">
      <c r="BV2091" s="381"/>
    </row>
    <row r="2092" spans="74:74" x14ac:dyDescent="0.2">
      <c r="BV2092" s="381"/>
    </row>
    <row r="2093" spans="74:74" x14ac:dyDescent="0.2">
      <c r="BV2093" s="381"/>
    </row>
    <row r="2094" spans="74:74" x14ac:dyDescent="0.2">
      <c r="BV2094" s="381"/>
    </row>
    <row r="2095" spans="74:74" x14ac:dyDescent="0.2">
      <c r="BV2095" s="381"/>
    </row>
    <row r="2096" spans="74:74" x14ac:dyDescent="0.2">
      <c r="BV2096" s="381"/>
    </row>
    <row r="2097" spans="74:74" x14ac:dyDescent="0.2">
      <c r="BV2097" s="381"/>
    </row>
    <row r="2098" spans="74:74" x14ac:dyDescent="0.2">
      <c r="BV2098" s="381"/>
    </row>
    <row r="2099" spans="74:74" x14ac:dyDescent="0.2">
      <c r="BV2099" s="381"/>
    </row>
    <row r="2100" spans="74:74" x14ac:dyDescent="0.2">
      <c r="BV2100" s="381"/>
    </row>
    <row r="2101" spans="74:74" x14ac:dyDescent="0.2">
      <c r="BV2101" s="381"/>
    </row>
    <row r="2102" spans="74:74" x14ac:dyDescent="0.2">
      <c r="BV2102" s="381"/>
    </row>
    <row r="2103" spans="74:74" x14ac:dyDescent="0.2">
      <c r="BV2103" s="381"/>
    </row>
    <row r="2104" spans="74:74" x14ac:dyDescent="0.2">
      <c r="BV2104" s="381"/>
    </row>
    <row r="2105" spans="74:74" x14ac:dyDescent="0.2">
      <c r="BV2105" s="381"/>
    </row>
    <row r="2106" spans="74:74" x14ac:dyDescent="0.2">
      <c r="BV2106" s="381"/>
    </row>
    <row r="2107" spans="74:74" x14ac:dyDescent="0.2">
      <c r="BV2107" s="381"/>
    </row>
    <row r="2108" spans="74:74" x14ac:dyDescent="0.2">
      <c r="BV2108" s="381"/>
    </row>
    <row r="2109" spans="74:74" x14ac:dyDescent="0.2">
      <c r="BV2109" s="381"/>
    </row>
    <row r="2110" spans="74:74" x14ac:dyDescent="0.2">
      <c r="BV2110" s="381"/>
    </row>
    <row r="2111" spans="74:74" x14ac:dyDescent="0.2">
      <c r="BV2111" s="381"/>
    </row>
    <row r="2112" spans="74:74" x14ac:dyDescent="0.2">
      <c r="BV2112" s="381"/>
    </row>
    <row r="2113" spans="74:74" x14ac:dyDescent="0.2">
      <c r="BV2113" s="381"/>
    </row>
    <row r="2114" spans="74:74" x14ac:dyDescent="0.2">
      <c r="BV2114" s="381"/>
    </row>
    <row r="2115" spans="74:74" x14ac:dyDescent="0.2">
      <c r="BV2115" s="381"/>
    </row>
    <row r="2116" spans="74:74" x14ac:dyDescent="0.2">
      <c r="BV2116" s="381"/>
    </row>
    <row r="2117" spans="74:74" x14ac:dyDescent="0.2">
      <c r="BV2117" s="381"/>
    </row>
    <row r="2118" spans="74:74" x14ac:dyDescent="0.2">
      <c r="BV2118" s="381"/>
    </row>
    <row r="2119" spans="74:74" x14ac:dyDescent="0.2">
      <c r="BV2119" s="381"/>
    </row>
    <row r="2120" spans="74:74" x14ac:dyDescent="0.2">
      <c r="BV2120" s="381"/>
    </row>
    <row r="2121" spans="74:74" x14ac:dyDescent="0.2">
      <c r="BV2121" s="381"/>
    </row>
    <row r="2122" spans="74:74" x14ac:dyDescent="0.2">
      <c r="BV2122" s="381"/>
    </row>
    <row r="2123" spans="74:74" x14ac:dyDescent="0.2">
      <c r="BV2123" s="381"/>
    </row>
    <row r="2124" spans="74:74" x14ac:dyDescent="0.2">
      <c r="BV2124" s="381"/>
    </row>
    <row r="2125" spans="74:74" x14ac:dyDescent="0.2">
      <c r="BV2125" s="381"/>
    </row>
    <row r="2126" spans="74:74" x14ac:dyDescent="0.2">
      <c r="BV2126" s="381"/>
    </row>
    <row r="2127" spans="74:74" x14ac:dyDescent="0.2">
      <c r="BV2127" s="381"/>
    </row>
    <row r="2128" spans="74:74" x14ac:dyDescent="0.2">
      <c r="BV2128" s="381"/>
    </row>
    <row r="2129" spans="74:74" x14ac:dyDescent="0.2">
      <c r="BV2129" s="381"/>
    </row>
    <row r="2130" spans="74:74" x14ac:dyDescent="0.2">
      <c r="BV2130" s="381"/>
    </row>
    <row r="2131" spans="74:74" x14ac:dyDescent="0.2">
      <c r="BV2131" s="381"/>
    </row>
    <row r="2132" spans="74:74" x14ac:dyDescent="0.2">
      <c r="BV2132" s="381"/>
    </row>
    <row r="2133" spans="74:74" x14ac:dyDescent="0.2">
      <c r="BV2133" s="381"/>
    </row>
    <row r="2134" spans="74:74" x14ac:dyDescent="0.2">
      <c r="BV2134" s="381"/>
    </row>
    <row r="2135" spans="74:74" x14ac:dyDescent="0.2">
      <c r="BV2135" s="381"/>
    </row>
    <row r="2136" spans="74:74" x14ac:dyDescent="0.2">
      <c r="BV2136" s="381"/>
    </row>
    <row r="2137" spans="74:74" x14ac:dyDescent="0.2">
      <c r="BV2137" s="381"/>
    </row>
    <row r="2138" spans="74:74" x14ac:dyDescent="0.2">
      <c r="BV2138" s="381"/>
    </row>
    <row r="2139" spans="74:74" x14ac:dyDescent="0.2">
      <c r="BV2139" s="381"/>
    </row>
    <row r="2140" spans="74:74" x14ac:dyDescent="0.2">
      <c r="BV2140" s="381"/>
    </row>
    <row r="2141" spans="74:74" x14ac:dyDescent="0.2">
      <c r="BV2141" s="381"/>
    </row>
    <row r="2142" spans="74:74" x14ac:dyDescent="0.2">
      <c r="BV2142" s="381"/>
    </row>
    <row r="2143" spans="74:74" x14ac:dyDescent="0.2">
      <c r="BV2143" s="381"/>
    </row>
    <row r="2144" spans="74:74" x14ac:dyDescent="0.2">
      <c r="BV2144" s="381"/>
    </row>
    <row r="2145" spans="74:74" x14ac:dyDescent="0.2">
      <c r="BV2145" s="381"/>
    </row>
    <row r="2146" spans="74:74" x14ac:dyDescent="0.2">
      <c r="BV2146" s="381"/>
    </row>
    <row r="2147" spans="74:74" x14ac:dyDescent="0.2">
      <c r="BV2147" s="381"/>
    </row>
    <row r="2148" spans="74:74" x14ac:dyDescent="0.2">
      <c r="BV2148" s="381"/>
    </row>
    <row r="2149" spans="74:74" x14ac:dyDescent="0.2">
      <c r="BV2149" s="381"/>
    </row>
    <row r="2150" spans="74:74" x14ac:dyDescent="0.2">
      <c r="BV2150" s="381"/>
    </row>
    <row r="2151" spans="74:74" x14ac:dyDescent="0.2">
      <c r="BV2151" s="381"/>
    </row>
    <row r="2152" spans="74:74" x14ac:dyDescent="0.2">
      <c r="BV2152" s="381"/>
    </row>
    <row r="2153" spans="74:74" x14ac:dyDescent="0.2">
      <c r="BV2153" s="381"/>
    </row>
    <row r="2154" spans="74:74" x14ac:dyDescent="0.2">
      <c r="BV2154" s="381"/>
    </row>
    <row r="2155" spans="74:74" x14ac:dyDescent="0.2">
      <c r="BV2155" s="381"/>
    </row>
    <row r="2156" spans="74:74" x14ac:dyDescent="0.2">
      <c r="BV2156" s="381"/>
    </row>
    <row r="2157" spans="74:74" x14ac:dyDescent="0.2">
      <c r="BV2157" s="381"/>
    </row>
    <row r="2158" spans="74:74" x14ac:dyDescent="0.2">
      <c r="BV2158" s="381"/>
    </row>
    <row r="2159" spans="74:74" x14ac:dyDescent="0.2">
      <c r="BV2159" s="381"/>
    </row>
    <row r="2160" spans="74:74" x14ac:dyDescent="0.2">
      <c r="BV2160" s="381"/>
    </row>
    <row r="2161" spans="74:74" x14ac:dyDescent="0.2">
      <c r="BV2161" s="381"/>
    </row>
    <row r="2162" spans="74:74" x14ac:dyDescent="0.2">
      <c r="BV2162" s="381"/>
    </row>
    <row r="2163" spans="74:74" x14ac:dyDescent="0.2">
      <c r="BV2163" s="381"/>
    </row>
    <row r="2164" spans="74:74" x14ac:dyDescent="0.2">
      <c r="BV2164" s="381"/>
    </row>
    <row r="2165" spans="74:74" x14ac:dyDescent="0.2">
      <c r="BV2165" s="381"/>
    </row>
    <row r="2166" spans="74:74" x14ac:dyDescent="0.2">
      <c r="BV2166" s="381"/>
    </row>
    <row r="2167" spans="74:74" x14ac:dyDescent="0.2">
      <c r="BV2167" s="381"/>
    </row>
    <row r="2168" spans="74:74" x14ac:dyDescent="0.2">
      <c r="BV2168" s="381"/>
    </row>
    <row r="2169" spans="74:74" x14ac:dyDescent="0.2">
      <c r="BV2169" s="381"/>
    </row>
    <row r="2170" spans="74:74" x14ac:dyDescent="0.2">
      <c r="BV2170" s="381"/>
    </row>
    <row r="2171" spans="74:74" x14ac:dyDescent="0.2">
      <c r="BV2171" s="381"/>
    </row>
    <row r="2172" spans="74:74" x14ac:dyDescent="0.2">
      <c r="BV2172" s="381"/>
    </row>
    <row r="2173" spans="74:74" x14ac:dyDescent="0.2">
      <c r="BV2173" s="381"/>
    </row>
    <row r="2174" spans="74:74" x14ac:dyDescent="0.2">
      <c r="BV2174" s="381"/>
    </row>
    <row r="2175" spans="74:74" x14ac:dyDescent="0.2">
      <c r="BV2175" s="381"/>
    </row>
    <row r="2176" spans="74:74" x14ac:dyDescent="0.2">
      <c r="BV2176" s="381"/>
    </row>
    <row r="2177" spans="74:74" x14ac:dyDescent="0.2">
      <c r="BV2177" s="381"/>
    </row>
    <row r="2178" spans="74:74" x14ac:dyDescent="0.2">
      <c r="BV2178" s="381"/>
    </row>
    <row r="2179" spans="74:74" x14ac:dyDescent="0.2">
      <c r="BV2179" s="381"/>
    </row>
    <row r="2180" spans="74:74" x14ac:dyDescent="0.2">
      <c r="BV2180" s="381"/>
    </row>
    <row r="2181" spans="74:74" x14ac:dyDescent="0.2">
      <c r="BV2181" s="381"/>
    </row>
    <row r="2182" spans="74:74" x14ac:dyDescent="0.2">
      <c r="BV2182" s="381"/>
    </row>
    <row r="2183" spans="74:74" x14ac:dyDescent="0.2">
      <c r="BV2183" s="381"/>
    </row>
    <row r="2184" spans="74:74" x14ac:dyDescent="0.2">
      <c r="BV2184" s="381"/>
    </row>
    <row r="2185" spans="74:74" x14ac:dyDescent="0.2">
      <c r="BV2185" s="381"/>
    </row>
    <row r="2186" spans="74:74" x14ac:dyDescent="0.2">
      <c r="BV2186" s="381"/>
    </row>
    <row r="2187" spans="74:74" x14ac:dyDescent="0.2">
      <c r="BV2187" s="381"/>
    </row>
    <row r="2188" spans="74:74" x14ac:dyDescent="0.2">
      <c r="BV2188" s="381"/>
    </row>
    <row r="2189" spans="74:74" x14ac:dyDescent="0.2">
      <c r="BV2189" s="381"/>
    </row>
    <row r="2190" spans="74:74" x14ac:dyDescent="0.2">
      <c r="BV2190" s="381"/>
    </row>
    <row r="2191" spans="74:74" x14ac:dyDescent="0.2">
      <c r="BV2191" s="381"/>
    </row>
    <row r="2192" spans="74:74" x14ac:dyDescent="0.2">
      <c r="BV2192" s="381"/>
    </row>
  </sheetData>
  <sortState ref="Y160:Z227">
    <sortCondition ref="Y160:Y227"/>
  </sortState>
  <mergeCells count="8">
    <mergeCell ref="N86:O86"/>
    <mergeCell ref="O199:P199"/>
    <mergeCell ref="AG173:AH173"/>
    <mergeCell ref="AC178:AH178"/>
    <mergeCell ref="R198:S198"/>
    <mergeCell ref="C198:E198"/>
    <mergeCell ref="F198:H198"/>
    <mergeCell ref="I198:K198"/>
  </mergeCells>
  <pageMargins left="0.74803149606299213" right="0.74803149606299213" top="0.98425196850393704" bottom="0.98425196850393704" header="0.51181102362204722" footer="0.51181102362204722"/>
  <pageSetup paperSize="9" orientation="landscape"/>
  <headerFooter alignWithMargins="0"/>
  <ignoredErrors>
    <ignoredError sqref="C10 AI173:DX173 N226:O226 Q226:W226 N266:O266 Q266:W266 DY173:EG173 EI173:EJ173" formulaRange="1"/>
    <ignoredError sqref="P322 M322 M309 M266 M250 M226 M200 P250" formula="1"/>
    <ignoredError sqref="P226 P266" formula="1" formulaRange="1"/>
  </ignoredErrors>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J334"/>
  <sheetViews>
    <sheetView topLeftCell="C1" workbookViewId="0">
      <selection activeCell="P21" sqref="P21"/>
    </sheetView>
  </sheetViews>
  <sheetFormatPr defaultRowHeight="12.75" x14ac:dyDescent="0.2"/>
  <cols>
    <col min="1" max="1" width="5.7109375" customWidth="1"/>
    <col min="2" max="2" width="29" customWidth="1"/>
    <col min="6" max="6" width="17.42578125" customWidth="1"/>
    <col min="7" max="7" width="12.28515625" customWidth="1"/>
    <col min="9" max="9" width="10.140625" customWidth="1"/>
    <col min="10" max="10" width="18.28515625" customWidth="1"/>
    <col min="11" max="11" width="9.5703125" customWidth="1"/>
    <col min="12" max="12" width="23.140625" customWidth="1"/>
    <col min="13" max="13" width="20.5703125" customWidth="1"/>
    <col min="14" max="14" width="88" customWidth="1"/>
    <col min="15" max="15" width="13.7109375" customWidth="1"/>
    <col min="17" max="17" width="9" customWidth="1"/>
    <col min="18" max="18" width="73" customWidth="1"/>
    <col min="20" max="20" width="5.7109375" style="4" customWidth="1"/>
    <col min="21" max="21" width="27.28515625" customWidth="1"/>
    <col min="22" max="22" width="34.28515625" customWidth="1"/>
    <col min="25" max="25" width="17.7109375" customWidth="1"/>
    <col min="28" max="28" width="17.7109375" customWidth="1"/>
    <col min="29" max="29" width="18.28515625" customWidth="1"/>
    <col min="32" max="32" width="23.42578125" customWidth="1"/>
    <col min="34" max="34" width="21.140625" bestFit="1" customWidth="1"/>
    <col min="35" max="35" width="16.140625" bestFit="1" customWidth="1"/>
    <col min="36" max="36" width="19.7109375" bestFit="1" customWidth="1"/>
  </cols>
  <sheetData>
    <row r="1" spans="1:36" ht="15" customHeight="1" thickBot="1" x14ac:dyDescent="0.25">
      <c r="A1" s="935" t="s">
        <v>8413</v>
      </c>
      <c r="B1" s="936"/>
      <c r="F1" s="919" t="s">
        <v>8414</v>
      </c>
      <c r="G1" s="921"/>
      <c r="J1" s="937" t="s">
        <v>8415</v>
      </c>
      <c r="K1" s="938"/>
      <c r="L1" s="939"/>
      <c r="M1" s="939"/>
      <c r="N1" s="940"/>
      <c r="O1" t="s">
        <v>8416</v>
      </c>
      <c r="Q1" s="919" t="s">
        <v>8417</v>
      </c>
      <c r="R1" s="921"/>
      <c r="T1" s="941" t="s">
        <v>8418</v>
      </c>
      <c r="U1" s="928"/>
      <c r="V1" s="942"/>
      <c r="X1" s="941" t="s">
        <v>8419</v>
      </c>
      <c r="Y1" s="942"/>
      <c r="AA1" s="941" t="s">
        <v>8420</v>
      </c>
      <c r="AB1" s="928"/>
      <c r="AC1" s="942"/>
      <c r="AE1" s="941" t="s">
        <v>8421</v>
      </c>
      <c r="AF1" s="942"/>
      <c r="AH1" s="941" t="s">
        <v>8422</v>
      </c>
      <c r="AI1" s="928"/>
      <c r="AJ1" s="942"/>
    </row>
    <row r="2" spans="1:36" ht="15" thickBot="1" x14ac:dyDescent="0.25">
      <c r="A2" s="623" t="s">
        <v>8423</v>
      </c>
      <c r="B2" s="624" t="s">
        <v>8424</v>
      </c>
      <c r="F2" s="611" t="s">
        <v>1414</v>
      </c>
      <c r="G2" s="620" t="s">
        <v>1415</v>
      </c>
      <c r="J2" s="625" t="s">
        <v>8425</v>
      </c>
      <c r="K2" s="626" t="s">
        <v>8426</v>
      </c>
      <c r="L2" s="625" t="s">
        <v>8427</v>
      </c>
      <c r="M2" s="627"/>
      <c r="N2" s="627" t="s">
        <v>8428</v>
      </c>
      <c r="O2" s="628"/>
      <c r="Q2" s="629" t="s">
        <v>8429</v>
      </c>
      <c r="R2" s="630" t="s">
        <v>8430</v>
      </c>
      <c r="T2" s="631" t="s">
        <v>8431</v>
      </c>
      <c r="U2" s="622" t="s">
        <v>8432</v>
      </c>
      <c r="V2" s="622" t="s">
        <v>8433</v>
      </c>
      <c r="X2" s="631" t="s">
        <v>8431</v>
      </c>
      <c r="Y2" s="621" t="s">
        <v>8</v>
      </c>
      <c r="AA2" s="48" t="s">
        <v>8431</v>
      </c>
      <c r="AB2" s="632" t="s">
        <v>8434</v>
      </c>
      <c r="AC2" s="633" t="s">
        <v>8435</v>
      </c>
      <c r="AE2" s="631" t="s">
        <v>8431</v>
      </c>
      <c r="AF2" s="621" t="s">
        <v>8</v>
      </c>
      <c r="AH2" s="634" t="s">
        <v>8436</v>
      </c>
      <c r="AI2" s="634" t="s">
        <v>1660</v>
      </c>
      <c r="AJ2" s="634" t="s">
        <v>1403</v>
      </c>
    </row>
    <row r="3" spans="1:36" ht="30" customHeight="1" thickBot="1" x14ac:dyDescent="0.3">
      <c r="A3" s="635" t="s">
        <v>8437</v>
      </c>
      <c r="B3" s="636" t="s">
        <v>8438</v>
      </c>
      <c r="F3" s="49" t="s">
        <v>1416</v>
      </c>
      <c r="G3" s="601" t="s">
        <v>1416</v>
      </c>
      <c r="J3" s="943" t="s">
        <v>8439</v>
      </c>
      <c r="K3" s="637">
        <v>1</v>
      </c>
      <c r="L3" s="638" t="s">
        <v>8440</v>
      </c>
      <c r="M3" s="638"/>
      <c r="N3" s="639" t="s">
        <v>8441</v>
      </c>
      <c r="O3" s="628">
        <v>7</v>
      </c>
      <c r="Q3" s="640">
        <v>-5</v>
      </c>
      <c r="R3" s="641" t="s">
        <v>8442</v>
      </c>
      <c r="T3" s="136">
        <v>1</v>
      </c>
      <c r="U3" s="8" t="s">
        <v>1662</v>
      </c>
      <c r="V3" s="601" t="s">
        <v>8443</v>
      </c>
      <c r="X3" s="619">
        <v>1</v>
      </c>
      <c r="Y3" s="601" t="s">
        <v>1450</v>
      </c>
      <c r="AA3" s="619">
        <v>1</v>
      </c>
      <c r="AE3" s="642">
        <v>1</v>
      </c>
      <c r="AF3" s="601" t="s">
        <v>8444</v>
      </c>
      <c r="AH3" s="643" t="s">
        <v>1378</v>
      </c>
      <c r="AI3" s="644" t="s">
        <v>1668</v>
      </c>
      <c r="AJ3" s="645" t="s">
        <v>1375</v>
      </c>
    </row>
    <row r="4" spans="1:36" ht="29.25" customHeight="1" thickBot="1" x14ac:dyDescent="0.3">
      <c r="A4" s="635" t="s">
        <v>8445</v>
      </c>
      <c r="B4" s="636" t="s">
        <v>8446</v>
      </c>
      <c r="F4" s="13" t="s">
        <v>8447</v>
      </c>
      <c r="G4" s="8" t="s">
        <v>8447</v>
      </c>
      <c r="J4" s="944"/>
      <c r="K4" s="637">
        <v>2</v>
      </c>
      <c r="L4" s="638" t="s">
        <v>8448</v>
      </c>
      <c r="M4" s="638"/>
      <c r="N4" s="639" t="s">
        <v>8449</v>
      </c>
      <c r="O4" s="628">
        <v>7</v>
      </c>
      <c r="Q4" s="133">
        <v>-4</v>
      </c>
      <c r="R4" s="646" t="s">
        <v>8450</v>
      </c>
      <c r="T4" s="136">
        <v>2</v>
      </c>
      <c r="U4" s="8" t="s">
        <v>1662</v>
      </c>
      <c r="V4" s="8" t="s">
        <v>8451</v>
      </c>
      <c r="X4" s="136">
        <v>2</v>
      </c>
      <c r="Y4" s="8" t="s">
        <v>1520</v>
      </c>
      <c r="AA4" s="136">
        <v>2</v>
      </c>
      <c r="AE4" s="647">
        <v>2</v>
      </c>
      <c r="AF4" s="8" t="s">
        <v>8452</v>
      </c>
      <c r="AH4" s="622" t="s">
        <v>8453</v>
      </c>
      <c r="AI4" s="648" t="s">
        <v>1668</v>
      </c>
      <c r="AJ4" s="648" t="s">
        <v>1375</v>
      </c>
    </row>
    <row r="5" spans="1:36" ht="30" customHeight="1" thickBot="1" x14ac:dyDescent="0.3">
      <c r="A5" s="635" t="s">
        <v>8454</v>
      </c>
      <c r="B5" s="636" t="s">
        <v>8455</v>
      </c>
      <c r="F5" s="13" t="s">
        <v>1418</v>
      </c>
      <c r="G5" s="8" t="s">
        <v>1418</v>
      </c>
      <c r="J5" s="944"/>
      <c r="K5" s="637">
        <v>3</v>
      </c>
      <c r="L5" s="638" t="s">
        <v>8456</v>
      </c>
      <c r="M5" s="638"/>
      <c r="N5" s="639" t="s">
        <v>8457</v>
      </c>
      <c r="O5" s="628">
        <v>7</v>
      </c>
      <c r="Q5" s="133">
        <v>-3</v>
      </c>
      <c r="R5" s="646" t="s">
        <v>8458</v>
      </c>
      <c r="T5" s="136">
        <v>3</v>
      </c>
      <c r="U5" s="8" t="s">
        <v>1662</v>
      </c>
      <c r="V5" s="8" t="s">
        <v>8459</v>
      </c>
      <c r="X5" s="136">
        <v>3</v>
      </c>
      <c r="Y5" s="8" t="s">
        <v>8460</v>
      </c>
      <c r="AA5" s="136">
        <v>3</v>
      </c>
      <c r="AE5" s="647">
        <v>3</v>
      </c>
      <c r="AF5" s="8" t="s">
        <v>8461</v>
      </c>
      <c r="AH5" s="622" t="s">
        <v>1700</v>
      </c>
      <c r="AI5" s="648" t="s">
        <v>1668</v>
      </c>
      <c r="AJ5" s="648" t="s">
        <v>1375</v>
      </c>
    </row>
    <row r="6" spans="1:36" ht="31.5" customHeight="1" thickBot="1" x14ac:dyDescent="0.3">
      <c r="A6" s="635" t="s">
        <v>8462</v>
      </c>
      <c r="B6" s="636" t="s">
        <v>8463</v>
      </c>
      <c r="F6" s="13" t="s">
        <v>1208</v>
      </c>
      <c r="G6" s="8" t="s">
        <v>1208</v>
      </c>
      <c r="J6" s="945"/>
      <c r="K6" s="637">
        <v>4</v>
      </c>
      <c r="L6" s="638" t="s">
        <v>8464</v>
      </c>
      <c r="M6" s="638"/>
      <c r="N6" s="639" t="s">
        <v>8465</v>
      </c>
      <c r="O6" s="628">
        <v>6</v>
      </c>
      <c r="Q6" s="133">
        <v>-2</v>
      </c>
      <c r="R6" s="646" t="s">
        <v>8466</v>
      </c>
      <c r="T6" s="136">
        <v>4</v>
      </c>
      <c r="U6" s="8" t="s">
        <v>1662</v>
      </c>
      <c r="V6" s="8" t="s">
        <v>8467</v>
      </c>
      <c r="X6" s="136">
        <v>4</v>
      </c>
      <c r="Y6" s="8" t="s">
        <v>1449</v>
      </c>
      <c r="AA6" s="136">
        <v>4</v>
      </c>
      <c r="AE6" s="647">
        <v>4</v>
      </c>
      <c r="AF6" s="8" t="s">
        <v>8468</v>
      </c>
      <c r="AH6" s="643" t="s">
        <v>8469</v>
      </c>
      <c r="AI6" s="648" t="s">
        <v>1668</v>
      </c>
      <c r="AJ6" s="649" t="s">
        <v>1375</v>
      </c>
    </row>
    <row r="7" spans="1:36" ht="15" customHeight="1" thickBot="1" x14ac:dyDescent="0.3">
      <c r="A7" s="635" t="s">
        <v>8470</v>
      </c>
      <c r="B7" s="636" t="s">
        <v>8471</v>
      </c>
      <c r="F7" s="13" t="s">
        <v>1420</v>
      </c>
      <c r="G7" s="650"/>
      <c r="J7" s="943" t="s">
        <v>8472</v>
      </c>
      <c r="K7" s="637">
        <v>5</v>
      </c>
      <c r="L7" s="638" t="s">
        <v>8473</v>
      </c>
      <c r="M7" s="638"/>
      <c r="N7" s="639" t="s">
        <v>8474</v>
      </c>
      <c r="O7" s="628" t="s">
        <v>8475</v>
      </c>
      <c r="Q7" s="133">
        <v>-1</v>
      </c>
      <c r="R7" s="646" t="s">
        <v>8476</v>
      </c>
      <c r="T7" s="136">
        <v>5</v>
      </c>
      <c r="U7" s="8" t="s">
        <v>1663</v>
      </c>
      <c r="V7" s="8"/>
      <c r="X7" s="136">
        <v>5</v>
      </c>
      <c r="Y7" s="8" t="s">
        <v>1448</v>
      </c>
      <c r="AA7" s="136">
        <v>5</v>
      </c>
      <c r="AE7" s="651">
        <v>5</v>
      </c>
      <c r="AF7" s="14" t="s">
        <v>8477</v>
      </c>
      <c r="AH7" s="643" t="s">
        <v>983</v>
      </c>
      <c r="AI7" s="648" t="s">
        <v>1668</v>
      </c>
      <c r="AJ7" s="649" t="s">
        <v>1375</v>
      </c>
    </row>
    <row r="8" spans="1:36" ht="45" customHeight="1" thickBot="1" x14ac:dyDescent="0.3">
      <c r="A8" s="635" t="s">
        <v>8478</v>
      </c>
      <c r="B8" s="636" t="s">
        <v>8479</v>
      </c>
      <c r="F8" s="70" t="s">
        <v>1417</v>
      </c>
      <c r="G8" s="8" t="s">
        <v>1417</v>
      </c>
      <c r="J8" s="944"/>
      <c r="K8" s="637">
        <v>6</v>
      </c>
      <c r="L8" s="638" t="s">
        <v>8480</v>
      </c>
      <c r="M8" s="638"/>
      <c r="N8" s="652" t="s">
        <v>8481</v>
      </c>
      <c r="O8" s="628">
        <v>11</v>
      </c>
      <c r="Q8" s="133">
        <v>0</v>
      </c>
      <c r="R8" s="646" t="s">
        <v>8482</v>
      </c>
      <c r="T8" s="137">
        <v>6</v>
      </c>
      <c r="U8" s="14" t="s">
        <v>1664</v>
      </c>
      <c r="V8" s="14"/>
      <c r="X8" s="137">
        <v>6</v>
      </c>
      <c r="Y8" s="14" t="s">
        <v>1447</v>
      </c>
      <c r="AA8" s="136">
        <v>6</v>
      </c>
      <c r="AH8" s="643" t="s">
        <v>1380</v>
      </c>
      <c r="AI8" s="648" t="s">
        <v>1668</v>
      </c>
      <c r="AJ8" s="649" t="s">
        <v>1375</v>
      </c>
    </row>
    <row r="9" spans="1:36" ht="45" customHeight="1" thickBot="1" x14ac:dyDescent="0.3">
      <c r="A9" s="635" t="s">
        <v>1424</v>
      </c>
      <c r="B9" s="636" t="s">
        <v>8483</v>
      </c>
      <c r="F9" s="653"/>
      <c r="G9" s="8" t="s">
        <v>8484</v>
      </c>
      <c r="J9" s="944"/>
      <c r="K9" s="637">
        <v>7</v>
      </c>
      <c r="L9" s="638" t="s">
        <v>8485</v>
      </c>
      <c r="M9" s="638"/>
      <c r="N9" s="652" t="s">
        <v>8486</v>
      </c>
      <c r="O9" s="628" t="s">
        <v>8487</v>
      </c>
      <c r="Q9" s="133">
        <v>1</v>
      </c>
      <c r="R9" s="646" t="s">
        <v>8488</v>
      </c>
      <c r="T9" s="135"/>
      <c r="AA9" s="136">
        <v>7</v>
      </c>
      <c r="AH9" s="643" t="s">
        <v>841</v>
      </c>
      <c r="AI9" s="654" t="s">
        <v>1668</v>
      </c>
      <c r="AJ9" s="649" t="s">
        <v>1375</v>
      </c>
    </row>
    <row r="10" spans="1:36" ht="47.25" customHeight="1" thickBot="1" x14ac:dyDescent="0.3">
      <c r="A10" s="635" t="s">
        <v>8489</v>
      </c>
      <c r="B10" s="636" t="s">
        <v>8490</v>
      </c>
      <c r="F10" s="13" t="s">
        <v>8491</v>
      </c>
      <c r="G10" s="650"/>
      <c r="J10" s="945"/>
      <c r="K10" s="637">
        <v>8</v>
      </c>
      <c r="L10" s="638" t="s">
        <v>8492</v>
      </c>
      <c r="M10" s="638"/>
      <c r="N10" s="639" t="s">
        <v>8493</v>
      </c>
      <c r="O10" s="628">
        <v>15</v>
      </c>
      <c r="Q10" s="133">
        <v>2</v>
      </c>
      <c r="R10" s="646" t="s">
        <v>8494</v>
      </c>
      <c r="AA10" s="136">
        <v>8</v>
      </c>
      <c r="AH10" s="643" t="s">
        <v>1703</v>
      </c>
      <c r="AI10" s="648" t="s">
        <v>998</v>
      </c>
      <c r="AJ10" s="649" t="s">
        <v>1375</v>
      </c>
    </row>
    <row r="11" spans="1:36" ht="45.75" customHeight="1" thickBot="1" x14ac:dyDescent="0.3">
      <c r="A11" s="635" t="s">
        <v>8495</v>
      </c>
      <c r="B11" s="636" t="s">
        <v>8496</v>
      </c>
      <c r="F11" s="653"/>
      <c r="G11" s="8" t="s">
        <v>8497</v>
      </c>
      <c r="J11" s="655" t="s">
        <v>8498</v>
      </c>
      <c r="K11" s="637">
        <v>9</v>
      </c>
      <c r="L11" s="638" t="s">
        <v>8499</v>
      </c>
      <c r="M11" s="638"/>
      <c r="N11" s="652" t="s">
        <v>8500</v>
      </c>
      <c r="O11" s="628" t="s">
        <v>8501</v>
      </c>
      <c r="Q11" s="133">
        <v>3</v>
      </c>
      <c r="R11" s="646" t="s">
        <v>8502</v>
      </c>
      <c r="AA11" s="136">
        <v>9</v>
      </c>
      <c r="AH11" s="656" t="s">
        <v>8503</v>
      </c>
      <c r="AI11" s="648" t="s">
        <v>998</v>
      </c>
      <c r="AJ11" s="649" t="s">
        <v>1375</v>
      </c>
    </row>
    <row r="12" spans="1:36" ht="30" customHeight="1" thickBot="1" x14ac:dyDescent="0.3">
      <c r="A12" s="635" t="s">
        <v>8504</v>
      </c>
      <c r="B12" s="636" t="s">
        <v>8505</v>
      </c>
      <c r="F12" s="13" t="s">
        <v>1419</v>
      </c>
      <c r="G12" s="650"/>
      <c r="J12" s="657"/>
      <c r="K12" s="637">
        <v>10</v>
      </c>
      <c r="L12" s="638" t="s">
        <v>8506</v>
      </c>
      <c r="M12" s="638"/>
      <c r="N12" s="639" t="s">
        <v>8507</v>
      </c>
      <c r="O12" s="628">
        <v>9</v>
      </c>
      <c r="Q12" s="658">
        <v>4</v>
      </c>
      <c r="R12" s="659" t="s">
        <v>8508</v>
      </c>
      <c r="AA12" s="136">
        <v>10</v>
      </c>
      <c r="AH12" s="656" t="s">
        <v>1704</v>
      </c>
      <c r="AI12" s="648" t="s">
        <v>998</v>
      </c>
      <c r="AJ12" s="649" t="s">
        <v>1375</v>
      </c>
    </row>
    <row r="13" spans="1:36" ht="29.25" customHeight="1" thickBot="1" x14ac:dyDescent="0.25">
      <c r="A13" s="635" t="s">
        <v>8509</v>
      </c>
      <c r="B13" s="636" t="s">
        <v>8510</v>
      </c>
      <c r="F13" s="13" t="s">
        <v>1223</v>
      </c>
      <c r="G13" s="650"/>
      <c r="J13" s="657"/>
      <c r="K13" s="637">
        <v>11</v>
      </c>
      <c r="L13" s="638" t="s">
        <v>8511</v>
      </c>
      <c r="M13" s="638"/>
      <c r="N13" s="639" t="s">
        <v>8512</v>
      </c>
      <c r="O13" s="628">
        <v>3</v>
      </c>
      <c r="Q13" s="2"/>
      <c r="AA13" s="136">
        <v>11</v>
      </c>
      <c r="AH13" s="643" t="s">
        <v>8513</v>
      </c>
      <c r="AI13" s="648" t="s">
        <v>998</v>
      </c>
      <c r="AJ13" s="649" t="s">
        <v>1375</v>
      </c>
    </row>
    <row r="14" spans="1:36" ht="29.25" customHeight="1" thickBot="1" x14ac:dyDescent="0.25">
      <c r="A14" s="635" t="s">
        <v>8514</v>
      </c>
      <c r="B14" s="636" t="s">
        <v>8515</v>
      </c>
      <c r="F14" s="13" t="s">
        <v>1421</v>
      </c>
      <c r="G14" s="650"/>
      <c r="J14" s="657"/>
      <c r="K14" s="660">
        <v>12</v>
      </c>
      <c r="L14" s="661" t="s">
        <v>8516</v>
      </c>
      <c r="M14" s="661"/>
      <c r="N14" s="662" t="s">
        <v>8517</v>
      </c>
      <c r="O14" s="663" t="s">
        <v>1451</v>
      </c>
      <c r="Q14" s="2"/>
      <c r="AA14" s="136">
        <v>12</v>
      </c>
      <c r="AH14" s="643" t="s">
        <v>1381</v>
      </c>
      <c r="AI14" s="648" t="s">
        <v>998</v>
      </c>
      <c r="AJ14" s="649" t="s">
        <v>1375</v>
      </c>
    </row>
    <row r="15" spans="1:36" ht="44.25" customHeight="1" thickBot="1" x14ac:dyDescent="0.25">
      <c r="A15" s="635" t="s">
        <v>8518</v>
      </c>
      <c r="B15" s="636" t="s">
        <v>8519</v>
      </c>
      <c r="F15" s="13" t="s">
        <v>8520</v>
      </c>
      <c r="G15" s="650"/>
      <c r="J15" s="664" t="s">
        <v>8521</v>
      </c>
      <c r="K15" s="665">
        <v>13</v>
      </c>
      <c r="L15" s="666" t="s">
        <v>8522</v>
      </c>
      <c r="M15" s="667"/>
      <c r="N15" s="668" t="s">
        <v>8523</v>
      </c>
      <c r="O15" s="663"/>
      <c r="Q15" s="2"/>
      <c r="AA15" s="136">
        <v>13</v>
      </c>
      <c r="AH15" s="643" t="s">
        <v>218</v>
      </c>
      <c r="AI15" s="648" t="s">
        <v>998</v>
      </c>
      <c r="AJ15" s="649" t="s">
        <v>1375</v>
      </c>
    </row>
    <row r="16" spans="1:36" ht="29.25" customHeight="1" thickBot="1" x14ac:dyDescent="0.25">
      <c r="A16" s="635" t="s">
        <v>8524</v>
      </c>
      <c r="B16" s="636" t="s">
        <v>8525</v>
      </c>
      <c r="F16" s="13" t="s">
        <v>1422</v>
      </c>
      <c r="G16" s="650"/>
      <c r="J16" s="669" t="s">
        <v>1520</v>
      </c>
      <c r="K16" s="670">
        <v>14</v>
      </c>
      <c r="L16" s="671"/>
      <c r="M16" s="671"/>
      <c r="N16" s="672" t="s">
        <v>8526</v>
      </c>
      <c r="O16" s="663"/>
      <c r="Q16" s="2"/>
      <c r="AA16" s="136">
        <v>14</v>
      </c>
      <c r="AH16" s="643" t="s">
        <v>1038</v>
      </c>
      <c r="AI16" s="648" t="s">
        <v>998</v>
      </c>
      <c r="AJ16" s="649" t="s">
        <v>1375</v>
      </c>
    </row>
    <row r="17" spans="1:36" ht="14.25" customHeight="1" thickBot="1" x14ac:dyDescent="0.25">
      <c r="A17" s="635" t="s">
        <v>8527</v>
      </c>
      <c r="B17" s="636" t="s">
        <v>8528</v>
      </c>
      <c r="F17" s="13" t="s">
        <v>8529</v>
      </c>
      <c r="G17" s="650"/>
      <c r="J17" s="673"/>
      <c r="K17" s="674">
        <v>15</v>
      </c>
      <c r="L17" s="638"/>
      <c r="M17" s="638"/>
      <c r="N17" s="639" t="s">
        <v>8530</v>
      </c>
      <c r="O17" s="675"/>
      <c r="Q17" s="2"/>
      <c r="AA17" s="136">
        <v>15</v>
      </c>
      <c r="AH17" s="643" t="s">
        <v>504</v>
      </c>
      <c r="AI17" s="648" t="s">
        <v>998</v>
      </c>
      <c r="AJ17" s="649" t="s">
        <v>1375</v>
      </c>
    </row>
    <row r="18" spans="1:36" ht="13.5" customHeight="1" thickBot="1" x14ac:dyDescent="0.25">
      <c r="A18" s="635" t="s">
        <v>8531</v>
      </c>
      <c r="B18" s="636" t="s">
        <v>8532</v>
      </c>
      <c r="F18" s="13" t="s">
        <v>1423</v>
      </c>
      <c r="G18" s="650"/>
      <c r="AA18" s="136">
        <v>16</v>
      </c>
      <c r="AH18" s="643" t="s">
        <v>1386</v>
      </c>
      <c r="AI18" s="648" t="s">
        <v>998</v>
      </c>
      <c r="AJ18" s="649" t="s">
        <v>1375</v>
      </c>
    </row>
    <row r="19" spans="1:36" ht="13.5" customHeight="1" thickBot="1" x14ac:dyDescent="0.25">
      <c r="A19" s="635" t="s">
        <v>8533</v>
      </c>
      <c r="B19" s="636" t="s">
        <v>8534</v>
      </c>
      <c r="F19" s="13" t="s">
        <v>8535</v>
      </c>
      <c r="G19" s="650"/>
      <c r="AA19" s="136">
        <v>17</v>
      </c>
      <c r="AH19" s="643" t="s">
        <v>1387</v>
      </c>
      <c r="AI19" s="648" t="s">
        <v>998</v>
      </c>
      <c r="AJ19" s="649" t="s">
        <v>1375</v>
      </c>
    </row>
    <row r="20" spans="1:36" ht="13.5" customHeight="1" thickBot="1" x14ac:dyDescent="0.25">
      <c r="A20" s="635" t="s">
        <v>8536</v>
      </c>
      <c r="B20" s="636" t="s">
        <v>8537</v>
      </c>
      <c r="F20" s="676" t="s">
        <v>8538</v>
      </c>
      <c r="G20" s="650"/>
      <c r="J20" s="622" t="s">
        <v>8539</v>
      </c>
      <c r="K20" s="55"/>
      <c r="AA20" s="136">
        <v>18</v>
      </c>
      <c r="AH20" s="643" t="s">
        <v>1059</v>
      </c>
      <c r="AI20" s="648" t="s">
        <v>998</v>
      </c>
      <c r="AJ20" s="649" t="s">
        <v>1375</v>
      </c>
    </row>
    <row r="21" spans="1:36" ht="13.5" customHeight="1" thickBot="1" x14ac:dyDescent="0.25">
      <c r="A21" s="635" t="s">
        <v>1425</v>
      </c>
      <c r="B21" s="636" t="s">
        <v>8540</v>
      </c>
      <c r="F21" s="105" t="s">
        <v>8541</v>
      </c>
      <c r="G21" s="14" t="s">
        <v>8541</v>
      </c>
      <c r="J21" s="8" t="s">
        <v>1450</v>
      </c>
      <c r="K21" s="55"/>
      <c r="AA21" s="137">
        <v>19</v>
      </c>
      <c r="AH21" s="643" t="s">
        <v>350</v>
      </c>
      <c r="AI21" s="648" t="s">
        <v>998</v>
      </c>
      <c r="AJ21" s="649" t="s">
        <v>1375</v>
      </c>
    </row>
    <row r="22" spans="1:36" ht="13.5" customHeight="1" thickBot="1" x14ac:dyDescent="0.25">
      <c r="A22" s="635" t="s">
        <v>8542</v>
      </c>
      <c r="B22" s="636" t="s">
        <v>8543</v>
      </c>
      <c r="J22" s="8" t="s">
        <v>1447</v>
      </c>
      <c r="K22" s="55"/>
      <c r="AA22" s="139"/>
      <c r="AH22" s="643" t="s">
        <v>245</v>
      </c>
      <c r="AI22" s="654" t="s">
        <v>998</v>
      </c>
      <c r="AJ22" s="649" t="s">
        <v>1375</v>
      </c>
    </row>
    <row r="23" spans="1:36" ht="13.5" customHeight="1" thickBot="1" x14ac:dyDescent="0.25">
      <c r="A23" s="635" t="s">
        <v>8544</v>
      </c>
      <c r="B23" s="636" t="s">
        <v>8545</v>
      </c>
      <c r="J23" s="8" t="s">
        <v>1448</v>
      </c>
      <c r="K23" s="55"/>
      <c r="AA23" s="139"/>
      <c r="AH23" s="643" t="s">
        <v>1376</v>
      </c>
      <c r="AI23" s="649" t="s">
        <v>1669</v>
      </c>
      <c r="AJ23" s="649" t="s">
        <v>1375</v>
      </c>
    </row>
    <row r="24" spans="1:36" ht="13.5" customHeight="1" thickBot="1" x14ac:dyDescent="0.25">
      <c r="A24" s="635" t="s">
        <v>8546</v>
      </c>
      <c r="B24" s="636" t="s">
        <v>8547</v>
      </c>
      <c r="J24" s="8" t="s">
        <v>1449</v>
      </c>
      <c r="K24" s="55"/>
      <c r="AA24" s="139"/>
      <c r="AH24" s="643" t="s">
        <v>818</v>
      </c>
      <c r="AI24" s="649" t="s">
        <v>1669</v>
      </c>
      <c r="AJ24" s="649" t="s">
        <v>1375</v>
      </c>
    </row>
    <row r="25" spans="1:36" ht="13.5" customHeight="1" thickBot="1" x14ac:dyDescent="0.25">
      <c r="A25" s="635" t="s">
        <v>8548</v>
      </c>
      <c r="B25" s="636" t="s">
        <v>8549</v>
      </c>
      <c r="J25" s="14" t="s">
        <v>8550</v>
      </c>
      <c r="K25" s="55"/>
      <c r="AA25" s="139"/>
      <c r="AH25" s="643" t="s">
        <v>1384</v>
      </c>
      <c r="AI25" s="649" t="s">
        <v>1669</v>
      </c>
      <c r="AJ25" s="649" t="s">
        <v>1375</v>
      </c>
    </row>
    <row r="26" spans="1:36" ht="13.5" customHeight="1" thickBot="1" x14ac:dyDescent="0.25">
      <c r="A26" s="635" t="s">
        <v>8551</v>
      </c>
      <c r="B26" s="636" t="s">
        <v>8552</v>
      </c>
      <c r="AA26" s="139"/>
      <c r="AH26" s="643" t="s">
        <v>412</v>
      </c>
      <c r="AI26" s="649" t="s">
        <v>1669</v>
      </c>
      <c r="AJ26" s="649" t="s">
        <v>1375</v>
      </c>
    </row>
    <row r="27" spans="1:36" ht="13.5" customHeight="1" thickBot="1" x14ac:dyDescent="0.25">
      <c r="A27" s="635" t="s">
        <v>8553</v>
      </c>
      <c r="B27" s="636" t="s">
        <v>8554</v>
      </c>
      <c r="AH27" s="643" t="s">
        <v>1390</v>
      </c>
      <c r="AI27" s="649" t="s">
        <v>1669</v>
      </c>
      <c r="AJ27" s="649" t="s">
        <v>1375</v>
      </c>
    </row>
    <row r="28" spans="1:36" ht="13.5" customHeight="1" thickBot="1" x14ac:dyDescent="0.25">
      <c r="A28" s="635" t="s">
        <v>8555</v>
      </c>
      <c r="B28" s="636" t="s">
        <v>8556</v>
      </c>
      <c r="AH28" s="643" t="s">
        <v>959</v>
      </c>
      <c r="AI28" s="654" t="s">
        <v>1669</v>
      </c>
      <c r="AJ28" s="649" t="s">
        <v>1375</v>
      </c>
    </row>
    <row r="29" spans="1:36" ht="13.5" customHeight="1" thickBot="1" x14ac:dyDescent="0.25">
      <c r="A29" s="635" t="s">
        <v>8557</v>
      </c>
      <c r="B29" s="636" t="s">
        <v>8558</v>
      </c>
      <c r="AH29" s="643" t="s">
        <v>1377</v>
      </c>
      <c r="AI29" s="649" t="s">
        <v>1361</v>
      </c>
      <c r="AJ29" s="649" t="s">
        <v>1375</v>
      </c>
    </row>
    <row r="30" spans="1:36" ht="13.5" customHeight="1" thickBot="1" x14ac:dyDescent="0.25">
      <c r="A30" s="635" t="s">
        <v>1426</v>
      </c>
      <c r="B30" s="636" t="s">
        <v>8559</v>
      </c>
      <c r="AH30" s="656" t="s">
        <v>8560</v>
      </c>
      <c r="AI30" s="649" t="s">
        <v>1361</v>
      </c>
      <c r="AJ30" s="649" t="s">
        <v>1375</v>
      </c>
    </row>
    <row r="31" spans="1:36" ht="13.5" customHeight="1" thickBot="1" x14ac:dyDescent="0.25">
      <c r="A31" s="635" t="s">
        <v>1427</v>
      </c>
      <c r="B31" s="636" t="s">
        <v>8561</v>
      </c>
      <c r="AH31" s="643" t="s">
        <v>1382</v>
      </c>
      <c r="AI31" s="649" t="s">
        <v>1361</v>
      </c>
      <c r="AJ31" s="649" t="s">
        <v>1375</v>
      </c>
    </row>
    <row r="32" spans="1:36" ht="13.5" customHeight="1" thickBot="1" x14ac:dyDescent="0.25">
      <c r="A32" s="635" t="s">
        <v>1428</v>
      </c>
      <c r="B32" s="636" t="s">
        <v>8562</v>
      </c>
      <c r="AH32" s="677" t="s">
        <v>1596</v>
      </c>
      <c r="AI32" s="649" t="s">
        <v>1361</v>
      </c>
      <c r="AJ32" s="649" t="s">
        <v>1375</v>
      </c>
    </row>
    <row r="33" spans="1:36" ht="13.5" customHeight="1" thickBot="1" x14ac:dyDescent="0.25">
      <c r="A33" s="635" t="s">
        <v>8563</v>
      </c>
      <c r="B33" s="636" t="s">
        <v>8564</v>
      </c>
      <c r="AH33" s="643" t="s">
        <v>137</v>
      </c>
      <c r="AI33" s="649" t="s">
        <v>1361</v>
      </c>
      <c r="AJ33" s="649" t="s">
        <v>1375</v>
      </c>
    </row>
    <row r="34" spans="1:36" ht="13.5" customHeight="1" thickBot="1" x14ac:dyDescent="0.25">
      <c r="A34" s="635" t="s">
        <v>8565</v>
      </c>
      <c r="B34" s="636" t="s">
        <v>8566</v>
      </c>
      <c r="AH34" s="643" t="s">
        <v>1391</v>
      </c>
      <c r="AI34" s="649" t="s">
        <v>1361</v>
      </c>
      <c r="AJ34" s="649" t="s">
        <v>1375</v>
      </c>
    </row>
    <row r="35" spans="1:36" ht="13.5" customHeight="1" thickBot="1" x14ac:dyDescent="0.25">
      <c r="A35" s="635" t="s">
        <v>8567</v>
      </c>
      <c r="B35" s="636" t="s">
        <v>8568</v>
      </c>
      <c r="AH35" s="643" t="s">
        <v>1085</v>
      </c>
      <c r="AI35" s="649" t="s">
        <v>1361</v>
      </c>
      <c r="AJ35" s="649" t="s">
        <v>1375</v>
      </c>
    </row>
    <row r="36" spans="1:36" ht="13.5" customHeight="1" thickBot="1" x14ac:dyDescent="0.25">
      <c r="A36" s="635" t="s">
        <v>8569</v>
      </c>
      <c r="B36" s="636" t="s">
        <v>8570</v>
      </c>
      <c r="AH36" s="643" t="s">
        <v>1392</v>
      </c>
      <c r="AI36" s="654" t="s">
        <v>1361</v>
      </c>
      <c r="AJ36" s="649" t="s">
        <v>1375</v>
      </c>
    </row>
    <row r="37" spans="1:36" ht="13.5" customHeight="1" thickBot="1" x14ac:dyDescent="0.25">
      <c r="A37" s="635" t="s">
        <v>8571</v>
      </c>
      <c r="B37" s="636" t="s">
        <v>8572</v>
      </c>
      <c r="AH37" s="656" t="s">
        <v>1699</v>
      </c>
      <c r="AI37" s="656" t="s">
        <v>1670</v>
      </c>
      <c r="AJ37" s="678" t="s">
        <v>1375</v>
      </c>
    </row>
    <row r="38" spans="1:36" ht="13.5" customHeight="1" thickBot="1" x14ac:dyDescent="0.25">
      <c r="A38" s="635" t="s">
        <v>8573</v>
      </c>
      <c r="B38" s="636" t="s">
        <v>8574</v>
      </c>
      <c r="AH38" s="677" t="s">
        <v>1702</v>
      </c>
      <c r="AI38" s="656" t="s">
        <v>1670</v>
      </c>
      <c r="AJ38" s="678" t="s">
        <v>1375</v>
      </c>
    </row>
    <row r="39" spans="1:36" ht="13.5" customHeight="1" thickBot="1" x14ac:dyDescent="0.25">
      <c r="A39" s="635" t="s">
        <v>8575</v>
      </c>
      <c r="B39" s="636" t="s">
        <v>8576</v>
      </c>
      <c r="AH39" s="643" t="s">
        <v>1379</v>
      </c>
      <c r="AI39" s="649" t="s">
        <v>1670</v>
      </c>
      <c r="AJ39" s="649" t="s">
        <v>1375</v>
      </c>
    </row>
    <row r="40" spans="1:36" ht="13.5" customHeight="1" thickBot="1" x14ac:dyDescent="0.25">
      <c r="A40" s="635" t="s">
        <v>8577</v>
      </c>
      <c r="B40" s="636" t="s">
        <v>8578</v>
      </c>
      <c r="AH40" s="643" t="s">
        <v>991</v>
      </c>
      <c r="AI40" s="649" t="s">
        <v>1670</v>
      </c>
      <c r="AJ40" s="649" t="s">
        <v>1375</v>
      </c>
    </row>
    <row r="41" spans="1:36" ht="13.5" customHeight="1" thickBot="1" x14ac:dyDescent="0.25">
      <c r="A41" s="635" t="s">
        <v>8579</v>
      </c>
      <c r="B41" s="636" t="s">
        <v>8580</v>
      </c>
      <c r="AH41" s="643" t="s">
        <v>1705</v>
      </c>
      <c r="AI41" s="649" t="s">
        <v>1670</v>
      </c>
      <c r="AJ41" s="649" t="s">
        <v>1375</v>
      </c>
    </row>
    <row r="42" spans="1:36" ht="13.5" customHeight="1" thickBot="1" x14ac:dyDescent="0.25">
      <c r="A42" s="635" t="s">
        <v>1429</v>
      </c>
      <c r="B42" s="636" t="s">
        <v>8581</v>
      </c>
      <c r="AH42" s="643" t="s">
        <v>1008</v>
      </c>
      <c r="AI42" s="649" t="s">
        <v>1670</v>
      </c>
      <c r="AJ42" s="649" t="s">
        <v>1375</v>
      </c>
    </row>
    <row r="43" spans="1:36" ht="13.5" customHeight="1" thickBot="1" x14ac:dyDescent="0.25">
      <c r="A43" s="635" t="s">
        <v>8582</v>
      </c>
      <c r="B43" s="636" t="s">
        <v>8583</v>
      </c>
      <c r="AH43" s="643" t="s">
        <v>8584</v>
      </c>
      <c r="AI43" s="649" t="s">
        <v>1670</v>
      </c>
      <c r="AJ43" s="649" t="s">
        <v>1375</v>
      </c>
    </row>
    <row r="44" spans="1:36" ht="13.5" customHeight="1" thickBot="1" x14ac:dyDescent="0.25">
      <c r="A44" s="635" t="s">
        <v>8585</v>
      </c>
      <c r="B44" s="636" t="s">
        <v>8586</v>
      </c>
      <c r="AH44" s="643" t="s">
        <v>8587</v>
      </c>
      <c r="AI44" s="649" t="s">
        <v>1670</v>
      </c>
      <c r="AJ44" s="649" t="s">
        <v>1375</v>
      </c>
    </row>
    <row r="45" spans="1:36" ht="13.5" customHeight="1" thickBot="1" x14ac:dyDescent="0.25">
      <c r="A45" s="635" t="s">
        <v>1430</v>
      </c>
      <c r="B45" s="636" t="s">
        <v>8588</v>
      </c>
      <c r="AH45" s="643" t="s">
        <v>1383</v>
      </c>
      <c r="AI45" s="649" t="s">
        <v>1670</v>
      </c>
      <c r="AJ45" s="649" t="s">
        <v>1375</v>
      </c>
    </row>
    <row r="46" spans="1:36" ht="13.5" customHeight="1" thickBot="1" x14ac:dyDescent="0.25">
      <c r="A46" s="635" t="s">
        <v>8589</v>
      </c>
      <c r="B46" s="636" t="s">
        <v>8590</v>
      </c>
      <c r="AH46" s="643" t="s">
        <v>1385</v>
      </c>
      <c r="AI46" s="649" t="s">
        <v>1670</v>
      </c>
      <c r="AJ46" s="649" t="s">
        <v>1375</v>
      </c>
    </row>
    <row r="47" spans="1:36" ht="13.5" customHeight="1" thickBot="1" x14ac:dyDescent="0.25">
      <c r="A47" s="635" t="s">
        <v>8591</v>
      </c>
      <c r="B47" s="636" t="s">
        <v>8592</v>
      </c>
      <c r="AH47" s="643" t="s">
        <v>8593</v>
      </c>
      <c r="AI47" s="649" t="s">
        <v>1670</v>
      </c>
      <c r="AJ47" s="649" t="s">
        <v>1375</v>
      </c>
    </row>
    <row r="48" spans="1:36" ht="13.5" customHeight="1" thickBot="1" x14ac:dyDescent="0.25">
      <c r="A48" s="635" t="s">
        <v>8594</v>
      </c>
      <c r="B48" s="636" t="s">
        <v>8595</v>
      </c>
      <c r="AH48" s="643" t="s">
        <v>1388</v>
      </c>
      <c r="AI48" s="649" t="s">
        <v>1670</v>
      </c>
      <c r="AJ48" s="649" t="s">
        <v>1375</v>
      </c>
    </row>
    <row r="49" spans="1:36" ht="13.5" customHeight="1" thickBot="1" x14ac:dyDescent="0.25">
      <c r="A49" s="635" t="s">
        <v>8596</v>
      </c>
      <c r="B49" s="636" t="s">
        <v>8597</v>
      </c>
      <c r="AH49" s="643" t="s">
        <v>1048</v>
      </c>
      <c r="AI49" s="649" t="s">
        <v>1670</v>
      </c>
      <c r="AJ49" s="649" t="s">
        <v>1375</v>
      </c>
    </row>
    <row r="50" spans="1:36" ht="13.5" customHeight="1" thickBot="1" x14ac:dyDescent="0.25">
      <c r="A50" s="635" t="s">
        <v>8598</v>
      </c>
      <c r="B50" s="636" t="s">
        <v>8599</v>
      </c>
      <c r="AH50" s="643" t="s">
        <v>523</v>
      </c>
      <c r="AI50" s="649" t="s">
        <v>1670</v>
      </c>
      <c r="AJ50" s="649" t="s">
        <v>1375</v>
      </c>
    </row>
    <row r="51" spans="1:36" ht="13.5" customHeight="1" thickBot="1" x14ac:dyDescent="0.25">
      <c r="A51" s="635" t="s">
        <v>8600</v>
      </c>
      <c r="B51" s="636" t="s">
        <v>8601</v>
      </c>
      <c r="AH51" s="643" t="s">
        <v>1389</v>
      </c>
      <c r="AI51" s="649" t="s">
        <v>1670</v>
      </c>
      <c r="AJ51" s="649" t="s">
        <v>1375</v>
      </c>
    </row>
    <row r="52" spans="1:36" ht="13.5" customHeight="1" thickBot="1" x14ac:dyDescent="0.25">
      <c r="A52" s="635" t="s">
        <v>8602</v>
      </c>
      <c r="B52" s="636" t="s">
        <v>8603</v>
      </c>
      <c r="AH52" s="643" t="s">
        <v>1069</v>
      </c>
      <c r="AI52" s="679" t="s">
        <v>1670</v>
      </c>
      <c r="AJ52" s="679" t="s">
        <v>1375</v>
      </c>
    </row>
    <row r="53" spans="1:36" ht="13.5" customHeight="1" thickBot="1" x14ac:dyDescent="0.25">
      <c r="A53" s="635" t="s">
        <v>8604</v>
      </c>
      <c r="B53" s="636" t="s">
        <v>8605</v>
      </c>
      <c r="AH53" s="643" t="s">
        <v>117</v>
      </c>
      <c r="AI53" s="649" t="s">
        <v>1671</v>
      </c>
      <c r="AJ53" s="649" t="s">
        <v>1352</v>
      </c>
    </row>
    <row r="54" spans="1:36" ht="13.5" customHeight="1" thickBot="1" x14ac:dyDescent="0.25">
      <c r="A54" s="635" t="s">
        <v>8606</v>
      </c>
      <c r="B54" s="636" t="s">
        <v>8607</v>
      </c>
      <c r="AH54" s="643" t="s">
        <v>63</v>
      </c>
      <c r="AI54" s="649" t="s">
        <v>1671</v>
      </c>
      <c r="AJ54" s="649" t="s">
        <v>1352</v>
      </c>
    </row>
    <row r="55" spans="1:36" ht="13.5" customHeight="1" thickBot="1" x14ac:dyDescent="0.25">
      <c r="A55" s="635" t="s">
        <v>8608</v>
      </c>
      <c r="B55" s="636" t="s">
        <v>8609</v>
      </c>
      <c r="AH55" s="643" t="s">
        <v>131</v>
      </c>
      <c r="AI55" s="649" t="s">
        <v>1671</v>
      </c>
      <c r="AJ55" s="649" t="s">
        <v>1352</v>
      </c>
    </row>
    <row r="56" spans="1:36" ht="13.5" customHeight="1" thickBot="1" x14ac:dyDescent="0.25">
      <c r="A56" s="635" t="s">
        <v>8610</v>
      </c>
      <c r="B56" s="636" t="s">
        <v>8611</v>
      </c>
      <c r="AH56" s="643" t="s">
        <v>107</v>
      </c>
      <c r="AI56" s="654" t="s">
        <v>1671</v>
      </c>
      <c r="AJ56" s="649" t="s">
        <v>1352</v>
      </c>
    </row>
    <row r="57" spans="1:36" ht="13.5" customHeight="1" thickBot="1" x14ac:dyDescent="0.25">
      <c r="A57" s="635" t="s">
        <v>8612</v>
      </c>
      <c r="B57" s="636" t="s">
        <v>8613</v>
      </c>
      <c r="AH57" s="643" t="s">
        <v>1355</v>
      </c>
      <c r="AI57" s="644" t="s">
        <v>8614</v>
      </c>
      <c r="AJ57" s="649" t="s">
        <v>1352</v>
      </c>
    </row>
    <row r="58" spans="1:36" ht="13.5" customHeight="1" thickBot="1" x14ac:dyDescent="0.25">
      <c r="A58" s="635" t="s">
        <v>8615</v>
      </c>
      <c r="B58" s="636" t="s">
        <v>8616</v>
      </c>
      <c r="AH58" s="643" t="s">
        <v>8617</v>
      </c>
      <c r="AI58" s="648" t="s">
        <v>8614</v>
      </c>
      <c r="AJ58" s="649" t="s">
        <v>1352</v>
      </c>
    </row>
    <row r="59" spans="1:36" ht="13.5" customHeight="1" thickBot="1" x14ac:dyDescent="0.25">
      <c r="A59" s="635" t="s">
        <v>8618</v>
      </c>
      <c r="B59" s="636" t="s">
        <v>8619</v>
      </c>
      <c r="AH59" s="643" t="s">
        <v>8620</v>
      </c>
      <c r="AI59" s="648" t="s">
        <v>8614</v>
      </c>
      <c r="AJ59" s="649" t="s">
        <v>1352</v>
      </c>
    </row>
    <row r="60" spans="1:36" ht="13.5" customHeight="1" thickBot="1" x14ac:dyDescent="0.25">
      <c r="A60" s="635" t="s">
        <v>8621</v>
      </c>
      <c r="B60" s="636" t="s">
        <v>8622</v>
      </c>
      <c r="AH60" s="643" t="s">
        <v>8623</v>
      </c>
      <c r="AI60" s="648" t="s">
        <v>8614</v>
      </c>
      <c r="AJ60" s="649" t="s">
        <v>1352</v>
      </c>
    </row>
    <row r="61" spans="1:36" ht="13.5" customHeight="1" thickBot="1" x14ac:dyDescent="0.25">
      <c r="A61" s="635" t="s">
        <v>8624</v>
      </c>
      <c r="B61" s="636" t="s">
        <v>8625</v>
      </c>
      <c r="AH61" s="643" t="s">
        <v>8626</v>
      </c>
      <c r="AI61" s="648" t="s">
        <v>8614</v>
      </c>
      <c r="AJ61" s="649" t="s">
        <v>1352</v>
      </c>
    </row>
    <row r="62" spans="1:36" ht="13.5" customHeight="1" thickBot="1" x14ac:dyDescent="0.25">
      <c r="A62" s="635" t="s">
        <v>1431</v>
      </c>
      <c r="B62" s="636" t="s">
        <v>8627</v>
      </c>
      <c r="AH62" s="656" t="s">
        <v>8628</v>
      </c>
      <c r="AI62" s="654" t="s">
        <v>8614</v>
      </c>
      <c r="AJ62" s="649" t="s">
        <v>1352</v>
      </c>
    </row>
    <row r="63" spans="1:36" ht="13.5" customHeight="1" thickBot="1" x14ac:dyDescent="0.25">
      <c r="A63" s="635" t="s">
        <v>8629</v>
      </c>
      <c r="B63" s="636" t="s">
        <v>8630</v>
      </c>
      <c r="AH63" s="643" t="s">
        <v>8631</v>
      </c>
      <c r="AI63" s="649" t="s">
        <v>1672</v>
      </c>
      <c r="AJ63" s="649" t="s">
        <v>1352</v>
      </c>
    </row>
    <row r="64" spans="1:36" ht="13.5" customHeight="1" thickBot="1" x14ac:dyDescent="0.25">
      <c r="A64" s="635" t="s">
        <v>8632</v>
      </c>
      <c r="B64" s="636" t="s">
        <v>8633</v>
      </c>
      <c r="AH64" s="643" t="s">
        <v>1354</v>
      </c>
      <c r="AI64" s="649" t="s">
        <v>1672</v>
      </c>
      <c r="AJ64" s="649" t="s">
        <v>1352</v>
      </c>
    </row>
    <row r="65" spans="1:36" ht="13.5" customHeight="1" thickBot="1" x14ac:dyDescent="0.25">
      <c r="A65" s="635" t="s">
        <v>1432</v>
      </c>
      <c r="B65" s="636" t="s">
        <v>8634</v>
      </c>
      <c r="AH65" s="643" t="s">
        <v>78</v>
      </c>
      <c r="AI65" s="649" t="s">
        <v>1672</v>
      </c>
      <c r="AJ65" s="649" t="s">
        <v>1352</v>
      </c>
    </row>
    <row r="66" spans="1:36" ht="13.5" customHeight="1" thickBot="1" x14ac:dyDescent="0.25">
      <c r="A66" s="635" t="s">
        <v>8635</v>
      </c>
      <c r="B66" s="636" t="s">
        <v>8636</v>
      </c>
      <c r="AH66" s="643" t="s">
        <v>1356</v>
      </c>
      <c r="AI66" s="649" t="s">
        <v>1672</v>
      </c>
      <c r="AJ66" s="649" t="s">
        <v>1352</v>
      </c>
    </row>
    <row r="67" spans="1:36" ht="13.5" customHeight="1" thickBot="1" x14ac:dyDescent="0.25">
      <c r="A67" s="635" t="s">
        <v>8461</v>
      </c>
      <c r="B67" s="636" t="s">
        <v>8637</v>
      </c>
      <c r="AH67" s="643" t="s">
        <v>684</v>
      </c>
      <c r="AI67" s="649" t="s">
        <v>1672</v>
      </c>
      <c r="AJ67" s="649" t="s">
        <v>1352</v>
      </c>
    </row>
    <row r="68" spans="1:36" ht="13.5" customHeight="1" thickBot="1" x14ac:dyDescent="0.25">
      <c r="A68" s="635" t="s">
        <v>8638</v>
      </c>
      <c r="B68" s="636" t="s">
        <v>8639</v>
      </c>
      <c r="AH68" s="643" t="s">
        <v>1357</v>
      </c>
      <c r="AI68" s="649" t="s">
        <v>1672</v>
      </c>
      <c r="AJ68" s="649" t="s">
        <v>1352</v>
      </c>
    </row>
    <row r="69" spans="1:36" ht="13.5" customHeight="1" thickBot="1" x14ac:dyDescent="0.25">
      <c r="A69" s="635" t="s">
        <v>8640</v>
      </c>
      <c r="B69" s="636" t="s">
        <v>8641</v>
      </c>
      <c r="AH69" s="643" t="s">
        <v>766</v>
      </c>
      <c r="AI69" s="649" t="s">
        <v>1672</v>
      </c>
      <c r="AJ69" s="649" t="s">
        <v>1352</v>
      </c>
    </row>
    <row r="70" spans="1:36" ht="13.5" customHeight="1" thickBot="1" x14ac:dyDescent="0.25">
      <c r="A70" s="635" t="s">
        <v>8642</v>
      </c>
      <c r="B70" s="636" t="s">
        <v>8643</v>
      </c>
      <c r="AH70" s="643" t="s">
        <v>632</v>
      </c>
      <c r="AI70" s="649" t="s">
        <v>1672</v>
      </c>
      <c r="AJ70" s="649" t="s">
        <v>1352</v>
      </c>
    </row>
    <row r="71" spans="1:36" ht="13.5" customHeight="1" thickBot="1" x14ac:dyDescent="0.25">
      <c r="A71" s="635" t="s">
        <v>8644</v>
      </c>
      <c r="B71" s="636" t="s">
        <v>8645</v>
      </c>
      <c r="AH71" s="643" t="s">
        <v>261</v>
      </c>
      <c r="AI71" s="649" t="s">
        <v>1672</v>
      </c>
      <c r="AJ71" s="649" t="s">
        <v>1352</v>
      </c>
    </row>
    <row r="72" spans="1:36" ht="13.5" customHeight="1" thickBot="1" x14ac:dyDescent="0.25">
      <c r="A72" s="635" t="s">
        <v>8646</v>
      </c>
      <c r="B72" s="636" t="s">
        <v>8647</v>
      </c>
      <c r="AH72" s="643" t="s">
        <v>301</v>
      </c>
      <c r="AI72" s="649" t="s">
        <v>1672</v>
      </c>
      <c r="AJ72" s="649" t="s">
        <v>1352</v>
      </c>
    </row>
    <row r="73" spans="1:36" ht="13.5" customHeight="1" thickBot="1" x14ac:dyDescent="0.25">
      <c r="A73" s="635" t="s">
        <v>1433</v>
      </c>
      <c r="B73" s="636" t="s">
        <v>8648</v>
      </c>
      <c r="AH73" s="643" t="s">
        <v>1706</v>
      </c>
      <c r="AI73" s="649" t="s">
        <v>1672</v>
      </c>
      <c r="AJ73" s="649" t="s">
        <v>1352</v>
      </c>
    </row>
    <row r="74" spans="1:36" ht="13.5" customHeight="1" thickBot="1" x14ac:dyDescent="0.25">
      <c r="A74" s="635" t="s">
        <v>8649</v>
      </c>
      <c r="B74" s="636" t="s">
        <v>8650</v>
      </c>
      <c r="AH74" s="643" t="s">
        <v>89</v>
      </c>
      <c r="AI74" s="654" t="s">
        <v>1672</v>
      </c>
      <c r="AJ74" s="649" t="s">
        <v>1352</v>
      </c>
    </row>
    <row r="75" spans="1:36" ht="13.5" customHeight="1" thickBot="1" x14ac:dyDescent="0.25">
      <c r="A75" s="635" t="s">
        <v>8651</v>
      </c>
      <c r="B75" s="636" t="s">
        <v>8652</v>
      </c>
      <c r="AH75" s="643" t="s">
        <v>67</v>
      </c>
      <c r="AI75" s="649" t="s">
        <v>1673</v>
      </c>
      <c r="AJ75" s="649" t="s">
        <v>1352</v>
      </c>
    </row>
    <row r="76" spans="1:36" ht="13.5" customHeight="1" thickBot="1" x14ac:dyDescent="0.25">
      <c r="A76" s="635" t="s">
        <v>8653</v>
      </c>
      <c r="B76" s="636" t="s">
        <v>8654</v>
      </c>
      <c r="AH76" s="643" t="s">
        <v>1353</v>
      </c>
      <c r="AI76" s="649" t="s">
        <v>1673</v>
      </c>
      <c r="AJ76" s="649" t="s">
        <v>1352</v>
      </c>
    </row>
    <row r="77" spans="1:36" ht="13.5" customHeight="1" thickBot="1" x14ac:dyDescent="0.25">
      <c r="A77" s="635" t="s">
        <v>8655</v>
      </c>
      <c r="B77" s="636" t="s">
        <v>8656</v>
      </c>
      <c r="AH77" s="643" t="s">
        <v>42</v>
      </c>
      <c r="AI77" s="649" t="s">
        <v>1673</v>
      </c>
      <c r="AJ77" s="649" t="s">
        <v>1352</v>
      </c>
    </row>
    <row r="78" spans="1:36" ht="13.5" customHeight="1" thickBot="1" x14ac:dyDescent="0.25">
      <c r="A78" s="635" t="s">
        <v>1434</v>
      </c>
      <c r="B78" s="636" t="s">
        <v>8657</v>
      </c>
      <c r="AH78" s="643" t="s">
        <v>8658</v>
      </c>
      <c r="AI78" s="649" t="s">
        <v>1673</v>
      </c>
      <c r="AJ78" s="649" t="s">
        <v>1352</v>
      </c>
    </row>
    <row r="79" spans="1:36" ht="13.5" customHeight="1" thickBot="1" x14ac:dyDescent="0.25">
      <c r="A79" s="635" t="s">
        <v>8659</v>
      </c>
      <c r="B79" s="636" t="s">
        <v>8660</v>
      </c>
      <c r="AH79" s="643" t="s">
        <v>228</v>
      </c>
      <c r="AI79" s="649" t="s">
        <v>1673</v>
      </c>
      <c r="AJ79" s="649" t="s">
        <v>1352</v>
      </c>
    </row>
    <row r="80" spans="1:36" ht="13.5" customHeight="1" thickBot="1" x14ac:dyDescent="0.25">
      <c r="A80" s="635" t="s">
        <v>8661</v>
      </c>
      <c r="B80" s="636" t="s">
        <v>8662</v>
      </c>
      <c r="AH80" s="643" t="s">
        <v>239</v>
      </c>
      <c r="AI80" s="649" t="s">
        <v>1673</v>
      </c>
      <c r="AJ80" s="649" t="s">
        <v>1352</v>
      </c>
    </row>
    <row r="81" spans="1:36" ht="13.5" customHeight="1" thickBot="1" x14ac:dyDescent="0.25">
      <c r="A81" s="635" t="s">
        <v>8663</v>
      </c>
      <c r="B81" s="636" t="s">
        <v>8664</v>
      </c>
      <c r="AH81" s="643" t="s">
        <v>313</v>
      </c>
      <c r="AI81" s="679" t="s">
        <v>1673</v>
      </c>
      <c r="AJ81" s="654" t="s">
        <v>1352</v>
      </c>
    </row>
    <row r="82" spans="1:36" ht="13.5" customHeight="1" thickBot="1" x14ac:dyDescent="0.25">
      <c r="A82" s="635" t="s">
        <v>8665</v>
      </c>
      <c r="B82" s="636" t="s">
        <v>8666</v>
      </c>
      <c r="AH82" s="643" t="s">
        <v>1362</v>
      </c>
      <c r="AI82" s="649" t="s">
        <v>1674</v>
      </c>
      <c r="AJ82" s="649" t="s">
        <v>1358</v>
      </c>
    </row>
    <row r="83" spans="1:36" ht="13.5" customHeight="1" thickBot="1" x14ac:dyDescent="0.25">
      <c r="A83" s="635" t="s">
        <v>635</v>
      </c>
      <c r="B83" s="636" t="s">
        <v>8667</v>
      </c>
      <c r="AH83" s="643" t="s">
        <v>1363</v>
      </c>
      <c r="AI83" s="649" t="s">
        <v>1674</v>
      </c>
      <c r="AJ83" s="649" t="s">
        <v>1358</v>
      </c>
    </row>
    <row r="84" spans="1:36" ht="13.5" customHeight="1" thickBot="1" x14ac:dyDescent="0.25">
      <c r="A84" s="635" t="s">
        <v>1435</v>
      </c>
      <c r="B84" s="636" t="s">
        <v>8668</v>
      </c>
      <c r="AH84" s="643" t="s">
        <v>1366</v>
      </c>
      <c r="AI84" s="649" t="s">
        <v>1674</v>
      </c>
      <c r="AJ84" s="649" t="s">
        <v>1358</v>
      </c>
    </row>
    <row r="85" spans="1:36" ht="13.5" customHeight="1" thickBot="1" x14ac:dyDescent="0.25">
      <c r="A85" s="635" t="s">
        <v>8669</v>
      </c>
      <c r="B85" s="636" t="s">
        <v>8670</v>
      </c>
      <c r="AH85" s="643" t="s">
        <v>8671</v>
      </c>
      <c r="AI85" s="649" t="s">
        <v>1674</v>
      </c>
      <c r="AJ85" s="649" t="s">
        <v>1358</v>
      </c>
    </row>
    <row r="86" spans="1:36" ht="13.5" customHeight="1" thickBot="1" x14ac:dyDescent="0.25">
      <c r="A86" s="635" t="s">
        <v>8672</v>
      </c>
      <c r="B86" s="636" t="s">
        <v>8673</v>
      </c>
      <c r="AH86" s="643" t="s">
        <v>1367</v>
      </c>
      <c r="AI86" s="649" t="s">
        <v>1674</v>
      </c>
      <c r="AJ86" s="649" t="s">
        <v>1358</v>
      </c>
    </row>
    <row r="87" spans="1:36" ht="13.5" customHeight="1" thickBot="1" x14ac:dyDescent="0.25">
      <c r="A87" s="635" t="s">
        <v>8674</v>
      </c>
      <c r="B87" s="636" t="s">
        <v>8675</v>
      </c>
      <c r="AH87" s="643" t="s">
        <v>1373</v>
      </c>
      <c r="AI87" s="649" t="s">
        <v>1674</v>
      </c>
      <c r="AJ87" s="649" t="s">
        <v>1358</v>
      </c>
    </row>
    <row r="88" spans="1:36" ht="13.5" customHeight="1" thickBot="1" x14ac:dyDescent="0.25">
      <c r="A88" s="635" t="s">
        <v>8676</v>
      </c>
      <c r="B88" s="636" t="s">
        <v>8677</v>
      </c>
      <c r="AH88" s="643" t="s">
        <v>1374</v>
      </c>
      <c r="AI88" s="654" t="s">
        <v>1674</v>
      </c>
      <c r="AJ88" s="649" t="s">
        <v>1358</v>
      </c>
    </row>
    <row r="89" spans="1:36" ht="13.5" customHeight="1" thickBot="1" x14ac:dyDescent="0.25">
      <c r="A89" s="635" t="s">
        <v>8678</v>
      </c>
      <c r="B89" s="636" t="s">
        <v>8679</v>
      </c>
      <c r="AH89" s="643" t="s">
        <v>1360</v>
      </c>
      <c r="AI89" s="649" t="s">
        <v>1407</v>
      </c>
      <c r="AJ89" s="649" t="s">
        <v>1358</v>
      </c>
    </row>
    <row r="90" spans="1:36" ht="13.5" customHeight="1" thickBot="1" x14ac:dyDescent="0.25">
      <c r="A90" s="635" t="s">
        <v>1436</v>
      </c>
      <c r="B90" s="636" t="s">
        <v>8680</v>
      </c>
      <c r="AH90" s="643" t="s">
        <v>1364</v>
      </c>
      <c r="AI90" s="649" t="s">
        <v>1407</v>
      </c>
      <c r="AJ90" s="649" t="s">
        <v>1358</v>
      </c>
    </row>
    <row r="91" spans="1:36" ht="13.5" customHeight="1" thickBot="1" x14ac:dyDescent="0.25">
      <c r="A91" s="635" t="s">
        <v>8681</v>
      </c>
      <c r="B91" s="636" t="s">
        <v>8682</v>
      </c>
      <c r="AH91" s="643" t="s">
        <v>1365</v>
      </c>
      <c r="AI91" s="649" t="s">
        <v>1407</v>
      </c>
      <c r="AJ91" s="649" t="s">
        <v>1358</v>
      </c>
    </row>
    <row r="92" spans="1:36" ht="13.5" customHeight="1" thickBot="1" x14ac:dyDescent="0.25">
      <c r="A92" s="635" t="s">
        <v>8683</v>
      </c>
      <c r="B92" s="636" t="s">
        <v>8684</v>
      </c>
      <c r="AH92" s="643" t="s">
        <v>1368</v>
      </c>
      <c r="AI92" s="649" t="s">
        <v>1407</v>
      </c>
      <c r="AJ92" s="649" t="s">
        <v>1358</v>
      </c>
    </row>
    <row r="93" spans="1:36" ht="13.5" customHeight="1" thickBot="1" x14ac:dyDescent="0.25">
      <c r="A93" s="635" t="s">
        <v>8685</v>
      </c>
      <c r="B93" s="636" t="s">
        <v>8686</v>
      </c>
      <c r="AH93" s="643" t="s">
        <v>1369</v>
      </c>
      <c r="AI93" s="649" t="s">
        <v>1407</v>
      </c>
      <c r="AJ93" s="649" t="s">
        <v>1358</v>
      </c>
    </row>
    <row r="94" spans="1:36" ht="13.5" customHeight="1" thickBot="1" x14ac:dyDescent="0.25">
      <c r="A94" s="635" t="s">
        <v>8687</v>
      </c>
      <c r="B94" s="636" t="s">
        <v>8688</v>
      </c>
      <c r="AH94" s="643" t="s">
        <v>1370</v>
      </c>
      <c r="AI94" s="649" t="s">
        <v>1407</v>
      </c>
      <c r="AJ94" s="649" t="s">
        <v>1358</v>
      </c>
    </row>
    <row r="95" spans="1:36" ht="13.5" customHeight="1" thickBot="1" x14ac:dyDescent="0.25">
      <c r="A95" s="635" t="s">
        <v>8689</v>
      </c>
      <c r="B95" s="636" t="s">
        <v>8690</v>
      </c>
      <c r="AH95" s="643" t="s">
        <v>1371</v>
      </c>
      <c r="AI95" s="649" t="s">
        <v>1407</v>
      </c>
      <c r="AJ95" s="649" t="s">
        <v>1358</v>
      </c>
    </row>
    <row r="96" spans="1:36" ht="13.5" customHeight="1" thickBot="1" x14ac:dyDescent="0.25">
      <c r="A96" s="635" t="s">
        <v>8691</v>
      </c>
      <c r="B96" s="636" t="s">
        <v>8692</v>
      </c>
      <c r="AH96" s="643" t="s">
        <v>8693</v>
      </c>
      <c r="AI96" s="649" t="s">
        <v>1407</v>
      </c>
      <c r="AJ96" s="649" t="s">
        <v>1358</v>
      </c>
    </row>
    <row r="97" spans="1:36" ht="13.5" customHeight="1" thickBot="1" x14ac:dyDescent="0.25">
      <c r="A97" s="635" t="s">
        <v>8694</v>
      </c>
      <c r="B97" s="636" t="s">
        <v>8695</v>
      </c>
      <c r="AH97" s="643" t="s">
        <v>1372</v>
      </c>
      <c r="AI97" s="679" t="s">
        <v>1407</v>
      </c>
      <c r="AJ97" s="679" t="s">
        <v>1358</v>
      </c>
    </row>
    <row r="98" spans="1:36" ht="13.5" customHeight="1" thickBot="1" x14ac:dyDescent="0.25">
      <c r="A98" s="635" t="s">
        <v>8696</v>
      </c>
      <c r="B98" s="636" t="s">
        <v>8697</v>
      </c>
      <c r="AH98" s="680" t="s">
        <v>8698</v>
      </c>
      <c r="AI98" s="649" t="s">
        <v>1675</v>
      </c>
      <c r="AJ98" s="649" t="s">
        <v>1340</v>
      </c>
    </row>
    <row r="99" spans="1:36" ht="13.5" customHeight="1" thickBot="1" x14ac:dyDescent="0.25">
      <c r="A99" s="635" t="s">
        <v>8699</v>
      </c>
      <c r="B99" s="636" t="s">
        <v>8700</v>
      </c>
      <c r="AH99" s="643" t="s">
        <v>1341</v>
      </c>
      <c r="AI99" s="649" t="s">
        <v>1675</v>
      </c>
      <c r="AJ99" s="649" t="s">
        <v>1340</v>
      </c>
    </row>
    <row r="100" spans="1:36" ht="13.5" customHeight="1" thickBot="1" x14ac:dyDescent="0.25">
      <c r="A100" s="635" t="s">
        <v>8701</v>
      </c>
      <c r="B100" s="636" t="s">
        <v>8702</v>
      </c>
      <c r="AH100" s="643" t="s">
        <v>8031</v>
      </c>
      <c r="AI100" s="649" t="s">
        <v>1675</v>
      </c>
      <c r="AJ100" s="649" t="s">
        <v>1340</v>
      </c>
    </row>
    <row r="101" spans="1:36" ht="13.5" customHeight="1" thickBot="1" x14ac:dyDescent="0.25">
      <c r="A101" s="635" t="s">
        <v>1437</v>
      </c>
      <c r="B101" s="636" t="s">
        <v>8703</v>
      </c>
      <c r="AH101" s="643" t="s">
        <v>1701</v>
      </c>
      <c r="AI101" s="649" t="s">
        <v>1675</v>
      </c>
      <c r="AJ101" s="649" t="s">
        <v>1340</v>
      </c>
    </row>
    <row r="102" spans="1:36" ht="13.5" customHeight="1" thickBot="1" x14ac:dyDescent="0.25">
      <c r="A102" s="635" t="s">
        <v>1438</v>
      </c>
      <c r="B102" s="636" t="s">
        <v>8704</v>
      </c>
      <c r="AH102" s="643" t="s">
        <v>1344</v>
      </c>
      <c r="AI102" s="649" t="s">
        <v>1675</v>
      </c>
      <c r="AJ102" s="649" t="s">
        <v>1340</v>
      </c>
    </row>
    <row r="103" spans="1:36" ht="13.5" customHeight="1" thickBot="1" x14ac:dyDescent="0.25">
      <c r="A103" s="635" t="s">
        <v>8705</v>
      </c>
      <c r="B103" s="636" t="s">
        <v>8706</v>
      </c>
      <c r="AH103" s="643" t="s">
        <v>1345</v>
      </c>
      <c r="AI103" s="649" t="s">
        <v>1675</v>
      </c>
      <c r="AJ103" s="649" t="s">
        <v>1340</v>
      </c>
    </row>
    <row r="104" spans="1:36" ht="13.5" customHeight="1" thickBot="1" x14ac:dyDescent="0.25">
      <c r="A104" s="635" t="s">
        <v>8707</v>
      </c>
      <c r="B104" s="636" t="s">
        <v>8708</v>
      </c>
      <c r="AH104" s="643" t="s">
        <v>1348</v>
      </c>
      <c r="AI104" s="649" t="s">
        <v>1675</v>
      </c>
      <c r="AJ104" s="649" t="s">
        <v>1340</v>
      </c>
    </row>
    <row r="105" spans="1:36" ht="13.5" customHeight="1" thickBot="1" x14ac:dyDescent="0.25">
      <c r="A105" s="635" t="s">
        <v>8709</v>
      </c>
      <c r="B105" s="636" t="s">
        <v>8710</v>
      </c>
      <c r="AH105" s="643" t="s">
        <v>8711</v>
      </c>
      <c r="AI105" s="649" t="s">
        <v>1675</v>
      </c>
      <c r="AJ105" s="649" t="s">
        <v>1340</v>
      </c>
    </row>
    <row r="106" spans="1:36" ht="13.5" customHeight="1" thickBot="1" x14ac:dyDescent="0.25">
      <c r="A106" s="635" t="s">
        <v>8712</v>
      </c>
      <c r="B106" s="636" t="s">
        <v>8713</v>
      </c>
      <c r="AH106" s="643" t="s">
        <v>1707</v>
      </c>
      <c r="AI106" s="654" t="s">
        <v>1675</v>
      </c>
      <c r="AJ106" s="649" t="s">
        <v>1340</v>
      </c>
    </row>
    <row r="107" spans="1:36" ht="13.5" customHeight="1" thickBot="1" x14ac:dyDescent="0.25">
      <c r="A107" s="635" t="s">
        <v>8714</v>
      </c>
      <c r="B107" s="636" t="s">
        <v>8715</v>
      </c>
      <c r="AH107" s="643" t="s">
        <v>1343</v>
      </c>
      <c r="AI107" s="649" t="s">
        <v>1359</v>
      </c>
      <c r="AJ107" s="649" t="s">
        <v>1340</v>
      </c>
    </row>
    <row r="108" spans="1:36" ht="13.5" customHeight="1" thickBot="1" x14ac:dyDescent="0.25">
      <c r="A108" s="635" t="s">
        <v>8716</v>
      </c>
      <c r="B108" s="636" t="s">
        <v>8717</v>
      </c>
      <c r="AH108" s="643" t="s">
        <v>1343</v>
      </c>
      <c r="AI108" s="649" t="s">
        <v>1359</v>
      </c>
      <c r="AJ108" s="649" t="s">
        <v>1340</v>
      </c>
    </row>
    <row r="109" spans="1:36" ht="13.5" customHeight="1" thickBot="1" x14ac:dyDescent="0.25">
      <c r="A109" s="635" t="s">
        <v>8718</v>
      </c>
      <c r="B109" s="636" t="s">
        <v>8719</v>
      </c>
      <c r="AH109" s="643" t="s">
        <v>1002</v>
      </c>
      <c r="AI109" s="649" t="s">
        <v>1359</v>
      </c>
      <c r="AJ109" s="649" t="s">
        <v>1340</v>
      </c>
    </row>
    <row r="110" spans="1:36" ht="13.5" customHeight="1" thickBot="1" x14ac:dyDescent="0.25">
      <c r="A110" s="635" t="s">
        <v>8720</v>
      </c>
      <c r="B110" s="636" t="s">
        <v>8721</v>
      </c>
      <c r="AH110" s="643" t="s">
        <v>1346</v>
      </c>
      <c r="AI110" s="649" t="s">
        <v>1359</v>
      </c>
      <c r="AJ110" s="649" t="s">
        <v>1340</v>
      </c>
    </row>
    <row r="111" spans="1:36" ht="13.5" customHeight="1" thickBot="1" x14ac:dyDescent="0.25">
      <c r="A111" s="635" t="s">
        <v>8722</v>
      </c>
      <c r="B111" s="636" t="s">
        <v>8723</v>
      </c>
      <c r="AH111" s="643" t="s">
        <v>741</v>
      </c>
      <c r="AI111" s="649" t="s">
        <v>1359</v>
      </c>
      <c r="AJ111" s="649" t="s">
        <v>1340</v>
      </c>
    </row>
    <row r="112" spans="1:36" ht="13.5" customHeight="1" thickBot="1" x14ac:dyDescent="0.25">
      <c r="A112" s="635" t="s">
        <v>8724</v>
      </c>
      <c r="B112" s="636" t="s">
        <v>8725</v>
      </c>
      <c r="AH112" s="643" t="s">
        <v>233</v>
      </c>
      <c r="AI112" s="649" t="s">
        <v>1359</v>
      </c>
      <c r="AJ112" s="649" t="s">
        <v>1340</v>
      </c>
    </row>
    <row r="113" spans="1:36" ht="13.5" customHeight="1" thickBot="1" x14ac:dyDescent="0.25">
      <c r="A113" s="635" t="s">
        <v>8726</v>
      </c>
      <c r="B113" s="636" t="s">
        <v>8727</v>
      </c>
      <c r="AH113" s="643" t="s">
        <v>1349</v>
      </c>
      <c r="AI113" s="654" t="s">
        <v>1359</v>
      </c>
      <c r="AJ113" s="649" t="s">
        <v>1340</v>
      </c>
    </row>
    <row r="114" spans="1:36" ht="13.5" customHeight="1" thickBot="1" x14ac:dyDescent="0.25">
      <c r="A114" s="635" t="s">
        <v>1439</v>
      </c>
      <c r="B114" s="636" t="s">
        <v>8728</v>
      </c>
      <c r="AH114" s="643" t="s">
        <v>58</v>
      </c>
      <c r="AI114" s="643" t="s">
        <v>1676</v>
      </c>
      <c r="AJ114" s="649" t="s">
        <v>1340</v>
      </c>
    </row>
    <row r="115" spans="1:36" ht="13.5" customHeight="1" thickBot="1" x14ac:dyDescent="0.25">
      <c r="A115" s="635" t="s">
        <v>1440</v>
      </c>
      <c r="B115" s="636" t="s">
        <v>8729</v>
      </c>
      <c r="AH115" s="643" t="s">
        <v>1153</v>
      </c>
      <c r="AI115" s="649" t="s">
        <v>1677</v>
      </c>
      <c r="AJ115" s="649" t="s">
        <v>1340</v>
      </c>
    </row>
    <row r="116" spans="1:36" ht="13.5" customHeight="1" thickBot="1" x14ac:dyDescent="0.25">
      <c r="A116" s="635" t="s">
        <v>8730</v>
      </c>
      <c r="B116" s="636" t="s">
        <v>8731</v>
      </c>
      <c r="AH116" s="643" t="s">
        <v>1342</v>
      </c>
      <c r="AI116" s="649" t="s">
        <v>1677</v>
      </c>
      <c r="AJ116" s="649" t="s">
        <v>1340</v>
      </c>
    </row>
    <row r="117" spans="1:36" ht="13.5" customHeight="1" thickBot="1" x14ac:dyDescent="0.25">
      <c r="A117" s="635" t="s">
        <v>8732</v>
      </c>
      <c r="B117" s="636" t="s">
        <v>8733</v>
      </c>
      <c r="AH117" s="643" t="s">
        <v>151</v>
      </c>
      <c r="AI117" s="649" t="s">
        <v>1677</v>
      </c>
      <c r="AJ117" s="649" t="s">
        <v>1340</v>
      </c>
    </row>
    <row r="118" spans="1:36" ht="13.5" customHeight="1" thickBot="1" x14ac:dyDescent="0.25">
      <c r="A118" s="635" t="s">
        <v>8734</v>
      </c>
      <c r="B118" s="636" t="s">
        <v>8735</v>
      </c>
      <c r="AH118" s="643" t="s">
        <v>718</v>
      </c>
      <c r="AI118" s="649" t="s">
        <v>1677</v>
      </c>
      <c r="AJ118" s="649" t="s">
        <v>1340</v>
      </c>
    </row>
    <row r="119" spans="1:36" ht="13.5" customHeight="1" thickBot="1" x14ac:dyDescent="0.25">
      <c r="A119" s="635" t="s">
        <v>8736</v>
      </c>
      <c r="B119" s="636" t="s">
        <v>8737</v>
      </c>
      <c r="AH119" s="643" t="s">
        <v>253</v>
      </c>
      <c r="AI119" s="649" t="s">
        <v>1677</v>
      </c>
      <c r="AJ119" s="649" t="s">
        <v>1340</v>
      </c>
    </row>
    <row r="120" spans="1:36" ht="13.5" customHeight="1" thickBot="1" x14ac:dyDescent="0.25">
      <c r="A120" s="635" t="s">
        <v>8738</v>
      </c>
      <c r="B120" s="636" t="s">
        <v>8739</v>
      </c>
      <c r="AH120" s="643" t="s">
        <v>695</v>
      </c>
      <c r="AI120" s="649" t="s">
        <v>1677</v>
      </c>
      <c r="AJ120" s="649" t="s">
        <v>1340</v>
      </c>
    </row>
    <row r="121" spans="1:36" ht="13.5" customHeight="1" thickBot="1" x14ac:dyDescent="0.25">
      <c r="A121" s="635" t="s">
        <v>8740</v>
      </c>
      <c r="B121" s="636" t="s">
        <v>8741</v>
      </c>
      <c r="AH121" s="643" t="s">
        <v>1347</v>
      </c>
      <c r="AI121" s="649" t="s">
        <v>1677</v>
      </c>
      <c r="AJ121" s="649" t="s">
        <v>1340</v>
      </c>
    </row>
    <row r="122" spans="1:36" ht="13.5" customHeight="1" thickBot="1" x14ac:dyDescent="0.25">
      <c r="A122" s="635" t="s">
        <v>8742</v>
      </c>
      <c r="B122" s="636" t="s">
        <v>8743</v>
      </c>
      <c r="AH122" s="643" t="s">
        <v>1350</v>
      </c>
      <c r="AI122" s="649" t="s">
        <v>1677</v>
      </c>
      <c r="AJ122" s="649" t="s">
        <v>1340</v>
      </c>
    </row>
    <row r="123" spans="1:36" ht="13.5" customHeight="1" thickBot="1" x14ac:dyDescent="0.25">
      <c r="A123" s="635" t="s">
        <v>1441</v>
      </c>
      <c r="B123" s="636" t="s">
        <v>8744</v>
      </c>
      <c r="AH123" s="643" t="s">
        <v>667</v>
      </c>
      <c r="AI123" s="649" t="s">
        <v>1677</v>
      </c>
      <c r="AJ123" s="649" t="s">
        <v>1340</v>
      </c>
    </row>
    <row r="124" spans="1:36" ht="13.5" customHeight="1" thickBot="1" x14ac:dyDescent="0.25">
      <c r="A124" s="635" t="s">
        <v>8745</v>
      </c>
      <c r="B124" s="636" t="s">
        <v>8746</v>
      </c>
      <c r="AH124" s="643" t="s">
        <v>1351</v>
      </c>
      <c r="AI124" s="679" t="s">
        <v>1677</v>
      </c>
      <c r="AJ124" s="654" t="s">
        <v>1340</v>
      </c>
    </row>
    <row r="125" spans="1:36" ht="13.5" customHeight="1" thickBot="1" x14ac:dyDescent="0.25">
      <c r="A125" s="635" t="s">
        <v>8747</v>
      </c>
      <c r="B125" s="636" t="s">
        <v>8748</v>
      </c>
      <c r="AH125" s="656" t="s">
        <v>3769</v>
      </c>
      <c r="AI125" s="681" t="s">
        <v>1678</v>
      </c>
      <c r="AJ125" s="648" t="s">
        <v>1393</v>
      </c>
    </row>
    <row r="126" spans="1:36" ht="13.5" customHeight="1" thickBot="1" x14ac:dyDescent="0.25">
      <c r="A126" s="635" t="s">
        <v>8749</v>
      </c>
      <c r="B126" s="636" t="s">
        <v>8750</v>
      </c>
      <c r="AH126" s="643" t="s">
        <v>1398</v>
      </c>
      <c r="AI126" s="681" t="s">
        <v>1678</v>
      </c>
      <c r="AJ126" s="648" t="s">
        <v>1393</v>
      </c>
    </row>
    <row r="127" spans="1:36" ht="13.5" customHeight="1" thickBot="1" x14ac:dyDescent="0.25">
      <c r="A127" s="635" t="s">
        <v>8751</v>
      </c>
      <c r="B127" s="636" t="s">
        <v>8752</v>
      </c>
      <c r="AH127" s="643" t="s">
        <v>1399</v>
      </c>
      <c r="AI127" s="681" t="s">
        <v>1678</v>
      </c>
      <c r="AJ127" s="648" t="s">
        <v>1393</v>
      </c>
    </row>
    <row r="128" spans="1:36" ht="13.5" customHeight="1" thickBot="1" x14ac:dyDescent="0.25">
      <c r="A128" s="635" t="s">
        <v>8753</v>
      </c>
      <c r="B128" s="636" t="s">
        <v>8754</v>
      </c>
      <c r="AH128" s="643" t="s">
        <v>1412</v>
      </c>
      <c r="AI128" s="681" t="s">
        <v>1678</v>
      </c>
      <c r="AJ128" s="648" t="s">
        <v>1393</v>
      </c>
    </row>
    <row r="129" spans="1:36" ht="13.5" customHeight="1" thickBot="1" x14ac:dyDescent="0.25">
      <c r="A129" s="635" t="s">
        <v>8755</v>
      </c>
      <c r="B129" s="636" t="s">
        <v>8756</v>
      </c>
      <c r="AH129" s="643" t="s">
        <v>918</v>
      </c>
      <c r="AI129" s="681" t="s">
        <v>1678</v>
      </c>
      <c r="AJ129" s="648" t="s">
        <v>1393</v>
      </c>
    </row>
    <row r="130" spans="1:36" ht="13.5" customHeight="1" thickBot="1" x14ac:dyDescent="0.25">
      <c r="A130" s="635" t="s">
        <v>8757</v>
      </c>
      <c r="B130" s="636" t="s">
        <v>8758</v>
      </c>
      <c r="AH130" s="643" t="s">
        <v>284</v>
      </c>
      <c r="AI130" s="682" t="s">
        <v>1678</v>
      </c>
      <c r="AJ130" s="648" t="s">
        <v>1393</v>
      </c>
    </row>
    <row r="131" spans="1:36" ht="13.5" customHeight="1" thickBot="1" x14ac:dyDescent="0.25">
      <c r="A131" s="635" t="s">
        <v>8759</v>
      </c>
      <c r="B131" s="636" t="s">
        <v>8760</v>
      </c>
      <c r="AH131" s="643" t="s">
        <v>1395</v>
      </c>
      <c r="AI131" s="681" t="s">
        <v>1708</v>
      </c>
      <c r="AJ131" s="648" t="s">
        <v>1393</v>
      </c>
    </row>
    <row r="132" spans="1:36" ht="13.5" customHeight="1" thickBot="1" x14ac:dyDescent="0.25">
      <c r="A132" s="635" t="s">
        <v>8761</v>
      </c>
      <c r="B132" s="636" t="s">
        <v>8762</v>
      </c>
      <c r="AH132" s="643" t="s">
        <v>1396</v>
      </c>
      <c r="AI132" s="681" t="s">
        <v>1708</v>
      </c>
      <c r="AJ132" s="648" t="s">
        <v>1393</v>
      </c>
    </row>
    <row r="133" spans="1:36" ht="13.5" customHeight="1" thickBot="1" x14ac:dyDescent="0.25">
      <c r="A133" s="635" t="s">
        <v>8763</v>
      </c>
      <c r="B133" s="636" t="s">
        <v>8764</v>
      </c>
      <c r="AH133" s="643" t="s">
        <v>1397</v>
      </c>
      <c r="AI133" s="681" t="s">
        <v>1708</v>
      </c>
      <c r="AJ133" s="648" t="s">
        <v>1393</v>
      </c>
    </row>
    <row r="134" spans="1:36" ht="13.5" customHeight="1" thickBot="1" x14ac:dyDescent="0.25">
      <c r="A134" s="635" t="s">
        <v>8765</v>
      </c>
      <c r="B134" s="636" t="s">
        <v>8766</v>
      </c>
      <c r="AH134" s="643" t="s">
        <v>1400</v>
      </c>
      <c r="AI134" s="654" t="s">
        <v>1708</v>
      </c>
      <c r="AJ134" s="648" t="s">
        <v>1393</v>
      </c>
    </row>
    <row r="135" spans="1:36" ht="13.5" customHeight="1" thickBot="1" x14ac:dyDescent="0.25">
      <c r="A135" s="635" t="s">
        <v>8767</v>
      </c>
      <c r="B135" s="636" t="s">
        <v>8768</v>
      </c>
      <c r="AH135" s="656" t="s">
        <v>8769</v>
      </c>
      <c r="AI135" t="s">
        <v>8770</v>
      </c>
      <c r="AJ135" s="648" t="s">
        <v>1393</v>
      </c>
    </row>
    <row r="136" spans="1:36" ht="13.5" customHeight="1" thickBot="1" x14ac:dyDescent="0.25">
      <c r="A136" s="635" t="s">
        <v>8771</v>
      </c>
      <c r="B136" s="636" t="s">
        <v>8772</v>
      </c>
      <c r="AH136" s="643" t="s">
        <v>1394</v>
      </c>
      <c r="AI136" s="683" t="s">
        <v>8770</v>
      </c>
      <c r="AJ136" s="654" t="s">
        <v>1393</v>
      </c>
    </row>
    <row r="137" spans="1:36" ht="13.5" customHeight="1" thickBot="1" x14ac:dyDescent="0.25">
      <c r="A137" s="635" t="s">
        <v>8773</v>
      </c>
      <c r="B137" s="636" t="s">
        <v>8774</v>
      </c>
    </row>
    <row r="138" spans="1:36" ht="13.5" customHeight="1" thickBot="1" x14ac:dyDescent="0.25">
      <c r="A138" s="635" t="s">
        <v>1442</v>
      </c>
      <c r="B138" s="636" t="s">
        <v>8775</v>
      </c>
    </row>
    <row r="139" spans="1:36" ht="13.5" customHeight="1" thickBot="1" x14ac:dyDescent="0.25">
      <c r="A139" s="635" t="s">
        <v>8776</v>
      </c>
      <c r="B139" s="636" t="s">
        <v>8777</v>
      </c>
    </row>
    <row r="140" spans="1:36" ht="13.5" customHeight="1" thickBot="1" x14ac:dyDescent="0.25">
      <c r="A140" s="635" t="s">
        <v>8778</v>
      </c>
      <c r="B140" s="636" t="s">
        <v>8779</v>
      </c>
    </row>
    <row r="141" spans="1:36" ht="13.5" customHeight="1" thickBot="1" x14ac:dyDescent="0.25">
      <c r="A141" s="635" t="s">
        <v>8780</v>
      </c>
      <c r="B141" s="636" t="s">
        <v>8781</v>
      </c>
    </row>
    <row r="142" spans="1:36" ht="13.5" customHeight="1" thickBot="1" x14ac:dyDescent="0.25">
      <c r="A142" s="635" t="s">
        <v>8782</v>
      </c>
      <c r="B142" s="636" t="s">
        <v>8783</v>
      </c>
    </row>
    <row r="143" spans="1:36" ht="13.5" customHeight="1" thickBot="1" x14ac:dyDescent="0.25">
      <c r="A143" s="635" t="s">
        <v>8784</v>
      </c>
      <c r="B143" s="636" t="s">
        <v>8785</v>
      </c>
    </row>
    <row r="144" spans="1:36" ht="13.5" customHeight="1" thickBot="1" x14ac:dyDescent="0.25">
      <c r="A144" s="635" t="s">
        <v>8786</v>
      </c>
      <c r="B144" s="636" t="s">
        <v>8787</v>
      </c>
    </row>
    <row r="145" spans="1:2" ht="13.5" customHeight="1" thickBot="1" x14ac:dyDescent="0.25">
      <c r="A145" s="635" t="s">
        <v>8788</v>
      </c>
      <c r="B145" s="636" t="s">
        <v>8789</v>
      </c>
    </row>
    <row r="146" spans="1:2" ht="13.5" customHeight="1" thickBot="1" x14ac:dyDescent="0.25">
      <c r="A146" s="635" t="s">
        <v>8790</v>
      </c>
      <c r="B146" s="636" t="s">
        <v>8791</v>
      </c>
    </row>
    <row r="147" spans="1:2" ht="13.5" customHeight="1" thickBot="1" x14ac:dyDescent="0.25">
      <c r="A147" s="635" t="s">
        <v>8792</v>
      </c>
      <c r="B147" s="636" t="s">
        <v>8793</v>
      </c>
    </row>
    <row r="148" spans="1:2" ht="13.5" customHeight="1" thickBot="1" x14ac:dyDescent="0.25">
      <c r="A148" s="635" t="s">
        <v>8794</v>
      </c>
      <c r="B148" s="636" t="s">
        <v>8795</v>
      </c>
    </row>
    <row r="149" spans="1:2" ht="13.5" customHeight="1" thickBot="1" x14ac:dyDescent="0.25">
      <c r="A149" s="635" t="s">
        <v>8796</v>
      </c>
      <c r="B149" s="636" t="s">
        <v>8797</v>
      </c>
    </row>
    <row r="150" spans="1:2" ht="13.5" customHeight="1" thickBot="1" x14ac:dyDescent="0.25">
      <c r="A150" s="635" t="s">
        <v>1443</v>
      </c>
      <c r="B150" s="636" t="s">
        <v>8798</v>
      </c>
    </row>
    <row r="151" spans="1:2" ht="13.5" customHeight="1" thickBot="1" x14ac:dyDescent="0.25">
      <c r="A151" s="635" t="s">
        <v>8799</v>
      </c>
      <c r="B151" s="636" t="s">
        <v>8800</v>
      </c>
    </row>
    <row r="152" spans="1:2" ht="13.5" customHeight="1" thickBot="1" x14ac:dyDescent="0.25">
      <c r="A152" s="635" t="s">
        <v>8801</v>
      </c>
      <c r="B152" s="636" t="s">
        <v>8802</v>
      </c>
    </row>
    <row r="153" spans="1:2" ht="13.5" customHeight="1" thickBot="1" x14ac:dyDescent="0.25">
      <c r="A153" s="635" t="s">
        <v>8803</v>
      </c>
      <c r="B153" s="636" t="s">
        <v>8804</v>
      </c>
    </row>
    <row r="154" spans="1:2" ht="13.5" customHeight="1" thickBot="1" x14ac:dyDescent="0.25">
      <c r="A154" s="635" t="s">
        <v>1444</v>
      </c>
      <c r="B154" s="636" t="s">
        <v>8805</v>
      </c>
    </row>
    <row r="155" spans="1:2" ht="13.5" customHeight="1" thickBot="1" x14ac:dyDescent="0.25">
      <c r="A155" s="635" t="s">
        <v>8806</v>
      </c>
      <c r="B155" s="636" t="s">
        <v>8807</v>
      </c>
    </row>
    <row r="156" spans="1:2" ht="13.5" customHeight="1" thickBot="1" x14ac:dyDescent="0.25">
      <c r="A156" s="635" t="s">
        <v>8808</v>
      </c>
      <c r="B156" s="636" t="s">
        <v>8809</v>
      </c>
    </row>
    <row r="157" spans="1:2" ht="13.5" customHeight="1" thickBot="1" x14ac:dyDescent="0.25">
      <c r="A157" s="635" t="s">
        <v>8810</v>
      </c>
      <c r="B157" s="684" t="s">
        <v>8811</v>
      </c>
    </row>
    <row r="158" spans="1:2" ht="13.5" customHeight="1" thickBot="1" x14ac:dyDescent="0.25">
      <c r="A158" s="635" t="s">
        <v>8812</v>
      </c>
      <c r="B158" s="636" t="s">
        <v>8813</v>
      </c>
    </row>
    <row r="159" spans="1:2" ht="13.5" customHeight="1" thickBot="1" x14ac:dyDescent="0.25">
      <c r="A159" s="635" t="s">
        <v>8814</v>
      </c>
      <c r="B159" s="636" t="s">
        <v>8815</v>
      </c>
    </row>
    <row r="160" spans="1:2" ht="13.5" customHeight="1" thickBot="1" x14ac:dyDescent="0.25">
      <c r="A160" s="635" t="s">
        <v>8816</v>
      </c>
      <c r="B160" s="636" t="s">
        <v>8817</v>
      </c>
    </row>
    <row r="161" spans="1:2" ht="13.5" customHeight="1" thickBot="1" x14ac:dyDescent="0.25">
      <c r="A161" s="635" t="s">
        <v>8818</v>
      </c>
      <c r="B161" s="636" t="s">
        <v>8819</v>
      </c>
    </row>
    <row r="162" spans="1:2" ht="13.5" customHeight="1" thickBot="1" x14ac:dyDescent="0.25">
      <c r="A162" s="635" t="s">
        <v>8820</v>
      </c>
      <c r="B162" s="636" t="s">
        <v>8821</v>
      </c>
    </row>
    <row r="163" spans="1:2" ht="13.5" customHeight="1" thickBot="1" x14ac:dyDescent="0.25">
      <c r="A163" s="635" t="s">
        <v>1445</v>
      </c>
      <c r="B163" s="636" t="s">
        <v>8822</v>
      </c>
    </row>
    <row r="164" spans="1:2" ht="13.5" customHeight="1" thickBot="1" x14ac:dyDescent="0.25">
      <c r="A164" s="635" t="s">
        <v>8823</v>
      </c>
      <c r="B164" s="636" t="s">
        <v>8824</v>
      </c>
    </row>
    <row r="165" spans="1:2" ht="13.5" customHeight="1" x14ac:dyDescent="0.2">
      <c r="A165" s="685" t="s">
        <v>8825</v>
      </c>
      <c r="B165" s="686" t="s">
        <v>8826</v>
      </c>
    </row>
    <row r="166" spans="1:2" ht="13.5" customHeight="1" x14ac:dyDescent="0.2"/>
    <row r="167" spans="1:2" ht="13.5" customHeight="1" x14ac:dyDescent="0.2"/>
    <row r="168" spans="1:2" ht="13.5" customHeight="1" x14ac:dyDescent="0.2"/>
    <row r="169" spans="1:2" ht="13.5" customHeight="1" x14ac:dyDescent="0.2"/>
    <row r="170" spans="1:2" ht="13.5" customHeight="1" x14ac:dyDescent="0.2"/>
    <row r="171" spans="1:2" ht="13.5" customHeight="1" x14ac:dyDescent="0.2"/>
    <row r="172" spans="1:2" ht="13.5" customHeight="1" x14ac:dyDescent="0.2"/>
    <row r="173" spans="1:2" ht="13.5" customHeight="1" x14ac:dyDescent="0.2"/>
    <row r="174" spans="1:2" ht="13.5" customHeight="1" x14ac:dyDescent="0.2"/>
    <row r="175" spans="1:2" ht="13.5" customHeight="1" x14ac:dyDescent="0.2"/>
    <row r="176" spans="1:2"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sheetData>
  <mergeCells count="11">
    <mergeCell ref="AA1:AC1"/>
    <mergeCell ref="AE1:AF1"/>
    <mergeCell ref="AH1:AJ1"/>
    <mergeCell ref="J3:J6"/>
    <mergeCell ref="J7:J10"/>
    <mergeCell ref="X1:Y1"/>
    <mergeCell ref="A1:B1"/>
    <mergeCell ref="F1:G1"/>
    <mergeCell ref="J1:N1"/>
    <mergeCell ref="Q1:R1"/>
    <mergeCell ref="T1:V1"/>
  </mergeCells>
  <hyperlinks>
    <hyperlink ref="A165" r:id="rId1" display="http://www.xe.com/currency/zwd-zimbabwean-dollar"/>
    <hyperlink ref="A164" r:id="rId2" display="http://www.xe.com/currency/zmk-zambian-kwacha"/>
    <hyperlink ref="A163" r:id="rId3" display="http://www.xe.com/currency/zar-south-african-rand"/>
    <hyperlink ref="A162" r:id="rId4" display="http://www.xe.com/currency/yer-yemeni-rial"/>
    <hyperlink ref="A161" r:id="rId5" display="http://www.xe.com/currency/xpf-cfp-franc"/>
    <hyperlink ref="A160" r:id="rId6" display="http://www.xe.com/currency/xof-cfa-franc"/>
    <hyperlink ref="A159" r:id="rId7" display="http://www.xe.com/currency/xdr-imf-special-drawing-rights"/>
    <hyperlink ref="A158" r:id="rId8" display="http://www.xe.com/currency/xcd-east-caribbean-dollar"/>
    <hyperlink ref="B157" location="section3" display="section3"/>
    <hyperlink ref="A157" r:id="rId9" display="http://www.xe.com/currency/xaf-central-african-cfa-franc-beac"/>
    <hyperlink ref="A156" r:id="rId10" display="http://www.xe.com/currency/wst-samoan-tala"/>
    <hyperlink ref="A155" r:id="rId11" display="http://www.xe.com/currency/vuv-ni-vanuatu-vatu"/>
    <hyperlink ref="A154" r:id="rId12" display="http://www.xe.com/currency/vnd-vietnamese-dong"/>
    <hyperlink ref="A153" r:id="rId13" display="http://www.xe.com/currency/vef-venezuelan-bolivar-fuerte"/>
    <hyperlink ref="A152" r:id="rId14" display="http://www.xe.com/currency/uzs-uzbekistani-som"/>
    <hyperlink ref="A151" r:id="rId15" display="http://www.xe.com/currency/uyu-uruguayan-peso"/>
    <hyperlink ref="A150" r:id="rId16" display="http://www.xe.com/currency/usd-us-dollar"/>
    <hyperlink ref="A149" r:id="rId17" display="http://www.xe.com/currency/ugx-ugandan-shilling"/>
    <hyperlink ref="A148" r:id="rId18" display="http://www.xe.com/currency/uah-ukrainian-hryvna"/>
    <hyperlink ref="A147" r:id="rId19" display="http://www.xe.com/currency/tzs-tanzanian-shilling"/>
    <hyperlink ref="A146" r:id="rId20" display="http://www.xe.com/currency/twd-taiwan-new-dollar"/>
    <hyperlink ref="A145" r:id="rId21" display="http://www.xe.com/currency/tvd-tuvaluan-dollar"/>
    <hyperlink ref="A144" r:id="rId22" display="http://www.xe.com/currency/ttd-trinidadian-dollar"/>
    <hyperlink ref="A143" r:id="rId23" display="http://www.xe.com/currency/try-turkish-lira"/>
    <hyperlink ref="A142" r:id="rId24" display="http://www.xe.com/currency/top-tongan-pa'anga"/>
    <hyperlink ref="A141" r:id="rId25" display="http://www.xe.com/currency/tnd-tunisian-dinar"/>
    <hyperlink ref="A140" r:id="rId26" display="http://www.xe.com/currency/tmt-turkmenistani-manat"/>
    <hyperlink ref="A139" r:id="rId27" display="http://www.xe.com/currency/tjs-tajikistani-somoni"/>
    <hyperlink ref="A138" r:id="rId28" display="http://www.xe.com/currency/thb-thai-baht"/>
    <hyperlink ref="A137" r:id="rId29" display="http://www.xe.com/currency/szl-swazi-lilangeni"/>
    <hyperlink ref="A136" r:id="rId30" display="http://www.xe.com/currency/syp-syrian-pound"/>
    <hyperlink ref="A135" r:id="rId31" display="http://www.xe.com/currency/svc-salvadoran-colon"/>
    <hyperlink ref="A134" r:id="rId32" display="http://www.xe.com/currency/std-sao-tomean-dobra"/>
    <hyperlink ref="A133" r:id="rId33" display="http://www.xe.com/currency/srd-surinamese-dollar"/>
    <hyperlink ref="A132" r:id="rId34" display="http://www.xe.com/currency/spl-seborgan-luigino"/>
    <hyperlink ref="A131" r:id="rId35" display="http://www.xe.com/currency/sos-somali-shilling"/>
    <hyperlink ref="A130" r:id="rId36" display="http://www.xe.com/currency/sll-sierra-leonean-leone"/>
    <hyperlink ref="A129" r:id="rId37" display="http://www.xe.com/currency/shp-saint-helenian-pound"/>
    <hyperlink ref="A128" r:id="rId38" display="http://www.xe.com/currency/sgd-singapore-dollar"/>
    <hyperlink ref="A127" r:id="rId39" display="http://www.xe.com/currency/sek-swedish-krona"/>
    <hyperlink ref="A126" r:id="rId40" display="http://www.xe.com/currency/sdg-sudanese-pound"/>
    <hyperlink ref="A125" r:id="rId41" display="http://www.xe.com/currency/scr-seychellois-rupee"/>
    <hyperlink ref="A124" r:id="rId42" display="http://www.xe.com/currency/sbd-solomon-islander-dollar"/>
    <hyperlink ref="A123" r:id="rId43" display="http://www.xe.com/currency/sar-saudi-or-saudi-arabian-riyal"/>
    <hyperlink ref="A122" r:id="rId44" display="http://www.xe.com/currency/rwf-rwandan-franc"/>
    <hyperlink ref="A121" r:id="rId45" display="http://www.xe.com/currency/rub-russian-ruble"/>
    <hyperlink ref="A120" r:id="rId46" display="http://www.xe.com/currency/rsd-serbian-dinar"/>
    <hyperlink ref="A119" r:id="rId47" display="http://www.xe.com/currency/ron-romanian-new-leu"/>
    <hyperlink ref="A118" r:id="rId48" display="http://www.xe.com/currency/qar-qatari-riyal"/>
    <hyperlink ref="A117" r:id="rId49" display="http://www.xe.com/currency/pyg-paraguayan-guarani"/>
    <hyperlink ref="A116" r:id="rId50" display="http://www.xe.com/currency/pln-polish-zloty"/>
    <hyperlink ref="A115" r:id="rId51" display="http://www.xe.com/currency/pkr-pakistani-rupee"/>
    <hyperlink ref="A114" r:id="rId52" display="http://www.xe.com/currency/php-philippine-peso"/>
    <hyperlink ref="A113" r:id="rId53" display="http://www.xe.com/currency/pgk-papua-new-guinean-kina"/>
    <hyperlink ref="A112" r:id="rId54" display="http://www.xe.com/currency/pen-peruvian-nuevo-sol"/>
    <hyperlink ref="A111" r:id="rId55" display="http://www.xe.com/currency/pab-panamanian-balboa"/>
    <hyperlink ref="A110" r:id="rId56" display="http://www.xe.com/currency/omr-omani-rial"/>
    <hyperlink ref="A109" r:id="rId57" display="http://www.xe.com/currency/nzd-new-zealand-dollar"/>
    <hyperlink ref="A108" r:id="rId58" display="http://www.xe.com/currency/npr-nepalese-rupee"/>
    <hyperlink ref="A107" r:id="rId59" display="http://www.xe.com/currency/nok-norwegian-krone"/>
    <hyperlink ref="A106" r:id="rId60" display="http://www.xe.com/currency/nio-nicaraguan-cordoba"/>
    <hyperlink ref="A105" r:id="rId61" display="http://www.xe.com/currency/ngn-nigerian-naira"/>
    <hyperlink ref="A104" r:id="rId62" display="http://www.xe.com/currency/nad-namibian-dollar"/>
    <hyperlink ref="A103" r:id="rId63" display="http://www.xe.com/currency/mzn-mozambican-metical"/>
    <hyperlink ref="A102" r:id="rId64" display="http://www.xe.com/currency/myr-malaysian-ringgit"/>
    <hyperlink ref="A101" r:id="rId65" display="http://www.xe.com/currency/mxn-mexican-peso"/>
    <hyperlink ref="A100" r:id="rId66" display="http://www.xe.com/currency/mwk-malawian-kwacha"/>
    <hyperlink ref="A99" r:id="rId67" display="http://www.xe.com/currency/mvr-maldivian-rufiyaa"/>
    <hyperlink ref="A98" r:id="rId68" display="http://www.xe.com/currency/mur-mauritian-rupee"/>
    <hyperlink ref="A97" r:id="rId69" display="http://www.xe.com/currency/mro-mauritanian-ouguiya"/>
    <hyperlink ref="A96" r:id="rId70" display="http://www.xe.com/currency/mop-macau-pataca"/>
    <hyperlink ref="A95" r:id="rId71" display="http://www.xe.com/currency/mnt-mongolian-tughrik"/>
    <hyperlink ref="A94" r:id="rId72" display="http://www.xe.com/currency/mmk-burmese-kyat"/>
    <hyperlink ref="A93" r:id="rId73" display="http://www.xe.com/currency/mkd-macedonian-denar"/>
    <hyperlink ref="A92" r:id="rId74" display="http://www.xe.com/currency/mga-malagasy-ariary"/>
    <hyperlink ref="A91" r:id="rId75" display="http://www.xe.com/currency/mdl-moldovan-leu"/>
    <hyperlink ref="A90" r:id="rId76" display="http://www.xe.com/currency/mad-moroccan-dirham"/>
    <hyperlink ref="A89" r:id="rId77" display="http://www.xe.com/currency/lyd-libyan-dinar"/>
    <hyperlink ref="A88" r:id="rId78" display="http://www.xe.com/currency/lvl-latvian-lat"/>
    <hyperlink ref="A87" r:id="rId79" display="http://www.xe.com/currency/ltl-lithuanian-litas"/>
    <hyperlink ref="A86" r:id="rId80" display="http://www.xe.com/currency/lsl-basotho-loti"/>
    <hyperlink ref="A85" r:id="rId81" display="http://www.xe.com/currency/lrd-liberian-dollar"/>
    <hyperlink ref="A84" r:id="rId82" display="http://www.xe.com/currency/lkr-sri-lankan-rupee"/>
    <hyperlink ref="A83" r:id="rId83" display="http://www.xe.com/currency/lbp-lebanese-pound"/>
    <hyperlink ref="A82" r:id="rId84" display="http://www.xe.com/currency/lak-lao-or-laotian-kip"/>
    <hyperlink ref="A81" r:id="rId85" display="http://www.xe.com/currency/kzt-kazakhstani-tenge"/>
    <hyperlink ref="A80" r:id="rId86" display="http://www.xe.com/currency/kyd-caymanian-dollar"/>
    <hyperlink ref="A79" r:id="rId87" display="http://www.xe.com/currency/kwd-kuwaiti-dinar"/>
    <hyperlink ref="A78" r:id="rId88" display="http://www.xe.com/currency/krw-south-korean-won"/>
    <hyperlink ref="A77" r:id="rId89" display="http://www.xe.com/currency/kpw-north-korean-won"/>
    <hyperlink ref="A76" r:id="rId90" display="http://www.xe.com/currency/kmf-comoran-franc"/>
    <hyperlink ref="A75" r:id="rId91" display="http://www.xe.com/currency/khr-cambodian-riel"/>
    <hyperlink ref="A74" r:id="rId92" display="http://www.xe.com/currency/kgs-kyrgyzstani-som"/>
    <hyperlink ref="A73" r:id="rId93" display="http://www.xe.com/currency/kes-kenyan-shilling"/>
    <hyperlink ref="A72" r:id="rId94" display="http://www.xe.com/currency/jpy-japanese-yen"/>
    <hyperlink ref="A71" r:id="rId95" display="http://www.xe.com/currency/jod-jordanian-dinar"/>
    <hyperlink ref="A70" r:id="rId96" display="http://www.xe.com/currency/jmd-jamaican-dollar"/>
    <hyperlink ref="A69" r:id="rId97" display="http://www.xe.com/currency/jep-jersey-pound"/>
    <hyperlink ref="A68" r:id="rId98" display="http://www.xe.com/currency/isk-icelandic-krona"/>
    <hyperlink ref="A67" r:id="rId99" display="http://www.xe.com/currency/irr-iranian-rial"/>
    <hyperlink ref="A66" r:id="rId100" display="http://www.xe.com/currency/iqd-iraqi-dinar"/>
    <hyperlink ref="A65" r:id="rId101" display="http://www.xe.com/currency/inr-indian-rupee"/>
    <hyperlink ref="A64" r:id="rId102" display="http://www.xe.com/currency/imp-isle-of-man-pound"/>
    <hyperlink ref="A63" r:id="rId103" display="http://www.xe.com/currency/ils-israeli-shekel"/>
    <hyperlink ref="A62" r:id="rId104" display="http://www.xe.com/currency/idr-indonesian-rupiah"/>
    <hyperlink ref="A61" r:id="rId105" display="http://www.xe.com/currency/huf-hungarian-forint"/>
    <hyperlink ref="A60" r:id="rId106" display="http://www.xe.com/currency/htg-haitian-gourde"/>
    <hyperlink ref="A59" r:id="rId107" display="http://www.xe.com/currency/hrk-croatian-kuna"/>
    <hyperlink ref="A58" r:id="rId108" display="http://www.xe.com/currency/hnl-honduran-lempira"/>
    <hyperlink ref="A57" r:id="rId109" display="http://www.xe.com/currency/hkd-hong-kong-dollar"/>
    <hyperlink ref="A56" r:id="rId110" display="http://www.xe.com/currency/gyd-guyanese-dollar"/>
    <hyperlink ref="A55" r:id="rId111" display="http://www.xe.com/currency/gtq-guatemalan-quetzal"/>
    <hyperlink ref="A54" r:id="rId112" display="http://www.xe.com/currency/gnf-guinean-franc"/>
    <hyperlink ref="A53" r:id="rId113" display="http://www.xe.com/currency/gmd-gambian-dalasi"/>
    <hyperlink ref="A52" r:id="rId114" display="http://www.xe.com/currency/gip-gibraltar-pound"/>
    <hyperlink ref="A51" r:id="rId115" display="http://www.xe.com/currency/ghs-ghanaian-cedi"/>
    <hyperlink ref="A50" r:id="rId116" display="http://www.xe.com/currency/ggp-guernsey-pound"/>
    <hyperlink ref="A49" r:id="rId117" display="http://www.xe.com/currency/gel-georgian-lari"/>
    <hyperlink ref="A48" r:id="rId118" display="http://www.xe.com/currency/gbp-british-pound"/>
    <hyperlink ref="A47" r:id="rId119" display="http://www.xe.com/currency/fkp-falkland-island-pound"/>
    <hyperlink ref="A46" r:id="rId120" display="http://www.xe.com/currency/fjd-fijian-dollar"/>
    <hyperlink ref="A45" r:id="rId121" display="http://www.xe.com/currency/eur-euro"/>
    <hyperlink ref="A44" r:id="rId122" display="http://www.xe.com/currency/etb-ethiopian-birr"/>
    <hyperlink ref="A43" r:id="rId123" display="http://www.xe.com/currency/ern-eritrean-nakfa"/>
    <hyperlink ref="A42" r:id="rId124" display="http://www.xe.com/currency/egp-egyptian-pound"/>
    <hyperlink ref="A41" r:id="rId125" display="http://www.xe.com/currency/dzd-algerian-dinar"/>
    <hyperlink ref="A40" r:id="rId126" display="http://www.xe.com/currency/dop-dominican-peso"/>
    <hyperlink ref="A39" r:id="rId127" display="http://www.xe.com/currency/dkk-danish-krone"/>
    <hyperlink ref="A38" r:id="rId128" display="http://www.xe.com/currency/djf-djiboutian-franc"/>
    <hyperlink ref="A37" r:id="rId129" display="http://www.xe.com/currency/czk-czech-koruna"/>
    <hyperlink ref="A36" r:id="rId130" display="http://www.xe.com/currency/cve-cape-verdean-escudo"/>
    <hyperlink ref="A35" r:id="rId131" display="http://www.xe.com/currency/cup-cuban-peso"/>
    <hyperlink ref="A34" r:id="rId132" display="http://www.xe.com/currency/cuc-cuban-convertible-peso"/>
    <hyperlink ref="A33" r:id="rId133" display="http://www.xe.com/currency/crc-costa-rican-colon"/>
    <hyperlink ref="A32" r:id="rId134" display="http://www.xe.com/currency/cop-colombian-peso"/>
    <hyperlink ref="A31" r:id="rId135" display="http://www.xe.com/currency/cny-chinese-yuan-renminbi"/>
    <hyperlink ref="A30" r:id="rId136" display="http://www.xe.com/currency/clp-chilean-peso"/>
    <hyperlink ref="A29" r:id="rId137" display="http://www.xe.com/currency/chf-swiss-franc"/>
    <hyperlink ref="A28" r:id="rId138" display="http://www.xe.com/currency/cdf-congolese-franc"/>
    <hyperlink ref="A27" r:id="rId139" display="http://www.xe.com/currency/cad-canadian-dollar"/>
    <hyperlink ref="A26" r:id="rId140" display="http://www.xe.com/currency/bzd-belizean-dollar"/>
    <hyperlink ref="A25" r:id="rId141" display="http://www.xe.com/currency/byr-belarusian-ruble"/>
    <hyperlink ref="A24" r:id="rId142" display="http://www.xe.com/currency/bwp-botswana-pula"/>
    <hyperlink ref="A23" r:id="rId143" display="http://www.xe.com/currency/btn-bhutanese-ngultrum"/>
    <hyperlink ref="A22" r:id="rId144" display="http://www.xe.com/currency/bsd-bahamian-dollar"/>
    <hyperlink ref="A21" r:id="rId145" display="http://www.xe.com/currency/brl-brazilian-real"/>
    <hyperlink ref="A20" r:id="rId146" display="http://www.xe.com/currency/bob-bolivian-boliviano"/>
    <hyperlink ref="A19" r:id="rId147" display="http://www.xe.com/currency/bnd-bruneian-dollar"/>
    <hyperlink ref="A18" r:id="rId148" display="http://www.xe.com/currency/bmd-bermudian-dollar"/>
    <hyperlink ref="A17" r:id="rId149" display="http://www.xe.com/currency/bif-burundian-franc"/>
    <hyperlink ref="A16" r:id="rId150" display="http://www.xe.com/currency/bhd-bahraini-dinar"/>
    <hyperlink ref="A15" r:id="rId151" display="http://www.xe.com/currency/bgn-bulgarian-lev"/>
    <hyperlink ref="A14" r:id="rId152" display="http://www.xe.com/currency/bdt-bangladeshi-taka"/>
    <hyperlink ref="A13" r:id="rId153" display="http://www.xe.com/currency/bbd-barbadian-or-bajan-dollar"/>
    <hyperlink ref="A12" r:id="rId154" display="http://www.xe.com/currency/bam-bosnian-convertible-marka"/>
    <hyperlink ref="A11" r:id="rId155" display="http://www.xe.com/currency/azn-azerbaijani-new-manat"/>
    <hyperlink ref="A10" r:id="rId156" display="http://www.xe.com/currency/awg-aruban-or-dutch-guilder"/>
    <hyperlink ref="A9" r:id="rId157" display="http://www.xe.com/currency/aud-australian-dollar"/>
    <hyperlink ref="A8" r:id="rId158" display="http://www.xe.com/currency/ars-argentine-peso"/>
    <hyperlink ref="A7" r:id="rId159" display="http://www.xe.com/currency/aoa-angolan-kwanza"/>
    <hyperlink ref="A6" r:id="rId160" display="http://www.xe.com/currency/ang-dutch-guilder"/>
    <hyperlink ref="A5" r:id="rId161" display="http://www.xe.com/currency/amd-armenian-dram"/>
    <hyperlink ref="A4" r:id="rId162" display="http://www.xe.com/currency/all-albanian-lek"/>
    <hyperlink ref="A3" r:id="rId163" display="http://www.xe.com/currency/afn-afghan-afghani"/>
    <hyperlink ref="A2" r:id="rId164" display="http://www.xe.com/currency/aed-emirati-dirham"/>
  </hyperlinks>
  <pageMargins left="0.70866141732283472" right="0.70866141732283472" top="0.74803149606299213" bottom="0.74803149606299213" header="0.31496062992125984" footer="0.31496062992125984"/>
  <pageSetup paperSize="9" scale="55" fitToHeight="4"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36</vt:i4>
      </vt:variant>
    </vt:vector>
  </HeadingPairs>
  <TitlesOfParts>
    <vt:vector size="39" baseType="lpstr">
      <vt:lpstr>PoAs</vt:lpstr>
      <vt:lpstr>PoAanalysis</vt:lpstr>
      <vt:lpstr>Variables</vt:lpstr>
      <vt:lpstr>CP1CERsIssued</vt:lpstr>
      <vt:lpstr>CP2CERsIssued</vt:lpstr>
      <vt:lpstr>CPAs</vt:lpstr>
      <vt:lpstr>PoAanalysis!PAboveHost</vt:lpstr>
      <vt:lpstr>PoAanalysis!PAboveRes</vt:lpstr>
      <vt:lpstr>PoAanalysis!PBelowHost</vt:lpstr>
      <vt:lpstr>PoAanalysis!PBelowRes</vt:lpstr>
      <vt:lpstr>PBuyer</vt:lpstr>
      <vt:lpstr>PCERsIssued</vt:lpstr>
      <vt:lpstr>PCreditstart</vt:lpstr>
      <vt:lpstr>PDOE</vt:lpstr>
      <vt:lpstr>PDOE2</vt:lpstr>
      <vt:lpstr>PFirstissuance</vt:lpstr>
      <vt:lpstr>PHost</vt:lpstr>
      <vt:lpstr>PID</vt:lpstr>
      <vt:lpstr>PInv</vt:lpstr>
      <vt:lpstr>PktCO22012</vt:lpstr>
      <vt:lpstr>PktCO22020</vt:lpstr>
      <vt:lpstr>PktCO2peryr</vt:lpstr>
      <vt:lpstr>PLastline</vt:lpstr>
      <vt:lpstr>PLoA</vt:lpstr>
      <vt:lpstr>PMethod</vt:lpstr>
      <vt:lpstr>PMW</vt:lpstr>
      <vt:lpstr>PPDDcon</vt:lpstr>
      <vt:lpstr>PRegDate</vt:lpstr>
      <vt:lpstr>PRegRequest</vt:lpstr>
      <vt:lpstr>PRevHist</vt:lpstr>
      <vt:lpstr>PSlope</vt:lpstr>
      <vt:lpstr>PStartcomment</vt:lpstr>
      <vt:lpstr>PStatus</vt:lpstr>
      <vt:lpstr>PStatusnumber</vt:lpstr>
      <vt:lpstr>PSubtype</vt:lpstr>
      <vt:lpstr>PSuccess</vt:lpstr>
      <vt:lpstr>PType</vt:lpstr>
      <vt:lpstr>PUntil</vt:lpstr>
      <vt:lpstr>Pyears</vt:lpstr>
    </vt:vector>
  </TitlesOfParts>
  <Company>Risø DTU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Jørgen Villy Fenhann</dc:creator>
  <cp:lastModifiedBy>Jørgen Villy Fenhann</cp:lastModifiedBy>
  <cp:lastPrinted>2014-08-07T13:52:21Z</cp:lastPrinted>
  <dcterms:created xsi:type="dcterms:W3CDTF">2012-02-09T11:07:07Z</dcterms:created>
  <dcterms:modified xsi:type="dcterms:W3CDTF">2018-11-02T10:28:05Z</dcterms:modified>
</cp:coreProperties>
</file>